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comments8.xml" ContentType="application/vnd.openxmlformats-officedocument.spreadsheetml.comments+xml"/>
  <Override PartName="/xl/comments16.xml" ContentType="application/vnd.openxmlformats-officedocument.spreadsheetml.comments+xml"/>
  <Override PartName="/xl/comments15.xml" ContentType="application/vnd.openxmlformats-officedocument.spreadsheetml.comments+xml"/>
  <Override PartName="/xl/sharedStrings.xml" ContentType="application/vnd.openxmlformats-officedocument.spreadsheetml.sharedStrings+xml"/>
  <Override PartName="/xl/workbook.xml" ContentType="application/vnd.openxmlformats-officedocument.spreadsheetml.sheet.main+xml"/>
  <Override PartName="/xl/media/image533.png" ContentType="image/png"/>
  <Override PartName="/xl/media/image532.png" ContentType="image/png"/>
  <Override PartName="/xl/media/image531.png" ContentType="image/png"/>
  <Override PartName="/xl/media/image529.png" ContentType="image/png"/>
  <Override PartName="/xl/media/image528.png" ContentType="image/png"/>
  <Override PartName="/xl/media/image527.png" ContentType="image/png"/>
  <Override PartName="/xl/media/image526.png" ContentType="image/png"/>
  <Override PartName="/xl/media/image525.png" ContentType="image/png"/>
  <Override PartName="/xl/media/image524.png" ContentType="image/png"/>
  <Override PartName="/xl/media/image523.png" ContentType="image/png"/>
  <Override PartName="/xl/media/image522.png" ContentType="image/png"/>
  <Override PartName="/xl/media/image521.png" ContentType="image/png"/>
  <Override PartName="/xl/media/image514.png" ContentType="image/png"/>
  <Override PartName="/xl/media/image513.png" ContentType="image/png"/>
  <Override PartName="/xl/media/image512.png" ContentType="image/png"/>
  <Override PartName="/xl/media/image511.png" ContentType="image/png"/>
  <Override PartName="/xl/media/image504.png" ContentType="image/png"/>
  <Override PartName="/xl/media/image503.png" ContentType="image/png"/>
  <Override PartName="/xl/media/image502.png" ContentType="image/png"/>
  <Override PartName="/xl/media/image404.png" ContentType="image/png"/>
  <Override PartName="/xl/media/image541.png" ContentType="image/png"/>
  <Override PartName="/xl/media/image332.png" ContentType="image/png"/>
  <Override PartName="/xl/media/image294.png" ContentType="image/png"/>
  <Override PartName="/xl/media/image487.png" ContentType="image/png"/>
  <Override PartName="/xl/media/image331.png" ContentType="image/png"/>
  <Override PartName="/xl/media/image293.png" ContentType="image/png"/>
  <Override PartName="/xl/media/image418.png" ContentType="image/png"/>
  <Override PartName="/xl/media/image330.png" ContentType="image/png"/>
  <Override PartName="/xl/media/image292.png" ContentType="image/png"/>
  <Override PartName="/xl/media/image417.png" ContentType="image/png"/>
  <Override PartName="/xl/media/image416.png" ContentType="image/png"/>
  <Override PartName="/xl/media/image291.png" ContentType="image/png"/>
  <Override PartName="/xl/media/image484.png" ContentType="image/png"/>
  <Override PartName="/xl/media/image347.png" ContentType="image/png"/>
  <Override PartName="/xl/media/image479.png" ContentType="image/png"/>
  <Override PartName="/xl/media/image478.png" ContentType="image/png"/>
  <Override PartName="/xl/media/image322.png" ContentType="image/png"/>
  <Override PartName="/xl/media/image284.png" ContentType="image/png"/>
  <Override PartName="/xl/media/image477.png" ContentType="image/png"/>
  <Override PartName="/xl/media/image505.png" ContentType="image/png"/>
  <Override PartName="/xl/media/image409.png" ContentType="image/png"/>
  <Override PartName="/xl/media/image380.png" ContentType="image/png"/>
  <Override PartName="/xl/media/image546.png" ContentType="image/png"/>
  <Override PartName="/xl/media/image321.png" ContentType="image/png"/>
  <Override PartName="/xl/media/image283.png" ContentType="image/png"/>
  <Override PartName="/xl/media/image476.png" ContentType="image/png"/>
  <Override PartName="/xl/media/image339.png" ContentType="image/png"/>
  <Override PartName="/xl/media/image408.png" ContentType="image/png"/>
  <Override PartName="/xl/media/image545.png" ContentType="image/png"/>
  <Override PartName="/xl/media/image312.png" ContentType="image/png"/>
  <Override PartName="/xl/media/image475.png" ContentType="image/png"/>
  <Override PartName="/xl/media/image338.png" ContentType="image/png"/>
  <Override PartName="/xl/media/image407.png" ContentType="image/png"/>
  <Override PartName="/xl/media/image544.png" ContentType="image/png"/>
  <Override PartName="/xl/media/image311.png" ContentType="image/png"/>
  <Override PartName="/xl/media/image281.png" ContentType="image/png"/>
  <Override PartName="/xl/media/image301.png" ContentType="image/png"/>
  <Override PartName="/xl/media/image474.png" ContentType="image/png"/>
  <Override PartName="/xl/media/image299.png" ContentType="image/png"/>
  <Override PartName="/xl/media/image337.png" ContentType="image/png"/>
  <Override PartName="/xl/media/image406.png" ContentType="image/png"/>
  <Override PartName="/xl/media/image543.png" ContentType="image/png"/>
  <Override PartName="/xl/media/image374.png" ContentType="image/png"/>
  <Override PartName="/xl/media/image402.png" ContentType="image/png"/>
  <Override PartName="/xl/media/image282.png" ContentType="image/png"/>
  <Override PartName="/xl/media/image320.png" ContentType="image/png"/>
  <Override PartName="/xl/media/image290.png" ContentType="image/png"/>
  <Override PartName="/xl/media/image483.png" ContentType="image/png"/>
  <Override PartName="/xl/media/image346.png" ContentType="image/png"/>
  <Override PartName="/xl/media/image415.png" ContentType="image/png"/>
  <Override PartName="/xl/media/image552.png" ContentType="image/png"/>
  <Override PartName="/xl/media/image489.png" ContentType="image/png"/>
  <Override PartName="/xl/media/image296.png" ContentType="image/png"/>
  <Override PartName="/xl/media/image334.png" ContentType="image/png"/>
  <Override PartName="/xl/media/image471.png" ContentType="image/png"/>
  <Override PartName="/xl/media/image488.png" ContentType="image/png"/>
  <Override PartName="/xl/media/image333.png" ContentType="image/png"/>
  <Override PartName="/xl/media/image470.png" ContentType="image/png"/>
  <Override PartName="/xl/media/image295.png" ContentType="image/png"/>
  <Override PartName="/xl/media/image310.png" ContentType="image/png"/>
  <Override PartName="/xl/media/image280.png" ContentType="image/png"/>
  <Override PartName="/xl/media/image300.png" ContentType="image/png"/>
  <Override PartName="/xl/media/image473.png" ContentType="image/png"/>
  <Override PartName="/xl/media/image298.png" ContentType="image/png"/>
  <Override PartName="/xl/media/image336.png" ContentType="image/png"/>
  <Override PartName="/xl/media/image370.png" ContentType="image/png"/>
  <Override PartName="/xl/media/image302.png" ContentType="image/png"/>
  <Override PartName="/xl/media/image516.png" ContentType="image/png"/>
  <Override PartName="/xl/media/image391.png" ContentType="image/png"/>
  <Override PartName="/xl/media/image371.png" ContentType="image/png"/>
  <Override PartName="/xl/media/image342.png" ContentType="image/png"/>
  <Override PartName="/xl/media/image517.png" ContentType="image/png"/>
  <Override PartName="/xl/media/image372.png" ContentType="image/png"/>
  <Override PartName="/xl/media/image375.png" ContentType="image/png"/>
  <Override PartName="/xl/media/image376.png" ContentType="image/png"/>
  <Override PartName="/xl/media/image340.png" ContentType="image/png"/>
  <Override PartName="/xl/media/image341.png" ContentType="image/png"/>
  <Override PartName="/xl/media/image508.png" ContentType="image/png"/>
  <Override PartName="/xl/media/image509.png" ContentType="image/png"/>
  <Override PartName="/xl/media/image364.png" ContentType="image/png"/>
  <Override PartName="/xl/media/image539.png" ContentType="image/png"/>
  <Override PartName="/xl/media/image350.png" ContentType="image/png"/>
  <Override PartName="/xl/media/image537.png" ContentType="image/png"/>
  <Override PartName="/xl/media/image500.png" ContentType="image/png"/>
  <Override PartName="/xl/media/image486.png" ContentType="image/png"/>
  <Override PartName="/xl/media/image349.png" ContentType="image/png"/>
  <Override PartName="/xl/media/image369.png" ContentType="image/png"/>
  <Override PartName="/xl/media/image520.png" ContentType="image/png"/>
  <Override PartName="/xl/media/image515.png" ContentType="image/png"/>
  <Override PartName="/xl/media/image419.png" ContentType="image/png"/>
  <Override PartName="/xl/media/image390.png" ContentType="image/png"/>
  <Override PartName="/xl/media/image506.png" ContentType="image/png"/>
  <Override PartName="/xl/media/image379.png" ContentType="image/png"/>
  <Override PartName="/xl/media/image530.png" ContentType="image/png"/>
  <Override PartName="/xl/media/image536.png" ContentType="image/png"/>
  <Override PartName="/xl/media/image401.png" ContentType="image/png"/>
  <Override PartName="/xl/media/image368.png" ContentType="image/png"/>
  <Override PartName="/xl/media/image378.png" ContentType="image/png"/>
  <Override PartName="/xl/media/image535.png" ContentType="image/png"/>
  <Override PartName="/xl/media/image367.png" ContentType="image/png"/>
  <Override PartName="/xl/media/image377.png" ContentType="image/png"/>
  <Override PartName="/xl/media/image534.png" ContentType="image/png"/>
  <Override PartName="/xl/media/image538.png" ContentType="image/png"/>
  <Override PartName="/xl/media/image403.png" ContentType="image/png"/>
  <Override PartName="/xl/media/image540.png" ContentType="image/png"/>
  <Override PartName="/xl/media/image400.png" ContentType="image/png"/>
  <Override PartName="/xl/media/image519.png" ContentType="image/png"/>
  <Override PartName="/xl/media/image363.png" ContentType="image/png"/>
  <Override PartName="/xl/media/image518.png" ContentType="image/png"/>
  <Override PartName="/xl/media/image373.png" ContentType="image/png"/>
  <Override PartName="/xl/media/image366.png" ContentType="image/png"/>
  <Override PartName="/xl/media/image365.png" ContentType="image/png"/>
  <Override PartName="/xl/media/image362.png" ContentType="image/png"/>
  <Override PartName="/xl/media/image507.png" ContentType="image/png"/>
  <Override PartName="/xl/media/image361.png" ContentType="image/png"/>
  <Override PartName="/xl/media/image360.png" ContentType="image/png"/>
  <Override PartName="/xl/media/image485.png" ContentType="image/png"/>
  <Override PartName="/xl/media/image348.png" ContentType="image/png"/>
  <Override PartName="/xl/media/image510.png" ContentType="image/png"/>
  <Override PartName="/xl/media/image381.png" ContentType="image/png"/>
  <Override PartName="/xl/media/image547.png" ContentType="image/png"/>
  <Override PartName="/xl/media/image352.png" ContentType="image/png"/>
  <Override PartName="/xl/media/image351.png" ContentType="image/png"/>
  <Override PartName="/xl/media/image405.png" ContentType="image/png"/>
  <Override PartName="/xl/media/image542.png" ContentType="image/png"/>
  <Override PartName="/xl/media/image335.png" ContentType="image/png"/>
  <Override PartName="/xl/media/image472.png" ContentType="image/png"/>
  <Override PartName="/xl/media/image297.png" ContentType="image/png"/>
  <Override PartName="/xl/media/image410.png" ContentType="image/png"/>
  <Override PartName="/xl/media/image411.png" ContentType="image/png"/>
  <Override PartName="/xl/media/image412.png" ContentType="image/png"/>
  <Override PartName="/xl/media/image480.png" ContentType="image/png"/>
  <Override PartName="/xl/media/image343.png" ContentType="image/png"/>
  <Override PartName="/xl/media/image550.png" ContentType="image/png"/>
  <Override PartName="/xl/media/image413.png" ContentType="image/png"/>
  <Override PartName="/xl/media/image481.png" ContentType="image/png"/>
  <Override PartName="/xl/media/image344.png" ContentType="image/png"/>
  <Override PartName="/xl/media/image551.png" ContentType="image/png"/>
  <Override PartName="/xl/media/image414.png" ContentType="image/png"/>
  <Override PartName="/xl/media/image482.png" ContentType="image/png"/>
  <Override PartName="/xl/media/image345.png" ContentType="image/png"/>
  <Override PartName="/xl/media/image382.png" ContentType="image/png"/>
  <Override PartName="/xl/media/image548.png" ContentType="image/png"/>
  <Override PartName="/xl/media/image420.png" ContentType="image/png"/>
  <Override PartName="/xl/media/image383.png" ContentType="image/png"/>
  <Override PartName="/xl/media/image549.png" ContentType="image/png"/>
  <Override PartName="/xl/media/image421.png" ContentType="image/png"/>
  <Override PartName="/xl/media/image384.png" ContentType="image/png"/>
  <Override PartName="/xl/media/image422.png" ContentType="image/png"/>
  <Override PartName="/xl/media/image490.png" ContentType="image/png"/>
  <Override PartName="/xl/media/image353.png" ContentType="image/png"/>
  <Override PartName="/xl/media/image385.png" ContentType="image/png"/>
  <Override PartName="/xl/media/image423.png" ContentType="image/png"/>
  <Override PartName="/xl/media/image491.png" ContentType="image/png"/>
  <Override PartName="/xl/media/image354.png" ContentType="image/png"/>
  <Override PartName="/xl/media/image386.png" ContentType="image/png"/>
  <Override PartName="/xl/media/image424.png" ContentType="image/png"/>
  <Override PartName="/xl/media/image492.png" ContentType="image/png"/>
  <Override PartName="/xl/media/image355.png" ContentType="image/png"/>
  <Override PartName="/xl/media/image387.png" ContentType="image/png"/>
  <Override PartName="/xl/media/image425.png" ContentType="image/png"/>
  <Override PartName="/xl/media/image493.png" ContentType="image/png"/>
  <Override PartName="/xl/media/image356.png" ContentType="image/png"/>
  <Override PartName="/xl/media/image388.png" ContentType="image/png"/>
  <Override PartName="/xl/media/image426.png" ContentType="image/png"/>
  <Override PartName="/xl/media/image494.png" ContentType="image/png"/>
  <Override PartName="/xl/media/image357.png" ContentType="image/png"/>
  <Override PartName="/xl/media/image389.png" ContentType="image/png"/>
  <Override PartName="/xl/media/image427.png" ContentType="image/png"/>
  <Override PartName="/xl/media/image495.png" ContentType="image/png"/>
  <Override PartName="/xl/media/image358.png" ContentType="image/png"/>
  <Override PartName="/xl/media/image428.png" ContentType="image/png"/>
  <Override PartName="/xl/media/image359.png" ContentType="image/png"/>
  <Override PartName="/xl/media/image496.png" ContentType="image/png"/>
  <Override PartName="/xl/media/image429.png" ContentType="image/png"/>
  <Override PartName="/xl/media/image497.png" ContentType="image/png"/>
  <Override PartName="/xl/media/image392.png" ContentType="image/png"/>
  <Override PartName="/xl/media/image430.png" ContentType="image/png"/>
  <Override PartName="/xl/media/image393.png" ContentType="image/png"/>
  <Override PartName="/xl/media/image431.png" ContentType="image/png"/>
  <Override PartName="/xl/media/image394.png" ContentType="image/png"/>
  <Override PartName="/xl/media/image432.png" ContentType="image/png"/>
  <Override PartName="/xl/media/image395.png" ContentType="image/png"/>
  <Override PartName="/xl/media/image433.png" ContentType="image/png"/>
  <Override PartName="/xl/media/image396.png" ContentType="image/png"/>
  <Override PartName="/xl/media/image434.png" ContentType="image/png"/>
  <Override PartName="/xl/media/image397.png" ContentType="image/png"/>
  <Override PartName="/xl/media/image435.png" ContentType="image/png"/>
  <Override PartName="/xl/media/image398.png" ContentType="image/png"/>
  <Override PartName="/xl/media/image436.png" ContentType="image/png"/>
  <Override PartName="/xl/media/image399.png" ContentType="image/png"/>
  <Override PartName="/xl/media/image437.png" ContentType="image/png"/>
  <Override PartName="/xl/media/image438.png" ContentType="image/png"/>
  <Override PartName="/xl/media/image439.png" ContentType="image/png"/>
  <Override PartName="/xl/media/image303.png" ContentType="image/png"/>
  <Override PartName="/xl/media/image440.png" ContentType="image/png"/>
  <Override PartName="/xl/media/image304.png" ContentType="image/png"/>
  <Override PartName="/xl/media/image441.png" ContentType="image/png"/>
  <Override PartName="/xl/media/image305.png" ContentType="image/png"/>
  <Override PartName="/xl/media/image442.png" ContentType="image/png"/>
  <Override PartName="/xl/media/image306.png" ContentType="image/png"/>
  <Override PartName="/xl/media/image443.png" ContentType="image/png"/>
  <Override PartName="/xl/media/image307.png" ContentType="image/png"/>
  <Override PartName="/xl/media/image444.png" ContentType="image/png"/>
  <Override PartName="/xl/media/image308.png" ContentType="image/png"/>
  <Override PartName="/xl/media/image445.png" ContentType="image/png"/>
  <Override PartName="/xl/media/image309.png" ContentType="image/png"/>
  <Override PartName="/xl/media/image446.png" ContentType="image/png"/>
  <Override PartName="/xl/media/image447.png" ContentType="image/png"/>
  <Override PartName="/xl/media/image448.png" ContentType="image/png"/>
  <Override PartName="/xl/media/image449.png" ContentType="image/png"/>
  <Override PartName="/xl/media/image313.png" ContentType="image/png"/>
  <Override PartName="/xl/media/image450.png" ContentType="image/png"/>
  <Override PartName="/xl/media/image314.png" ContentType="image/png"/>
  <Override PartName="/xl/media/image451.png" ContentType="image/png"/>
  <Override PartName="/xl/media/image277.png" ContentType="image/png"/>
  <Override PartName="/xl/media/image315.png" ContentType="image/png"/>
  <Override PartName="/xl/media/image452.png" ContentType="image/png"/>
  <Override PartName="/xl/media/image278.png" ContentType="image/png"/>
  <Override PartName="/xl/media/image316.png" ContentType="image/png"/>
  <Override PartName="/xl/media/image453.png" ContentType="image/png"/>
  <Override PartName="/xl/media/image279.png" ContentType="image/png"/>
  <Override PartName="/xl/media/image317.png" ContentType="image/png"/>
  <Override PartName="/xl/media/image454.png" ContentType="image/png"/>
  <Override PartName="/xl/media/image318.png" ContentType="image/png"/>
  <Override PartName="/xl/media/image455.png" ContentType="image/png"/>
  <Override PartName="/xl/media/image319.png" ContentType="image/png"/>
  <Override PartName="/xl/media/image456.png" ContentType="image/png"/>
  <Override PartName="/xl/media/image457.png" ContentType="image/png"/>
  <Override PartName="/xl/media/image458.png" ContentType="image/png"/>
  <Override PartName="/xl/media/image459.png" ContentType="image/png"/>
  <Override PartName="/xl/media/image285.png" ContentType="image/png"/>
  <Override PartName="/xl/media/image323.png" ContentType="image/png"/>
  <Override PartName="/xl/media/image460.png" ContentType="image/png"/>
  <Override PartName="/xl/media/image286.png" ContentType="image/png"/>
  <Override PartName="/xl/media/image324.png" ContentType="image/png"/>
  <Override PartName="/xl/media/image461.png" ContentType="image/png"/>
  <Override PartName="/xl/media/image325.png" ContentType="image/png"/>
  <Override PartName="/xl/media/image287.png" ContentType="image/png"/>
  <Override PartName="/xl/media/image462.png" ContentType="image/png"/>
  <Override PartName="/xl/media/image326.png" ContentType="image/png"/>
  <Override PartName="/xl/media/image288.png" ContentType="image/png"/>
  <Override PartName="/xl/media/image463.png" ContentType="image/png"/>
  <Override PartName="/xl/media/image327.png" ContentType="image/png"/>
  <Override PartName="/xl/media/image289.png" ContentType="image/png"/>
  <Override PartName="/xl/media/image464.png" ContentType="image/png"/>
  <Override PartName="/xl/media/image328.png" ContentType="image/png"/>
  <Override PartName="/xl/media/image465.png" ContentType="image/png"/>
  <Override PartName="/xl/media/image329.png" ContentType="image/png"/>
  <Override PartName="/xl/media/image466.png" ContentType="image/png"/>
  <Override PartName="/xl/media/image467.png" ContentType="image/png"/>
  <Override PartName="/xl/media/image468.png" ContentType="image/png"/>
  <Override PartName="/xl/media/image469.png" ContentType="image/png"/>
  <Override PartName="/xl/media/image498.png" ContentType="image/png"/>
  <Override PartName="/xl/media/image499.png" ContentType="image/png"/>
  <Override PartName="/xl/media/image501.png" ContentType="image/png"/>
  <Override PartName="/xl/worksheets/_rels/sheet16.xml.rels" ContentType="application/vnd.openxmlformats-package.relationships+xml"/>
  <Override PartName="/xl/worksheets/_rels/sheet9.xml.rels" ContentType="application/vnd.openxmlformats-package.relationships+xml"/>
  <Override PartName="/xl/worksheets/_rels/sheet15.xml.rels" ContentType="application/vnd.openxmlformats-package.relationships+xml"/>
  <Override PartName="/xl/worksheets/_rels/sheet12.xml.rels" ContentType="application/vnd.openxmlformats-package.relationships+xml"/>
  <Override PartName="/xl/worksheets/_rels/sheet5.xml.rels" ContentType="application/vnd.openxmlformats-package.relationships+xml"/>
  <Override PartName="/xl/worksheets/_rels/sheet8.xml.rels" ContentType="application/vnd.openxmlformats-package.relationships+xml"/>
  <Override PartName="/xl/worksheets/_rels/sheet1.xml.rels" ContentType="application/vnd.openxmlformats-package.relationships+xml"/>
  <Override PartName="/xl/worksheets/_rels/sheet7.xml.rels" ContentType="application/vnd.openxmlformats-package.relationships+xml"/>
  <Override PartName="/xl/worksheets/_rels/sheet2.xml.rels" ContentType="application/vnd.openxmlformats-package.relationships+xml"/>
  <Override PartName="/xl/worksheets/_rels/sheet1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4.xml" ContentType="application/vnd.openxmlformats-officedocument.spreadsheetml.worksheet+xml"/>
  <Override PartName="/xl/worksheets/sheet13.xml" ContentType="application/vnd.openxmlformats-officedocument.spreadsheetml.worksheet+xml"/>
  <Override PartName="/xl/comments3.xml" ContentType="application/vnd.openxmlformats-officedocument.spreadsheetml.comments+xml"/>
  <Override PartName="/xl/comments1.xml" ContentType="application/vnd.openxmlformats-officedocument.spreadsheetml.comments+xml"/>
  <Override PartName="/xl/comments2.xml" ContentType="application/vnd.openxmlformats-officedocument.spreadsheetml.comments+xml"/>
  <Override PartName="/xl/comments12.xml" ContentType="application/vnd.openxmlformats-officedocument.spreadsheetml.comments+xml"/>
  <Override PartName="/xl/comments7.xml" ContentType="application/vnd.openxmlformats-officedocument.spreadsheetml.comments+xml"/>
  <Override PartName="/xl/drawings/_rels/drawing5.xml.rels" ContentType="application/vnd.openxmlformats-package.relationships+xml"/>
  <Override PartName="/xl/drawings/_rels/drawing6.xml.rels" ContentType="application/vnd.openxmlformats-package.relationships+xml"/>
  <Override PartName="/xl/drawings/vmlDrawing8.vml" ContentType="application/vnd.openxmlformats-officedocument.vmlDrawing"/>
  <Override PartName="/xl/drawings/vmlDrawing1.vml" ContentType="application/vnd.openxmlformats-officedocument.vmlDrawing"/>
  <Override PartName="/xl/drawings/vmlDrawing7.vml" ContentType="application/vnd.openxmlformats-officedocument.vmlDrawing"/>
  <Override PartName="/xl/drawings/drawing6.xml" ContentType="application/vnd.openxmlformats-officedocument.drawing+xml"/>
  <Override PartName="/xl/drawings/drawing1.xml" ContentType="application/vnd.openxmlformats-officedocument.drawing+xml"/>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vmlDrawing4.vml" ContentType="application/vnd.openxmlformats-officedocument.vmlDrawing"/>
  <Override PartName="/xl/drawings/drawing3.xml" ContentType="application/vnd.openxmlformats-officedocument.drawing+xml"/>
  <Override PartName="/xl/drawings/vmlDrawing5.vml" ContentType="application/vnd.openxmlformats-officedocument.vmlDrawing"/>
  <Override PartName="/xl/drawings/drawing4.xml" ContentType="application/vnd.openxmlformats-officedocument.drawing+xml"/>
  <Override PartName="/xl/drawings/drawing5.xml" ContentType="application/vnd.openxmlformats-officedocument.drawing+xml"/>
  <Override PartName="/xl/drawings/vmlDrawing6.vml" ContentType="application/vnd.openxmlformats-officedocument.vmlDrawing"/>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Parent Search" sheetId="1" state="visible" r:id="rId2"/>
    <sheet name="IV CALC" sheetId="2" state="visible" r:id="rId3"/>
    <sheet name="Pal Stats" sheetId="3" state="visible" r:id="rId4"/>
    <sheet name="Breeding Calculator" sheetId="4" state="visible" r:id="rId5"/>
    <sheet name="All Combos" sheetId="5" state="visible" r:id="rId6"/>
    <sheet name="Unique Combos" sheetId="6" state="visible" r:id="rId7"/>
    <sheet name="Visual Data" sheetId="7" state="visible" r:id="rId8"/>
    <sheet name="Partner Skills" sheetId="8" state="visible" r:id="rId9"/>
    <sheet name="Gender Odds" sheetId="9" state="visible" r:id="rId10"/>
    <sheet name="UniqueData" sheetId="10" state="hidden" r:id="rId11"/>
    <sheet name="Data" sheetId="11" state="hidden" r:id="rId12"/>
    <sheet name="Image Import" sheetId="12" state="hidden" r:id="rId13"/>
    <sheet name="Tower Boss Breeding" sheetId="13" state="visible" r:id="rId14"/>
    <sheet name="ReverseSearchData" sheetId="14" state="hidden" r:id="rId15"/>
    <sheet name="PalData" sheetId="15" state="hidden" r:id="rId16"/>
    <sheet name="SkillData" sheetId="16" state="hidden" r:id="rId17"/>
    <sheet name="PalPassiveData" sheetId="17" state="hidden" r:id="rId18"/>
    <sheet name="Set Passives" sheetId="18" state="hidden" r:id="rId19"/>
  </sheets>
  <definedNames>
    <definedName function="false" hidden="true" localSheetId="10" name="_xlnm._FilterDatabase" vbProcedure="false">Data!$A$2:$B$140</definedName>
    <definedName function="false" hidden="true" localSheetId="2" name="_xlnm._FilterDatabase" vbProcedure="false">'Pal Stats'!$A$2:$AH$140</definedName>
    <definedName function="false" hidden="true" localSheetId="0" name="_xlnm._FilterDatabase" vbProcedure="false">'Parent Search'!$Q$5:$U$143</definedName>
    <definedName function="false" hidden="true" localSheetId="7" name="_xlnm._FilterDatabase" vbProcedure="false">'Partner Skills'!$A$3:$AK$141</definedName>
    <definedName function="false" hidden="false" name="Data_PalNames" vbProcedure="false">Data!$A$3:$A$140</definedName>
    <definedName function="false" hidden="false" name="PalData" vbProcedure="false">PalData!$A$1:$CZ$277</definedName>
    <definedName function="false" hidden="false" name="PalData_Header" vbProcedure="false">PalData!$A$1:$CZ$1</definedName>
    <definedName function="false" hidden="false" name="PalNames" vbProcedure="false">PalData!$A$2:$A$277</definedName>
    <definedName function="false" hidden="false" name="PalPassives" vbProcedure="false">PalPassiveData!$A$1:$J$67</definedName>
    <definedName function="false" hidden="false" name="PalPassives_Header" vbProcedure="false">PalPassiveData!$A$1:$J$1</definedName>
    <definedName function="false" hidden="false" name="PalPassives_Names" vbProcedure="false">PalPassiveData!$A$2:$A$67</definedName>
    <definedName function="false" hidden="false" name="PALUNIQUECOMBO" vbProcedure="false">lambda(parent1, parent2, OR(IF(COUNTIF(UniqueData!$L$2:$L$62, parent1 &amp;parent2)&gt;0, TRUE(), FALSE()),IF(COUNTIF(UniqueData!$M$2:$M$62, parent1 &amp;parent2)&gt;0, TRUE(), FALSE())))</definedName>
    <definedName function="false" hidden="false" name="PALUNIQUECOMBOCHILD" vbProcedure="false">lambda(parent1, parent2, IF(PALUNIQUECOMBO(parent1,parent2),IFERROR(INDEX(UniqueData!$E$2:$M$62,MATCH(parent1&amp;parent2,UniqueData!$L$2:$L$62,0),1),INDEX(UniqueData!$E$2:$M$62,MATCH(parent1&amp;parent2,UniqueData!$M$2:$M$62,0),1)),))</definedName>
    <definedName function="false" hidden="false" name="SkillData" vbProcedure="false">SkillData!$A$1:$AH$446</definedName>
    <definedName function="false" hidden="false" name="SkillDataCodeName" vbProcedure="false">SkillData!$B$2:$B$446</definedName>
    <definedName function="false" hidden="false" name="SkillData_Header" vbProcedure="false">SkillData!$A$1:$AH$1</definedName>
    <definedName function="false" hidden="false" name="SkillData_Names" vbProcedure="false">SkillData!$A$2:$A$446</definedName>
  </definedNames>
  <calcPr iterateCount="100" refMode="A1" iterate="false" iterateDelta="0.0001"/>
  <extLst>
    <ext xmlns:loext="http://schemas.libreoffice.org/" uri="{7626C862-2A13-11E5-B345-FEFF819CDC9F}">
      <loext:extCalcPr stringRefSyntax="CalcA1ExcelA1"/>
    </ext>
  </extLst>
</workbook>
</file>

<file path=xl/comments1.xml><?xml version="1.0" encoding="utf-8"?>
<comments xmlns="http://schemas.openxmlformats.org/spreadsheetml/2006/main" xmlns:xdr="http://schemas.openxmlformats.org/drawingml/2006/spreadsheetDrawing">
  <authors>
    <author> </author>
  </authors>
  <commentList>
    <comment ref="M10" authorId="0">
      <text>
        <r>
          <rPr>
            <sz val="10"/>
            <color rgb="FF000000"/>
            <rFont val="Arial"/>
            <family val="0"/>
            <charset val="1"/>
          </rPr>
          <t xml:space="preserve">Will only show possible parents for the selected child. Not all Pals will be in this list if there is no valid parent combo for your selected child.</t>
        </r>
      </text>
    </comment>
  </commentList>
</comments>
</file>

<file path=xl/comments2.xml><?xml version="1.0" encoding="utf-8"?>
<comments xmlns="http://schemas.openxmlformats.org/spreadsheetml/2006/main" xmlns:xdr="http://schemas.openxmlformats.org/drawingml/2006/spreadsheetDrawing">
  <authors>
    <author> </author>
  </authors>
  <commentList>
    <comment ref="B2" authorId="0">
      <text>
        <r>
          <rPr>
            <sz val="10"/>
            <color rgb="FF000000"/>
            <rFont val="Arial"/>
            <family val="0"/>
            <charset val="1"/>
          </rPr>
          <t xml:space="preserve">Only use this if your Pal actually has these bonuses in-game. </t>
        </r>
      </text>
    </comment>
    <comment ref="B11" authorId="0">
      <text>
        <r>
          <rPr>
            <sz val="10"/>
            <color rgb="FF000000"/>
            <rFont val="Arial"/>
            <family val="0"/>
            <charset val="1"/>
          </rPr>
          <t xml:space="preserve">Use this for any bonus that is not a Passive Skill, such as the Partner Skill group buffs (e.g., Hootcrates 10% attack buff, that also applies to itself).
Can also be used for the Swee/Beegarde buffs for Sweepa/Elizabeth.
Must be entered manually, not automated. </t>
        </r>
      </text>
    </comment>
    <comment ref="N24" authorId="0">
      <text>
        <r>
          <rPr>
            <sz val="10"/>
            <color rgb="FF000000"/>
            <rFont val="Arial"/>
            <family val="0"/>
            <charset val="1"/>
          </rPr>
          <t xml:space="preserve">The games uses a a hidden "Talent" integer between 0 and 100 to determine the IV scaling mutiplier. Use this converter to swap between them. </t>
        </r>
      </text>
    </comment>
    <comment ref="Y5" authorId="0">
      <text>
        <r>
          <rPr>
            <sz val="10"/>
            <color rgb="FF000000"/>
            <rFont val="Arial"/>
            <family val="0"/>
            <charset val="1"/>
          </rPr>
          <t xml:space="preserve">Same for all stats, formulas only uses HP row value</t>
        </r>
      </text>
    </comment>
    <comment ref="Y6" authorId="0">
      <text>
        <r>
          <rPr>
            <sz val="10"/>
            <color rgb="FF000000"/>
            <rFont val="Arial"/>
            <family val="0"/>
            <charset val="1"/>
          </rPr>
          <t xml:space="preserve">Same for all stats, formulas only uses HP row value</t>
        </r>
      </text>
    </comment>
  </commentList>
</comments>
</file>

<file path=xl/comments3.xml><?xml version="1.0" encoding="utf-8"?>
<comments xmlns="http://schemas.openxmlformats.org/spreadsheetml/2006/main" xmlns:xdr="http://schemas.openxmlformats.org/drawingml/2006/spreadsheetDrawing">
  <authors>
    <author> </author>
  </authors>
  <commentList>
    <comment ref="Z2" authorId="0">
      <text>
        <r>
          <rPr>
            <sz val="10"/>
            <color rgb="FF000000"/>
            <rFont val="Arial"/>
            <family val="0"/>
            <charset val="1"/>
          </rPr>
          <t xml:space="preserve">Base Price. Scaled up based on level, passive, etc. I'm not sure the exact method of scaling.</t>
        </r>
      </text>
    </comment>
  </commentList>
</comments>
</file>

<file path=xl/comments7.xml><?xml version="1.0" encoding="utf-8"?>
<comments xmlns="http://schemas.openxmlformats.org/spreadsheetml/2006/main" xmlns:xdr="http://schemas.openxmlformats.org/drawingml/2006/spreadsheetDrawing">
  <authors>
    <author> </author>
  </authors>
  <commentList>
    <comment ref="R1" authorId="0">
      <text>
        <r>
          <rPr>
            <sz val="10"/>
            <color rgb="FF000000"/>
            <rFont val="Arial"/>
            <family val="0"/>
            <charset val="1"/>
          </rPr>
          <t xml:space="preserve">In case of a power tie, the baby with the lowest order number is selected as the result.</t>
        </r>
      </text>
    </comment>
  </commentList>
</comments>
</file>

<file path=xl/comments8.xml><?xml version="1.0" encoding="utf-8"?>
<comments xmlns="http://schemas.openxmlformats.org/spreadsheetml/2006/main" xmlns:xdr="http://schemas.openxmlformats.org/drawingml/2006/spreadsheetDrawing">
  <authors>
    <author> </author>
  </authors>
  <commentList>
    <comment ref="B18" authorId="0">
      <text>
        <r>
          <rPr>
            <sz val="10"/>
            <color rgb="FF000000"/>
            <rFont val="Arial"/>
            <family val="0"/>
            <charset val="1"/>
          </rPr>
          <t xml:space="preserve">Might not be possible to breed. Need to test it.</t>
        </r>
      </text>
    </comment>
    <comment ref="U49" authorId="0">
      <text>
        <r>
          <rPr>
            <sz val="10"/>
            <color rgb="FF000000"/>
            <rFont val="Arial"/>
            <family val="0"/>
            <charset val="1"/>
          </rPr>
          <t xml:space="preserve">working at weapon workbench or weapon assembly I/II</t>
        </r>
      </text>
    </comment>
  </commentList>
</comments>
</file>

<file path=xl/comments12.xml><?xml version="1.0" encoding="utf-8"?>
<comments xmlns="http://schemas.openxmlformats.org/spreadsheetml/2006/main" xmlns:xdr="http://schemas.openxmlformats.org/drawingml/2006/spreadsheetDrawing">
  <authors>
    <author> </author>
  </authors>
  <commentList>
    <comment ref="A114" authorId="0">
      <text>
        <r>
          <rPr>
            <sz val="10"/>
            <color rgb="FF000000"/>
            <rFont val="Arial"/>
            <family val="0"/>
            <charset val="1"/>
          </rPr>
          <t xml:space="preserve">Might not be possible to breed. Need to test it.</t>
        </r>
      </text>
    </comment>
  </commentList>
</comments>
</file>

<file path=xl/comments15.xml><?xml version="1.0" encoding="utf-8"?>
<comments xmlns="http://schemas.openxmlformats.org/spreadsheetml/2006/main" xmlns:xdr="http://schemas.openxmlformats.org/drawingml/2006/spreadsheetDrawing">
  <authors>
    <author> </author>
  </authors>
  <commentList>
    <comment ref="A114" authorId="0">
      <text>
        <r>
          <rPr>
            <sz val="10"/>
            <color rgb="FF000000"/>
            <rFont val="Arial"/>
            <family val="0"/>
            <charset val="1"/>
          </rPr>
          <t xml:space="preserve">Might not be possible to breed. Need to test it.</t>
        </r>
      </text>
    </comment>
    <comment ref="J1" authorId="0">
      <text>
        <r>
          <rPr>
            <sz val="10"/>
            <color rgb="FF000000"/>
            <rFont val="Arial"/>
            <family val="0"/>
            <charset val="1"/>
          </rPr>
          <t xml:space="preserve">B = true</t>
        </r>
      </text>
    </comment>
    <comment ref="BT1" authorId="0">
      <text>
        <r>
          <rPr>
            <sz val="10"/>
            <color rgb="FF000000"/>
            <rFont val="Arial"/>
            <family val="0"/>
            <charset val="1"/>
          </rPr>
          <t xml:space="preserve">Always keep this sorted by Index Order until formula updated to check this col for tie-break order.</t>
        </r>
      </text>
    </comment>
    <comment ref="BZ9" authorId="0">
      <text>
        <r>
          <rPr>
            <sz val="10"/>
            <color rgb="FF000000"/>
            <rFont val="Arial"/>
            <family val="0"/>
            <charset val="1"/>
          </rPr>
          <t xml:space="preserve">Gloves in gamefile, removed because i believe it's a bug that it's listed and doesn't do anything anyways.</t>
        </r>
      </text>
    </comment>
    <comment ref="BZ13" authorId="0">
      <text>
        <r>
          <rPr>
            <sz val="10"/>
            <color rgb="FF000000"/>
            <rFont val="Arial"/>
            <family val="0"/>
            <charset val="1"/>
          </rPr>
          <t xml:space="preserve">Fly type, special interaction?</t>
        </r>
      </text>
    </comment>
    <comment ref="CA3" authorId="0">
      <text>
        <r>
          <rPr>
            <sz val="10"/>
            <color rgb="FF000000"/>
            <rFont val="Arial"/>
            <family val="0"/>
            <charset val="1"/>
          </rPr>
          <t xml:space="preserve">"ActiveSkill_MainValueByRank": [
        1.1,
        1.3,
        1.6,
        2.0,
        2.5</t>
        </r>
      </text>
    </comment>
    <comment ref="CA4" authorId="0">
      <text>
        <r>
          <rPr>
            <sz val="10"/>
            <color rgb="FF000000"/>
            <rFont val="Arial"/>
            <family val="0"/>
            <charset val="1"/>
          </rPr>
          <t xml:space="preserve">"ActiveSkill_MainValueByRank": [
        1.1,
        1.3,
        1.6,
        2.0,
        2.5</t>
        </r>
      </text>
    </comment>
    <comment ref="CA8" authorId="0">
      <text>
        <r>
          <rPr>
            <sz val="10"/>
            <color rgb="FF000000"/>
            <rFont val="Arial"/>
            <family val="0"/>
            <charset val="1"/>
          </rPr>
          <t xml:space="preserve">"ActiveSkill_MainValueByRank": [
        10.0,
        11.0,
        13.0,
        16.0,
        20.0
      ]</t>
        </r>
      </text>
    </comment>
    <comment ref="CA9" authorId="0">
      <text>
        <r>
          <rPr>
            <sz val="10"/>
            <color rgb="FF000000"/>
            <rFont val="Arial"/>
            <family val="0"/>
            <charset val="1"/>
          </rPr>
          <t xml:space="preserve">"ActiveSkill_MainValueByRank": [
        100.0,
        110.0,
        130.0,
        160.0,
        200.0
      ]</t>
        </r>
      </text>
    </comment>
    <comment ref="CA12" authorId="0">
      <text>
        <r>
          <rPr>
            <sz val="10"/>
            <color rgb="FF000000"/>
            <rFont val="Arial"/>
            <family val="0"/>
            <charset val="1"/>
          </rPr>
          <t xml:space="preserve">"ActiveSkill_MainValueByRank": [
        1.1,
        1.3,
        1.6,
        2.0,
        2.5
      ]</t>
        </r>
      </text>
    </comment>
    <comment ref="CA14" authorId="0">
      <text>
        <r>
          <rPr>
            <sz val="10"/>
            <color rgb="FF000000"/>
            <rFont val="Arial"/>
            <family val="0"/>
            <charset val="1"/>
          </rPr>
          <t xml:space="preserve">"ActiveSkill_MainValueByRank": [
        6.0,
        6.6,
        7.8,
        9.6,
        12.0
      ]
    }</t>
        </r>
      </text>
    </comment>
    <comment ref="CA15" authorId="0">
      <text>
        <r>
          <rPr>
            <sz val="10"/>
            <color rgb="FF000000"/>
            <rFont val="Arial"/>
            <family val="0"/>
            <charset val="1"/>
          </rPr>
          <t xml:space="preserve">"ActiveSkill_MainValueByRank": [
        200.0,
        220.0,
        260.0,
        320.0,
        400.0
      ]</t>
        </r>
      </text>
    </comment>
    <comment ref="CA18" authorId="0">
      <text>
        <r>
          <rPr>
            <sz val="10"/>
            <color rgb="FF000000"/>
            <rFont val="Arial"/>
            <family val="0"/>
            <charset val="1"/>
          </rPr>
          <t xml:space="preserve">"ActiveSkill_MainValueByRank": [
        100.0,
        110.0,
        130.0,
        160.0,
        200.0
      ]</t>
        </r>
      </text>
    </comment>
    <comment ref="CA19" authorId="0">
      <text>
        <r>
          <rPr>
            <sz val="10"/>
            <color rgb="FF000000"/>
            <rFont val="Arial"/>
            <family val="0"/>
            <charset val="1"/>
          </rPr>
          <t xml:space="preserve">"ActiveSkill_MainValueByRank": [
        100.0,
        110.0,
        130.0,
        160.0,
        200.0
      ]</t>
        </r>
      </text>
    </comment>
    <comment ref="CA21" authorId="0">
      <text>
        <r>
          <rPr>
            <sz val="10"/>
            <color rgb="FF000000"/>
            <rFont val="Arial"/>
            <family val="0"/>
            <charset val="1"/>
          </rPr>
          <t xml:space="preserve">"ActiveSkill_MainValueByRank": [
        10.0,
        11.0,
        13.0,
        16.0,
        20.0
      ]</t>
        </r>
      </text>
    </comment>
    <comment ref="CA24" authorId="0">
      <text>
        <r>
          <rPr>
            <sz val="10"/>
            <color rgb="FF000000"/>
            <rFont val="Arial"/>
            <family val="0"/>
            <charset val="1"/>
          </rPr>
          <t xml:space="preserve">"ActiveSkill_MainValueByRank": [
        250.0,
        285.0,
        325.0,
        400.0,
        500.0
      ]</t>
        </r>
      </text>
    </comment>
    <comment ref="CA25" authorId="0">
      <text>
        <r>
          <rPr>
            <sz val="10"/>
            <color rgb="FF000000"/>
            <rFont val="Arial"/>
            <family val="0"/>
            <charset val="1"/>
          </rPr>
          <t xml:space="preserve">"ActiveSkill_MainValueByRank": [
        1.0,
        1.1,
        1.3,
        1.6,
        2.0
      ]</t>
        </r>
      </text>
    </comment>
    <comment ref="CA26" authorId="0">
      <text>
        <r>
          <rPr>
            <sz val="10"/>
            <color rgb="FF000000"/>
            <rFont val="Arial"/>
            <family val="0"/>
            <charset val="1"/>
          </rPr>
          <t xml:space="preserve">"ActiveSkill_MainValueByRank": [
        1.1,
        1.3,
        1.6,
        2.0,
        2.5
      ]</t>
        </r>
      </text>
    </comment>
    <comment ref="CA27" authorId="0">
      <text>
        <r>
          <rPr>
            <sz val="10"/>
            <color rgb="FF000000"/>
            <rFont val="Arial"/>
            <family val="0"/>
            <charset val="1"/>
          </rPr>
          <t xml:space="preserve">"ActiveSkill_MainValueByRank": [
        1.1,
        1.3,
        1.6,
        2.0,
        2.5
      ]</t>
        </r>
      </text>
    </comment>
    <comment ref="CA31" authorId="0">
      <text>
        <r>
          <rPr>
            <sz val="10"/>
            <color rgb="FF000000"/>
            <rFont val="Arial"/>
            <family val="0"/>
            <charset val="1"/>
          </rPr>
          <t xml:space="preserve">"ActiveSkill_MainValueByRank": [
        1.1,
        1.3,
        1.6,
        2.0,
        2.5
      ]</t>
        </r>
      </text>
    </comment>
    <comment ref="CA45" authorId="0">
      <text>
        <r>
          <rPr>
            <sz val="10"/>
            <color rgb="FF000000"/>
            <rFont val="Arial"/>
            <family val="0"/>
            <charset val="1"/>
          </rPr>
          <t xml:space="preserve">"ActiveSkill_MainValueByRank": [
        1.1,
        1.3,
        1.6,
        2.0,
        2.5
      ]</t>
        </r>
      </text>
    </comment>
    <comment ref="CA48" authorId="0">
      <text>
        <r>
          <rPr>
            <sz val="10"/>
            <color rgb="FF000000"/>
            <rFont val="Arial"/>
            <family val="0"/>
            <charset val="1"/>
          </rPr>
          <t xml:space="preserve">"SpeedMultiplier": [
        2.0,
        3.0,
        5.0,
        10.0
      ],
      "AccelerationMultiplier": [
        2.0,
        3.0,
        5.0,
        10.0
      ],</t>
        </r>
      </text>
    </comment>
    <comment ref="CA55" authorId="0">
      <text>
        <r>
          <rPr>
            <sz val="10"/>
            <color rgb="FF000000"/>
            <rFont val="Arial"/>
            <family val="0"/>
            <charset val="1"/>
          </rPr>
          <t xml:space="preserve">"ActiveSkill_MainValueByRank": [
        10.0,
        11.0,
        13.0,
        16.0,
        20.0
      ]</t>
        </r>
      </text>
    </comment>
    <comment ref="CA56" authorId="0">
      <text>
        <r>
          <rPr>
            <sz val="10"/>
            <color rgb="FF000000"/>
            <rFont val="Arial"/>
            <family val="0"/>
            <charset val="1"/>
          </rPr>
          <t xml:space="preserve">"ActiveSkill_MainValueByRank": [
        10.0,
        11.0,
        13.0,
        16.0,
        20.0
      ]</t>
        </r>
      </text>
    </comment>
    <comment ref="CA60" authorId="0">
      <text>
        <r>
          <rPr>
            <sz val="10"/>
            <color rgb="FF000000"/>
            <rFont val="Arial"/>
            <family val="0"/>
            <charset val="1"/>
          </rPr>
          <t xml:space="preserve">"ActiveSkill_MainValueByRank": [
        1.0,
        1.1,
        1.3,
        1.6,
        2.0
      ]</t>
        </r>
      </text>
    </comment>
    <comment ref="CA79" authorId="0">
      <text>
        <r>
          <rPr>
            <sz val="10"/>
            <color rgb="FF000000"/>
            <rFont val="Arial"/>
            <family val="0"/>
            <charset val="1"/>
          </rPr>
          <t xml:space="preserve">"ActiveSkill_MainValueByRank": [
        1.1,
        1.3,
        1.6,
        2.0,
        2.5
      ]</t>
        </r>
      </text>
    </comment>
    <comment ref="CA93" authorId="0">
      <text>
        <r>
          <rPr>
            <sz val="10"/>
            <color rgb="FF000000"/>
            <rFont val="Arial"/>
            <family val="0"/>
            <charset val="1"/>
          </rPr>
          <t xml:space="preserve">"ActiveSkill_MainValueByRank": [
        1000.0,
        1100.0,
        1300.0,
        1600.0,
        2000.0
      ]</t>
        </r>
      </text>
    </comment>
    <comment ref="CA94" authorId="0">
      <text>
        <r>
          <rPr>
            <sz val="10"/>
            <color rgb="FF000000"/>
            <rFont val="Arial"/>
            <family val="0"/>
            <charset val="1"/>
          </rPr>
          <t xml:space="preserve">"ActiveSkill_MainValueByRank": [
        1000.0,
        1100.0,
        1300.0,
        1600.0,
        2000.0
      ]</t>
        </r>
      </text>
    </comment>
    <comment ref="CA97" authorId="0">
      <text>
        <r>
          <rPr>
            <sz val="10"/>
            <color rgb="FF000000"/>
            <rFont val="Arial"/>
            <family val="0"/>
            <charset val="1"/>
          </rPr>
          <t xml:space="preserve">"SearchRangeMaxByRank": [
        0.0,
        10000.0,
        11000.0,
        13000.0,
        16000.0,
        20000.0,
        25000.0
      ],
      "ExtendRangePerSecByRank": [
        0.0,
        3000.0,
        3500.0,
        4000.0,
        4500.0,
        5000.0,
        5500.0
      ]</t>
        </r>
      </text>
    </comment>
    <comment ref="CA98" authorId="0">
      <text>
        <r>
          <rPr>
            <sz val="10"/>
            <color rgb="FF000000"/>
            <rFont val="Arial"/>
            <family val="0"/>
            <charset val="1"/>
          </rPr>
          <t xml:space="preserve">"ActiveSkill_MainValueByRank": [
        30.0,
        33.0,
        39.0,
        48.0,
        60.0
      ]</t>
        </r>
      </text>
    </comment>
    <comment ref="CA99" authorId="0">
      <text>
        <r>
          <rPr>
            <sz val="10"/>
            <color rgb="FF000000"/>
            <rFont val="Arial"/>
            <family val="0"/>
            <charset val="1"/>
          </rPr>
          <t xml:space="preserve">"ActiveSkill_MainValueByRank": [
        30.0,
        33.0,
        39.0,
        48.0,
        60.0
      ]</t>
        </r>
      </text>
    </comment>
    <comment ref="CA106" authorId="0">
      <text>
        <r>
          <rPr>
            <sz val="10"/>
            <color rgb="FF000000"/>
            <rFont val="Arial"/>
            <family val="0"/>
            <charset val="1"/>
          </rPr>
          <t xml:space="preserve">"ActiveSkill_MainValueByRank": [
        13.0,
        14.3,
        16.9,
        20.9,
        26.0
      ]</t>
        </r>
      </text>
    </comment>
    <comment ref="CA107" authorId="0">
      <text>
        <r>
          <rPr>
            <sz val="10"/>
            <color rgb="FF000000"/>
            <rFont val="Arial"/>
            <family val="0"/>
            <charset val="1"/>
          </rPr>
          <t xml:space="preserve">"ActiveSkill_MainValueByRank": [
        1.0,
        1.1,
        1.3,
        1.6,
        2.0
      ]</t>
        </r>
      </text>
    </comment>
    <comment ref="CA108" authorId="0">
      <text>
        <r>
          <rPr>
            <sz val="10"/>
            <color rgb="FF000000"/>
            <rFont val="Arial"/>
            <family val="0"/>
            <charset val="1"/>
          </rPr>
          <t xml:space="preserve">"ActiveSkill_MainValueByRank": [
        20.0,
        22.0,
        26.0,
        32.0,
        40.0
      ]</t>
        </r>
      </text>
    </comment>
    <comment ref="CA123" authorId="0">
      <text>
        <r>
          <rPr>
            <sz val="10"/>
            <color rgb="FF000000"/>
            <rFont val="Arial"/>
            <family val="0"/>
            <charset val="1"/>
          </rPr>
          <t xml:space="preserve">Has skill scaling but no attached active skill:
      "ActiveSkill_MainValueByRank": [
        1.5,
        2.0,
        2.5,
        3.0
      ]</t>
        </r>
      </text>
    </comment>
    <comment ref="CA128" authorId="0">
      <text>
        <r>
          <rPr>
            <sz val="10"/>
            <color rgb="FF000000"/>
            <rFont val="Arial"/>
            <family val="0"/>
            <charset val="1"/>
          </rPr>
          <t xml:space="preserve">"ActiveSkill_MainValueByRank": [
        1.1,
        1.3,
        1.6,
        2.0,
        2.5
      ]</t>
        </r>
      </text>
    </comment>
    <comment ref="CA131" authorId="0">
      <text>
        <r>
          <rPr>
            <sz val="10"/>
            <color rgb="FF000000"/>
            <rFont val="Arial"/>
            <family val="0"/>
            <charset val="1"/>
          </rPr>
          <t xml:space="preserve">"ActiveSkill_MainValueByRank": [
        400.0,
        440.0,
        520.0,
        640.0,
        800.0
      ]</t>
        </r>
      </text>
    </comment>
    <comment ref="CA133" authorId="0">
      <text>
        <r>
          <rPr>
            <sz val="10"/>
            <color rgb="FF000000"/>
            <rFont val="Arial"/>
            <family val="0"/>
            <charset val="1"/>
          </rPr>
          <t xml:space="preserve">"ActiveSkill_MainValueByRank": [
        1.1,
        1.3,
        1.6,
        2.0,
        2.5
      ]</t>
        </r>
      </text>
    </comment>
    <comment ref="CH13" authorId="0">
      <text>
        <r>
          <rPr>
            <sz val="10"/>
            <color rgb="FF000000"/>
            <rFont val="Arial"/>
            <family val="0"/>
            <charset val="1"/>
          </rPr>
          <t xml:space="preserve">Shows as Fly but gloves give glid hang, so perhaps eagle is special glidding over water.</t>
        </r>
      </text>
    </comment>
    <comment ref="CH44" authorId="0">
      <text>
        <r>
          <rPr>
            <sz val="10"/>
            <color rgb="FF000000"/>
            <rFont val="Arial"/>
            <family val="0"/>
            <charset val="1"/>
          </rPr>
          <t xml:space="preserve">Ground Only</t>
        </r>
      </text>
    </comment>
    <comment ref="CI118" authorId="0">
      <text>
        <r>
          <rPr>
            <sz val="10"/>
            <color rgb="FF000000"/>
            <rFont val="Arial"/>
            <family val="0"/>
            <charset val="1"/>
          </rPr>
          <t xml:space="preserve">In base?</t>
        </r>
      </text>
    </comment>
    <comment ref="CJ2" authorId="0">
      <text>
        <r>
          <rPr>
            <sz val="10"/>
            <color rgb="FF000000"/>
            <rFont val="Arial"/>
            <family val="0"/>
            <charset val="1"/>
          </rPr>
          <t xml:space="preserve">"TriggerTypeFlags": 4,</t>
        </r>
      </text>
    </comment>
    <comment ref="CJ28" authorId="0">
      <text>
        <r>
          <rPr>
            <sz val="10"/>
            <color rgb="FF000000"/>
            <rFont val="Arial"/>
            <family val="0"/>
            <charset val="1"/>
          </rPr>
          <t xml:space="preserve">Only one rank, so might be bugged and is lost on rank ups or it shows that the game stacks each rank together instead of replacing earlier ranks.</t>
        </r>
      </text>
    </comment>
    <comment ref="CJ37" authorId="0">
      <text>
        <r>
          <rPr>
            <sz val="10"/>
            <color rgb="FF000000"/>
            <rFont val="Arial"/>
            <family val="0"/>
            <charset val="1"/>
          </rPr>
          <t xml:space="preserve">mounted, 4</t>
        </r>
      </text>
    </comment>
    <comment ref="CJ52" authorId="0">
      <text>
        <r>
          <rPr>
            <sz val="10"/>
            <color rgb="FF000000"/>
            <rFont val="Arial"/>
            <family val="0"/>
            <charset val="1"/>
          </rPr>
          <t xml:space="preserve">mounted, 4</t>
        </r>
      </text>
    </comment>
    <comment ref="CJ81" authorId="0">
      <text>
        <r>
          <rPr>
            <sz val="10"/>
            <color rgb="FF000000"/>
            <rFont val="Arial"/>
            <family val="0"/>
            <charset val="1"/>
          </rPr>
          <t xml:space="preserve">mounted, 4</t>
        </r>
      </text>
    </comment>
    <comment ref="CJ104" authorId="0">
      <text>
        <r>
          <rPr>
            <sz val="10"/>
            <color rgb="FF000000"/>
            <rFont val="Arial"/>
            <family val="0"/>
            <charset val="1"/>
          </rPr>
          <t xml:space="preserve">mounted, 4</t>
        </r>
      </text>
    </comment>
    <comment ref="CJ118" authorId="0">
      <text>
        <r>
          <rPr>
            <sz val="10"/>
            <color rgb="FF000000"/>
            <rFont val="Arial"/>
            <family val="0"/>
            <charset val="1"/>
          </rPr>
          <t xml:space="preserve">"MapObjectId": [
                  {
                    "Key": "WeaponFactory_Dirty_01"
                  },
                  {
                    "Key": "WeaponFactory_Dirty_02"
                  },
                  {
                    "Key": "WeaponFactory_Dirty_03"
                  }
                ],</t>
        </r>
      </text>
    </comment>
    <comment ref="CK2" authorId="0">
      <text>
        <r>
          <rPr>
            <sz val="10"/>
            <color rgb="FF000000"/>
            <rFont val="Arial"/>
            <family val="0"/>
            <charset val="1"/>
          </rPr>
          <t xml:space="preserve">"TriggerTypeFlags": 4,</t>
        </r>
      </text>
    </comment>
    <comment ref="CK37" authorId="0">
      <text>
        <r>
          <rPr>
            <sz val="10"/>
            <color rgb="FF000000"/>
            <rFont val="Arial"/>
            <family val="0"/>
            <charset val="1"/>
          </rPr>
          <t xml:space="preserve">mounted, 4</t>
        </r>
      </text>
    </comment>
    <comment ref="CK52" authorId="0">
      <text>
        <r>
          <rPr>
            <sz val="10"/>
            <color rgb="FF000000"/>
            <rFont val="Arial"/>
            <family val="0"/>
            <charset val="1"/>
          </rPr>
          <t xml:space="preserve">mounted, 4</t>
        </r>
      </text>
    </comment>
    <comment ref="CK81" authorId="0">
      <text>
        <r>
          <rPr>
            <sz val="10"/>
            <color rgb="FF000000"/>
            <rFont val="Arial"/>
            <family val="0"/>
            <charset val="1"/>
          </rPr>
          <t xml:space="preserve">mounted, 4</t>
        </r>
      </text>
    </comment>
    <comment ref="CK104" authorId="0">
      <text>
        <r>
          <rPr>
            <sz val="10"/>
            <color rgb="FF000000"/>
            <rFont val="Arial"/>
            <family val="0"/>
            <charset val="1"/>
          </rPr>
          <t xml:space="preserve">mounted, 4</t>
        </r>
      </text>
    </comment>
    <comment ref="CL2" authorId="0">
      <text>
        <r>
          <rPr>
            <sz val="10"/>
            <color rgb="FF000000"/>
            <rFont val="Arial"/>
            <family val="0"/>
            <charset val="1"/>
          </rPr>
          <t xml:space="preserve">"TriggerTypeFlags": 4,</t>
        </r>
      </text>
    </comment>
    <comment ref="CL37" authorId="0">
      <text>
        <r>
          <rPr>
            <sz val="10"/>
            <color rgb="FF000000"/>
            <rFont val="Arial"/>
            <family val="0"/>
            <charset val="1"/>
          </rPr>
          <t xml:space="preserve">mounted, 4</t>
        </r>
      </text>
    </comment>
    <comment ref="CL52" authorId="0">
      <text>
        <r>
          <rPr>
            <sz val="10"/>
            <color rgb="FF000000"/>
            <rFont val="Arial"/>
            <family val="0"/>
            <charset val="1"/>
          </rPr>
          <t xml:space="preserve">mounted, 4</t>
        </r>
      </text>
    </comment>
    <comment ref="CL81" authorId="0">
      <text>
        <r>
          <rPr>
            <sz val="10"/>
            <color rgb="FF000000"/>
            <rFont val="Arial"/>
            <family val="0"/>
            <charset val="1"/>
          </rPr>
          <t xml:space="preserve">mounted, 4</t>
        </r>
      </text>
    </comment>
    <comment ref="CL104" authorId="0">
      <text>
        <r>
          <rPr>
            <sz val="10"/>
            <color rgb="FF000000"/>
            <rFont val="Arial"/>
            <family val="0"/>
            <charset val="1"/>
          </rPr>
          <t xml:space="preserve">mounted, 4</t>
        </r>
      </text>
    </comment>
    <comment ref="CM2" authorId="0">
      <text>
        <r>
          <rPr>
            <sz val="10"/>
            <color rgb="FF000000"/>
            <rFont val="Arial"/>
            <family val="0"/>
            <charset val="1"/>
          </rPr>
          <t xml:space="preserve">"TriggerTypeFlags": 4,</t>
        </r>
      </text>
    </comment>
    <comment ref="CM37" authorId="0">
      <text>
        <r>
          <rPr>
            <sz val="10"/>
            <color rgb="FF000000"/>
            <rFont val="Arial"/>
            <family val="0"/>
            <charset val="1"/>
          </rPr>
          <t xml:space="preserve">mounted, 4</t>
        </r>
      </text>
    </comment>
    <comment ref="CM52" authorId="0">
      <text>
        <r>
          <rPr>
            <sz val="10"/>
            <color rgb="FF000000"/>
            <rFont val="Arial"/>
            <family val="0"/>
            <charset val="1"/>
          </rPr>
          <t xml:space="preserve">mounted, 4</t>
        </r>
      </text>
    </comment>
    <comment ref="CM81" authorId="0">
      <text>
        <r>
          <rPr>
            <sz val="10"/>
            <color rgb="FF000000"/>
            <rFont val="Arial"/>
            <family val="0"/>
            <charset val="1"/>
          </rPr>
          <t xml:space="preserve">mounted, 4</t>
        </r>
      </text>
    </comment>
    <comment ref="CM104" authorId="0">
      <text>
        <r>
          <rPr>
            <sz val="10"/>
            <color rgb="FF000000"/>
            <rFont val="Arial"/>
            <family val="0"/>
            <charset val="1"/>
          </rPr>
          <t xml:space="preserve">mounted, 4</t>
        </r>
      </text>
    </comment>
    <comment ref="CN2" authorId="0">
      <text>
        <r>
          <rPr>
            <sz val="10"/>
            <color rgb="FF000000"/>
            <rFont val="Arial"/>
            <family val="0"/>
            <charset val="1"/>
          </rPr>
          <t xml:space="preserve">"TriggerTypeFlags": 4,</t>
        </r>
      </text>
    </comment>
    <comment ref="CN37" authorId="0">
      <text>
        <r>
          <rPr>
            <sz val="10"/>
            <color rgb="FF000000"/>
            <rFont val="Arial"/>
            <family val="0"/>
            <charset val="1"/>
          </rPr>
          <t xml:space="preserve">mounted, 4</t>
        </r>
      </text>
    </comment>
    <comment ref="CN52" authorId="0">
      <text>
        <r>
          <rPr>
            <sz val="10"/>
            <color rgb="FF000000"/>
            <rFont val="Arial"/>
            <family val="0"/>
            <charset val="1"/>
          </rPr>
          <t xml:space="preserve">mounted, 4</t>
        </r>
      </text>
    </comment>
    <comment ref="CN81" authorId="0">
      <text>
        <r>
          <rPr>
            <sz val="10"/>
            <color rgb="FF000000"/>
            <rFont val="Arial"/>
            <family val="0"/>
            <charset val="1"/>
          </rPr>
          <t xml:space="preserve">mounted, 4</t>
        </r>
      </text>
    </comment>
    <comment ref="CN104" authorId="0">
      <text>
        <r>
          <rPr>
            <sz val="10"/>
            <color rgb="FF000000"/>
            <rFont val="Arial"/>
            <family val="0"/>
            <charset val="1"/>
          </rPr>
          <t xml:space="preserve">mounted, 4</t>
        </r>
      </text>
    </comment>
    <comment ref="CP30" authorId="0">
      <text>
        <r>
          <rPr>
            <sz val="10"/>
            <color rgb="FF000000"/>
            <rFont val="Arial"/>
            <family val="0"/>
            <charset val="1"/>
          </rPr>
          <t xml:space="preserve">bugged and doesn't have mount speed bonus. They probably figured it would inherit from Umihebi. Uhihebi Fire needs mount speed added along side the fire boost in rank 1-4.</t>
        </r>
      </text>
    </comment>
    <comment ref="CU71" authorId="0">
      <text>
        <r>
          <rPr>
            <sz val="10"/>
            <color rgb="FF000000"/>
            <rFont val="Arial"/>
            <family val="0"/>
            <charset val="1"/>
          </rPr>
          <t xml:space="preserve">flag 1</t>
        </r>
      </text>
    </comment>
    <comment ref="CU82" authorId="0">
      <text>
        <r>
          <rPr>
            <sz val="10"/>
            <color rgb="FF000000"/>
            <rFont val="Arial"/>
            <family val="0"/>
            <charset val="1"/>
          </rPr>
          <t xml:space="preserve">flag 1</t>
        </r>
      </text>
    </comment>
    <comment ref="CU111" authorId="0">
      <text>
        <r>
          <rPr>
            <sz val="10"/>
            <color rgb="FF000000"/>
            <rFont val="Arial"/>
            <family val="0"/>
            <charset val="1"/>
          </rPr>
          <t xml:space="preserve">only on rank 0 of this skill. Probably has a bugged interaction and allows this to persist even out of team for rank 1-4? Test it.</t>
        </r>
      </text>
    </comment>
    <comment ref="CU112" authorId="0">
      <text>
        <r>
          <rPr>
            <sz val="10"/>
            <color rgb="FF000000"/>
            <rFont val="Arial"/>
            <family val="0"/>
            <charset val="1"/>
          </rPr>
          <t xml:space="preserve">only on rank 0 of this skill. Probably has a bugged interaction and allows this to persist even out of team for rank 1-4? Test it.</t>
        </r>
      </text>
    </comment>
    <comment ref="CV7" authorId="0">
      <text>
        <r>
          <rPr>
            <sz val="10"/>
            <color rgb="FF000000"/>
            <rFont val="Arial"/>
            <family val="0"/>
            <charset val="1"/>
          </rPr>
          <t xml:space="preserve">"TriggerTypeFlags": 4,</t>
        </r>
      </text>
    </comment>
    <comment ref="CV66" authorId="0">
      <text>
        <r>
          <rPr>
            <sz val="10"/>
            <color rgb="FF000000"/>
            <rFont val="Arial"/>
            <family val="0"/>
            <charset val="1"/>
          </rPr>
          <t xml:space="preserve">trigger 16</t>
        </r>
      </text>
    </comment>
    <comment ref="CV83" authorId="0">
      <text>
        <r>
          <rPr>
            <sz val="10"/>
            <color rgb="FF000000"/>
            <rFont val="Arial"/>
            <family val="0"/>
            <charset val="1"/>
          </rPr>
          <t xml:space="preserve">Dark</t>
        </r>
      </text>
    </comment>
    <comment ref="CV96" authorId="0">
      <text>
        <r>
          <rPr>
            <sz val="10"/>
            <color rgb="FF000000"/>
            <rFont val="Arial"/>
            <family val="0"/>
            <charset val="1"/>
          </rPr>
          <t xml:space="preserve">"PalIds": [
                  {
                    "Key": "QueenBee"
                  },
                  {
                    "Key": "BOSS_QueenBee"
                  }
                ],</t>
        </r>
      </text>
    </comment>
    <comment ref="CV115" authorId="0">
      <text>
        <r>
          <rPr>
            <sz val="10"/>
            <color rgb="FF000000"/>
            <rFont val="Arial"/>
            <family val="0"/>
            <charset val="1"/>
          </rPr>
          <t xml:space="preserve">"PalIds": [
                  {
                    "Key": "MopKing"
                  },
                  {
                    "Key": "BOSS_MopKing"
                  }
                ],</t>
        </r>
      </text>
    </comment>
    <comment ref="CV136" authorId="0">
      <text>
        <r>
          <rPr>
            <sz val="10"/>
            <color rgb="FF000000"/>
            <rFont val="Arial"/>
            <family val="0"/>
            <charset val="1"/>
          </rPr>
          <t xml:space="preserve">Normal</t>
        </r>
      </text>
    </comment>
  </commentList>
</comments>
</file>

<file path=xl/comments16.xml><?xml version="1.0" encoding="utf-8"?>
<comments xmlns="http://schemas.openxmlformats.org/spreadsheetml/2006/main" xmlns:xdr="http://schemas.openxmlformats.org/drawingml/2006/spreadsheetDrawing">
  <authors>
    <author> </author>
  </authors>
  <commentList>
    <comment ref="I397" authorId="0">
      <text>
        <r>
          <rPr>
            <sz val="10"/>
            <color rgb="FF000000"/>
            <rFont val="Arial"/>
            <family val="0"/>
            <charset val="1"/>
          </rPr>
          <t xml:space="preserve">added by me from ItemLotteryDataTable</t>
        </r>
      </text>
    </comment>
    <comment ref="I398" authorId="0">
      <text>
        <r>
          <rPr>
            <sz val="10"/>
            <color rgb="FF000000"/>
            <rFont val="Arial"/>
            <family val="0"/>
            <charset val="1"/>
          </rPr>
          <t xml:space="preserve">added by me from ItemLotteryDataTable</t>
        </r>
      </text>
    </comment>
    <comment ref="I399" authorId="0">
      <text>
        <r>
          <rPr>
            <sz val="10"/>
            <color rgb="FF000000"/>
            <rFont val="Arial"/>
            <family val="0"/>
            <charset val="1"/>
          </rPr>
          <t xml:space="preserve">added by me from ItemLotteryDataTable</t>
        </r>
      </text>
    </comment>
    <comment ref="I400" authorId="0">
      <text>
        <r>
          <rPr>
            <sz val="10"/>
            <color rgb="FF000000"/>
            <rFont val="Arial"/>
            <family val="0"/>
            <charset val="1"/>
          </rPr>
          <t xml:space="preserve">added by me from ItemLotteryDataTable</t>
        </r>
      </text>
    </comment>
    <comment ref="I401" authorId="0">
      <text>
        <r>
          <rPr>
            <sz val="10"/>
            <color rgb="FF000000"/>
            <rFont val="Arial"/>
            <family val="0"/>
            <charset val="1"/>
          </rPr>
          <t xml:space="preserve">added by me from ItemLotteryDataTable</t>
        </r>
      </text>
    </comment>
  </commentList>
</comments>
</file>

<file path=xl/sharedStrings.xml><?xml version="1.0" encoding="utf-8"?>
<sst xmlns="http://schemas.openxmlformats.org/spreadsheetml/2006/main" count="32471" uniqueCount="2375">
  <si>
    <t xml:space="preserve">You must go to 'File --&gt; Make a Copy' to use this page. </t>
  </si>
  <si>
    <t xml:space="preserve">Select Desired Child:</t>
  </si>
  <si>
    <t xml:space="preserve">Optional Settings - Filter Results by Owned Parents</t>
  </si>
  <si>
    <t xml:space="preserve">Or go to this link for a direct copy if you're on a 'View Only' version:</t>
  </si>
  <si>
    <t xml:space="preserve">Show All Combos</t>
  </si>
  <si>
    <t xml:space="preserve">https://docs.google.com/spreadsheets/d/1YgPc11dgdBUC8jXNp01b7gI6jNHoBRQGwrY_V6lXMgQ/copy</t>
  </si>
  <si>
    <t xml:space="preserve">Your PAL Box: Select Captures</t>
  </si>
  <si>
    <t xml:space="preserve">#</t>
  </si>
  <si>
    <t xml:space="preserve">Name</t>
  </si>
  <si>
    <t xml:space="preserve">Male</t>
  </si>
  <si>
    <t xml:space="preserve">Female</t>
  </si>
  <si>
    <t xml:space="preserve">Making a copy from this link will also always give you the newest version. </t>
  </si>
  <si>
    <t xml:space="preserve">Anubis</t>
  </si>
  <si>
    <t xml:space="preserve">Arsox</t>
  </si>
  <si>
    <t xml:space="preserve">Ragnahawk</t>
  </si>
  <si>
    <t xml:space="preserve">Astegon</t>
  </si>
  <si>
    <t xml:space="preserve">Google is throttling the numbers of downloads due to heavy traffic, so keep trying the link until it works or try a mirror link below.</t>
  </si>
  <si>
    <t xml:space="preserve">Find One Missing Parent</t>
  </si>
  <si>
    <t xml:space="preserve">Azurobe</t>
  </si>
  <si>
    <t xml:space="preserve">Select First Parent:</t>
  </si>
  <si>
    <t xml:space="preserve">Beakon</t>
  </si>
  <si>
    <t xml:space="preserve">Frostallion</t>
  </si>
  <si>
    <t xml:space="preserve">Beegarde</t>
  </si>
  <si>
    <t xml:space="preserve">Parent 2 Match</t>
  </si>
  <si>
    <t xml:space="preserve">Blazamut</t>
  </si>
  <si>
    <t xml:space="preserve">Blazehowl</t>
  </si>
  <si>
    <t xml:space="preserve">Bushi</t>
  </si>
  <si>
    <t xml:space="preserve">Blazehowl Noct</t>
  </si>
  <si>
    <t xml:space="preserve">Bristla</t>
  </si>
  <si>
    <t xml:space="preserve">Broncherry</t>
  </si>
  <si>
    <t xml:space="preserve">Broncherry Aqua</t>
  </si>
  <si>
    <t xml:space="preserve">Caprity</t>
  </si>
  <si>
    <t xml:space="preserve">Cattiva</t>
  </si>
  <si>
    <t xml:space="preserve">Cawgnito</t>
  </si>
  <si>
    <t xml:space="preserve">Celaray</t>
  </si>
  <si>
    <t xml:space="preserve">Chikipi</t>
  </si>
  <si>
    <t xml:space="preserve">Chillet</t>
  </si>
  <si>
    <t xml:space="preserve">Cinnamoth</t>
  </si>
  <si>
    <t xml:space="preserve">Cremis</t>
  </si>
  <si>
    <t xml:space="preserve">Cryolinx</t>
  </si>
  <si>
    <t xml:space="preserve">Daedream</t>
  </si>
  <si>
    <t xml:space="preserve">Dazzi</t>
  </si>
  <si>
    <t xml:space="preserve">Depresso</t>
  </si>
  <si>
    <t xml:space="preserve">Digtoise</t>
  </si>
  <si>
    <t xml:space="preserve">Dinossom</t>
  </si>
  <si>
    <t xml:space="preserve">Dinossom Lux</t>
  </si>
  <si>
    <t xml:space="preserve">Direhowl</t>
  </si>
  <si>
    <t xml:space="preserve">Dumud</t>
  </si>
  <si>
    <t xml:space="preserve">Eikthyrdeer</t>
  </si>
  <si>
    <t xml:space="preserve">Eikthyrdeer Terra</t>
  </si>
  <si>
    <t xml:space="preserve">Elizabee</t>
  </si>
  <si>
    <t xml:space="preserve">Elphidran</t>
  </si>
  <si>
    <t xml:space="preserve">Elphidran Aqua</t>
  </si>
  <si>
    <t xml:space="preserve">Faleris</t>
  </si>
  <si>
    <t xml:space="preserve">Felbat</t>
  </si>
  <si>
    <t xml:space="preserve">Fenglope</t>
  </si>
  <si>
    <t xml:space="preserve">Flambelle</t>
  </si>
  <si>
    <t xml:space="preserve">Flopie</t>
  </si>
  <si>
    <t xml:space="preserve">Foxcicle</t>
  </si>
  <si>
    <t xml:space="preserve">Foxparks</t>
  </si>
  <si>
    <t xml:space="preserve">Frostallion Noct</t>
  </si>
  <si>
    <t xml:space="preserve">Fuack</t>
  </si>
  <si>
    <t xml:space="preserve">Fuddler</t>
  </si>
  <si>
    <t xml:space="preserve">Galeclaw</t>
  </si>
  <si>
    <t xml:space="preserve">Gobfin</t>
  </si>
  <si>
    <t xml:space="preserve">Gobfin Ignis</t>
  </si>
  <si>
    <t xml:space="preserve">Gorirat</t>
  </si>
  <si>
    <t xml:space="preserve">Grintale</t>
  </si>
  <si>
    <t xml:space="preserve">Grizzbolt</t>
  </si>
  <si>
    <t xml:space="preserve">Gumoss</t>
  </si>
  <si>
    <t xml:space="preserve">Gumoss (Special)</t>
  </si>
  <si>
    <t xml:space="preserve">Hangyu</t>
  </si>
  <si>
    <t xml:space="preserve">Hangyu Cryst</t>
  </si>
  <si>
    <t xml:space="preserve">Helzephyr</t>
  </si>
  <si>
    <t xml:space="preserve">Hoocrates</t>
  </si>
  <si>
    <t xml:space="preserve">Ice Kingpaca</t>
  </si>
  <si>
    <t xml:space="preserve">Ice Reptyro</t>
  </si>
  <si>
    <t xml:space="preserve">Incineram</t>
  </si>
  <si>
    <t xml:space="preserve">Incineram Noct</t>
  </si>
  <si>
    <t xml:space="preserve">Jetragon</t>
  </si>
  <si>
    <t xml:space="preserve">Jolthog</t>
  </si>
  <si>
    <t xml:space="preserve">Jolthog Cryst</t>
  </si>
  <si>
    <t xml:space="preserve">Jormuntide</t>
  </si>
  <si>
    <t xml:space="preserve">Jormuntide Ignis</t>
  </si>
  <si>
    <t xml:space="preserve">Katress</t>
  </si>
  <si>
    <t xml:space="preserve">Kelpsea</t>
  </si>
  <si>
    <t xml:space="preserve">Kelpsea Ignis</t>
  </si>
  <si>
    <t xml:space="preserve">Killamari</t>
  </si>
  <si>
    <t xml:space="preserve">Kingpaca</t>
  </si>
  <si>
    <t xml:space="preserve">Kitsun</t>
  </si>
  <si>
    <t xml:space="preserve">Lamball</t>
  </si>
  <si>
    <t xml:space="preserve">Leezpunk</t>
  </si>
  <si>
    <t xml:space="preserve">Leezpunk Ignis</t>
  </si>
  <si>
    <t xml:space="preserve">Lifmunk</t>
  </si>
  <si>
    <t xml:space="preserve">Loupmoon</t>
  </si>
  <si>
    <t xml:space="preserve">Lovander</t>
  </si>
  <si>
    <t xml:space="preserve">Lunaris</t>
  </si>
  <si>
    <t xml:space="preserve">Lyleen</t>
  </si>
  <si>
    <t xml:space="preserve">Lyleen Noct</t>
  </si>
  <si>
    <t xml:space="preserve">Mammorest</t>
  </si>
  <si>
    <t xml:space="preserve">Mammorest Cryst</t>
  </si>
  <si>
    <t xml:space="preserve">Maraith</t>
  </si>
  <si>
    <t xml:space="preserve">Mau</t>
  </si>
  <si>
    <t xml:space="preserve">Mau Cryst</t>
  </si>
  <si>
    <t xml:space="preserve">Melpaca</t>
  </si>
  <si>
    <t xml:space="preserve">Menasting</t>
  </si>
  <si>
    <t xml:space="preserve">Mossanda</t>
  </si>
  <si>
    <t xml:space="preserve">Mossanda Lux</t>
  </si>
  <si>
    <t xml:space="preserve">Mozzarina</t>
  </si>
  <si>
    <t xml:space="preserve">Necromus</t>
  </si>
  <si>
    <t xml:space="preserve">Nitewing</t>
  </si>
  <si>
    <t xml:space="preserve">Nox</t>
  </si>
  <si>
    <t xml:space="preserve">Orserk</t>
  </si>
  <si>
    <t xml:space="preserve">Paladius</t>
  </si>
  <si>
    <t xml:space="preserve">Pengullet</t>
  </si>
  <si>
    <t xml:space="preserve">Penking</t>
  </si>
  <si>
    <t xml:space="preserve">Petallia</t>
  </si>
  <si>
    <t xml:space="preserve">Pyrin</t>
  </si>
  <si>
    <t xml:space="preserve">Pyrin Noct</t>
  </si>
  <si>
    <t xml:space="preserve">Quivern</t>
  </si>
  <si>
    <t xml:space="preserve">Rayhound</t>
  </si>
  <si>
    <t xml:space="preserve">Reindrix</t>
  </si>
  <si>
    <t xml:space="preserve">Relaxaurus</t>
  </si>
  <si>
    <t xml:space="preserve">Relaxaurus Lux</t>
  </si>
  <si>
    <t xml:space="preserve">Reptyro</t>
  </si>
  <si>
    <t xml:space="preserve">Ribunny</t>
  </si>
  <si>
    <t xml:space="preserve">Robinquill</t>
  </si>
  <si>
    <t xml:space="preserve">Robinquill Terra</t>
  </si>
  <si>
    <t xml:space="preserve">Rooby</t>
  </si>
  <si>
    <t xml:space="preserve">Rushoar</t>
  </si>
  <si>
    <t xml:space="preserve">Shadowbeak</t>
  </si>
  <si>
    <t xml:space="preserve">Sibelyx</t>
  </si>
  <si>
    <t xml:space="preserve">Sparkit</t>
  </si>
  <si>
    <t xml:space="preserve">Surfent</t>
  </si>
  <si>
    <t xml:space="preserve">Surfent Terra</t>
  </si>
  <si>
    <t xml:space="preserve">Suzaku</t>
  </si>
  <si>
    <t xml:space="preserve">Suzaku Aqua</t>
  </si>
  <si>
    <t xml:space="preserve">Swee</t>
  </si>
  <si>
    <t xml:space="preserve">Sweepa</t>
  </si>
  <si>
    <t xml:space="preserve">Tanzee</t>
  </si>
  <si>
    <t xml:space="preserve">Teafant</t>
  </si>
  <si>
    <t xml:space="preserve">Tocotoco</t>
  </si>
  <si>
    <t xml:space="preserve">Tombat</t>
  </si>
  <si>
    <t xml:space="preserve">Univolt</t>
  </si>
  <si>
    <t xml:space="preserve">Vaelet</t>
  </si>
  <si>
    <t xml:space="preserve">Vanwyrm</t>
  </si>
  <si>
    <t xml:space="preserve">Vanwyrm Cryst</t>
  </si>
  <si>
    <t xml:space="preserve">Verdash</t>
  </si>
  <si>
    <t xml:space="preserve">Vixy</t>
  </si>
  <si>
    <t xml:space="preserve">Warsect</t>
  </si>
  <si>
    <t xml:space="preserve">Wixen</t>
  </si>
  <si>
    <t xml:space="preserve">Woolipop</t>
  </si>
  <si>
    <t xml:space="preserve">Wumpo</t>
  </si>
  <si>
    <t xml:space="preserve">Wumpo Botan</t>
  </si>
  <si>
    <t xml:space="preserve">Additional Buffs:</t>
  </si>
  <si>
    <t xml:space="preserve">Enter Stats Here: Yellow = Input</t>
  </si>
  <si>
    <t xml:space="preserve">Potential Bonus Percent: 
Between +0% and +30%</t>
  </si>
  <si>
    <t xml:space="preserve">IV Comparison:</t>
  </si>
  <si>
    <t xml:space="preserve">Calculation Variables (debugging and manual entry)</t>
  </si>
  <si>
    <t xml:space="preserve">Toggle (on/offf)</t>
  </si>
  <si>
    <t xml:space="preserve">Name:</t>
  </si>
  <si>
    <t xml:space="preserve">Total Stats (with min, avg, max IV)</t>
  </si>
  <si>
    <t xml:space="preserve">BonusMulti</t>
  </si>
  <si>
    <t xml:space="preserve">Custom(%)</t>
  </si>
  <si>
    <t xml:space="preserve">SoulBonus%</t>
  </si>
  <si>
    <t xml:space="preserve">Condenser%</t>
  </si>
  <si>
    <t xml:space="preserve">Soul Bonus</t>
  </si>
  <si>
    <t xml:space="preserve">Level:</t>
  </si>
  <si>
    <t xml:space="preserve">HP</t>
  </si>
  <si>
    <t xml:space="preserve">Minimum</t>
  </si>
  <si>
    <t xml:space="preserve">Average</t>
  </si>
  <si>
    <t xml:space="preserve">Max</t>
  </si>
  <si>
    <t xml:space="preserve">HP:</t>
  </si>
  <si>
    <t xml:space="preserve">Attack</t>
  </si>
  <si>
    <t xml:space="preserve">Attack:</t>
  </si>
  <si>
    <t xml:space="preserve">Defense</t>
  </si>
  <si>
    <t xml:space="preserve">Defense:</t>
  </si>
  <si>
    <t xml:space="preserve">Potential IVs: Talent# (0-100) </t>
  </si>
  <si>
    <t xml:space="preserve">Condenser</t>
  </si>
  <si>
    <t xml:space="preserve">Stat Gain Per Level</t>
  </si>
  <si>
    <t xml:space="preserve">Stars:</t>
  </si>
  <si>
    <t xml:space="preserve">Passive Skills:</t>
  </si>
  <si>
    <t xml:space="preserve">None</t>
  </si>
  <si>
    <t xml:space="preserve">Custom Bonus:</t>
  </si>
  <si>
    <t xml:space="preserve">Potential Stats at: </t>
  </si>
  <si>
    <t xml:space="preserve">Custom Percent Bonus Stat Calculator</t>
  </si>
  <si>
    <t xml:space="preserve">Enter IV%</t>
  </si>
  <si>
    <t xml:space="preserve">Stats</t>
  </si>
  <si>
    <t xml:space="preserve">Per Level</t>
  </si>
  <si>
    <t xml:space="preserve">Custom Talent Stat Calculator</t>
  </si>
  <si>
    <t xml:space="preserve">Enter Talent</t>
  </si>
  <si>
    <t xml:space="preserve">Percentage Bonus to Talent# Converter</t>
  </si>
  <si>
    <t xml:space="preserve">Talent#' to Percent:</t>
  </si>
  <si>
    <t xml:space="preserve">Percent to Talent#:</t>
  </si>
  <si>
    <t xml:space="preserve">Talent</t>
  </si>
  <si>
    <t xml:space="preserve">%</t>
  </si>
  <si>
    <t xml:space="preserve">initial page design contributed by @dini.rfl </t>
  </si>
  <si>
    <t xml:space="preserve">Work</t>
  </si>
  <si>
    <t xml:space="preserve">Combat</t>
  </si>
  <si>
    <t xml:space="preserve">Speed</t>
  </si>
  <si>
    <t xml:space="preserve">Type 1</t>
  </si>
  <si>
    <t xml:space="preserve">Type 2</t>
  </si>
  <si>
    <t xml:space="preserve">🌜</t>
  </si>
  <si>
    <r>
      <rPr>
        <sz val="11"/>
        <color rgb="FFFFFFFF"/>
        <rFont val="Arial"/>
        <family val="0"/>
        <charset val="1"/>
      </rPr>
      <t xml:space="preserve">🔥</t>
    </r>
    <r>
      <rPr>
        <sz val="9"/>
        <color rgb="FFFFFFFF"/>
        <rFont val="Arial"/>
        <family val="0"/>
        <charset val="1"/>
      </rPr>
      <t xml:space="preserve">Kindling</t>
    </r>
  </si>
  <si>
    <r>
      <rPr>
        <sz val="10"/>
        <color rgb="FFFFFFFF"/>
        <rFont val="Arial"/>
        <family val="0"/>
        <charset val="1"/>
      </rPr>
      <t xml:space="preserve">💦</t>
    </r>
    <r>
      <rPr>
        <sz val="8"/>
        <color rgb="FFFFFFFF"/>
        <rFont val="Arial"/>
        <family val="0"/>
        <charset val="1"/>
      </rPr>
      <t xml:space="preserve">Watering</t>
    </r>
  </si>
  <si>
    <r>
      <rPr>
        <sz val="10"/>
        <color rgb="FFFFFFFF"/>
        <rFont val="Arial"/>
        <family val="0"/>
        <charset val="1"/>
      </rPr>
      <t xml:space="preserve">🌱</t>
    </r>
    <r>
      <rPr>
        <sz val="8"/>
        <color rgb="FFFFFFFF"/>
        <rFont val="Arial"/>
        <family val="0"/>
        <charset val="1"/>
      </rPr>
      <t xml:space="preserve">Planting</t>
    </r>
  </si>
  <si>
    <r>
      <rPr>
        <sz val="10"/>
        <color rgb="FFFFFFFF"/>
        <rFont val="Arial"/>
        <family val="0"/>
        <charset val="1"/>
      </rPr>
      <t xml:space="preserve">⚡</t>
    </r>
    <r>
      <rPr>
        <sz val="8"/>
        <color rgb="FFFFFFFF"/>
        <rFont val="Arial"/>
        <family val="0"/>
        <charset val="1"/>
      </rPr>
      <t xml:space="preserve">Electric</t>
    </r>
  </si>
  <si>
    <r>
      <rPr>
        <sz val="10"/>
        <color rgb="FFFFFFFF"/>
        <rFont val="Arial"/>
        <family val="0"/>
        <charset val="1"/>
      </rPr>
      <t xml:space="preserve">🤚</t>
    </r>
    <r>
      <rPr>
        <sz val="7"/>
        <color rgb="FFFFFFFF"/>
        <rFont val="Arial"/>
        <family val="0"/>
        <charset val="1"/>
      </rPr>
      <t xml:space="preserve">Handiwork</t>
    </r>
  </si>
  <si>
    <r>
      <rPr>
        <sz val="10"/>
        <color rgb="FFFFFFFF"/>
        <rFont val="Arial"/>
        <family val="0"/>
        <charset val="1"/>
      </rPr>
      <t xml:space="preserve">🍃</t>
    </r>
    <r>
      <rPr>
        <sz val="7"/>
        <color rgb="FFFFFFFF"/>
        <rFont val="Arial"/>
        <family val="0"/>
        <charset val="1"/>
      </rPr>
      <t xml:space="preserve">Gathering</t>
    </r>
  </si>
  <si>
    <r>
      <rPr>
        <sz val="10"/>
        <color rgb="FFFFFFFF"/>
        <rFont val="Arial"/>
        <family val="0"/>
        <charset val="1"/>
      </rPr>
      <t xml:space="preserve">🪵</t>
    </r>
    <r>
      <rPr>
        <sz val="7"/>
        <color rgb="FFFFFFFF"/>
        <rFont val="Arial"/>
        <family val="0"/>
        <charset val="1"/>
      </rPr>
      <t xml:space="preserve">Lumbering</t>
    </r>
  </si>
  <si>
    <r>
      <rPr>
        <sz val="10"/>
        <color rgb="FFFFFFFF"/>
        <rFont val="Arial"/>
        <family val="0"/>
        <charset val="1"/>
      </rPr>
      <t xml:space="preserve">⛏️</t>
    </r>
    <r>
      <rPr>
        <sz val="8"/>
        <color rgb="FFFFFFFF"/>
        <rFont val="Arial"/>
        <family val="0"/>
        <charset val="1"/>
      </rPr>
      <t xml:space="preserve">Mining</t>
    </r>
  </si>
  <si>
    <r>
      <rPr>
        <sz val="10"/>
        <color rgb="FFFFFFFF"/>
        <rFont val="Arial"/>
        <family val="0"/>
        <charset val="1"/>
      </rPr>
      <t xml:space="preserve">🥣</t>
    </r>
    <r>
      <rPr>
        <sz val="8"/>
        <color rgb="FFFFFFFF"/>
        <rFont val="Arial"/>
        <family val="0"/>
        <charset val="1"/>
      </rPr>
      <t xml:space="preserve">Medicine</t>
    </r>
  </si>
  <si>
    <r>
      <rPr>
        <sz val="10"/>
        <color rgb="FFFFFFFF"/>
        <rFont val="Arial"/>
        <family val="0"/>
        <charset val="1"/>
      </rPr>
      <t xml:space="preserve">❄️</t>
    </r>
    <r>
      <rPr>
        <sz val="8"/>
        <color rgb="FFFFFFFF"/>
        <rFont val="Arial"/>
        <family val="0"/>
        <charset val="1"/>
      </rPr>
      <t xml:space="preserve">Cooling</t>
    </r>
  </si>
  <si>
    <r>
      <rPr>
        <sz val="10"/>
        <color rgb="FFFFFFFF"/>
        <rFont val="Arial"/>
        <family val="0"/>
        <charset val="1"/>
      </rPr>
      <t xml:space="preserve">📦</t>
    </r>
    <r>
      <rPr>
        <sz val="6"/>
        <color rgb="FFFFFFFF"/>
        <rFont val="Arial"/>
        <family val="0"/>
        <charset val="1"/>
      </rPr>
      <t xml:space="preserve">Transporting</t>
    </r>
  </si>
  <si>
    <r>
      <rPr>
        <sz val="10"/>
        <color rgb="FFFFFFFF"/>
        <rFont val="Arial"/>
        <family val="0"/>
        <charset val="1"/>
      </rPr>
      <t xml:space="preserve">🧑‍🌾</t>
    </r>
    <r>
      <rPr>
        <sz val="8"/>
        <color rgb="FFFFFFFF"/>
        <rFont val="Arial"/>
        <family val="0"/>
        <charset val="1"/>
      </rPr>
      <t xml:space="preserve">Farming</t>
    </r>
  </si>
  <si>
    <r>
      <rPr>
        <sz val="10"/>
        <color rgb="FFFFFFFF"/>
        <rFont val="Arial"/>
        <family val="0"/>
        <charset val="1"/>
      </rPr>
      <t xml:space="preserve">🍗</t>
    </r>
    <r>
      <rPr>
        <sz val="8"/>
        <color rgb="FFFFFFFF"/>
        <rFont val="Arial"/>
        <family val="0"/>
        <charset val="1"/>
      </rPr>
      <t xml:space="preserve">Food</t>
    </r>
  </si>
  <si>
    <r>
      <rPr>
        <sz val="10"/>
        <color rgb="FFFFFFFF"/>
        <rFont val="Arial"/>
        <family val="0"/>
        <charset val="1"/>
      </rPr>
      <t xml:space="preserve">🥚</t>
    </r>
    <r>
      <rPr>
        <sz val="6"/>
        <color rgb="FFFFFFFF"/>
        <rFont val="Arial"/>
        <family val="0"/>
        <charset val="1"/>
      </rPr>
      <t xml:space="preserve">BreedPWR</t>
    </r>
  </si>
  <si>
    <r>
      <rPr>
        <sz val="10"/>
        <color rgb="FFFFFFFF"/>
        <rFont val="Arial"/>
        <family val="0"/>
        <charset val="1"/>
      </rPr>
      <t xml:space="preserve">❤️</t>
    </r>
    <r>
      <rPr>
        <sz val="8"/>
        <color rgb="FFFFFFFF"/>
        <rFont val="Arial"/>
        <family val="0"/>
        <charset val="1"/>
      </rPr>
      <t xml:space="preserve">HP</t>
    </r>
  </si>
  <si>
    <r>
      <rPr>
        <sz val="10"/>
        <color rgb="FFFFFFFF"/>
        <rFont val="Arial"/>
        <family val="0"/>
        <charset val="1"/>
      </rPr>
      <t xml:space="preserve">⚔️</t>
    </r>
    <r>
      <rPr>
        <sz val="8"/>
        <color rgb="FFFFFFFF"/>
        <rFont val="Arial"/>
        <family val="0"/>
        <charset val="1"/>
      </rPr>
      <t xml:space="preserve">Melee</t>
    </r>
  </si>
  <si>
    <t xml:space="preserve">🏹Attack</t>
  </si>
  <si>
    <r>
      <rPr>
        <sz val="10"/>
        <color rgb="FFFFFFFF"/>
        <rFont val="Arial"/>
        <family val="0"/>
        <charset val="1"/>
      </rPr>
      <t xml:space="preserve">🛡️</t>
    </r>
    <r>
      <rPr>
        <sz val="8"/>
        <color rgb="FFFFFFFF"/>
        <rFont val="Arial"/>
        <family val="0"/>
        <charset val="1"/>
      </rPr>
      <t xml:space="preserve">Defence</t>
    </r>
  </si>
  <si>
    <r>
      <rPr>
        <sz val="10"/>
        <color rgb="FFFFFFFF"/>
        <rFont val="Arial"/>
        <family val="0"/>
        <charset val="1"/>
      </rPr>
      <t xml:space="preserve">💰</t>
    </r>
    <r>
      <rPr>
        <sz val="8"/>
        <color rgb="FFFFFFFF"/>
        <rFont val="Arial"/>
        <family val="0"/>
        <charset val="1"/>
      </rPr>
      <t xml:space="preserve">Price</t>
    </r>
  </si>
  <si>
    <r>
      <rPr>
        <sz val="10"/>
        <color rgb="FFFFFFFF"/>
        <rFont val="Arial"/>
        <family val="0"/>
        <charset val="1"/>
      </rPr>
      <t xml:space="preserve">🪫</t>
    </r>
    <r>
      <rPr>
        <sz val="9"/>
        <color rgb="FFFFFFFF"/>
        <rFont val="Arial"/>
        <family val="0"/>
        <charset val="1"/>
      </rPr>
      <t xml:space="preserve">Stamina</t>
    </r>
  </si>
  <si>
    <r>
      <rPr>
        <sz val="10"/>
        <color rgb="FFFFFFFF"/>
        <rFont val="Arial"/>
        <family val="0"/>
        <charset val="1"/>
      </rPr>
      <t xml:space="preserve">🚶</t>
    </r>
    <r>
      <rPr>
        <sz val="8"/>
        <color rgb="FFFFFFFF"/>
        <rFont val="Arial"/>
        <family val="0"/>
        <charset val="1"/>
      </rPr>
      <t xml:space="preserve">Walking</t>
    </r>
  </si>
  <si>
    <r>
      <rPr>
        <sz val="10"/>
        <color rgb="FFFFFFFF"/>
        <rFont val="Arial"/>
        <family val="0"/>
        <charset val="1"/>
      </rPr>
      <t xml:space="preserve">🏃</t>
    </r>
    <r>
      <rPr>
        <sz val="8"/>
        <color rgb="FFFFFFFF"/>
        <rFont val="Arial"/>
        <family val="0"/>
        <charset val="1"/>
      </rPr>
      <t xml:space="preserve">Running</t>
    </r>
  </si>
  <si>
    <r>
      <rPr>
        <sz val="10"/>
        <color rgb="FFFFFFFF"/>
        <rFont val="Arial"/>
        <family val="0"/>
        <charset val="1"/>
      </rPr>
      <t xml:space="preserve">🏇</t>
    </r>
    <r>
      <rPr>
        <sz val="8"/>
        <color rgb="FFFFFFFF"/>
        <rFont val="Arial"/>
        <family val="0"/>
        <charset val="1"/>
      </rPr>
      <t xml:space="preserve">Mounted</t>
    </r>
  </si>
  <si>
    <t xml:space="preserve">Capture Multi</t>
  </si>
  <si>
    <t xml:space="preserve">Male %</t>
  </si>
  <si>
    <t xml:space="preserve">Breeding Parents</t>
  </si>
  <si>
    <t xml:space="preserve">Breeding Parent 1 with Offspring:</t>
  </si>
  <si>
    <t xml:space="preserve">Parent 1</t>
  </si>
  <si>
    <t xml:space="preserve">Parent 2</t>
  </si>
  <si>
    <t xml:space="preserve">Generation</t>
  </si>
  <si>
    <t xml:space="preserve">Power</t>
  </si>
  <si>
    <t xml:space="preserve">Number:</t>
  </si>
  <si>
    <t xml:space="preserve">Power:</t>
  </si>
  <si>
    <t xml:space="preserve">Search:</t>
  </si>
  <si>
    <t xml:space="preserve">Unique Combos</t>
  </si>
  <si>
    <t xml:space="preserve">Result</t>
  </si>
  <si>
    <t xml:space="preserve">The following only result from breeding with two parents of the same type:</t>
  </si>
  <si>
    <t xml:space="preserve">Sorted by Name</t>
  </si>
  <si>
    <t xml:space="preserve">Sorted by Breed Power (desc)</t>
  </si>
  <si>
    <t xml:space="preserve">Sorted by Breed Power (asc)</t>
  </si>
  <si>
    <t xml:space="preserve">Sorted by Number</t>
  </si>
  <si>
    <t xml:space="preserve">Tie-Break Order</t>
  </si>
  <si>
    <t xml:space="preserve">Tie-Break Order (by name)</t>
  </si>
  <si>
    <t xml:space="preserve">Order</t>
  </si>
  <si>
    <t xml:space="preserve">Written guide to these stats found here: https://www.reddit.com/r/Palworld/comments/1aedboa/partner_skill_upgrade_stats_exact_values_for_lv1/</t>
  </si>
  <si>
    <t xml:space="preserve">Active Skill</t>
  </si>
  <si>
    <t xml:space="preserve">Partner Skill Bonus 1</t>
  </si>
  <si>
    <t xml:space="preserve">Partner Skill Bonus 2</t>
  </si>
  <si>
    <t xml:space="preserve">Partner Skill Bonus 3</t>
  </si>
  <si>
    <t xml:space="preserve">Used for Filtering/Searching</t>
  </si>
  <si>
    <t xml:space="preserve">Number</t>
  </si>
  <si>
    <t xml:space="preserve">Type</t>
  </si>
  <si>
    <t xml:space="preserve">Lv1</t>
  </si>
  <si>
    <t xml:space="preserve">Lv2</t>
  </si>
  <si>
    <t xml:space="preserve">Lv3</t>
  </si>
  <si>
    <t xml:space="preserve">Lv4</t>
  </si>
  <si>
    <t xml:space="preserve">Lv5</t>
  </si>
  <si>
    <t xml:space="preserve">Target</t>
  </si>
  <si>
    <t xml:space="preserve">Condition</t>
  </si>
  <si>
    <t xml:space="preserve">CodeName</t>
  </si>
  <si>
    <t xml:space="preserve">SheepBall</t>
  </si>
  <si>
    <t xml:space="preserve">PinkCat</t>
  </si>
  <si>
    <t xml:space="preserve">ChickenPal</t>
  </si>
  <si>
    <t xml:space="preserve">power</t>
  </si>
  <si>
    <t xml:space="preserve">Carbunclo</t>
  </si>
  <si>
    <t xml:space="preserve">Kitsunebi</t>
  </si>
  <si>
    <t xml:space="preserve">multi</t>
  </si>
  <si>
    <t xml:space="preserve">BluePlatypus</t>
  </si>
  <si>
    <t xml:space="preserve">ElecCat</t>
  </si>
  <si>
    <t xml:space="preserve">Monkey</t>
  </si>
  <si>
    <t xml:space="preserve">FlameBambi</t>
  </si>
  <si>
    <t xml:space="preserve">Penguin</t>
  </si>
  <si>
    <t xml:space="preserve">CaptainPenguin</t>
  </si>
  <si>
    <t xml:space="preserve">Hedgehog</t>
  </si>
  <si>
    <t xml:space="preserve">Hedgehog_Ice</t>
  </si>
  <si>
    <t xml:space="preserve">PlantSlime</t>
  </si>
  <si>
    <t xml:space="preserve">PlantSlime_Flower</t>
  </si>
  <si>
    <t xml:space="preserve">CuteFox</t>
  </si>
  <si>
    <t xml:space="preserve">WizardOwl</t>
  </si>
  <si>
    <t xml:space="preserve">heal#</t>
  </si>
  <si>
    <t xml:space="preserve">Ganesha</t>
  </si>
  <si>
    <t xml:space="preserve">?</t>
  </si>
  <si>
    <t xml:space="preserve">NegativeKoala</t>
  </si>
  <si>
    <t xml:space="preserve">WoolFox</t>
  </si>
  <si>
    <t xml:space="preserve">DreamDemon</t>
  </si>
  <si>
    <t xml:space="preserve">Boar</t>
  </si>
  <si>
    <t xml:space="preserve">NightFox</t>
  </si>
  <si>
    <t xml:space="preserve">range</t>
  </si>
  <si>
    <t xml:space="preserve">CuteMole</t>
  </si>
  <si>
    <t xml:space="preserve">NegativeOctopus</t>
  </si>
  <si>
    <t xml:space="preserve">Bastet</t>
  </si>
  <si>
    <t xml:space="preserve">Bastet_Ice</t>
  </si>
  <si>
    <t xml:space="preserve">FlyingManta</t>
  </si>
  <si>
    <t xml:space="preserve">Garm</t>
  </si>
  <si>
    <t xml:space="preserve">ColorfulBird</t>
  </si>
  <si>
    <t xml:space="preserve">FlowerRabbit</t>
  </si>
  <si>
    <t xml:space="preserve">CowPal</t>
  </si>
  <si>
    <t xml:space="preserve">LittleBriarRose</t>
  </si>
  <si>
    <t xml:space="preserve">SharkKid</t>
  </si>
  <si>
    <t xml:space="preserve">SharkKid_Fire</t>
  </si>
  <si>
    <t xml:space="preserve">WindChimes</t>
  </si>
  <si>
    <t xml:space="preserve">WindChimes_Ice</t>
  </si>
  <si>
    <t xml:space="preserve">GrassPanda</t>
  </si>
  <si>
    <t xml:space="preserve">GrassPanda_Electric</t>
  </si>
  <si>
    <t xml:space="preserve">SweetsSheep</t>
  </si>
  <si>
    <t xml:space="preserve">BerryGoat</t>
  </si>
  <si>
    <t xml:space="preserve">Alpaca</t>
  </si>
  <si>
    <t xml:space="preserve">Deer</t>
  </si>
  <si>
    <t xml:space="preserve">Deer_Ground</t>
  </si>
  <si>
    <t xml:space="preserve">HawkBird</t>
  </si>
  <si>
    <t xml:space="preserve">PinkRabbit</t>
  </si>
  <si>
    <t xml:space="preserve">Baphomet</t>
  </si>
  <si>
    <t xml:space="preserve">Baphomet_Dark</t>
  </si>
  <si>
    <t xml:space="preserve">CuteButterfly</t>
  </si>
  <si>
    <t xml:space="preserve">FlameBuffalo</t>
  </si>
  <si>
    <t xml:space="preserve">LazyCatfish</t>
  </si>
  <si>
    <t xml:space="preserve">DarkCrow</t>
  </si>
  <si>
    <t xml:space="preserve">LizardMan</t>
  </si>
  <si>
    <t xml:space="preserve">LizardMan_Fire</t>
  </si>
  <si>
    <t xml:space="preserve">Werewolf</t>
  </si>
  <si>
    <t xml:space="preserve">Eagle</t>
  </si>
  <si>
    <t xml:space="preserve">RobinHood</t>
  </si>
  <si>
    <t xml:space="preserve">RobinHood_Ground</t>
  </si>
  <si>
    <t xml:space="preserve">Gorilla</t>
  </si>
  <si>
    <t xml:space="preserve">SoldierBee</t>
  </si>
  <si>
    <t xml:space="preserve">QueenBee</t>
  </si>
  <si>
    <t xml:space="preserve">NaughtyCat</t>
  </si>
  <si>
    <t xml:space="preserve">MopBaby</t>
  </si>
  <si>
    <t xml:space="preserve">MopKing</t>
  </si>
  <si>
    <t xml:space="preserve">WeaselDragon</t>
  </si>
  <si>
    <t xml:space="preserve">Kirin</t>
  </si>
  <si>
    <t xml:space="preserve">IceFox</t>
  </si>
  <si>
    <t xml:space="preserve">FireKirin</t>
  </si>
  <si>
    <t xml:space="preserve">FireKirin_Dark</t>
  </si>
  <si>
    <t xml:space="preserve">IceDeer</t>
  </si>
  <si>
    <t xml:space="preserve">ThunderDog</t>
  </si>
  <si>
    <t xml:space="preserve">AmaterasuWolf</t>
  </si>
  <si>
    <t xml:space="preserve">RaijinDaughter</t>
  </si>
  <si>
    <t xml:space="preserve">Mutant</t>
  </si>
  <si>
    <t xml:space="preserve">FlowerDinosaur</t>
  </si>
  <si>
    <t xml:space="preserve">FlowerDinosaur_Electric</t>
  </si>
  <si>
    <t xml:space="preserve">Serpent</t>
  </si>
  <si>
    <t xml:space="preserve">Serpent_Ground</t>
  </si>
  <si>
    <t xml:space="preserve">GhostBeast</t>
  </si>
  <si>
    <t xml:space="preserve">DrillGame</t>
  </si>
  <si>
    <t xml:space="preserve">CatBat</t>
  </si>
  <si>
    <t xml:space="preserve">PinkLizard</t>
  </si>
  <si>
    <t xml:space="preserve">LavaGirl</t>
  </si>
  <si>
    <t xml:space="preserve">BirdDragon</t>
  </si>
  <si>
    <t xml:space="preserve">BirdDragon_Ice</t>
  </si>
  <si>
    <t xml:space="preserve">Ronin</t>
  </si>
  <si>
    <t xml:space="preserve">ThunderBird</t>
  </si>
  <si>
    <t xml:space="preserve">RedArmorBird</t>
  </si>
  <si>
    <t xml:space="preserve">CatMage</t>
  </si>
  <si>
    <t xml:space="preserve">FoxMage</t>
  </si>
  <si>
    <t xml:space="preserve">GrassRabbitMan</t>
  </si>
  <si>
    <t xml:space="preserve">VioletFairy</t>
  </si>
  <si>
    <t xml:space="preserve">WhiteMoth</t>
  </si>
  <si>
    <t xml:space="preserve">FairyDragon</t>
  </si>
  <si>
    <t xml:space="preserve">FairyDragon_Water</t>
  </si>
  <si>
    <t xml:space="preserve">Kelpie</t>
  </si>
  <si>
    <t xml:space="preserve">Kelpie_Fire</t>
  </si>
  <si>
    <t xml:space="preserve">BlueDragon</t>
  </si>
  <si>
    <t xml:space="preserve">WhiteTiger</t>
  </si>
  <si>
    <t xml:space="preserve">Manticore</t>
  </si>
  <si>
    <t xml:space="preserve">Manticore_Dark</t>
  </si>
  <si>
    <t xml:space="preserve">LazyDragon</t>
  </si>
  <si>
    <t xml:space="preserve">LazyDragon_Electric</t>
  </si>
  <si>
    <t xml:space="preserve">SakuraSaurus</t>
  </si>
  <si>
    <t xml:space="preserve">SakuraSaurus_Water</t>
  </si>
  <si>
    <t xml:space="preserve">FlowerDoll</t>
  </si>
  <si>
    <t xml:space="preserve">VolcanicMonster</t>
  </si>
  <si>
    <t xml:space="preserve">VolcanicMonster_Ice</t>
  </si>
  <si>
    <t xml:space="preserve">KingAlpaca</t>
  </si>
  <si>
    <t xml:space="preserve">KingAlpaca_Ice</t>
  </si>
  <si>
    <t xml:space="preserve">GrassMammoth</t>
  </si>
  <si>
    <t xml:space="preserve">GrassMammoth_Ice</t>
  </si>
  <si>
    <t xml:space="preserve">Yeti</t>
  </si>
  <si>
    <t xml:space="preserve">Yeti_Grass</t>
  </si>
  <si>
    <t xml:space="preserve">HerculesBeetle</t>
  </si>
  <si>
    <t xml:space="preserve">FengyunDeeper</t>
  </si>
  <si>
    <t xml:space="preserve">CatVampire</t>
  </si>
  <si>
    <t xml:space="preserve">SkyDragon</t>
  </si>
  <si>
    <t xml:space="preserve">KingBahamut</t>
  </si>
  <si>
    <t xml:space="preserve">HadesBird</t>
  </si>
  <si>
    <t xml:space="preserve">BlackMetalDragon</t>
  </si>
  <si>
    <t xml:space="preserve">DarkScorpion</t>
  </si>
  <si>
    <t xml:space="preserve">Umihebi_Fire</t>
  </si>
  <si>
    <t xml:space="preserve">Umihebi</t>
  </si>
  <si>
    <t xml:space="preserve">Suzaku_Water</t>
  </si>
  <si>
    <t xml:space="preserve">ElecPanda</t>
  </si>
  <si>
    <t xml:space="preserve">LilyQueen</t>
  </si>
  <si>
    <t xml:space="preserve">LilyQueen_Dark</t>
  </si>
  <si>
    <t xml:space="preserve">Horus</t>
  </si>
  <si>
    <t xml:space="preserve">ThunderDragonMan</t>
  </si>
  <si>
    <t xml:space="preserve">BlackGriffon</t>
  </si>
  <si>
    <t xml:space="preserve">SaintCentaur</t>
  </si>
  <si>
    <t xml:space="preserve">BlackCentaur</t>
  </si>
  <si>
    <t xml:space="preserve">IceHorse</t>
  </si>
  <si>
    <t xml:space="preserve">IceHorse_Dark</t>
  </si>
  <si>
    <t xml:space="preserve">JetDragon</t>
  </si>
  <si>
    <t xml:space="preserve">Male Probability (%)</t>
  </si>
  <si>
    <t xml:space="preserve">Note: All other Pals have a 50% (equal) chance to be male or female. </t>
  </si>
  <si>
    <t xml:space="preserve">Row</t>
  </si>
  <si>
    <t xml:space="preserve">ParentTribeA</t>
  </si>
  <si>
    <t xml:space="preserve">ParentTribeB</t>
  </si>
  <si>
    <t xml:space="preserve">ChildCharacterID</t>
  </si>
  <si>
    <t xml:space="preserve">ParentA</t>
  </si>
  <si>
    <t xml:space="preserve">ParentB</t>
  </si>
  <si>
    <t xml:space="preserve">With self only?</t>
  </si>
  <si>
    <t xml:space="preserve">Calc Unique?</t>
  </si>
  <si>
    <t xml:space="preserve">Unique Combo 2?</t>
  </si>
  <si>
    <t xml:space="preserve">isUnique</t>
  </si>
  <si>
    <t xml:space="preserve">UniqueIdentifier1</t>
  </si>
  <si>
    <t xml:space="preserve">UniqueIdentifier2</t>
  </si>
  <si>
    <t xml:space="preserve">2</t>
  </si>
  <si>
    <t xml:space="preserve">EPalTribeID::LazyDragon</t>
  </si>
  <si>
    <t xml:space="preserve">EPalTribeID::ElecCat</t>
  </si>
  <si>
    <t xml:space="preserve">3</t>
  </si>
  <si>
    <t xml:space="preserve">EPalTribeID::Baphomet</t>
  </si>
  <si>
    <t xml:space="preserve">EPalTribeID::GhostBeast</t>
  </si>
  <si>
    <t xml:space="preserve">4</t>
  </si>
  <si>
    <t xml:space="preserve">EPalTribeID::Bastet</t>
  </si>
  <si>
    <t xml:space="preserve">EPalTribeID::Penguin</t>
  </si>
  <si>
    <t xml:space="preserve">5</t>
  </si>
  <si>
    <t xml:space="preserve">EPalTribeID::BirdDragon</t>
  </si>
  <si>
    <t xml:space="preserve">EPalTribeID::IceFox</t>
  </si>
  <si>
    <t xml:space="preserve">6</t>
  </si>
  <si>
    <t xml:space="preserve">EPalTribeID::Deer</t>
  </si>
  <si>
    <t xml:space="preserve">EPalTribeID::WindChimes</t>
  </si>
  <si>
    <t xml:space="preserve">7</t>
  </si>
  <si>
    <t xml:space="preserve">EPalTribeID::FairyDragon</t>
  </si>
  <si>
    <t xml:space="preserve">EPalTribeID::Serpent</t>
  </si>
  <si>
    <t xml:space="preserve">8</t>
  </si>
  <si>
    <t xml:space="preserve">EPalTribeID::FireKirin</t>
  </si>
  <si>
    <t xml:space="preserve">EPalTribeID::CatMage</t>
  </si>
  <si>
    <t xml:space="preserve">9</t>
  </si>
  <si>
    <t xml:space="preserve">EPalTribeID::GrassMammoth</t>
  </si>
  <si>
    <t xml:space="preserve">EPalTribeID::Yeti</t>
  </si>
  <si>
    <t xml:space="preserve">10</t>
  </si>
  <si>
    <t xml:space="preserve">EPalTribeID::GrassPanda</t>
  </si>
  <si>
    <t xml:space="preserve">EPalTribeID::ElecPanda</t>
  </si>
  <si>
    <t xml:space="preserve">11</t>
  </si>
  <si>
    <t xml:space="preserve">EPalTribeID::FlowerDinosaur</t>
  </si>
  <si>
    <t xml:space="preserve">EPalTribeID::ThunderDog</t>
  </si>
  <si>
    <t xml:space="preserve">12</t>
  </si>
  <si>
    <t xml:space="preserve">EPalTribeID::Hedgehog</t>
  </si>
  <si>
    <t xml:space="preserve">13</t>
  </si>
  <si>
    <t xml:space="preserve">EPalTribeID::IceHorse</t>
  </si>
  <si>
    <t xml:space="preserve">EPalTribeID::HadesBird</t>
  </si>
  <si>
    <t xml:space="preserve">14</t>
  </si>
  <si>
    <t xml:space="preserve">EPalTribeID::KingAlpaca</t>
  </si>
  <si>
    <t xml:space="preserve">EPalTribeID::IceDeer</t>
  </si>
  <si>
    <t xml:space="preserve">15</t>
  </si>
  <si>
    <t xml:space="preserve">EPalTribeID::LilyQueen</t>
  </si>
  <si>
    <t xml:space="preserve">EPalTribeID::DarkScorpion</t>
  </si>
  <si>
    <t xml:space="preserve">16</t>
  </si>
  <si>
    <t xml:space="preserve">EPalTribeID::LizardMan</t>
  </si>
  <si>
    <t xml:space="preserve">EPalTribeID::LavaGirl</t>
  </si>
  <si>
    <t xml:space="preserve">17</t>
  </si>
  <si>
    <t xml:space="preserve">EPalTribeID::Manticore</t>
  </si>
  <si>
    <t xml:space="preserve">EPalTribeID::CatVampire</t>
  </si>
  <si>
    <t xml:space="preserve">18</t>
  </si>
  <si>
    <t xml:space="preserve">EPalTribeID::RobinHood</t>
  </si>
  <si>
    <t xml:space="preserve">EPalTribeID::CuteMole</t>
  </si>
  <si>
    <t xml:space="preserve">19</t>
  </si>
  <si>
    <t xml:space="preserve">EPalTribeID::SakuraSaurus</t>
  </si>
  <si>
    <t xml:space="preserve">EPalTribeID::Blueplatypus</t>
  </si>
  <si>
    <t xml:space="preserve">20</t>
  </si>
  <si>
    <t xml:space="preserve">EPalTribeID::LazyCatfish</t>
  </si>
  <si>
    <t xml:space="preserve">21</t>
  </si>
  <si>
    <t xml:space="preserve">EPalTribeID::SharkKid</t>
  </si>
  <si>
    <t xml:space="preserve">EPalTribeID::FlameBambi</t>
  </si>
  <si>
    <t xml:space="preserve">22</t>
  </si>
  <si>
    <t xml:space="preserve">EPalTribeID::Suzaku</t>
  </si>
  <si>
    <t xml:space="preserve">EPalTribeID::Umihebi</t>
  </si>
  <si>
    <t xml:space="preserve">23</t>
  </si>
  <si>
    <t xml:space="preserve">EPalTribeID::VolcanicMonster</t>
  </si>
  <si>
    <t xml:space="preserve">24</t>
  </si>
  <si>
    <t xml:space="preserve">EPalTribeID::MopBaby</t>
  </si>
  <si>
    <t xml:space="preserve">25</t>
  </si>
  <si>
    <t xml:space="preserve">26</t>
  </si>
  <si>
    <t xml:space="preserve">EPalTribeID::JetDragon</t>
  </si>
  <si>
    <t xml:space="preserve">27</t>
  </si>
  <si>
    <t xml:space="preserve">EPalTribeID::SaintCentaur</t>
  </si>
  <si>
    <t xml:space="preserve">28</t>
  </si>
  <si>
    <t xml:space="preserve">EPalTribeID::BlackCentaur</t>
  </si>
  <si>
    <t xml:space="preserve">29</t>
  </si>
  <si>
    <t xml:space="preserve">EPalTribeID::FlowerDoll</t>
  </si>
  <si>
    <t xml:space="preserve">30</t>
  </si>
  <si>
    <t xml:space="preserve">EPalTribeID::Anubis</t>
  </si>
  <si>
    <t xml:space="preserve">31</t>
  </si>
  <si>
    <t xml:space="preserve">32</t>
  </si>
  <si>
    <t xml:space="preserve">33</t>
  </si>
  <si>
    <t xml:space="preserve">EPalTribeID::AmaterasuWolf</t>
  </si>
  <si>
    <t xml:space="preserve">EPalTribeID::BlackMetalDragon</t>
  </si>
  <si>
    <t xml:space="preserve">34</t>
  </si>
  <si>
    <t xml:space="preserve">35</t>
  </si>
  <si>
    <t xml:space="preserve">EPalTribeID::Horus</t>
  </si>
  <si>
    <t xml:space="preserve">36</t>
  </si>
  <si>
    <t xml:space="preserve">37</t>
  </si>
  <si>
    <t xml:space="preserve">EPalTribeID::ThunderDragonMan</t>
  </si>
  <si>
    <t xml:space="preserve">38</t>
  </si>
  <si>
    <t xml:space="preserve">EPalTribeID::BlackGriffon</t>
  </si>
  <si>
    <t xml:space="preserve">39</t>
  </si>
  <si>
    <t xml:space="preserve">EPalTribeID::Umihebi_Fire</t>
  </si>
  <si>
    <t xml:space="preserve">40</t>
  </si>
  <si>
    <t xml:space="preserve">EPalTribeID::LazyDragon_Electric</t>
  </si>
  <si>
    <t xml:space="preserve">41</t>
  </si>
  <si>
    <t xml:space="preserve">EPalTribeID::Baphomet_Dark</t>
  </si>
  <si>
    <t xml:space="preserve">42</t>
  </si>
  <si>
    <t xml:space="preserve">EPalTribeID::Bastet_Ice</t>
  </si>
  <si>
    <t xml:space="preserve">43</t>
  </si>
  <si>
    <t xml:space="preserve">EPalTribeID::BirdDragon_Ice</t>
  </si>
  <si>
    <t xml:space="preserve">44</t>
  </si>
  <si>
    <t xml:space="preserve">EPalTribeID::Deer_Ground</t>
  </si>
  <si>
    <t xml:space="preserve">45</t>
  </si>
  <si>
    <t xml:space="preserve">EPalTribeID::FairyDragon_Water</t>
  </si>
  <si>
    <t xml:space="preserve">46</t>
  </si>
  <si>
    <t xml:space="preserve">EPalTribeID::FireKirin_Dark</t>
  </si>
  <si>
    <t xml:space="preserve">47</t>
  </si>
  <si>
    <t xml:space="preserve">EPalTribeID::GrassMammoth_Ice</t>
  </si>
  <si>
    <t xml:space="preserve">48</t>
  </si>
  <si>
    <t xml:space="preserve">EPalTribeID::GrassPanda_Electric</t>
  </si>
  <si>
    <t xml:space="preserve">49</t>
  </si>
  <si>
    <t xml:space="preserve">EPalTribeID::FlowerDinosaur_Electric</t>
  </si>
  <si>
    <t xml:space="preserve">50</t>
  </si>
  <si>
    <t xml:space="preserve">EPalTribeID::Hedgehog_Ice</t>
  </si>
  <si>
    <t xml:space="preserve">51</t>
  </si>
  <si>
    <t xml:space="preserve">EPalTribeID::IceHorse_Dark</t>
  </si>
  <si>
    <t xml:space="preserve">52</t>
  </si>
  <si>
    <t xml:space="preserve">EPalTribeID::KingAlpaca_Ice</t>
  </si>
  <si>
    <t xml:space="preserve">53</t>
  </si>
  <si>
    <t xml:space="preserve">EPalTribeID::LilyQueen_Dark</t>
  </si>
  <si>
    <t xml:space="preserve">54</t>
  </si>
  <si>
    <t xml:space="preserve">EPalTribeID::LizardMan_Fire</t>
  </si>
  <si>
    <t xml:space="preserve">55</t>
  </si>
  <si>
    <t xml:space="preserve">EPalTribeID::Manticore_Dark</t>
  </si>
  <si>
    <t xml:space="preserve">56</t>
  </si>
  <si>
    <t xml:space="preserve">EPalTribeID::RobinHood_Ground</t>
  </si>
  <si>
    <t xml:space="preserve">57</t>
  </si>
  <si>
    <t xml:space="preserve">EPalTribeID::SakuraSaurus_Water</t>
  </si>
  <si>
    <t xml:space="preserve">58</t>
  </si>
  <si>
    <t xml:space="preserve">EPalTribeID::Serpent_Ground</t>
  </si>
  <si>
    <t xml:space="preserve">59</t>
  </si>
  <si>
    <t xml:space="preserve">EPalTribeID::SharkKid_Fire</t>
  </si>
  <si>
    <t xml:space="preserve">60</t>
  </si>
  <si>
    <t xml:space="preserve">EPalTribeID::Suzaku_Water</t>
  </si>
  <si>
    <t xml:space="preserve">61</t>
  </si>
  <si>
    <t xml:space="preserve">EPalTribeID::VolcanicMonster_Ice</t>
  </si>
  <si>
    <t xml:space="preserve">62</t>
  </si>
  <si>
    <t xml:space="preserve">EPalTribeID::WindChimes_Ice</t>
  </si>
  <si>
    <t xml:space="preserve">63</t>
  </si>
  <si>
    <t xml:space="preserve">EPalTribeID::PinkKangaroo</t>
  </si>
  <si>
    <t xml:space="preserve">PinkKangaroo</t>
  </si>
  <si>
    <t xml:space="preserve">64</t>
  </si>
  <si>
    <t xml:space="preserve">EPalTribeID::BeardedDragon</t>
  </si>
  <si>
    <t xml:space="preserve">BeardedDragon</t>
  </si>
  <si>
    <t xml:space="preserve">65</t>
  </si>
  <si>
    <t xml:space="preserve">EPalTribeID::BlackFurDragon</t>
  </si>
  <si>
    <t xml:space="preserve">BlackFurDragon</t>
  </si>
  <si>
    <t xml:space="preserve">66</t>
  </si>
  <si>
    <t xml:space="preserve">EPalTribeID::WaterLizard</t>
  </si>
  <si>
    <t xml:space="preserve">WaterLizard</t>
  </si>
  <si>
    <t xml:space="preserve">67</t>
  </si>
  <si>
    <t xml:space="preserve">EPalTribeID::ElecLion</t>
  </si>
  <si>
    <t xml:space="preserve">ElecLion</t>
  </si>
  <si>
    <t xml:space="preserve">68</t>
  </si>
  <si>
    <t xml:space="preserve">EPalTribeID::GuardianDog</t>
  </si>
  <si>
    <t xml:space="preserve">GuardianDog</t>
  </si>
  <si>
    <t xml:space="preserve">69</t>
  </si>
  <si>
    <t xml:space="preserve">EPalTribeID::GrassDragon</t>
  </si>
  <si>
    <t xml:space="preserve">GrassDragon</t>
  </si>
  <si>
    <t xml:space="preserve">70</t>
  </si>
  <si>
    <t xml:space="preserve">EPalTribeID::DarkMutant</t>
  </si>
  <si>
    <t xml:space="preserve">DarkMutant</t>
  </si>
  <si>
    <t xml:space="preserve">71</t>
  </si>
  <si>
    <t xml:space="preserve">EPalTribeID::SifuDog</t>
  </si>
  <si>
    <t xml:space="preserve">SifuDog</t>
  </si>
  <si>
    <t xml:space="preserve">72</t>
  </si>
  <si>
    <t xml:space="preserve">EPalTribeID::TentacleTurtle</t>
  </si>
  <si>
    <t xml:space="preserve">TentacleTurtle</t>
  </si>
  <si>
    <t xml:space="preserve">73</t>
  </si>
  <si>
    <t xml:space="preserve">EPalTribeID::GoldenHorse</t>
  </si>
  <si>
    <t xml:space="preserve">GoldenHorse</t>
  </si>
  <si>
    <t xml:space="preserve">74</t>
  </si>
  <si>
    <t xml:space="preserve">EPalTribeID::BadCatgirl</t>
  </si>
  <si>
    <t xml:space="preserve">BadCatgirl</t>
  </si>
  <si>
    <t xml:space="preserve">75</t>
  </si>
  <si>
    <t xml:space="preserve">EPalTribeID::BrownRabbit</t>
  </si>
  <si>
    <t xml:space="preserve">BrownRabbit</t>
  </si>
  <si>
    <t xml:space="preserve">76</t>
  </si>
  <si>
    <t xml:space="preserve">EPalTribeID::FeatherOstrich</t>
  </si>
  <si>
    <t xml:space="preserve">FeatherOstrich</t>
  </si>
  <si>
    <t xml:space="preserve">77</t>
  </si>
  <si>
    <t xml:space="preserve">EPalTribeID::WingGolem</t>
  </si>
  <si>
    <t xml:space="preserve">WingGolem</t>
  </si>
  <si>
    <t xml:space="preserve">78</t>
  </si>
  <si>
    <t xml:space="preserve">EPalTribeID::ScorpionMan</t>
  </si>
  <si>
    <t xml:space="preserve">ScorpionMan</t>
  </si>
  <si>
    <t xml:space="preserve">79</t>
  </si>
  <si>
    <t xml:space="preserve">EPalTribeID::BlueberryFairy</t>
  </si>
  <si>
    <t xml:space="preserve">BlueberryFairy</t>
  </si>
  <si>
    <t xml:space="preserve">PalNames Sorting</t>
  </si>
  <si>
    <t xml:space="preserve">PalNames with Alphas stat differences</t>
  </si>
  <si>
    <t xml:space="preserve">ZukanIndex</t>
  </si>
  <si>
    <t xml:space="preserve">Alpha Melpaca</t>
  </si>
  <si>
    <t xml:space="preserve">Alpha Necromus</t>
  </si>
  <si>
    <t xml:space="preserve">Alpha Sparkit</t>
  </si>
  <si>
    <t xml:space="preserve">Alpha Mammorest Cryst</t>
  </si>
  <si>
    <t xml:space="preserve">Alpha Frostallion</t>
  </si>
  <si>
    <t xml:space="preserve">Alpha Frostallion Noct</t>
  </si>
  <si>
    <t xml:space="preserve">Alpha Jetragon</t>
  </si>
  <si>
    <t xml:space="preserve">Alpha Paladius</t>
  </si>
  <si>
    <t xml:space="preserve">Image</t>
  </si>
  <si>
    <t xml:space="preserve">I've been getting lots of questions and messages about the Tower Boss Pals that you can capture using a very specific (exploit) method.</t>
  </si>
  <si>
    <t xml:space="preserve">• Yes, you can use them as parents to breed.</t>
  </si>
  <si>
    <t xml:space="preserve">• They have 9999 breeding power. (Remember lower is better, so 9999 is very 'bad' for breeding.)</t>
  </si>
  <si>
    <t xml:space="preserve">• If you breed them with any other Pal (with some exceptions mentioned below) the outcome will always be Chikipi.</t>
  </si>
  <si>
    <t xml:space="preserve">• This is because the game averages the breeding power of the two parents and then uses that number to find the child with the closest power. So using the equation to find the power range for all combination outcomes: Floor((9999 + {10 through 1500} +1) / 2) = 5005 through 5750. 5005 through 5750 is closest to Chikipi at 1500, so Chikipi gets selected as the child.</t>
  </si>
  <si>
    <t xml:space="preserve">• However, the tower bosses can be used to make unique combos because they count as their base variant type. That means you can get the following using a tower boss too:</t>
  </si>
  <si>
    <t xml:space="preserve">• Grizzbolt (Tower) + Mossanda = Mossanda Lux</t>
  </si>
  <si>
    <t xml:space="preserve">• Grizzbolt (Tower) + Relaxaurus = Orserk</t>
  </si>
  <si>
    <t xml:space="preserve">• Lyleen (Tower) + Menasting = Lyleen Noct</t>
  </si>
  <si>
    <t xml:space="preserve">• Breeding two of the same Tower bosses together theoretically will give you the normal, non-tower version of that Pal. However, since the tower bosses have either a 100% chance to be female or 100% chance to male (depending on the boss), you can never get 1 male and 1 female of the same type to create a breeding pair.</t>
  </si>
  <si>
    <t xml:space="preserve">• Example: Grizzbolt (Tower) + Grizzbolt (Tower) = Grizzbolt (normal)</t>
  </si>
  <si>
    <t xml:space="preserve">I hope this answers all questions about the Tower Boss variants of these Pals.</t>
  </si>
  <si>
    <t xml:space="preserve">Two Parent Search, all combos</t>
  </si>
  <si>
    <t xml:space="preserve">Find Missing One Parent with selected parent</t>
  </si>
  <si>
    <t xml:space="preserve">Filtering by PAL Box settings</t>
  </si>
  <si>
    <t xml:space="preserve">Full Set</t>
  </si>
  <si>
    <t xml:space="preserve">Opposite Duplicates Removed</t>
  </si>
  <si>
    <t xml:space="preserve">1 parent Match</t>
  </si>
  <si>
    <t xml:space="preserve">possible first parent</t>
  </si>
  <si>
    <t xml:space="preserve">matches</t>
  </si>
  <si>
    <t xml:space="preserve">Have Male?</t>
  </si>
  <si>
    <t xml:space="preserve">Have Female?</t>
  </si>
  <si>
    <t xml:space="preserve">Have Match?</t>
  </si>
  <si>
    <t xml:space="preserve">Male Parent 1</t>
  </si>
  <si>
    <t xml:space="preserve">Female Parent 2</t>
  </si>
  <si>
    <t xml:space="preserve">OverrideNameTextID</t>
  </si>
  <si>
    <t xml:space="preserve">NamePrefixID</t>
  </si>
  <si>
    <t xml:space="preserve">OverridePartnerSkillTextID</t>
  </si>
  <si>
    <t xml:space="preserve">IsPal</t>
  </si>
  <si>
    <t xml:space="preserve">Tribe</t>
  </si>
  <si>
    <t xml:space="preserve">BPClass</t>
  </si>
  <si>
    <t xml:space="preserve">UniqueOnlyB</t>
  </si>
  <si>
    <t xml:space="preserve">Size</t>
  </si>
  <si>
    <t xml:space="preserve">Rarity</t>
  </si>
  <si>
    <t xml:space="preserve">ElementType1</t>
  </si>
  <si>
    <t xml:space="preserve">ElementType2</t>
  </si>
  <si>
    <t xml:space="preserve">GenusCategory</t>
  </si>
  <si>
    <t xml:space="preserve">Organization</t>
  </si>
  <si>
    <t xml:space="preserve">weapon</t>
  </si>
  <si>
    <t xml:space="preserve">WeaponEquip</t>
  </si>
  <si>
    <t xml:space="preserve">MeleeAttack</t>
  </si>
  <si>
    <t xml:space="preserve">ShotAttack</t>
  </si>
  <si>
    <t xml:space="preserve">Support</t>
  </si>
  <si>
    <t xml:space="preserve">CraftSpeed</t>
  </si>
  <si>
    <t xml:space="preserve">EnemyReceiveDamageRate</t>
  </si>
  <si>
    <t xml:space="preserve">CaptureRateCorrect</t>
  </si>
  <si>
    <t xml:space="preserve">ExpRatio</t>
  </si>
  <si>
    <t xml:space="preserve">Price</t>
  </si>
  <si>
    <t xml:space="preserve">AIResponse</t>
  </si>
  <si>
    <t xml:space="preserve">AISightResponse</t>
  </si>
  <si>
    <t xml:space="preserve">SlowWalkSpeed</t>
  </si>
  <si>
    <t xml:space="preserve">WalkSpeed</t>
  </si>
  <si>
    <t xml:space="preserve">RunSpeed</t>
  </si>
  <si>
    <t xml:space="preserve">RideSprintSpeed</t>
  </si>
  <si>
    <t xml:space="preserve">TransportSpeed</t>
  </si>
  <si>
    <t xml:space="preserve">IsBoss</t>
  </si>
  <si>
    <t xml:space="preserve">IsTowerBoss</t>
  </si>
  <si>
    <t xml:space="preserve">BattleBGM</t>
  </si>
  <si>
    <t xml:space="preserve">IgnoreLeanBack</t>
  </si>
  <si>
    <t xml:space="preserve">IgnoreBlowAway</t>
  </si>
  <si>
    <t xml:space="preserve">MaxFullStomach</t>
  </si>
  <si>
    <t xml:space="preserve">FullStomachDecreaseRate</t>
  </si>
  <si>
    <t xml:space="preserve">FoodAmount</t>
  </si>
  <si>
    <t xml:space="preserve">ViewingDistance</t>
  </si>
  <si>
    <t xml:space="preserve">ViewingAngle</t>
  </si>
  <si>
    <t xml:space="preserve">HearingRate</t>
  </si>
  <si>
    <t xml:space="preserve">NooseTrap</t>
  </si>
  <si>
    <t xml:space="preserve">Nocturnal</t>
  </si>
  <si>
    <t xml:space="preserve">BiologicalGrade</t>
  </si>
  <si>
    <t xml:space="preserve">Predator</t>
  </si>
  <si>
    <t xml:space="preserve">Edible</t>
  </si>
  <si>
    <t xml:space="preserve">Stamina</t>
  </si>
  <si>
    <t xml:space="preserve">MaleProbability</t>
  </si>
  <si>
    <t xml:space="preserve">CombiRank</t>
  </si>
  <si>
    <t xml:space="preserve">WorkSuitability_EmitFlame</t>
  </si>
  <si>
    <t xml:space="preserve">WorkSuitability_Watering</t>
  </si>
  <si>
    <t xml:space="preserve">WorkSuitability_Seeding</t>
  </si>
  <si>
    <t xml:space="preserve">WorkSuitability_GenerateElectricity</t>
  </si>
  <si>
    <t xml:space="preserve">WorkSuitability_Handcraft</t>
  </si>
  <si>
    <t xml:space="preserve">WorkSuitability_Collection</t>
  </si>
  <si>
    <t xml:space="preserve">WorkSuitability_Deforest</t>
  </si>
  <si>
    <t xml:space="preserve">WorkSuitability_Mining</t>
  </si>
  <si>
    <t xml:space="preserve">WorkSuitability_OilExtraction</t>
  </si>
  <si>
    <t xml:space="preserve">WorkSuitability_ProductMedicine</t>
  </si>
  <si>
    <t xml:space="preserve">WorkSuitability_Cool</t>
  </si>
  <si>
    <t xml:space="preserve">WorkSuitability_Transport</t>
  </si>
  <si>
    <t xml:space="preserve">WorkSuitability_MonsterFarm</t>
  </si>
  <si>
    <t xml:space="preserve">PassiveSkill1</t>
  </si>
  <si>
    <t xml:space="preserve">PassiveSkill2</t>
  </si>
  <si>
    <t xml:space="preserve">PassiveSkill3</t>
  </si>
  <si>
    <t xml:space="preserve">PassiveSkill4</t>
  </si>
  <si>
    <t xml:space="preserve">IndexOrder</t>
  </si>
  <si>
    <t xml:space="preserve">UniqueOnly</t>
  </si>
  <si>
    <t xml:space="preserve">ZukanIndexSuffix</t>
  </si>
  <si>
    <t xml:space="preserve">SkillLevelUnlock</t>
  </si>
  <si>
    <t xml:space="preserve">SkillUnlockItem</t>
  </si>
  <si>
    <t xml:space="preserve">SkillUnlock_</t>
  </si>
  <si>
    <t xml:space="preserve">ActiveSkill</t>
  </si>
  <si>
    <t xml:space="preserve">ActiveSkillBonus0</t>
  </si>
  <si>
    <t xml:space="preserve">ActiveSkillBonus1</t>
  </si>
  <si>
    <t xml:space="preserve">ActiveSkillBonus2</t>
  </si>
  <si>
    <t xml:space="preserve">ActiveSkillBonus3</t>
  </si>
  <si>
    <t xml:space="preserve">ActiveSkillBonus4</t>
  </si>
  <si>
    <t xml:space="preserve">Mount</t>
  </si>
  <si>
    <t xml:space="preserve">Mount Type</t>
  </si>
  <si>
    <t xml:space="preserve">Passive0aCondition</t>
  </si>
  <si>
    <t xml:space="preserve">Passive0a</t>
  </si>
  <si>
    <t xml:space="preserve">Passive1a</t>
  </si>
  <si>
    <t xml:space="preserve">Passive2a</t>
  </si>
  <si>
    <t xml:space="preserve">Passive3a</t>
  </si>
  <si>
    <t xml:space="preserve">Passive4a</t>
  </si>
  <si>
    <t xml:space="preserve">Passive0bCondition</t>
  </si>
  <si>
    <t xml:space="preserve">Passive0b</t>
  </si>
  <si>
    <t xml:space="preserve">Passive1b</t>
  </si>
  <si>
    <t xml:space="preserve">Passive2b</t>
  </si>
  <si>
    <t xml:space="preserve">Passive3b</t>
  </si>
  <si>
    <t xml:space="preserve">Passive4b</t>
  </si>
  <si>
    <t xml:space="preserve">Passive0cCondition</t>
  </si>
  <si>
    <t xml:space="preserve">Passive0c</t>
  </si>
  <si>
    <t xml:space="preserve">Passive1c</t>
  </si>
  <si>
    <t xml:space="preserve">Passive2c</t>
  </si>
  <si>
    <t xml:space="preserve">Passive3c</t>
  </si>
  <si>
    <t xml:space="preserve">Passive4c</t>
  </si>
  <si>
    <t xml:space="preserve">EPalSizeType::M</t>
  </si>
  <si>
    <t xml:space="preserve">EPalElementType::Earth</t>
  </si>
  <si>
    <t xml:space="preserve">EPalElementType::None</t>
  </si>
  <si>
    <t xml:space="preserve">EPalGenusCategoryType::Humanoid</t>
  </si>
  <si>
    <t xml:space="preserve">EPalOrganizationType::None</t>
  </si>
  <si>
    <t xml:space="preserve">EPalWeaponType::None</t>
  </si>
  <si>
    <t xml:space="preserve">Warlike</t>
  </si>
  <si>
    <t xml:space="preserve">EPalBattleBGMType::Cool</t>
  </si>
  <si>
    <t xml:space="preserve">ElementBoost_Earth_2_PAL</t>
  </si>
  <si>
    <t xml:space="preserve">together</t>
  </si>
  <si>
    <t xml:space="preserve">GiveAEarth</t>
  </si>
  <si>
    <t xml:space="preserve">GiveElement_TrainerATK_UP_PartnerSkill_1</t>
  </si>
  <si>
    <t xml:space="preserve">GiveElement_TrainerATK_UP_PartnerSkill_2</t>
  </si>
  <si>
    <t xml:space="preserve">GiveElement_TrainerATK_UP_PartnerSkill_3</t>
  </si>
  <si>
    <t xml:space="preserve">GiveElement_TrainerATK_UP_PartnerSkill_4</t>
  </si>
  <si>
    <t xml:space="preserve">GiveElement_TrainerATK_UP_PartnerSkill_5</t>
  </si>
  <si>
    <t xml:space="preserve">EPalElementType::Fire</t>
  </si>
  <si>
    <t xml:space="preserve">EPalElementType::Dark</t>
  </si>
  <si>
    <t xml:space="preserve">EPalBattleBGMType::Strong</t>
  </si>
  <si>
    <t xml:space="preserve">Unique_Baphomet_SwallowKite</t>
  </si>
  <si>
    <t xml:space="preserve">B</t>
  </si>
  <si>
    <t xml:space="preserve">EPalSizeType::XS</t>
  </si>
  <si>
    <t xml:space="preserve">EPalGenusCategoryType::FourLegged</t>
  </si>
  <si>
    <t xml:space="preserve">Escape_to_Battle</t>
  </si>
  <si>
    <t xml:space="preserve">EPalBattleBGMType::Cute</t>
  </si>
  <si>
    <t xml:space="preserve">CharacterSpawnItem_Money_1</t>
  </si>
  <si>
    <t xml:space="preserve">CharacterSpawnItem_Money_2</t>
  </si>
  <si>
    <t xml:space="preserve">CharacterSpawnItem_Money_3</t>
  </si>
  <si>
    <t xml:space="preserve">CharacterSpawnItem_Money_4</t>
  </si>
  <si>
    <t xml:space="preserve">CharacterSpawnItem_Money_5</t>
  </si>
  <si>
    <t xml:space="preserve">EPalElementType::Ice</t>
  </si>
  <si>
    <t xml:space="preserve">EPalTribeID::Boar</t>
  </si>
  <si>
    <t xml:space="preserve">EPalSizeType::S</t>
  </si>
  <si>
    <t xml:space="preserve">"SkillUnlock_Boar</t>
  </si>
  <si>
    <t xml:space="preserve">Saddle</t>
  </si>
  <si>
    <t xml:space="preserve">Ground</t>
  </si>
  <si>
    <t xml:space="preserve">Mining_up2_Otomo_only</t>
  </si>
  <si>
    <t xml:space="preserve">Mining_up3_Otomo_only</t>
  </si>
  <si>
    <t xml:space="preserve">Mining_up4_Otomo_only</t>
  </si>
  <si>
    <t xml:space="preserve">Mining_up5_Otomo_only</t>
  </si>
  <si>
    <t xml:space="preserve">Mining_up6_Otomo_only</t>
  </si>
  <si>
    <t xml:space="preserve">EPalTribeID::Carbunclo</t>
  </si>
  <si>
    <t xml:space="preserve">EPalElementType::Leaf</t>
  </si>
  <si>
    <t xml:space="preserve">Escape</t>
  </si>
  <si>
    <t xml:space="preserve">SkillUnlock_Carbunclo</t>
  </si>
  <si>
    <t xml:space="preserve">SkillUnlock_SMG</t>
  </si>
  <si>
    <t xml:space="preserve">OnHeadShoot</t>
  </si>
  <si>
    <t xml:space="preserve">EPalTribeID::ColorfulBird</t>
  </si>
  <si>
    <t xml:space="preserve">EPalElementType::Normal</t>
  </si>
  <si>
    <t xml:space="preserve">EPalGenusCategoryType::Bird</t>
  </si>
  <si>
    <t xml:space="preserve">SkillUnlock_ColorfulBird</t>
  </si>
  <si>
    <t xml:space="preserve">Launcher</t>
  </si>
  <si>
    <t xml:space="preserve">EPalSizeType::L</t>
  </si>
  <si>
    <t xml:space="preserve">SkillUnlock_Deer</t>
  </si>
  <si>
    <t xml:space="preserve">Logging_up2_Otomo_only</t>
  </si>
  <si>
    <t xml:space="preserve">Logging_up3_Otomo_only</t>
  </si>
  <si>
    <t xml:space="preserve">Logging_up4_Otomo_only</t>
  </si>
  <si>
    <t xml:space="preserve">Logging_up5_Otomo_only</t>
  </si>
  <si>
    <t xml:space="preserve">Logging_up6_Otomo_only</t>
  </si>
  <si>
    <t xml:space="preserve">SkillUnlock_Deer_Ground</t>
  </si>
  <si>
    <t xml:space="preserve">EPalTribeID::DrillGame</t>
  </si>
  <si>
    <t xml:space="preserve">Deffence_up1</t>
  </si>
  <si>
    <t xml:space="preserve">SkillUnlock_DrillGame</t>
  </si>
  <si>
    <t xml:space="preserve">Headband</t>
  </si>
  <si>
    <t xml:space="preserve">SpinningShell</t>
  </si>
  <si>
    <t xml:space="preserve">Mining_up_PartnerSkill_DrillGame</t>
  </si>
  <si>
    <t xml:space="preserve">EPalTribeID::Eagle</t>
  </si>
  <si>
    <t xml:space="preserve">SkillUnlock_Eagle</t>
  </si>
  <si>
    <t xml:space="preserve">Gloves</t>
  </si>
  <si>
    <t xml:space="preserve">EPalElementType::Electricity</t>
  </si>
  <si>
    <t xml:space="preserve">SkillUnlock_ElecPanda</t>
  </si>
  <si>
    <t xml:space="preserve">UniqueRideShooting_Minigun</t>
  </si>
  <si>
    <t xml:space="preserve">EPalTribeID::Ganesha</t>
  </si>
  <si>
    <t xml:space="preserve">EPalElementType::Water</t>
  </si>
  <si>
    <t xml:space="preserve">Heal</t>
  </si>
  <si>
    <t xml:space="preserve">EPalTribeID::Garm</t>
  </si>
  <si>
    <t xml:space="preserve">SkillUnlock_Garm</t>
  </si>
  <si>
    <t xml:space="preserve">mounted</t>
  </si>
  <si>
    <t xml:space="preserve">MoveSpeed_up_PartnerSkill_Ride_1</t>
  </si>
  <si>
    <t xml:space="preserve">MoveSpeed_up_PartnerSkill_Ride_2</t>
  </si>
  <si>
    <t xml:space="preserve">MoveSpeed_up_PartnerSkill_Ride_3</t>
  </si>
  <si>
    <t xml:space="preserve">MoveSpeed_up_PartnerSkill_Ride_4</t>
  </si>
  <si>
    <t xml:space="preserve">EPalTribeID::Gorilla</t>
  </si>
  <si>
    <t xml:space="preserve">PAL_rude</t>
  </si>
  <si>
    <t xml:space="preserve">Berserk</t>
  </si>
  <si>
    <t xml:space="preserve">skill buff</t>
  </si>
  <si>
    <t xml:space="preserve">Attack_ACC_up1_Gorilla</t>
  </si>
  <si>
    <t xml:space="preserve">Attack_ACC_up2_Gorilla</t>
  </si>
  <si>
    <t xml:space="preserve">Attack_ACC_up3_Gorilla</t>
  </si>
  <si>
    <t xml:space="preserve">Attack_ACC_up4_Gorilla</t>
  </si>
  <si>
    <t xml:space="preserve">Attack_ACC_up5_Gorilla</t>
  </si>
  <si>
    <t xml:space="preserve">SkillUnlock_Hedgehog</t>
  </si>
  <si>
    <t xml:space="preserve">Grenade</t>
  </si>
  <si>
    <t xml:space="preserve">SkillUnlock_Hedgehog_Ice</t>
  </si>
  <si>
    <t xml:space="preserve">EPalTribeID::Kirin</t>
  </si>
  <si>
    <t xml:space="preserve">NotInterested</t>
  </si>
  <si>
    <t xml:space="preserve">SkillUnlock_Kirin</t>
  </si>
  <si>
    <t xml:space="preserve">GiveAElectricity_Ride</t>
  </si>
  <si>
    <t xml:space="preserve">GiveElement_TrainerATK_UP_PartnerSkill_Ride_1</t>
  </si>
  <si>
    <t xml:space="preserve">GiveElement_TrainerATK_UP_PartnerSkill_Ride_2</t>
  </si>
  <si>
    <t xml:space="preserve">GiveElement_TrainerATK_UP_PartnerSkill_Ride_3</t>
  </si>
  <si>
    <t xml:space="preserve">GiveElement_TrainerATK_UP_PartnerSkill_Ride_4</t>
  </si>
  <si>
    <t xml:space="preserve">GiveElement_TrainerATK_UP_PartnerSkill_Ride_5</t>
  </si>
  <si>
    <t xml:space="preserve">EPalTribeID::Kitsunebi</t>
  </si>
  <si>
    <t xml:space="preserve">SkillUnlock_Kitsuneb</t>
  </si>
  <si>
    <t xml:space="preserve">Harness</t>
  </si>
  <si>
    <t xml:space="preserve">Flamethrower</t>
  </si>
  <si>
    <t xml:space="preserve">EPalTribeID::LittleBriarRose</t>
  </si>
  <si>
    <t xml:space="preserve">Leaf Pal</t>
  </si>
  <si>
    <t xml:space="preserve">PAL_ElementPassive_Test</t>
  </si>
  <si>
    <t xml:space="preserve">PAL_ElementPassive_1</t>
  </si>
  <si>
    <t xml:space="preserve">PAL_ElementPassive_2</t>
  </si>
  <si>
    <t xml:space="preserve">PAL_ElementPassive_3</t>
  </si>
  <si>
    <t xml:space="preserve">PAL_ElementPassive_4</t>
  </si>
  <si>
    <t xml:space="preserve">EPalTribeID::Mutant</t>
  </si>
  <si>
    <t xml:space="preserve">MaxInventoryWeight_up_Partnerskill_4</t>
  </si>
  <si>
    <t xml:space="preserve">MaxInventoryWeight_up_Partnerskill_5</t>
  </si>
  <si>
    <t xml:space="preserve">MaxInventoryWeight_up_Partnerskill_6</t>
  </si>
  <si>
    <t xml:space="preserve">MaxInventoryWeight_up_Partnerskill_7</t>
  </si>
  <si>
    <t xml:space="preserve">MaxInventoryWeight_up_Partnerskill_8</t>
  </si>
  <si>
    <t xml:space="preserve">SkillUnlock_Penguin</t>
  </si>
  <si>
    <t xml:space="preserve">RocketLauncher</t>
  </si>
  <si>
    <t xml:space="preserve">EPalTribeID::RaijinDaughter</t>
  </si>
  <si>
    <t xml:space="preserve">SkillUnlock_RaijinDaughter</t>
  </si>
  <si>
    <t xml:space="preserve">Choker</t>
  </si>
  <si>
    <t xml:space="preserve">Funnel_RaijinDaughter</t>
  </si>
  <si>
    <t xml:space="preserve">WaterGun</t>
  </si>
  <si>
    <t xml:space="preserve">TrainerATK_UP_PartnerSkill_1</t>
  </si>
  <si>
    <t xml:space="preserve">TrainerATK_UP_PartnerSkill_2</t>
  </si>
  <si>
    <t xml:space="preserve">TrainerATK_UP_PartnerSkill_3</t>
  </si>
  <si>
    <t xml:space="preserve">TrainerATK_UP_PartnerSkill_4</t>
  </si>
  <si>
    <t xml:space="preserve">TrainerATK_UP_PartnerSkill_5</t>
  </si>
  <si>
    <t xml:space="preserve">FireSeed</t>
  </si>
  <si>
    <t xml:space="preserve">EPalTribeID::SheepBall</t>
  </si>
  <si>
    <t xml:space="preserve">Friendly</t>
  </si>
  <si>
    <t xml:space="preserve">Shiled</t>
  </si>
  <si>
    <t xml:space="preserve">in base</t>
  </si>
  <si>
    <t xml:space="preserve">CollectItem_Wool_SheepBall</t>
  </si>
  <si>
    <t xml:space="preserve">CharacterSpawnItem_Wool_1</t>
  </si>
  <si>
    <t xml:space="preserve">CharacterSpawnItem_Wool_2</t>
  </si>
  <si>
    <t xml:space="preserve">CharacterSpawnItem_Wool_3</t>
  </si>
  <si>
    <t xml:space="preserve">CharacterSpawnItem_Wool_4</t>
  </si>
  <si>
    <t xml:space="preserve">CharacterSpawnItem_Wool_5</t>
  </si>
  <si>
    <t xml:space="preserve">EPalSizeType::XL</t>
  </si>
  <si>
    <t xml:space="preserve">EPalElementType::Dragon</t>
  </si>
  <si>
    <t xml:space="preserve">EPalGenusCategoryType::Fish</t>
  </si>
  <si>
    <t xml:space="preserve">ElementBoost_Aqua_2_PAL</t>
  </si>
  <si>
    <t xml:space="preserve">SkillUnlock_Umihebi</t>
  </si>
  <si>
    <t xml:space="preserve">Swim</t>
  </si>
  <si>
    <t xml:space="preserve">SkillUnlock_Umihebi_Fire</t>
  </si>
  <si>
    <t xml:space="preserve">ElementBoost_Fire_PAL_PartnerSKill_1</t>
  </si>
  <si>
    <t xml:space="preserve">ElementBoost_Fire_PAL_PartnerSKill_2</t>
  </si>
  <si>
    <t xml:space="preserve">ElementBoost_Fire_PAL_PartnerSKill_3</t>
  </si>
  <si>
    <t xml:space="preserve">ElementBoost_Fire_PAL_PartnerSKill_4</t>
  </si>
  <si>
    <t xml:space="preserve">ElementBoost_Fire_PAL_PartnerSKill_5</t>
  </si>
  <si>
    <t xml:space="preserve">EPalTribeID::Werewolf</t>
  </si>
  <si>
    <t xml:space="preserve">Unique_Werewolf_Scratch</t>
  </si>
  <si>
    <t xml:space="preserve">EPalGenusCategoryType::Other</t>
  </si>
  <si>
    <t xml:space="preserve">SkillUnlock_WindChimes</t>
  </si>
  <si>
    <t xml:space="preserve">SkillUnlock_WindChimes_Ice</t>
  </si>
  <si>
    <t xml:space="preserve">SkillUnlock_Suzaku</t>
  </si>
  <si>
    <t xml:space="preserve">Fly</t>
  </si>
  <si>
    <t xml:space="preserve">SkillUnlock_Suzaku_Water</t>
  </si>
  <si>
    <t xml:space="preserve">ElementBoost_Water_PAL_PartnerSKill_1</t>
  </si>
  <si>
    <t xml:space="preserve">ElementBoost_Water_PAL_PartnerSKill_2</t>
  </si>
  <si>
    <t xml:space="preserve">ElementBoost_Water_PAL_PartnerSKill_3</t>
  </si>
  <si>
    <t xml:space="preserve">ElementBoost_Water_PAL_PartnerSKill_4</t>
  </si>
  <si>
    <t xml:space="preserve">ElementBoost_Water_PAL_PartnerSKill_5</t>
  </si>
  <si>
    <t xml:space="preserve">SkillUnlock_FireKirin</t>
  </si>
  <si>
    <t xml:space="preserve">GiveAFire_Ride</t>
  </si>
  <si>
    <t xml:space="preserve">SkillUnlock_FireKirin_Dark</t>
  </si>
  <si>
    <t xml:space="preserve">GiveADark_Ride</t>
  </si>
  <si>
    <t xml:space="preserve">SkillUnlock_FairyDragon</t>
  </si>
  <si>
    <t xml:space="preserve">Fly+Land</t>
  </si>
  <si>
    <t xml:space="preserve">ElementAddDrop_Dark_1_PAL</t>
  </si>
  <si>
    <t xml:space="preserve">ElementAddDrop_Dark_2_PAL</t>
  </si>
  <si>
    <t xml:space="preserve">ElementAddDrop_Dark_3_PAL</t>
  </si>
  <si>
    <t xml:space="preserve">ElementAddDrop_Dark_4_PAL</t>
  </si>
  <si>
    <t xml:space="preserve">ElementAddDrop_Dark_5_PAL</t>
  </si>
  <si>
    <t xml:space="preserve">SkillUnlock_FairyDragon_Water</t>
  </si>
  <si>
    <t xml:space="preserve">ElementAddDrop_Fire_1_PAL</t>
  </si>
  <si>
    <t xml:space="preserve">ElementAddDrop_Fire_2_PAL</t>
  </si>
  <si>
    <t xml:space="preserve">ElementAddDrop_Fire_3_PAL</t>
  </si>
  <si>
    <t xml:space="preserve">ElementAddDrop_Fire_4_PAL</t>
  </si>
  <si>
    <t xml:space="preserve">ElementAddDrop_Fire_5_PAL</t>
  </si>
  <si>
    <t xml:space="preserve">EPalTribeID::SweetsSheep</t>
  </si>
  <si>
    <t xml:space="preserve">CharacterSpawnItem_Sweets_1</t>
  </si>
  <si>
    <t xml:space="preserve">CharacterSpawnItem_Sweets_2</t>
  </si>
  <si>
    <t xml:space="preserve">CharacterSpawnItem_Sweets_3</t>
  </si>
  <si>
    <t xml:space="preserve">CharacterSpawnItem_Sweets_4</t>
  </si>
  <si>
    <t xml:space="preserve">CharacterSpawnItem_Sweets_5</t>
  </si>
  <si>
    <t xml:space="preserve">EPalTribeID::WhiteTiger</t>
  </si>
  <si>
    <t xml:space="preserve">ElementAddDrop_Dragon_1_PAL</t>
  </si>
  <si>
    <t xml:space="preserve">ElementAddDrop_Dragon_2_PAL</t>
  </si>
  <si>
    <t xml:space="preserve">ElementAddDrop_Dragon_3_PAL</t>
  </si>
  <si>
    <t xml:space="preserve">ElementAddDrop_Dragon_4_PAL</t>
  </si>
  <si>
    <t xml:space="preserve">ElementAddDrop_Dragon_5_PAL</t>
  </si>
  <si>
    <t xml:space="preserve">EPalTribeID::Alpaca</t>
  </si>
  <si>
    <t xml:space="preserve">SkillUnlock_Alpaca</t>
  </si>
  <si>
    <t xml:space="preserve">CharacterSpawnItem_Alpaca_1</t>
  </si>
  <si>
    <t xml:space="preserve">CharacterSpawnItem_Alpaca_2</t>
  </si>
  <si>
    <t xml:space="preserve">CharacterSpawnItem_Alpaca_3</t>
  </si>
  <si>
    <t xml:space="preserve">CharacterSpawnItem_Alpaca_4</t>
  </si>
  <si>
    <t xml:space="preserve">CharacterSpawnItem_Alpaca_5</t>
  </si>
  <si>
    <t xml:space="preserve">SkillUnlock_Serpent</t>
  </si>
  <si>
    <t xml:space="preserve">SkillUnlock_Serpent_Ground</t>
  </si>
  <si>
    <t xml:space="preserve">EPalTribeID::DarkCrow</t>
  </si>
  <si>
    <t xml:space="preserve">Unique_DarkCrow_TelePoke</t>
  </si>
  <si>
    <t xml:space="preserve">EPalTribeID::BlueDragon</t>
  </si>
  <si>
    <t xml:space="preserve">SkillUnlock_BlueDragon</t>
  </si>
  <si>
    <t xml:space="preserve">GiveAWater_Ride</t>
  </si>
  <si>
    <t xml:space="preserve">EPalTribeID::PinkCat</t>
  </si>
  <si>
    <t xml:space="preserve">PAL_ALLAttack_down1</t>
  </si>
  <si>
    <t xml:space="preserve">MaxInventoryWeight_up_Partnerskill_1</t>
  </si>
  <si>
    <t xml:space="preserve">MaxInventoryWeight_up_Partnerskill_2</t>
  </si>
  <si>
    <t xml:space="preserve">MaxInventoryWeight_up_Partnerskill_3</t>
  </si>
  <si>
    <t xml:space="preserve">EPalTribeID::NegativeKoala</t>
  </si>
  <si>
    <t xml:space="preserve">NightRunner</t>
  </si>
  <si>
    <t xml:space="preserve">EPalTribeID::FengyunDeeper</t>
  </si>
  <si>
    <t xml:space="preserve">SkillUnlock_FengyunDeeper</t>
  </si>
  <si>
    <t xml:space="preserve">SkillUnlock_VolcanicMonster</t>
  </si>
  <si>
    <t xml:space="preserve">SkillUnlock_VolcanicMonster_Ice</t>
  </si>
  <si>
    <t xml:space="preserve">SkillUnlock_GhostBeast</t>
  </si>
  <si>
    <t xml:space="preserve">WeakDamage_ActiveOtomo</t>
  </si>
  <si>
    <t xml:space="preserve">WeakDamage_ActiveOtomo_1</t>
  </si>
  <si>
    <t xml:space="preserve">WeakDamage_ActiveOtomo_2</t>
  </si>
  <si>
    <t xml:space="preserve">WeakDamage_ActiveOtomo_3</t>
  </si>
  <si>
    <t xml:space="preserve">WeakDamage_ActiveOtomo_4</t>
  </si>
  <si>
    <t xml:space="preserve">EPalGenusCategoryType::Monster</t>
  </si>
  <si>
    <t xml:space="preserve">PAL_FullStomach_Up_1</t>
  </si>
  <si>
    <t xml:space="preserve">SkillUnlock_LazyDragon</t>
  </si>
  <si>
    <t xml:space="preserve">UniqueRideShooting_MultiMissile</t>
  </si>
  <si>
    <t xml:space="preserve">SkillUnlock_LazyDragon_Electric</t>
  </si>
  <si>
    <t xml:space="preserve">SkillUnlock_AmaterasuWolf</t>
  </si>
  <si>
    <t xml:space="preserve">TemperatureInvalid_Cold</t>
  </si>
  <si>
    <t xml:space="preserve">TemperatureInvalid_Heat</t>
  </si>
  <si>
    <t xml:space="preserve">SearchDungeon</t>
  </si>
  <si>
    <t xml:space="preserve">Unique_BluePlatypus_Toboggan</t>
  </si>
  <si>
    <t xml:space="preserve">SkillUnlock_BirdDragon</t>
  </si>
  <si>
    <t xml:space="preserve">WeakDamage_Riding</t>
  </si>
  <si>
    <t xml:space="preserve">WeakDamage_Riding_1</t>
  </si>
  <si>
    <t xml:space="preserve">WeakDamage_Riding_2</t>
  </si>
  <si>
    <t xml:space="preserve">WeakDamage_Riding_3</t>
  </si>
  <si>
    <t xml:space="preserve">WeakDamage_Riding_4</t>
  </si>
  <si>
    <t xml:space="preserve">SkillUnlock_BirdDragon_Ice</t>
  </si>
  <si>
    <t xml:space="preserve">EPalTribeID::ChickenPal</t>
  </si>
  <si>
    <t xml:space="preserve">CharacterSpawnItem_Egg_1</t>
  </si>
  <si>
    <t xml:space="preserve">CharacterSpawnItem_Egg_2</t>
  </si>
  <si>
    <t xml:space="preserve">CharacterSpawnItem_Egg_3</t>
  </si>
  <si>
    <t xml:space="preserve">CharacterSpawnItem_Egg_4</t>
  </si>
  <si>
    <t xml:space="preserve">CharacterSpawnItem_Egg_5</t>
  </si>
  <si>
    <t xml:space="preserve">SkillUnlock_FlowerDinosaur</t>
  </si>
  <si>
    <t xml:space="preserve">ElementBoost_Leaf_PAL_PartnerSKill_1</t>
  </si>
  <si>
    <t xml:space="preserve">ElementBoost_Leaf_PAL_PartnerSKill_2</t>
  </si>
  <si>
    <t xml:space="preserve">ElementBoost_Leaf_PAL_PartnerSKill_3</t>
  </si>
  <si>
    <t xml:space="preserve">ElementBoost_Leaf_PAL_PartnerSKill_4</t>
  </si>
  <si>
    <t xml:space="preserve">ElementBoost_Leaf_PAL_PartnerSKill_5</t>
  </si>
  <si>
    <t xml:space="preserve">SkillUnlock_FlowerDinosaur_Electric</t>
  </si>
  <si>
    <t xml:space="preserve">ElementBoost_Electricity_PAL_PartnerSKill_1</t>
  </si>
  <si>
    <t xml:space="preserve">ElementBoost_Electricity_PAL_PartnerSKill_2</t>
  </si>
  <si>
    <t xml:space="preserve">ElementBoost_Electricity_PAL_PartnerSKill_3</t>
  </si>
  <si>
    <t xml:space="preserve">ElementBoost_Electricity_PAL_PartnerSKill_4</t>
  </si>
  <si>
    <t xml:space="preserve">ElementBoost_Electricity_PAL_PartnerSKill_5</t>
  </si>
  <si>
    <t xml:space="preserve">Electric Pal</t>
  </si>
  <si>
    <t xml:space="preserve">EPalBattleBGMType::Legend</t>
  </si>
  <si>
    <t xml:space="preserve">Legend</t>
  </si>
  <si>
    <t xml:space="preserve">ElementBoost_Ice_2_PAL</t>
  </si>
  <si>
    <t xml:space="preserve">SkillUnlock_IceHorse</t>
  </si>
  <si>
    <t xml:space="preserve">GiveAIce_Ride</t>
  </si>
  <si>
    <t xml:space="preserve">ElementBoost_Ice_PAL_PartnerSKill_1</t>
  </si>
  <si>
    <t xml:space="preserve">ElementBoost_Ice_PAL_PartnerSKill_2</t>
  </si>
  <si>
    <t xml:space="preserve">ElementBoost_Ice_PAL_PartnerSKill_3</t>
  </si>
  <si>
    <t xml:space="preserve">ElementBoost_Ice_PAL_PartnerSKill_4</t>
  </si>
  <si>
    <t xml:space="preserve">ElementBoost_Ice_PAL_PartnerSKill_5</t>
  </si>
  <si>
    <t xml:space="preserve">SkillUnlock_IceHorse_Dark</t>
  </si>
  <si>
    <t xml:space="preserve">ElementBoost_Dark_PAL_PartnerSKill_1</t>
  </si>
  <si>
    <t xml:space="preserve">ElementBoost_Dark_PAL_PartnerSKill_2</t>
  </si>
  <si>
    <t xml:space="preserve">ElementBoost_Dark_PAL_PartnerSKill_3</t>
  </si>
  <si>
    <t xml:space="preserve">ElementBoost_Dark_PAL_PartnerSKill_4</t>
  </si>
  <si>
    <t xml:space="preserve">ElementBoost_Dark_PAL_PartnerSKill_5</t>
  </si>
  <si>
    <t xml:space="preserve">SkillUnlock_GrassMammoth</t>
  </si>
  <si>
    <t xml:space="preserve">SkillUnlock_GrassMammoth_Ice</t>
  </si>
  <si>
    <t xml:space="preserve">Alive</t>
  </si>
  <si>
    <t xml:space="preserve">LifeSteal_1</t>
  </si>
  <si>
    <t xml:space="preserve">LifeSteal_2</t>
  </si>
  <si>
    <t xml:space="preserve">LifeSteal_3</t>
  </si>
  <si>
    <t xml:space="preserve">LifeSteal_4</t>
  </si>
  <si>
    <t xml:space="preserve">LifeSteal_5</t>
  </si>
  <si>
    <t xml:space="preserve">SkillUnlock_SakuraSaurus</t>
  </si>
  <si>
    <t xml:space="preserve">MaxInventoryWeight_up_Partnerskill_9</t>
  </si>
  <si>
    <t xml:space="preserve">MaxInventoryWeight_up_Partnerskill_10</t>
  </si>
  <si>
    <t xml:space="preserve">SkillUnlock_SakuraSaurus_Water</t>
  </si>
  <si>
    <t xml:space="preserve">SkillUnlock_Horus</t>
  </si>
  <si>
    <t xml:space="preserve">ElementAddDrop_Ice_1_PAL</t>
  </si>
  <si>
    <t xml:space="preserve">ElementAddDrop_Ice_2_PAL</t>
  </si>
  <si>
    <t xml:space="preserve">ElementAddDrop_Ice_3_PAL</t>
  </si>
  <si>
    <t xml:space="preserve">ElementAddDrop_Ice_4_PAL</t>
  </si>
  <si>
    <t xml:space="preserve">ElementAddDrop_Ice_5_PAL</t>
  </si>
  <si>
    <t xml:space="preserve">EPalTribeID::KingBahamut</t>
  </si>
  <si>
    <t xml:space="preserve">ElementBoost_Fire_2_PAL</t>
  </si>
  <si>
    <t xml:space="preserve">SkillUnlock_KingBahamut</t>
  </si>
  <si>
    <t xml:space="preserve">EPalTribeID::BerryGoat</t>
  </si>
  <si>
    <t xml:space="preserve">CharacterSpawnItem_Berries_1</t>
  </si>
  <si>
    <t xml:space="preserve">CharacterSpawnItem_Berries_2</t>
  </si>
  <si>
    <t xml:space="preserve">CharacterSpawnItem_Berries_3</t>
  </si>
  <si>
    <t xml:space="preserve">CharacterSpawnItem_Berries_4</t>
  </si>
  <si>
    <t xml:space="preserve">CharacterSpawnItem_Berries_5</t>
  </si>
  <si>
    <t xml:space="preserve">SkillUnlock_IceDeer</t>
  </si>
  <si>
    <t xml:space="preserve">SkillUnlock_BlackGriffon</t>
  </si>
  <si>
    <t xml:space="preserve">EPalTribeID::WhiteMoth</t>
  </si>
  <si>
    <t xml:space="preserve">IcicleThrow</t>
  </si>
  <si>
    <t xml:space="preserve">CharacterSpawnItem_Cloth2_1</t>
  </si>
  <si>
    <t xml:space="preserve">CharacterSpawnItem_Cloth2_2</t>
  </si>
  <si>
    <t xml:space="preserve">CharacterSpawnItem_Cloth2_3</t>
  </si>
  <si>
    <t xml:space="preserve">CharacterSpawnItem_Cloth2_4</t>
  </si>
  <si>
    <t xml:space="preserve">CharacterSpawnItem_Cloth2_5</t>
  </si>
  <si>
    <t xml:space="preserve">EPalTribeID::CuteFox</t>
  </si>
  <si>
    <t xml:space="preserve">CharacterSpawnItem_CuteFoxRank1</t>
  </si>
  <si>
    <t xml:space="preserve">CharacterSpawnItem_CuteFoxRank2</t>
  </si>
  <si>
    <t xml:space="preserve">CharacterSpawnItem_CuteFoxRank3</t>
  </si>
  <si>
    <t xml:space="preserve">CharacterSpawnItem_CuteFoxRank4</t>
  </si>
  <si>
    <t xml:space="preserve">CharacterSpawnItem_CuteFoxRank5</t>
  </si>
  <si>
    <t xml:space="preserve">EPalTribeID::FoxMage</t>
  </si>
  <si>
    <t xml:space="preserve">GiveAFire</t>
  </si>
  <si>
    <t xml:space="preserve">EPalTribeID::PinkLizard</t>
  </si>
  <si>
    <t xml:space="preserve">ElementResist_Normal_1_PAL</t>
  </si>
  <si>
    <t xml:space="preserve">EPalTribeID::WizardOwl</t>
  </si>
  <si>
    <t xml:space="preserve">Dark Pal</t>
  </si>
  <si>
    <t xml:space="preserve">EPalTribeID::Kelpie</t>
  </si>
  <si>
    <t xml:space="preserve">EPalGenusCategoryType::Dragon</t>
  </si>
  <si>
    <t xml:space="preserve">Water Pal</t>
  </si>
  <si>
    <t xml:space="preserve">EPalTribeID::Kelpie_Fire</t>
  </si>
  <si>
    <t xml:space="preserve">Fire Pal</t>
  </si>
  <si>
    <t xml:space="preserve">EPalTribeID::NegativeOctopus</t>
  </si>
  <si>
    <t xml:space="preserve">SkillUnlock_NegativeOctopus</t>
  </si>
  <si>
    <t xml:space="preserve">EPalTribeID::CowPal</t>
  </si>
  <si>
    <t xml:space="preserve">CharacterSpawnItem_Milk_1</t>
  </si>
  <si>
    <t xml:space="preserve">CharacterSpawnItem_Milk_2</t>
  </si>
  <si>
    <t xml:space="preserve">CharacterSpawnItem_Milk_3</t>
  </si>
  <si>
    <t xml:space="preserve">CharacterSpawnItem_Milk_4</t>
  </si>
  <si>
    <t xml:space="preserve">CharacterSpawnItem_Milk_5</t>
  </si>
  <si>
    <t xml:space="preserve">SkillUnlock_Yeti</t>
  </si>
  <si>
    <t xml:space="preserve">MaxInventoryWeight_up_Partnerskill_11</t>
  </si>
  <si>
    <t xml:space="preserve">MaxInventoryWeight_up_Partnerskill_12</t>
  </si>
  <si>
    <t xml:space="preserve">EPalTribeID::Yeti_Grass</t>
  </si>
  <si>
    <t xml:space="preserve">SkillUnlock_Yeti_Grass</t>
  </si>
  <si>
    <t xml:space="preserve">EPalTribeID::VioletFairy</t>
  </si>
  <si>
    <t xml:space="preserve">ElementAddDrop_Earth_1_PAL</t>
  </si>
  <si>
    <t xml:space="preserve">ElementAddDrop_Earth_2_PAL</t>
  </si>
  <si>
    <t xml:space="preserve">ElementAddDrop_Earth_3_PAL</t>
  </si>
  <si>
    <t xml:space="preserve">ElementAddDrop_Earth_4_PAL</t>
  </si>
  <si>
    <t xml:space="preserve">ElementAddDrop_Earth_5_PAL</t>
  </si>
  <si>
    <t xml:space="preserve">EPalTribeID::HawkBird</t>
  </si>
  <si>
    <t xml:space="preserve">SkillUnlock_HawkBird</t>
  </si>
  <si>
    <t xml:space="preserve">EPalTribeID::FlowerRabbit</t>
  </si>
  <si>
    <t xml:space="preserve">SkillUnlock_FlowerRabbit</t>
  </si>
  <si>
    <t xml:space="preserve">ElementBoost_Leaf_2_PAL</t>
  </si>
  <si>
    <t xml:space="preserve">Heal_LilyQueen</t>
  </si>
  <si>
    <t xml:space="preserve">EPalTribeID::QueenBee</t>
  </si>
  <si>
    <t xml:space="preserve">ATK_up_PartnerSkill_1</t>
  </si>
  <si>
    <t xml:space="preserve">ATK_up_PartnerSkill_2</t>
  </si>
  <si>
    <t xml:space="preserve">ATK_up_PartnerSkill_3</t>
  </si>
  <si>
    <t xml:space="preserve">ATK_up_PartnerSkill_4</t>
  </si>
  <si>
    <t xml:space="preserve">EPalTribeID::SoldierBee</t>
  </si>
  <si>
    <t xml:space="preserve">CharacterSpawnItem_SoldierBee_1</t>
  </si>
  <si>
    <t xml:space="preserve">CharacterSpawnItem_SoldierBee_2</t>
  </si>
  <si>
    <t xml:space="preserve">CharacterSpawnItem_SoldierBee_3</t>
  </si>
  <si>
    <t xml:space="preserve">CharacterSpawnItem_SoldierBee_4</t>
  </si>
  <si>
    <t xml:space="preserve">CharacterSpawnItem_SoldierBee_5</t>
  </si>
  <si>
    <t xml:space="preserve">PAL_TribePassive_Test</t>
  </si>
  <si>
    <t xml:space="preserve">PAL_TribePassive_1</t>
  </si>
  <si>
    <t xml:space="preserve">PAL_TribePassive_2</t>
  </si>
  <si>
    <t xml:space="preserve">PAL_TribePassive_3</t>
  </si>
  <si>
    <t xml:space="preserve">PAL_TribePassive_4</t>
  </si>
  <si>
    <t xml:space="preserve">EPalTribeID::CatBat</t>
  </si>
  <si>
    <t xml:space="preserve">SearchPal</t>
  </si>
  <si>
    <t xml:space="preserve">SkillUnlock_GrassPanda</t>
  </si>
  <si>
    <t xml:space="preserve">UniqueRideShooting_DualGrenadeLauncher</t>
  </si>
  <si>
    <t xml:space="preserve">SkillUnlock_GrassPanda_Electric</t>
  </si>
  <si>
    <t xml:space="preserve">EPalTribeID::FlameBuffalo</t>
  </si>
  <si>
    <t xml:space="preserve">SkillUnlock_FlameBuffalo</t>
  </si>
  <si>
    <t xml:space="preserve">SkillUnlock_ThunderDog</t>
  </si>
  <si>
    <t xml:space="preserve">SearchMine</t>
  </si>
  <si>
    <t xml:space="preserve">SkillUnlock_BlackMetalDragon</t>
  </si>
  <si>
    <t xml:space="preserve">Mining_up7_Otomo_only</t>
  </si>
  <si>
    <t xml:space="preserve">Mining_up8_Otomo_only</t>
  </si>
  <si>
    <t xml:space="preserve">EPalTribeID::GrassRabbitMan</t>
  </si>
  <si>
    <t xml:space="preserve">GiveALeaf</t>
  </si>
  <si>
    <t xml:space="preserve">MoveSpeed_up_PartnerSkill_1</t>
  </si>
  <si>
    <t xml:space="preserve">MoveSpeed_up_PartnerSkill_2</t>
  </si>
  <si>
    <t xml:space="preserve">MoveSpeed_up_PartnerSkill_3</t>
  </si>
  <si>
    <t xml:space="preserve">MoveSpeed_up_PartnerSkill_4</t>
  </si>
  <si>
    <t xml:space="preserve">MoveSpeed_up_PartnerSkill_5</t>
  </si>
  <si>
    <t xml:space="preserve">Ice Pal</t>
  </si>
  <si>
    <t xml:space="preserve">ElementBoost_Dragon_2_PAL</t>
  </si>
  <si>
    <t xml:space="preserve">SkillUnlock_JetDragon</t>
  </si>
  <si>
    <t xml:space="preserve">UniqueRideShooting_JetMissile</t>
  </si>
  <si>
    <t xml:space="preserve">EPalTribeID::DreamDemon</t>
  </si>
  <si>
    <t xml:space="preserve">SkillUnlock_DreamDemon</t>
  </si>
  <si>
    <t xml:space="preserve">Funnel_DreamDemon</t>
  </si>
  <si>
    <t xml:space="preserve">EPalTribeID::Monkey</t>
  </si>
  <si>
    <t xml:space="preserve">SkillUnlock_Monkey</t>
  </si>
  <si>
    <t xml:space="preserve">AssaultRifle</t>
  </si>
  <si>
    <t xml:space="preserve">SkillUnlock_Manticore</t>
  </si>
  <si>
    <t xml:space="preserve">ElementAddDrop_Leaf_1_PAL</t>
  </si>
  <si>
    <t xml:space="preserve">ElementAddDrop_Leaf_2_PAL</t>
  </si>
  <si>
    <t xml:space="preserve">ElementAddDrop_Leaf_3_PAL</t>
  </si>
  <si>
    <t xml:space="preserve">ElementAddDrop_Leaf_4_PAL</t>
  </si>
  <si>
    <t xml:space="preserve">ElementAddDrop_Leaf_5_PAL</t>
  </si>
  <si>
    <t xml:space="preserve">SkillUnlock_Manticore_Dark</t>
  </si>
  <si>
    <t xml:space="preserve">ElementAddDrop_Normal_1_PAL</t>
  </si>
  <si>
    <t xml:space="preserve">ElementAddDrop_Normal_2_PAL</t>
  </si>
  <si>
    <t xml:space="preserve">ElementAddDrop_Normal_3_PAL</t>
  </si>
  <si>
    <t xml:space="preserve">ElementAddDrop_Normal_4_PAL</t>
  </si>
  <si>
    <t xml:space="preserve">ElementAddDrop_Normal_5_PAL</t>
  </si>
  <si>
    <t xml:space="preserve">SkillUnlock_KingAlpaca</t>
  </si>
  <si>
    <t xml:space="preserve">SkillUnlock_KingAlpaca_Ice</t>
  </si>
  <si>
    <t xml:space="preserve">EPalTribeID::PlantSlime</t>
  </si>
  <si>
    <t xml:space="preserve">TrainerLogging_up_PartnerSkill_1</t>
  </si>
  <si>
    <t xml:space="preserve">TrainerLogging_up_PartnerSkill_2</t>
  </si>
  <si>
    <t xml:space="preserve">TrainerLogging_up_PartnerSkill_3</t>
  </si>
  <si>
    <t xml:space="preserve">TrainerLogging_up_PartnerSkill_4</t>
  </si>
  <si>
    <t xml:space="preserve">TrainerLogging_up_PartnerSkill_5</t>
  </si>
  <si>
    <t xml:space="preserve">PAL_NAME_PlantSlime</t>
  </si>
  <si>
    <t xml:space="preserve">PARTNERSKILL_PlantSlime</t>
  </si>
  <si>
    <t xml:space="preserve">EPalTribeID::MopKing</t>
  </si>
  <si>
    <t xml:space="preserve">SkillUnlock_MopKing</t>
  </si>
  <si>
    <t xml:space="preserve">EPalTribeID::PinkRabbit</t>
  </si>
  <si>
    <t xml:space="preserve">working at weapon workbench or weapon assembly I/II</t>
  </si>
  <si>
    <t xml:space="preserve">CraftSpeed_PartnerSkill_1</t>
  </si>
  <si>
    <t xml:space="preserve">CraftSpeed_PartnerSkill_2</t>
  </si>
  <si>
    <t xml:space="preserve">CraftSpeed_PartnerSkill_3</t>
  </si>
  <si>
    <t xml:space="preserve">CraftSpeed_PartnerSkill_4</t>
  </si>
  <si>
    <t xml:space="preserve">CraftSpeed_PartnerSkill_5</t>
  </si>
  <si>
    <t xml:space="preserve">Normal Pal</t>
  </si>
  <si>
    <t xml:space="preserve">EPalTribeID::ThunderBird</t>
  </si>
  <si>
    <t xml:space="preserve">SkillUnlock_ThunderBird</t>
  </si>
  <si>
    <t xml:space="preserve">EPalTribeID::HerculesBeetle</t>
  </si>
  <si>
    <t xml:space="preserve">TrainerFireResist_UP_PartnerSkill_1</t>
  </si>
  <si>
    <t xml:space="preserve">TrainerFireResist_UP_PartnerSkill_2</t>
  </si>
  <si>
    <t xml:space="preserve">TrainerFireResist_UP_PartnerSkill_3</t>
  </si>
  <si>
    <t xml:space="preserve">TrainerFireResist_UP_PartnerSkill_4</t>
  </si>
  <si>
    <t xml:space="preserve">TrainerFireResist_UP_PartnerSkill_5</t>
  </si>
  <si>
    <t xml:space="preserve">TrainerDEF_UP_PartnerSkill_1</t>
  </si>
  <si>
    <t xml:space="preserve">TrainerDEF_UP_PartnerSkill_2</t>
  </si>
  <si>
    <t xml:space="preserve">TrainerDEF_UP_PartnerSkill_3</t>
  </si>
  <si>
    <t xml:space="preserve">TrainerDEF_UP_PartnerSkill_4</t>
  </si>
  <si>
    <t xml:space="preserve">TrainerDEF_UP_PartnerSkill_5</t>
  </si>
  <si>
    <t xml:space="preserve">ElementBoost_Normal_2_PAL</t>
  </si>
  <si>
    <t xml:space="preserve">SkillUnlock_SaintCentaur</t>
  </si>
  <si>
    <t xml:space="preserve">EPalTribeID::NightFox</t>
  </si>
  <si>
    <t xml:space="preserve">GiveADark</t>
  </si>
  <si>
    <t xml:space="preserve">EPalTribeID::CaptainPenguin</t>
  </si>
  <si>
    <t xml:space="preserve">EPalTribeID::WeaselDragon</t>
  </si>
  <si>
    <t xml:space="preserve">SkillUnlock_WeaselDragon</t>
  </si>
  <si>
    <t xml:space="preserve">GiveADragon_Ride</t>
  </si>
  <si>
    <t xml:space="preserve">EPalTribeID::SkyDragon</t>
  </si>
  <si>
    <t xml:space="preserve">SkillUnlock_SkyDragon</t>
  </si>
  <si>
    <t xml:space="preserve">ElementBoost_Dragon_PAL_PartnerSKill_1</t>
  </si>
  <si>
    <t xml:space="preserve">ElementBoost_Dragon_PAL_PartnerSKill_2</t>
  </si>
  <si>
    <t xml:space="preserve">ElementBoost_Dragon_PAL_PartnerSKill_3</t>
  </si>
  <si>
    <t xml:space="preserve">ElementBoost_Dragon_PAL_PartnerSKill_4</t>
  </si>
  <si>
    <t xml:space="preserve">ElementBoost_Dragon_PAL_PartnerSKill_5</t>
  </si>
  <si>
    <t xml:space="preserve">SkillUnlock_HadesBird</t>
  </si>
  <si>
    <t xml:space="preserve">EPalTribeID::RedArmorBird</t>
  </si>
  <si>
    <t xml:space="preserve">SkillUnlock_RedArmorBird</t>
  </si>
  <si>
    <t xml:space="preserve">EPalTribeID::Ronin</t>
  </si>
  <si>
    <t xml:space="preserve">Unique_Ronin_Iai</t>
  </si>
  <si>
    <t xml:space="preserve">EPalTribeID::FlyingManta</t>
  </si>
  <si>
    <t xml:space="preserve">SkillUnlock_FlyingManta</t>
  </si>
  <si>
    <t xml:space="preserve">ElementBoost_Dark_2_PAL</t>
  </si>
  <si>
    <t xml:space="preserve">killUnlock_BlackCentaur</t>
  </si>
  <si>
    <t xml:space="preserve">Heal_FlowerDoll</t>
  </si>
  <si>
    <t xml:space="preserve">EPalTribeID::NaughtyCat</t>
  </si>
  <si>
    <t xml:space="preserve">SkillUnlock_NaughtyCat</t>
  </si>
  <si>
    <t xml:space="preserve">ElementBoost_Normal_PAL_PartnerSKill_1</t>
  </si>
  <si>
    <t xml:space="preserve">ElementBoost_Normal_PAL_PartnerSKill_2</t>
  </si>
  <si>
    <t xml:space="preserve">ElementBoost_Normal_PAL_PartnerSKill_3</t>
  </si>
  <si>
    <t xml:space="preserve">ElementBoost_Normal_PAL_PartnerSKill_4</t>
  </si>
  <si>
    <t xml:space="preserve">ElementBoost_Normal_PAL_PartnerSKill_5</t>
  </si>
  <si>
    <t xml:space="preserve">EPalTribeID::CuteButterfly</t>
  </si>
  <si>
    <t xml:space="preserve">PoisonFog</t>
  </si>
  <si>
    <t xml:space="preserve">TrainerDEF_UP_PartnerSkill_6</t>
  </si>
  <si>
    <t xml:space="preserve">TrainerDEF_UP_PartnerSkill_7</t>
  </si>
  <si>
    <t xml:space="preserve">ElementAddDrop_Thunder_1_PAL</t>
  </si>
  <si>
    <t xml:space="preserve">ElementAddDrop_Thunder_2_PAL</t>
  </si>
  <si>
    <t xml:space="preserve">ElementAddDrop_Thunder_3_PAL</t>
  </si>
  <si>
    <t xml:space="preserve">ElementAddDrop_Thunder_4_PAL</t>
  </si>
  <si>
    <t xml:space="preserve">ElementAddDrop_Thunder_5_PAL</t>
  </si>
  <si>
    <t xml:space="preserve">ElementBoost_Thunder_2_PAL</t>
  </si>
  <si>
    <t xml:space="preserve">ElementAddDrop_Aqua_1_PAL</t>
  </si>
  <si>
    <t xml:space="preserve">ElementAddDrop_Aqua_2_PAL</t>
  </si>
  <si>
    <t xml:space="preserve">ElementAddDrop_Aqua_3_PAL</t>
  </si>
  <si>
    <t xml:space="preserve">ElementAddDrop_Aqua_4_PAL</t>
  </si>
  <si>
    <t xml:space="preserve">ElementAddDrop_Aqua_5_PAL</t>
  </si>
  <si>
    <t xml:space="preserve">EPalTribeID::WoolFox</t>
  </si>
  <si>
    <t xml:space="preserve">Earth Pal</t>
  </si>
  <si>
    <t xml:space="preserve">CharacterSpawnItem_LavaGirl_1</t>
  </si>
  <si>
    <t xml:space="preserve">CharacterSpawnItem_LavaGirl_2</t>
  </si>
  <si>
    <t xml:space="preserve">CharacterSpawnItem_LavaGirl_3</t>
  </si>
  <si>
    <t xml:space="preserve">CharacterSpawnItem_LavaGirl_4</t>
  </si>
  <si>
    <t xml:space="preserve">CharacterSpawnItem_LavaGirl_5</t>
  </si>
  <si>
    <t xml:space="preserve">BOSS_Alpaca</t>
  </si>
  <si>
    <t xml:space="preserve">PAL_NAME_Alpaca</t>
  </si>
  <si>
    <t xml:space="preserve">BOSS_NAME_Alpaca</t>
  </si>
  <si>
    <t xml:space="preserve">PARTNERSKILL_Alpaca</t>
  </si>
  <si>
    <t xml:space="preserve">EPalBattleBGMType::FieldBoss</t>
  </si>
  <si>
    <t xml:space="preserve">Alpha Kitsun</t>
  </si>
  <si>
    <t xml:space="preserve">BOSS_AmaterasuWolf</t>
  </si>
  <si>
    <t xml:space="preserve">PAL_NAME_AmaterasuWolf</t>
  </si>
  <si>
    <t xml:space="preserve">BOSS_NAME_AmaterasuWolf</t>
  </si>
  <si>
    <t xml:space="preserve">PARTNERSKILL_AmaterasuWolf</t>
  </si>
  <si>
    <t xml:space="preserve">Boss</t>
  </si>
  <si>
    <t xml:space="preserve">Alpha Anubis</t>
  </si>
  <si>
    <t xml:space="preserve">Boss_Anubis</t>
  </si>
  <si>
    <t xml:space="preserve">PAL_NAME_Anubis</t>
  </si>
  <si>
    <t xml:space="preserve">BOSS_NAME_Anubis</t>
  </si>
  <si>
    <t xml:space="preserve">PARTNERSKILL_Anubis</t>
  </si>
  <si>
    <t xml:space="preserve">Alpha Incineram</t>
  </si>
  <si>
    <t xml:space="preserve">BOSS_Baphomet</t>
  </si>
  <si>
    <t xml:space="preserve">PAL_NAME_Baphomet</t>
  </si>
  <si>
    <t xml:space="preserve">BOSS_NAME_Baphomet</t>
  </si>
  <si>
    <t xml:space="preserve">PARTNERSKILL_Baphomet</t>
  </si>
  <si>
    <t xml:space="preserve">Alpha Incineram Noct</t>
  </si>
  <si>
    <t xml:space="preserve">BOSS_Baphomet_Dark</t>
  </si>
  <si>
    <t xml:space="preserve">PAL_NAME_Baphomet_Dark</t>
  </si>
  <si>
    <t xml:space="preserve">BOSS_NAME_Baphomet_Dark</t>
  </si>
  <si>
    <t xml:space="preserve">PARTNERSKILL_Baphomet_Dark</t>
  </si>
  <si>
    <t xml:space="preserve">Alpha Mau</t>
  </si>
  <si>
    <t xml:space="preserve">BOSS_Bastet</t>
  </si>
  <si>
    <t xml:space="preserve">PAL_NAME_Bastet</t>
  </si>
  <si>
    <t xml:space="preserve">BOSS_NAME_Bastet</t>
  </si>
  <si>
    <t xml:space="preserve">PARTNERSKILL_Bastet</t>
  </si>
  <si>
    <t xml:space="preserve">Alpha Mau Cryst</t>
  </si>
  <si>
    <t xml:space="preserve">BOSS_Bastet_Ice</t>
  </si>
  <si>
    <t xml:space="preserve">PAL_NAME_Bastet_Ice</t>
  </si>
  <si>
    <t xml:space="preserve">BOSS_NAME_Bastet_Ice</t>
  </si>
  <si>
    <t xml:space="preserve">PARTNERSKILL_Bastet_Ice</t>
  </si>
  <si>
    <t xml:space="preserve">Alpha Caprity</t>
  </si>
  <si>
    <t xml:space="preserve">BOSS_BerryGoat</t>
  </si>
  <si>
    <t xml:space="preserve">PAL_NAME_BerryGoat</t>
  </si>
  <si>
    <t xml:space="preserve">BOSS_NAME_BerryGoat</t>
  </si>
  <si>
    <t xml:space="preserve">PARTNERSKILL_BerryGoat</t>
  </si>
  <si>
    <t xml:space="preserve">Alpha Vanwyrm</t>
  </si>
  <si>
    <t xml:space="preserve">BOSS_BirdDragon</t>
  </si>
  <si>
    <t xml:space="preserve">PAL_NAME_BirdDragon</t>
  </si>
  <si>
    <t xml:space="preserve">BOSS_NAME_BirdDragon</t>
  </si>
  <si>
    <t xml:space="preserve">PARTNERSKILL_BirdDragon</t>
  </si>
  <si>
    <t xml:space="preserve">Alpha Vanwyrm Cryst</t>
  </si>
  <si>
    <t xml:space="preserve">BOSS_BirdDragon_Ice</t>
  </si>
  <si>
    <t xml:space="preserve">PAL_NAME_BirdDragon_Ice</t>
  </si>
  <si>
    <t xml:space="preserve">BOSS_NAME_BirdDragon_Ice</t>
  </si>
  <si>
    <t xml:space="preserve">PARTNERSKILL_BirdDragon_Ice</t>
  </si>
  <si>
    <t xml:space="preserve">BOSS_BlackCentaur</t>
  </si>
  <si>
    <t xml:space="preserve">PAL_NAME_BlackCentaur</t>
  </si>
  <si>
    <t xml:space="preserve">BOSS_NAME_BlackCentaur</t>
  </si>
  <si>
    <t xml:space="preserve">PARTNERSKILL_BlackCentaur</t>
  </si>
  <si>
    <t xml:space="preserve">Alpha Shadowbeak</t>
  </si>
  <si>
    <t xml:space="preserve">BOSS_BlackGriffon</t>
  </si>
  <si>
    <t xml:space="preserve">PAL_NAME_BlackGriffon</t>
  </si>
  <si>
    <t xml:space="preserve">BOSS_NAME_BlackGriffon</t>
  </si>
  <si>
    <t xml:space="preserve">PARTNERSKILL_BlackGriffon</t>
  </si>
  <si>
    <t xml:space="preserve">Alpha Astegon</t>
  </si>
  <si>
    <t xml:space="preserve">BOSS_BlackMetalDragon</t>
  </si>
  <si>
    <t xml:space="preserve">PAL_NAME_BlackMetalDragon</t>
  </si>
  <si>
    <t xml:space="preserve">BOSS_NAME_BlackMetalDragon</t>
  </si>
  <si>
    <t xml:space="preserve">PARTNERSKILL_BlackMetalDragon</t>
  </si>
  <si>
    <t xml:space="preserve">Alpha Azurobe</t>
  </si>
  <si>
    <t xml:space="preserve">BOSS_BlueDragon</t>
  </si>
  <si>
    <t xml:space="preserve">PAL_NAME_BlueDragon</t>
  </si>
  <si>
    <t xml:space="preserve">BOSS_NAME_BlueDragon</t>
  </si>
  <si>
    <t xml:space="preserve">PARTNERSKILL_BlueDragon</t>
  </si>
  <si>
    <t xml:space="preserve">Alpha Fuack</t>
  </si>
  <si>
    <t xml:space="preserve">BOSS_Blueplatypus</t>
  </si>
  <si>
    <t xml:space="preserve">PAL_NAME_BluePlatypus</t>
  </si>
  <si>
    <t xml:space="preserve">BOSS_NAME_Blueplatypus</t>
  </si>
  <si>
    <t xml:space="preserve">PARTNERSKILL_BluePlatypus</t>
  </si>
  <si>
    <t xml:space="preserve">Alpha Rushoar</t>
  </si>
  <si>
    <t xml:space="preserve">BOSS_Boar</t>
  </si>
  <si>
    <t xml:space="preserve">PAL_NAME_Boar</t>
  </si>
  <si>
    <t xml:space="preserve">BOSS_NAME_Boar</t>
  </si>
  <si>
    <t xml:space="preserve">PARTNERSKILL_Boar</t>
  </si>
  <si>
    <t xml:space="preserve">Alpha Penking</t>
  </si>
  <si>
    <t xml:space="preserve">BOSS_CaptainPenguin</t>
  </si>
  <si>
    <t xml:space="preserve">PAL_NAME_CaptainPenguin</t>
  </si>
  <si>
    <t xml:space="preserve">BOSS_NAME_CaptainPenguin</t>
  </si>
  <si>
    <t xml:space="preserve">PARTNERSKILL_CaptainPenguin</t>
  </si>
  <si>
    <t xml:space="preserve">Alpha Lifmunk</t>
  </si>
  <si>
    <t xml:space="preserve">BOSS_Carbunclo</t>
  </si>
  <si>
    <t xml:space="preserve">PAL_NAME_Carbunclo</t>
  </si>
  <si>
    <t xml:space="preserve">BOSS_NAME_Carbunclo</t>
  </si>
  <si>
    <t xml:space="preserve">PARTNERSKILL_Carbunclo</t>
  </si>
  <si>
    <t xml:space="preserve">Alpha Tombat</t>
  </si>
  <si>
    <t xml:space="preserve">BOSS_CatBat</t>
  </si>
  <si>
    <t xml:space="preserve">PAL_NAME_CatBat</t>
  </si>
  <si>
    <t xml:space="preserve">BOSS_NAME_CatBat</t>
  </si>
  <si>
    <t xml:space="preserve">PARTNERSKILL_CatBat</t>
  </si>
  <si>
    <t xml:space="preserve">Alpha Katress</t>
  </si>
  <si>
    <t xml:space="preserve">BOSS_CatMage</t>
  </si>
  <si>
    <t xml:space="preserve">PAL_NAME_CatMage</t>
  </si>
  <si>
    <t xml:space="preserve">BOSS_NAME_CatMage</t>
  </si>
  <si>
    <t xml:space="preserve">PARTNERSKILL_CatMage</t>
  </si>
  <si>
    <t xml:space="preserve">Alpha Felbat</t>
  </si>
  <si>
    <t xml:space="preserve">BOSS_CatVampire</t>
  </si>
  <si>
    <t xml:space="preserve">PAL_NAME_CatVampire</t>
  </si>
  <si>
    <t xml:space="preserve">BOSS_NAME_CatVampire</t>
  </si>
  <si>
    <t xml:space="preserve">PARTNERSKILL_CatVampire</t>
  </si>
  <si>
    <t xml:space="preserve">Alpha Chikipi</t>
  </si>
  <si>
    <t xml:space="preserve">BOSS_ChickenPal</t>
  </si>
  <si>
    <t xml:space="preserve">PAL_NAME_ChickenPal</t>
  </si>
  <si>
    <t xml:space="preserve">BOSS_NAME_ChickenPal</t>
  </si>
  <si>
    <t xml:space="preserve">PARTNERSKILL_ChickenPal</t>
  </si>
  <si>
    <t xml:space="preserve">Alpha Tocotoco</t>
  </si>
  <si>
    <t xml:space="preserve">BOSS_ColorfulBird</t>
  </si>
  <si>
    <t xml:space="preserve">PAL_NAME_ColorfulBird</t>
  </si>
  <si>
    <t xml:space="preserve">BOSS_NAME_ColorfulBird</t>
  </si>
  <si>
    <t xml:space="preserve">PARTNERSKILL_ColorfulBird</t>
  </si>
  <si>
    <t xml:space="preserve">Alpha Mozzarina</t>
  </si>
  <si>
    <t xml:space="preserve">BOSS_CowPal</t>
  </si>
  <si>
    <t xml:space="preserve">PAL_NAME_CowPal</t>
  </si>
  <si>
    <t xml:space="preserve">BOSS_NAME_CowPal</t>
  </si>
  <si>
    <t xml:space="preserve">PARTNERSKILL_CowPal</t>
  </si>
  <si>
    <t xml:space="preserve">Alpha Cinnamoth</t>
  </si>
  <si>
    <t xml:space="preserve">BOSS_CuteButterfly</t>
  </si>
  <si>
    <t xml:space="preserve">PAL_NAME_CuteButterfly</t>
  </si>
  <si>
    <t xml:space="preserve">BOSS_NAME_CuteButterfly</t>
  </si>
  <si>
    <t xml:space="preserve">PARTNERSKILL_CuteButterfly</t>
  </si>
  <si>
    <t xml:space="preserve">Alpha Vixy</t>
  </si>
  <si>
    <t xml:space="preserve">BOSS_CuteFox</t>
  </si>
  <si>
    <t xml:space="preserve">PAL_NAME_CuteFox</t>
  </si>
  <si>
    <t xml:space="preserve">BOSS_NAME_CuteFox</t>
  </si>
  <si>
    <t xml:space="preserve">PARTNERSKILL_CuteFox</t>
  </si>
  <si>
    <t xml:space="preserve">Alpha Fuddler</t>
  </si>
  <si>
    <t xml:space="preserve">BOSS_CuteMole</t>
  </si>
  <si>
    <t xml:space="preserve">PAL_NAME_CuteMole</t>
  </si>
  <si>
    <t xml:space="preserve">BOSS_NAME_CuteMole</t>
  </si>
  <si>
    <t xml:space="preserve">PARTNERSKILL_CuteMole</t>
  </si>
  <si>
    <t xml:space="preserve">Alpha Cawgnito</t>
  </si>
  <si>
    <t xml:space="preserve">BOSS_DarkCrow</t>
  </si>
  <si>
    <t xml:space="preserve">PAL_NAME_DarkCrow</t>
  </si>
  <si>
    <t xml:space="preserve">BOSS_NAME_DarkCrow</t>
  </si>
  <si>
    <t xml:space="preserve">PARTNERSKILL_DarkCrow</t>
  </si>
  <si>
    <t xml:space="preserve">Alpha Menasting</t>
  </si>
  <si>
    <t xml:space="preserve">BOSS_DarkScorpion</t>
  </si>
  <si>
    <t xml:space="preserve">PAL_NAME_DarkScorpion</t>
  </si>
  <si>
    <t xml:space="preserve">BOSS_NAME_DarkScorpion</t>
  </si>
  <si>
    <t xml:space="preserve">PARTNERSKILL_DarkScorpion</t>
  </si>
  <si>
    <t xml:space="preserve">Alpha Eikthyrdeer</t>
  </si>
  <si>
    <t xml:space="preserve">BOSS_Deer</t>
  </si>
  <si>
    <t xml:space="preserve">PAL_NAME_Deer</t>
  </si>
  <si>
    <t xml:space="preserve">BOSS_NAME_Deer</t>
  </si>
  <si>
    <t xml:space="preserve">PARTNERSKILL_Deer</t>
  </si>
  <si>
    <t xml:space="preserve">Alpha Eikthyrdeer Terra</t>
  </si>
  <si>
    <t xml:space="preserve">BOSS_Deer_Ground</t>
  </si>
  <si>
    <t xml:space="preserve">PAL_NAME_Deer_Ground</t>
  </si>
  <si>
    <t xml:space="preserve">BOSS_NAME_Deer_Ground</t>
  </si>
  <si>
    <t xml:space="preserve">PARTNERSKILL_Deer_Ground</t>
  </si>
  <si>
    <t xml:space="preserve">Alpha Daedream</t>
  </si>
  <si>
    <t xml:space="preserve">BOSS_DreamDemon</t>
  </si>
  <si>
    <t xml:space="preserve">PAL_NAME_DreamDemon</t>
  </si>
  <si>
    <t xml:space="preserve">BOSS_NAME_DreamDemon</t>
  </si>
  <si>
    <t xml:space="preserve">PARTNERSKILL_DreamDemon</t>
  </si>
  <si>
    <t xml:space="preserve">Alpha Digtoise</t>
  </si>
  <si>
    <t xml:space="preserve">BOSS_DrillGame</t>
  </si>
  <si>
    <t xml:space="preserve">PAL_NAME_DrillGame</t>
  </si>
  <si>
    <t xml:space="preserve">BOSS_NAME_DrillGame</t>
  </si>
  <si>
    <t xml:space="preserve">PARTNERSKILL_DrillGame</t>
  </si>
  <si>
    <t xml:space="preserve">Alpha Galeclaw</t>
  </si>
  <si>
    <t xml:space="preserve">BOSS_Eagle</t>
  </si>
  <si>
    <t xml:space="preserve">PAL_NAME_Eagle</t>
  </si>
  <si>
    <t xml:space="preserve">BOSS_NAME_Eagle</t>
  </si>
  <si>
    <t xml:space="preserve">PARTNERSKILL_Eagle</t>
  </si>
  <si>
    <t xml:space="preserve">BOSS_ElecCat</t>
  </si>
  <si>
    <t xml:space="preserve">PAL_NAME_ElecCat</t>
  </si>
  <si>
    <t xml:space="preserve">BOSS_NAME_ElecCat</t>
  </si>
  <si>
    <t xml:space="preserve">PARTNERSKILL_ElecCat</t>
  </si>
  <si>
    <t xml:space="preserve">Alpha Grizzbolt</t>
  </si>
  <si>
    <t xml:space="preserve">BOSS_ElecPanda</t>
  </si>
  <si>
    <t xml:space="preserve">PAL_NAME_ElecPanda</t>
  </si>
  <si>
    <t xml:space="preserve">BOSS_NAME_ElecPanda</t>
  </si>
  <si>
    <t xml:space="preserve">PARTNERSKILL_ElecPanda</t>
  </si>
  <si>
    <t xml:space="preserve">Alpha Elphidran</t>
  </si>
  <si>
    <t xml:space="preserve">BOSS_FairyDragon</t>
  </si>
  <si>
    <t xml:space="preserve">PAL_NAME_FairyDragon</t>
  </si>
  <si>
    <t xml:space="preserve">BOSS_NAME_FairyDragon</t>
  </si>
  <si>
    <t xml:space="preserve">PARTNERSKILL_FairyDragon</t>
  </si>
  <si>
    <t xml:space="preserve">Alpha Elphidran Aqua</t>
  </si>
  <si>
    <t xml:space="preserve">BOSS_FairyDragon_Water</t>
  </si>
  <si>
    <t xml:space="preserve">PAL_NAME_FairyDragon_Water</t>
  </si>
  <si>
    <t xml:space="preserve">BOSS_NAME_FairyDragon_Water</t>
  </si>
  <si>
    <t xml:space="preserve">PARTNERSKILL_FairyDragon_Water</t>
  </si>
  <si>
    <t xml:space="preserve">Alpha Fenglope</t>
  </si>
  <si>
    <t xml:space="preserve">BOSS_FengyunDeeper</t>
  </si>
  <si>
    <t xml:space="preserve">PAL_NAME_FengyunDeeper</t>
  </si>
  <si>
    <t xml:space="preserve">BOSS_NAME_FengyunDeeper</t>
  </si>
  <si>
    <t xml:space="preserve">PARTNERSKILL_FengyunDeeper</t>
  </si>
  <si>
    <t xml:space="preserve">Alpha Pyrin</t>
  </si>
  <si>
    <t xml:space="preserve">BOSS_FireKirin</t>
  </si>
  <si>
    <t xml:space="preserve">PAL_NAME_FireKirin</t>
  </si>
  <si>
    <t xml:space="preserve">BOSS_NAME_FireKirin</t>
  </si>
  <si>
    <t xml:space="preserve">PARTNERSKILL_FireKirin</t>
  </si>
  <si>
    <t xml:space="preserve">Alpha Pyrin Noct</t>
  </si>
  <si>
    <t xml:space="preserve">BOSS_FireKirin_Dark</t>
  </si>
  <si>
    <t xml:space="preserve">PAL_NAME_FireKirin_Dark</t>
  </si>
  <si>
    <t xml:space="preserve">BOSS_NAME_FireKirin_Dark</t>
  </si>
  <si>
    <t xml:space="preserve">PARTNERSKILL_FireKirin_Dark</t>
  </si>
  <si>
    <t xml:space="preserve">Alpha Rooby</t>
  </si>
  <si>
    <t xml:space="preserve">BOSS_FlameBambi</t>
  </si>
  <si>
    <t xml:space="preserve">PAL_NAME_FlameBambi</t>
  </si>
  <si>
    <t xml:space="preserve">BOSS_NAME_FlameBambi</t>
  </si>
  <si>
    <t xml:space="preserve">PARTNERSKILL_FlameBambi</t>
  </si>
  <si>
    <t xml:space="preserve">Alpha Arsox</t>
  </si>
  <si>
    <t xml:space="preserve">BOSS_FlameBuffalo</t>
  </si>
  <si>
    <t xml:space="preserve">PAL_NAME_FlameBuffalo</t>
  </si>
  <si>
    <t xml:space="preserve">BOSS_NAME_FlameBuffalo</t>
  </si>
  <si>
    <t xml:space="preserve">PARTNERSKILL_FlameBuffalo</t>
  </si>
  <si>
    <t xml:space="preserve">Alpha Dinossom</t>
  </si>
  <si>
    <t xml:space="preserve">BOSS_FlowerDinosaur</t>
  </si>
  <si>
    <t xml:space="preserve">PAL_NAME_FlowerDinosaur</t>
  </si>
  <si>
    <t xml:space="preserve">BOSS_NAME_FlowerDinosaur</t>
  </si>
  <si>
    <t xml:space="preserve">PARTNERSKILL_FlowerDinosaur</t>
  </si>
  <si>
    <t xml:space="preserve">Alpha Dinossom Lux</t>
  </si>
  <si>
    <t xml:space="preserve">BOSS_FlowerDinosaur_Electric</t>
  </si>
  <si>
    <t xml:space="preserve">PAL_NAME_FlowerDinosaur_Electric</t>
  </si>
  <si>
    <t xml:space="preserve">BOSS_NAME_FlowerDinosaur_Electric</t>
  </si>
  <si>
    <t xml:space="preserve">PARTNERSKILL_FlowerDinosaur_Electric</t>
  </si>
  <si>
    <t xml:space="preserve">Alpha Petallia</t>
  </si>
  <si>
    <t xml:space="preserve">BOSS_FlowerDoll</t>
  </si>
  <si>
    <t xml:space="preserve">PAL_NAME_FlowerDoll</t>
  </si>
  <si>
    <t xml:space="preserve">BOSS_NAME_FlowerDoll</t>
  </si>
  <si>
    <t xml:space="preserve">PARTNERSKILL_FlowerDoll</t>
  </si>
  <si>
    <t xml:space="preserve">Alpha Flopie</t>
  </si>
  <si>
    <t xml:space="preserve">BOSS_FlowerRabbit</t>
  </si>
  <si>
    <t xml:space="preserve">PAL_NAME_FlowerRabbit</t>
  </si>
  <si>
    <t xml:space="preserve">BOSS_NAME_FlowerRabbit</t>
  </si>
  <si>
    <t xml:space="preserve">PARTNERSKILL_FlowerRabbit</t>
  </si>
  <si>
    <t xml:space="preserve">Alpha Celaray</t>
  </si>
  <si>
    <t xml:space="preserve">BOSS_FlyingManta</t>
  </si>
  <si>
    <t xml:space="preserve">PAL_NAME_FlyingManta</t>
  </si>
  <si>
    <t xml:space="preserve">BOSS_NAME_FlyingManta</t>
  </si>
  <si>
    <t xml:space="preserve">PARTNERSKILL_FlyingManta</t>
  </si>
  <si>
    <t xml:space="preserve">Alpha Wixen</t>
  </si>
  <si>
    <t xml:space="preserve">BOSS_FoxMage</t>
  </si>
  <si>
    <t xml:space="preserve">PAL_NAME_FoxMage</t>
  </si>
  <si>
    <t xml:space="preserve">BOSS_NAME_FoxMage</t>
  </si>
  <si>
    <t xml:space="preserve">PARTNERSKILL_FoxMage</t>
  </si>
  <si>
    <t xml:space="preserve">Alpha Teafant</t>
  </si>
  <si>
    <t xml:space="preserve">BOSS_Ganesha</t>
  </si>
  <si>
    <t xml:space="preserve">PAL_NAME_Ganesha</t>
  </si>
  <si>
    <t xml:space="preserve">BOSS_NAME_Ganesha</t>
  </si>
  <si>
    <t xml:space="preserve">PARTNERSKILL_Ganesha</t>
  </si>
  <si>
    <t xml:space="preserve">Alpha Direhowl</t>
  </si>
  <si>
    <t xml:space="preserve">BOSS_Garm</t>
  </si>
  <si>
    <t xml:space="preserve">PAL_NAME_Garm</t>
  </si>
  <si>
    <t xml:space="preserve">BOSS_NAME_Garm</t>
  </si>
  <si>
    <t xml:space="preserve">PARTNERSKILL_Garm</t>
  </si>
  <si>
    <t xml:space="preserve">Alpha Maraith</t>
  </si>
  <si>
    <t xml:space="preserve">BOSS_GhostBeast</t>
  </si>
  <si>
    <t xml:space="preserve">PAL_NAME_GhostBeast</t>
  </si>
  <si>
    <t xml:space="preserve">BOSS_NAME_GhostBeast</t>
  </si>
  <si>
    <t xml:space="preserve">PARTNERSKILL_GhostBeast</t>
  </si>
  <si>
    <t xml:space="preserve">Alpha Gorirat</t>
  </si>
  <si>
    <t xml:space="preserve">BOSS_Gorilla</t>
  </si>
  <si>
    <t xml:space="preserve">PAL_NAME_Gorilla</t>
  </si>
  <si>
    <t xml:space="preserve">BOSS_NAME_Gorilla</t>
  </si>
  <si>
    <t xml:space="preserve">PARTNERSKILL_Gorilla</t>
  </si>
  <si>
    <t xml:space="preserve">Alpha Mammorest</t>
  </si>
  <si>
    <t xml:space="preserve">BOSS_GrassMammoth</t>
  </si>
  <si>
    <t xml:space="preserve">PAL_NAME_GrassMammoth</t>
  </si>
  <si>
    <t xml:space="preserve">BOSS_NAME_GrassMammoth</t>
  </si>
  <si>
    <t xml:space="preserve">PARTNERSKILL_GrassMammoth</t>
  </si>
  <si>
    <t xml:space="preserve">BOSS_GrassMammoth_Ice</t>
  </si>
  <si>
    <t xml:space="preserve">PAL_NAME_GrassMammoth_Ice</t>
  </si>
  <si>
    <t xml:space="preserve">BOSS_NAME_GrassMammoth_Ice</t>
  </si>
  <si>
    <t xml:space="preserve">PARTNERSKILL_GrassMammoth_Ice</t>
  </si>
  <si>
    <t xml:space="preserve">Alpha Mossanda</t>
  </si>
  <si>
    <t xml:space="preserve">BOSS_GrassPanda</t>
  </si>
  <si>
    <t xml:space="preserve">PAL_NAME_GrassPanda</t>
  </si>
  <si>
    <t xml:space="preserve">BOSS_NAME_GrassPanda</t>
  </si>
  <si>
    <t xml:space="preserve">PARTNERSKILL_GrassPanda</t>
  </si>
  <si>
    <t xml:space="preserve">Alpha Mossanda Lux</t>
  </si>
  <si>
    <t xml:space="preserve">BOSS_GrassPanda_Electric</t>
  </si>
  <si>
    <t xml:space="preserve">PAL_NAME_GrassPanda_Electric</t>
  </si>
  <si>
    <t xml:space="preserve">BOSS_NAME_GrassPanda_Electric</t>
  </si>
  <si>
    <t xml:space="preserve">PARTNERSKILL_GrassPanda_Electric</t>
  </si>
  <si>
    <t xml:space="preserve">Alpha Verdash</t>
  </si>
  <si>
    <t xml:space="preserve">BOSS_GrassRabbitMan</t>
  </si>
  <si>
    <t xml:space="preserve">PAL_NAME_GrassRabbitMan</t>
  </si>
  <si>
    <t xml:space="preserve">BOSS_NAME_GrassRabbitMan</t>
  </si>
  <si>
    <t xml:space="preserve">PARTNERSKILL_GrassRabbitMan</t>
  </si>
  <si>
    <t xml:space="preserve">Alpha Helzephyr</t>
  </si>
  <si>
    <t xml:space="preserve">BOSS_HadesBird</t>
  </si>
  <si>
    <t xml:space="preserve">PAL_NAME_HadesBird</t>
  </si>
  <si>
    <t xml:space="preserve">BOSS_NAME_HadesBird</t>
  </si>
  <si>
    <t xml:space="preserve">PARTNERSKILL_HadesBird</t>
  </si>
  <si>
    <t xml:space="preserve">Alpha Nitewing</t>
  </si>
  <si>
    <t xml:space="preserve">BOSS_HawkBird</t>
  </si>
  <si>
    <t xml:space="preserve">PAL_NAME_HawkBird</t>
  </si>
  <si>
    <t xml:space="preserve">BOSS_NAME_HawkBird</t>
  </si>
  <si>
    <t xml:space="preserve">PARTNERSKILL_HawkBird</t>
  </si>
  <si>
    <t xml:space="preserve">Alpha Jolthog</t>
  </si>
  <si>
    <t xml:space="preserve">BOSS_Hedgehog</t>
  </si>
  <si>
    <t xml:space="preserve">PAL_NAME_Hedgehog</t>
  </si>
  <si>
    <t xml:space="preserve">BOSS_NAME_Hedgehog</t>
  </si>
  <si>
    <t xml:space="preserve">PARTNERSKILL_Hedgehog</t>
  </si>
  <si>
    <t xml:space="preserve">Alpha Jolthog Cryst</t>
  </si>
  <si>
    <t xml:space="preserve">BOSS_Hedgehog_Ice</t>
  </si>
  <si>
    <t xml:space="preserve">PAL_NAME_Hedgehog_Ice</t>
  </si>
  <si>
    <t xml:space="preserve">BOSS_NAME_Hedgehog_Ice</t>
  </si>
  <si>
    <t xml:space="preserve">PARTNERSKILL_Hedgehog_Ice</t>
  </si>
  <si>
    <t xml:space="preserve">Alpha Warsect</t>
  </si>
  <si>
    <t xml:space="preserve">BOSS_HerculesBeetle</t>
  </si>
  <si>
    <t xml:space="preserve">PAL_NAME_HerculesBeetle</t>
  </si>
  <si>
    <t xml:space="preserve">BOSS_NAME_HerculesBeetle</t>
  </si>
  <si>
    <t xml:space="preserve">PARTNERSKILL_HerculesBeetle</t>
  </si>
  <si>
    <t xml:space="preserve">Alpha Faleris</t>
  </si>
  <si>
    <t xml:space="preserve">BOSS_Horus</t>
  </si>
  <si>
    <t xml:space="preserve">PAL_NAME_Horus</t>
  </si>
  <si>
    <t xml:space="preserve">BOSS_NAME_Horus</t>
  </si>
  <si>
    <t xml:space="preserve">PARTNERSKILL_Horus</t>
  </si>
  <si>
    <t xml:space="preserve">Alpha Reindrix</t>
  </si>
  <si>
    <t xml:space="preserve">BOSS_IceDeer</t>
  </si>
  <si>
    <t xml:space="preserve">PAL_NAME_IceDeer</t>
  </si>
  <si>
    <t xml:space="preserve">BOSS_NAME_IceDeer</t>
  </si>
  <si>
    <t xml:space="preserve">PARTNERSKILL_IceDeer</t>
  </si>
  <si>
    <t xml:space="preserve">Alpha Foxcicle</t>
  </si>
  <si>
    <t xml:space="preserve">BOSS_IceFox</t>
  </si>
  <si>
    <t xml:space="preserve">PAL_NAME_IceFox</t>
  </si>
  <si>
    <t xml:space="preserve">BOSS_NAME_IceFox</t>
  </si>
  <si>
    <t xml:space="preserve">PARTNERSKILL_IceFox</t>
  </si>
  <si>
    <t xml:space="preserve">BOSS_IceHorse</t>
  </si>
  <si>
    <t xml:space="preserve">PAL_NAME_IceHorse</t>
  </si>
  <si>
    <t xml:space="preserve">BOSS_NAME_IceHorse</t>
  </si>
  <si>
    <t xml:space="preserve">PARTNERSKILL_IceHorse</t>
  </si>
  <si>
    <t xml:space="preserve">BOSS_IceHorse_Dark</t>
  </si>
  <si>
    <t xml:space="preserve">PAL_NAME_IceHorse_Dark</t>
  </si>
  <si>
    <t xml:space="preserve">BOSS_NAME_IceHorse_Dark</t>
  </si>
  <si>
    <t xml:space="preserve">PARTNERSKILL_IceHorse_Dark</t>
  </si>
  <si>
    <t xml:space="preserve">BOSS_JetDragon</t>
  </si>
  <si>
    <t xml:space="preserve">PAL_NAME_JetDragon</t>
  </si>
  <si>
    <t xml:space="preserve">BOSS_NAME_JetDragon</t>
  </si>
  <si>
    <t xml:space="preserve">PARTNERSKILL_JetDragon</t>
  </si>
  <si>
    <t xml:space="preserve">Alpha Kelpsea</t>
  </si>
  <si>
    <t xml:space="preserve">BOSS_Kelpie</t>
  </si>
  <si>
    <t xml:space="preserve">PAL_NAME_Kelpie</t>
  </si>
  <si>
    <t xml:space="preserve">BOSS_NAME_Kelpie</t>
  </si>
  <si>
    <t xml:space="preserve">PARTNERSKILL_Kelpie</t>
  </si>
  <si>
    <t xml:space="preserve">Alpha Kelpsea Ignis</t>
  </si>
  <si>
    <t xml:space="preserve">BOSS_Kelpie_Fire</t>
  </si>
  <si>
    <t xml:space="preserve">PAL_NAME_Kelpie_Fire</t>
  </si>
  <si>
    <t xml:space="preserve">BOSS_NAME_Kelpie_Fire</t>
  </si>
  <si>
    <t xml:space="preserve">PARTNERSKILL_Kelpie_Fire</t>
  </si>
  <si>
    <t xml:space="preserve">Alpha Kingpaca</t>
  </si>
  <si>
    <t xml:space="preserve">BOSS_KingAlpaca</t>
  </si>
  <si>
    <t xml:space="preserve">PAL_NAME_KingAlpaca</t>
  </si>
  <si>
    <t xml:space="preserve">BOSS_NAME_KingAlpaca</t>
  </si>
  <si>
    <t xml:space="preserve">PARTNERSKILL_KingAlpaca</t>
  </si>
  <si>
    <t xml:space="preserve">Alpha Ice Kingpaca</t>
  </si>
  <si>
    <t xml:space="preserve">BOSS_KingAlpaca_Ice</t>
  </si>
  <si>
    <t xml:space="preserve">PAL_NAME_KingAlpaca_Ice</t>
  </si>
  <si>
    <t xml:space="preserve">BOSS_NAME_KingAlpaca_Ice</t>
  </si>
  <si>
    <t xml:space="preserve">PARTNERSKILL_KingAlpaca_Ice</t>
  </si>
  <si>
    <t xml:space="preserve">Alpha Blazamut</t>
  </si>
  <si>
    <t xml:space="preserve">BOSS_KingBahamut</t>
  </si>
  <si>
    <t xml:space="preserve">PAL_NAME_KingBahamut</t>
  </si>
  <si>
    <t xml:space="preserve">BOSS_NAME_KingBahamut</t>
  </si>
  <si>
    <t xml:space="preserve">PARTNERSKILL_KingBahamut</t>
  </si>
  <si>
    <t xml:space="preserve">Alpha Univolt</t>
  </si>
  <si>
    <t xml:space="preserve">BOSS_Kirin</t>
  </si>
  <si>
    <t xml:space="preserve">PAL_NAME_Kirin</t>
  </si>
  <si>
    <t xml:space="preserve">BOSS_NAME_Kirin</t>
  </si>
  <si>
    <t xml:space="preserve">PARTNERSKILL_Kirin</t>
  </si>
  <si>
    <t xml:space="preserve">Alpha Foxparks</t>
  </si>
  <si>
    <t xml:space="preserve">BOSS_Kitsunebi</t>
  </si>
  <si>
    <t xml:space="preserve">PAL_NAME_Kitsunebi</t>
  </si>
  <si>
    <t xml:space="preserve">BOSS_NAME_Kitsunebi</t>
  </si>
  <si>
    <t xml:space="preserve">PARTNERSKILL_Kitsunebi</t>
  </si>
  <si>
    <t xml:space="preserve">Alpha Flambelle</t>
  </si>
  <si>
    <t xml:space="preserve">BOSS_LavaGirl</t>
  </si>
  <si>
    <t xml:space="preserve">PAL_NAME_LavaGirl</t>
  </si>
  <si>
    <t xml:space="preserve">BOSS_NAME_LavaGirl</t>
  </si>
  <si>
    <t xml:space="preserve">PARTNERSKILL_LavaGirl</t>
  </si>
  <si>
    <t xml:space="preserve">Alpha Dumud</t>
  </si>
  <si>
    <t xml:space="preserve">BOSS_LazyCatfish</t>
  </si>
  <si>
    <t xml:space="preserve">PAL_NAME_LazyCatfish</t>
  </si>
  <si>
    <t xml:space="preserve">BOSS_NAME_LazyCatfish</t>
  </si>
  <si>
    <t xml:space="preserve">PARTNERSKILL_LazyCatfish</t>
  </si>
  <si>
    <t xml:space="preserve">Alpha Relaxaurus</t>
  </si>
  <si>
    <t xml:space="preserve">BOSS_LazyDragon</t>
  </si>
  <si>
    <t xml:space="preserve">PAL_NAME_LazyDragon</t>
  </si>
  <si>
    <t xml:space="preserve">BOSS_NAME_LazyDragon</t>
  </si>
  <si>
    <t xml:space="preserve">PARTNERSKILL_LazyDragon</t>
  </si>
  <si>
    <t xml:space="preserve">Alpha Relaxaurus Lux</t>
  </si>
  <si>
    <t xml:space="preserve">BOSS_LazyDragon_Electric</t>
  </si>
  <si>
    <t xml:space="preserve">PAL_NAME_LazyDragon_Electric</t>
  </si>
  <si>
    <t xml:space="preserve">BOSS_NAME_LazyDragon_Electric</t>
  </si>
  <si>
    <t xml:space="preserve">PARTNERSKILL_LazyDragon_Electric</t>
  </si>
  <si>
    <t xml:space="preserve">Alpha Lyleen</t>
  </si>
  <si>
    <t xml:space="preserve">BOSS_LilyQueen</t>
  </si>
  <si>
    <t xml:space="preserve">PAL_NAME_LilyQueen</t>
  </si>
  <si>
    <t xml:space="preserve">BOSS_NAME_LilyQueen</t>
  </si>
  <si>
    <t xml:space="preserve">PARTNERSKILL_LilyQueen</t>
  </si>
  <si>
    <t xml:space="preserve">Alpha Lyleen Noct</t>
  </si>
  <si>
    <t xml:space="preserve">BOSS_LilyQueen_Dark</t>
  </si>
  <si>
    <t xml:space="preserve">PAL_NAME_LilyQueen_Dark</t>
  </si>
  <si>
    <t xml:space="preserve">BOSS_NAME_LilyQueen_Dark</t>
  </si>
  <si>
    <t xml:space="preserve">PARTNERSKILL_LilyQueen_Dark</t>
  </si>
  <si>
    <t xml:space="preserve">Alpha Bristla</t>
  </si>
  <si>
    <t xml:space="preserve">BOSS_LittleBriarRose</t>
  </si>
  <si>
    <t xml:space="preserve">PAL_NAME_LittleBriarRose</t>
  </si>
  <si>
    <t xml:space="preserve">BOSS_NAME_LittleBriarRose</t>
  </si>
  <si>
    <t xml:space="preserve">PARTNERSKILL_LittleBriarRose</t>
  </si>
  <si>
    <t xml:space="preserve">Alpha Leezpunk</t>
  </si>
  <si>
    <t xml:space="preserve">BOSS_LizardMan</t>
  </si>
  <si>
    <t xml:space="preserve">PAL_NAME_LizardMan</t>
  </si>
  <si>
    <t xml:space="preserve">BOSS_NAME_LizardMan</t>
  </si>
  <si>
    <t xml:space="preserve">PARTNERSKILL_LizardMan</t>
  </si>
  <si>
    <t xml:space="preserve">Alpha Leezpunk Ignis</t>
  </si>
  <si>
    <t xml:space="preserve">BOSS_LizardMan_Fire</t>
  </si>
  <si>
    <t xml:space="preserve">PAL_NAME_LizardMan_Fire</t>
  </si>
  <si>
    <t xml:space="preserve">BOSS_NAME_LizardMan_Fire</t>
  </si>
  <si>
    <t xml:space="preserve">PARTNERSKILL_LizardMan_Fire</t>
  </si>
  <si>
    <t xml:space="preserve">Alpha Blazehowl</t>
  </si>
  <si>
    <t xml:space="preserve">BOSS_Manticore</t>
  </si>
  <si>
    <t xml:space="preserve">PAL_NAME_Manticore</t>
  </si>
  <si>
    <t xml:space="preserve">BOSS_NAME_Manticore</t>
  </si>
  <si>
    <t xml:space="preserve">PARTNERSKILL_Manticore</t>
  </si>
  <si>
    <t xml:space="preserve">Alpha Blazehowl Noct</t>
  </si>
  <si>
    <t xml:space="preserve">BOSS_Manticore_Dark</t>
  </si>
  <si>
    <t xml:space="preserve">PAL_NAME_Manticore_Dark</t>
  </si>
  <si>
    <t xml:space="preserve">BOSS_NAME_Manticore_Dark</t>
  </si>
  <si>
    <t xml:space="preserve">PARTNERSKILL_Manticore_Dark</t>
  </si>
  <si>
    <t xml:space="preserve">Alpha Tanzee</t>
  </si>
  <si>
    <t xml:space="preserve">BOSS_Monkey</t>
  </si>
  <si>
    <t xml:space="preserve">PAL_NAME_Monkey</t>
  </si>
  <si>
    <t xml:space="preserve">BOSS_NAME_Monkey</t>
  </si>
  <si>
    <t xml:space="preserve">PARTNERSKILL_Monkey</t>
  </si>
  <si>
    <t xml:space="preserve">Alpha Swee</t>
  </si>
  <si>
    <t xml:space="preserve">BOSS_MopBaby</t>
  </si>
  <si>
    <t xml:space="preserve">PAL_NAME_MopBaby</t>
  </si>
  <si>
    <t xml:space="preserve">BOSS_NAME_MopBaby</t>
  </si>
  <si>
    <t xml:space="preserve">PARTNERSKILL_MopBaby</t>
  </si>
  <si>
    <t xml:space="preserve">Alpha Sweepa</t>
  </si>
  <si>
    <t xml:space="preserve">BOSS_MopKing</t>
  </si>
  <si>
    <t xml:space="preserve">PAL_NAME_MopKing</t>
  </si>
  <si>
    <t xml:space="preserve">BOSS_NAME_MopKing</t>
  </si>
  <si>
    <t xml:space="preserve">PARTNERSKILL_MopKing</t>
  </si>
  <si>
    <t xml:space="preserve">Alpha Lunaris</t>
  </si>
  <si>
    <t xml:space="preserve">BOSS_Mutant</t>
  </si>
  <si>
    <t xml:space="preserve">PAL_NAME_Mutant</t>
  </si>
  <si>
    <t xml:space="preserve">BOSS_NAME_Mutant</t>
  </si>
  <si>
    <t xml:space="preserve">PARTNERSKILL_Mutant</t>
  </si>
  <si>
    <t xml:space="preserve">Alpha Grintale</t>
  </si>
  <si>
    <t xml:space="preserve">BOSS_NaughtyCat</t>
  </si>
  <si>
    <t xml:space="preserve">PAL_NAME_NaughtyCat</t>
  </si>
  <si>
    <t xml:space="preserve">BOSS_NAME_NaughtyCat</t>
  </si>
  <si>
    <t xml:space="preserve">PARTNERSKILL_NaughtyCat</t>
  </si>
  <si>
    <t xml:space="preserve">Alpha Depresso</t>
  </si>
  <si>
    <t xml:space="preserve">BOSS_NegativeKoala</t>
  </si>
  <si>
    <t xml:space="preserve">PAL_NAME_NegativeKoala</t>
  </si>
  <si>
    <t xml:space="preserve">BOSS_NAME_NegativeKoala</t>
  </si>
  <si>
    <t xml:space="preserve">PARTNERSKILL_NegativeKoala</t>
  </si>
  <si>
    <t xml:space="preserve">Alpha Killamari</t>
  </si>
  <si>
    <t xml:space="preserve">BOSS_NegativeOctopus</t>
  </si>
  <si>
    <t xml:space="preserve">PAL_NAME_NegativeOctopus</t>
  </si>
  <si>
    <t xml:space="preserve">BOSS_NAME_NegativeOctopus</t>
  </si>
  <si>
    <t xml:space="preserve">PARTNERSKILL_NegativeOctopus</t>
  </si>
  <si>
    <t xml:space="preserve">Alpha Nox</t>
  </si>
  <si>
    <t xml:space="preserve">BOSS_NightFox</t>
  </si>
  <si>
    <t xml:space="preserve">PAL_NAME_NightFox</t>
  </si>
  <si>
    <t xml:space="preserve">BOSS_NAME_NightFox</t>
  </si>
  <si>
    <t xml:space="preserve">PARTNERSKILL_NightFox</t>
  </si>
  <si>
    <t xml:space="preserve">Alpha Pengullet</t>
  </si>
  <si>
    <t xml:space="preserve">BOSS_Penguin</t>
  </si>
  <si>
    <t xml:space="preserve">PAL_NAME_Penguin</t>
  </si>
  <si>
    <t xml:space="preserve">BOSS_NAME_Penguin</t>
  </si>
  <si>
    <t xml:space="preserve">PARTNERSKILL_Penguin</t>
  </si>
  <si>
    <t xml:space="preserve">Alpha Cattiva</t>
  </si>
  <si>
    <t xml:space="preserve">BOSS_PinkCat</t>
  </si>
  <si>
    <t xml:space="preserve">PAL_NAME_PInkCat</t>
  </si>
  <si>
    <t xml:space="preserve">BOSS_NAME_PinkCat</t>
  </si>
  <si>
    <t xml:space="preserve">PARTNERSKILL_PinkCat</t>
  </si>
  <si>
    <t xml:space="preserve">Alpha Lovander</t>
  </si>
  <si>
    <t xml:space="preserve">BOSS_PinkLizard</t>
  </si>
  <si>
    <t xml:space="preserve">PAL_NAME_PinkLizard</t>
  </si>
  <si>
    <t xml:space="preserve">BOSS_NAME_PinkLizard</t>
  </si>
  <si>
    <t xml:space="preserve">PARTNERSKILL_PinkLizard</t>
  </si>
  <si>
    <t xml:space="preserve">Alpha Ribunny</t>
  </si>
  <si>
    <t xml:space="preserve">BOSS_PinkRabbit</t>
  </si>
  <si>
    <t xml:space="preserve">PAL_NAME_PinkRabbit</t>
  </si>
  <si>
    <t xml:space="preserve">BOSS_NAME_PinkRabbit</t>
  </si>
  <si>
    <t xml:space="preserve">PARTNERSKILL_PinkRabbit</t>
  </si>
  <si>
    <t xml:space="preserve">Alpha Gumoss</t>
  </si>
  <si>
    <t xml:space="preserve">BOSS_PlantSlime</t>
  </si>
  <si>
    <t xml:space="preserve">BOSS_NAME_PlantSlime</t>
  </si>
  <si>
    <t xml:space="preserve">Alpha Gumoss (Special)</t>
  </si>
  <si>
    <t xml:space="preserve">BOSS_PlantSlime_Flower</t>
  </si>
  <si>
    <t xml:space="preserve">Alpha Elizabee</t>
  </si>
  <si>
    <t xml:space="preserve">BOSS_QueenBee</t>
  </si>
  <si>
    <t xml:space="preserve">PAL_NAME_QueenBee</t>
  </si>
  <si>
    <t xml:space="preserve">BOSS_NAME_QueenBee</t>
  </si>
  <si>
    <t xml:space="preserve">PARTNERSKILL_QueenBee</t>
  </si>
  <si>
    <t xml:space="preserve">Alpha Dazzi</t>
  </si>
  <si>
    <t xml:space="preserve">BOSS_RaijinDaughter</t>
  </si>
  <si>
    <t xml:space="preserve">PAL_NAME_RaijinDaughter</t>
  </si>
  <si>
    <t xml:space="preserve">BOSS_NAME_RaijinDaughter</t>
  </si>
  <si>
    <t xml:space="preserve">PARTNERSKILL_RaijinDaughter</t>
  </si>
  <si>
    <t xml:space="preserve">Alpha Ragnahawk</t>
  </si>
  <si>
    <t xml:space="preserve">BOSS_RedArmorBird</t>
  </si>
  <si>
    <t xml:space="preserve">PAL_NAME_RedArmorBird</t>
  </si>
  <si>
    <t xml:space="preserve">BOSS_NAME_RedArmorBird</t>
  </si>
  <si>
    <t xml:space="preserve">PARTNERSKILL_RedArmorBird</t>
  </si>
  <si>
    <t xml:space="preserve">Alpha Robinquill</t>
  </si>
  <si>
    <t xml:space="preserve">BOSS_RobinHood</t>
  </si>
  <si>
    <t xml:space="preserve">PAL_NAME_RobinHood</t>
  </si>
  <si>
    <t xml:space="preserve">BOSS_NAME_RobinHood</t>
  </si>
  <si>
    <t xml:space="preserve">PARTNERSKILL_RobinHood</t>
  </si>
  <si>
    <t xml:space="preserve">Alpha Robinquill Terra</t>
  </si>
  <si>
    <t xml:space="preserve">BOSS_RobinHood_Ground</t>
  </si>
  <si>
    <t xml:space="preserve">PAL_NAME_RobinHood_Ground</t>
  </si>
  <si>
    <t xml:space="preserve">BOSS_NAME_RobinHood_Ground</t>
  </si>
  <si>
    <t xml:space="preserve">PARTNERSKILL_RobinHood_Ground</t>
  </si>
  <si>
    <t xml:space="preserve">Alpha Bushi</t>
  </si>
  <si>
    <t xml:space="preserve">BOSS_Ronin</t>
  </si>
  <si>
    <t xml:space="preserve">PAL_NAME_Ronin</t>
  </si>
  <si>
    <t xml:space="preserve">BOSS_NAME_Ronin</t>
  </si>
  <si>
    <t xml:space="preserve">PARTNERSKILL_Ronin</t>
  </si>
  <si>
    <t xml:space="preserve">BOSS_SaintCentaur</t>
  </si>
  <si>
    <t xml:space="preserve">PAL_NAME_SaintCentaur</t>
  </si>
  <si>
    <t xml:space="preserve">BOSS_NAME_SaintCentaur</t>
  </si>
  <si>
    <t xml:space="preserve">PARTNERSKILL_SaintCentaur</t>
  </si>
  <si>
    <t xml:space="preserve">Alpha Broncherry</t>
  </si>
  <si>
    <t xml:space="preserve">BOSS_SakuraSaurus</t>
  </si>
  <si>
    <t xml:space="preserve">PAL_NAME_SakuraSaurus</t>
  </si>
  <si>
    <t xml:space="preserve">BOSS_NAME_SakuraSaurus</t>
  </si>
  <si>
    <t xml:space="preserve">PARTNERSKILL_SakuraSaurus</t>
  </si>
  <si>
    <t xml:space="preserve">Alpha Broncherry Aqua</t>
  </si>
  <si>
    <t xml:space="preserve">BOSS_SakuraSaurus_Water</t>
  </si>
  <si>
    <t xml:space="preserve">PAL_NAME_SakuraSaurus_Water</t>
  </si>
  <si>
    <t xml:space="preserve">BOSS_NAME_SakuraSaurus_Water</t>
  </si>
  <si>
    <t xml:space="preserve">PARTNERSKILL_SakuraSaurus_Water</t>
  </si>
  <si>
    <t xml:space="preserve">Alpha Surfent</t>
  </si>
  <si>
    <t xml:space="preserve">BOSS_Serpent</t>
  </si>
  <si>
    <t xml:space="preserve">PAL_NAME_Serpent</t>
  </si>
  <si>
    <t xml:space="preserve">BOSS_NAME_Serpent</t>
  </si>
  <si>
    <t xml:space="preserve">PARTNERSKILL_Serpent</t>
  </si>
  <si>
    <t xml:space="preserve">Alpha Surfent Terra</t>
  </si>
  <si>
    <t xml:space="preserve">BOSS_Serpent_Ground</t>
  </si>
  <si>
    <t xml:space="preserve">PAL_NAME_Serpent_Ground</t>
  </si>
  <si>
    <t xml:space="preserve">BOSS_NAME_Serpent_Ground</t>
  </si>
  <si>
    <t xml:space="preserve">PARTNERSKILL_Serpent_Ground</t>
  </si>
  <si>
    <t xml:space="preserve">Alpha Gobfin</t>
  </si>
  <si>
    <t xml:space="preserve">BOSS_SharkKid</t>
  </si>
  <si>
    <t xml:space="preserve">PAL_NAME_SharkKid</t>
  </si>
  <si>
    <t xml:space="preserve">BOSS_NAME_SharkKid</t>
  </si>
  <si>
    <t xml:space="preserve">PARTNERSKILL_SharkKid</t>
  </si>
  <si>
    <t xml:space="preserve">Alpha Gobfin Ignis</t>
  </si>
  <si>
    <t xml:space="preserve">BOSS_SharkKid_Fire</t>
  </si>
  <si>
    <t xml:space="preserve">PAL_NAME_SharkKid_Fire</t>
  </si>
  <si>
    <t xml:space="preserve">BOSS_NAME_SharkKid_Fire</t>
  </si>
  <si>
    <t xml:space="preserve">PARTNERSKILL_SharkKid_Fire</t>
  </si>
  <si>
    <t xml:space="preserve">Alpha Lamball</t>
  </si>
  <si>
    <t xml:space="preserve">BOSS_SheepBall</t>
  </si>
  <si>
    <t xml:space="preserve">PAL_NAME_SheepBall</t>
  </si>
  <si>
    <t xml:space="preserve">BOSS_NAME_SheepBall</t>
  </si>
  <si>
    <t xml:space="preserve">PARTNERSKILL_SheepBall</t>
  </si>
  <si>
    <t xml:space="preserve">Alpha Quivern</t>
  </si>
  <si>
    <t xml:space="preserve">BOSS_SkyDragon</t>
  </si>
  <si>
    <t xml:space="preserve">PAL_NAME_SkyDragon</t>
  </si>
  <si>
    <t xml:space="preserve">BOSS_NAME_SkyDragon</t>
  </si>
  <si>
    <t xml:space="preserve">PARTNERSKILL_SkyDragon</t>
  </si>
  <si>
    <t xml:space="preserve">Alpha Beegarde</t>
  </si>
  <si>
    <t xml:space="preserve">BOSS_SoldierBee</t>
  </si>
  <si>
    <t xml:space="preserve">PAL_NAME_SoldierBee</t>
  </si>
  <si>
    <t xml:space="preserve">BOSS_NAME_SoldierBee</t>
  </si>
  <si>
    <t xml:space="preserve">PARTNERSKILL_SoldierBee</t>
  </si>
  <si>
    <t xml:space="preserve">Alpha Suzaku</t>
  </si>
  <si>
    <t xml:space="preserve">BOSS_Suzaku</t>
  </si>
  <si>
    <t xml:space="preserve">PAL_NAME_Suzaku</t>
  </si>
  <si>
    <t xml:space="preserve">BOSS_NAME_Suzaku</t>
  </si>
  <si>
    <t xml:space="preserve">PARTNERSKILL_Suzaku</t>
  </si>
  <si>
    <t xml:space="preserve">Alpha Suzaku Aqua</t>
  </si>
  <si>
    <t xml:space="preserve">BOSS_Suzaku_Water</t>
  </si>
  <si>
    <t xml:space="preserve">PAL_NAME_Suzaku_Water</t>
  </si>
  <si>
    <t xml:space="preserve">BOSS_NAME_Suzaku_Water</t>
  </si>
  <si>
    <t xml:space="preserve">PARTNERSKILL_Suzaku_Water</t>
  </si>
  <si>
    <t xml:space="preserve">Alpha Woolipop</t>
  </si>
  <si>
    <t xml:space="preserve">BOSS_SweetsSheep</t>
  </si>
  <si>
    <t xml:space="preserve">PAL_NAME_SweetsSheep</t>
  </si>
  <si>
    <t xml:space="preserve">BOSS_NAME_SweetsSheep</t>
  </si>
  <si>
    <t xml:space="preserve">PARTNERSKILL_SweetsSheep</t>
  </si>
  <si>
    <t xml:space="preserve">Alpha Beakon</t>
  </si>
  <si>
    <t xml:space="preserve">BOSS_ThunderBird</t>
  </si>
  <si>
    <t xml:space="preserve">PAL_NAME_ThunderBird</t>
  </si>
  <si>
    <t xml:space="preserve">BOSS_NAME_ThunderBird</t>
  </si>
  <si>
    <t xml:space="preserve">PARTNERSKILL_ThunderBird</t>
  </si>
  <si>
    <t xml:space="preserve">Alpha Rayhound</t>
  </si>
  <si>
    <t xml:space="preserve">BOSS_ThunderDog</t>
  </si>
  <si>
    <t xml:space="preserve">PAL_NAME_ThunderDog</t>
  </si>
  <si>
    <t xml:space="preserve">BOSS_NAME_ThunderDog</t>
  </si>
  <si>
    <t xml:space="preserve">PARTNERSKILL_ThunderDog</t>
  </si>
  <si>
    <t xml:space="preserve">Alpha Orserk</t>
  </si>
  <si>
    <t xml:space="preserve">BOSS_ThunderDragonMan</t>
  </si>
  <si>
    <t xml:space="preserve">PAL_NAME_ThunderDragonMan</t>
  </si>
  <si>
    <t xml:space="preserve">BOSS_NAME_ThunderDragonMan</t>
  </si>
  <si>
    <t xml:space="preserve">PARTNERSKILL_ThunderDragonMan</t>
  </si>
  <si>
    <t xml:space="preserve">Alpha Jormuntide</t>
  </si>
  <si>
    <t xml:space="preserve">BOSS_Umihebi</t>
  </si>
  <si>
    <t xml:space="preserve">PAL_NAME_Umihebi</t>
  </si>
  <si>
    <t xml:space="preserve">BOSS_NAME_Umihebi</t>
  </si>
  <si>
    <t xml:space="preserve">PARTNERSKILL_Umihebi</t>
  </si>
  <si>
    <t xml:space="preserve">Alpha Jormuntide Ignis</t>
  </si>
  <si>
    <t xml:space="preserve">BOSS_Umihebi_Fire</t>
  </si>
  <si>
    <t xml:space="preserve">PAL_NAME_Umihebi_Fire</t>
  </si>
  <si>
    <t xml:space="preserve">BOSS_NAME_Umihebi_Fire</t>
  </si>
  <si>
    <t xml:space="preserve">PARTNERSKILL_Umihebi_Fire</t>
  </si>
  <si>
    <t xml:space="preserve">Alpha Vaelet</t>
  </si>
  <si>
    <t xml:space="preserve">BOSS_VioletFairy</t>
  </si>
  <si>
    <t xml:space="preserve">PAL_NAME_VioletFairy</t>
  </si>
  <si>
    <t xml:space="preserve">BOSS_NAME_VioletFairy</t>
  </si>
  <si>
    <t xml:space="preserve">PARTNERSKILL_VioletFairy</t>
  </si>
  <si>
    <t xml:space="preserve">Alpha Reptyro</t>
  </si>
  <si>
    <t xml:space="preserve">BOSS_VolcanicMonster</t>
  </si>
  <si>
    <t xml:space="preserve">PAL_NAME_VolcanicMonster</t>
  </si>
  <si>
    <t xml:space="preserve">BOSS_NAME_VolcanicMonster</t>
  </si>
  <si>
    <t xml:space="preserve">PARTNERSKILL_VolcanicMonster</t>
  </si>
  <si>
    <t xml:space="preserve">Alpha Ice Reptyro</t>
  </si>
  <si>
    <t xml:space="preserve">BOSS_VolcanicMonster_Ice</t>
  </si>
  <si>
    <t xml:space="preserve">PAL_NAME_VolcanicMonster_Ice</t>
  </si>
  <si>
    <t xml:space="preserve">BOSS_NAME_VolcanicMonster_Ice</t>
  </si>
  <si>
    <t xml:space="preserve">PARTNERSKILL_VolcanicMonster_Ice</t>
  </si>
  <si>
    <t xml:space="preserve">Alpha Chillet</t>
  </si>
  <si>
    <t xml:space="preserve">BOSS_WeaselDragon</t>
  </si>
  <si>
    <t xml:space="preserve">PAL_NAME_WeaselDragon</t>
  </si>
  <si>
    <t xml:space="preserve">BOSS_NAME_WeaselDragon</t>
  </si>
  <si>
    <t xml:space="preserve">PARTNERSKILL_WeaselDragon</t>
  </si>
  <si>
    <t xml:space="preserve">Alpha Loupmoon</t>
  </si>
  <si>
    <t xml:space="preserve">BOSS_Werewolf</t>
  </si>
  <si>
    <t xml:space="preserve">PAL_NAME_Werewolf</t>
  </si>
  <si>
    <t xml:space="preserve">BOSS_NAME_Werewolf</t>
  </si>
  <si>
    <t xml:space="preserve">PARTNERSKILL_Werewolf</t>
  </si>
  <si>
    <t xml:space="preserve">Alpha Sibelyx</t>
  </si>
  <si>
    <t xml:space="preserve">BOSS_WhiteMoth</t>
  </si>
  <si>
    <t xml:space="preserve">PAL_NAME_WhiteMoth</t>
  </si>
  <si>
    <t xml:space="preserve">BOSS_NAME_WhiteMoth</t>
  </si>
  <si>
    <t xml:space="preserve">PARTNERSKILL_WhiteMoth</t>
  </si>
  <si>
    <t xml:space="preserve">Alpha Cryolinx</t>
  </si>
  <si>
    <t xml:space="preserve">BOSS_WhiteTiger</t>
  </si>
  <si>
    <t xml:space="preserve">PAL_NAME_WhiteTiger</t>
  </si>
  <si>
    <t xml:space="preserve">BOSS_NAME_WhiteTiger</t>
  </si>
  <si>
    <t xml:space="preserve">PARTNERSKILL_WhiteTiger</t>
  </si>
  <si>
    <t xml:space="preserve">Alpha Hangyu</t>
  </si>
  <si>
    <t xml:space="preserve">BOSS_WindChimes</t>
  </si>
  <si>
    <t xml:space="preserve">PAL_NAME_WindChimes</t>
  </si>
  <si>
    <t xml:space="preserve">BOSS_NAME_WindChimes</t>
  </si>
  <si>
    <t xml:space="preserve">PARTNERSKILL_WindChimes</t>
  </si>
  <si>
    <t xml:space="preserve">Alpha Hangyu Cryst</t>
  </si>
  <si>
    <t xml:space="preserve">BOSS_WindChimes_Ice</t>
  </si>
  <si>
    <t xml:space="preserve">PAL_NAME_WindChimes_Ice</t>
  </si>
  <si>
    <t xml:space="preserve">BOSS_NAME_WindChimes_Ice</t>
  </si>
  <si>
    <t xml:space="preserve">PARTNERSKILL_WindChimes_Ice</t>
  </si>
  <si>
    <t xml:space="preserve">Alpha Hoocrates</t>
  </si>
  <si>
    <t xml:space="preserve">BOSS_WizardOwl</t>
  </si>
  <si>
    <t xml:space="preserve">PAL_NAME_WizardOwl</t>
  </si>
  <si>
    <t xml:space="preserve">BOSS_NAME_WizardOwl</t>
  </si>
  <si>
    <t xml:space="preserve">PARTNERSKILL_WizardOwl</t>
  </si>
  <si>
    <t xml:space="preserve">Alpha Cremis</t>
  </si>
  <si>
    <t xml:space="preserve">BOSS_WoolFox</t>
  </si>
  <si>
    <t xml:space="preserve">PAL_NAME_WoolFox</t>
  </si>
  <si>
    <t xml:space="preserve">BOSS_NAME_WoolFox</t>
  </si>
  <si>
    <t xml:space="preserve">PARTNERSKILL_WoolFox</t>
  </si>
  <si>
    <t xml:space="preserve">Alpha Wumpo</t>
  </si>
  <si>
    <t xml:space="preserve">BOSS_Yeti</t>
  </si>
  <si>
    <t xml:space="preserve">PAL_NAME_Yeti</t>
  </si>
  <si>
    <t xml:space="preserve">BOSS_NAME_Yeti</t>
  </si>
  <si>
    <t xml:space="preserve">PARTNERSKILL_Yeti</t>
  </si>
  <si>
    <t xml:space="preserve">Alpha Wumpo Botan</t>
  </si>
  <si>
    <t xml:space="preserve">BOSS_Yeti_Grass</t>
  </si>
  <si>
    <t xml:space="preserve">PAL_NAME_Yeti_Grass</t>
  </si>
  <si>
    <t xml:space="preserve">BOSS_NAME_Yeti_Grass</t>
  </si>
  <si>
    <t xml:space="preserve">PARTNERSKILL_Yeti_Grass</t>
  </si>
  <si>
    <t xml:space="preserve">PalPassive</t>
  </si>
  <si>
    <t xml:space="preserve">EffectTypeCombined</t>
  </si>
  <si>
    <t xml:space="preserve">EffectDescFromData</t>
  </si>
  <si>
    <t xml:space="preserve">Conditions</t>
  </si>
  <si>
    <t xml:space="preserve">Rank</t>
  </si>
  <si>
    <t xml:space="preserve">OverrideDescMsgID</t>
  </si>
  <si>
    <t xml:space="preserve">EffectType1</t>
  </si>
  <si>
    <t xml:space="preserve">ValueType1</t>
  </si>
  <si>
    <t xml:space="preserve">EffectValue1</t>
  </si>
  <si>
    <t xml:space="preserve">TargetType1</t>
  </si>
  <si>
    <t xml:space="preserve">EffectType2</t>
  </si>
  <si>
    <t xml:space="preserve">ValueType2</t>
  </si>
  <si>
    <t xml:space="preserve">EffectValue2</t>
  </si>
  <si>
    <t xml:space="preserve">TargetType2</t>
  </si>
  <si>
    <t xml:space="preserve">EffectType3</t>
  </si>
  <si>
    <t xml:space="preserve">ValueType3</t>
  </si>
  <si>
    <t xml:space="preserve">EffectValue3</t>
  </si>
  <si>
    <t xml:space="preserve">TargetType3</t>
  </si>
  <si>
    <t xml:space="preserve">InvokeActiveOtomo</t>
  </si>
  <si>
    <t xml:space="preserve">InvokeWorker</t>
  </si>
  <si>
    <t xml:space="preserve">InvokeRiding</t>
  </si>
  <si>
    <t xml:space="preserve">InvokeReserve</t>
  </si>
  <si>
    <t xml:space="preserve">InvokeInOtomo</t>
  </si>
  <si>
    <t xml:space="preserve">InvokeAlways</t>
  </si>
  <si>
    <t xml:space="preserve">AddPal</t>
  </si>
  <si>
    <t xml:space="preserve">AddRarePal</t>
  </si>
  <si>
    <t xml:space="preserve">AddShotWeapon</t>
  </si>
  <si>
    <t xml:space="preserve">AddMeleeWeapon</t>
  </si>
  <si>
    <t xml:space="preserve">AddArmor</t>
  </si>
  <si>
    <t xml:space="preserve">AddAccessory</t>
  </si>
  <si>
    <t xml:space="preserve">OverrideSummaryTextId</t>
  </si>
  <si>
    <t xml:space="preserve">en Text</t>
  </si>
  <si>
    <t xml:space="preserve">TestSkill1</t>
  </si>
  <si>
    <t xml:space="preserve">MaxHP</t>
  </si>
  <si>
    <t xml:space="preserve">Self</t>
  </si>
  <si>
    <t xml:space="preserve">TestSkill2</t>
  </si>
  <si>
    <t xml:space="preserve">TestSkill3</t>
  </si>
  <si>
    <t xml:space="preserve">TestSkill4</t>
  </si>
  <si>
    <t xml:space="preserve">TestSkill5</t>
  </si>
  <si>
    <t xml:space="preserve">TestSkill6</t>
  </si>
  <si>
    <t xml:space="preserve">TestSkill7</t>
  </si>
  <si>
    <t xml:space="preserve">TestSkill8</t>
  </si>
  <si>
    <t xml:space="preserve">Health Up Lv. 1</t>
  </si>
  <si>
    <t xml:space="preserve">HP_ACC_up1</t>
  </si>
  <si>
    <t xml:space="preserve">Health Up Lv. 2</t>
  </si>
  <si>
    <t xml:space="preserve">HP_ACC_up2</t>
  </si>
  <si>
    <t xml:space="preserve">Health Up Lv. 3</t>
  </si>
  <si>
    <t xml:space="preserve">HP_ACC_up3</t>
  </si>
  <si>
    <t xml:space="preserve">Attack Up Lv. 1</t>
  </si>
  <si>
    <t xml:space="preserve">Attack_ACC_up1</t>
  </si>
  <si>
    <t xml:space="preserve">Attack Up Lv. 2</t>
  </si>
  <si>
    <t xml:space="preserve">Attack_ACC_up2</t>
  </si>
  <si>
    <t xml:space="preserve">Attack Up Lv. 3</t>
  </si>
  <si>
    <t xml:space="preserve">Attack_ACC_up3</t>
  </si>
  <si>
    <t xml:space="preserve">Defense Up Lv. 1</t>
  </si>
  <si>
    <t xml:space="preserve">defense_ACC_up1</t>
  </si>
  <si>
    <t xml:space="preserve">Defense Up Lv. 2</t>
  </si>
  <si>
    <t xml:space="preserve">defense_ACC_up2</t>
  </si>
  <si>
    <t xml:space="preserve">Defense Up Lv. 3</t>
  </si>
  <si>
    <t xml:space="preserve">defense_ACC_up3</t>
  </si>
  <si>
    <t xml:space="preserve">Speedy Worker Lv. 1</t>
  </si>
  <si>
    <t xml:space="preserve">WorkSpeed_ACC_up1</t>
  </si>
  <si>
    <t xml:space="preserve">Speedy Worker Lv. 2</t>
  </si>
  <si>
    <t xml:space="preserve">WorkSpeed_ACC_up2</t>
  </si>
  <si>
    <t xml:space="preserve">Speedy Worker Lv. 3</t>
  </si>
  <si>
    <t xml:space="preserve">WorkSpeed_ACC_up3</t>
  </si>
  <si>
    <t xml:space="preserve">TestHoming_L</t>
  </si>
  <si>
    <t xml:space="preserve">Homing</t>
  </si>
  <si>
    <t xml:space="preserve">TestHoming_H</t>
  </si>
  <si>
    <t xml:space="preserve">TestExplosive_L</t>
  </si>
  <si>
    <t xml:space="preserve">Explosive</t>
  </si>
  <si>
    <t xml:space="preserve">TestExplosive_H</t>
  </si>
  <si>
    <t xml:space="preserve">BulletSpeed_L</t>
  </si>
  <si>
    <t xml:space="preserve">BulletSpeed</t>
  </si>
  <si>
    <t xml:space="preserve">BulletSpeed_H</t>
  </si>
  <si>
    <t xml:space="preserve">RecoilIncrease</t>
  </si>
  <si>
    <t xml:space="preserve">Recoil</t>
  </si>
  <si>
    <t xml:space="preserve">RecoilDecrease</t>
  </si>
  <si>
    <t xml:space="preserve">AccuracyIncrease</t>
  </si>
  <si>
    <t xml:space="preserve">BulletAccuracy</t>
  </si>
  <si>
    <t xml:space="preserve">AccuracyDecrease</t>
  </si>
  <si>
    <t xml:space="preserve">AccuracySuperDecrease</t>
  </si>
  <si>
    <t xml:space="preserve">Artisan</t>
  </si>
  <si>
    <t xml:space="preserve">CraftSpeed_up2</t>
  </si>
  <si>
    <t xml:space="preserve">Serious</t>
  </si>
  <si>
    <t xml:space="preserve">CraftSpeed_up1</t>
  </si>
  <si>
    <t xml:space="preserve">Clumsy</t>
  </si>
  <si>
    <t xml:space="preserve">CraftSpeed_down1</t>
  </si>
  <si>
    <t xml:space="preserve">Slacker</t>
  </si>
  <si>
    <t xml:space="preserve">CraftSpeed_down2</t>
  </si>
  <si>
    <t xml:space="preserve">MeleeAttack_up2</t>
  </si>
  <si>
    <t xml:space="preserve">MeleeAttack_up1</t>
  </si>
  <si>
    <t xml:space="preserve">MeleeAttack_down1</t>
  </si>
  <si>
    <t xml:space="preserve">MeleeAttack_down2</t>
  </si>
  <si>
    <t xml:space="preserve">ShotAttack_up2</t>
  </si>
  <si>
    <t xml:space="preserve">ShotAttack_up1</t>
  </si>
  <si>
    <t xml:space="preserve">ShotAttack_down1</t>
  </si>
  <si>
    <t xml:space="preserve">ShotAttack_down2</t>
  </si>
  <si>
    <t xml:space="preserve">Burly Body</t>
  </si>
  <si>
    <t xml:space="preserve">Deffence_up2</t>
  </si>
  <si>
    <t xml:space="preserve">Hard Skin</t>
  </si>
  <si>
    <t xml:space="preserve">Downtrodden</t>
  </si>
  <si>
    <t xml:space="preserve">Deffence_down1</t>
  </si>
  <si>
    <t xml:space="preserve">Brittle</t>
  </si>
  <si>
    <t xml:space="preserve">Deffence_down2</t>
  </si>
  <si>
    <t xml:space="preserve">Support_up2</t>
  </si>
  <si>
    <t xml:space="preserve">Support_up1</t>
  </si>
  <si>
    <t xml:space="preserve">Support_down1</t>
  </si>
  <si>
    <t xml:space="preserve">Support_down2</t>
  </si>
  <si>
    <t xml:space="preserve">Musclehead</t>
  </si>
  <si>
    <t xml:space="preserve">Noukin</t>
  </si>
  <si>
    <t xml:space="preserve">ElementFire</t>
  </si>
  <si>
    <t xml:space="preserve">Trainer</t>
  </si>
  <si>
    <t xml:space="preserve">GiveAWater</t>
  </si>
  <si>
    <t xml:space="preserve">ElementWater</t>
  </si>
  <si>
    <t xml:space="preserve">ElementLeaf</t>
  </si>
  <si>
    <t xml:space="preserve">GiveALeaf_Ride</t>
  </si>
  <si>
    <t xml:space="preserve">GiveAElectricity</t>
  </si>
  <si>
    <t xml:space="preserve">ElementElectricity</t>
  </si>
  <si>
    <t xml:space="preserve">GiveAIce</t>
  </si>
  <si>
    <t xml:space="preserve">ElementIce</t>
  </si>
  <si>
    <t xml:space="preserve">ElementEarth</t>
  </si>
  <si>
    <t xml:space="preserve">GiveAEarth_Ride</t>
  </si>
  <si>
    <t xml:space="preserve">ElementDark</t>
  </si>
  <si>
    <t xml:space="preserve">GiveADragon</t>
  </si>
  <si>
    <t xml:space="preserve">ElementDragon</t>
  </si>
  <si>
    <t xml:space="preserve">CollectItem</t>
  </si>
  <si>
    <t xml:space="preserve">Egg Layer</t>
  </si>
  <si>
    <t xml:space="preserve">CollectItem_Egg</t>
  </si>
  <si>
    <t xml:space="preserve">Milk Maker</t>
  </si>
  <si>
    <t xml:space="preserve">CollectItem_Milk</t>
  </si>
  <si>
    <t xml:space="preserve">Berry Picker</t>
  </si>
  <si>
    <t xml:space="preserve">CollectItem_Berries</t>
  </si>
  <si>
    <t xml:space="preserve">Confectioner</t>
  </si>
  <si>
    <t xml:space="preserve">CollectItem_Sweets</t>
  </si>
  <si>
    <t xml:space="preserve">Gold Digger</t>
  </si>
  <si>
    <t xml:space="preserve">CollectItem_Money</t>
  </si>
  <si>
    <t xml:space="preserve">CollectItem_CuteFox</t>
  </si>
  <si>
    <t xml:space="preserve">Wool Maker</t>
  </si>
  <si>
    <t xml:space="preserve">CollectItem_Wool_Alpaca</t>
  </si>
  <si>
    <t xml:space="preserve">Silk Spinner</t>
  </si>
  <si>
    <t xml:space="preserve">CollectItem_Wool_WhiteMoth</t>
  </si>
  <si>
    <t xml:space="preserve">Logging_up1</t>
  </si>
  <si>
    <t xml:space="preserve">Logging</t>
  </si>
  <si>
    <t xml:space="preserve">Logging_up2</t>
  </si>
  <si>
    <t xml:space="preserve">Logging_up3</t>
  </si>
  <si>
    <t xml:space="preserve">Logging_up4</t>
  </si>
  <si>
    <t xml:space="preserve">Logging_up5</t>
  </si>
  <si>
    <t xml:space="preserve">Logging_up1_Otomo_only</t>
  </si>
  <si>
    <t xml:space="preserve">Mining_up1</t>
  </si>
  <si>
    <t xml:space="preserve">Mining</t>
  </si>
  <si>
    <t xml:space="preserve">Mining_up2</t>
  </si>
  <si>
    <t xml:space="preserve">Mining_up3</t>
  </si>
  <si>
    <t xml:space="preserve">Mining_up4</t>
  </si>
  <si>
    <t xml:space="preserve">Mining_up5</t>
  </si>
  <si>
    <t xml:space="preserve">Mining_up6</t>
  </si>
  <si>
    <t xml:space="preserve">Mining_up7</t>
  </si>
  <si>
    <t xml:space="preserve">Mining_up8</t>
  </si>
  <si>
    <t xml:space="preserve">Mining_up9</t>
  </si>
  <si>
    <t xml:space="preserve">Mining_up10</t>
  </si>
  <si>
    <t xml:space="preserve">Mining_up1_Otomo_only</t>
  </si>
  <si>
    <t xml:space="preserve">StealExpert_1</t>
  </si>
  <si>
    <t xml:space="preserve">GainItemDrop</t>
  </si>
  <si>
    <t xml:space="preserve">SelfAndTrainer</t>
  </si>
  <si>
    <t xml:space="preserve">StealExpert_2</t>
  </si>
  <si>
    <t xml:space="preserve">StealExpert_3</t>
  </si>
  <si>
    <t xml:space="preserve">StealExpert_4</t>
  </si>
  <si>
    <t xml:space="preserve">Mute_1</t>
  </si>
  <si>
    <t xml:space="preserve">Mute</t>
  </si>
  <si>
    <t xml:space="preserve">Mute_2</t>
  </si>
  <si>
    <t xml:space="preserve">Mute_3</t>
  </si>
  <si>
    <t xml:space="preserve">Mute_4</t>
  </si>
  <si>
    <t xml:space="preserve">Mute_5</t>
  </si>
  <si>
    <t xml:space="preserve">LifeSteal</t>
  </si>
  <si>
    <t xml:space="preserve">CraftSpeed*3</t>
  </si>
  <si>
    <t xml:space="preserve">CraftSpeed*5</t>
  </si>
  <si>
    <t xml:space="preserve">Heat Resistant Lv. 1</t>
  </si>
  <si>
    <t xml:space="preserve">TemperatureResist_Heat1</t>
  </si>
  <si>
    <t xml:space="preserve">TemperatureResist_Heat</t>
  </si>
  <si>
    <t xml:space="preserve">Heat Resistant Lv. 2</t>
  </si>
  <si>
    <t xml:space="preserve">TemperatureResist_Heat2</t>
  </si>
  <si>
    <t xml:space="preserve">Heat Resistant Lv. 3</t>
  </si>
  <si>
    <t xml:space="preserve">TemperatureResist_Heat3</t>
  </si>
  <si>
    <t xml:space="preserve">Cold Resistant Lv. 1</t>
  </si>
  <si>
    <t xml:space="preserve">TemperatureResist_Cold1</t>
  </si>
  <si>
    <t xml:space="preserve">TemperatureResist_Cold</t>
  </si>
  <si>
    <t xml:space="preserve">Cold Resistant Lv. 2</t>
  </si>
  <si>
    <t xml:space="preserve">TemperatureResist_Cold2</t>
  </si>
  <si>
    <t xml:space="preserve">Cold Resistant Lv. 3</t>
  </si>
  <si>
    <t xml:space="preserve">TemperatureResist_Cold3</t>
  </si>
  <si>
    <t xml:space="preserve">Lucky</t>
  </si>
  <si>
    <t xml:space="preserve">Rare</t>
  </si>
  <si>
    <t xml:space="preserve">PASSIVE_Legend_DESC</t>
  </si>
  <si>
    <t xml:space="preserve">MoveSpeed</t>
  </si>
  <si>
    <t xml:space="preserve">Max Carrying Capacity Lv. 1</t>
  </si>
  <si>
    <t xml:space="preserve">MaxInventoryWeight_up</t>
  </si>
  <si>
    <t xml:space="preserve">MaxInventoryWeight</t>
  </si>
  <si>
    <t xml:space="preserve">Max Carrying Capacity Lv. 2</t>
  </si>
  <si>
    <t xml:space="preserve">MaxInventoryWeight_up2</t>
  </si>
  <si>
    <t xml:space="preserve">Max Carrying Capacity Lv. 3</t>
  </si>
  <si>
    <t xml:space="preserve">MaxInventoryWeight_up3</t>
  </si>
  <si>
    <t xml:space="preserve">Ferocious</t>
  </si>
  <si>
    <t xml:space="preserve">PAL_ALLAttack_up2</t>
  </si>
  <si>
    <t xml:space="preserve">Brave</t>
  </si>
  <si>
    <t xml:space="preserve">PAL_ALLAttack_up1</t>
  </si>
  <si>
    <t xml:space="preserve">Coward</t>
  </si>
  <si>
    <t xml:space="preserve">Pacifist</t>
  </si>
  <si>
    <t xml:space="preserve">PAL_ALLAttack_down2</t>
  </si>
  <si>
    <t xml:space="preserve">Hooligan</t>
  </si>
  <si>
    <t xml:space="preserve">Conceited</t>
  </si>
  <si>
    <t xml:space="preserve">PAL_conceited</t>
  </si>
  <si>
    <t xml:space="preserve">Mentally unstable</t>
  </si>
  <si>
    <t xml:space="preserve">PAL_SpiritualInst</t>
  </si>
  <si>
    <t xml:space="preserve">Sadist</t>
  </si>
  <si>
    <t xml:space="preserve">PAL_sadist</t>
  </si>
  <si>
    <t xml:space="preserve">Masochist</t>
  </si>
  <si>
    <t xml:space="preserve">PAL_masochist</t>
  </si>
  <si>
    <t xml:space="preserve">Work Slave</t>
  </si>
  <si>
    <t xml:space="preserve">PAL_CorporateSlave</t>
  </si>
  <si>
    <t xml:space="preserve">Aggressive</t>
  </si>
  <si>
    <t xml:space="preserve">PAL_oraora</t>
  </si>
  <si>
    <t xml:space="preserve">Neutral Damage Reduction Lv. 1</t>
  </si>
  <si>
    <t xml:space="preserve">ElementResist_Normal_1</t>
  </si>
  <si>
    <t xml:space="preserve">ElementResist_Normal</t>
  </si>
  <si>
    <t xml:space="preserve">Fire Damage Reduction Lv. 1</t>
  </si>
  <si>
    <t xml:space="preserve">ElementResist_Fire_1</t>
  </si>
  <si>
    <t xml:space="preserve">ElementResist_Fire</t>
  </si>
  <si>
    <t xml:space="preserve">Water Damage Reduction Lv. 1</t>
  </si>
  <si>
    <t xml:space="preserve">ElementResist_Aqua_1</t>
  </si>
  <si>
    <t xml:space="preserve">ElementResist_Water</t>
  </si>
  <si>
    <t xml:space="preserve">Electric Damage Reduction Lv. 1</t>
  </si>
  <si>
    <t xml:space="preserve">ElementResist_Thunder_1</t>
  </si>
  <si>
    <t xml:space="preserve">ElementResist_Electricity</t>
  </si>
  <si>
    <t xml:space="preserve">Grass Damage Reduction Lv. 1</t>
  </si>
  <si>
    <t xml:space="preserve">ElementResist_Leaf_1</t>
  </si>
  <si>
    <t xml:space="preserve">ElementResist_Leaf</t>
  </si>
  <si>
    <t xml:space="preserve">Ice Damage Reduction Lv. 1</t>
  </si>
  <si>
    <t xml:space="preserve">ElementResist_Ice_1</t>
  </si>
  <si>
    <t xml:space="preserve">ElementResist_Ice</t>
  </si>
  <si>
    <t xml:space="preserve">Earth Damage Reduction Lv. 1</t>
  </si>
  <si>
    <t xml:space="preserve">ElementResist_Earth_1</t>
  </si>
  <si>
    <t xml:space="preserve">ElementResist_Earth</t>
  </si>
  <si>
    <t xml:space="preserve">Dark Damage Reduction Lv. 1</t>
  </si>
  <si>
    <t xml:space="preserve">ElementResist_Dark_1</t>
  </si>
  <si>
    <t xml:space="preserve">ElementResist_Dark</t>
  </si>
  <si>
    <t xml:space="preserve">Dragon Damage Reduction Lv. 1</t>
  </si>
  <si>
    <t xml:space="preserve">ElementResist_Dragon_1</t>
  </si>
  <si>
    <t xml:space="preserve">ElementResist_Dragon</t>
  </si>
  <si>
    <t xml:space="preserve">Neutral Damage Reduction Lv. 2</t>
  </si>
  <si>
    <t xml:space="preserve">ElementResist_Normal_2</t>
  </si>
  <si>
    <t xml:space="preserve">Fire Damage Reduction Lv. 2</t>
  </si>
  <si>
    <t xml:space="preserve">ElementResist_Fire_2</t>
  </si>
  <si>
    <t xml:space="preserve">Water Damage Reduction Lv. 2</t>
  </si>
  <si>
    <t xml:space="preserve">ElementResist_Aqua_2</t>
  </si>
  <si>
    <t xml:space="preserve">Electric Damage Reduction Lv. 2</t>
  </si>
  <si>
    <t xml:space="preserve">ElementResist_Thunder_2</t>
  </si>
  <si>
    <t xml:space="preserve">Grass Damage Reduction Lv. 2</t>
  </si>
  <si>
    <t xml:space="preserve">ElementResist_Leaf_2</t>
  </si>
  <si>
    <t xml:space="preserve">Ice Damage Reduction Lv. 2</t>
  </si>
  <si>
    <t xml:space="preserve">ElementResist_Ice_2</t>
  </si>
  <si>
    <t xml:space="preserve">Earth Damage Reduction Lv. 2</t>
  </si>
  <si>
    <t xml:space="preserve">ElementResist_Earth_2</t>
  </si>
  <si>
    <t xml:space="preserve">Dark Damage Reduction Lv. 2</t>
  </si>
  <si>
    <t xml:space="preserve">ElementResist_Dark_2</t>
  </si>
  <si>
    <t xml:space="preserve">Dragon Damage Reduction Lv. 2</t>
  </si>
  <si>
    <t xml:space="preserve">ElementResist_Dragon_2</t>
  </si>
  <si>
    <t xml:space="preserve">Neutral Damage Reduction Lv. 3</t>
  </si>
  <si>
    <t xml:space="preserve">ElementResist_Normal_3</t>
  </si>
  <si>
    <t xml:space="preserve">Fire Damage Reduction Lv. 3</t>
  </si>
  <si>
    <t xml:space="preserve">ElementResist_Fire_3</t>
  </si>
  <si>
    <t xml:space="preserve">Water Damage Reduction Lv. 3</t>
  </si>
  <si>
    <t xml:space="preserve">ElementResist_Aqua_3</t>
  </si>
  <si>
    <t xml:space="preserve">Electric Damage Reduction Lv. 3</t>
  </si>
  <si>
    <t xml:space="preserve">ElementResist_Thunder_3</t>
  </si>
  <si>
    <t xml:space="preserve">Grass Damage Reduction Lv. 3</t>
  </si>
  <si>
    <t xml:space="preserve">ElementResist_Leaf_3</t>
  </si>
  <si>
    <t xml:space="preserve">Ice Damage Reduction Lv. 3</t>
  </si>
  <si>
    <t xml:space="preserve">ElementResist_Ice_3</t>
  </si>
  <si>
    <t xml:space="preserve">Earth Damage Reduction Lv. 3</t>
  </si>
  <si>
    <t xml:space="preserve">ElementResist_Earth_3</t>
  </si>
  <si>
    <t xml:space="preserve">Dark Damage Reduction Lv. 3</t>
  </si>
  <si>
    <t xml:space="preserve">ElementResist_Dark_3</t>
  </si>
  <si>
    <t xml:space="preserve">Dragon Damage Reduction Lv. 3</t>
  </si>
  <si>
    <t xml:space="preserve">ElementResist_Dragon_3</t>
  </si>
  <si>
    <t xml:space="preserve">Vanguard</t>
  </si>
  <si>
    <t xml:space="preserve">TrainerATK_UP_1</t>
  </si>
  <si>
    <t xml:space="preserve">PASSIVE_TrainerATK_UP_1</t>
  </si>
  <si>
    <t xml:space="preserve">Stronghold Strategist</t>
  </si>
  <si>
    <t xml:space="preserve">TrainerDEF_UP_1</t>
  </si>
  <si>
    <t xml:space="preserve">PASSIVE_TrainerDEF_UP_1</t>
  </si>
  <si>
    <t xml:space="preserve">Motivational Leader</t>
  </si>
  <si>
    <t xml:space="preserve">TrainerWorkSpeed_UP_1</t>
  </si>
  <si>
    <t xml:space="preserve">PASSIVE_TrainerWorkSpeed_UP_1</t>
  </si>
  <si>
    <t xml:space="preserve">Mine Foreman</t>
  </si>
  <si>
    <t xml:space="preserve">TrainerMining_up1</t>
  </si>
  <si>
    <t xml:space="preserve">PASSIVE_TrainerMining_up1</t>
  </si>
  <si>
    <t xml:space="preserve">Logging Foreman</t>
  </si>
  <si>
    <t xml:space="preserve">TrainerLogging_up1</t>
  </si>
  <si>
    <t xml:space="preserve">PASSIVE_TrainerLogging_up1</t>
  </si>
  <si>
    <t xml:space="preserve">Abnormal</t>
  </si>
  <si>
    <t xml:space="preserve">PASSIVE_ElementResist_Normal_1_PAL</t>
  </si>
  <si>
    <t xml:space="preserve">Suntan Lover</t>
  </si>
  <si>
    <t xml:space="preserve">ElementResist_Fire_1_PAL</t>
  </si>
  <si>
    <t xml:space="preserve">PASSIVE_ElementResist_Fire_1_PAL</t>
  </si>
  <si>
    <t xml:space="preserve">Waterproof</t>
  </si>
  <si>
    <t xml:space="preserve">ElementResist_Aqua_1_PAL</t>
  </si>
  <si>
    <t xml:space="preserve">PASSIVE_ElementResist_Aqua_1_PAL</t>
  </si>
  <si>
    <t xml:space="preserve">Insulated Body</t>
  </si>
  <si>
    <t xml:space="preserve">ElementResist_Thunder_1_PAL</t>
  </si>
  <si>
    <t xml:space="preserve">PASSIVE_ElementResist_Thunder_1_PAL</t>
  </si>
  <si>
    <t xml:space="preserve">Botanical Barrier</t>
  </si>
  <si>
    <t xml:space="preserve">ElementResist_Leaf_1_PAL</t>
  </si>
  <si>
    <t xml:space="preserve">PASSIVE_ElementResist_Leaf_1_PAL</t>
  </si>
  <si>
    <t xml:space="preserve">Heated Body</t>
  </si>
  <si>
    <t xml:space="preserve">ElementResist_Ice_1_PAL</t>
  </si>
  <si>
    <t xml:space="preserve">PASSIVE_ElementResist_Ice_1_PAL</t>
  </si>
  <si>
    <t xml:space="preserve">Earthquake Resistant</t>
  </si>
  <si>
    <t xml:space="preserve">ElementResist_Earth_1_PAL</t>
  </si>
  <si>
    <t xml:space="preserve">PASSIVE_ElementResist_Earth_1_PAL</t>
  </si>
  <si>
    <t xml:space="preserve">Cheery</t>
  </si>
  <si>
    <t xml:space="preserve">ElementResist_Dark_1_PAL</t>
  </si>
  <si>
    <t xml:space="preserve">PASSIVE_ElementResist_Dark_1_PAL</t>
  </si>
  <si>
    <t xml:space="preserve">Dragonkiller</t>
  </si>
  <si>
    <t xml:space="preserve">ElementResist_Dragon_1_PAL</t>
  </si>
  <si>
    <t xml:space="preserve">PASSIVE_ElementResist_Dragon_1_PAL</t>
  </si>
  <si>
    <t xml:space="preserve">Zen Mind</t>
  </si>
  <si>
    <t xml:space="preserve">ElementBoost_Normal_1_PAL</t>
  </si>
  <si>
    <t xml:space="preserve">PASSIVE_ElementBoost_Normal_1_PAL</t>
  </si>
  <si>
    <t xml:space="preserve">ElementBoost_Normal</t>
  </si>
  <si>
    <t xml:space="preserve">Pyromaniac</t>
  </si>
  <si>
    <t xml:space="preserve">ElementBoost_Fire_1_PAL</t>
  </si>
  <si>
    <t xml:space="preserve">PASSIVE_ElementBoost_Fire_1_PAL</t>
  </si>
  <si>
    <t xml:space="preserve">ElementBoost_Fire</t>
  </si>
  <si>
    <t xml:space="preserve">Hydromaniac</t>
  </si>
  <si>
    <t xml:space="preserve">ElementBoost_Aqua_1_PAL</t>
  </si>
  <si>
    <t xml:space="preserve">PASSIVE_ElementBoost_Aqua_1_PAL</t>
  </si>
  <si>
    <t xml:space="preserve">ElementBoost_Water</t>
  </si>
  <si>
    <t xml:space="preserve">Capacitor</t>
  </si>
  <si>
    <t xml:space="preserve">ElementBoost_Thunder_1_PAL</t>
  </si>
  <si>
    <t xml:space="preserve">PASSIVE_ElementBoost_Thunder_1_PAL</t>
  </si>
  <si>
    <t xml:space="preserve">ElementBoost_Electricity</t>
  </si>
  <si>
    <t xml:space="preserve">Fragrant Foliage</t>
  </si>
  <si>
    <t xml:space="preserve">ElementBoost_Leaf_1_PAL</t>
  </si>
  <si>
    <t xml:space="preserve">PASSIVE_ElementBoost_Leaf_1_PAL</t>
  </si>
  <si>
    <t xml:space="preserve">ElementBoost_Leaf</t>
  </si>
  <si>
    <t xml:space="preserve">Coldblooded</t>
  </si>
  <si>
    <t xml:space="preserve">ElementBoost_Ice_1_PAL</t>
  </si>
  <si>
    <t xml:space="preserve">PASSIVE_ElementBoost_Ice_1_PAL</t>
  </si>
  <si>
    <t xml:space="preserve">ElementBoost_Ice</t>
  </si>
  <si>
    <t xml:space="preserve">Power of Gaia</t>
  </si>
  <si>
    <t xml:space="preserve">ElementBoost_Earth_1_PAL</t>
  </si>
  <si>
    <t xml:space="preserve">PASSIVE_ElementBoost_Earth_1_PAL</t>
  </si>
  <si>
    <t xml:space="preserve">ElementBoost_Earth</t>
  </si>
  <si>
    <t xml:space="preserve">Veil of Darkness</t>
  </si>
  <si>
    <t xml:space="preserve">ElementBoost_Dark_1_PAL</t>
  </si>
  <si>
    <t xml:space="preserve">PASSIVE_ElementBoost_Dark_1_PAL</t>
  </si>
  <si>
    <t xml:space="preserve">ElementBoost_Dark</t>
  </si>
  <si>
    <t xml:space="preserve">Blood of the Dragon</t>
  </si>
  <si>
    <t xml:space="preserve">ElementBoost_Dragon_1_PAL</t>
  </si>
  <si>
    <t xml:space="preserve">PASSIVE_ElementBoost_Dragon_1_PAL</t>
  </si>
  <si>
    <t xml:space="preserve">ElementBoost_Dragon</t>
  </si>
  <si>
    <t xml:space="preserve">Glutton</t>
  </si>
  <si>
    <t xml:space="preserve">PASSIVE_PAL_FullStomach_Up_1</t>
  </si>
  <si>
    <t xml:space="preserve">FullStomatch_Decrease</t>
  </si>
  <si>
    <t xml:space="preserve">Bottomless Stomach</t>
  </si>
  <si>
    <t xml:space="preserve">PAL_FullStomach_Up_2</t>
  </si>
  <si>
    <t xml:space="preserve">PASSIVE_PAL_FullStomach_Up_2</t>
  </si>
  <si>
    <t xml:space="preserve">Dainty Eater</t>
  </si>
  <si>
    <t xml:space="preserve">PAL_FullStomach_Down_1</t>
  </si>
  <si>
    <t xml:space="preserve">PASSIVE_PAL_FullStomach_Down_1</t>
  </si>
  <si>
    <t xml:space="preserve">Diet Lover</t>
  </si>
  <si>
    <t xml:space="preserve">PAL_FullStomach_Down_2</t>
  </si>
  <si>
    <t xml:space="preserve">PASSIVE_PAL_FullStomach_Down_2</t>
  </si>
  <si>
    <t xml:space="preserve">Unstable</t>
  </si>
  <si>
    <t xml:space="preserve">PAL_Sanity_Up_1</t>
  </si>
  <si>
    <t xml:space="preserve">PASSIVE_PAL_Sanity_Up_1</t>
  </si>
  <si>
    <t xml:space="preserve">Sanity_Decrease</t>
  </si>
  <si>
    <t xml:space="preserve">Destructive</t>
  </si>
  <si>
    <t xml:space="preserve">PAL_Sanity_Up_2</t>
  </si>
  <si>
    <t xml:space="preserve">PASSIVE_PAL_Sanity_Up_2</t>
  </si>
  <si>
    <t xml:space="preserve">Positive Thinker</t>
  </si>
  <si>
    <t xml:space="preserve">PAL_Sanity_Down_1</t>
  </si>
  <si>
    <t xml:space="preserve">PASSIVE_PAL_Sanity_Down_1</t>
  </si>
  <si>
    <t xml:space="preserve">Workaholic</t>
  </si>
  <si>
    <t xml:space="preserve">PAL_Sanity_Down_2</t>
  </si>
  <si>
    <t xml:space="preserve">PASSIVE_PAL_Sanity_Down_2</t>
  </si>
  <si>
    <t xml:space="preserve">Celestial Emperor</t>
  </si>
  <si>
    <t xml:space="preserve">Flame Emperor</t>
  </si>
  <si>
    <t xml:space="preserve">Lord of the Sea</t>
  </si>
  <si>
    <t xml:space="preserve">Lord of Lightning</t>
  </si>
  <si>
    <t xml:space="preserve">Spirit Emperor</t>
  </si>
  <si>
    <t xml:space="preserve">Ice Emperor</t>
  </si>
  <si>
    <t xml:space="preserve">Earth Emperor</t>
  </si>
  <si>
    <t xml:space="preserve">Lord of the Underworld</t>
  </si>
  <si>
    <t xml:space="preserve">Divine Dragon</t>
  </si>
  <si>
    <t xml:space="preserve">ElementAddItemDrop_Normal</t>
  </si>
  <si>
    <t xml:space="preserve">ElementAddItemDrop_Fire</t>
  </si>
  <si>
    <t xml:space="preserve">ElementAddItemDrop_Water</t>
  </si>
  <si>
    <t xml:space="preserve">ElementAddItemDrop_Electricity</t>
  </si>
  <si>
    <t xml:space="preserve">ElementAddItemDrop_Leaf</t>
  </si>
  <si>
    <t xml:space="preserve">ElementAddItemDrop_Ice</t>
  </si>
  <si>
    <t xml:space="preserve">ElementAddItemDrop_Earth</t>
  </si>
  <si>
    <t xml:space="preserve">ElementAddItemDrop_Dark</t>
  </si>
  <si>
    <t xml:space="preserve">ElementAddItemDrop_Dragon</t>
  </si>
  <si>
    <t xml:space="preserve">Nimble</t>
  </si>
  <si>
    <t xml:space="preserve">MoveSpeed_up_1</t>
  </si>
  <si>
    <t xml:space="preserve">PASSIVE_PAL_MoveSpeed_up_1</t>
  </si>
  <si>
    <t xml:space="preserve">Runner</t>
  </si>
  <si>
    <t xml:space="preserve">MoveSpeed_up_2</t>
  </si>
  <si>
    <t xml:space="preserve">PASSIVE_PAL_MoveSpeed_up_2</t>
  </si>
  <si>
    <t xml:space="preserve">Swift</t>
  </si>
  <si>
    <t xml:space="preserve">MoveSpeed_up_3</t>
  </si>
  <si>
    <t xml:space="preserve">PASSIVE_PAL_MoveSpeed_up_3</t>
  </si>
  <si>
    <t xml:space="preserve">BodyPartsWeakDamage</t>
  </si>
  <si>
    <t xml:space="preserve">addedbyme - not in game files in this format</t>
  </si>
  <si>
    <t xml:space="preserve">FindWool</t>
  </si>
  <si>
    <t xml:space="preserve">(min,max)</t>
  </si>
  <si>
    <t xml:space="preserve">2,3</t>
  </si>
  <si>
    <t xml:space="preserve">2,4</t>
  </si>
  <si>
    <t xml:space="preserve">2,5</t>
  </si>
  <si>
    <t xml:space="preserve">2,6</t>
  </si>
  <si>
    <t xml:space="preserve">FindMoney</t>
  </si>
  <si>
    <t xml:space="preserve">10,10</t>
  </si>
  <si>
    <t xml:space="preserve">10,20</t>
  </si>
  <si>
    <t xml:space="preserve">10,30</t>
  </si>
  <si>
    <t xml:space="preserve">10,40</t>
  </si>
  <si>
    <t xml:space="preserve">10,50</t>
  </si>
  <si>
    <t xml:space="preserve">FindBerry</t>
  </si>
  <si>
    <t xml:space="preserve">1,1</t>
  </si>
  <si>
    <t xml:space="preserve">1,2</t>
  </si>
  <si>
    <t xml:space="preserve">1,3</t>
  </si>
  <si>
    <t xml:space="preserve">1,4</t>
  </si>
  <si>
    <t xml:space="preserve">1,5</t>
  </si>
  <si>
    <t xml:space="preserve">FindEgg</t>
  </si>
  <si>
    <t xml:space="preserve">FindMilk</t>
  </si>
  <si>
    <t xml:space="preserve">FindPalSphere</t>
  </si>
  <si>
    <t xml:space="preserve">5 weight</t>
  </si>
  <si>
    <t xml:space="preserve">FindArrow</t>
  </si>
  <si>
    <t xml:space="preserve">2 weight</t>
  </si>
  <si>
    <t xml:space="preserve">1 weight</t>
  </si>
  <si>
    <t xml:space="preserve">3 weight</t>
  </si>
  <si>
    <t xml:space="preserve">4 weight</t>
  </si>
  <si>
    <t xml:space="preserve">FindPalSphere/FindMegaPalSphere</t>
  </si>
  <si>
    <t xml:space="preserve">1,1 / 1,1</t>
  </si>
  <si>
    <t xml:space="preserve">5 weight / 1 weight</t>
  </si>
  <si>
    <t xml:space="preserve">3,4</t>
  </si>
  <si>
    <t xml:space="preserve">1,2 / 1,1</t>
  </si>
  <si>
    <t xml:space="preserve">4,5</t>
  </si>
  <si>
    <t xml:space="preserve">FindFireOrgan</t>
  </si>
  <si>
    <t xml:space="preserve">FindSweet</t>
  </si>
  <si>
    <t xml:space="preserve">FindCloth</t>
  </si>
  <si>
    <t xml:space="preserve">FindHoney</t>
  </si>
  <si>
    <t xml:space="preserve">Pal Passive Skills</t>
  </si>
</sst>
</file>

<file path=xl/styles.xml><?xml version="1.0" encoding="utf-8"?>
<styleSheet xmlns="http://schemas.openxmlformats.org/spreadsheetml/2006/main">
  <numFmts count="10">
    <numFmt numFmtId="164" formatCode="General"/>
    <numFmt numFmtId="165" formatCode="General"/>
    <numFmt numFmtId="166" formatCode="0.00%"/>
    <numFmt numFmtId="167" formatCode="0%"/>
    <numFmt numFmtId="168" formatCode="0.0%"/>
    <numFmt numFmtId="169" formatCode="0"/>
    <numFmt numFmtId="170" formatCode="#,##0.0"/>
    <numFmt numFmtId="171" formatCode="0.00"/>
    <numFmt numFmtId="172" formatCode="0.0"/>
    <numFmt numFmtId="173" formatCode="&quot;TRUE&quot;;&quot;TRUE&quot;;&quot;FALSE&quot;"/>
  </numFmts>
  <fonts count="25">
    <font>
      <sz val="10"/>
      <color rgb="FF000000"/>
      <name val="Arial"/>
      <family val="0"/>
      <charset val="1"/>
    </font>
    <font>
      <sz val="10"/>
      <name val="Arial"/>
      <family val="0"/>
    </font>
    <font>
      <sz val="10"/>
      <name val="Arial"/>
      <family val="0"/>
    </font>
    <font>
      <sz val="10"/>
      <name val="Arial"/>
      <family val="0"/>
    </font>
    <font>
      <sz val="11"/>
      <color rgb="FF000000"/>
      <name val="Arial"/>
      <family val="0"/>
      <charset val="1"/>
    </font>
    <font>
      <b val="true"/>
      <sz val="11"/>
      <color rgb="FF000000"/>
      <name val="Arial"/>
      <family val="0"/>
      <charset val="1"/>
    </font>
    <font>
      <u val="single"/>
      <sz val="11"/>
      <color rgb="FF0000FF"/>
      <name val="Arial"/>
      <family val="0"/>
      <charset val="1"/>
    </font>
    <font>
      <sz val="12"/>
      <color rgb="FF000000"/>
      <name val="Calibri"/>
      <family val="0"/>
      <charset val="1"/>
    </font>
    <font>
      <b val="true"/>
      <sz val="13"/>
      <color rgb="FF000000"/>
      <name val="Arial"/>
      <family val="0"/>
      <charset val="1"/>
    </font>
    <font>
      <sz val="9"/>
      <color rgb="FF000000"/>
      <name val="Arial"/>
      <family val="0"/>
      <charset val="1"/>
    </font>
    <font>
      <sz val="11"/>
      <color rgb="FFCCCCCC"/>
      <name val="Arial"/>
      <family val="0"/>
      <charset val="1"/>
    </font>
    <font>
      <sz val="11"/>
      <color rgb="FFFFFFFF"/>
      <name val="Arial"/>
      <family val="0"/>
      <charset val="1"/>
    </font>
    <font>
      <sz val="12"/>
      <color rgb="FFFFFFFF"/>
      <name val="Calibri"/>
      <family val="0"/>
      <charset val="1"/>
    </font>
    <font>
      <sz val="9"/>
      <color rgb="FFFFFFFF"/>
      <name val="Arial"/>
      <family val="0"/>
      <charset val="1"/>
    </font>
    <font>
      <sz val="10"/>
      <color rgb="FFFFFFFF"/>
      <name val="Arial"/>
      <family val="0"/>
      <charset val="1"/>
    </font>
    <font>
      <sz val="8"/>
      <color rgb="FFFFFFFF"/>
      <name val="Arial"/>
      <family val="0"/>
      <charset val="1"/>
    </font>
    <font>
      <sz val="7"/>
      <color rgb="FFFFFFFF"/>
      <name val="Arial"/>
      <family val="0"/>
      <charset val="1"/>
    </font>
    <font>
      <sz val="6"/>
      <color rgb="FFFFFFFF"/>
      <name val="Arial"/>
      <family val="0"/>
      <charset val="1"/>
    </font>
    <font>
      <b val="true"/>
      <sz val="12"/>
      <color rgb="FF000000"/>
      <name val="Arial"/>
      <family val="0"/>
      <charset val="1"/>
    </font>
    <font>
      <b val="true"/>
      <sz val="10"/>
      <color rgb="FF000000"/>
      <name val="Arial"/>
      <family val="0"/>
      <charset val="1"/>
    </font>
    <font>
      <u val="single"/>
      <sz val="11"/>
      <color rgb="FF1155CC"/>
      <name val="Arial"/>
      <family val="0"/>
      <charset val="1"/>
    </font>
    <font>
      <b val="true"/>
      <sz val="21"/>
      <color rgb="FF000000"/>
      <name val="Arial"/>
      <family val="0"/>
      <charset val="1"/>
    </font>
    <font>
      <u val="single"/>
      <sz val="11"/>
      <color rgb="FF0000FF"/>
      <name val="Cambria"/>
      <family val="0"/>
      <charset val="1"/>
    </font>
    <font>
      <b val="true"/>
      <sz val="12"/>
      <color rgb="FF000000"/>
      <name val="Calibri"/>
      <family val="0"/>
      <charset val="1"/>
    </font>
    <font>
      <sz val="11"/>
      <color rgb="FF000000"/>
      <name val="Calibri"/>
      <family val="0"/>
      <charset val="1"/>
    </font>
  </fonts>
  <fills count="41">
    <fill>
      <patternFill patternType="none"/>
    </fill>
    <fill>
      <patternFill patternType="gray125"/>
    </fill>
    <fill>
      <patternFill patternType="solid">
        <fgColor rgb="FFB7B7B7"/>
        <bgColor rgb="FFBDBDBD"/>
      </patternFill>
    </fill>
    <fill>
      <patternFill patternType="solid">
        <fgColor rgb="FF999999"/>
        <bgColor rgb="FF78909C"/>
      </patternFill>
    </fill>
    <fill>
      <patternFill patternType="solid">
        <fgColor rgb="FFCCCCCC"/>
        <bgColor rgb="FFD9D9D9"/>
      </patternFill>
    </fill>
    <fill>
      <patternFill patternType="solid">
        <fgColor rgb="FFCFE2F3"/>
        <bgColor rgb="FFD9D9D9"/>
      </patternFill>
    </fill>
    <fill>
      <patternFill patternType="solid">
        <fgColor rgb="FFEAD1DC"/>
        <bgColor rgb="FFF4CCCC"/>
      </patternFill>
    </fill>
    <fill>
      <patternFill patternType="solid">
        <fgColor rgb="FF9FC5E8"/>
        <bgColor rgb="FFBDBDBD"/>
      </patternFill>
    </fill>
    <fill>
      <patternFill patternType="solid">
        <fgColor rgb="FFD5A6BD"/>
        <bgColor rgb="FFEA9999"/>
      </patternFill>
    </fill>
    <fill>
      <patternFill patternType="solid">
        <fgColor rgb="FFBDBDBD"/>
        <bgColor rgb="FFB7B7B7"/>
      </patternFill>
    </fill>
    <fill>
      <patternFill patternType="solid">
        <fgColor rgb="FFD9D9D9"/>
        <bgColor rgb="FFEAD1DC"/>
      </patternFill>
    </fill>
    <fill>
      <patternFill patternType="solid">
        <fgColor rgb="FFFFFFFF"/>
        <bgColor rgb="FFF3F3F3"/>
      </patternFill>
    </fill>
    <fill>
      <patternFill patternType="solid">
        <fgColor rgb="FFF3F3F3"/>
        <bgColor rgb="FFEFEFEF"/>
      </patternFill>
    </fill>
    <fill>
      <patternFill patternType="solid">
        <fgColor rgb="FF666666"/>
        <bgColor rgb="FF45818E"/>
      </patternFill>
    </fill>
    <fill>
      <patternFill patternType="solid">
        <fgColor rgb="FFFFF2CC"/>
        <bgColor rgb="FFFCE5CD"/>
      </patternFill>
    </fill>
    <fill>
      <patternFill patternType="solid">
        <fgColor rgb="FFC2BB74"/>
        <bgColor rgb="FFC1BB74"/>
      </patternFill>
    </fill>
    <fill>
      <patternFill patternType="solid">
        <fgColor rgb="FFC1BB74"/>
        <bgColor rgb="FFC2BB74"/>
      </patternFill>
    </fill>
    <fill>
      <patternFill patternType="solid">
        <fgColor rgb="FFF6BB66"/>
        <bgColor rgb="FFF8C266"/>
      </patternFill>
    </fill>
    <fill>
      <patternFill patternType="solid">
        <fgColor rgb="FFF8C266"/>
        <bgColor rgb="FFF6BB66"/>
      </patternFill>
    </fill>
    <fill>
      <patternFill patternType="solid">
        <fgColor rgb="FF93C47D"/>
        <bgColor rgb="FFC1BB74"/>
      </patternFill>
    </fill>
    <fill>
      <patternFill patternType="solid">
        <fgColor rgb="FFFCE5CD"/>
        <bgColor rgb="FFFFF2CC"/>
      </patternFill>
    </fill>
    <fill>
      <patternFill patternType="solid">
        <fgColor rgb="FFEFEFEF"/>
        <bgColor rgb="FFEBEFF1"/>
      </patternFill>
    </fill>
    <fill>
      <patternFill patternType="solid">
        <fgColor rgb="FF6D9EEB"/>
        <bgColor rgb="FF78909C"/>
      </patternFill>
    </fill>
    <fill>
      <patternFill patternType="solid">
        <fgColor rgb="FFF4CCCC"/>
        <bgColor rgb="FFEAD1DC"/>
      </patternFill>
    </fill>
    <fill>
      <patternFill patternType="solid">
        <fgColor rgb="FFD9EAD3"/>
        <bgColor rgb="FFD9D9D9"/>
      </patternFill>
    </fill>
    <fill>
      <patternFill patternType="solid">
        <fgColor rgb="FF0B5394"/>
        <bgColor rgb="FF1155CC"/>
      </patternFill>
    </fill>
    <fill>
      <patternFill patternType="solid">
        <fgColor rgb="FF434343"/>
        <bgColor rgb="FF274E13"/>
      </patternFill>
    </fill>
    <fill>
      <patternFill patternType="solid">
        <fgColor rgb="FF0C343D"/>
        <bgColor rgb="FF003300"/>
      </patternFill>
    </fill>
    <fill>
      <patternFill patternType="solid">
        <fgColor rgb="FF7F6000"/>
        <bgColor rgb="FF783F04"/>
      </patternFill>
    </fill>
    <fill>
      <patternFill patternType="solid">
        <fgColor rgb="FFBF9000"/>
        <bgColor rgb="FFFF9900"/>
      </patternFill>
    </fill>
    <fill>
      <patternFill patternType="solid">
        <fgColor rgb="FF660000"/>
        <bgColor rgb="FF800000"/>
      </patternFill>
    </fill>
    <fill>
      <patternFill patternType="solid">
        <fgColor rgb="FF783F04"/>
        <bgColor rgb="FF7F6000"/>
      </patternFill>
    </fill>
    <fill>
      <patternFill patternType="solid">
        <fgColor rgb="FF274E13"/>
        <bgColor rgb="FF434343"/>
      </patternFill>
    </fill>
    <fill>
      <patternFill patternType="solid">
        <fgColor rgb="FF4C1130"/>
        <bgColor rgb="FF660000"/>
      </patternFill>
    </fill>
    <fill>
      <patternFill patternType="solid">
        <fgColor rgb="FF8E7CC3"/>
        <bgColor rgb="FF78909C"/>
      </patternFill>
    </fill>
    <fill>
      <patternFill patternType="solid">
        <fgColor rgb="FF45818E"/>
        <bgColor rgb="FF666666"/>
      </patternFill>
    </fill>
    <fill>
      <patternFill patternType="solid">
        <fgColor rgb="FFB6D7A8"/>
        <bgColor rgb="FFCCCCCC"/>
      </patternFill>
    </fill>
    <fill>
      <patternFill patternType="solid">
        <fgColor rgb="FF78909C"/>
        <bgColor rgb="FF999999"/>
      </patternFill>
    </fill>
    <fill>
      <patternFill patternType="solid">
        <fgColor rgb="FFEBEFF1"/>
        <bgColor rgb="FFEFEFEF"/>
      </patternFill>
    </fill>
    <fill>
      <patternFill patternType="solid">
        <fgColor rgb="FFE06666"/>
        <bgColor rgb="FFCC4125"/>
      </patternFill>
    </fill>
    <fill>
      <patternFill patternType="solid">
        <fgColor rgb="FFEA9999"/>
        <bgColor rgb="FFD5A6BD"/>
      </patternFill>
    </fill>
  </fills>
  <borders count="56">
    <border diagonalUp="false" diagonalDown="false">
      <left/>
      <right/>
      <top/>
      <bottom/>
      <diagonal/>
    </border>
    <border diagonalUp="false" diagonalDown="false">
      <left/>
      <right/>
      <top/>
      <bottom style="thick"/>
      <diagonal/>
    </border>
    <border diagonalUp="false" diagonalDown="false">
      <left style="medium"/>
      <right style="medium"/>
      <top style="medium"/>
      <bottom/>
      <diagonal/>
    </border>
    <border diagonalUp="false" diagonalDown="false">
      <left style="thick"/>
      <right style="thick"/>
      <top/>
      <bottom/>
      <diagonal/>
    </border>
    <border diagonalUp="false" diagonalDown="false">
      <left style="medium"/>
      <right style="medium"/>
      <top/>
      <bottom/>
      <diagonal/>
    </border>
    <border diagonalUp="false" diagonalDown="false">
      <left style="thick"/>
      <right/>
      <top/>
      <bottom style="medium"/>
      <diagonal/>
    </border>
    <border diagonalUp="false" diagonalDown="false">
      <left/>
      <right style="thick"/>
      <top/>
      <bottom style="medium"/>
      <diagonal/>
    </border>
    <border diagonalUp="false" diagonalDown="false">
      <left style="thick"/>
      <right/>
      <top/>
      <bottom style="thin"/>
      <diagonal/>
    </border>
    <border diagonalUp="false" diagonalDown="false">
      <left/>
      <right/>
      <top/>
      <bottom style="thin"/>
      <diagonal/>
    </border>
    <border diagonalUp="false" diagonalDown="false">
      <left/>
      <right style="thick"/>
      <top/>
      <bottom style="thin"/>
      <diagonal/>
    </border>
    <border diagonalUp="false" diagonalDown="false">
      <left style="thick"/>
      <right/>
      <top style="thin"/>
      <bottom style="thin"/>
      <diagonal/>
    </border>
    <border diagonalUp="false" diagonalDown="false">
      <left style="medium"/>
      <right style="medium"/>
      <top/>
      <bottom style="medium"/>
      <diagonal/>
    </border>
    <border diagonalUp="false" diagonalDown="false">
      <left style="medium"/>
      <right style="medium"/>
      <top style="medium"/>
      <bottom style="medium"/>
      <diagonal/>
    </border>
    <border diagonalUp="false" diagonalDown="false">
      <left style="medium"/>
      <right style="thick"/>
      <top style="thick"/>
      <bottom style="medium"/>
      <diagonal/>
    </border>
    <border diagonalUp="false" diagonalDown="false">
      <left style="medium"/>
      <right/>
      <top/>
      <bottom style="thin"/>
      <diagonal/>
    </border>
    <border diagonalUp="false" diagonalDown="false">
      <left style="thin"/>
      <right style="medium"/>
      <top/>
      <bottom style="thin"/>
      <diagonal/>
    </border>
    <border diagonalUp="false" diagonalDown="false">
      <left style="medium"/>
      <right style="thick"/>
      <top/>
      <bottom/>
      <diagonal/>
    </border>
    <border diagonalUp="false" diagonalDown="false">
      <left style="medium"/>
      <right/>
      <top/>
      <bottom/>
      <diagonal/>
    </border>
    <border diagonalUp="false" diagonalDown="false">
      <left style="thin"/>
      <right/>
      <top/>
      <bottom/>
      <diagonal/>
    </border>
    <border diagonalUp="false" diagonalDown="false">
      <left/>
      <right style="medium"/>
      <top/>
      <bottom/>
      <diagonal/>
    </border>
    <border diagonalUp="false" diagonalDown="false">
      <left style="medium"/>
      <right style="thick"/>
      <top/>
      <bottom style="thin"/>
      <diagonal/>
    </border>
    <border diagonalUp="false" diagonalDown="false">
      <left/>
      <right style="thick"/>
      <top/>
      <bottom/>
      <diagonal/>
    </border>
    <border diagonalUp="false" diagonalDown="false">
      <left style="thick"/>
      <right/>
      <top style="thin"/>
      <bottom style="thick"/>
      <diagonal/>
    </border>
    <border diagonalUp="false" diagonalDown="false">
      <left/>
      <right style="thick"/>
      <top/>
      <bottom style="thick"/>
      <diagonal/>
    </border>
    <border diagonalUp="false" diagonalDown="false">
      <left/>
      <right/>
      <top/>
      <bottom style="medium"/>
      <diagonal/>
    </border>
    <border diagonalUp="false" diagonalDown="false">
      <left/>
      <right style="medium"/>
      <top/>
      <bottom style="medium"/>
      <diagonal/>
    </border>
    <border diagonalUp="false" diagonalDown="false">
      <left/>
      <right style="medium"/>
      <top/>
      <bottom style="thin"/>
      <diagonal/>
    </border>
    <border diagonalUp="false" diagonalDown="false">
      <left style="medium"/>
      <right style="medium"/>
      <top/>
      <bottom style="thin"/>
      <diagonal/>
    </border>
    <border diagonalUp="false" diagonalDown="false">
      <left/>
      <right style="thin"/>
      <top/>
      <bottom style="thin"/>
      <diagonal/>
    </border>
    <border diagonalUp="false" diagonalDown="false">
      <left/>
      <right style="medium"/>
      <top style="thin"/>
      <bottom/>
      <diagonal/>
    </border>
    <border diagonalUp="false" diagonalDown="false">
      <left style="medium"/>
      <right/>
      <top/>
      <bottom style="medium"/>
      <diagonal/>
    </border>
    <border diagonalUp="false" diagonalDown="false">
      <left style="medium"/>
      <right style="medium"/>
      <top style="thin"/>
      <bottom style="thin"/>
      <diagonal/>
    </border>
    <border diagonalUp="false" diagonalDown="false">
      <left style="medium"/>
      <right style="medium"/>
      <top style="medium"/>
      <bottom style="thin"/>
      <diagonal/>
    </border>
    <border diagonalUp="false" diagonalDown="false">
      <left/>
      <right style="medium"/>
      <top style="medium"/>
      <bottom style="thin"/>
      <diagonal/>
    </border>
    <border diagonalUp="false" diagonalDown="false">
      <left style="medium"/>
      <right style="thin"/>
      <top/>
      <bottom style="thin"/>
      <diagonal/>
    </border>
    <border diagonalUp="false" diagonalDown="false">
      <left style="medium"/>
      <right style="thin"/>
      <top/>
      <bottom/>
      <diagonal/>
    </border>
    <border diagonalUp="false" diagonalDown="false">
      <left/>
      <right style="thin"/>
      <top/>
      <bottom/>
      <diagonal/>
    </border>
    <border diagonalUp="false" diagonalDown="false">
      <left style="medium"/>
      <right style="thin"/>
      <top/>
      <bottom style="medium"/>
      <diagonal/>
    </border>
    <border diagonalUp="false" diagonalDown="false">
      <left/>
      <right style="thin"/>
      <top/>
      <bottom style="mediu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style="thin"/>
      <right style="thin"/>
      <top/>
      <bottom/>
      <diagonal/>
    </border>
    <border diagonalUp="false" diagonalDown="false">
      <left style="thin"/>
      <right/>
      <top/>
      <bottom style="thin"/>
      <diagonal/>
    </border>
    <border diagonalUp="false" diagonalDown="false">
      <left style="thin"/>
      <right style="thin"/>
      <top/>
      <bottom style="thin"/>
      <diagonal/>
    </border>
    <border diagonalUp="false" diagonalDown="false">
      <left style="thick"/>
      <right style="thick"/>
      <top style="thick"/>
      <bottom style="thick"/>
      <diagonal/>
    </border>
    <border diagonalUp="false" diagonalDown="false">
      <left style="thick"/>
      <right style="thick"/>
      <top style="thick"/>
      <bottom style="medium"/>
      <diagonal/>
    </border>
    <border diagonalUp="false" diagonalDown="false">
      <left style="thick"/>
      <right/>
      <top/>
      <bottom/>
      <diagonal/>
    </border>
    <border diagonalUp="false" diagonalDown="false">
      <left style="thick"/>
      <right/>
      <top/>
      <bottom style="thick"/>
      <diagonal/>
    </border>
    <border diagonalUp="false" diagonalDown="false">
      <left style="thick"/>
      <right/>
      <top style="thick"/>
      <bottom style="thick"/>
      <diagonal/>
    </border>
    <border diagonalUp="false" diagonalDown="false">
      <left/>
      <right/>
      <top style="thick"/>
      <bottom style="thick"/>
      <diagonal/>
    </border>
    <border diagonalUp="false" diagonalDown="false">
      <left/>
      <right style="thick"/>
      <top style="thick"/>
      <bottom style="thick"/>
      <diagonal/>
    </border>
    <border diagonalUp="false" diagonalDown="false">
      <left style="thick"/>
      <right style="medium"/>
      <top style="thick"/>
      <bottom style="medium"/>
      <diagonal/>
    </border>
    <border diagonalUp="false" diagonalDown="false">
      <left/>
      <right style="medium"/>
      <top/>
      <bottom style="thick"/>
      <diagonal/>
    </border>
    <border diagonalUp="false" diagonalDown="false">
      <left/>
      <right style="thin"/>
      <top/>
      <bottom style="thick"/>
      <diagonal/>
    </border>
    <border diagonalUp="false" diagonalDown="false">
      <left style="thick"/>
      <right style="thick"/>
      <top style="thick"/>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2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2" borderId="2" xfId="0" applyFont="true" applyBorder="true" applyAlignment="true" applyProtection="false">
      <alignment horizontal="center" vertical="bottom" textRotation="0" wrapText="false" indent="0" shrinkToFit="false"/>
      <protection locked="true" hidden="false"/>
    </xf>
    <xf numFmtId="164" fontId="5" fillId="3" borderId="3"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5" fillId="2" borderId="4" xfId="0" applyFont="true" applyBorder="true" applyAlignment="true" applyProtection="false">
      <alignment horizontal="center" vertical="bottom" textRotation="0" wrapText="false" indent="0" shrinkToFit="false"/>
      <protection locked="true" hidden="false"/>
    </xf>
    <xf numFmtId="164" fontId="4" fillId="2" borderId="5" xfId="0" applyFont="true" applyBorder="true" applyAlignment="true" applyProtection="false">
      <alignment horizontal="general" vertical="bottom" textRotation="0" wrapText="false" indent="0" shrinkToFit="false"/>
      <protection locked="true" hidden="false"/>
    </xf>
    <xf numFmtId="164" fontId="4" fillId="2" borderId="6" xfId="0" applyFont="true" applyBorder="tru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top" textRotation="0" wrapText="true" indent="0" shrinkToFit="false"/>
      <protection locked="true" hidden="false"/>
    </xf>
    <xf numFmtId="164" fontId="6" fillId="0" borderId="0" xfId="0" applyFont="true" applyBorder="true" applyAlignment="true" applyProtection="false">
      <alignment horizontal="general" vertical="top" textRotation="0" wrapText="true" indent="0" shrinkToFit="false"/>
      <protection locked="true" hidden="false"/>
    </xf>
    <xf numFmtId="164" fontId="4" fillId="2" borderId="7" xfId="0" applyFont="true" applyBorder="true" applyAlignment="true" applyProtection="false">
      <alignment horizontal="general" vertical="bottom" textRotation="0" wrapText="false" indent="0" shrinkToFit="false"/>
      <protection locked="true" hidden="false"/>
    </xf>
    <xf numFmtId="164" fontId="5" fillId="2" borderId="8" xfId="0" applyFont="true" applyBorder="true" applyAlignment="true" applyProtection="false">
      <alignment horizontal="general" vertical="bottom" textRotation="0" wrapText="false" indent="0" shrinkToFit="false"/>
      <protection locked="true" hidden="false"/>
    </xf>
    <xf numFmtId="164" fontId="5" fillId="2" borderId="9" xfId="0" applyFont="true" applyBorder="true" applyAlignment="tru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general" vertical="top" textRotation="0" wrapText="true" indent="0" shrinkToFit="false"/>
      <protection locked="true" hidden="false"/>
    </xf>
    <xf numFmtId="165" fontId="4" fillId="4" borderId="7" xfId="0" applyFont="true" applyBorder="true" applyAlignment="false" applyProtection="false">
      <alignment horizontal="general" vertical="bottom" textRotation="0" wrapText="false" indent="0" shrinkToFit="false"/>
      <protection locked="true" hidden="false"/>
    </xf>
    <xf numFmtId="165" fontId="4" fillId="4" borderId="8" xfId="0" applyFont="true" applyBorder="true" applyAlignment="true" applyProtection="false">
      <alignment horizontal="right" vertical="bottom" textRotation="0" wrapText="false" indent="0" shrinkToFit="false"/>
      <protection locked="true" hidden="false"/>
    </xf>
    <xf numFmtId="164" fontId="7" fillId="4" borderId="8" xfId="0" applyFont="true" applyBorder="true" applyAlignment="false" applyProtection="false">
      <alignment horizontal="general" vertical="bottom" textRotation="0" wrapText="false" indent="0" shrinkToFit="false"/>
      <protection locked="true" hidden="false"/>
    </xf>
    <xf numFmtId="165" fontId="4" fillId="5" borderId="8" xfId="0" applyFont="true" applyBorder="true" applyAlignment="true" applyProtection="false">
      <alignment horizontal="center" vertical="bottom" textRotation="0" wrapText="false" indent="0" shrinkToFit="false"/>
      <protection locked="true" hidden="false"/>
    </xf>
    <xf numFmtId="165" fontId="4" fillId="6" borderId="9" xfId="0" applyFont="true" applyBorder="true" applyAlignment="true" applyProtection="false">
      <alignment horizontal="center" vertical="bottom" textRotation="0" wrapText="false" indent="0" shrinkToFit="false"/>
      <protection locked="true" hidden="false"/>
    </xf>
    <xf numFmtId="165" fontId="4" fillId="2" borderId="10" xfId="0" applyFont="true" applyBorder="true" applyAlignment="false" applyProtection="false">
      <alignment horizontal="general" vertical="bottom" textRotation="0" wrapText="false" indent="0" shrinkToFit="false"/>
      <protection locked="true" hidden="false"/>
    </xf>
    <xf numFmtId="165" fontId="4" fillId="2" borderId="8" xfId="0" applyFont="true" applyBorder="true" applyAlignment="true" applyProtection="false">
      <alignment horizontal="right" vertical="bottom" textRotation="0" wrapText="false" indent="0" shrinkToFit="false"/>
      <protection locked="true" hidden="false"/>
    </xf>
    <xf numFmtId="164" fontId="7" fillId="2" borderId="8" xfId="0" applyFont="true" applyBorder="true" applyAlignment="false" applyProtection="false">
      <alignment horizontal="general" vertical="bottom" textRotation="0" wrapText="false" indent="0" shrinkToFit="false"/>
      <protection locked="true" hidden="false"/>
    </xf>
    <xf numFmtId="165" fontId="4" fillId="7" borderId="8" xfId="0" applyFont="true" applyBorder="true" applyAlignment="true" applyProtection="false">
      <alignment horizontal="center" vertical="bottom" textRotation="0" wrapText="false" indent="0" shrinkToFit="false"/>
      <protection locked="true" hidden="false"/>
    </xf>
    <xf numFmtId="165" fontId="4" fillId="8" borderId="9" xfId="0" applyFont="true" applyBorder="true" applyAlignment="true" applyProtection="false">
      <alignment horizontal="center" vertical="bottom" textRotation="0" wrapText="false" indent="0" shrinkToFit="false"/>
      <protection locked="true" hidden="false"/>
    </xf>
    <xf numFmtId="164" fontId="8" fillId="2" borderId="11" xfId="0" applyFont="true" applyBorder="true" applyAlignment="true" applyProtection="false">
      <alignment horizontal="center" vertical="bottom" textRotation="0" wrapText="false" indent="0" shrinkToFit="false"/>
      <protection locked="true" hidden="false"/>
    </xf>
    <xf numFmtId="165" fontId="4" fillId="4" borderId="10"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true" applyAlignment="true" applyProtection="false">
      <alignment horizontal="general" vertical="top" textRotation="0" wrapText="true" indent="0" shrinkToFit="false"/>
      <protection locked="true" hidden="false"/>
    </xf>
    <xf numFmtId="164" fontId="5" fillId="2" borderId="12" xfId="0" applyFont="true" applyBorder="true" applyAlignment="true" applyProtection="false">
      <alignment horizontal="center" vertical="center" textRotation="0" wrapText="false" indent="0" shrinkToFit="false"/>
      <protection locked="true" hidden="false"/>
    </xf>
    <xf numFmtId="164" fontId="5" fillId="2" borderId="13" xfId="0" applyFont="true" applyBorder="true" applyAlignment="true" applyProtection="false">
      <alignment horizontal="center" vertical="center" textRotation="0" wrapText="false" indent="0" shrinkToFit="false"/>
      <protection locked="true" hidden="false"/>
    </xf>
    <xf numFmtId="164" fontId="5" fillId="9" borderId="14" xfId="0" applyFont="true" applyBorder="true" applyAlignment="true" applyProtection="false">
      <alignment horizontal="center" vertical="bottom" textRotation="0" wrapText="false" indent="0" shrinkToFit="false"/>
      <protection locked="true" hidden="false"/>
    </xf>
    <xf numFmtId="164" fontId="5" fillId="9" borderId="15" xfId="0" applyFont="true" applyBorder="true" applyAlignment="true" applyProtection="false">
      <alignment horizontal="center" vertical="bottom" textRotation="0" wrapText="false" indent="0" shrinkToFit="false"/>
      <protection locked="true" hidden="false"/>
    </xf>
    <xf numFmtId="164" fontId="5" fillId="10" borderId="16" xfId="0" applyFont="true" applyBorder="true" applyAlignment="true" applyProtection="false">
      <alignment horizontal="center" vertical="bottom" textRotation="0" wrapText="false" indent="0" shrinkToFit="false"/>
      <protection locked="true" hidden="false"/>
    </xf>
    <xf numFmtId="165" fontId="4" fillId="11" borderId="17" xfId="0" applyFont="true" applyBorder="true" applyAlignment="false" applyProtection="false">
      <alignment horizontal="general" vertical="bottom" textRotation="0" wrapText="false" indent="0" shrinkToFit="false"/>
      <protection locked="true" hidden="false"/>
    </xf>
    <xf numFmtId="165" fontId="4" fillId="11" borderId="0" xfId="0" applyFont="true" applyBorder="false" applyAlignment="false" applyProtection="false">
      <alignment horizontal="general" vertical="bottom" textRotation="0" wrapText="false" indent="0" shrinkToFit="false"/>
      <protection locked="true" hidden="false"/>
    </xf>
    <xf numFmtId="165" fontId="4" fillId="11" borderId="18" xfId="0" applyFont="true" applyBorder="true" applyAlignment="false" applyProtection="false">
      <alignment horizontal="general" vertical="bottom" textRotation="0" wrapText="false" indent="0" shrinkToFit="false"/>
      <protection locked="true" hidden="false"/>
    </xf>
    <xf numFmtId="164" fontId="4" fillId="11" borderId="19" xfId="0" applyFont="true" applyBorder="true" applyAlignment="false" applyProtection="false">
      <alignment horizontal="general" vertical="bottom" textRotation="0" wrapText="false" indent="0" shrinkToFit="false"/>
      <protection locked="true" hidden="false"/>
    </xf>
    <xf numFmtId="164" fontId="4" fillId="10" borderId="20" xfId="0" applyFont="true" applyBorder="true" applyAlignment="true" applyProtection="false">
      <alignment horizontal="general" vertical="bottom" textRotation="0" wrapText="false" indent="0" shrinkToFit="false"/>
      <protection locked="true" hidden="false"/>
    </xf>
    <xf numFmtId="165" fontId="4" fillId="12" borderId="17" xfId="0" applyFont="true" applyBorder="true" applyAlignment="false" applyProtection="false">
      <alignment horizontal="general" vertical="bottom" textRotation="0" wrapText="false" indent="0" shrinkToFit="false"/>
      <protection locked="true" hidden="false"/>
    </xf>
    <xf numFmtId="165" fontId="4" fillId="12" borderId="0" xfId="0" applyFont="true" applyBorder="false" applyAlignment="false" applyProtection="false">
      <alignment horizontal="general" vertical="bottom" textRotation="0" wrapText="false" indent="0" shrinkToFit="false"/>
      <protection locked="true" hidden="false"/>
    </xf>
    <xf numFmtId="165" fontId="4" fillId="12" borderId="18" xfId="0" applyFont="true" applyBorder="true" applyAlignment="false" applyProtection="false">
      <alignment horizontal="general" vertical="bottom" textRotation="0" wrapText="false" indent="0" shrinkToFit="false"/>
      <protection locked="true" hidden="false"/>
    </xf>
    <xf numFmtId="164" fontId="4" fillId="12" borderId="19" xfId="0" applyFont="true" applyBorder="true" applyAlignment="false" applyProtection="false">
      <alignment horizontal="general" vertical="bottom" textRotation="0" wrapText="false" indent="0" shrinkToFit="false"/>
      <protection locked="true" hidden="false"/>
    </xf>
    <xf numFmtId="164" fontId="5" fillId="9" borderId="16" xfId="0" applyFont="true" applyBorder="true" applyAlignment="true" applyProtection="false">
      <alignment horizontal="center" vertical="bottom" textRotation="0" wrapText="false" indent="0" shrinkToFit="false"/>
      <protection locked="true" hidden="false"/>
    </xf>
    <xf numFmtId="165" fontId="4" fillId="11" borderId="17" xfId="0" applyFont="true" applyBorder="true" applyAlignment="true" applyProtection="false">
      <alignment horizontal="general" vertical="bottom" textRotation="0" wrapText="false" indent="0" shrinkToFit="false"/>
      <protection locked="true" hidden="false"/>
    </xf>
    <xf numFmtId="165" fontId="4" fillId="11" borderId="0" xfId="0" applyFont="true" applyBorder="false" applyAlignment="true" applyProtection="false">
      <alignment horizontal="general" vertical="bottom" textRotation="0" wrapText="false" indent="0" shrinkToFit="false"/>
      <protection locked="true" hidden="false"/>
    </xf>
    <xf numFmtId="165" fontId="4" fillId="11" borderId="21" xfId="0" applyFont="true" applyBorder="true" applyAlignment="true" applyProtection="false">
      <alignment horizontal="general" vertical="bottom" textRotation="0" wrapText="false" indent="0" shrinkToFit="false"/>
      <protection locked="true" hidden="false"/>
    </xf>
    <xf numFmtId="165" fontId="4" fillId="12" borderId="17" xfId="0" applyFont="true" applyBorder="true" applyAlignment="true" applyProtection="false">
      <alignment horizontal="general" vertical="bottom" textRotation="0" wrapText="false" indent="0" shrinkToFit="false"/>
      <protection locked="true" hidden="false"/>
    </xf>
    <xf numFmtId="165" fontId="4" fillId="12" borderId="0" xfId="0" applyFont="true" applyBorder="false" applyAlignment="true" applyProtection="false">
      <alignment horizontal="general" vertical="bottom" textRotation="0" wrapText="false" indent="0" shrinkToFit="false"/>
      <protection locked="true" hidden="false"/>
    </xf>
    <xf numFmtId="164" fontId="4" fillId="12" borderId="21" xfId="0" applyFont="true" applyBorder="true" applyAlignment="tru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4" fillId="5" borderId="8" xfId="0" applyFont="true" applyBorder="true" applyAlignment="true" applyProtection="false">
      <alignment horizontal="center" vertical="bottom" textRotation="0" wrapText="false" indent="0" shrinkToFit="false"/>
      <protection locked="true" hidden="false"/>
    </xf>
    <xf numFmtId="164" fontId="4" fillId="6" borderId="9" xfId="0" applyFont="true" applyBorder="true" applyAlignment="true" applyProtection="false">
      <alignment horizontal="center" vertical="bottom" textRotation="0" wrapText="false" indent="0" shrinkToFit="false"/>
      <protection locked="true" hidden="false"/>
    </xf>
    <xf numFmtId="164" fontId="4" fillId="7" borderId="8" xfId="0" applyFont="true" applyBorder="true" applyAlignment="true" applyProtection="false">
      <alignment horizontal="center" vertical="bottom" textRotation="0" wrapText="false" indent="0" shrinkToFit="false"/>
      <protection locked="true" hidden="false"/>
    </xf>
    <xf numFmtId="164" fontId="4" fillId="8" borderId="9" xfId="0" applyFont="true" applyBorder="true" applyAlignment="true" applyProtection="false">
      <alignment horizontal="center" vertical="bottom" textRotation="0" wrapText="false" indent="0" shrinkToFit="false"/>
      <protection locked="true" hidden="false"/>
    </xf>
    <xf numFmtId="165" fontId="4" fillId="2" borderId="22" xfId="0" applyFont="true" applyBorder="true" applyAlignment="false" applyProtection="false">
      <alignment horizontal="general" vertical="bottom" textRotation="0" wrapText="false" indent="0" shrinkToFit="false"/>
      <protection locked="true" hidden="false"/>
    </xf>
    <xf numFmtId="165" fontId="4" fillId="2" borderId="1" xfId="0" applyFont="true" applyBorder="true" applyAlignment="true" applyProtection="false">
      <alignment horizontal="right" vertical="bottom" textRotation="0" wrapText="false" indent="0" shrinkToFit="false"/>
      <protection locked="true" hidden="false"/>
    </xf>
    <xf numFmtId="164" fontId="7" fillId="2" borderId="1" xfId="0" applyFont="true" applyBorder="true" applyAlignment="false" applyProtection="false">
      <alignment horizontal="general" vertical="bottom" textRotation="0" wrapText="false" indent="0" shrinkToFit="false"/>
      <protection locked="true" hidden="false"/>
    </xf>
    <xf numFmtId="164" fontId="4" fillId="7" borderId="1" xfId="0" applyFont="true" applyBorder="true" applyAlignment="true" applyProtection="false">
      <alignment horizontal="center" vertical="bottom" textRotation="0" wrapText="false" indent="0" shrinkToFit="false"/>
      <protection locked="true" hidden="false"/>
    </xf>
    <xf numFmtId="164" fontId="4" fillId="8" borderId="23" xfId="0" applyFont="true" applyBorder="true" applyAlignment="true" applyProtection="false">
      <alignment horizontal="center" vertical="bottom" textRotation="0" wrapText="false" indent="0" shrinkToFit="false"/>
      <protection locked="true" hidden="false"/>
    </xf>
    <xf numFmtId="165" fontId="4" fillId="12" borderId="0" xfId="0" applyFont="true" applyBorder="false" applyAlignment="true" applyProtection="false">
      <alignment horizontal="right" vertical="bottom" textRotation="0" wrapText="false" indent="0" shrinkToFit="false"/>
      <protection locked="true" hidden="false"/>
    </xf>
    <xf numFmtId="165" fontId="4" fillId="11" borderId="0" xfId="0" applyFont="true" applyBorder="false" applyAlignment="true" applyProtection="false">
      <alignment horizontal="right" vertical="bottom" textRotation="0" wrapText="false" indent="0" shrinkToFit="false"/>
      <protection locked="true" hidden="false"/>
    </xf>
    <xf numFmtId="164" fontId="4" fillId="0" borderId="24" xfId="0" applyFont="true" applyBorder="true" applyAlignment="true" applyProtection="false">
      <alignment horizontal="general" vertical="bottom" textRotation="0" wrapText="false" indent="0" shrinkToFit="false"/>
      <protection locked="true" hidden="false"/>
    </xf>
    <xf numFmtId="164" fontId="4" fillId="0" borderId="19" xfId="0" applyFont="true" applyBorder="true" applyAlignment="true" applyProtection="false">
      <alignment horizontal="general" vertical="bottom" textRotation="0" wrapText="false" indent="0" shrinkToFit="false"/>
      <protection locked="true" hidden="false"/>
    </xf>
    <xf numFmtId="164" fontId="5" fillId="3" borderId="25" xfId="0" applyFont="true" applyBorder="true" applyAlignment="true" applyProtection="false">
      <alignment horizontal="center" vertical="bottom" textRotation="0" wrapText="false" indent="0" shrinkToFit="false"/>
      <protection locked="true" hidden="false"/>
    </xf>
    <xf numFmtId="164" fontId="5" fillId="13" borderId="12" xfId="0" applyFont="true" applyBorder="true" applyAlignment="true" applyProtection="false">
      <alignment horizontal="center" vertical="bottom" textRotation="0" wrapText="false" indent="0" shrinkToFit="false"/>
      <protection locked="true" hidden="false"/>
    </xf>
    <xf numFmtId="164" fontId="5" fillId="3" borderId="12" xfId="0" applyFont="true" applyBorder="true" applyAlignment="true" applyProtection="false">
      <alignment horizontal="center" vertical="center" textRotation="0" wrapText="true" indent="0" shrinkToFit="false"/>
      <protection locked="true" hidden="false"/>
    </xf>
    <xf numFmtId="164" fontId="4" fillId="0" borderId="0" xfId="0" applyFont="true" applyBorder="true" applyAlignment="true" applyProtection="false">
      <alignment horizontal="general" vertical="bottom" textRotation="0" wrapText="false" indent="0" shrinkToFit="false"/>
      <protection locked="true" hidden="false"/>
    </xf>
    <xf numFmtId="164" fontId="4" fillId="4" borderId="24" xfId="0" applyFont="true" applyBorder="true" applyAlignment="true" applyProtection="false">
      <alignment horizontal="general" vertical="bottom" textRotation="0" wrapText="false" indent="0" shrinkToFit="false"/>
      <protection locked="true" hidden="false"/>
    </xf>
    <xf numFmtId="165" fontId="4" fillId="14" borderId="25" xfId="0" applyFont="true" applyBorder="true" applyAlignment="true" applyProtection="false">
      <alignment horizontal="center" vertical="bottom" textRotation="0" wrapText="false" indent="0" shrinkToFit="false"/>
      <protection locked="true" hidden="false"/>
    </xf>
    <xf numFmtId="164" fontId="5" fillId="3" borderId="8" xfId="0" applyFont="true" applyBorder="true" applyAlignment="true" applyProtection="false">
      <alignment horizontal="general" vertical="bottom" textRotation="0" wrapText="false" indent="0" shrinkToFit="false"/>
      <protection locked="true" hidden="false"/>
    </xf>
    <xf numFmtId="164" fontId="4" fillId="14" borderId="26" xfId="0" applyFont="true" applyBorder="true" applyAlignment="true" applyProtection="false">
      <alignment horizontal="general" vertical="bottom" textRotation="0" wrapText="false" indent="0" shrinkToFit="false"/>
      <protection locked="true" hidden="false"/>
    </xf>
    <xf numFmtId="164" fontId="5" fillId="3" borderId="27" xfId="0" applyFont="true" applyBorder="true" applyAlignment="true" applyProtection="false">
      <alignment horizontal="center" vertical="bottom" textRotation="0" wrapText="false" indent="0" shrinkToFit="false"/>
      <protection locked="true" hidden="false"/>
    </xf>
    <xf numFmtId="166" fontId="4" fillId="0" borderId="0" xfId="0" applyFont="true" applyBorder="false" applyAlignment="true" applyProtection="false">
      <alignment horizontal="general" vertical="bottom" textRotation="0" wrapText="false" indent="0" shrinkToFit="false"/>
      <protection locked="true" hidden="false"/>
    </xf>
    <xf numFmtId="164" fontId="5" fillId="2" borderId="26" xfId="0" applyFont="true" applyBorder="true" applyAlignment="true" applyProtection="false">
      <alignment horizontal="center" vertical="bottom" textRotation="0" wrapText="false" indent="0" shrinkToFit="false"/>
      <protection locked="true" hidden="false"/>
    </xf>
    <xf numFmtId="165" fontId="4" fillId="4" borderId="28" xfId="0" applyFont="true" applyBorder="true" applyAlignment="true" applyProtection="false">
      <alignment horizontal="general" vertical="bottom" textRotation="0" wrapText="false" indent="0" shrinkToFit="false"/>
      <protection locked="true" hidden="false"/>
    </xf>
    <xf numFmtId="164" fontId="5" fillId="3" borderId="0" xfId="0" applyFont="true" applyBorder="false" applyAlignment="true" applyProtection="false">
      <alignment horizontal="general" vertical="bottom" textRotation="0" wrapText="false" indent="0" shrinkToFit="false"/>
      <protection locked="true" hidden="false"/>
    </xf>
    <xf numFmtId="164" fontId="4" fillId="14" borderId="29" xfId="0" applyFont="true" applyBorder="true" applyAlignment="true" applyProtection="false">
      <alignment horizontal="right" vertical="bottom" textRotation="0" wrapText="false" indent="0" shrinkToFit="false"/>
      <protection locked="true" hidden="false"/>
    </xf>
    <xf numFmtId="164" fontId="0" fillId="2" borderId="17" xfId="0" applyFont="true" applyBorder="true" applyAlignment="true" applyProtection="false">
      <alignment horizontal="center" vertical="bottom" textRotation="0" wrapText="false" indent="0" shrinkToFit="false"/>
      <protection locked="true" hidden="false"/>
    </xf>
    <xf numFmtId="166" fontId="4" fillId="15" borderId="0" xfId="0" applyFont="true" applyBorder="false" applyAlignment="true" applyProtection="false">
      <alignment horizontal="center" vertical="bottom" textRotation="0" wrapText="false" indent="0" shrinkToFit="false"/>
      <protection locked="true" hidden="false"/>
    </xf>
    <xf numFmtId="166" fontId="4" fillId="16" borderId="19" xfId="0" applyFont="true" applyBorder="true" applyAlignment="true" applyProtection="false">
      <alignment horizontal="center" vertical="bottom" textRotation="0" wrapText="false" indent="0" shrinkToFit="false"/>
      <protection locked="true" hidden="false"/>
    </xf>
    <xf numFmtId="164" fontId="4" fillId="9" borderId="17" xfId="0" applyFont="true" applyBorder="true" applyAlignment="true" applyProtection="false">
      <alignment horizontal="general" vertical="bottom" textRotation="0" wrapText="false" indent="0" shrinkToFit="false"/>
      <protection locked="true" hidden="false"/>
    </xf>
    <xf numFmtId="164" fontId="4" fillId="9" borderId="0" xfId="0" applyFont="true" applyBorder="false" applyAlignment="true" applyProtection="false">
      <alignment horizontal="general" vertical="bottom" textRotation="0" wrapText="false" indent="0" shrinkToFit="false"/>
      <protection locked="true" hidden="false"/>
    </xf>
    <xf numFmtId="164" fontId="4" fillId="9" borderId="19" xfId="0" applyFont="true" applyBorder="true" applyAlignment="tru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6" fontId="4" fillId="0" borderId="0" xfId="0" applyFont="true" applyBorder="false" applyAlignment="true" applyProtection="false">
      <alignment horizontal="right" vertical="bottom" textRotation="0" wrapText="false" indent="0" shrinkToFit="false"/>
      <protection locked="true" hidden="false"/>
    </xf>
    <xf numFmtId="167" fontId="4" fillId="0" borderId="0" xfId="0" applyFont="true" applyBorder="false" applyAlignment="true" applyProtection="false">
      <alignment horizontal="right" vertical="bottom" textRotation="0" wrapText="false" indent="0" shrinkToFit="false"/>
      <protection locked="true" hidden="false"/>
    </xf>
    <xf numFmtId="168" fontId="4" fillId="0" borderId="0" xfId="0" applyFont="true" applyBorder="false" applyAlignment="true" applyProtection="false">
      <alignment horizontal="right" vertical="bottom" textRotation="0" wrapText="false" indent="0" shrinkToFit="false"/>
      <protection locked="true" hidden="false"/>
    </xf>
    <xf numFmtId="164" fontId="4" fillId="4" borderId="0" xfId="0" applyFont="true" applyBorder="false" applyAlignment="true" applyProtection="false">
      <alignment horizontal="general" vertical="bottom" textRotation="0" wrapText="false" indent="0" shrinkToFit="false"/>
      <protection locked="true" hidden="false"/>
    </xf>
    <xf numFmtId="167" fontId="4" fillId="14" borderId="19" xfId="0" applyFont="true" applyBorder="true" applyAlignment="true" applyProtection="false">
      <alignment horizontal="right" vertical="bottom" textRotation="0" wrapText="false" indent="0" shrinkToFit="false"/>
      <protection locked="true" hidden="false"/>
    </xf>
    <xf numFmtId="164" fontId="4" fillId="14" borderId="19" xfId="0" applyFont="true" applyBorder="true" applyAlignment="true" applyProtection="false">
      <alignment horizontal="right" vertical="bottom" textRotation="0" wrapText="false" indent="0" shrinkToFit="false"/>
      <protection locked="true" hidden="false"/>
    </xf>
    <xf numFmtId="164" fontId="4" fillId="2" borderId="17" xfId="0" applyFont="true" applyBorder="true" applyAlignment="true" applyProtection="false">
      <alignment horizontal="center" vertical="bottom" textRotation="0" wrapText="false" indent="0" shrinkToFit="false"/>
      <protection locked="true" hidden="false"/>
    </xf>
    <xf numFmtId="166" fontId="4" fillId="17" borderId="0" xfId="0" applyFont="true" applyBorder="false" applyAlignment="true" applyProtection="false">
      <alignment horizontal="center" vertical="bottom" textRotation="0" wrapText="false" indent="0" shrinkToFit="false"/>
      <protection locked="true" hidden="false"/>
    </xf>
    <xf numFmtId="166" fontId="4" fillId="18" borderId="19" xfId="0" applyFont="true" applyBorder="true" applyAlignment="true" applyProtection="false">
      <alignment horizontal="center" vertical="bottom" textRotation="0" wrapText="false" indent="0" shrinkToFit="false"/>
      <protection locked="true" hidden="false"/>
    </xf>
    <xf numFmtId="169" fontId="4" fillId="11" borderId="0" xfId="0" applyFont="true" applyBorder="false" applyAlignment="true" applyProtection="false">
      <alignment horizontal="right" vertical="bottom" textRotation="0" wrapText="false" indent="0" shrinkToFit="false"/>
      <protection locked="true" hidden="false"/>
    </xf>
    <xf numFmtId="169" fontId="4" fillId="11" borderId="19" xfId="0" applyFont="true" applyBorder="true" applyAlignment="true" applyProtection="false">
      <alignment horizontal="right" vertical="bottom" textRotation="0" wrapText="false" indent="0" shrinkToFit="false"/>
      <protection locked="true" hidden="false"/>
    </xf>
    <xf numFmtId="164" fontId="4" fillId="2" borderId="30" xfId="0" applyFont="true" applyBorder="true" applyAlignment="true" applyProtection="false">
      <alignment horizontal="center" vertical="bottom" textRotation="0" wrapText="false" indent="0" shrinkToFit="false"/>
      <protection locked="true" hidden="false"/>
    </xf>
    <xf numFmtId="166" fontId="4" fillId="19" borderId="24" xfId="0" applyFont="true" applyBorder="true" applyAlignment="true" applyProtection="false">
      <alignment horizontal="center" vertical="bottom" textRotation="0" wrapText="false" indent="0" shrinkToFit="false"/>
      <protection locked="true" hidden="false"/>
    </xf>
    <xf numFmtId="166" fontId="4" fillId="19" borderId="25" xfId="0" applyFont="true" applyBorder="true" applyAlignment="true" applyProtection="false">
      <alignment horizontal="center" vertical="bottom" textRotation="0" wrapText="false" indent="0" shrinkToFit="false"/>
      <protection locked="true" hidden="false"/>
    </xf>
    <xf numFmtId="169" fontId="4" fillId="12" borderId="0" xfId="0" applyFont="true" applyBorder="false" applyAlignment="true" applyProtection="false">
      <alignment horizontal="right" vertical="bottom" textRotation="0" wrapText="false" indent="0" shrinkToFit="false"/>
      <protection locked="true" hidden="false"/>
    </xf>
    <xf numFmtId="169" fontId="4" fillId="12" borderId="19" xfId="0" applyFont="true" applyBorder="true" applyAlignment="true" applyProtection="false">
      <alignment horizontal="right" vertical="bottom" textRotation="0" wrapText="false" indent="0" shrinkToFit="false"/>
      <protection locked="true" hidden="false"/>
    </xf>
    <xf numFmtId="167" fontId="4" fillId="14" borderId="25" xfId="0" applyFont="true" applyBorder="true" applyAlignment="true" applyProtection="false">
      <alignment horizontal="right" vertical="bottom" textRotation="0" wrapText="false" indent="0" shrinkToFit="false"/>
      <protection locked="true" hidden="false"/>
    </xf>
    <xf numFmtId="164" fontId="4" fillId="11" borderId="14" xfId="0" applyFont="true" applyBorder="true" applyAlignment="true" applyProtection="false">
      <alignment horizontal="general" vertical="bottom" textRotation="0" wrapText="false" indent="0" shrinkToFit="false"/>
      <protection locked="true" hidden="false"/>
    </xf>
    <xf numFmtId="169" fontId="4" fillId="11" borderId="8" xfId="0" applyFont="true" applyBorder="true" applyAlignment="true" applyProtection="false">
      <alignment horizontal="right" vertical="bottom" textRotation="0" wrapText="false" indent="0" shrinkToFit="false"/>
      <protection locked="true" hidden="false"/>
    </xf>
    <xf numFmtId="169" fontId="4" fillId="11" borderId="26" xfId="0" applyFont="true" applyBorder="true" applyAlignment="true" applyProtection="false">
      <alignment horizontal="right" vertical="bottom" textRotation="0" wrapText="false" indent="0" shrinkToFit="false"/>
      <protection locked="true" hidden="false"/>
    </xf>
    <xf numFmtId="164" fontId="4" fillId="4" borderId="19" xfId="0" applyFont="true" applyBorder="true" applyAlignment="true" applyProtection="false">
      <alignment horizontal="general" vertical="bottom" textRotation="0" wrapText="false" indent="0" shrinkToFit="false"/>
      <protection locked="true" hidden="false"/>
    </xf>
    <xf numFmtId="164" fontId="5" fillId="9" borderId="27" xfId="0" applyFont="true" applyBorder="true" applyAlignment="true" applyProtection="false">
      <alignment horizontal="center" vertical="bottom" textRotation="0" wrapText="false" indent="0" shrinkToFit="false"/>
      <protection locked="true" hidden="false"/>
    </xf>
    <xf numFmtId="164" fontId="4" fillId="14" borderId="25" xfId="0" applyFont="true" applyBorder="true" applyAlignment="true" applyProtection="false">
      <alignment horizontal="right" vertical="bottom" textRotation="0" wrapText="false" indent="0" shrinkToFit="false"/>
      <protection locked="true" hidden="false"/>
    </xf>
    <xf numFmtId="164" fontId="5" fillId="3" borderId="31" xfId="0" applyFont="true" applyBorder="true" applyAlignment="true" applyProtection="false">
      <alignment horizontal="center" vertical="bottom" textRotation="0" wrapText="false" indent="0" shrinkToFit="false"/>
      <protection locked="true" hidden="false"/>
    </xf>
    <xf numFmtId="170" fontId="4" fillId="0" borderId="0" xfId="0" applyFont="true" applyBorder="false" applyAlignment="false" applyProtection="false">
      <alignment horizontal="general" vertical="bottom" textRotation="0" wrapText="false" indent="0" shrinkToFit="false"/>
      <protection locked="true" hidden="false"/>
    </xf>
    <xf numFmtId="170" fontId="4" fillId="0" borderId="19" xfId="0" applyFont="true" applyBorder="true" applyAlignment="false" applyProtection="false">
      <alignment horizontal="general" vertical="bottom" textRotation="0" wrapText="false" indent="0" shrinkToFit="false"/>
      <protection locked="true" hidden="false"/>
    </xf>
    <xf numFmtId="171" fontId="4" fillId="11" borderId="0" xfId="0" applyFont="true" applyBorder="false" applyAlignment="true" applyProtection="false">
      <alignment horizontal="right" vertical="bottom" textRotation="0" wrapText="false" indent="0" shrinkToFit="false"/>
      <protection locked="true" hidden="false"/>
    </xf>
    <xf numFmtId="171" fontId="4" fillId="11" borderId="19" xfId="0" applyFont="true" applyBorder="true" applyAlignment="true" applyProtection="false">
      <alignment horizontal="right" vertical="bottom" textRotation="0" wrapText="false" indent="0" shrinkToFit="false"/>
      <protection locked="true" hidden="false"/>
    </xf>
    <xf numFmtId="164" fontId="4" fillId="14" borderId="17" xfId="0" applyFont="true" applyBorder="true" applyAlignment="true" applyProtection="false">
      <alignment horizontal="general" vertical="bottom" textRotation="0" wrapText="false" indent="0" shrinkToFit="false"/>
      <protection locked="true" hidden="false"/>
    </xf>
    <xf numFmtId="164" fontId="4" fillId="14" borderId="19" xfId="0" applyFont="true" applyBorder="true" applyAlignment="true" applyProtection="false">
      <alignment horizontal="general" vertical="bottom" textRotation="0" wrapText="false" indent="0" shrinkToFit="false"/>
      <protection locked="true" hidden="false"/>
    </xf>
    <xf numFmtId="171" fontId="4" fillId="12" borderId="0" xfId="0" applyFont="true" applyBorder="false" applyAlignment="true" applyProtection="false">
      <alignment horizontal="right" vertical="bottom" textRotation="0" wrapText="false" indent="0" shrinkToFit="false"/>
      <protection locked="true" hidden="false"/>
    </xf>
    <xf numFmtId="171" fontId="4" fillId="12" borderId="19" xfId="0" applyFont="true" applyBorder="true" applyAlignment="true" applyProtection="false">
      <alignment horizontal="right" vertical="bottom" textRotation="0" wrapText="false" indent="0" shrinkToFit="false"/>
      <protection locked="true" hidden="false"/>
    </xf>
    <xf numFmtId="164" fontId="5" fillId="3" borderId="12" xfId="0" applyFont="true" applyBorder="true" applyAlignment="true" applyProtection="false">
      <alignment horizontal="center" vertical="bottom" textRotation="0" wrapText="false" indent="0" shrinkToFit="false"/>
      <protection locked="true" hidden="false"/>
    </xf>
    <xf numFmtId="164" fontId="4" fillId="14" borderId="30" xfId="0" applyFont="true" applyBorder="true" applyAlignment="true" applyProtection="false">
      <alignment horizontal="general" vertical="bottom" textRotation="0" wrapText="false" indent="0" shrinkToFit="false"/>
      <protection locked="true" hidden="false"/>
    </xf>
    <xf numFmtId="164" fontId="4" fillId="14" borderId="25" xfId="0" applyFont="true" applyBorder="true" applyAlignment="true" applyProtection="false">
      <alignment horizontal="general" vertical="bottom" textRotation="0" wrapText="false" indent="0" shrinkToFit="false"/>
      <protection locked="true" hidden="false"/>
    </xf>
    <xf numFmtId="170" fontId="4" fillId="0" borderId="24" xfId="0" applyFont="true" applyBorder="true" applyAlignment="false" applyProtection="false">
      <alignment horizontal="general" vertical="bottom" textRotation="0" wrapText="false" indent="0" shrinkToFit="false"/>
      <protection locked="true" hidden="false"/>
    </xf>
    <xf numFmtId="170" fontId="4" fillId="0" borderId="25" xfId="0" applyFont="true" applyBorder="true" applyAlignment="false" applyProtection="false">
      <alignment horizontal="general" vertical="bottom" textRotation="0" wrapText="false" indent="0" shrinkToFit="false"/>
      <protection locked="true" hidden="false"/>
    </xf>
    <xf numFmtId="164" fontId="4" fillId="11" borderId="30" xfId="0" applyFont="true" applyBorder="true" applyAlignment="true" applyProtection="false">
      <alignment horizontal="general" vertical="bottom" textRotation="0" wrapText="false" indent="0" shrinkToFit="false"/>
      <protection locked="true" hidden="false"/>
    </xf>
    <xf numFmtId="171" fontId="4" fillId="11" borderId="24" xfId="0" applyFont="true" applyBorder="true" applyAlignment="true" applyProtection="false">
      <alignment horizontal="right" vertical="bottom" textRotation="0" wrapText="false" indent="0" shrinkToFit="false"/>
      <protection locked="true" hidden="false"/>
    </xf>
    <xf numFmtId="171" fontId="4" fillId="11" borderId="25" xfId="0" applyFont="true" applyBorder="true" applyAlignment="true" applyProtection="false">
      <alignment horizontal="right" vertical="bottom" textRotation="0" wrapText="false" indent="0" shrinkToFit="false"/>
      <protection locked="true" hidden="false"/>
    </xf>
    <xf numFmtId="164" fontId="4" fillId="4" borderId="17" xfId="0" applyFont="true" applyBorder="true" applyAlignment="true" applyProtection="false">
      <alignment horizontal="general" vertical="bottom" textRotation="0" wrapText="false" indent="0" shrinkToFit="false"/>
      <protection locked="true" hidden="false"/>
    </xf>
    <xf numFmtId="166" fontId="4" fillId="14" borderId="19" xfId="0" applyFont="true" applyBorder="true" applyAlignment="true" applyProtection="false">
      <alignment horizontal="right" vertical="bottom" textRotation="0" wrapText="false" indent="0" shrinkToFit="false"/>
      <protection locked="true" hidden="false"/>
    </xf>
    <xf numFmtId="164" fontId="5" fillId="3" borderId="32" xfId="0" applyFont="true" applyBorder="true" applyAlignment="true" applyProtection="false">
      <alignment horizontal="center" vertical="bottom" textRotation="0" wrapText="false" indent="0" shrinkToFit="false"/>
      <protection locked="true" hidden="false"/>
    </xf>
    <xf numFmtId="164" fontId="5" fillId="20" borderId="33" xfId="0" applyFont="true" applyBorder="true" applyAlignment="true" applyProtection="false">
      <alignment horizontal="center" vertical="bottom" textRotation="0" wrapText="false" indent="0" shrinkToFit="false"/>
      <protection locked="true" hidden="false"/>
    </xf>
    <xf numFmtId="164" fontId="5" fillId="3" borderId="26" xfId="0" applyFont="true" applyBorder="true" applyAlignment="true" applyProtection="false">
      <alignment horizontal="center" vertical="bottom" textRotation="0" wrapText="false" indent="0" shrinkToFit="false"/>
      <protection locked="true" hidden="false"/>
    </xf>
    <xf numFmtId="164" fontId="4" fillId="4" borderId="30" xfId="0" applyFont="true" applyBorder="true" applyAlignment="true" applyProtection="false">
      <alignment horizontal="general" vertical="bottom" textRotation="0" wrapText="false" indent="0" shrinkToFit="false"/>
      <protection locked="true" hidden="false"/>
    </xf>
    <xf numFmtId="166" fontId="4" fillId="14" borderId="25" xfId="0" applyFont="true" applyBorder="true" applyAlignment="true" applyProtection="false">
      <alignment horizontal="right" vertical="bottom" textRotation="0" wrapText="false" indent="0" shrinkToFit="false"/>
      <protection locked="true" hidden="false"/>
    </xf>
    <xf numFmtId="165" fontId="4" fillId="10" borderId="0" xfId="0" applyFont="true" applyBorder="false" applyAlignment="true" applyProtection="false">
      <alignment horizontal="right" vertical="bottom" textRotation="0" wrapText="false" indent="0" shrinkToFit="false"/>
      <protection locked="true" hidden="false"/>
    </xf>
    <xf numFmtId="165" fontId="4" fillId="10" borderId="19" xfId="0" applyFont="true" applyBorder="true" applyAlignment="true" applyProtection="false">
      <alignment horizontal="right" vertical="bottom" textRotation="0" wrapText="false" indent="0" shrinkToFit="false"/>
      <protection locked="true" hidden="false"/>
    </xf>
    <xf numFmtId="164" fontId="4" fillId="9" borderId="0" xfId="0" applyFont="true" applyBorder="false" applyAlignment="true" applyProtection="false">
      <alignment horizontal="center" vertical="bottom" textRotation="0" wrapText="false" indent="0" shrinkToFit="false"/>
      <protection locked="true" hidden="false"/>
    </xf>
    <xf numFmtId="164" fontId="4" fillId="10" borderId="17" xfId="0" applyFont="true" applyBorder="true" applyAlignment="true" applyProtection="false">
      <alignment horizontal="general" vertical="bottom" textRotation="0" wrapText="false" indent="0" shrinkToFit="false"/>
      <protection locked="true" hidden="false"/>
    </xf>
    <xf numFmtId="165" fontId="4" fillId="21" borderId="0" xfId="0" applyFont="true" applyBorder="false" applyAlignment="true" applyProtection="false">
      <alignment horizontal="right" vertical="bottom" textRotation="0" wrapText="false" indent="0" shrinkToFit="false"/>
      <protection locked="true" hidden="false"/>
    </xf>
    <xf numFmtId="165" fontId="4" fillId="21" borderId="19" xfId="0" applyFont="true" applyBorder="true" applyAlignment="true" applyProtection="false">
      <alignment horizontal="right" vertical="bottom" textRotation="0" wrapText="false" indent="0" shrinkToFit="false"/>
      <protection locked="true" hidden="false"/>
    </xf>
    <xf numFmtId="166" fontId="4" fillId="20" borderId="0" xfId="0" applyFont="true" applyBorder="false" applyAlignment="true" applyProtection="false">
      <alignment horizontal="right" vertical="bottom" textRotation="0" wrapText="false" indent="0" shrinkToFit="false"/>
      <protection locked="true" hidden="false"/>
    </xf>
    <xf numFmtId="165" fontId="4" fillId="10" borderId="24" xfId="0" applyFont="true" applyBorder="true" applyAlignment="true" applyProtection="false">
      <alignment horizontal="right" vertical="bottom" textRotation="0" wrapText="false" indent="0" shrinkToFit="false"/>
      <protection locked="true" hidden="false"/>
    </xf>
    <xf numFmtId="165" fontId="4" fillId="10" borderId="25" xfId="0" applyFont="true" applyBorder="true" applyAlignment="true" applyProtection="false">
      <alignment horizontal="right" vertical="bottom" textRotation="0" wrapText="false" indent="0" shrinkToFit="false"/>
      <protection locked="true" hidden="false"/>
    </xf>
    <xf numFmtId="164" fontId="4" fillId="9" borderId="14" xfId="0" applyFont="true" applyBorder="true" applyAlignment="true" applyProtection="false">
      <alignment horizontal="right" vertical="bottom" textRotation="0" wrapText="false" indent="0" shrinkToFit="false"/>
      <protection locked="true" hidden="false"/>
    </xf>
    <xf numFmtId="164" fontId="4" fillId="9" borderId="8" xfId="0" applyFont="true" applyBorder="true" applyAlignment="true" applyProtection="false">
      <alignment horizontal="center" vertical="bottom" textRotation="0" wrapText="false" indent="0" shrinkToFit="false"/>
      <protection locked="true" hidden="false"/>
    </xf>
    <xf numFmtId="164" fontId="4" fillId="9" borderId="26" xfId="0" applyFont="true" applyBorder="true" applyAlignment="true" applyProtection="false">
      <alignment horizontal="general" vertical="bottom" textRotation="0" wrapText="false" indent="0" shrinkToFit="false"/>
      <protection locked="true" hidden="false"/>
    </xf>
    <xf numFmtId="164" fontId="4" fillId="20" borderId="0" xfId="0" applyFont="true" applyBorder="false" applyAlignment="true" applyProtection="false">
      <alignment horizontal="right" vertical="bottom" textRotation="0" wrapText="false" indent="0" shrinkToFit="false"/>
      <protection locked="true" hidden="false"/>
    </xf>
    <xf numFmtId="164" fontId="4" fillId="20" borderId="24" xfId="0" applyFont="true" applyBorder="true" applyAlignment="true" applyProtection="false">
      <alignment horizontal="right" vertical="bottom" textRotation="0" wrapText="false" indent="0" shrinkToFit="false"/>
      <protection locked="true" hidden="false"/>
    </xf>
    <xf numFmtId="165" fontId="4" fillId="11" borderId="24" xfId="0" applyFont="true" applyBorder="true" applyAlignment="true" applyProtection="false">
      <alignment horizontal="right" vertical="bottom" textRotation="0" wrapText="false" indent="0" shrinkToFit="false"/>
      <protection locked="true" hidden="false"/>
    </xf>
    <xf numFmtId="164" fontId="5" fillId="22" borderId="12" xfId="0" applyFont="true" applyBorder="true" applyAlignment="true" applyProtection="false">
      <alignment horizontal="center" vertical="bottom" textRotation="0" wrapText="false" indent="0" shrinkToFit="false"/>
      <protection locked="true" hidden="false"/>
    </xf>
    <xf numFmtId="164" fontId="5" fillId="3" borderId="9" xfId="0" applyFont="true" applyBorder="true" applyAlignment="true" applyProtection="false">
      <alignment horizontal="center" vertical="bottom" textRotation="0" wrapText="false" indent="0" shrinkToFit="false"/>
      <protection locked="true" hidden="false"/>
    </xf>
    <xf numFmtId="164" fontId="4" fillId="3" borderId="34" xfId="0" applyFont="true" applyBorder="true" applyAlignment="true" applyProtection="false">
      <alignment horizontal="general" vertical="bottom" textRotation="0" wrapText="false" indent="0" shrinkToFit="false"/>
      <protection locked="true" hidden="false"/>
    </xf>
    <xf numFmtId="164" fontId="4" fillId="3" borderId="28" xfId="0" applyFont="true" applyBorder="true" applyAlignment="true" applyProtection="false">
      <alignment horizontal="center" vertical="bottom" textRotation="0" wrapText="false" indent="0" shrinkToFit="false"/>
      <protection locked="true" hidden="false"/>
    </xf>
    <xf numFmtId="164" fontId="4" fillId="3" borderId="9" xfId="0" applyFont="true" applyBorder="true" applyAlignment="true" applyProtection="false">
      <alignment horizontal="center" vertical="bottom" textRotation="0" wrapText="false" indent="0" shrinkToFit="false"/>
      <protection locked="true" hidden="false"/>
    </xf>
    <xf numFmtId="164" fontId="4" fillId="3" borderId="26" xfId="0" applyFont="true" applyBorder="true" applyAlignment="true" applyProtection="false">
      <alignment horizontal="center" vertical="bottom" textRotation="0" wrapText="false" indent="0" shrinkToFit="false"/>
      <protection locked="true" hidden="false"/>
    </xf>
    <xf numFmtId="164" fontId="4" fillId="3" borderId="35" xfId="0" applyFont="true" applyBorder="true" applyAlignment="true" applyProtection="false">
      <alignment horizontal="general" vertical="bottom" textRotation="0" wrapText="false" indent="0" shrinkToFit="false"/>
      <protection locked="true" hidden="false"/>
    </xf>
    <xf numFmtId="164" fontId="4" fillId="20" borderId="36" xfId="0" applyFont="true" applyBorder="true" applyAlignment="true" applyProtection="false">
      <alignment horizontal="center" vertical="bottom" textRotation="0" wrapText="false" indent="0" shrinkToFit="false"/>
      <protection locked="true" hidden="false"/>
    </xf>
    <xf numFmtId="168" fontId="4" fillId="4" borderId="21" xfId="0" applyFont="true" applyBorder="true" applyAlignment="true" applyProtection="false">
      <alignment horizontal="center" vertical="bottom" textRotation="0" wrapText="false" indent="0" shrinkToFit="false"/>
      <protection locked="true" hidden="false"/>
    </xf>
    <xf numFmtId="168" fontId="4" fillId="20" borderId="36" xfId="0" applyFont="true" applyBorder="true" applyAlignment="true" applyProtection="false">
      <alignment horizontal="center" vertical="bottom" textRotation="0" wrapText="false" indent="0" shrinkToFit="false"/>
      <protection locked="true" hidden="false"/>
    </xf>
    <xf numFmtId="172" fontId="4" fillId="4" borderId="19" xfId="0" applyFont="true" applyBorder="true" applyAlignment="true" applyProtection="false">
      <alignment horizontal="center" vertical="bottom" textRotation="0" wrapText="false" indent="0" shrinkToFit="false"/>
      <protection locked="true" hidden="false"/>
    </xf>
    <xf numFmtId="164" fontId="4" fillId="3" borderId="37" xfId="0" applyFont="true" applyBorder="true" applyAlignment="true" applyProtection="false">
      <alignment horizontal="general" vertical="bottom" textRotation="0" wrapText="false" indent="0" shrinkToFit="false"/>
      <protection locked="true" hidden="false"/>
    </xf>
    <xf numFmtId="164" fontId="4" fillId="20" borderId="38" xfId="0" applyFont="true" applyBorder="true" applyAlignment="true" applyProtection="false">
      <alignment horizontal="center" vertical="bottom" textRotation="0" wrapText="false" indent="0" shrinkToFit="false"/>
      <protection locked="true" hidden="false"/>
    </xf>
    <xf numFmtId="168" fontId="4" fillId="4" borderId="6" xfId="0" applyFont="true" applyBorder="true" applyAlignment="true" applyProtection="false">
      <alignment horizontal="center" vertical="bottom" textRotation="0" wrapText="false" indent="0" shrinkToFit="false"/>
      <protection locked="true" hidden="false"/>
    </xf>
    <xf numFmtId="168" fontId="4" fillId="20" borderId="38" xfId="0" applyFont="true" applyBorder="true" applyAlignment="true" applyProtection="false">
      <alignment horizontal="center" vertical="bottom" textRotation="0" wrapText="false" indent="0" shrinkToFit="false"/>
      <protection locked="true" hidden="false"/>
    </xf>
    <xf numFmtId="172" fontId="4" fillId="4" borderId="25" xfId="0" applyFont="true" applyBorder="tru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general" vertical="center" textRotation="0" wrapText="false" indent="0" shrinkToFit="false"/>
      <protection locked="true" hidden="false"/>
    </xf>
    <xf numFmtId="164" fontId="4" fillId="0" borderId="0" xfId="0" applyFont="true" applyBorder="false" applyAlignment="true" applyProtection="false">
      <alignment horizontal="left" vertical="center" textRotation="0" wrapText="false" indent="0" shrinkToFit="false"/>
      <protection locked="true" hidden="false"/>
    </xf>
    <xf numFmtId="164" fontId="10" fillId="0" borderId="0" xfId="0" applyFont="true" applyBorder="false" applyAlignment="true" applyProtection="false">
      <alignment horizontal="general" vertical="center"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xf numFmtId="164" fontId="4" fillId="14" borderId="39" xfId="0" applyFont="true" applyBorder="true" applyAlignment="true" applyProtection="false">
      <alignment horizontal="center" vertical="center" textRotation="0" wrapText="false" indent="0" shrinkToFit="false"/>
      <protection locked="true" hidden="false"/>
    </xf>
    <xf numFmtId="164" fontId="4" fillId="23" borderId="0" xfId="0" applyFont="true" applyBorder="true" applyAlignment="true" applyProtection="false">
      <alignment horizontal="center" vertical="center" textRotation="0" wrapText="false" indent="0" shrinkToFit="false"/>
      <protection locked="true" hidden="false"/>
    </xf>
    <xf numFmtId="164" fontId="4" fillId="24" borderId="0" xfId="0" applyFont="true" applyBorder="false" applyAlignment="true" applyProtection="false">
      <alignment horizontal="center" vertical="center" textRotation="0" wrapText="false" indent="0" shrinkToFit="false"/>
      <protection locked="true" hidden="false"/>
    </xf>
    <xf numFmtId="164" fontId="4" fillId="24" borderId="0" xfId="0" applyFont="true" applyBorder="true" applyAlignment="true" applyProtection="false">
      <alignment horizontal="center" vertical="center" textRotation="0" wrapText="false" indent="0" shrinkToFit="false"/>
      <protection locked="true" hidden="false"/>
    </xf>
    <xf numFmtId="164" fontId="11" fillId="13" borderId="18" xfId="0" applyFont="true" applyBorder="true" applyAlignment="true" applyProtection="false">
      <alignment horizontal="center" vertical="center" textRotation="0" wrapText="true" indent="0" shrinkToFit="false"/>
      <protection locked="true" hidden="false"/>
    </xf>
    <xf numFmtId="164" fontId="11" fillId="13" borderId="36" xfId="0" applyFont="true" applyBorder="true" applyAlignment="true" applyProtection="false">
      <alignment horizontal="left" vertical="center" textRotation="0" wrapText="false" indent="0" shrinkToFit="false"/>
      <protection locked="true" hidden="false"/>
    </xf>
    <xf numFmtId="164" fontId="12" fillId="13" borderId="40" xfId="0" applyFont="true" applyBorder="true" applyAlignment="true" applyProtection="false">
      <alignment horizontal="general" vertical="center" textRotation="0" wrapText="false" indent="0" shrinkToFit="false"/>
      <protection locked="true" hidden="false"/>
    </xf>
    <xf numFmtId="164" fontId="11" fillId="13" borderId="41" xfId="0" applyFont="true" applyBorder="true" applyAlignment="true" applyProtection="false">
      <alignment horizontal="center" vertical="center" textRotation="0" wrapText="false" indent="0" shrinkToFit="false"/>
      <protection locked="true" hidden="false"/>
    </xf>
    <xf numFmtId="164" fontId="11" fillId="25" borderId="39" xfId="0" applyFont="true" applyBorder="true" applyAlignment="true" applyProtection="false">
      <alignment horizontal="center" vertical="center" textRotation="0" wrapText="false" indent="0" shrinkToFit="false"/>
      <protection locked="true" hidden="false"/>
    </xf>
    <xf numFmtId="164" fontId="11" fillId="25" borderId="39" xfId="0" applyFont="true" applyBorder="true" applyAlignment="true" applyProtection="false">
      <alignment horizontal="left" vertical="bottom" textRotation="45" wrapText="false" indent="0" shrinkToFit="false"/>
      <protection locked="true" hidden="false"/>
    </xf>
    <xf numFmtId="164" fontId="14" fillId="25" borderId="39" xfId="0" applyFont="true" applyBorder="true" applyAlignment="true" applyProtection="false">
      <alignment horizontal="left" vertical="bottom" textRotation="45" wrapText="false" indent="0" shrinkToFit="false"/>
      <protection locked="true" hidden="false"/>
    </xf>
    <xf numFmtId="164" fontId="14" fillId="25" borderId="39" xfId="0" applyFont="true" applyBorder="true" applyAlignment="true" applyProtection="false">
      <alignment horizontal="center" vertical="bottom" textRotation="45" wrapText="false" indent="0" shrinkToFit="false"/>
      <protection locked="true" hidden="false"/>
    </xf>
    <xf numFmtId="164" fontId="14" fillId="25" borderId="40" xfId="0" applyFont="true" applyBorder="true" applyAlignment="true" applyProtection="false">
      <alignment horizontal="center" vertical="bottom" textRotation="45" wrapText="true" indent="0" shrinkToFit="false"/>
      <protection locked="true" hidden="false"/>
    </xf>
    <xf numFmtId="164" fontId="17" fillId="25" borderId="42" xfId="0" applyFont="true" applyBorder="true" applyAlignment="true" applyProtection="false">
      <alignment horizontal="center" vertical="bottom" textRotation="45" wrapText="false" indent="0" shrinkToFit="false"/>
      <protection locked="true" hidden="false"/>
    </xf>
    <xf numFmtId="164" fontId="15" fillId="25" borderId="41" xfId="0" applyFont="true" applyBorder="true" applyAlignment="true" applyProtection="false">
      <alignment horizontal="center" vertical="bottom" textRotation="45" wrapText="false" indent="0" shrinkToFit="false"/>
      <protection locked="true" hidden="false"/>
    </xf>
    <xf numFmtId="165" fontId="11" fillId="26" borderId="43" xfId="0" applyFont="true" applyBorder="true" applyAlignment="true" applyProtection="false">
      <alignment horizontal="right" vertical="center" textRotation="0" wrapText="false" indent="0" shrinkToFit="false"/>
      <protection locked="true" hidden="false"/>
    </xf>
    <xf numFmtId="165" fontId="11" fillId="26" borderId="28" xfId="0" applyFont="true" applyBorder="true" applyAlignment="true" applyProtection="false">
      <alignment horizontal="left" vertical="center" textRotation="0" wrapText="false" indent="0" shrinkToFit="false"/>
      <protection locked="true" hidden="false"/>
    </xf>
    <xf numFmtId="164" fontId="12" fillId="26" borderId="40" xfId="0" applyFont="true" applyBorder="true" applyAlignment="true" applyProtection="false">
      <alignment horizontal="general" vertical="center" textRotation="0" wrapText="false" indent="0" shrinkToFit="false"/>
      <protection locked="true" hidden="false"/>
    </xf>
    <xf numFmtId="165" fontId="11" fillId="26" borderId="41" xfId="0" applyFont="true" applyBorder="true" applyAlignment="true" applyProtection="false">
      <alignment horizontal="center" vertical="center" textRotation="0" wrapText="false" indent="0" shrinkToFit="false"/>
      <protection locked="true" hidden="false"/>
    </xf>
    <xf numFmtId="165" fontId="11" fillId="27" borderId="39" xfId="0" applyFont="true" applyBorder="true" applyAlignment="true" applyProtection="false">
      <alignment horizontal="general" vertical="center" textRotation="0" wrapText="false" indent="0" shrinkToFit="false"/>
      <protection locked="true" hidden="false"/>
    </xf>
    <xf numFmtId="165" fontId="11" fillId="27" borderId="39" xfId="0" applyFont="true" applyBorder="true" applyAlignment="true" applyProtection="false">
      <alignment horizontal="center" vertical="center" textRotation="0" wrapText="false" indent="0" shrinkToFit="false"/>
      <protection locked="true" hidden="false"/>
    </xf>
    <xf numFmtId="165" fontId="11" fillId="28" borderId="39" xfId="0" applyFont="true" applyBorder="true" applyAlignment="true" applyProtection="false">
      <alignment horizontal="center" vertical="center" textRotation="0" wrapText="false" indent="0" shrinkToFit="false"/>
      <protection locked="true" hidden="false"/>
    </xf>
    <xf numFmtId="165" fontId="11" fillId="29" borderId="39" xfId="0" applyFont="true" applyBorder="true" applyAlignment="true" applyProtection="false">
      <alignment horizontal="center" vertical="center" textRotation="0" wrapText="false" indent="0" shrinkToFit="false"/>
      <protection locked="true" hidden="false"/>
    </xf>
    <xf numFmtId="165" fontId="11" fillId="30" borderId="39" xfId="0" applyFont="true" applyBorder="true" applyAlignment="true" applyProtection="false">
      <alignment horizontal="center" vertical="center" textRotation="0" wrapText="false" indent="0" shrinkToFit="false"/>
      <protection locked="true" hidden="false"/>
    </xf>
    <xf numFmtId="165" fontId="11" fillId="31" borderId="39" xfId="0" applyFont="true" applyBorder="true" applyAlignment="true" applyProtection="false">
      <alignment horizontal="center" vertical="center" textRotation="0" wrapText="false" indent="0" shrinkToFit="false"/>
      <protection locked="true" hidden="false"/>
    </xf>
    <xf numFmtId="165" fontId="11" fillId="32" borderId="39" xfId="0" applyFont="true" applyBorder="true" applyAlignment="true" applyProtection="false">
      <alignment horizontal="center" vertical="center" textRotation="0" wrapText="false" indent="0" shrinkToFit="false"/>
      <protection locked="true" hidden="false"/>
    </xf>
    <xf numFmtId="165" fontId="11" fillId="33" borderId="44" xfId="0" applyFont="true" applyBorder="true" applyAlignment="true" applyProtection="false">
      <alignment horizontal="center" vertical="center" textRotation="0" wrapText="false" indent="0" shrinkToFit="false"/>
      <protection locked="true" hidden="false"/>
    </xf>
    <xf numFmtId="165" fontId="11" fillId="34" borderId="23" xfId="0" applyFont="true" applyBorder="true" applyAlignment="true" applyProtection="false">
      <alignment horizontal="center" vertical="center" textRotation="0" wrapText="false" indent="0" shrinkToFit="false"/>
      <protection locked="true" hidden="false"/>
    </xf>
    <xf numFmtId="165" fontId="11" fillId="26" borderId="40" xfId="0" applyFont="true" applyBorder="true" applyAlignment="true" applyProtection="false">
      <alignment horizontal="right" vertical="center" textRotation="0" wrapText="false" indent="0" shrinkToFit="false"/>
      <protection locked="true" hidden="false"/>
    </xf>
    <xf numFmtId="165" fontId="11" fillId="26" borderId="41" xfId="0" applyFont="true" applyBorder="true" applyAlignment="true" applyProtection="false">
      <alignment horizontal="left" vertical="center" textRotation="0" wrapText="false" indent="0" shrinkToFit="false"/>
      <protection locked="true" hidden="false"/>
    </xf>
    <xf numFmtId="165" fontId="11" fillId="33" borderId="39" xfId="0" applyFont="true" applyBorder="true" applyAlignment="true" applyProtection="false">
      <alignment horizontal="center" vertical="center" textRotation="0" wrapText="false" indent="0" shrinkToFit="false"/>
      <protection locked="true" hidden="false"/>
    </xf>
    <xf numFmtId="164" fontId="18" fillId="19" borderId="45" xfId="0" applyFont="true" applyBorder="tru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5" fillId="35" borderId="46" xfId="0" applyFont="true" applyBorder="true" applyAlignment="true" applyProtection="false">
      <alignment horizontal="center" vertical="bottom" textRotation="0" wrapText="false" indent="0" shrinkToFit="false"/>
      <protection locked="true" hidden="false"/>
    </xf>
    <xf numFmtId="164" fontId="19" fillId="36" borderId="47" xfId="0" applyFont="true" applyBorder="true" applyAlignment="true" applyProtection="false">
      <alignment horizontal="center" vertical="bottom" textRotation="0" wrapText="false" indent="0" shrinkToFit="false"/>
      <protection locked="true" hidden="false"/>
    </xf>
    <xf numFmtId="164" fontId="4" fillId="36" borderId="0" xfId="0" applyFont="true" applyBorder="false" applyAlignment="true" applyProtection="false">
      <alignment horizontal="center" vertical="bottom" textRotation="0" wrapText="false" indent="0" shrinkToFit="false"/>
      <protection locked="true" hidden="false"/>
    </xf>
    <xf numFmtId="164" fontId="5" fillId="36" borderId="21" xfId="0" applyFont="true" applyBorder="true" applyAlignment="true" applyProtection="false">
      <alignment horizontal="center" vertical="bottom" textRotation="0" wrapText="false" indent="0" shrinkToFit="false"/>
      <protection locked="true" hidden="false"/>
    </xf>
    <xf numFmtId="164" fontId="4" fillId="37" borderId="47" xfId="0" applyFont="true" applyBorder="true" applyAlignment="true" applyProtection="false">
      <alignment horizontal="general" vertical="bottom" textRotation="0" wrapText="false" indent="0" shrinkToFit="false"/>
      <protection locked="true" hidden="false"/>
    </xf>
    <xf numFmtId="164" fontId="4" fillId="37" borderId="0" xfId="0" applyFont="true" applyBorder="false" applyAlignment="true" applyProtection="false">
      <alignment horizontal="general" vertical="bottom" textRotation="0" wrapText="false" indent="0" shrinkToFit="false"/>
      <protection locked="true" hidden="false"/>
    </xf>
    <xf numFmtId="164" fontId="4" fillId="37" borderId="21" xfId="0" applyFont="true" applyBorder="true" applyAlignment="true" applyProtection="false">
      <alignment horizontal="general" vertical="bottom" textRotation="0" wrapText="false" indent="0" shrinkToFit="false"/>
      <protection locked="true" hidden="false"/>
    </xf>
    <xf numFmtId="164" fontId="20" fillId="0" borderId="0" xfId="0" applyFont="true" applyBorder="false" applyAlignment="true" applyProtection="false">
      <alignment horizontal="general" vertical="top" textRotation="0" wrapText="true" indent="0" shrinkToFit="false"/>
      <protection locked="true" hidden="false"/>
    </xf>
    <xf numFmtId="164" fontId="20" fillId="0" borderId="0" xfId="0" applyFont="true" applyBorder="true" applyAlignment="true" applyProtection="false">
      <alignment horizontal="general" vertical="top" textRotation="0" wrapText="true" indent="0" shrinkToFit="false"/>
      <protection locked="true" hidden="false"/>
    </xf>
    <xf numFmtId="165" fontId="0" fillId="36" borderId="47" xfId="0" applyFont="true" applyBorder="true" applyAlignment="true" applyProtection="false">
      <alignment horizontal="center" vertical="bottom" textRotation="0" wrapText="false" indent="0" shrinkToFit="false"/>
      <protection locked="true" hidden="false"/>
    </xf>
    <xf numFmtId="165" fontId="4" fillId="36" borderId="21" xfId="0" applyFont="true" applyBorder="true" applyAlignment="true" applyProtection="false">
      <alignment horizontal="center" vertical="bottom" textRotation="0" wrapText="false" indent="0" shrinkToFit="false"/>
      <protection locked="true" hidden="false"/>
    </xf>
    <xf numFmtId="164" fontId="4" fillId="11" borderId="47" xfId="0" applyFont="true" applyBorder="true" applyAlignment="true" applyProtection="false">
      <alignment horizontal="right" vertical="bottom" textRotation="0" wrapText="false" indent="0" shrinkToFit="false"/>
      <protection locked="true" hidden="false"/>
    </xf>
    <xf numFmtId="165" fontId="4" fillId="11" borderId="21" xfId="0" applyFont="true" applyBorder="true" applyAlignment="true" applyProtection="false">
      <alignment horizontal="right" vertical="bottom" textRotation="0" wrapText="false" indent="0" shrinkToFit="false"/>
      <protection locked="true" hidden="false"/>
    </xf>
    <xf numFmtId="164" fontId="4" fillId="38" borderId="47" xfId="0" applyFont="true" applyBorder="true" applyAlignment="true" applyProtection="false">
      <alignment horizontal="right" vertical="bottom" textRotation="0" wrapText="false" indent="0" shrinkToFit="false"/>
      <protection locked="true" hidden="false"/>
    </xf>
    <xf numFmtId="165" fontId="4" fillId="38" borderId="0" xfId="0" applyFont="true" applyBorder="false" applyAlignment="true" applyProtection="false">
      <alignment horizontal="general" vertical="bottom" textRotation="0" wrapText="false" indent="0" shrinkToFit="false"/>
      <protection locked="true" hidden="false"/>
    </xf>
    <xf numFmtId="165" fontId="4" fillId="38" borderId="21" xfId="0" applyFont="true" applyBorder="true" applyAlignment="true" applyProtection="false">
      <alignment horizontal="right" vertical="bottom" textRotation="0" wrapText="false" indent="0" shrinkToFit="false"/>
      <protection locked="true" hidden="false"/>
    </xf>
    <xf numFmtId="164" fontId="4" fillId="36" borderId="47" xfId="0" applyFont="true" applyBorder="true" applyAlignment="true" applyProtection="false">
      <alignment horizontal="general" vertical="bottom" textRotation="0" wrapText="false" indent="0" shrinkToFit="false"/>
      <protection locked="true" hidden="false"/>
    </xf>
    <xf numFmtId="164" fontId="4" fillId="36" borderId="0" xfId="0" applyFont="true" applyBorder="false" applyAlignment="false" applyProtection="false">
      <alignment horizontal="general" vertical="bottom" textRotation="0" wrapText="false" indent="0" shrinkToFit="false"/>
      <protection locked="true" hidden="false"/>
    </xf>
    <xf numFmtId="164" fontId="4" fillId="36" borderId="21" xfId="0" applyFont="true" applyBorder="true" applyAlignment="true" applyProtection="false">
      <alignment horizontal="general" vertical="bottom" textRotation="0" wrapText="false" indent="0" shrinkToFit="false"/>
      <protection locked="true" hidden="false"/>
    </xf>
    <xf numFmtId="164" fontId="4" fillId="36" borderId="0" xfId="0" applyFont="true" applyBorder="false" applyAlignment="true" applyProtection="false">
      <alignment horizontal="general" vertical="bottom" textRotation="0" wrapText="false" indent="0" shrinkToFit="false"/>
      <protection locked="true" hidden="false"/>
    </xf>
    <xf numFmtId="165" fontId="4" fillId="36" borderId="21" xfId="0" applyFont="true" applyBorder="true" applyAlignment="false" applyProtection="false">
      <alignment horizontal="general" vertical="bottom" textRotation="0" wrapText="false" indent="0" shrinkToFit="false"/>
      <protection locked="true" hidden="false"/>
    </xf>
    <xf numFmtId="164" fontId="4" fillId="36" borderId="48" xfId="0" applyFont="true" applyBorder="true" applyAlignment="true" applyProtection="false">
      <alignment horizontal="general" vertical="bottom" textRotation="0" wrapText="false" indent="0" shrinkToFit="false"/>
      <protection locked="true" hidden="false"/>
    </xf>
    <xf numFmtId="165" fontId="4" fillId="36" borderId="1" xfId="0" applyFont="true" applyBorder="true" applyAlignment="false" applyProtection="false">
      <alignment horizontal="general" vertical="bottom" textRotation="0" wrapText="false" indent="0" shrinkToFit="false"/>
      <protection locked="true" hidden="false"/>
    </xf>
    <xf numFmtId="164" fontId="4" fillId="36" borderId="1" xfId="0" applyFont="true" applyBorder="true" applyAlignment="true" applyProtection="false">
      <alignment horizontal="general" vertical="bottom" textRotation="0" wrapText="false" indent="0" shrinkToFit="false"/>
      <protection locked="true" hidden="false"/>
    </xf>
    <xf numFmtId="165" fontId="4" fillId="36" borderId="23" xfId="0" applyFont="true" applyBorder="true" applyAlignment="false" applyProtection="false">
      <alignment horizontal="general" vertical="bottom" textRotation="0" wrapText="false" indent="0" shrinkToFit="false"/>
      <protection locked="true" hidden="false"/>
    </xf>
    <xf numFmtId="164" fontId="4" fillId="38" borderId="48" xfId="0" applyFont="true" applyBorder="true" applyAlignment="true" applyProtection="false">
      <alignment horizontal="right" vertical="bottom" textRotation="0" wrapText="false" indent="0" shrinkToFit="false"/>
      <protection locked="true" hidden="false"/>
    </xf>
    <xf numFmtId="165" fontId="4" fillId="38" borderId="1" xfId="0" applyFont="true" applyBorder="true" applyAlignment="true" applyProtection="false">
      <alignment horizontal="general" vertical="bottom" textRotation="0" wrapText="false" indent="0" shrinkToFit="false"/>
      <protection locked="true" hidden="false"/>
    </xf>
    <xf numFmtId="165" fontId="4" fillId="38" borderId="23" xfId="0" applyFont="true" applyBorder="true" applyAlignment="true" applyProtection="false">
      <alignment horizontal="right" vertical="bottom" textRotation="0" wrapText="false" indent="0" shrinkToFit="false"/>
      <protection locked="true" hidden="false"/>
    </xf>
    <xf numFmtId="165" fontId="18" fillId="39" borderId="49" xfId="0" applyFont="true" applyBorder="true" applyAlignment="true" applyProtection="false">
      <alignment horizontal="right" vertical="center" textRotation="0" wrapText="false" indent="0" shrinkToFit="false"/>
      <protection locked="true" hidden="false"/>
    </xf>
    <xf numFmtId="165" fontId="18" fillId="39" borderId="50" xfId="0" applyFont="true" applyBorder="true" applyAlignment="true" applyProtection="false">
      <alignment horizontal="left" vertical="center" textRotation="0" wrapText="false" indent="0" shrinkToFit="false"/>
      <protection locked="true" hidden="false"/>
    </xf>
    <xf numFmtId="164" fontId="18" fillId="39" borderId="51" xfId="0" applyFont="true" applyBorder="true" applyAlignment="true" applyProtection="false">
      <alignment horizontal="center" vertical="bottom" textRotation="0" wrapText="false" indent="0" shrinkToFit="false"/>
      <protection locked="true" hidden="false"/>
    </xf>
    <xf numFmtId="165" fontId="4" fillId="40" borderId="3" xfId="0" applyFont="true" applyBorder="true" applyAlignment="true" applyProtection="false">
      <alignment horizontal="center" vertical="center" textRotation="0" wrapText="false" indent="0" shrinkToFit="false"/>
      <protection locked="true" hidden="false"/>
    </xf>
    <xf numFmtId="165" fontId="21" fillId="40" borderId="3" xfId="0" applyFont="true" applyBorder="true" applyAlignment="true" applyProtection="false">
      <alignment horizontal="center" vertical="center" textRotation="0" wrapText="false" indent="0" shrinkToFit="false"/>
      <protection locked="true" hidden="false"/>
    </xf>
    <xf numFmtId="164" fontId="4" fillId="40" borderId="47" xfId="0" applyFont="true" applyBorder="true" applyAlignment="false" applyProtection="false">
      <alignment horizontal="general" vertical="bottom" textRotation="0" wrapText="false" indent="0" shrinkToFit="false"/>
      <protection locked="true" hidden="false"/>
    </xf>
    <xf numFmtId="164" fontId="4" fillId="40" borderId="0" xfId="0" applyFont="true" applyBorder="false" applyAlignment="false" applyProtection="false">
      <alignment horizontal="general" vertical="bottom" textRotation="0" wrapText="false" indent="0" shrinkToFit="false"/>
      <protection locked="true" hidden="false"/>
    </xf>
    <xf numFmtId="164" fontId="4" fillId="40" borderId="0" xfId="0" applyFont="true" applyBorder="false" applyAlignment="true" applyProtection="false">
      <alignment horizontal="general" vertical="bottom" textRotation="0" wrapText="false" indent="0" shrinkToFit="false"/>
      <protection locked="true" hidden="false"/>
    </xf>
    <xf numFmtId="164" fontId="4" fillId="40" borderId="21" xfId="0" applyFont="true" applyBorder="true" applyAlignment="false" applyProtection="false">
      <alignment horizontal="general" vertical="bottom" textRotation="0" wrapText="false" indent="0" shrinkToFit="false"/>
      <protection locked="true" hidden="false"/>
    </xf>
    <xf numFmtId="164" fontId="4" fillId="40" borderId="48" xfId="0" applyFont="true" applyBorder="true" applyAlignment="false" applyProtection="false">
      <alignment horizontal="general" vertical="bottom" textRotation="0" wrapText="false" indent="0" shrinkToFit="false"/>
      <protection locked="true" hidden="false"/>
    </xf>
    <xf numFmtId="164" fontId="4" fillId="40" borderId="1" xfId="0" applyFont="true" applyBorder="true" applyAlignment="false" applyProtection="false">
      <alignment horizontal="general" vertical="bottom" textRotation="0" wrapText="false" indent="0" shrinkToFit="false"/>
      <protection locked="true" hidden="false"/>
    </xf>
    <xf numFmtId="164" fontId="4" fillId="40" borderId="1" xfId="0" applyFont="true" applyBorder="true" applyAlignment="true" applyProtection="false">
      <alignment horizontal="general" vertical="bottom" textRotation="0" wrapText="false" indent="0" shrinkToFit="false"/>
      <protection locked="true" hidden="false"/>
    </xf>
    <xf numFmtId="164" fontId="4" fillId="40" borderId="23" xfId="0" applyFont="true" applyBorder="true" applyAlignment="false" applyProtection="false">
      <alignment horizontal="general" vertical="bottom" textRotation="0" wrapText="false" indent="0" shrinkToFit="false"/>
      <protection locked="true" hidden="false"/>
    </xf>
    <xf numFmtId="164" fontId="5" fillId="9" borderId="0" xfId="0" applyFont="true" applyBorder="false" applyAlignment="true" applyProtection="false">
      <alignment horizontal="general" vertical="bottom" textRotation="0" wrapText="false" indent="0" shrinkToFit="false"/>
      <protection locked="true" hidden="false"/>
    </xf>
    <xf numFmtId="164" fontId="5" fillId="9" borderId="21" xfId="0" applyFont="true" applyBorder="true" applyAlignment="true" applyProtection="false">
      <alignment horizontal="general" vertical="bottom" textRotation="0" wrapText="false" indent="0" shrinkToFit="false"/>
      <protection locked="true" hidden="false"/>
    </xf>
    <xf numFmtId="165" fontId="5" fillId="9" borderId="0" xfId="0" applyFont="true" applyBorder="false" applyAlignment="true" applyProtection="false">
      <alignment horizontal="left" vertical="bottom" textRotation="0" wrapText="false" indent="0" shrinkToFit="false"/>
      <protection locked="true" hidden="false"/>
    </xf>
    <xf numFmtId="165" fontId="5" fillId="0" borderId="0" xfId="0" applyFont="true" applyBorder="false" applyAlignment="true" applyProtection="false">
      <alignment horizontal="left" vertical="bottom" textRotation="0" wrapText="false" indent="0" shrinkToFit="false"/>
      <protection locked="true" hidden="false"/>
    </xf>
    <xf numFmtId="164" fontId="5" fillId="0" borderId="1" xfId="0" applyFont="true" applyBorder="true" applyAlignment="false" applyProtection="false">
      <alignment horizontal="general" vertical="bottom" textRotation="0" wrapText="false" indent="0" shrinkToFit="false"/>
      <protection locked="true" hidden="false"/>
    </xf>
    <xf numFmtId="164" fontId="5" fillId="0" borderId="23" xfId="0" applyFont="true" applyBorder="true" applyAlignment="false" applyProtection="false">
      <alignment horizontal="general" vertical="bottom" textRotation="0" wrapText="false" indent="0" shrinkToFit="false"/>
      <protection locked="true" hidden="false"/>
    </xf>
    <xf numFmtId="165" fontId="5" fillId="0" borderId="1" xfId="0" applyFont="true" applyBorder="true" applyAlignment="true" applyProtection="false">
      <alignment horizontal="left"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21" xfId="0" applyFont="true" applyBorder="true" applyAlignment="false" applyProtection="false">
      <alignment horizontal="general" vertical="bottom" textRotation="0" wrapText="false" indent="0" shrinkToFit="false"/>
      <protection locked="true" hidden="false"/>
    </xf>
    <xf numFmtId="164" fontId="5" fillId="0" borderId="21" xfId="0" applyFont="true" applyBorder="true" applyAlignment="true" applyProtection="false">
      <alignment horizontal="general" vertical="bottom" textRotation="0" wrapText="false" indent="0" shrinkToFit="false"/>
      <protection locked="true" hidden="false"/>
    </xf>
    <xf numFmtId="164" fontId="5" fillId="12" borderId="0" xfId="0" applyFont="true" applyBorder="false" applyAlignment="true" applyProtection="false">
      <alignment horizontal="general" vertical="bottom" textRotation="0" wrapText="false" indent="0" shrinkToFit="false"/>
      <protection locked="true" hidden="false"/>
    </xf>
    <xf numFmtId="164" fontId="5" fillId="12" borderId="21"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18" fillId="2" borderId="45" xfId="0" applyFont="true" applyBorder="true" applyAlignment="true" applyProtection="false">
      <alignment horizontal="center" vertical="bottom" textRotation="0" wrapText="false" indent="0" shrinkToFit="false"/>
      <protection locked="true" hidden="false"/>
    </xf>
    <xf numFmtId="164" fontId="5" fillId="9" borderId="52" xfId="0" applyFont="true" applyBorder="true" applyAlignment="true" applyProtection="false">
      <alignment horizontal="center" vertical="bottom" textRotation="0" wrapText="false" indent="0" shrinkToFit="false"/>
      <protection locked="true" hidden="false"/>
    </xf>
    <xf numFmtId="164" fontId="5" fillId="9" borderId="13" xfId="0" applyFont="true" applyBorder="true" applyAlignment="true" applyProtection="false">
      <alignment horizontal="center" vertical="bottom" textRotation="0" wrapText="false" indent="0" shrinkToFit="false"/>
      <protection locked="true" hidden="false"/>
    </xf>
    <xf numFmtId="165" fontId="4" fillId="11" borderId="47" xfId="0" applyFont="true" applyBorder="true" applyAlignment="true" applyProtection="false">
      <alignment horizontal="general" vertical="bottom" textRotation="0" wrapText="false" indent="0" shrinkToFit="false"/>
      <protection locked="true" hidden="false"/>
    </xf>
    <xf numFmtId="164" fontId="4" fillId="11" borderId="19" xfId="0" applyFont="true" applyBorder="true" applyAlignment="true" applyProtection="false">
      <alignment horizontal="general" vertical="bottom" textRotation="0" wrapText="false" indent="0" shrinkToFit="false"/>
      <protection locked="true" hidden="false"/>
    </xf>
    <xf numFmtId="164" fontId="4" fillId="11" borderId="36" xfId="0" applyFont="true" applyBorder="true" applyAlignment="true" applyProtection="false">
      <alignment horizontal="general" vertical="bottom" textRotation="0" wrapText="false" indent="0" shrinkToFit="false"/>
      <protection locked="true" hidden="false"/>
    </xf>
    <xf numFmtId="165" fontId="4" fillId="12" borderId="47" xfId="0" applyFont="true" applyBorder="true" applyAlignment="true" applyProtection="false">
      <alignment horizontal="general" vertical="bottom" textRotation="0" wrapText="false" indent="0" shrinkToFit="false"/>
      <protection locked="true" hidden="false"/>
    </xf>
    <xf numFmtId="164" fontId="4" fillId="12" borderId="19" xfId="0" applyFont="true" applyBorder="true" applyAlignment="true" applyProtection="false">
      <alignment horizontal="general" vertical="bottom" textRotation="0" wrapText="false" indent="0" shrinkToFit="false"/>
      <protection locked="true" hidden="false"/>
    </xf>
    <xf numFmtId="164" fontId="4" fillId="12" borderId="36" xfId="0" applyFont="true" applyBorder="true" applyAlignment="true" applyProtection="false">
      <alignment horizontal="general" vertical="bottom" textRotation="0" wrapText="false" indent="0" shrinkToFit="false"/>
      <protection locked="true" hidden="false"/>
    </xf>
    <xf numFmtId="165" fontId="4" fillId="12" borderId="48" xfId="0" applyFont="true" applyBorder="true" applyAlignment="true" applyProtection="false">
      <alignment horizontal="general" vertical="bottom" textRotation="0" wrapText="false" indent="0" shrinkToFit="false"/>
      <protection locked="true" hidden="false"/>
    </xf>
    <xf numFmtId="165" fontId="4" fillId="12" borderId="1" xfId="0" applyFont="true" applyBorder="true" applyAlignment="true" applyProtection="false">
      <alignment horizontal="general" vertical="bottom" textRotation="0" wrapText="false" indent="0" shrinkToFit="false"/>
      <protection locked="true" hidden="false"/>
    </xf>
    <xf numFmtId="164" fontId="4" fillId="12" borderId="53" xfId="0" applyFont="true" applyBorder="true" applyAlignment="true" applyProtection="false">
      <alignment horizontal="general" vertical="bottom" textRotation="0" wrapText="false" indent="0" shrinkToFit="false"/>
      <protection locked="true" hidden="false"/>
    </xf>
    <xf numFmtId="164" fontId="4" fillId="12" borderId="54" xfId="0" applyFont="true" applyBorder="true" applyAlignment="true" applyProtection="false">
      <alignment horizontal="general" vertical="bottom" textRotation="0" wrapText="false" indent="0" shrinkToFit="false"/>
      <protection locked="true" hidden="false"/>
    </xf>
    <xf numFmtId="164" fontId="4" fillId="12" borderId="23" xfId="0" applyFont="true" applyBorder="true" applyAlignment="true" applyProtection="false">
      <alignment horizontal="general" vertical="bottom" textRotation="0" wrapText="false" indent="0" shrinkToFit="false"/>
      <protection locked="true" hidden="false"/>
    </xf>
    <xf numFmtId="164" fontId="5" fillId="9" borderId="55" xfId="0" applyFont="true" applyBorder="true" applyAlignment="true" applyProtection="false">
      <alignment horizontal="center" vertical="bottom" textRotation="0" wrapText="false" indent="0" shrinkToFit="false"/>
      <protection locked="true" hidden="false"/>
    </xf>
    <xf numFmtId="164" fontId="4" fillId="11" borderId="47" xfId="0" applyFont="true" applyBorder="true" applyAlignment="true" applyProtection="false">
      <alignment horizontal="center" vertical="center" textRotation="0" wrapText="false" indent="0" shrinkToFit="false"/>
      <protection locked="true" hidden="false"/>
    </xf>
    <xf numFmtId="164" fontId="4" fillId="11" borderId="21" xfId="0" applyFont="true" applyBorder="true" applyAlignment="false" applyProtection="false">
      <alignment horizontal="general" vertical="bottom" textRotation="0" wrapText="false" indent="0" shrinkToFit="false"/>
      <protection locked="true" hidden="false"/>
    </xf>
    <xf numFmtId="164" fontId="4" fillId="0" borderId="47"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4" fillId="0" borderId="21" xfId="0" applyFont="true" applyBorder="true" applyAlignment="true" applyProtection="false">
      <alignment horizontal="general" vertical="bottom" textRotation="0" wrapText="false" indent="0" shrinkToFit="false"/>
      <protection locked="true" hidden="false"/>
    </xf>
    <xf numFmtId="164" fontId="4" fillId="12" borderId="47" xfId="0" applyFont="true" applyBorder="true" applyAlignment="false" applyProtection="false">
      <alignment horizontal="general" vertical="bottom" textRotation="0" wrapText="false" indent="0" shrinkToFit="false"/>
      <protection locked="true" hidden="false"/>
    </xf>
    <xf numFmtId="164" fontId="4" fillId="12" borderId="21" xfId="0" applyFont="true" applyBorder="true" applyAlignment="false" applyProtection="false">
      <alignment horizontal="general" vertical="bottom" textRotation="0" wrapText="false" indent="0" shrinkToFit="false"/>
      <protection locked="true" hidden="false"/>
    </xf>
    <xf numFmtId="164" fontId="4" fillId="12" borderId="0" xfId="0" applyFont="true" applyBorder="false" applyAlignment="true" applyProtection="false">
      <alignment horizontal="left" vertical="bottom" textRotation="0" wrapText="false" indent="0" shrinkToFit="false"/>
      <protection locked="true" hidden="false"/>
    </xf>
    <xf numFmtId="164" fontId="4" fillId="12" borderId="21" xfId="0" applyFont="true" applyBorder="true" applyAlignment="true" applyProtection="false">
      <alignment horizontal="right" vertical="bottom" textRotation="0" wrapText="false" indent="0" shrinkToFit="false"/>
      <protection locked="true" hidden="false"/>
    </xf>
    <xf numFmtId="164" fontId="4" fillId="11" borderId="47" xfId="0" applyFont="true" applyBorder="true" applyAlignment="false" applyProtection="false">
      <alignment horizontal="general" vertical="bottom" textRotation="0" wrapText="false" indent="0" shrinkToFit="false"/>
      <protection locked="true" hidden="false"/>
    </xf>
    <xf numFmtId="164" fontId="4" fillId="11" borderId="0" xfId="0" applyFont="true" applyBorder="false" applyAlignment="true" applyProtection="false">
      <alignment horizontal="left" vertical="bottom" textRotation="0" wrapText="false" indent="0" shrinkToFit="false"/>
      <protection locked="true" hidden="false"/>
    </xf>
    <xf numFmtId="164" fontId="4" fillId="11" borderId="48" xfId="0" applyFont="true" applyBorder="true" applyAlignment="false" applyProtection="false">
      <alignment horizontal="general" vertical="bottom" textRotation="0" wrapText="false" indent="0" shrinkToFit="false"/>
      <protection locked="true" hidden="false"/>
    </xf>
    <xf numFmtId="164" fontId="4" fillId="11" borderId="1" xfId="0" applyFont="true" applyBorder="true" applyAlignment="false" applyProtection="false">
      <alignment horizontal="general" vertical="bottom" textRotation="0" wrapText="false" indent="0" shrinkToFit="false"/>
      <protection locked="true" hidden="false"/>
    </xf>
    <xf numFmtId="164" fontId="4" fillId="11" borderId="23" xfId="0" applyFont="true" applyBorder="true" applyAlignment="false" applyProtection="false">
      <alignment horizontal="general" vertical="bottom" textRotation="0" wrapText="false" indent="0" shrinkToFit="false"/>
      <protection locked="true" hidden="false"/>
    </xf>
    <xf numFmtId="164" fontId="4" fillId="11" borderId="1" xfId="0" applyFont="true" applyBorder="true" applyAlignment="true" applyProtection="false">
      <alignment horizontal="left" vertical="bottom" textRotation="0" wrapText="false" indent="0" shrinkToFit="false"/>
      <protection locked="true" hidden="false"/>
    </xf>
    <xf numFmtId="164" fontId="4" fillId="11" borderId="23" xfId="0" applyFont="true" applyBorder="true" applyAlignment="true" applyProtection="false">
      <alignment horizontal="right" vertical="bottom" textRotation="0" wrapText="false" indent="0" shrinkToFit="false"/>
      <protection locked="true" hidden="false"/>
    </xf>
    <xf numFmtId="164" fontId="22" fillId="0" borderId="0" xfId="0" applyFont="true" applyBorder="false" applyAlignment="true" applyProtection="false">
      <alignment horizontal="general" vertical="bottom" textRotation="0" wrapText="false" indent="0" shrinkToFit="false"/>
      <protection locked="true" hidden="false"/>
    </xf>
    <xf numFmtId="164" fontId="18" fillId="0" borderId="0" xfId="0" applyFont="true" applyBorder="false" applyAlignment="true" applyProtection="false">
      <alignment horizontal="center" vertical="bottom" textRotation="0" wrapText="false" indent="0" shrinkToFit="false"/>
      <protection locked="true" hidden="false"/>
    </xf>
    <xf numFmtId="164" fontId="23"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4" fontId="4" fillId="0" borderId="17" xfId="0" applyFont="true" applyBorder="true" applyAlignment="true" applyProtection="false">
      <alignment horizontal="general" vertical="bottom" textRotation="0" wrapText="false" indent="0" shrinkToFit="false"/>
      <protection locked="true" hidden="false"/>
    </xf>
    <xf numFmtId="164" fontId="18" fillId="0" borderId="19" xfId="0" applyFont="true" applyBorder="true" applyAlignment="true" applyProtection="false">
      <alignment horizontal="center" vertical="bottom" textRotation="0" wrapText="false" indent="0" shrinkToFit="false"/>
      <protection locked="true" hidden="false"/>
    </xf>
    <xf numFmtId="164" fontId="23" fillId="0" borderId="4" xfId="0" applyFont="true" applyBorder="true" applyAlignment="true" applyProtection="false">
      <alignment horizontal="center" vertical="bottom" textRotation="0" wrapText="false" indent="0" shrinkToFit="false"/>
      <protection locked="true" hidden="false"/>
    </xf>
    <xf numFmtId="164" fontId="23" fillId="0" borderId="0" xfId="0" applyFont="true" applyBorder="true" applyAlignment="true" applyProtection="false">
      <alignment horizontal="center" vertical="bottom" textRotation="0" wrapText="false" indent="0" shrinkToFit="false"/>
      <protection locked="true" hidden="false"/>
    </xf>
    <xf numFmtId="164" fontId="23" fillId="9" borderId="17" xfId="0" applyFont="true" applyBorder="true" applyAlignment="true" applyProtection="false">
      <alignment horizontal="general" vertical="bottom" textRotation="0" wrapText="false" indent="0" shrinkToFit="false"/>
      <protection locked="true" hidden="false"/>
    </xf>
    <xf numFmtId="164" fontId="23" fillId="9" borderId="19" xfId="0" applyFont="true" applyBorder="true" applyAlignment="true" applyProtection="false">
      <alignment horizontal="general" vertical="bottom" textRotation="0" wrapText="false" indent="0" shrinkToFit="false"/>
      <protection locked="true" hidden="false"/>
    </xf>
    <xf numFmtId="164" fontId="23" fillId="9" borderId="0" xfId="0" applyFont="true" applyBorder="false" applyAlignment="true" applyProtection="false">
      <alignment horizontal="general" vertical="bottom" textRotation="0" wrapText="false" indent="0" shrinkToFit="false"/>
      <protection locked="true" hidden="false"/>
    </xf>
    <xf numFmtId="164" fontId="5" fillId="9" borderId="19" xfId="0" applyFont="true" applyBorder="true" applyAlignment="true" applyProtection="false">
      <alignment horizontal="general" vertical="bottom" textRotation="0" wrapText="false" indent="0" shrinkToFit="false"/>
      <protection locked="true" hidden="false"/>
    </xf>
    <xf numFmtId="164" fontId="7" fillId="11" borderId="17" xfId="0" applyFont="true" applyBorder="true" applyAlignment="true" applyProtection="false">
      <alignment horizontal="right" vertical="bottom" textRotation="0" wrapText="false" indent="0" shrinkToFit="false"/>
      <protection locked="true" hidden="false"/>
    </xf>
    <xf numFmtId="164" fontId="7" fillId="11" borderId="19" xfId="0" applyFont="true" applyBorder="true" applyAlignment="true" applyProtection="false">
      <alignment horizontal="general" vertical="bottom" textRotation="0" wrapText="false" indent="0" shrinkToFit="false"/>
      <protection locked="true" hidden="false"/>
    </xf>
    <xf numFmtId="164" fontId="7" fillId="11" borderId="0" xfId="0" applyFont="true" applyBorder="false" applyAlignment="true" applyProtection="false">
      <alignment horizontal="general" vertical="bottom" textRotation="0" wrapText="false" indent="0" shrinkToFit="false"/>
      <protection locked="true" hidden="false"/>
    </xf>
    <xf numFmtId="164" fontId="7" fillId="12" borderId="17" xfId="0" applyFont="true" applyBorder="true" applyAlignment="true" applyProtection="false">
      <alignment horizontal="right" vertical="bottom" textRotation="0" wrapText="false" indent="0" shrinkToFit="false"/>
      <protection locked="true" hidden="false"/>
    </xf>
    <xf numFmtId="164" fontId="7" fillId="12" borderId="19" xfId="0" applyFont="true" applyBorder="true" applyAlignment="true" applyProtection="false">
      <alignment horizontal="general" vertical="bottom" textRotation="0" wrapText="false" indent="0" shrinkToFit="false"/>
      <protection locked="true" hidden="false"/>
    </xf>
    <xf numFmtId="165" fontId="4" fillId="12" borderId="19" xfId="0" applyFont="true" applyBorder="true" applyAlignment="true" applyProtection="false">
      <alignment horizontal="right" vertical="bottom" textRotation="0" wrapText="false" indent="0" shrinkToFit="false"/>
      <protection locked="true" hidden="false"/>
    </xf>
    <xf numFmtId="164" fontId="7" fillId="12" borderId="0" xfId="0" applyFont="true" applyBorder="false" applyAlignment="true" applyProtection="false">
      <alignment horizontal="general" vertical="bottom" textRotation="0" wrapText="false" indent="0" shrinkToFit="false"/>
      <protection locked="true" hidden="false"/>
    </xf>
    <xf numFmtId="165" fontId="4" fillId="11" borderId="19" xfId="0" applyFont="true" applyBorder="true" applyAlignment="true" applyProtection="false">
      <alignment horizontal="right" vertical="bottom" textRotation="0" wrapText="false" indent="0" shrinkToFit="false"/>
      <protection locked="true" hidden="false"/>
    </xf>
    <xf numFmtId="164" fontId="23" fillId="0" borderId="0" xfId="0" applyFont="true" applyBorder="false" applyAlignment="tru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right" vertical="bottom" textRotation="0" wrapText="false" indent="0" shrinkToFit="false"/>
      <protection locked="true" hidden="false"/>
    </xf>
    <xf numFmtId="164" fontId="24" fillId="0" borderId="0" xfId="0" applyFont="true" applyBorder="false" applyAlignment="true" applyProtection="false">
      <alignment horizontal="general" vertical="bottom" textRotation="0" wrapText="false" indent="0" shrinkToFit="false"/>
      <protection locked="true" hidden="false"/>
    </xf>
    <xf numFmtId="173" fontId="4"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center" vertical="bottom" textRotation="0" wrapText="false" indent="0" shrinkToFit="false"/>
      <protection locked="true" hidden="false"/>
    </xf>
    <xf numFmtId="164" fontId="24"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true" applyAlignment="true" applyProtection="false">
      <alignment horizontal="general" vertical="bottom" textRotation="0" wrapText="true" indent="0" shrinkToFit="false"/>
      <protection locked="true" hidden="false"/>
    </xf>
    <xf numFmtId="165" fontId="7" fillId="0" borderId="0" xfId="0" applyFont="true" applyBorder="false" applyAlignment="true" applyProtection="false">
      <alignment horizontal="center" vertical="bottom" textRotation="0" wrapText="false" indent="0" shrinkToFit="false"/>
      <protection locked="true" hidden="false"/>
    </xf>
    <xf numFmtId="165" fontId="7" fillId="0" borderId="0" xfId="0" applyFont="true" applyBorder="false" applyAlignment="tru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false" indent="0" shrinkToFit="false"/>
      <protection locked="true" hidden="false"/>
    </xf>
    <xf numFmtId="165" fontId="24" fillId="0" borderId="0" xfId="0" applyFont="true" applyBorder="false" applyAlignment="true" applyProtection="false">
      <alignment horizontal="center"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98">
    <dxf>
      <fill>
        <patternFill patternType="solid">
          <fgColor rgb="FFB7B7B7"/>
        </patternFill>
      </fill>
    </dxf>
    <dxf>
      <fill>
        <patternFill patternType="solid">
          <fgColor rgb="FFCCCCCC"/>
        </patternFill>
      </fill>
    </dxf>
    <dxf>
      <fill>
        <patternFill patternType="solid">
          <fgColor rgb="FFF7F7F7"/>
          <bgColor rgb="FF272727"/>
        </patternFill>
      </fill>
    </dxf>
    <dxf>
      <fill>
        <patternFill patternType="solid">
          <fgColor rgb="FF9FC5E8"/>
        </patternFill>
      </fill>
    </dxf>
    <dxf>
      <fill>
        <patternFill patternType="solid">
          <fgColor rgb="FFCFE2F3"/>
        </patternFill>
      </fill>
    </dxf>
    <dxf>
      <fill>
        <patternFill patternType="solid">
          <fgColor rgb="FFD5A6BD"/>
        </patternFill>
      </fill>
    </dxf>
    <dxf>
      <fill>
        <patternFill patternType="solid">
          <fgColor rgb="FFEAD1DC"/>
        </patternFill>
      </fill>
    </dxf>
    <dxf>
      <fill>
        <patternFill patternType="solid">
          <fgColor rgb="FFF3F3F3"/>
        </patternFill>
      </fill>
    </dxf>
    <dxf>
      <fill>
        <patternFill patternType="solid">
          <fgColor rgb="FFFFFFFF"/>
        </patternFill>
      </fill>
    </dxf>
    <dxf>
      <fill>
        <patternFill patternType="solid">
          <fgColor rgb="FFBDBDBD"/>
        </patternFill>
      </fill>
    </dxf>
    <dxf>
      <fill>
        <patternFill patternType="solid">
          <fgColor rgb="FFFCE5CD"/>
        </patternFill>
      </fill>
    </dxf>
    <dxf>
      <fill>
        <patternFill patternType="solid">
          <fgColor rgb="FF434343"/>
        </patternFill>
      </fill>
    </dxf>
    <dxf>
      <fill>
        <patternFill patternType="solid">
          <fgColor rgb="FF666666"/>
        </patternFill>
      </fill>
    </dxf>
    <dxf>
      <fill>
        <patternFill patternType="solid">
          <fgColor rgb="FF0B5394"/>
        </patternFill>
      </fill>
    </dxf>
    <dxf>
      <fill>
        <patternFill patternType="solid">
          <fgColor rgb="00FFFFFF"/>
        </patternFill>
      </fill>
    </dxf>
    <dxf>
      <fill>
        <patternFill patternType="solid">
          <fgColor rgb="FF00FFFF"/>
        </patternFill>
      </fill>
    </dxf>
    <dxf>
      <fill>
        <patternFill patternType="solid">
          <fgColor rgb="FF56D317"/>
        </patternFill>
      </fill>
    </dxf>
    <dxf>
      <fill>
        <patternFill patternType="solid">
          <fgColor rgb="FF6D9EEB"/>
        </patternFill>
      </fill>
    </dxf>
    <dxf>
      <fill>
        <patternFill patternType="solid">
          <fgColor rgb="FF9900FF"/>
        </patternFill>
      </fill>
    </dxf>
    <dxf>
      <fill>
        <patternFill patternType="solid">
          <fgColor rgb="FFBF9000"/>
        </patternFill>
      </fill>
    </dxf>
    <dxf>
      <fill>
        <patternFill patternType="solid">
          <fgColor rgb="FFCC4125"/>
        </patternFill>
      </fill>
    </dxf>
    <dxf>
      <fill>
        <patternFill patternType="solid">
          <fgColor rgb="FFFF9900"/>
        </patternFill>
      </fill>
    </dxf>
    <dxf>
      <fill>
        <patternFill patternType="solid">
          <fgColor rgb="FFFFFF00"/>
        </patternFill>
      </fill>
    </dxf>
    <dxf>
      <fill>
        <patternFill patternType="solid">
          <fgColor rgb="FF0C343D"/>
        </patternFill>
      </fill>
    </dxf>
    <dxf>
      <fill>
        <patternFill patternType="solid">
          <fgColor rgb="FF7F6000"/>
        </patternFill>
      </fill>
    </dxf>
    <dxf>
      <fill>
        <patternFill patternType="solid">
          <fgColor rgb="FF846000"/>
        </patternFill>
      </fill>
    </dxf>
    <dxf>
      <fill>
        <patternFill patternType="solid">
          <fgColor rgb="FF8A6001"/>
        </patternFill>
      </fill>
    </dxf>
    <dxf>
      <fill>
        <patternFill patternType="solid">
          <fgColor rgb="FF906002"/>
        </patternFill>
      </fill>
    </dxf>
    <dxf>
      <fill>
        <patternFill patternType="solid">
          <fgColor rgb="FF966002"/>
        </patternFill>
      </fill>
    </dxf>
    <dxf>
      <fill>
        <patternFill patternType="solid">
          <fgColor rgb="FF9C6003"/>
        </patternFill>
      </fill>
    </dxf>
    <dxf>
      <fill>
        <patternFill patternType="solid">
          <fgColor rgb="FFA26004"/>
        </patternFill>
      </fill>
    </dxf>
    <dxf>
      <fill>
        <patternFill patternType="solid">
          <fgColor rgb="FFA86004"/>
        </patternFill>
      </fill>
    </dxf>
    <dxf>
      <fill>
        <patternFill patternType="solid">
          <fgColor rgb="FFAE6005"/>
        </patternFill>
      </fill>
    </dxf>
    <dxf>
      <fill>
        <patternFill patternType="solid">
          <fgColor rgb="FFB45F06"/>
        </patternFill>
      </fill>
    </dxf>
    <dxf>
      <fill>
        <patternFill patternType="solid">
          <fgColor rgb="FFB65506"/>
        </patternFill>
      </fill>
    </dxf>
    <dxf>
      <fill>
        <patternFill patternType="solid">
          <fgColor rgb="FFB94A05"/>
        </patternFill>
      </fill>
    </dxf>
    <dxf>
      <fill>
        <patternFill patternType="solid">
          <fgColor rgb="FFBC4004"/>
        </patternFill>
      </fill>
    </dxf>
    <dxf>
      <fill>
        <patternFill patternType="solid">
          <fgColor rgb="FFBE3504"/>
        </patternFill>
      </fill>
    </dxf>
    <dxf>
      <fill>
        <patternFill patternType="solid">
          <fgColor rgb="FFC12B03"/>
        </patternFill>
      </fill>
    </dxf>
    <dxf>
      <fill>
        <patternFill patternType="solid">
          <fgColor rgb="FFC61602"/>
        </patternFill>
      </fill>
    </dxf>
    <dxf>
      <fill>
        <patternFill patternType="solid">
          <fgColor rgb="FFCC0000"/>
        </patternFill>
      </fill>
    </dxf>
    <dxf>
      <fill>
        <patternFill patternType="solid">
          <fgColor rgb="FF990000"/>
        </patternFill>
      </fill>
    </dxf>
    <dxf>
      <fill>
        <patternFill patternType="solid">
          <fgColor rgb="FF9F1302"/>
        </patternFill>
      </fill>
    </dxf>
    <dxf>
      <fill>
        <patternFill patternType="solid">
          <fgColor rgb="FFA42603"/>
        </patternFill>
      </fill>
    </dxf>
    <dxf>
      <fill>
        <patternFill patternType="solid">
          <fgColor rgb="FFAA3904"/>
        </patternFill>
      </fill>
    </dxf>
    <dxf>
      <fill>
        <patternFill patternType="solid">
          <fgColor rgb="FFAF4C05"/>
        </patternFill>
      </fill>
    </dxf>
    <dxf>
      <fill>
        <patternFill patternType="solid">
          <fgColor rgb="FFB76904"/>
        </patternFill>
      </fill>
    </dxf>
    <dxf>
      <fill>
        <patternFill patternType="solid">
          <fgColor rgb="FFB97303"/>
        </patternFill>
      </fill>
    </dxf>
    <dxf>
      <fill>
        <patternFill patternType="solid">
          <fgColor rgb="FFBB7D02"/>
        </patternFill>
      </fill>
    </dxf>
    <dxf>
      <fill>
        <patternFill patternType="solid">
          <fgColor rgb="FFBD8701"/>
        </patternFill>
      </fill>
    </dxf>
    <dxf>
      <fill>
        <patternFill patternType="solid">
          <fgColor rgb="FF9C0A01"/>
        </patternFill>
      </fill>
    </dxf>
    <dxf>
      <fill>
        <patternFill patternType="solid">
          <fgColor rgb="FFA21E02"/>
        </patternFill>
      </fill>
    </dxf>
    <dxf>
      <fill>
        <patternFill patternType="solid">
          <fgColor rgb="FFA52803"/>
        </patternFill>
      </fill>
    </dxf>
    <dxf>
      <fill>
        <patternFill patternType="solid">
          <fgColor rgb="FFA83204"/>
        </patternFill>
      </fill>
    </dxf>
    <dxf>
      <fill>
        <patternFill patternType="solid">
          <fgColor rgb="FFAB3C04"/>
        </patternFill>
      </fill>
    </dxf>
    <dxf>
      <fill>
        <patternFill patternType="solid">
          <fgColor rgb="FFAD4605"/>
        </patternFill>
      </fill>
    </dxf>
    <dxf>
      <fill>
        <patternFill patternType="solid">
          <fgColor rgb="FFB05006"/>
        </patternFill>
      </fill>
    </dxf>
    <dxf>
      <fill>
        <patternFill patternType="solid">
          <fgColor rgb="FFB35A06"/>
        </patternFill>
      </fill>
    </dxf>
    <dxf>
      <fill>
        <patternFill patternType="solid">
          <fgColor rgb="FFB56205"/>
        </patternFill>
      </fill>
    </dxf>
    <dxf>
      <fill>
        <patternFill patternType="solid">
          <fgColor rgb="FFB66705"/>
        </patternFill>
      </fill>
    </dxf>
    <dxf>
      <fill>
        <patternFill patternType="solid">
          <fgColor rgb="FFB76C04"/>
        </patternFill>
      </fill>
    </dxf>
    <dxf>
      <fill>
        <patternFill patternType="solid">
          <fgColor rgb="FFB97203"/>
        </patternFill>
      </fill>
    </dxf>
    <dxf>
      <fill>
        <patternFill patternType="solid">
          <fgColor rgb="FFBA7703"/>
        </patternFill>
      </fill>
    </dxf>
    <dxf>
      <fill>
        <patternFill patternType="solid">
          <fgColor rgb="FFBB7C02"/>
        </patternFill>
      </fill>
    </dxf>
    <dxf>
      <fill>
        <patternFill patternType="solid">
          <fgColor rgb="FFBC8101"/>
        </patternFill>
      </fill>
    </dxf>
    <dxf>
      <fill>
        <patternFill patternType="solid">
          <fgColor rgb="FFBD8601"/>
        </patternFill>
      </fill>
    </dxf>
    <dxf>
      <fill>
        <patternFill patternType="solid">
          <fgColor rgb="FF9F1402"/>
        </patternFill>
      </fill>
    </dxf>
    <dxf>
      <fill>
        <patternFill patternType="solid">
          <fgColor rgb="FF783F04"/>
        </patternFill>
      </fill>
    </dxf>
    <dxf>
      <fill>
        <patternFill patternType="solid">
          <fgColor rgb="FF274E13"/>
        </patternFill>
      </fill>
    </dxf>
    <dxf>
      <fill>
        <patternFill patternType="solid">
          <fgColor rgb="FF2F581A"/>
        </patternFill>
      </fill>
    </dxf>
    <dxf>
      <fill>
        <patternFill patternType="solid">
          <fgColor rgb="FF34601F"/>
        </patternFill>
      </fill>
    </dxf>
    <dxf>
      <fill>
        <patternFill patternType="solid">
          <fgColor rgb="FF376321"/>
        </patternFill>
      </fill>
    </dxf>
    <dxf>
      <fill>
        <patternFill patternType="solid">
          <fgColor rgb="FF396723"/>
        </patternFill>
      </fill>
    </dxf>
    <dxf>
      <fill>
        <patternFill patternType="solid">
          <fgColor rgb="FF47792F"/>
        </patternFill>
      </fill>
    </dxf>
    <dxf>
      <fill>
        <patternFill patternType="solid">
          <fgColor rgb="FF497C32"/>
        </patternFill>
      </fill>
    </dxf>
    <dxf>
      <fill>
        <patternFill patternType="solid">
          <fgColor rgb="FF4F8437"/>
        </patternFill>
      </fill>
    </dxf>
    <dxf>
      <fill>
        <patternFill patternType="solid">
          <fgColor rgb="FF5C9643"/>
        </patternFill>
      </fill>
    </dxf>
    <dxf>
      <fill>
        <patternFill patternType="solid">
          <fgColor rgb="FF6AA84F"/>
        </patternFill>
      </fill>
    </dxf>
    <dxf>
      <fill>
        <patternFill patternType="solid">
          <fgColor rgb="FF4C1130"/>
        </patternFill>
      </fill>
    </dxf>
    <dxf>
      <fill>
        <patternFill patternType="solid">
          <fgColor rgb="FF4E83C5"/>
        </patternFill>
      </fill>
    </dxf>
    <dxf>
      <fill>
        <patternFill patternType="solid">
          <fgColor rgb="FF5682C5"/>
        </patternFill>
      </fill>
    </dxf>
    <dxf>
      <fill>
        <patternFill patternType="solid">
          <fgColor rgb="FF792E5F"/>
        </patternFill>
      </fill>
    </dxf>
    <dxf>
      <fill>
        <patternFill patternType="solid">
          <fgColor rgb="FF7E4178"/>
        </patternFill>
      </fill>
    </dxf>
    <dxf>
      <fill>
        <patternFill patternType="solid">
          <fgColor rgb="FF835591"/>
        </patternFill>
      </fill>
    </dxf>
    <dxf>
      <fill>
        <patternFill patternType="solid">
          <fgColor rgb="FF8E7CC3"/>
        </patternFill>
      </fill>
    </dxf>
    <dxf>
      <font>
        <color rgb="FFFF9900"/>
      </font>
      <fill>
        <patternFill>
          <bgColor rgb="00FFFFFF"/>
        </patternFill>
      </fill>
    </dxf>
    <dxf>
      <font>
        <color rgb="FF6D9EEB"/>
      </font>
      <fill>
        <patternFill>
          <bgColor rgb="00FFFFFF"/>
        </patternFill>
      </fill>
    </dxf>
    <dxf>
      <font>
        <color rgb="FFF3F3F3"/>
      </font>
      <fill>
        <patternFill>
          <bgColor rgb="00FFFFFF"/>
        </patternFill>
      </fill>
    </dxf>
    <dxf>
      <font>
        <color rgb="FF56D317"/>
      </font>
      <fill>
        <patternFill>
          <bgColor rgb="00FFFFFF"/>
        </patternFill>
      </fill>
    </dxf>
    <dxf>
      <font>
        <color rgb="FFFFFF00"/>
      </font>
      <fill>
        <patternFill>
          <bgColor rgb="00FFFFFF"/>
        </patternFill>
      </fill>
    </dxf>
    <dxf>
      <font>
        <color rgb="FF00FFFF"/>
      </font>
      <fill>
        <patternFill>
          <bgColor rgb="00FFFFFF"/>
        </patternFill>
      </fill>
    </dxf>
    <dxf>
      <font>
        <color rgb="FFBF9000"/>
      </font>
      <fill>
        <patternFill>
          <bgColor rgb="00FFFFFF"/>
        </patternFill>
      </fill>
    </dxf>
    <dxf>
      <font>
        <color rgb="FFCC4125"/>
      </font>
      <fill>
        <patternFill>
          <bgColor rgb="00FFFFFF"/>
        </patternFill>
      </fill>
    </dxf>
    <dxf>
      <font>
        <color rgb="FF9900FF"/>
      </font>
      <fill>
        <patternFill>
          <bgColor rgb="00FFFFFF"/>
        </patternFill>
      </fill>
    </dxf>
    <dxf>
      <font>
        <color rgb="FF7F6000"/>
      </font>
      <fill>
        <patternFill>
          <bgColor rgb="00FFFFFF"/>
        </patternFill>
      </fill>
    </dxf>
    <dxf>
      <fill>
        <patternFill patternType="solid">
          <fgColor rgb="FF78909C"/>
        </patternFill>
      </fill>
    </dxf>
    <dxf>
      <fill>
        <patternFill patternType="solid">
          <fgColor rgb="FFEBEFF1"/>
        </patternFill>
      </fill>
    </dxf>
    <dxf>
      <font>
        <b val="1"/>
      </font>
      <fill>
        <patternFill>
          <bgColor rgb="FFE06666"/>
        </patternFill>
      </fill>
    </dxf>
  </dxfs>
  <colors>
    <indexedColors>
      <rgbColor rgb="FF000000"/>
      <rgbColor rgb="FFFFFFFF"/>
      <rgbColor rgb="FFFF0000"/>
      <rgbColor rgb="FFEAD1DC"/>
      <rgbColor rgb="FF0000FF"/>
      <rgbColor rgb="FFFFFF00"/>
      <rgbColor rgb="FFF3F3F3"/>
      <rgbColor rgb="FF00FFFF"/>
      <rgbColor rgb="FF660000"/>
      <rgbColor rgb="FFEFEFEF"/>
      <rgbColor rgb="FF000080"/>
      <rgbColor rgb="FF7F6000"/>
      <rgbColor rgb="FF9900FF"/>
      <rgbColor rgb="FFC1BB74"/>
      <rgbColor rgb="FFBDBDBD"/>
      <rgbColor rgb="FF78909C"/>
      <rgbColor rgb="FF6D9EEB"/>
      <rgbColor rgb="FFCC4125"/>
      <rgbColor rgb="FFFFF2CC"/>
      <rgbColor rgb="FFEBEFF1"/>
      <rgbColor rgb="FF4C1130"/>
      <rgbColor rgb="FFE06666"/>
      <rgbColor rgb="FF1155CC"/>
      <rgbColor rgb="FFCCCCCC"/>
      <rgbColor rgb="FF000080"/>
      <rgbColor rgb="FFFF00FF"/>
      <rgbColor rgb="FFF6BB66"/>
      <rgbColor rgb="FFD9D9D9"/>
      <rgbColor rgb="FF800080"/>
      <rgbColor rgb="FF800000"/>
      <rgbColor rgb="FFC2BB74"/>
      <rgbColor rgb="FF0000FF"/>
      <rgbColor rgb="FFB6D7A8"/>
      <rgbColor rgb="FFCFE2F3"/>
      <rgbColor rgb="FFD9EAD3"/>
      <rgbColor rgb="FFFCE5CD"/>
      <rgbColor rgb="FF9FC5E8"/>
      <rgbColor rgb="FFEA9999"/>
      <rgbColor rgb="FFD5A6BD"/>
      <rgbColor rgb="FFF4CCCC"/>
      <rgbColor rgb="FF8E7CC3"/>
      <rgbColor rgb="FF93C47D"/>
      <rgbColor rgb="FF56D317"/>
      <rgbColor rgb="FFF8C266"/>
      <rgbColor rgb="FFFF9900"/>
      <rgbColor rgb="FFBF9000"/>
      <rgbColor rgb="FF666666"/>
      <rgbColor rgb="FF999999"/>
      <rgbColor rgb="FF0C343D"/>
      <rgbColor rgb="FF45818E"/>
      <rgbColor rgb="FF003300"/>
      <rgbColor rgb="FF274E13"/>
      <rgbColor rgb="FF783F04"/>
      <rgbColor rgb="FFB7B7B7"/>
      <rgbColor rgb="FF0B5394"/>
      <rgbColor rgb="FF43434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sharedStrings" Target="sharedStrings.xml"/>
</Relationships>
</file>

<file path=xl/drawings/_rels/drawing5.xml.rels><?xml version="1.0" encoding="UTF-8"?>
<Relationships xmlns="http://schemas.openxmlformats.org/package/2006/relationships"><Relationship Id="rId1" Type="http://schemas.openxmlformats.org/officeDocument/2006/relationships/image" Target="../media/image277.png"/><Relationship Id="rId2" Type="http://schemas.openxmlformats.org/officeDocument/2006/relationships/image" Target="../media/image278.png"/><Relationship Id="rId3" Type="http://schemas.openxmlformats.org/officeDocument/2006/relationships/image" Target="../media/image279.png"/><Relationship Id="rId4" Type="http://schemas.openxmlformats.org/officeDocument/2006/relationships/image" Target="../media/image280.png"/><Relationship Id="rId5" Type="http://schemas.openxmlformats.org/officeDocument/2006/relationships/image" Target="../media/image281.png"/><Relationship Id="rId6" Type="http://schemas.openxmlformats.org/officeDocument/2006/relationships/image" Target="../media/image282.png"/><Relationship Id="rId7" Type="http://schemas.openxmlformats.org/officeDocument/2006/relationships/image" Target="../media/image283.png"/><Relationship Id="rId8" Type="http://schemas.openxmlformats.org/officeDocument/2006/relationships/image" Target="../media/image284.png"/><Relationship Id="rId9" Type="http://schemas.openxmlformats.org/officeDocument/2006/relationships/image" Target="../media/image285.png"/><Relationship Id="rId10" Type="http://schemas.openxmlformats.org/officeDocument/2006/relationships/image" Target="../media/image286.png"/><Relationship Id="rId11" Type="http://schemas.openxmlformats.org/officeDocument/2006/relationships/image" Target="../media/image287.png"/><Relationship Id="rId12" Type="http://schemas.openxmlformats.org/officeDocument/2006/relationships/image" Target="../media/image288.png"/><Relationship Id="rId13" Type="http://schemas.openxmlformats.org/officeDocument/2006/relationships/image" Target="../media/image289.png"/><Relationship Id="rId14" Type="http://schemas.openxmlformats.org/officeDocument/2006/relationships/image" Target="../media/image290.png"/><Relationship Id="rId15" Type="http://schemas.openxmlformats.org/officeDocument/2006/relationships/image" Target="../media/image291.png"/><Relationship Id="rId16" Type="http://schemas.openxmlformats.org/officeDocument/2006/relationships/image" Target="../media/image292.png"/><Relationship Id="rId17" Type="http://schemas.openxmlformats.org/officeDocument/2006/relationships/image" Target="../media/image293.png"/><Relationship Id="rId18" Type="http://schemas.openxmlformats.org/officeDocument/2006/relationships/image" Target="../media/image294.png"/><Relationship Id="rId19" Type="http://schemas.openxmlformats.org/officeDocument/2006/relationships/image" Target="../media/image295.png"/><Relationship Id="rId20" Type="http://schemas.openxmlformats.org/officeDocument/2006/relationships/image" Target="../media/image296.png"/><Relationship Id="rId21" Type="http://schemas.openxmlformats.org/officeDocument/2006/relationships/image" Target="../media/image297.png"/><Relationship Id="rId22" Type="http://schemas.openxmlformats.org/officeDocument/2006/relationships/image" Target="../media/image298.png"/><Relationship Id="rId23" Type="http://schemas.openxmlformats.org/officeDocument/2006/relationships/image" Target="../media/image299.png"/><Relationship Id="rId24" Type="http://schemas.openxmlformats.org/officeDocument/2006/relationships/image" Target="../media/image300.png"/><Relationship Id="rId25" Type="http://schemas.openxmlformats.org/officeDocument/2006/relationships/image" Target="../media/image301.png"/><Relationship Id="rId26" Type="http://schemas.openxmlformats.org/officeDocument/2006/relationships/image" Target="../media/image302.png"/><Relationship Id="rId27" Type="http://schemas.openxmlformats.org/officeDocument/2006/relationships/image" Target="../media/image303.png"/><Relationship Id="rId28" Type="http://schemas.openxmlformats.org/officeDocument/2006/relationships/image" Target="../media/image304.png"/><Relationship Id="rId29" Type="http://schemas.openxmlformats.org/officeDocument/2006/relationships/image" Target="../media/image305.png"/><Relationship Id="rId30" Type="http://schemas.openxmlformats.org/officeDocument/2006/relationships/image" Target="../media/image306.png"/><Relationship Id="rId31" Type="http://schemas.openxmlformats.org/officeDocument/2006/relationships/image" Target="../media/image307.png"/><Relationship Id="rId32" Type="http://schemas.openxmlformats.org/officeDocument/2006/relationships/image" Target="../media/image308.png"/><Relationship Id="rId33" Type="http://schemas.openxmlformats.org/officeDocument/2006/relationships/image" Target="../media/image309.png"/><Relationship Id="rId34" Type="http://schemas.openxmlformats.org/officeDocument/2006/relationships/image" Target="../media/image310.png"/><Relationship Id="rId35" Type="http://schemas.openxmlformats.org/officeDocument/2006/relationships/image" Target="../media/image311.png"/><Relationship Id="rId36" Type="http://schemas.openxmlformats.org/officeDocument/2006/relationships/image" Target="../media/image312.png"/><Relationship Id="rId37" Type="http://schemas.openxmlformats.org/officeDocument/2006/relationships/image" Target="../media/image313.png"/><Relationship Id="rId38" Type="http://schemas.openxmlformats.org/officeDocument/2006/relationships/image" Target="../media/image314.png"/><Relationship Id="rId39" Type="http://schemas.openxmlformats.org/officeDocument/2006/relationships/image" Target="../media/image315.png"/><Relationship Id="rId40" Type="http://schemas.openxmlformats.org/officeDocument/2006/relationships/image" Target="../media/image316.png"/><Relationship Id="rId41" Type="http://schemas.openxmlformats.org/officeDocument/2006/relationships/image" Target="../media/image317.png"/><Relationship Id="rId42" Type="http://schemas.openxmlformats.org/officeDocument/2006/relationships/image" Target="../media/image318.png"/><Relationship Id="rId43" Type="http://schemas.openxmlformats.org/officeDocument/2006/relationships/image" Target="../media/image319.png"/><Relationship Id="rId44" Type="http://schemas.openxmlformats.org/officeDocument/2006/relationships/image" Target="../media/image320.png"/><Relationship Id="rId45" Type="http://schemas.openxmlformats.org/officeDocument/2006/relationships/image" Target="../media/image321.png"/><Relationship Id="rId46" Type="http://schemas.openxmlformats.org/officeDocument/2006/relationships/image" Target="../media/image322.png"/><Relationship Id="rId47" Type="http://schemas.openxmlformats.org/officeDocument/2006/relationships/image" Target="../media/image323.png"/><Relationship Id="rId48" Type="http://schemas.openxmlformats.org/officeDocument/2006/relationships/image" Target="../media/image324.png"/><Relationship Id="rId49" Type="http://schemas.openxmlformats.org/officeDocument/2006/relationships/image" Target="../media/image325.png"/><Relationship Id="rId50" Type="http://schemas.openxmlformats.org/officeDocument/2006/relationships/image" Target="../media/image326.png"/><Relationship Id="rId51" Type="http://schemas.openxmlformats.org/officeDocument/2006/relationships/image" Target="../media/image327.png"/><Relationship Id="rId52" Type="http://schemas.openxmlformats.org/officeDocument/2006/relationships/image" Target="../media/image328.png"/><Relationship Id="rId53" Type="http://schemas.openxmlformats.org/officeDocument/2006/relationships/image" Target="../media/image329.png"/><Relationship Id="rId54" Type="http://schemas.openxmlformats.org/officeDocument/2006/relationships/image" Target="../media/image330.png"/><Relationship Id="rId55" Type="http://schemas.openxmlformats.org/officeDocument/2006/relationships/image" Target="../media/image331.png"/><Relationship Id="rId56" Type="http://schemas.openxmlformats.org/officeDocument/2006/relationships/image" Target="../media/image332.png"/><Relationship Id="rId57" Type="http://schemas.openxmlformats.org/officeDocument/2006/relationships/image" Target="../media/image333.png"/><Relationship Id="rId58" Type="http://schemas.openxmlformats.org/officeDocument/2006/relationships/image" Target="../media/image334.png"/><Relationship Id="rId59" Type="http://schemas.openxmlformats.org/officeDocument/2006/relationships/image" Target="../media/image335.png"/><Relationship Id="rId60" Type="http://schemas.openxmlformats.org/officeDocument/2006/relationships/image" Target="../media/image336.png"/><Relationship Id="rId61" Type="http://schemas.openxmlformats.org/officeDocument/2006/relationships/image" Target="../media/image337.png"/><Relationship Id="rId62" Type="http://schemas.openxmlformats.org/officeDocument/2006/relationships/image" Target="../media/image338.png"/><Relationship Id="rId63" Type="http://schemas.openxmlformats.org/officeDocument/2006/relationships/image" Target="../media/image339.png"/><Relationship Id="rId64" Type="http://schemas.openxmlformats.org/officeDocument/2006/relationships/image" Target="../media/image340.png"/><Relationship Id="rId65" Type="http://schemas.openxmlformats.org/officeDocument/2006/relationships/image" Target="../media/image341.png"/><Relationship Id="rId66" Type="http://schemas.openxmlformats.org/officeDocument/2006/relationships/image" Target="../media/image342.png"/><Relationship Id="rId67" Type="http://schemas.openxmlformats.org/officeDocument/2006/relationships/image" Target="../media/image343.png"/><Relationship Id="rId68" Type="http://schemas.openxmlformats.org/officeDocument/2006/relationships/image" Target="../media/image344.png"/><Relationship Id="rId69" Type="http://schemas.openxmlformats.org/officeDocument/2006/relationships/image" Target="../media/image345.png"/><Relationship Id="rId70" Type="http://schemas.openxmlformats.org/officeDocument/2006/relationships/image" Target="../media/image346.png"/><Relationship Id="rId71" Type="http://schemas.openxmlformats.org/officeDocument/2006/relationships/image" Target="../media/image347.png"/><Relationship Id="rId72" Type="http://schemas.openxmlformats.org/officeDocument/2006/relationships/image" Target="../media/image348.png"/><Relationship Id="rId73" Type="http://schemas.openxmlformats.org/officeDocument/2006/relationships/image" Target="../media/image349.png"/><Relationship Id="rId74" Type="http://schemas.openxmlformats.org/officeDocument/2006/relationships/image" Target="../media/image350.png"/><Relationship Id="rId75" Type="http://schemas.openxmlformats.org/officeDocument/2006/relationships/image" Target="../media/image351.png"/><Relationship Id="rId76" Type="http://schemas.openxmlformats.org/officeDocument/2006/relationships/image" Target="../media/image352.png"/><Relationship Id="rId77" Type="http://schemas.openxmlformats.org/officeDocument/2006/relationships/image" Target="../media/image353.png"/><Relationship Id="rId78" Type="http://schemas.openxmlformats.org/officeDocument/2006/relationships/image" Target="../media/image354.png"/><Relationship Id="rId79" Type="http://schemas.openxmlformats.org/officeDocument/2006/relationships/image" Target="../media/image355.png"/><Relationship Id="rId80" Type="http://schemas.openxmlformats.org/officeDocument/2006/relationships/image" Target="../media/image356.png"/><Relationship Id="rId81" Type="http://schemas.openxmlformats.org/officeDocument/2006/relationships/image" Target="../media/image357.png"/><Relationship Id="rId82" Type="http://schemas.openxmlformats.org/officeDocument/2006/relationships/image" Target="../media/image358.png"/><Relationship Id="rId83" Type="http://schemas.openxmlformats.org/officeDocument/2006/relationships/image" Target="../media/image359.png"/><Relationship Id="rId84" Type="http://schemas.openxmlformats.org/officeDocument/2006/relationships/image" Target="../media/image360.png"/><Relationship Id="rId85" Type="http://schemas.openxmlformats.org/officeDocument/2006/relationships/image" Target="../media/image361.png"/><Relationship Id="rId86" Type="http://schemas.openxmlformats.org/officeDocument/2006/relationships/image" Target="../media/image362.png"/><Relationship Id="rId87" Type="http://schemas.openxmlformats.org/officeDocument/2006/relationships/image" Target="../media/image363.png"/><Relationship Id="rId88" Type="http://schemas.openxmlformats.org/officeDocument/2006/relationships/image" Target="../media/image364.png"/><Relationship Id="rId89" Type="http://schemas.openxmlformats.org/officeDocument/2006/relationships/image" Target="../media/image365.png"/><Relationship Id="rId90" Type="http://schemas.openxmlformats.org/officeDocument/2006/relationships/image" Target="../media/image366.png"/><Relationship Id="rId91" Type="http://schemas.openxmlformats.org/officeDocument/2006/relationships/image" Target="../media/image367.png"/><Relationship Id="rId92" Type="http://schemas.openxmlformats.org/officeDocument/2006/relationships/image" Target="../media/image368.png"/><Relationship Id="rId93" Type="http://schemas.openxmlformats.org/officeDocument/2006/relationships/image" Target="../media/image369.png"/><Relationship Id="rId94" Type="http://schemas.openxmlformats.org/officeDocument/2006/relationships/image" Target="../media/image370.png"/><Relationship Id="rId95" Type="http://schemas.openxmlformats.org/officeDocument/2006/relationships/image" Target="../media/image371.png"/><Relationship Id="rId96" Type="http://schemas.openxmlformats.org/officeDocument/2006/relationships/image" Target="../media/image372.png"/><Relationship Id="rId97" Type="http://schemas.openxmlformats.org/officeDocument/2006/relationships/image" Target="../media/image373.png"/><Relationship Id="rId98" Type="http://schemas.openxmlformats.org/officeDocument/2006/relationships/image" Target="../media/image374.png"/><Relationship Id="rId99" Type="http://schemas.openxmlformats.org/officeDocument/2006/relationships/image" Target="../media/image375.png"/><Relationship Id="rId100" Type="http://schemas.openxmlformats.org/officeDocument/2006/relationships/image" Target="../media/image376.png"/><Relationship Id="rId101" Type="http://schemas.openxmlformats.org/officeDocument/2006/relationships/image" Target="../media/image377.png"/><Relationship Id="rId102" Type="http://schemas.openxmlformats.org/officeDocument/2006/relationships/image" Target="../media/image378.png"/><Relationship Id="rId103" Type="http://schemas.openxmlformats.org/officeDocument/2006/relationships/image" Target="../media/image379.png"/><Relationship Id="rId104" Type="http://schemas.openxmlformats.org/officeDocument/2006/relationships/image" Target="../media/image380.png"/><Relationship Id="rId105" Type="http://schemas.openxmlformats.org/officeDocument/2006/relationships/image" Target="../media/image381.png"/><Relationship Id="rId106" Type="http://schemas.openxmlformats.org/officeDocument/2006/relationships/image" Target="../media/image382.png"/><Relationship Id="rId107" Type="http://schemas.openxmlformats.org/officeDocument/2006/relationships/image" Target="../media/image383.png"/><Relationship Id="rId108" Type="http://schemas.openxmlformats.org/officeDocument/2006/relationships/image" Target="../media/image384.png"/><Relationship Id="rId109" Type="http://schemas.openxmlformats.org/officeDocument/2006/relationships/image" Target="../media/image385.png"/><Relationship Id="rId110" Type="http://schemas.openxmlformats.org/officeDocument/2006/relationships/image" Target="../media/image386.png"/><Relationship Id="rId111" Type="http://schemas.openxmlformats.org/officeDocument/2006/relationships/image" Target="../media/image387.png"/><Relationship Id="rId112" Type="http://schemas.openxmlformats.org/officeDocument/2006/relationships/image" Target="../media/image388.png"/><Relationship Id="rId113" Type="http://schemas.openxmlformats.org/officeDocument/2006/relationships/image" Target="../media/image389.png"/><Relationship Id="rId114" Type="http://schemas.openxmlformats.org/officeDocument/2006/relationships/image" Target="../media/image390.png"/><Relationship Id="rId115" Type="http://schemas.openxmlformats.org/officeDocument/2006/relationships/image" Target="../media/image391.png"/><Relationship Id="rId116" Type="http://schemas.openxmlformats.org/officeDocument/2006/relationships/image" Target="../media/image392.png"/><Relationship Id="rId117" Type="http://schemas.openxmlformats.org/officeDocument/2006/relationships/image" Target="../media/image393.png"/><Relationship Id="rId118" Type="http://schemas.openxmlformats.org/officeDocument/2006/relationships/image" Target="../media/image394.png"/><Relationship Id="rId119" Type="http://schemas.openxmlformats.org/officeDocument/2006/relationships/image" Target="../media/image395.png"/><Relationship Id="rId120" Type="http://schemas.openxmlformats.org/officeDocument/2006/relationships/image" Target="../media/image396.png"/><Relationship Id="rId121" Type="http://schemas.openxmlformats.org/officeDocument/2006/relationships/image" Target="../media/image397.png"/><Relationship Id="rId122" Type="http://schemas.openxmlformats.org/officeDocument/2006/relationships/image" Target="../media/image398.png"/><Relationship Id="rId123" Type="http://schemas.openxmlformats.org/officeDocument/2006/relationships/image" Target="../media/image399.png"/><Relationship Id="rId124" Type="http://schemas.openxmlformats.org/officeDocument/2006/relationships/image" Target="../media/image400.png"/><Relationship Id="rId125" Type="http://schemas.openxmlformats.org/officeDocument/2006/relationships/image" Target="../media/image401.png"/><Relationship Id="rId126" Type="http://schemas.openxmlformats.org/officeDocument/2006/relationships/image" Target="../media/image402.png"/><Relationship Id="rId127" Type="http://schemas.openxmlformats.org/officeDocument/2006/relationships/image" Target="../media/image403.png"/><Relationship Id="rId128" Type="http://schemas.openxmlformats.org/officeDocument/2006/relationships/image" Target="../media/image404.png"/><Relationship Id="rId129" Type="http://schemas.openxmlformats.org/officeDocument/2006/relationships/image" Target="../media/image405.png"/><Relationship Id="rId130" Type="http://schemas.openxmlformats.org/officeDocument/2006/relationships/image" Target="../media/image406.png"/><Relationship Id="rId131" Type="http://schemas.openxmlformats.org/officeDocument/2006/relationships/image" Target="../media/image407.png"/><Relationship Id="rId132" Type="http://schemas.openxmlformats.org/officeDocument/2006/relationships/image" Target="../media/image408.png"/><Relationship Id="rId133" Type="http://schemas.openxmlformats.org/officeDocument/2006/relationships/image" Target="../media/image409.png"/><Relationship Id="rId134" Type="http://schemas.openxmlformats.org/officeDocument/2006/relationships/image" Target="../media/image410.png"/><Relationship Id="rId135" Type="http://schemas.openxmlformats.org/officeDocument/2006/relationships/image" Target="../media/image411.png"/><Relationship Id="rId136" Type="http://schemas.openxmlformats.org/officeDocument/2006/relationships/image" Target="../media/image412.png"/><Relationship Id="rId137" Type="http://schemas.openxmlformats.org/officeDocument/2006/relationships/image" Target="../media/image413.png"/><Relationship Id="rId138" Type="http://schemas.openxmlformats.org/officeDocument/2006/relationships/image" Target="../media/image414.png"/>
</Relationships>
</file>

<file path=xl/drawings/_rels/drawing6.xml.rels><?xml version="1.0" encoding="UTF-8"?>
<Relationships xmlns="http://schemas.openxmlformats.org/package/2006/relationships"><Relationship Id="rId1" Type="http://schemas.openxmlformats.org/officeDocument/2006/relationships/image" Target="../media/image415.png"/><Relationship Id="rId2" Type="http://schemas.openxmlformats.org/officeDocument/2006/relationships/image" Target="../media/image416.png"/><Relationship Id="rId3" Type="http://schemas.openxmlformats.org/officeDocument/2006/relationships/image" Target="../media/image417.png"/><Relationship Id="rId4" Type="http://schemas.openxmlformats.org/officeDocument/2006/relationships/image" Target="../media/image418.png"/><Relationship Id="rId5" Type="http://schemas.openxmlformats.org/officeDocument/2006/relationships/image" Target="../media/image419.png"/><Relationship Id="rId6" Type="http://schemas.openxmlformats.org/officeDocument/2006/relationships/image" Target="../media/image420.png"/><Relationship Id="rId7" Type="http://schemas.openxmlformats.org/officeDocument/2006/relationships/image" Target="../media/image421.png"/><Relationship Id="rId8" Type="http://schemas.openxmlformats.org/officeDocument/2006/relationships/image" Target="../media/image422.png"/><Relationship Id="rId9" Type="http://schemas.openxmlformats.org/officeDocument/2006/relationships/image" Target="../media/image423.png"/><Relationship Id="rId10" Type="http://schemas.openxmlformats.org/officeDocument/2006/relationships/image" Target="../media/image424.png"/><Relationship Id="rId11" Type="http://schemas.openxmlformats.org/officeDocument/2006/relationships/image" Target="../media/image425.png"/><Relationship Id="rId12" Type="http://schemas.openxmlformats.org/officeDocument/2006/relationships/image" Target="../media/image426.png"/><Relationship Id="rId13" Type="http://schemas.openxmlformats.org/officeDocument/2006/relationships/image" Target="../media/image427.png"/><Relationship Id="rId14" Type="http://schemas.openxmlformats.org/officeDocument/2006/relationships/image" Target="../media/image428.png"/><Relationship Id="rId15" Type="http://schemas.openxmlformats.org/officeDocument/2006/relationships/image" Target="../media/image429.png"/><Relationship Id="rId16" Type="http://schemas.openxmlformats.org/officeDocument/2006/relationships/image" Target="../media/image430.png"/><Relationship Id="rId17" Type="http://schemas.openxmlformats.org/officeDocument/2006/relationships/image" Target="../media/image431.png"/><Relationship Id="rId18" Type="http://schemas.openxmlformats.org/officeDocument/2006/relationships/image" Target="../media/image432.png"/><Relationship Id="rId19" Type="http://schemas.openxmlformats.org/officeDocument/2006/relationships/image" Target="../media/image433.png"/><Relationship Id="rId20" Type="http://schemas.openxmlformats.org/officeDocument/2006/relationships/image" Target="../media/image434.png"/><Relationship Id="rId21" Type="http://schemas.openxmlformats.org/officeDocument/2006/relationships/image" Target="../media/image435.png"/><Relationship Id="rId22" Type="http://schemas.openxmlformats.org/officeDocument/2006/relationships/image" Target="../media/image436.png"/><Relationship Id="rId23" Type="http://schemas.openxmlformats.org/officeDocument/2006/relationships/image" Target="../media/image437.png"/><Relationship Id="rId24" Type="http://schemas.openxmlformats.org/officeDocument/2006/relationships/image" Target="../media/image438.png"/><Relationship Id="rId25" Type="http://schemas.openxmlformats.org/officeDocument/2006/relationships/image" Target="../media/image439.png"/><Relationship Id="rId26" Type="http://schemas.openxmlformats.org/officeDocument/2006/relationships/image" Target="../media/image440.png"/><Relationship Id="rId27" Type="http://schemas.openxmlformats.org/officeDocument/2006/relationships/image" Target="../media/image441.png"/><Relationship Id="rId28" Type="http://schemas.openxmlformats.org/officeDocument/2006/relationships/image" Target="../media/image442.png"/><Relationship Id="rId29" Type="http://schemas.openxmlformats.org/officeDocument/2006/relationships/image" Target="../media/image443.png"/><Relationship Id="rId30" Type="http://schemas.openxmlformats.org/officeDocument/2006/relationships/image" Target="../media/image444.png"/><Relationship Id="rId31" Type="http://schemas.openxmlformats.org/officeDocument/2006/relationships/image" Target="../media/image445.png"/><Relationship Id="rId32" Type="http://schemas.openxmlformats.org/officeDocument/2006/relationships/image" Target="../media/image446.png"/><Relationship Id="rId33" Type="http://schemas.openxmlformats.org/officeDocument/2006/relationships/image" Target="../media/image447.png"/><Relationship Id="rId34" Type="http://schemas.openxmlformats.org/officeDocument/2006/relationships/image" Target="../media/image448.png"/><Relationship Id="rId35" Type="http://schemas.openxmlformats.org/officeDocument/2006/relationships/image" Target="../media/image449.png"/><Relationship Id="rId36" Type="http://schemas.openxmlformats.org/officeDocument/2006/relationships/image" Target="../media/image450.png"/><Relationship Id="rId37" Type="http://schemas.openxmlformats.org/officeDocument/2006/relationships/image" Target="../media/image451.png"/><Relationship Id="rId38" Type="http://schemas.openxmlformats.org/officeDocument/2006/relationships/image" Target="../media/image452.png"/><Relationship Id="rId39" Type="http://schemas.openxmlformats.org/officeDocument/2006/relationships/image" Target="../media/image453.png"/><Relationship Id="rId40" Type="http://schemas.openxmlformats.org/officeDocument/2006/relationships/image" Target="../media/image454.png"/><Relationship Id="rId41" Type="http://schemas.openxmlformats.org/officeDocument/2006/relationships/image" Target="../media/image455.png"/><Relationship Id="rId42" Type="http://schemas.openxmlformats.org/officeDocument/2006/relationships/image" Target="../media/image456.png"/><Relationship Id="rId43" Type="http://schemas.openxmlformats.org/officeDocument/2006/relationships/image" Target="../media/image457.png"/><Relationship Id="rId44" Type="http://schemas.openxmlformats.org/officeDocument/2006/relationships/image" Target="../media/image458.png"/><Relationship Id="rId45" Type="http://schemas.openxmlformats.org/officeDocument/2006/relationships/image" Target="../media/image459.png"/><Relationship Id="rId46" Type="http://schemas.openxmlformats.org/officeDocument/2006/relationships/image" Target="../media/image460.png"/><Relationship Id="rId47" Type="http://schemas.openxmlformats.org/officeDocument/2006/relationships/image" Target="../media/image461.png"/><Relationship Id="rId48" Type="http://schemas.openxmlformats.org/officeDocument/2006/relationships/image" Target="../media/image462.png"/><Relationship Id="rId49" Type="http://schemas.openxmlformats.org/officeDocument/2006/relationships/image" Target="../media/image463.png"/><Relationship Id="rId50" Type="http://schemas.openxmlformats.org/officeDocument/2006/relationships/image" Target="../media/image464.png"/><Relationship Id="rId51" Type="http://schemas.openxmlformats.org/officeDocument/2006/relationships/image" Target="../media/image465.png"/><Relationship Id="rId52" Type="http://schemas.openxmlformats.org/officeDocument/2006/relationships/image" Target="../media/image466.png"/><Relationship Id="rId53" Type="http://schemas.openxmlformats.org/officeDocument/2006/relationships/image" Target="../media/image467.png"/><Relationship Id="rId54" Type="http://schemas.openxmlformats.org/officeDocument/2006/relationships/image" Target="../media/image468.png"/><Relationship Id="rId55" Type="http://schemas.openxmlformats.org/officeDocument/2006/relationships/image" Target="../media/image469.png"/><Relationship Id="rId56" Type="http://schemas.openxmlformats.org/officeDocument/2006/relationships/image" Target="../media/image470.png"/><Relationship Id="rId57" Type="http://schemas.openxmlformats.org/officeDocument/2006/relationships/image" Target="../media/image471.png"/><Relationship Id="rId58" Type="http://schemas.openxmlformats.org/officeDocument/2006/relationships/image" Target="../media/image472.png"/><Relationship Id="rId59" Type="http://schemas.openxmlformats.org/officeDocument/2006/relationships/image" Target="../media/image473.png"/><Relationship Id="rId60" Type="http://schemas.openxmlformats.org/officeDocument/2006/relationships/image" Target="../media/image474.png"/><Relationship Id="rId61" Type="http://schemas.openxmlformats.org/officeDocument/2006/relationships/image" Target="../media/image475.png"/><Relationship Id="rId62" Type="http://schemas.openxmlformats.org/officeDocument/2006/relationships/image" Target="../media/image476.png"/><Relationship Id="rId63" Type="http://schemas.openxmlformats.org/officeDocument/2006/relationships/image" Target="../media/image477.png"/><Relationship Id="rId64" Type="http://schemas.openxmlformats.org/officeDocument/2006/relationships/image" Target="../media/image478.png"/><Relationship Id="rId65" Type="http://schemas.openxmlformats.org/officeDocument/2006/relationships/image" Target="../media/image479.png"/><Relationship Id="rId66" Type="http://schemas.openxmlformats.org/officeDocument/2006/relationships/image" Target="../media/image480.png"/><Relationship Id="rId67" Type="http://schemas.openxmlformats.org/officeDocument/2006/relationships/image" Target="../media/image481.png"/><Relationship Id="rId68" Type="http://schemas.openxmlformats.org/officeDocument/2006/relationships/image" Target="../media/image482.png"/><Relationship Id="rId69" Type="http://schemas.openxmlformats.org/officeDocument/2006/relationships/image" Target="../media/image483.png"/><Relationship Id="rId70" Type="http://schemas.openxmlformats.org/officeDocument/2006/relationships/image" Target="../media/image484.png"/><Relationship Id="rId71" Type="http://schemas.openxmlformats.org/officeDocument/2006/relationships/image" Target="../media/image485.png"/><Relationship Id="rId72" Type="http://schemas.openxmlformats.org/officeDocument/2006/relationships/image" Target="../media/image486.png"/><Relationship Id="rId73" Type="http://schemas.openxmlformats.org/officeDocument/2006/relationships/image" Target="../media/image487.png"/><Relationship Id="rId74" Type="http://schemas.openxmlformats.org/officeDocument/2006/relationships/image" Target="../media/image488.png"/><Relationship Id="rId75" Type="http://schemas.openxmlformats.org/officeDocument/2006/relationships/image" Target="../media/image489.png"/><Relationship Id="rId76" Type="http://schemas.openxmlformats.org/officeDocument/2006/relationships/image" Target="../media/image490.png"/><Relationship Id="rId77" Type="http://schemas.openxmlformats.org/officeDocument/2006/relationships/image" Target="../media/image491.png"/><Relationship Id="rId78" Type="http://schemas.openxmlformats.org/officeDocument/2006/relationships/image" Target="../media/image492.png"/><Relationship Id="rId79" Type="http://schemas.openxmlformats.org/officeDocument/2006/relationships/image" Target="../media/image493.png"/><Relationship Id="rId80" Type="http://schemas.openxmlformats.org/officeDocument/2006/relationships/image" Target="../media/image494.png"/><Relationship Id="rId81" Type="http://schemas.openxmlformats.org/officeDocument/2006/relationships/image" Target="../media/image495.png"/><Relationship Id="rId82" Type="http://schemas.openxmlformats.org/officeDocument/2006/relationships/image" Target="../media/image496.png"/><Relationship Id="rId83" Type="http://schemas.openxmlformats.org/officeDocument/2006/relationships/image" Target="../media/image497.png"/><Relationship Id="rId84" Type="http://schemas.openxmlformats.org/officeDocument/2006/relationships/image" Target="../media/image498.png"/><Relationship Id="rId85" Type="http://schemas.openxmlformats.org/officeDocument/2006/relationships/image" Target="../media/image499.png"/><Relationship Id="rId86" Type="http://schemas.openxmlformats.org/officeDocument/2006/relationships/image" Target="../media/image500.png"/><Relationship Id="rId87" Type="http://schemas.openxmlformats.org/officeDocument/2006/relationships/image" Target="../media/image501.png"/><Relationship Id="rId88" Type="http://schemas.openxmlformats.org/officeDocument/2006/relationships/image" Target="../media/image502.png"/><Relationship Id="rId89" Type="http://schemas.openxmlformats.org/officeDocument/2006/relationships/image" Target="../media/image503.png"/><Relationship Id="rId90" Type="http://schemas.openxmlformats.org/officeDocument/2006/relationships/image" Target="../media/image504.png"/><Relationship Id="rId91" Type="http://schemas.openxmlformats.org/officeDocument/2006/relationships/image" Target="../media/image505.png"/><Relationship Id="rId92" Type="http://schemas.openxmlformats.org/officeDocument/2006/relationships/image" Target="../media/image506.png"/><Relationship Id="rId93" Type="http://schemas.openxmlformats.org/officeDocument/2006/relationships/image" Target="../media/image507.png"/><Relationship Id="rId94" Type="http://schemas.openxmlformats.org/officeDocument/2006/relationships/image" Target="../media/image508.png"/><Relationship Id="rId95" Type="http://schemas.openxmlformats.org/officeDocument/2006/relationships/image" Target="../media/image509.png"/><Relationship Id="rId96" Type="http://schemas.openxmlformats.org/officeDocument/2006/relationships/image" Target="../media/image510.png"/><Relationship Id="rId97" Type="http://schemas.openxmlformats.org/officeDocument/2006/relationships/image" Target="../media/image511.png"/><Relationship Id="rId98" Type="http://schemas.openxmlformats.org/officeDocument/2006/relationships/image" Target="../media/image512.png"/><Relationship Id="rId99" Type="http://schemas.openxmlformats.org/officeDocument/2006/relationships/image" Target="../media/image513.png"/><Relationship Id="rId100" Type="http://schemas.openxmlformats.org/officeDocument/2006/relationships/image" Target="../media/image514.png"/><Relationship Id="rId101" Type="http://schemas.openxmlformats.org/officeDocument/2006/relationships/image" Target="../media/image515.png"/><Relationship Id="rId102" Type="http://schemas.openxmlformats.org/officeDocument/2006/relationships/image" Target="../media/image516.png"/><Relationship Id="rId103" Type="http://schemas.openxmlformats.org/officeDocument/2006/relationships/image" Target="../media/image517.png"/><Relationship Id="rId104" Type="http://schemas.openxmlformats.org/officeDocument/2006/relationships/image" Target="../media/image518.png"/><Relationship Id="rId105" Type="http://schemas.openxmlformats.org/officeDocument/2006/relationships/image" Target="../media/image519.png"/><Relationship Id="rId106" Type="http://schemas.openxmlformats.org/officeDocument/2006/relationships/image" Target="../media/image520.png"/><Relationship Id="rId107" Type="http://schemas.openxmlformats.org/officeDocument/2006/relationships/image" Target="../media/image521.png"/><Relationship Id="rId108" Type="http://schemas.openxmlformats.org/officeDocument/2006/relationships/image" Target="../media/image522.png"/><Relationship Id="rId109" Type="http://schemas.openxmlformats.org/officeDocument/2006/relationships/image" Target="../media/image523.png"/><Relationship Id="rId110" Type="http://schemas.openxmlformats.org/officeDocument/2006/relationships/image" Target="../media/image524.png"/><Relationship Id="rId111" Type="http://schemas.openxmlformats.org/officeDocument/2006/relationships/image" Target="../media/image525.png"/><Relationship Id="rId112" Type="http://schemas.openxmlformats.org/officeDocument/2006/relationships/image" Target="../media/image526.png"/><Relationship Id="rId113" Type="http://schemas.openxmlformats.org/officeDocument/2006/relationships/image" Target="../media/image527.png"/><Relationship Id="rId114" Type="http://schemas.openxmlformats.org/officeDocument/2006/relationships/image" Target="../media/image528.png"/><Relationship Id="rId115" Type="http://schemas.openxmlformats.org/officeDocument/2006/relationships/image" Target="../media/image529.png"/><Relationship Id="rId116" Type="http://schemas.openxmlformats.org/officeDocument/2006/relationships/image" Target="../media/image530.png"/><Relationship Id="rId117" Type="http://schemas.openxmlformats.org/officeDocument/2006/relationships/image" Target="../media/image531.png"/><Relationship Id="rId118" Type="http://schemas.openxmlformats.org/officeDocument/2006/relationships/image" Target="../media/image532.png"/><Relationship Id="rId119" Type="http://schemas.openxmlformats.org/officeDocument/2006/relationships/image" Target="../media/image533.png"/><Relationship Id="rId120" Type="http://schemas.openxmlformats.org/officeDocument/2006/relationships/image" Target="../media/image534.png"/><Relationship Id="rId121" Type="http://schemas.openxmlformats.org/officeDocument/2006/relationships/image" Target="../media/image535.png"/><Relationship Id="rId122" Type="http://schemas.openxmlformats.org/officeDocument/2006/relationships/image" Target="../media/image536.png"/><Relationship Id="rId123" Type="http://schemas.openxmlformats.org/officeDocument/2006/relationships/image" Target="../media/image537.png"/><Relationship Id="rId124" Type="http://schemas.openxmlformats.org/officeDocument/2006/relationships/image" Target="../media/image538.png"/><Relationship Id="rId125" Type="http://schemas.openxmlformats.org/officeDocument/2006/relationships/image" Target="../media/image539.png"/><Relationship Id="rId126" Type="http://schemas.openxmlformats.org/officeDocument/2006/relationships/image" Target="../media/image540.png"/><Relationship Id="rId127" Type="http://schemas.openxmlformats.org/officeDocument/2006/relationships/image" Target="../media/image541.png"/><Relationship Id="rId128" Type="http://schemas.openxmlformats.org/officeDocument/2006/relationships/image" Target="../media/image542.png"/><Relationship Id="rId129" Type="http://schemas.openxmlformats.org/officeDocument/2006/relationships/image" Target="../media/image543.png"/><Relationship Id="rId130" Type="http://schemas.openxmlformats.org/officeDocument/2006/relationships/image" Target="../media/image544.png"/><Relationship Id="rId131" Type="http://schemas.openxmlformats.org/officeDocument/2006/relationships/image" Target="../media/image545.png"/><Relationship Id="rId132" Type="http://schemas.openxmlformats.org/officeDocument/2006/relationships/image" Target="../media/image546.png"/><Relationship Id="rId133" Type="http://schemas.openxmlformats.org/officeDocument/2006/relationships/image" Target="../media/image547.png"/><Relationship Id="rId134" Type="http://schemas.openxmlformats.org/officeDocument/2006/relationships/image" Target="../media/image548.png"/><Relationship Id="rId135" Type="http://schemas.openxmlformats.org/officeDocument/2006/relationships/image" Target="../media/image549.png"/><Relationship Id="rId136" Type="http://schemas.openxmlformats.org/officeDocument/2006/relationships/image" Target="../media/image550.png"/><Relationship Id="rId137" Type="http://schemas.openxmlformats.org/officeDocument/2006/relationships/image" Target="../media/image551.png"/><Relationship Id="rId138" Type="http://schemas.openxmlformats.org/officeDocument/2006/relationships/image" Target="../media/image552.png"/>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0</xdr:colOff>
      <xdr:row>1</xdr:row>
      <xdr:rowOff>0</xdr:rowOff>
    </xdr:from>
    <xdr:to>
      <xdr:col>2</xdr:col>
      <xdr:colOff>199800</xdr:colOff>
      <xdr:row>1</xdr:row>
      <xdr:rowOff>199800</xdr:rowOff>
    </xdr:to>
    <xdr:pic>
      <xdr:nvPicPr>
        <xdr:cNvPr id="0" name="image5.png" descr=""/>
        <xdr:cNvPicPr/>
      </xdr:nvPicPr>
      <xdr:blipFill>
        <a:blip r:embed="rId1"/>
        <a:stretch/>
      </xdr:blipFill>
      <xdr:spPr>
        <a:xfrm>
          <a:off x="1843560" y="200160"/>
          <a:ext cx="199800" cy="199800"/>
        </a:xfrm>
        <a:prstGeom prst="rect">
          <a:avLst/>
        </a:prstGeom>
        <a:ln w="0">
          <a:noFill/>
        </a:ln>
      </xdr:spPr>
    </xdr:pic>
    <xdr:clientData/>
  </xdr:twoCellAnchor>
  <xdr:twoCellAnchor editAs="oneCell">
    <xdr:from>
      <xdr:col>2</xdr:col>
      <xdr:colOff>0</xdr:colOff>
      <xdr:row>2</xdr:row>
      <xdr:rowOff>0</xdr:rowOff>
    </xdr:from>
    <xdr:to>
      <xdr:col>2</xdr:col>
      <xdr:colOff>199800</xdr:colOff>
      <xdr:row>2</xdr:row>
      <xdr:rowOff>199800</xdr:rowOff>
    </xdr:to>
    <xdr:pic>
      <xdr:nvPicPr>
        <xdr:cNvPr id="1" name="image11.png" descr=""/>
        <xdr:cNvPicPr/>
      </xdr:nvPicPr>
      <xdr:blipFill>
        <a:blip r:embed="rId2"/>
        <a:stretch/>
      </xdr:blipFill>
      <xdr:spPr>
        <a:xfrm>
          <a:off x="1843560" y="399960"/>
          <a:ext cx="199800" cy="199800"/>
        </a:xfrm>
        <a:prstGeom prst="rect">
          <a:avLst/>
        </a:prstGeom>
        <a:ln w="0">
          <a:noFill/>
        </a:ln>
      </xdr:spPr>
    </xdr:pic>
    <xdr:clientData/>
  </xdr:twoCellAnchor>
  <xdr:twoCellAnchor editAs="oneCell">
    <xdr:from>
      <xdr:col>2</xdr:col>
      <xdr:colOff>0</xdr:colOff>
      <xdr:row>3</xdr:row>
      <xdr:rowOff>0</xdr:rowOff>
    </xdr:from>
    <xdr:to>
      <xdr:col>2</xdr:col>
      <xdr:colOff>199800</xdr:colOff>
      <xdr:row>3</xdr:row>
      <xdr:rowOff>199800</xdr:rowOff>
    </xdr:to>
    <xdr:pic>
      <xdr:nvPicPr>
        <xdr:cNvPr id="2" name="image1.png" descr=""/>
        <xdr:cNvPicPr/>
      </xdr:nvPicPr>
      <xdr:blipFill>
        <a:blip r:embed="rId3"/>
        <a:stretch/>
      </xdr:blipFill>
      <xdr:spPr>
        <a:xfrm>
          <a:off x="1843560" y="600120"/>
          <a:ext cx="199800" cy="199800"/>
        </a:xfrm>
        <a:prstGeom prst="rect">
          <a:avLst/>
        </a:prstGeom>
        <a:ln w="0">
          <a:noFill/>
        </a:ln>
      </xdr:spPr>
    </xdr:pic>
    <xdr:clientData/>
  </xdr:twoCellAnchor>
  <xdr:twoCellAnchor editAs="oneCell">
    <xdr:from>
      <xdr:col>2</xdr:col>
      <xdr:colOff>0</xdr:colOff>
      <xdr:row>4</xdr:row>
      <xdr:rowOff>0</xdr:rowOff>
    </xdr:from>
    <xdr:to>
      <xdr:col>2</xdr:col>
      <xdr:colOff>199800</xdr:colOff>
      <xdr:row>4</xdr:row>
      <xdr:rowOff>199800</xdr:rowOff>
    </xdr:to>
    <xdr:pic>
      <xdr:nvPicPr>
        <xdr:cNvPr id="3" name="image21.png" descr=""/>
        <xdr:cNvPicPr/>
      </xdr:nvPicPr>
      <xdr:blipFill>
        <a:blip r:embed="rId4"/>
        <a:stretch/>
      </xdr:blipFill>
      <xdr:spPr>
        <a:xfrm>
          <a:off x="1843560" y="800280"/>
          <a:ext cx="199800" cy="199800"/>
        </a:xfrm>
        <a:prstGeom prst="rect">
          <a:avLst/>
        </a:prstGeom>
        <a:ln w="0">
          <a:noFill/>
        </a:ln>
      </xdr:spPr>
    </xdr:pic>
    <xdr:clientData/>
  </xdr:twoCellAnchor>
  <xdr:twoCellAnchor editAs="oneCell">
    <xdr:from>
      <xdr:col>2</xdr:col>
      <xdr:colOff>0</xdr:colOff>
      <xdr:row>5</xdr:row>
      <xdr:rowOff>0</xdr:rowOff>
    </xdr:from>
    <xdr:to>
      <xdr:col>2</xdr:col>
      <xdr:colOff>199800</xdr:colOff>
      <xdr:row>5</xdr:row>
      <xdr:rowOff>199800</xdr:rowOff>
    </xdr:to>
    <xdr:pic>
      <xdr:nvPicPr>
        <xdr:cNvPr id="4" name="image14.png" descr=""/>
        <xdr:cNvPicPr/>
      </xdr:nvPicPr>
      <xdr:blipFill>
        <a:blip r:embed="rId5"/>
        <a:stretch/>
      </xdr:blipFill>
      <xdr:spPr>
        <a:xfrm>
          <a:off x="1843560" y="1000080"/>
          <a:ext cx="199800" cy="199800"/>
        </a:xfrm>
        <a:prstGeom prst="rect">
          <a:avLst/>
        </a:prstGeom>
        <a:ln w="0">
          <a:noFill/>
        </a:ln>
      </xdr:spPr>
    </xdr:pic>
    <xdr:clientData/>
  </xdr:twoCellAnchor>
  <xdr:twoCellAnchor editAs="oneCell">
    <xdr:from>
      <xdr:col>2</xdr:col>
      <xdr:colOff>0</xdr:colOff>
      <xdr:row>6</xdr:row>
      <xdr:rowOff>0</xdr:rowOff>
    </xdr:from>
    <xdr:to>
      <xdr:col>2</xdr:col>
      <xdr:colOff>199800</xdr:colOff>
      <xdr:row>6</xdr:row>
      <xdr:rowOff>199800</xdr:rowOff>
    </xdr:to>
    <xdr:pic>
      <xdr:nvPicPr>
        <xdr:cNvPr id="5" name="image22.png" descr=""/>
        <xdr:cNvPicPr/>
      </xdr:nvPicPr>
      <xdr:blipFill>
        <a:blip r:embed="rId6"/>
        <a:stretch/>
      </xdr:blipFill>
      <xdr:spPr>
        <a:xfrm>
          <a:off x="1843560" y="1200240"/>
          <a:ext cx="199800" cy="199800"/>
        </a:xfrm>
        <a:prstGeom prst="rect">
          <a:avLst/>
        </a:prstGeom>
        <a:ln w="0">
          <a:noFill/>
        </a:ln>
      </xdr:spPr>
    </xdr:pic>
    <xdr:clientData/>
  </xdr:twoCellAnchor>
  <xdr:twoCellAnchor editAs="oneCell">
    <xdr:from>
      <xdr:col>2</xdr:col>
      <xdr:colOff>0</xdr:colOff>
      <xdr:row>7</xdr:row>
      <xdr:rowOff>0</xdr:rowOff>
    </xdr:from>
    <xdr:to>
      <xdr:col>2</xdr:col>
      <xdr:colOff>199800</xdr:colOff>
      <xdr:row>7</xdr:row>
      <xdr:rowOff>199800</xdr:rowOff>
    </xdr:to>
    <xdr:pic>
      <xdr:nvPicPr>
        <xdr:cNvPr id="6" name="image8.png" descr=""/>
        <xdr:cNvPicPr/>
      </xdr:nvPicPr>
      <xdr:blipFill>
        <a:blip r:embed="rId7"/>
        <a:stretch/>
      </xdr:blipFill>
      <xdr:spPr>
        <a:xfrm>
          <a:off x="1843560" y="1400040"/>
          <a:ext cx="199800" cy="199800"/>
        </a:xfrm>
        <a:prstGeom prst="rect">
          <a:avLst/>
        </a:prstGeom>
        <a:ln w="0">
          <a:noFill/>
        </a:ln>
      </xdr:spPr>
    </xdr:pic>
    <xdr:clientData/>
  </xdr:twoCellAnchor>
  <xdr:twoCellAnchor editAs="oneCell">
    <xdr:from>
      <xdr:col>2</xdr:col>
      <xdr:colOff>0</xdr:colOff>
      <xdr:row>8</xdr:row>
      <xdr:rowOff>0</xdr:rowOff>
    </xdr:from>
    <xdr:to>
      <xdr:col>2</xdr:col>
      <xdr:colOff>199800</xdr:colOff>
      <xdr:row>8</xdr:row>
      <xdr:rowOff>199800</xdr:rowOff>
    </xdr:to>
    <xdr:pic>
      <xdr:nvPicPr>
        <xdr:cNvPr id="7" name="image49.png" descr=""/>
        <xdr:cNvPicPr/>
      </xdr:nvPicPr>
      <xdr:blipFill>
        <a:blip r:embed="rId8"/>
        <a:stretch/>
      </xdr:blipFill>
      <xdr:spPr>
        <a:xfrm>
          <a:off x="1843560" y="1600200"/>
          <a:ext cx="199800" cy="199800"/>
        </a:xfrm>
        <a:prstGeom prst="rect">
          <a:avLst/>
        </a:prstGeom>
        <a:ln w="0">
          <a:noFill/>
        </a:ln>
      </xdr:spPr>
    </xdr:pic>
    <xdr:clientData/>
  </xdr:twoCellAnchor>
  <xdr:twoCellAnchor editAs="oneCell">
    <xdr:from>
      <xdr:col>2</xdr:col>
      <xdr:colOff>0</xdr:colOff>
      <xdr:row>9</xdr:row>
      <xdr:rowOff>0</xdr:rowOff>
    </xdr:from>
    <xdr:to>
      <xdr:col>2</xdr:col>
      <xdr:colOff>199800</xdr:colOff>
      <xdr:row>9</xdr:row>
      <xdr:rowOff>199800</xdr:rowOff>
    </xdr:to>
    <xdr:pic>
      <xdr:nvPicPr>
        <xdr:cNvPr id="8" name="image4.png" descr=""/>
        <xdr:cNvPicPr/>
      </xdr:nvPicPr>
      <xdr:blipFill>
        <a:blip r:embed="rId9"/>
        <a:stretch/>
      </xdr:blipFill>
      <xdr:spPr>
        <a:xfrm>
          <a:off x="1843560" y="1800360"/>
          <a:ext cx="199800" cy="199800"/>
        </a:xfrm>
        <a:prstGeom prst="rect">
          <a:avLst/>
        </a:prstGeom>
        <a:ln w="0">
          <a:noFill/>
        </a:ln>
      </xdr:spPr>
    </xdr:pic>
    <xdr:clientData/>
  </xdr:twoCellAnchor>
  <xdr:twoCellAnchor editAs="oneCell">
    <xdr:from>
      <xdr:col>2</xdr:col>
      <xdr:colOff>0</xdr:colOff>
      <xdr:row>10</xdr:row>
      <xdr:rowOff>0</xdr:rowOff>
    </xdr:from>
    <xdr:to>
      <xdr:col>2</xdr:col>
      <xdr:colOff>199800</xdr:colOff>
      <xdr:row>10</xdr:row>
      <xdr:rowOff>199800</xdr:rowOff>
    </xdr:to>
    <xdr:pic>
      <xdr:nvPicPr>
        <xdr:cNvPr id="9" name="image13.png" descr=""/>
        <xdr:cNvPicPr/>
      </xdr:nvPicPr>
      <xdr:blipFill>
        <a:blip r:embed="rId10"/>
        <a:stretch/>
      </xdr:blipFill>
      <xdr:spPr>
        <a:xfrm>
          <a:off x="1843560" y="2000160"/>
          <a:ext cx="199800" cy="199800"/>
        </a:xfrm>
        <a:prstGeom prst="rect">
          <a:avLst/>
        </a:prstGeom>
        <a:ln w="0">
          <a:noFill/>
        </a:ln>
      </xdr:spPr>
    </xdr:pic>
    <xdr:clientData/>
  </xdr:twoCellAnchor>
  <xdr:twoCellAnchor editAs="oneCell">
    <xdr:from>
      <xdr:col>2</xdr:col>
      <xdr:colOff>0</xdr:colOff>
      <xdr:row>11</xdr:row>
      <xdr:rowOff>0</xdr:rowOff>
    </xdr:from>
    <xdr:to>
      <xdr:col>2</xdr:col>
      <xdr:colOff>199800</xdr:colOff>
      <xdr:row>11</xdr:row>
      <xdr:rowOff>199800</xdr:rowOff>
    </xdr:to>
    <xdr:pic>
      <xdr:nvPicPr>
        <xdr:cNvPr id="10" name="image12.png" descr=""/>
        <xdr:cNvPicPr/>
      </xdr:nvPicPr>
      <xdr:blipFill>
        <a:blip r:embed="rId11"/>
        <a:stretch/>
      </xdr:blipFill>
      <xdr:spPr>
        <a:xfrm>
          <a:off x="1843560" y="2200320"/>
          <a:ext cx="199800" cy="199800"/>
        </a:xfrm>
        <a:prstGeom prst="rect">
          <a:avLst/>
        </a:prstGeom>
        <a:ln w="0">
          <a:noFill/>
        </a:ln>
      </xdr:spPr>
    </xdr:pic>
    <xdr:clientData/>
  </xdr:twoCellAnchor>
  <xdr:twoCellAnchor editAs="oneCell">
    <xdr:from>
      <xdr:col>2</xdr:col>
      <xdr:colOff>0</xdr:colOff>
      <xdr:row>12</xdr:row>
      <xdr:rowOff>0</xdr:rowOff>
    </xdr:from>
    <xdr:to>
      <xdr:col>2</xdr:col>
      <xdr:colOff>199800</xdr:colOff>
      <xdr:row>12</xdr:row>
      <xdr:rowOff>199800</xdr:rowOff>
    </xdr:to>
    <xdr:pic>
      <xdr:nvPicPr>
        <xdr:cNvPr id="11" name="image26.png" descr=""/>
        <xdr:cNvPicPr/>
      </xdr:nvPicPr>
      <xdr:blipFill>
        <a:blip r:embed="rId12"/>
        <a:stretch/>
      </xdr:blipFill>
      <xdr:spPr>
        <a:xfrm>
          <a:off x="1843560" y="2400480"/>
          <a:ext cx="199800" cy="199800"/>
        </a:xfrm>
        <a:prstGeom prst="rect">
          <a:avLst/>
        </a:prstGeom>
        <a:ln w="0">
          <a:noFill/>
        </a:ln>
      </xdr:spPr>
    </xdr:pic>
    <xdr:clientData/>
  </xdr:twoCellAnchor>
  <xdr:twoCellAnchor editAs="oneCell">
    <xdr:from>
      <xdr:col>2</xdr:col>
      <xdr:colOff>0</xdr:colOff>
      <xdr:row>13</xdr:row>
      <xdr:rowOff>0</xdr:rowOff>
    </xdr:from>
    <xdr:to>
      <xdr:col>2</xdr:col>
      <xdr:colOff>199800</xdr:colOff>
      <xdr:row>13</xdr:row>
      <xdr:rowOff>199800</xdr:rowOff>
    </xdr:to>
    <xdr:pic>
      <xdr:nvPicPr>
        <xdr:cNvPr id="12" name="image10.png" descr=""/>
        <xdr:cNvPicPr/>
      </xdr:nvPicPr>
      <xdr:blipFill>
        <a:blip r:embed="rId13"/>
        <a:stretch/>
      </xdr:blipFill>
      <xdr:spPr>
        <a:xfrm>
          <a:off x="1843560" y="2600280"/>
          <a:ext cx="199800" cy="199800"/>
        </a:xfrm>
        <a:prstGeom prst="rect">
          <a:avLst/>
        </a:prstGeom>
        <a:ln w="0">
          <a:noFill/>
        </a:ln>
      </xdr:spPr>
    </xdr:pic>
    <xdr:clientData/>
  </xdr:twoCellAnchor>
  <xdr:twoCellAnchor editAs="oneCell">
    <xdr:from>
      <xdr:col>2</xdr:col>
      <xdr:colOff>0</xdr:colOff>
      <xdr:row>14</xdr:row>
      <xdr:rowOff>0</xdr:rowOff>
    </xdr:from>
    <xdr:to>
      <xdr:col>2</xdr:col>
      <xdr:colOff>199800</xdr:colOff>
      <xdr:row>14</xdr:row>
      <xdr:rowOff>199800</xdr:rowOff>
    </xdr:to>
    <xdr:pic>
      <xdr:nvPicPr>
        <xdr:cNvPr id="13" name="image20.png" descr=""/>
        <xdr:cNvPicPr/>
      </xdr:nvPicPr>
      <xdr:blipFill>
        <a:blip r:embed="rId14"/>
        <a:stretch/>
      </xdr:blipFill>
      <xdr:spPr>
        <a:xfrm>
          <a:off x="1843560" y="2800440"/>
          <a:ext cx="199800" cy="199800"/>
        </a:xfrm>
        <a:prstGeom prst="rect">
          <a:avLst/>
        </a:prstGeom>
        <a:ln w="0">
          <a:noFill/>
        </a:ln>
      </xdr:spPr>
    </xdr:pic>
    <xdr:clientData/>
  </xdr:twoCellAnchor>
  <xdr:twoCellAnchor editAs="oneCell">
    <xdr:from>
      <xdr:col>2</xdr:col>
      <xdr:colOff>0</xdr:colOff>
      <xdr:row>15</xdr:row>
      <xdr:rowOff>0</xdr:rowOff>
    </xdr:from>
    <xdr:to>
      <xdr:col>2</xdr:col>
      <xdr:colOff>199800</xdr:colOff>
      <xdr:row>15</xdr:row>
      <xdr:rowOff>199800</xdr:rowOff>
    </xdr:to>
    <xdr:pic>
      <xdr:nvPicPr>
        <xdr:cNvPr id="14" name="image2.png" descr=""/>
        <xdr:cNvPicPr/>
      </xdr:nvPicPr>
      <xdr:blipFill>
        <a:blip r:embed="rId15"/>
        <a:stretch/>
      </xdr:blipFill>
      <xdr:spPr>
        <a:xfrm>
          <a:off x="1843560" y="3000240"/>
          <a:ext cx="199800" cy="199800"/>
        </a:xfrm>
        <a:prstGeom prst="rect">
          <a:avLst/>
        </a:prstGeom>
        <a:ln w="0">
          <a:noFill/>
        </a:ln>
      </xdr:spPr>
    </xdr:pic>
    <xdr:clientData/>
  </xdr:twoCellAnchor>
  <xdr:twoCellAnchor editAs="oneCell">
    <xdr:from>
      <xdr:col>2</xdr:col>
      <xdr:colOff>0</xdr:colOff>
      <xdr:row>16</xdr:row>
      <xdr:rowOff>0</xdr:rowOff>
    </xdr:from>
    <xdr:to>
      <xdr:col>2</xdr:col>
      <xdr:colOff>199800</xdr:colOff>
      <xdr:row>16</xdr:row>
      <xdr:rowOff>199800</xdr:rowOff>
    </xdr:to>
    <xdr:pic>
      <xdr:nvPicPr>
        <xdr:cNvPr id="15" name="image18.png" descr=""/>
        <xdr:cNvPicPr/>
      </xdr:nvPicPr>
      <xdr:blipFill>
        <a:blip r:embed="rId16"/>
        <a:stretch/>
      </xdr:blipFill>
      <xdr:spPr>
        <a:xfrm>
          <a:off x="1843560" y="3200400"/>
          <a:ext cx="199800" cy="199800"/>
        </a:xfrm>
        <a:prstGeom prst="rect">
          <a:avLst/>
        </a:prstGeom>
        <a:ln w="0">
          <a:noFill/>
        </a:ln>
      </xdr:spPr>
    </xdr:pic>
    <xdr:clientData/>
  </xdr:twoCellAnchor>
  <xdr:twoCellAnchor editAs="oneCell">
    <xdr:from>
      <xdr:col>2</xdr:col>
      <xdr:colOff>0</xdr:colOff>
      <xdr:row>17</xdr:row>
      <xdr:rowOff>0</xdr:rowOff>
    </xdr:from>
    <xdr:to>
      <xdr:col>2</xdr:col>
      <xdr:colOff>199800</xdr:colOff>
      <xdr:row>17</xdr:row>
      <xdr:rowOff>199800</xdr:rowOff>
    </xdr:to>
    <xdr:pic>
      <xdr:nvPicPr>
        <xdr:cNvPr id="16" name="image16.png" descr=""/>
        <xdr:cNvPicPr/>
      </xdr:nvPicPr>
      <xdr:blipFill>
        <a:blip r:embed="rId17"/>
        <a:stretch/>
      </xdr:blipFill>
      <xdr:spPr>
        <a:xfrm>
          <a:off x="1843560" y="3400560"/>
          <a:ext cx="199800" cy="199800"/>
        </a:xfrm>
        <a:prstGeom prst="rect">
          <a:avLst/>
        </a:prstGeom>
        <a:ln w="0">
          <a:noFill/>
        </a:ln>
      </xdr:spPr>
    </xdr:pic>
    <xdr:clientData/>
  </xdr:twoCellAnchor>
  <xdr:twoCellAnchor editAs="oneCell">
    <xdr:from>
      <xdr:col>2</xdr:col>
      <xdr:colOff>0</xdr:colOff>
      <xdr:row>18</xdr:row>
      <xdr:rowOff>0</xdr:rowOff>
    </xdr:from>
    <xdr:to>
      <xdr:col>2</xdr:col>
      <xdr:colOff>199800</xdr:colOff>
      <xdr:row>18</xdr:row>
      <xdr:rowOff>199800</xdr:rowOff>
    </xdr:to>
    <xdr:pic>
      <xdr:nvPicPr>
        <xdr:cNvPr id="17" name="image37.png" descr=""/>
        <xdr:cNvPicPr/>
      </xdr:nvPicPr>
      <xdr:blipFill>
        <a:blip r:embed="rId18"/>
        <a:stretch/>
      </xdr:blipFill>
      <xdr:spPr>
        <a:xfrm>
          <a:off x="1843560" y="3600360"/>
          <a:ext cx="199800" cy="199800"/>
        </a:xfrm>
        <a:prstGeom prst="rect">
          <a:avLst/>
        </a:prstGeom>
        <a:ln w="0">
          <a:noFill/>
        </a:ln>
      </xdr:spPr>
    </xdr:pic>
    <xdr:clientData/>
  </xdr:twoCellAnchor>
  <xdr:twoCellAnchor editAs="oneCell">
    <xdr:from>
      <xdr:col>2</xdr:col>
      <xdr:colOff>0</xdr:colOff>
      <xdr:row>19</xdr:row>
      <xdr:rowOff>0</xdr:rowOff>
    </xdr:from>
    <xdr:to>
      <xdr:col>2</xdr:col>
      <xdr:colOff>199800</xdr:colOff>
      <xdr:row>19</xdr:row>
      <xdr:rowOff>199800</xdr:rowOff>
    </xdr:to>
    <xdr:pic>
      <xdr:nvPicPr>
        <xdr:cNvPr id="18" name="image3.png" descr=""/>
        <xdr:cNvPicPr/>
      </xdr:nvPicPr>
      <xdr:blipFill>
        <a:blip r:embed="rId19"/>
        <a:stretch/>
      </xdr:blipFill>
      <xdr:spPr>
        <a:xfrm>
          <a:off x="1843560" y="3800520"/>
          <a:ext cx="199800" cy="199800"/>
        </a:xfrm>
        <a:prstGeom prst="rect">
          <a:avLst/>
        </a:prstGeom>
        <a:ln w="0">
          <a:noFill/>
        </a:ln>
      </xdr:spPr>
    </xdr:pic>
    <xdr:clientData/>
  </xdr:twoCellAnchor>
  <xdr:twoCellAnchor editAs="oneCell">
    <xdr:from>
      <xdr:col>2</xdr:col>
      <xdr:colOff>0</xdr:colOff>
      <xdr:row>20</xdr:row>
      <xdr:rowOff>0</xdr:rowOff>
    </xdr:from>
    <xdr:to>
      <xdr:col>2</xdr:col>
      <xdr:colOff>199800</xdr:colOff>
      <xdr:row>20</xdr:row>
      <xdr:rowOff>199800</xdr:rowOff>
    </xdr:to>
    <xdr:pic>
      <xdr:nvPicPr>
        <xdr:cNvPr id="19" name="image15.png" descr=""/>
        <xdr:cNvPicPr/>
      </xdr:nvPicPr>
      <xdr:blipFill>
        <a:blip r:embed="rId20"/>
        <a:stretch/>
      </xdr:blipFill>
      <xdr:spPr>
        <a:xfrm>
          <a:off x="1843560" y="4000680"/>
          <a:ext cx="199800" cy="199800"/>
        </a:xfrm>
        <a:prstGeom prst="rect">
          <a:avLst/>
        </a:prstGeom>
        <a:ln w="0">
          <a:noFill/>
        </a:ln>
      </xdr:spPr>
    </xdr:pic>
    <xdr:clientData/>
  </xdr:twoCellAnchor>
  <xdr:twoCellAnchor editAs="oneCell">
    <xdr:from>
      <xdr:col>2</xdr:col>
      <xdr:colOff>0</xdr:colOff>
      <xdr:row>21</xdr:row>
      <xdr:rowOff>0</xdr:rowOff>
    </xdr:from>
    <xdr:to>
      <xdr:col>2</xdr:col>
      <xdr:colOff>199800</xdr:colOff>
      <xdr:row>21</xdr:row>
      <xdr:rowOff>199800</xdr:rowOff>
    </xdr:to>
    <xdr:pic>
      <xdr:nvPicPr>
        <xdr:cNvPr id="20" name="image6.png" descr=""/>
        <xdr:cNvPicPr/>
      </xdr:nvPicPr>
      <xdr:blipFill>
        <a:blip r:embed="rId21"/>
        <a:stretch/>
      </xdr:blipFill>
      <xdr:spPr>
        <a:xfrm>
          <a:off x="1843560" y="4200480"/>
          <a:ext cx="199800" cy="199800"/>
        </a:xfrm>
        <a:prstGeom prst="rect">
          <a:avLst/>
        </a:prstGeom>
        <a:ln w="0">
          <a:noFill/>
        </a:ln>
      </xdr:spPr>
    </xdr:pic>
    <xdr:clientData/>
  </xdr:twoCellAnchor>
  <xdr:twoCellAnchor editAs="oneCell">
    <xdr:from>
      <xdr:col>2</xdr:col>
      <xdr:colOff>0</xdr:colOff>
      <xdr:row>22</xdr:row>
      <xdr:rowOff>0</xdr:rowOff>
    </xdr:from>
    <xdr:to>
      <xdr:col>2</xdr:col>
      <xdr:colOff>199800</xdr:colOff>
      <xdr:row>22</xdr:row>
      <xdr:rowOff>199800</xdr:rowOff>
    </xdr:to>
    <xdr:pic>
      <xdr:nvPicPr>
        <xdr:cNvPr id="21" name="image19.png" descr=""/>
        <xdr:cNvPicPr/>
      </xdr:nvPicPr>
      <xdr:blipFill>
        <a:blip r:embed="rId22"/>
        <a:stretch/>
      </xdr:blipFill>
      <xdr:spPr>
        <a:xfrm>
          <a:off x="1843560" y="4400640"/>
          <a:ext cx="199800" cy="199800"/>
        </a:xfrm>
        <a:prstGeom prst="rect">
          <a:avLst/>
        </a:prstGeom>
        <a:ln w="0">
          <a:noFill/>
        </a:ln>
      </xdr:spPr>
    </xdr:pic>
    <xdr:clientData/>
  </xdr:twoCellAnchor>
  <xdr:twoCellAnchor editAs="oneCell">
    <xdr:from>
      <xdr:col>2</xdr:col>
      <xdr:colOff>0</xdr:colOff>
      <xdr:row>23</xdr:row>
      <xdr:rowOff>0</xdr:rowOff>
    </xdr:from>
    <xdr:to>
      <xdr:col>2</xdr:col>
      <xdr:colOff>199800</xdr:colOff>
      <xdr:row>23</xdr:row>
      <xdr:rowOff>199800</xdr:rowOff>
    </xdr:to>
    <xdr:pic>
      <xdr:nvPicPr>
        <xdr:cNvPr id="22" name="image17.png" descr=""/>
        <xdr:cNvPicPr/>
      </xdr:nvPicPr>
      <xdr:blipFill>
        <a:blip r:embed="rId23"/>
        <a:stretch/>
      </xdr:blipFill>
      <xdr:spPr>
        <a:xfrm>
          <a:off x="1843560" y="4600440"/>
          <a:ext cx="199800" cy="199800"/>
        </a:xfrm>
        <a:prstGeom prst="rect">
          <a:avLst/>
        </a:prstGeom>
        <a:ln w="0">
          <a:noFill/>
        </a:ln>
      </xdr:spPr>
    </xdr:pic>
    <xdr:clientData/>
  </xdr:twoCellAnchor>
  <xdr:twoCellAnchor editAs="oneCell">
    <xdr:from>
      <xdr:col>2</xdr:col>
      <xdr:colOff>0</xdr:colOff>
      <xdr:row>24</xdr:row>
      <xdr:rowOff>0</xdr:rowOff>
    </xdr:from>
    <xdr:to>
      <xdr:col>2</xdr:col>
      <xdr:colOff>199800</xdr:colOff>
      <xdr:row>24</xdr:row>
      <xdr:rowOff>199800</xdr:rowOff>
    </xdr:to>
    <xdr:pic>
      <xdr:nvPicPr>
        <xdr:cNvPr id="23" name="image7.png" descr=""/>
        <xdr:cNvPicPr/>
      </xdr:nvPicPr>
      <xdr:blipFill>
        <a:blip r:embed="rId24"/>
        <a:stretch/>
      </xdr:blipFill>
      <xdr:spPr>
        <a:xfrm>
          <a:off x="1843560" y="4800600"/>
          <a:ext cx="199800" cy="199800"/>
        </a:xfrm>
        <a:prstGeom prst="rect">
          <a:avLst/>
        </a:prstGeom>
        <a:ln w="0">
          <a:noFill/>
        </a:ln>
      </xdr:spPr>
    </xdr:pic>
    <xdr:clientData/>
  </xdr:twoCellAnchor>
  <xdr:twoCellAnchor editAs="oneCell">
    <xdr:from>
      <xdr:col>2</xdr:col>
      <xdr:colOff>0</xdr:colOff>
      <xdr:row>25</xdr:row>
      <xdr:rowOff>0</xdr:rowOff>
    </xdr:from>
    <xdr:to>
      <xdr:col>2</xdr:col>
      <xdr:colOff>199800</xdr:colOff>
      <xdr:row>25</xdr:row>
      <xdr:rowOff>199800</xdr:rowOff>
    </xdr:to>
    <xdr:pic>
      <xdr:nvPicPr>
        <xdr:cNvPr id="24" name="image9.png" descr=""/>
        <xdr:cNvPicPr/>
      </xdr:nvPicPr>
      <xdr:blipFill>
        <a:blip r:embed="rId25"/>
        <a:stretch/>
      </xdr:blipFill>
      <xdr:spPr>
        <a:xfrm>
          <a:off x="1843560" y="5000760"/>
          <a:ext cx="199800" cy="199800"/>
        </a:xfrm>
        <a:prstGeom prst="rect">
          <a:avLst/>
        </a:prstGeom>
        <a:ln w="0">
          <a:noFill/>
        </a:ln>
      </xdr:spPr>
    </xdr:pic>
    <xdr:clientData/>
  </xdr:twoCellAnchor>
  <xdr:twoCellAnchor editAs="oneCell">
    <xdr:from>
      <xdr:col>2</xdr:col>
      <xdr:colOff>0</xdr:colOff>
      <xdr:row>26</xdr:row>
      <xdr:rowOff>0</xdr:rowOff>
    </xdr:from>
    <xdr:to>
      <xdr:col>2</xdr:col>
      <xdr:colOff>199800</xdr:colOff>
      <xdr:row>26</xdr:row>
      <xdr:rowOff>199800</xdr:rowOff>
    </xdr:to>
    <xdr:pic>
      <xdr:nvPicPr>
        <xdr:cNvPr id="25" name="image42.png" descr=""/>
        <xdr:cNvPicPr/>
      </xdr:nvPicPr>
      <xdr:blipFill>
        <a:blip r:embed="rId26"/>
        <a:stretch/>
      </xdr:blipFill>
      <xdr:spPr>
        <a:xfrm>
          <a:off x="1843560" y="5200560"/>
          <a:ext cx="199800" cy="199800"/>
        </a:xfrm>
        <a:prstGeom prst="rect">
          <a:avLst/>
        </a:prstGeom>
        <a:ln w="0">
          <a:noFill/>
        </a:ln>
      </xdr:spPr>
    </xdr:pic>
    <xdr:clientData/>
  </xdr:twoCellAnchor>
  <xdr:twoCellAnchor editAs="oneCell">
    <xdr:from>
      <xdr:col>2</xdr:col>
      <xdr:colOff>0</xdr:colOff>
      <xdr:row>27</xdr:row>
      <xdr:rowOff>0</xdr:rowOff>
    </xdr:from>
    <xdr:to>
      <xdr:col>2</xdr:col>
      <xdr:colOff>199800</xdr:colOff>
      <xdr:row>27</xdr:row>
      <xdr:rowOff>199800</xdr:rowOff>
    </xdr:to>
    <xdr:pic>
      <xdr:nvPicPr>
        <xdr:cNvPr id="26" name="image25.png" descr=""/>
        <xdr:cNvPicPr/>
      </xdr:nvPicPr>
      <xdr:blipFill>
        <a:blip r:embed="rId27"/>
        <a:stretch/>
      </xdr:blipFill>
      <xdr:spPr>
        <a:xfrm>
          <a:off x="1843560" y="5400720"/>
          <a:ext cx="199800" cy="199800"/>
        </a:xfrm>
        <a:prstGeom prst="rect">
          <a:avLst/>
        </a:prstGeom>
        <a:ln w="0">
          <a:noFill/>
        </a:ln>
      </xdr:spPr>
    </xdr:pic>
    <xdr:clientData/>
  </xdr:twoCellAnchor>
  <xdr:twoCellAnchor editAs="oneCell">
    <xdr:from>
      <xdr:col>2</xdr:col>
      <xdr:colOff>0</xdr:colOff>
      <xdr:row>28</xdr:row>
      <xdr:rowOff>0</xdr:rowOff>
    </xdr:from>
    <xdr:to>
      <xdr:col>2</xdr:col>
      <xdr:colOff>199800</xdr:colOff>
      <xdr:row>28</xdr:row>
      <xdr:rowOff>199800</xdr:rowOff>
    </xdr:to>
    <xdr:pic>
      <xdr:nvPicPr>
        <xdr:cNvPr id="27" name="image40.png" descr=""/>
        <xdr:cNvPicPr/>
      </xdr:nvPicPr>
      <xdr:blipFill>
        <a:blip r:embed="rId28"/>
        <a:stretch/>
      </xdr:blipFill>
      <xdr:spPr>
        <a:xfrm>
          <a:off x="1843560" y="5600880"/>
          <a:ext cx="199800" cy="199800"/>
        </a:xfrm>
        <a:prstGeom prst="rect">
          <a:avLst/>
        </a:prstGeom>
        <a:ln w="0">
          <a:noFill/>
        </a:ln>
      </xdr:spPr>
    </xdr:pic>
    <xdr:clientData/>
  </xdr:twoCellAnchor>
  <xdr:twoCellAnchor editAs="oneCell">
    <xdr:from>
      <xdr:col>2</xdr:col>
      <xdr:colOff>0</xdr:colOff>
      <xdr:row>29</xdr:row>
      <xdr:rowOff>0</xdr:rowOff>
    </xdr:from>
    <xdr:to>
      <xdr:col>2</xdr:col>
      <xdr:colOff>199800</xdr:colOff>
      <xdr:row>29</xdr:row>
      <xdr:rowOff>199800</xdr:rowOff>
    </xdr:to>
    <xdr:pic>
      <xdr:nvPicPr>
        <xdr:cNvPr id="28" name="image28.png" descr=""/>
        <xdr:cNvPicPr/>
      </xdr:nvPicPr>
      <xdr:blipFill>
        <a:blip r:embed="rId29"/>
        <a:stretch/>
      </xdr:blipFill>
      <xdr:spPr>
        <a:xfrm>
          <a:off x="1843560" y="5800680"/>
          <a:ext cx="199800" cy="199800"/>
        </a:xfrm>
        <a:prstGeom prst="rect">
          <a:avLst/>
        </a:prstGeom>
        <a:ln w="0">
          <a:noFill/>
        </a:ln>
      </xdr:spPr>
    </xdr:pic>
    <xdr:clientData/>
  </xdr:twoCellAnchor>
  <xdr:twoCellAnchor editAs="oneCell">
    <xdr:from>
      <xdr:col>2</xdr:col>
      <xdr:colOff>0</xdr:colOff>
      <xdr:row>30</xdr:row>
      <xdr:rowOff>0</xdr:rowOff>
    </xdr:from>
    <xdr:to>
      <xdr:col>2</xdr:col>
      <xdr:colOff>199800</xdr:colOff>
      <xdr:row>30</xdr:row>
      <xdr:rowOff>199800</xdr:rowOff>
    </xdr:to>
    <xdr:pic>
      <xdr:nvPicPr>
        <xdr:cNvPr id="29" name="image30.png" descr=""/>
        <xdr:cNvPicPr/>
      </xdr:nvPicPr>
      <xdr:blipFill>
        <a:blip r:embed="rId30"/>
        <a:stretch/>
      </xdr:blipFill>
      <xdr:spPr>
        <a:xfrm>
          <a:off x="1843560" y="6000840"/>
          <a:ext cx="199800" cy="199800"/>
        </a:xfrm>
        <a:prstGeom prst="rect">
          <a:avLst/>
        </a:prstGeom>
        <a:ln w="0">
          <a:noFill/>
        </a:ln>
      </xdr:spPr>
    </xdr:pic>
    <xdr:clientData/>
  </xdr:twoCellAnchor>
  <xdr:twoCellAnchor editAs="oneCell">
    <xdr:from>
      <xdr:col>2</xdr:col>
      <xdr:colOff>0</xdr:colOff>
      <xdr:row>31</xdr:row>
      <xdr:rowOff>0</xdr:rowOff>
    </xdr:from>
    <xdr:to>
      <xdr:col>2</xdr:col>
      <xdr:colOff>199800</xdr:colOff>
      <xdr:row>31</xdr:row>
      <xdr:rowOff>199800</xdr:rowOff>
    </xdr:to>
    <xdr:pic>
      <xdr:nvPicPr>
        <xdr:cNvPr id="30" name="image43.png" descr=""/>
        <xdr:cNvPicPr/>
      </xdr:nvPicPr>
      <xdr:blipFill>
        <a:blip r:embed="rId31"/>
        <a:stretch/>
      </xdr:blipFill>
      <xdr:spPr>
        <a:xfrm>
          <a:off x="1843560" y="6200640"/>
          <a:ext cx="199800" cy="199800"/>
        </a:xfrm>
        <a:prstGeom prst="rect">
          <a:avLst/>
        </a:prstGeom>
        <a:ln w="0">
          <a:noFill/>
        </a:ln>
      </xdr:spPr>
    </xdr:pic>
    <xdr:clientData/>
  </xdr:twoCellAnchor>
  <xdr:twoCellAnchor editAs="oneCell">
    <xdr:from>
      <xdr:col>2</xdr:col>
      <xdr:colOff>0</xdr:colOff>
      <xdr:row>32</xdr:row>
      <xdr:rowOff>0</xdr:rowOff>
    </xdr:from>
    <xdr:to>
      <xdr:col>2</xdr:col>
      <xdr:colOff>199800</xdr:colOff>
      <xdr:row>32</xdr:row>
      <xdr:rowOff>199800</xdr:rowOff>
    </xdr:to>
    <xdr:pic>
      <xdr:nvPicPr>
        <xdr:cNvPr id="31" name="image70.png" descr=""/>
        <xdr:cNvPicPr/>
      </xdr:nvPicPr>
      <xdr:blipFill>
        <a:blip r:embed="rId32"/>
        <a:stretch/>
      </xdr:blipFill>
      <xdr:spPr>
        <a:xfrm>
          <a:off x="1843560" y="6400800"/>
          <a:ext cx="199800" cy="199800"/>
        </a:xfrm>
        <a:prstGeom prst="rect">
          <a:avLst/>
        </a:prstGeom>
        <a:ln w="0">
          <a:noFill/>
        </a:ln>
      </xdr:spPr>
    </xdr:pic>
    <xdr:clientData/>
  </xdr:twoCellAnchor>
  <xdr:twoCellAnchor editAs="oneCell">
    <xdr:from>
      <xdr:col>2</xdr:col>
      <xdr:colOff>0</xdr:colOff>
      <xdr:row>33</xdr:row>
      <xdr:rowOff>0</xdr:rowOff>
    </xdr:from>
    <xdr:to>
      <xdr:col>2</xdr:col>
      <xdr:colOff>199800</xdr:colOff>
      <xdr:row>33</xdr:row>
      <xdr:rowOff>199800</xdr:rowOff>
    </xdr:to>
    <xdr:pic>
      <xdr:nvPicPr>
        <xdr:cNvPr id="32" name="image106.png" descr=""/>
        <xdr:cNvPicPr/>
      </xdr:nvPicPr>
      <xdr:blipFill>
        <a:blip r:embed="rId33"/>
        <a:stretch/>
      </xdr:blipFill>
      <xdr:spPr>
        <a:xfrm>
          <a:off x="1843560" y="6600960"/>
          <a:ext cx="199800" cy="199800"/>
        </a:xfrm>
        <a:prstGeom prst="rect">
          <a:avLst/>
        </a:prstGeom>
        <a:ln w="0">
          <a:noFill/>
        </a:ln>
      </xdr:spPr>
    </xdr:pic>
    <xdr:clientData/>
  </xdr:twoCellAnchor>
  <xdr:twoCellAnchor editAs="oneCell">
    <xdr:from>
      <xdr:col>2</xdr:col>
      <xdr:colOff>0</xdr:colOff>
      <xdr:row>34</xdr:row>
      <xdr:rowOff>0</xdr:rowOff>
    </xdr:from>
    <xdr:to>
      <xdr:col>2</xdr:col>
      <xdr:colOff>199800</xdr:colOff>
      <xdr:row>34</xdr:row>
      <xdr:rowOff>199800</xdr:rowOff>
    </xdr:to>
    <xdr:pic>
      <xdr:nvPicPr>
        <xdr:cNvPr id="33" name="image33.png" descr=""/>
        <xdr:cNvPicPr/>
      </xdr:nvPicPr>
      <xdr:blipFill>
        <a:blip r:embed="rId34"/>
        <a:stretch/>
      </xdr:blipFill>
      <xdr:spPr>
        <a:xfrm>
          <a:off x="1843560" y="6800760"/>
          <a:ext cx="199800" cy="199800"/>
        </a:xfrm>
        <a:prstGeom prst="rect">
          <a:avLst/>
        </a:prstGeom>
        <a:ln w="0">
          <a:noFill/>
        </a:ln>
      </xdr:spPr>
    </xdr:pic>
    <xdr:clientData/>
  </xdr:twoCellAnchor>
  <xdr:twoCellAnchor editAs="oneCell">
    <xdr:from>
      <xdr:col>2</xdr:col>
      <xdr:colOff>0</xdr:colOff>
      <xdr:row>35</xdr:row>
      <xdr:rowOff>0</xdr:rowOff>
    </xdr:from>
    <xdr:to>
      <xdr:col>2</xdr:col>
      <xdr:colOff>199800</xdr:colOff>
      <xdr:row>35</xdr:row>
      <xdr:rowOff>199800</xdr:rowOff>
    </xdr:to>
    <xdr:pic>
      <xdr:nvPicPr>
        <xdr:cNvPr id="34" name="image27.png" descr=""/>
        <xdr:cNvPicPr/>
      </xdr:nvPicPr>
      <xdr:blipFill>
        <a:blip r:embed="rId35"/>
        <a:stretch/>
      </xdr:blipFill>
      <xdr:spPr>
        <a:xfrm>
          <a:off x="1843560" y="7000920"/>
          <a:ext cx="199800" cy="199800"/>
        </a:xfrm>
        <a:prstGeom prst="rect">
          <a:avLst/>
        </a:prstGeom>
        <a:ln w="0">
          <a:noFill/>
        </a:ln>
      </xdr:spPr>
    </xdr:pic>
    <xdr:clientData/>
  </xdr:twoCellAnchor>
  <xdr:twoCellAnchor editAs="oneCell">
    <xdr:from>
      <xdr:col>2</xdr:col>
      <xdr:colOff>0</xdr:colOff>
      <xdr:row>36</xdr:row>
      <xdr:rowOff>0</xdr:rowOff>
    </xdr:from>
    <xdr:to>
      <xdr:col>2</xdr:col>
      <xdr:colOff>199800</xdr:colOff>
      <xdr:row>36</xdr:row>
      <xdr:rowOff>199800</xdr:rowOff>
    </xdr:to>
    <xdr:pic>
      <xdr:nvPicPr>
        <xdr:cNvPr id="35" name="image34.png" descr=""/>
        <xdr:cNvPicPr/>
      </xdr:nvPicPr>
      <xdr:blipFill>
        <a:blip r:embed="rId36"/>
        <a:stretch/>
      </xdr:blipFill>
      <xdr:spPr>
        <a:xfrm>
          <a:off x="1843560" y="7201080"/>
          <a:ext cx="199800" cy="199800"/>
        </a:xfrm>
        <a:prstGeom prst="rect">
          <a:avLst/>
        </a:prstGeom>
        <a:ln w="0">
          <a:noFill/>
        </a:ln>
      </xdr:spPr>
    </xdr:pic>
    <xdr:clientData/>
  </xdr:twoCellAnchor>
  <xdr:twoCellAnchor editAs="oneCell">
    <xdr:from>
      <xdr:col>2</xdr:col>
      <xdr:colOff>0</xdr:colOff>
      <xdr:row>37</xdr:row>
      <xdr:rowOff>0</xdr:rowOff>
    </xdr:from>
    <xdr:to>
      <xdr:col>2</xdr:col>
      <xdr:colOff>199800</xdr:colOff>
      <xdr:row>37</xdr:row>
      <xdr:rowOff>199800</xdr:rowOff>
    </xdr:to>
    <xdr:pic>
      <xdr:nvPicPr>
        <xdr:cNvPr id="36" name="image23.png" descr=""/>
        <xdr:cNvPicPr/>
      </xdr:nvPicPr>
      <xdr:blipFill>
        <a:blip r:embed="rId37"/>
        <a:stretch/>
      </xdr:blipFill>
      <xdr:spPr>
        <a:xfrm>
          <a:off x="1843560" y="7400880"/>
          <a:ext cx="199800" cy="199800"/>
        </a:xfrm>
        <a:prstGeom prst="rect">
          <a:avLst/>
        </a:prstGeom>
        <a:ln w="0">
          <a:noFill/>
        </a:ln>
      </xdr:spPr>
    </xdr:pic>
    <xdr:clientData/>
  </xdr:twoCellAnchor>
  <xdr:twoCellAnchor editAs="oneCell">
    <xdr:from>
      <xdr:col>2</xdr:col>
      <xdr:colOff>0</xdr:colOff>
      <xdr:row>38</xdr:row>
      <xdr:rowOff>0</xdr:rowOff>
    </xdr:from>
    <xdr:to>
      <xdr:col>2</xdr:col>
      <xdr:colOff>199800</xdr:colOff>
      <xdr:row>38</xdr:row>
      <xdr:rowOff>199800</xdr:rowOff>
    </xdr:to>
    <xdr:pic>
      <xdr:nvPicPr>
        <xdr:cNvPr id="37" name="image39.png" descr=""/>
        <xdr:cNvPicPr/>
      </xdr:nvPicPr>
      <xdr:blipFill>
        <a:blip r:embed="rId38"/>
        <a:stretch/>
      </xdr:blipFill>
      <xdr:spPr>
        <a:xfrm>
          <a:off x="1843560" y="7601040"/>
          <a:ext cx="199800" cy="199800"/>
        </a:xfrm>
        <a:prstGeom prst="rect">
          <a:avLst/>
        </a:prstGeom>
        <a:ln w="0">
          <a:noFill/>
        </a:ln>
      </xdr:spPr>
    </xdr:pic>
    <xdr:clientData/>
  </xdr:twoCellAnchor>
  <xdr:twoCellAnchor editAs="oneCell">
    <xdr:from>
      <xdr:col>2</xdr:col>
      <xdr:colOff>0</xdr:colOff>
      <xdr:row>39</xdr:row>
      <xdr:rowOff>0</xdr:rowOff>
    </xdr:from>
    <xdr:to>
      <xdr:col>2</xdr:col>
      <xdr:colOff>199800</xdr:colOff>
      <xdr:row>39</xdr:row>
      <xdr:rowOff>199800</xdr:rowOff>
    </xdr:to>
    <xdr:pic>
      <xdr:nvPicPr>
        <xdr:cNvPr id="38" name="image41.png" descr=""/>
        <xdr:cNvPicPr/>
      </xdr:nvPicPr>
      <xdr:blipFill>
        <a:blip r:embed="rId39"/>
        <a:stretch/>
      </xdr:blipFill>
      <xdr:spPr>
        <a:xfrm>
          <a:off x="1843560" y="7800840"/>
          <a:ext cx="199800" cy="199800"/>
        </a:xfrm>
        <a:prstGeom prst="rect">
          <a:avLst/>
        </a:prstGeom>
        <a:ln w="0">
          <a:noFill/>
        </a:ln>
      </xdr:spPr>
    </xdr:pic>
    <xdr:clientData/>
  </xdr:twoCellAnchor>
  <xdr:twoCellAnchor editAs="oneCell">
    <xdr:from>
      <xdr:col>2</xdr:col>
      <xdr:colOff>0</xdr:colOff>
      <xdr:row>40</xdr:row>
      <xdr:rowOff>0</xdr:rowOff>
    </xdr:from>
    <xdr:to>
      <xdr:col>2</xdr:col>
      <xdr:colOff>199800</xdr:colOff>
      <xdr:row>40</xdr:row>
      <xdr:rowOff>199800</xdr:rowOff>
    </xdr:to>
    <xdr:pic>
      <xdr:nvPicPr>
        <xdr:cNvPr id="39" name="image24.png" descr=""/>
        <xdr:cNvPicPr/>
      </xdr:nvPicPr>
      <xdr:blipFill>
        <a:blip r:embed="rId40"/>
        <a:stretch/>
      </xdr:blipFill>
      <xdr:spPr>
        <a:xfrm>
          <a:off x="1843560" y="8001000"/>
          <a:ext cx="199800" cy="199800"/>
        </a:xfrm>
        <a:prstGeom prst="rect">
          <a:avLst/>
        </a:prstGeom>
        <a:ln w="0">
          <a:noFill/>
        </a:ln>
      </xdr:spPr>
    </xdr:pic>
    <xdr:clientData/>
  </xdr:twoCellAnchor>
  <xdr:twoCellAnchor editAs="oneCell">
    <xdr:from>
      <xdr:col>2</xdr:col>
      <xdr:colOff>0</xdr:colOff>
      <xdr:row>41</xdr:row>
      <xdr:rowOff>0</xdr:rowOff>
    </xdr:from>
    <xdr:to>
      <xdr:col>2</xdr:col>
      <xdr:colOff>199800</xdr:colOff>
      <xdr:row>41</xdr:row>
      <xdr:rowOff>199800</xdr:rowOff>
    </xdr:to>
    <xdr:pic>
      <xdr:nvPicPr>
        <xdr:cNvPr id="40" name="image36.png" descr=""/>
        <xdr:cNvPicPr/>
      </xdr:nvPicPr>
      <xdr:blipFill>
        <a:blip r:embed="rId41"/>
        <a:stretch/>
      </xdr:blipFill>
      <xdr:spPr>
        <a:xfrm>
          <a:off x="1843560" y="8201160"/>
          <a:ext cx="199800" cy="199800"/>
        </a:xfrm>
        <a:prstGeom prst="rect">
          <a:avLst/>
        </a:prstGeom>
        <a:ln w="0">
          <a:noFill/>
        </a:ln>
      </xdr:spPr>
    </xdr:pic>
    <xdr:clientData/>
  </xdr:twoCellAnchor>
  <xdr:twoCellAnchor editAs="oneCell">
    <xdr:from>
      <xdr:col>2</xdr:col>
      <xdr:colOff>0</xdr:colOff>
      <xdr:row>42</xdr:row>
      <xdr:rowOff>0</xdr:rowOff>
    </xdr:from>
    <xdr:to>
      <xdr:col>2</xdr:col>
      <xdr:colOff>199800</xdr:colOff>
      <xdr:row>42</xdr:row>
      <xdr:rowOff>199800</xdr:rowOff>
    </xdr:to>
    <xdr:pic>
      <xdr:nvPicPr>
        <xdr:cNvPr id="41" name="image38.png" descr=""/>
        <xdr:cNvPicPr/>
      </xdr:nvPicPr>
      <xdr:blipFill>
        <a:blip r:embed="rId42"/>
        <a:stretch/>
      </xdr:blipFill>
      <xdr:spPr>
        <a:xfrm>
          <a:off x="1843560" y="8400960"/>
          <a:ext cx="199800" cy="199800"/>
        </a:xfrm>
        <a:prstGeom prst="rect">
          <a:avLst/>
        </a:prstGeom>
        <a:ln w="0">
          <a:noFill/>
        </a:ln>
      </xdr:spPr>
    </xdr:pic>
    <xdr:clientData/>
  </xdr:twoCellAnchor>
  <xdr:twoCellAnchor editAs="oneCell">
    <xdr:from>
      <xdr:col>2</xdr:col>
      <xdr:colOff>0</xdr:colOff>
      <xdr:row>43</xdr:row>
      <xdr:rowOff>0</xdr:rowOff>
    </xdr:from>
    <xdr:to>
      <xdr:col>2</xdr:col>
      <xdr:colOff>199800</xdr:colOff>
      <xdr:row>43</xdr:row>
      <xdr:rowOff>199800</xdr:rowOff>
    </xdr:to>
    <xdr:pic>
      <xdr:nvPicPr>
        <xdr:cNvPr id="42" name="image32.png" descr=""/>
        <xdr:cNvPicPr/>
      </xdr:nvPicPr>
      <xdr:blipFill>
        <a:blip r:embed="rId43"/>
        <a:stretch/>
      </xdr:blipFill>
      <xdr:spPr>
        <a:xfrm>
          <a:off x="1843560" y="8601120"/>
          <a:ext cx="199800" cy="199800"/>
        </a:xfrm>
        <a:prstGeom prst="rect">
          <a:avLst/>
        </a:prstGeom>
        <a:ln w="0">
          <a:noFill/>
        </a:ln>
      </xdr:spPr>
    </xdr:pic>
    <xdr:clientData/>
  </xdr:twoCellAnchor>
  <xdr:twoCellAnchor editAs="oneCell">
    <xdr:from>
      <xdr:col>2</xdr:col>
      <xdr:colOff>0</xdr:colOff>
      <xdr:row>44</xdr:row>
      <xdr:rowOff>0</xdr:rowOff>
    </xdr:from>
    <xdr:to>
      <xdr:col>2</xdr:col>
      <xdr:colOff>199800</xdr:colOff>
      <xdr:row>44</xdr:row>
      <xdr:rowOff>199800</xdr:rowOff>
    </xdr:to>
    <xdr:pic>
      <xdr:nvPicPr>
        <xdr:cNvPr id="43" name="image35.png" descr=""/>
        <xdr:cNvPicPr/>
      </xdr:nvPicPr>
      <xdr:blipFill>
        <a:blip r:embed="rId44"/>
        <a:stretch/>
      </xdr:blipFill>
      <xdr:spPr>
        <a:xfrm>
          <a:off x="1843560" y="8801280"/>
          <a:ext cx="199800" cy="199800"/>
        </a:xfrm>
        <a:prstGeom prst="rect">
          <a:avLst/>
        </a:prstGeom>
        <a:ln w="0">
          <a:noFill/>
        </a:ln>
      </xdr:spPr>
    </xdr:pic>
    <xdr:clientData/>
  </xdr:twoCellAnchor>
  <xdr:twoCellAnchor editAs="oneCell">
    <xdr:from>
      <xdr:col>2</xdr:col>
      <xdr:colOff>0</xdr:colOff>
      <xdr:row>45</xdr:row>
      <xdr:rowOff>0</xdr:rowOff>
    </xdr:from>
    <xdr:to>
      <xdr:col>2</xdr:col>
      <xdr:colOff>199800</xdr:colOff>
      <xdr:row>45</xdr:row>
      <xdr:rowOff>199800</xdr:rowOff>
    </xdr:to>
    <xdr:pic>
      <xdr:nvPicPr>
        <xdr:cNvPr id="44" name="image29.png" descr=""/>
        <xdr:cNvPicPr/>
      </xdr:nvPicPr>
      <xdr:blipFill>
        <a:blip r:embed="rId45"/>
        <a:stretch/>
      </xdr:blipFill>
      <xdr:spPr>
        <a:xfrm>
          <a:off x="1843560" y="9001080"/>
          <a:ext cx="199800" cy="199800"/>
        </a:xfrm>
        <a:prstGeom prst="rect">
          <a:avLst/>
        </a:prstGeom>
        <a:ln w="0">
          <a:noFill/>
        </a:ln>
      </xdr:spPr>
    </xdr:pic>
    <xdr:clientData/>
  </xdr:twoCellAnchor>
  <xdr:twoCellAnchor editAs="oneCell">
    <xdr:from>
      <xdr:col>2</xdr:col>
      <xdr:colOff>0</xdr:colOff>
      <xdr:row>46</xdr:row>
      <xdr:rowOff>0</xdr:rowOff>
    </xdr:from>
    <xdr:to>
      <xdr:col>2</xdr:col>
      <xdr:colOff>199800</xdr:colOff>
      <xdr:row>46</xdr:row>
      <xdr:rowOff>199800</xdr:rowOff>
    </xdr:to>
    <xdr:pic>
      <xdr:nvPicPr>
        <xdr:cNvPr id="45" name="image63.png" descr=""/>
        <xdr:cNvPicPr/>
      </xdr:nvPicPr>
      <xdr:blipFill>
        <a:blip r:embed="rId46"/>
        <a:stretch/>
      </xdr:blipFill>
      <xdr:spPr>
        <a:xfrm>
          <a:off x="1843560" y="9201240"/>
          <a:ext cx="199800" cy="199800"/>
        </a:xfrm>
        <a:prstGeom prst="rect">
          <a:avLst/>
        </a:prstGeom>
        <a:ln w="0">
          <a:noFill/>
        </a:ln>
      </xdr:spPr>
    </xdr:pic>
    <xdr:clientData/>
  </xdr:twoCellAnchor>
  <xdr:twoCellAnchor editAs="oneCell">
    <xdr:from>
      <xdr:col>2</xdr:col>
      <xdr:colOff>0</xdr:colOff>
      <xdr:row>47</xdr:row>
      <xdr:rowOff>0</xdr:rowOff>
    </xdr:from>
    <xdr:to>
      <xdr:col>2</xdr:col>
      <xdr:colOff>199800</xdr:colOff>
      <xdr:row>47</xdr:row>
      <xdr:rowOff>199800</xdr:rowOff>
    </xdr:to>
    <xdr:pic>
      <xdr:nvPicPr>
        <xdr:cNvPr id="46" name="image31.png" descr=""/>
        <xdr:cNvPicPr/>
      </xdr:nvPicPr>
      <xdr:blipFill>
        <a:blip r:embed="rId47"/>
        <a:stretch/>
      </xdr:blipFill>
      <xdr:spPr>
        <a:xfrm>
          <a:off x="1843560" y="9401040"/>
          <a:ext cx="199800" cy="199800"/>
        </a:xfrm>
        <a:prstGeom prst="rect">
          <a:avLst/>
        </a:prstGeom>
        <a:ln w="0">
          <a:noFill/>
        </a:ln>
      </xdr:spPr>
    </xdr:pic>
    <xdr:clientData/>
  </xdr:twoCellAnchor>
  <xdr:twoCellAnchor editAs="oneCell">
    <xdr:from>
      <xdr:col>2</xdr:col>
      <xdr:colOff>0</xdr:colOff>
      <xdr:row>48</xdr:row>
      <xdr:rowOff>0</xdr:rowOff>
    </xdr:from>
    <xdr:to>
      <xdr:col>2</xdr:col>
      <xdr:colOff>199800</xdr:colOff>
      <xdr:row>48</xdr:row>
      <xdr:rowOff>199800</xdr:rowOff>
    </xdr:to>
    <xdr:pic>
      <xdr:nvPicPr>
        <xdr:cNvPr id="47" name="image45.png" descr=""/>
        <xdr:cNvPicPr/>
      </xdr:nvPicPr>
      <xdr:blipFill>
        <a:blip r:embed="rId48"/>
        <a:stretch/>
      </xdr:blipFill>
      <xdr:spPr>
        <a:xfrm>
          <a:off x="1843560" y="9601200"/>
          <a:ext cx="199800" cy="199800"/>
        </a:xfrm>
        <a:prstGeom prst="rect">
          <a:avLst/>
        </a:prstGeom>
        <a:ln w="0">
          <a:noFill/>
        </a:ln>
      </xdr:spPr>
    </xdr:pic>
    <xdr:clientData/>
  </xdr:twoCellAnchor>
  <xdr:twoCellAnchor editAs="oneCell">
    <xdr:from>
      <xdr:col>2</xdr:col>
      <xdr:colOff>0</xdr:colOff>
      <xdr:row>49</xdr:row>
      <xdr:rowOff>0</xdr:rowOff>
    </xdr:from>
    <xdr:to>
      <xdr:col>2</xdr:col>
      <xdr:colOff>199800</xdr:colOff>
      <xdr:row>49</xdr:row>
      <xdr:rowOff>199800</xdr:rowOff>
    </xdr:to>
    <xdr:pic>
      <xdr:nvPicPr>
        <xdr:cNvPr id="48" name="image47.png" descr=""/>
        <xdr:cNvPicPr/>
      </xdr:nvPicPr>
      <xdr:blipFill>
        <a:blip r:embed="rId49"/>
        <a:stretch/>
      </xdr:blipFill>
      <xdr:spPr>
        <a:xfrm>
          <a:off x="1843560" y="9801360"/>
          <a:ext cx="199800" cy="199800"/>
        </a:xfrm>
        <a:prstGeom prst="rect">
          <a:avLst/>
        </a:prstGeom>
        <a:ln w="0">
          <a:noFill/>
        </a:ln>
      </xdr:spPr>
    </xdr:pic>
    <xdr:clientData/>
  </xdr:twoCellAnchor>
  <xdr:twoCellAnchor editAs="oneCell">
    <xdr:from>
      <xdr:col>2</xdr:col>
      <xdr:colOff>0</xdr:colOff>
      <xdr:row>50</xdr:row>
      <xdr:rowOff>0</xdr:rowOff>
    </xdr:from>
    <xdr:to>
      <xdr:col>2</xdr:col>
      <xdr:colOff>199800</xdr:colOff>
      <xdr:row>50</xdr:row>
      <xdr:rowOff>199800</xdr:rowOff>
    </xdr:to>
    <xdr:pic>
      <xdr:nvPicPr>
        <xdr:cNvPr id="49" name="image46.png" descr=""/>
        <xdr:cNvPicPr/>
      </xdr:nvPicPr>
      <xdr:blipFill>
        <a:blip r:embed="rId50"/>
        <a:stretch/>
      </xdr:blipFill>
      <xdr:spPr>
        <a:xfrm>
          <a:off x="1843560" y="10001160"/>
          <a:ext cx="199800" cy="199800"/>
        </a:xfrm>
        <a:prstGeom prst="rect">
          <a:avLst/>
        </a:prstGeom>
        <a:ln w="0">
          <a:noFill/>
        </a:ln>
      </xdr:spPr>
    </xdr:pic>
    <xdr:clientData/>
  </xdr:twoCellAnchor>
  <xdr:twoCellAnchor editAs="oneCell">
    <xdr:from>
      <xdr:col>2</xdr:col>
      <xdr:colOff>0</xdr:colOff>
      <xdr:row>51</xdr:row>
      <xdr:rowOff>0</xdr:rowOff>
    </xdr:from>
    <xdr:to>
      <xdr:col>2</xdr:col>
      <xdr:colOff>199800</xdr:colOff>
      <xdr:row>51</xdr:row>
      <xdr:rowOff>199800</xdr:rowOff>
    </xdr:to>
    <xdr:pic>
      <xdr:nvPicPr>
        <xdr:cNvPr id="50" name="image53.png" descr=""/>
        <xdr:cNvPicPr/>
      </xdr:nvPicPr>
      <xdr:blipFill>
        <a:blip r:embed="rId51"/>
        <a:stretch/>
      </xdr:blipFill>
      <xdr:spPr>
        <a:xfrm>
          <a:off x="1843560" y="10201320"/>
          <a:ext cx="199800" cy="199800"/>
        </a:xfrm>
        <a:prstGeom prst="rect">
          <a:avLst/>
        </a:prstGeom>
        <a:ln w="0">
          <a:noFill/>
        </a:ln>
      </xdr:spPr>
    </xdr:pic>
    <xdr:clientData/>
  </xdr:twoCellAnchor>
  <xdr:twoCellAnchor editAs="oneCell">
    <xdr:from>
      <xdr:col>2</xdr:col>
      <xdr:colOff>0</xdr:colOff>
      <xdr:row>52</xdr:row>
      <xdr:rowOff>0</xdr:rowOff>
    </xdr:from>
    <xdr:to>
      <xdr:col>2</xdr:col>
      <xdr:colOff>199800</xdr:colOff>
      <xdr:row>52</xdr:row>
      <xdr:rowOff>199800</xdr:rowOff>
    </xdr:to>
    <xdr:pic>
      <xdr:nvPicPr>
        <xdr:cNvPr id="51" name="image58.png" descr=""/>
        <xdr:cNvPicPr/>
      </xdr:nvPicPr>
      <xdr:blipFill>
        <a:blip r:embed="rId52"/>
        <a:stretch/>
      </xdr:blipFill>
      <xdr:spPr>
        <a:xfrm>
          <a:off x="1843560" y="10401480"/>
          <a:ext cx="199800" cy="199800"/>
        </a:xfrm>
        <a:prstGeom prst="rect">
          <a:avLst/>
        </a:prstGeom>
        <a:ln w="0">
          <a:noFill/>
        </a:ln>
      </xdr:spPr>
    </xdr:pic>
    <xdr:clientData/>
  </xdr:twoCellAnchor>
  <xdr:twoCellAnchor editAs="oneCell">
    <xdr:from>
      <xdr:col>2</xdr:col>
      <xdr:colOff>0</xdr:colOff>
      <xdr:row>53</xdr:row>
      <xdr:rowOff>0</xdr:rowOff>
    </xdr:from>
    <xdr:to>
      <xdr:col>2</xdr:col>
      <xdr:colOff>199800</xdr:colOff>
      <xdr:row>53</xdr:row>
      <xdr:rowOff>199800</xdr:rowOff>
    </xdr:to>
    <xdr:pic>
      <xdr:nvPicPr>
        <xdr:cNvPr id="52" name="image137.png" descr=""/>
        <xdr:cNvPicPr/>
      </xdr:nvPicPr>
      <xdr:blipFill>
        <a:blip r:embed="rId53"/>
        <a:stretch/>
      </xdr:blipFill>
      <xdr:spPr>
        <a:xfrm>
          <a:off x="1843560" y="10601280"/>
          <a:ext cx="199800" cy="199800"/>
        </a:xfrm>
        <a:prstGeom prst="rect">
          <a:avLst/>
        </a:prstGeom>
        <a:ln w="0">
          <a:noFill/>
        </a:ln>
      </xdr:spPr>
    </xdr:pic>
    <xdr:clientData/>
  </xdr:twoCellAnchor>
  <xdr:twoCellAnchor editAs="oneCell">
    <xdr:from>
      <xdr:col>2</xdr:col>
      <xdr:colOff>0</xdr:colOff>
      <xdr:row>54</xdr:row>
      <xdr:rowOff>0</xdr:rowOff>
    </xdr:from>
    <xdr:to>
      <xdr:col>2</xdr:col>
      <xdr:colOff>199800</xdr:colOff>
      <xdr:row>54</xdr:row>
      <xdr:rowOff>199800</xdr:rowOff>
    </xdr:to>
    <xdr:pic>
      <xdr:nvPicPr>
        <xdr:cNvPr id="53" name="image52.png" descr=""/>
        <xdr:cNvPicPr/>
      </xdr:nvPicPr>
      <xdr:blipFill>
        <a:blip r:embed="rId54"/>
        <a:stretch/>
      </xdr:blipFill>
      <xdr:spPr>
        <a:xfrm>
          <a:off x="1843560" y="10801440"/>
          <a:ext cx="199800" cy="199800"/>
        </a:xfrm>
        <a:prstGeom prst="rect">
          <a:avLst/>
        </a:prstGeom>
        <a:ln w="0">
          <a:noFill/>
        </a:ln>
      </xdr:spPr>
    </xdr:pic>
    <xdr:clientData/>
  </xdr:twoCellAnchor>
  <xdr:twoCellAnchor editAs="oneCell">
    <xdr:from>
      <xdr:col>2</xdr:col>
      <xdr:colOff>0</xdr:colOff>
      <xdr:row>55</xdr:row>
      <xdr:rowOff>0</xdr:rowOff>
    </xdr:from>
    <xdr:to>
      <xdr:col>2</xdr:col>
      <xdr:colOff>199800</xdr:colOff>
      <xdr:row>55</xdr:row>
      <xdr:rowOff>199800</xdr:rowOff>
    </xdr:to>
    <xdr:pic>
      <xdr:nvPicPr>
        <xdr:cNvPr id="54" name="image44.png" descr=""/>
        <xdr:cNvPicPr/>
      </xdr:nvPicPr>
      <xdr:blipFill>
        <a:blip r:embed="rId55"/>
        <a:stretch/>
      </xdr:blipFill>
      <xdr:spPr>
        <a:xfrm>
          <a:off x="1843560" y="11001240"/>
          <a:ext cx="199800" cy="199800"/>
        </a:xfrm>
        <a:prstGeom prst="rect">
          <a:avLst/>
        </a:prstGeom>
        <a:ln w="0">
          <a:noFill/>
        </a:ln>
      </xdr:spPr>
    </xdr:pic>
    <xdr:clientData/>
  </xdr:twoCellAnchor>
  <xdr:twoCellAnchor editAs="oneCell">
    <xdr:from>
      <xdr:col>2</xdr:col>
      <xdr:colOff>0</xdr:colOff>
      <xdr:row>56</xdr:row>
      <xdr:rowOff>0</xdr:rowOff>
    </xdr:from>
    <xdr:to>
      <xdr:col>2</xdr:col>
      <xdr:colOff>199800</xdr:colOff>
      <xdr:row>56</xdr:row>
      <xdr:rowOff>199800</xdr:rowOff>
    </xdr:to>
    <xdr:pic>
      <xdr:nvPicPr>
        <xdr:cNvPr id="55" name="image57.png" descr=""/>
        <xdr:cNvPicPr/>
      </xdr:nvPicPr>
      <xdr:blipFill>
        <a:blip r:embed="rId56"/>
        <a:stretch/>
      </xdr:blipFill>
      <xdr:spPr>
        <a:xfrm>
          <a:off x="1843560" y="11201400"/>
          <a:ext cx="199800" cy="199800"/>
        </a:xfrm>
        <a:prstGeom prst="rect">
          <a:avLst/>
        </a:prstGeom>
        <a:ln w="0">
          <a:noFill/>
        </a:ln>
      </xdr:spPr>
    </xdr:pic>
    <xdr:clientData/>
  </xdr:twoCellAnchor>
  <xdr:twoCellAnchor editAs="oneCell">
    <xdr:from>
      <xdr:col>2</xdr:col>
      <xdr:colOff>0</xdr:colOff>
      <xdr:row>57</xdr:row>
      <xdr:rowOff>0</xdr:rowOff>
    </xdr:from>
    <xdr:to>
      <xdr:col>2</xdr:col>
      <xdr:colOff>199800</xdr:colOff>
      <xdr:row>57</xdr:row>
      <xdr:rowOff>199800</xdr:rowOff>
    </xdr:to>
    <xdr:pic>
      <xdr:nvPicPr>
        <xdr:cNvPr id="56" name="image61.png" descr=""/>
        <xdr:cNvPicPr/>
      </xdr:nvPicPr>
      <xdr:blipFill>
        <a:blip r:embed="rId57"/>
        <a:stretch/>
      </xdr:blipFill>
      <xdr:spPr>
        <a:xfrm>
          <a:off x="1843560" y="11401560"/>
          <a:ext cx="199800" cy="199800"/>
        </a:xfrm>
        <a:prstGeom prst="rect">
          <a:avLst/>
        </a:prstGeom>
        <a:ln w="0">
          <a:noFill/>
        </a:ln>
      </xdr:spPr>
    </xdr:pic>
    <xdr:clientData/>
  </xdr:twoCellAnchor>
  <xdr:twoCellAnchor editAs="oneCell">
    <xdr:from>
      <xdr:col>2</xdr:col>
      <xdr:colOff>0</xdr:colOff>
      <xdr:row>58</xdr:row>
      <xdr:rowOff>0</xdr:rowOff>
    </xdr:from>
    <xdr:to>
      <xdr:col>2</xdr:col>
      <xdr:colOff>199800</xdr:colOff>
      <xdr:row>58</xdr:row>
      <xdr:rowOff>199800</xdr:rowOff>
    </xdr:to>
    <xdr:pic>
      <xdr:nvPicPr>
        <xdr:cNvPr id="57" name="image50.png" descr=""/>
        <xdr:cNvPicPr/>
      </xdr:nvPicPr>
      <xdr:blipFill>
        <a:blip r:embed="rId58"/>
        <a:stretch/>
      </xdr:blipFill>
      <xdr:spPr>
        <a:xfrm>
          <a:off x="1843560" y="11601360"/>
          <a:ext cx="199800" cy="199800"/>
        </a:xfrm>
        <a:prstGeom prst="rect">
          <a:avLst/>
        </a:prstGeom>
        <a:ln w="0">
          <a:noFill/>
        </a:ln>
      </xdr:spPr>
    </xdr:pic>
    <xdr:clientData/>
  </xdr:twoCellAnchor>
  <xdr:twoCellAnchor editAs="oneCell">
    <xdr:from>
      <xdr:col>2</xdr:col>
      <xdr:colOff>0</xdr:colOff>
      <xdr:row>59</xdr:row>
      <xdr:rowOff>0</xdr:rowOff>
    </xdr:from>
    <xdr:to>
      <xdr:col>2</xdr:col>
      <xdr:colOff>199800</xdr:colOff>
      <xdr:row>59</xdr:row>
      <xdr:rowOff>199800</xdr:rowOff>
    </xdr:to>
    <xdr:pic>
      <xdr:nvPicPr>
        <xdr:cNvPr id="58" name="image54.png" descr=""/>
        <xdr:cNvPicPr/>
      </xdr:nvPicPr>
      <xdr:blipFill>
        <a:blip r:embed="rId59"/>
        <a:stretch/>
      </xdr:blipFill>
      <xdr:spPr>
        <a:xfrm>
          <a:off x="1843560" y="11801520"/>
          <a:ext cx="199800" cy="199800"/>
        </a:xfrm>
        <a:prstGeom prst="rect">
          <a:avLst/>
        </a:prstGeom>
        <a:ln w="0">
          <a:noFill/>
        </a:ln>
      </xdr:spPr>
    </xdr:pic>
    <xdr:clientData/>
  </xdr:twoCellAnchor>
  <xdr:twoCellAnchor editAs="oneCell">
    <xdr:from>
      <xdr:col>2</xdr:col>
      <xdr:colOff>0</xdr:colOff>
      <xdr:row>60</xdr:row>
      <xdr:rowOff>0</xdr:rowOff>
    </xdr:from>
    <xdr:to>
      <xdr:col>2</xdr:col>
      <xdr:colOff>199800</xdr:colOff>
      <xdr:row>60</xdr:row>
      <xdr:rowOff>199800</xdr:rowOff>
    </xdr:to>
    <xdr:pic>
      <xdr:nvPicPr>
        <xdr:cNvPr id="59" name="image56.png" descr=""/>
        <xdr:cNvPicPr/>
      </xdr:nvPicPr>
      <xdr:blipFill>
        <a:blip r:embed="rId60"/>
        <a:stretch/>
      </xdr:blipFill>
      <xdr:spPr>
        <a:xfrm>
          <a:off x="1843560" y="12001680"/>
          <a:ext cx="199800" cy="199800"/>
        </a:xfrm>
        <a:prstGeom prst="rect">
          <a:avLst/>
        </a:prstGeom>
        <a:ln w="0">
          <a:noFill/>
        </a:ln>
      </xdr:spPr>
    </xdr:pic>
    <xdr:clientData/>
  </xdr:twoCellAnchor>
  <xdr:twoCellAnchor editAs="oneCell">
    <xdr:from>
      <xdr:col>2</xdr:col>
      <xdr:colOff>0</xdr:colOff>
      <xdr:row>61</xdr:row>
      <xdr:rowOff>0</xdr:rowOff>
    </xdr:from>
    <xdr:to>
      <xdr:col>2</xdr:col>
      <xdr:colOff>199800</xdr:colOff>
      <xdr:row>61</xdr:row>
      <xdr:rowOff>199800</xdr:rowOff>
    </xdr:to>
    <xdr:pic>
      <xdr:nvPicPr>
        <xdr:cNvPr id="60" name="image60.png" descr=""/>
        <xdr:cNvPicPr/>
      </xdr:nvPicPr>
      <xdr:blipFill>
        <a:blip r:embed="rId61"/>
        <a:stretch/>
      </xdr:blipFill>
      <xdr:spPr>
        <a:xfrm>
          <a:off x="1843560" y="12201480"/>
          <a:ext cx="199800" cy="199800"/>
        </a:xfrm>
        <a:prstGeom prst="rect">
          <a:avLst/>
        </a:prstGeom>
        <a:ln w="0">
          <a:noFill/>
        </a:ln>
      </xdr:spPr>
    </xdr:pic>
    <xdr:clientData/>
  </xdr:twoCellAnchor>
  <xdr:twoCellAnchor editAs="oneCell">
    <xdr:from>
      <xdr:col>2</xdr:col>
      <xdr:colOff>0</xdr:colOff>
      <xdr:row>62</xdr:row>
      <xdr:rowOff>0</xdr:rowOff>
    </xdr:from>
    <xdr:to>
      <xdr:col>2</xdr:col>
      <xdr:colOff>199800</xdr:colOff>
      <xdr:row>62</xdr:row>
      <xdr:rowOff>199800</xdr:rowOff>
    </xdr:to>
    <xdr:pic>
      <xdr:nvPicPr>
        <xdr:cNvPr id="61" name="image48.png" descr=""/>
        <xdr:cNvPicPr/>
      </xdr:nvPicPr>
      <xdr:blipFill>
        <a:blip r:embed="rId62"/>
        <a:stretch/>
      </xdr:blipFill>
      <xdr:spPr>
        <a:xfrm>
          <a:off x="1843560" y="12401640"/>
          <a:ext cx="199800" cy="199800"/>
        </a:xfrm>
        <a:prstGeom prst="rect">
          <a:avLst/>
        </a:prstGeom>
        <a:ln w="0">
          <a:noFill/>
        </a:ln>
      </xdr:spPr>
    </xdr:pic>
    <xdr:clientData/>
  </xdr:twoCellAnchor>
  <xdr:twoCellAnchor editAs="oneCell">
    <xdr:from>
      <xdr:col>2</xdr:col>
      <xdr:colOff>0</xdr:colOff>
      <xdr:row>63</xdr:row>
      <xdr:rowOff>0</xdr:rowOff>
    </xdr:from>
    <xdr:to>
      <xdr:col>2</xdr:col>
      <xdr:colOff>199800</xdr:colOff>
      <xdr:row>63</xdr:row>
      <xdr:rowOff>199800</xdr:rowOff>
    </xdr:to>
    <xdr:pic>
      <xdr:nvPicPr>
        <xdr:cNvPr id="62" name="image59.png" descr=""/>
        <xdr:cNvPicPr/>
      </xdr:nvPicPr>
      <xdr:blipFill>
        <a:blip r:embed="rId63"/>
        <a:stretch/>
      </xdr:blipFill>
      <xdr:spPr>
        <a:xfrm>
          <a:off x="1843560" y="12601440"/>
          <a:ext cx="199800" cy="199800"/>
        </a:xfrm>
        <a:prstGeom prst="rect">
          <a:avLst/>
        </a:prstGeom>
        <a:ln w="0">
          <a:noFill/>
        </a:ln>
      </xdr:spPr>
    </xdr:pic>
    <xdr:clientData/>
  </xdr:twoCellAnchor>
  <xdr:twoCellAnchor editAs="oneCell">
    <xdr:from>
      <xdr:col>2</xdr:col>
      <xdr:colOff>0</xdr:colOff>
      <xdr:row>64</xdr:row>
      <xdr:rowOff>0</xdr:rowOff>
    </xdr:from>
    <xdr:to>
      <xdr:col>2</xdr:col>
      <xdr:colOff>199800</xdr:colOff>
      <xdr:row>64</xdr:row>
      <xdr:rowOff>199800</xdr:rowOff>
    </xdr:to>
    <xdr:pic>
      <xdr:nvPicPr>
        <xdr:cNvPr id="63" name="image51.png" descr=""/>
        <xdr:cNvPicPr/>
      </xdr:nvPicPr>
      <xdr:blipFill>
        <a:blip r:embed="rId64"/>
        <a:stretch/>
      </xdr:blipFill>
      <xdr:spPr>
        <a:xfrm>
          <a:off x="1843560" y="12801600"/>
          <a:ext cx="199800" cy="199800"/>
        </a:xfrm>
        <a:prstGeom prst="rect">
          <a:avLst/>
        </a:prstGeom>
        <a:ln w="0">
          <a:noFill/>
        </a:ln>
      </xdr:spPr>
    </xdr:pic>
    <xdr:clientData/>
  </xdr:twoCellAnchor>
  <xdr:twoCellAnchor editAs="oneCell">
    <xdr:from>
      <xdr:col>2</xdr:col>
      <xdr:colOff>0</xdr:colOff>
      <xdr:row>65</xdr:row>
      <xdr:rowOff>0</xdr:rowOff>
    </xdr:from>
    <xdr:to>
      <xdr:col>2</xdr:col>
      <xdr:colOff>199800</xdr:colOff>
      <xdr:row>65</xdr:row>
      <xdr:rowOff>199800</xdr:rowOff>
    </xdr:to>
    <xdr:pic>
      <xdr:nvPicPr>
        <xdr:cNvPr id="64" name="image62.png" descr=""/>
        <xdr:cNvPicPr/>
      </xdr:nvPicPr>
      <xdr:blipFill>
        <a:blip r:embed="rId65"/>
        <a:stretch/>
      </xdr:blipFill>
      <xdr:spPr>
        <a:xfrm>
          <a:off x="1843560" y="13001760"/>
          <a:ext cx="199800" cy="199800"/>
        </a:xfrm>
        <a:prstGeom prst="rect">
          <a:avLst/>
        </a:prstGeom>
        <a:ln w="0">
          <a:noFill/>
        </a:ln>
      </xdr:spPr>
    </xdr:pic>
    <xdr:clientData/>
  </xdr:twoCellAnchor>
  <xdr:twoCellAnchor editAs="oneCell">
    <xdr:from>
      <xdr:col>2</xdr:col>
      <xdr:colOff>0</xdr:colOff>
      <xdr:row>66</xdr:row>
      <xdr:rowOff>0</xdr:rowOff>
    </xdr:from>
    <xdr:to>
      <xdr:col>2</xdr:col>
      <xdr:colOff>199800</xdr:colOff>
      <xdr:row>66</xdr:row>
      <xdr:rowOff>199800</xdr:rowOff>
    </xdr:to>
    <xdr:pic>
      <xdr:nvPicPr>
        <xdr:cNvPr id="65" name="image55.png" descr=""/>
        <xdr:cNvPicPr/>
      </xdr:nvPicPr>
      <xdr:blipFill>
        <a:blip r:embed="rId66"/>
        <a:stretch/>
      </xdr:blipFill>
      <xdr:spPr>
        <a:xfrm>
          <a:off x="1843560" y="13201560"/>
          <a:ext cx="199800" cy="199800"/>
        </a:xfrm>
        <a:prstGeom prst="rect">
          <a:avLst/>
        </a:prstGeom>
        <a:ln w="0">
          <a:noFill/>
        </a:ln>
      </xdr:spPr>
    </xdr:pic>
    <xdr:clientData/>
  </xdr:twoCellAnchor>
  <xdr:twoCellAnchor editAs="oneCell">
    <xdr:from>
      <xdr:col>2</xdr:col>
      <xdr:colOff>0</xdr:colOff>
      <xdr:row>67</xdr:row>
      <xdr:rowOff>0</xdr:rowOff>
    </xdr:from>
    <xdr:to>
      <xdr:col>2</xdr:col>
      <xdr:colOff>199800</xdr:colOff>
      <xdr:row>67</xdr:row>
      <xdr:rowOff>199800</xdr:rowOff>
    </xdr:to>
    <xdr:pic>
      <xdr:nvPicPr>
        <xdr:cNvPr id="66" name="image67.png" descr=""/>
        <xdr:cNvPicPr/>
      </xdr:nvPicPr>
      <xdr:blipFill>
        <a:blip r:embed="rId67"/>
        <a:stretch/>
      </xdr:blipFill>
      <xdr:spPr>
        <a:xfrm>
          <a:off x="1843560" y="13401720"/>
          <a:ext cx="199800" cy="199800"/>
        </a:xfrm>
        <a:prstGeom prst="rect">
          <a:avLst/>
        </a:prstGeom>
        <a:ln w="0">
          <a:noFill/>
        </a:ln>
      </xdr:spPr>
    </xdr:pic>
    <xdr:clientData/>
  </xdr:twoCellAnchor>
  <xdr:twoCellAnchor editAs="oneCell">
    <xdr:from>
      <xdr:col>2</xdr:col>
      <xdr:colOff>0</xdr:colOff>
      <xdr:row>68</xdr:row>
      <xdr:rowOff>0</xdr:rowOff>
    </xdr:from>
    <xdr:to>
      <xdr:col>2</xdr:col>
      <xdr:colOff>199800</xdr:colOff>
      <xdr:row>68</xdr:row>
      <xdr:rowOff>199800</xdr:rowOff>
    </xdr:to>
    <xdr:pic>
      <xdr:nvPicPr>
        <xdr:cNvPr id="67" name="image108.png" descr=""/>
        <xdr:cNvPicPr/>
      </xdr:nvPicPr>
      <xdr:blipFill>
        <a:blip r:embed="rId68"/>
        <a:stretch/>
      </xdr:blipFill>
      <xdr:spPr>
        <a:xfrm>
          <a:off x="1843560" y="13601880"/>
          <a:ext cx="199800" cy="199800"/>
        </a:xfrm>
        <a:prstGeom prst="rect">
          <a:avLst/>
        </a:prstGeom>
        <a:ln w="0">
          <a:noFill/>
        </a:ln>
      </xdr:spPr>
    </xdr:pic>
    <xdr:clientData/>
  </xdr:twoCellAnchor>
  <xdr:twoCellAnchor editAs="oneCell">
    <xdr:from>
      <xdr:col>2</xdr:col>
      <xdr:colOff>0</xdr:colOff>
      <xdr:row>69</xdr:row>
      <xdr:rowOff>0</xdr:rowOff>
    </xdr:from>
    <xdr:to>
      <xdr:col>2</xdr:col>
      <xdr:colOff>199800</xdr:colOff>
      <xdr:row>69</xdr:row>
      <xdr:rowOff>199800</xdr:rowOff>
    </xdr:to>
    <xdr:pic>
      <xdr:nvPicPr>
        <xdr:cNvPr id="68" name="image72.png" descr=""/>
        <xdr:cNvPicPr/>
      </xdr:nvPicPr>
      <xdr:blipFill>
        <a:blip r:embed="rId69"/>
        <a:stretch/>
      </xdr:blipFill>
      <xdr:spPr>
        <a:xfrm>
          <a:off x="1843560" y="13801680"/>
          <a:ext cx="199800" cy="199800"/>
        </a:xfrm>
        <a:prstGeom prst="rect">
          <a:avLst/>
        </a:prstGeom>
        <a:ln w="0">
          <a:noFill/>
        </a:ln>
      </xdr:spPr>
    </xdr:pic>
    <xdr:clientData/>
  </xdr:twoCellAnchor>
  <xdr:twoCellAnchor editAs="oneCell">
    <xdr:from>
      <xdr:col>2</xdr:col>
      <xdr:colOff>0</xdr:colOff>
      <xdr:row>70</xdr:row>
      <xdr:rowOff>0</xdr:rowOff>
    </xdr:from>
    <xdr:to>
      <xdr:col>2</xdr:col>
      <xdr:colOff>199800</xdr:colOff>
      <xdr:row>70</xdr:row>
      <xdr:rowOff>199800</xdr:rowOff>
    </xdr:to>
    <xdr:pic>
      <xdr:nvPicPr>
        <xdr:cNvPr id="69" name="image66.png" descr=""/>
        <xdr:cNvPicPr/>
      </xdr:nvPicPr>
      <xdr:blipFill>
        <a:blip r:embed="rId70"/>
        <a:stretch/>
      </xdr:blipFill>
      <xdr:spPr>
        <a:xfrm>
          <a:off x="1843560" y="14001840"/>
          <a:ext cx="199800" cy="199800"/>
        </a:xfrm>
        <a:prstGeom prst="rect">
          <a:avLst/>
        </a:prstGeom>
        <a:ln w="0">
          <a:noFill/>
        </a:ln>
      </xdr:spPr>
    </xdr:pic>
    <xdr:clientData/>
  </xdr:twoCellAnchor>
  <xdr:twoCellAnchor editAs="oneCell">
    <xdr:from>
      <xdr:col>2</xdr:col>
      <xdr:colOff>0</xdr:colOff>
      <xdr:row>71</xdr:row>
      <xdr:rowOff>0</xdr:rowOff>
    </xdr:from>
    <xdr:to>
      <xdr:col>2</xdr:col>
      <xdr:colOff>199800</xdr:colOff>
      <xdr:row>71</xdr:row>
      <xdr:rowOff>199800</xdr:rowOff>
    </xdr:to>
    <xdr:pic>
      <xdr:nvPicPr>
        <xdr:cNvPr id="70" name="image76.png" descr=""/>
        <xdr:cNvPicPr/>
      </xdr:nvPicPr>
      <xdr:blipFill>
        <a:blip r:embed="rId71"/>
        <a:stretch/>
      </xdr:blipFill>
      <xdr:spPr>
        <a:xfrm>
          <a:off x="1843560" y="14201640"/>
          <a:ext cx="199800" cy="199800"/>
        </a:xfrm>
        <a:prstGeom prst="rect">
          <a:avLst/>
        </a:prstGeom>
        <a:ln w="0">
          <a:noFill/>
        </a:ln>
      </xdr:spPr>
    </xdr:pic>
    <xdr:clientData/>
  </xdr:twoCellAnchor>
  <xdr:twoCellAnchor editAs="oneCell">
    <xdr:from>
      <xdr:col>2</xdr:col>
      <xdr:colOff>0</xdr:colOff>
      <xdr:row>72</xdr:row>
      <xdr:rowOff>0</xdr:rowOff>
    </xdr:from>
    <xdr:to>
      <xdr:col>2</xdr:col>
      <xdr:colOff>199800</xdr:colOff>
      <xdr:row>72</xdr:row>
      <xdr:rowOff>199800</xdr:rowOff>
    </xdr:to>
    <xdr:pic>
      <xdr:nvPicPr>
        <xdr:cNvPr id="71" name="image68.png" descr=""/>
        <xdr:cNvPicPr/>
      </xdr:nvPicPr>
      <xdr:blipFill>
        <a:blip r:embed="rId72"/>
        <a:stretch/>
      </xdr:blipFill>
      <xdr:spPr>
        <a:xfrm>
          <a:off x="1843560" y="14401800"/>
          <a:ext cx="199800" cy="199800"/>
        </a:xfrm>
        <a:prstGeom prst="rect">
          <a:avLst/>
        </a:prstGeom>
        <a:ln w="0">
          <a:noFill/>
        </a:ln>
      </xdr:spPr>
    </xdr:pic>
    <xdr:clientData/>
  </xdr:twoCellAnchor>
  <xdr:twoCellAnchor editAs="oneCell">
    <xdr:from>
      <xdr:col>2</xdr:col>
      <xdr:colOff>0</xdr:colOff>
      <xdr:row>73</xdr:row>
      <xdr:rowOff>0</xdr:rowOff>
    </xdr:from>
    <xdr:to>
      <xdr:col>2</xdr:col>
      <xdr:colOff>199800</xdr:colOff>
      <xdr:row>73</xdr:row>
      <xdr:rowOff>199800</xdr:rowOff>
    </xdr:to>
    <xdr:pic>
      <xdr:nvPicPr>
        <xdr:cNvPr id="72" name="image64.png" descr=""/>
        <xdr:cNvPicPr/>
      </xdr:nvPicPr>
      <xdr:blipFill>
        <a:blip r:embed="rId73"/>
        <a:stretch/>
      </xdr:blipFill>
      <xdr:spPr>
        <a:xfrm>
          <a:off x="1843560" y="14601960"/>
          <a:ext cx="199800" cy="199800"/>
        </a:xfrm>
        <a:prstGeom prst="rect">
          <a:avLst/>
        </a:prstGeom>
        <a:ln w="0">
          <a:noFill/>
        </a:ln>
      </xdr:spPr>
    </xdr:pic>
    <xdr:clientData/>
  </xdr:twoCellAnchor>
  <xdr:twoCellAnchor editAs="oneCell">
    <xdr:from>
      <xdr:col>2</xdr:col>
      <xdr:colOff>0</xdr:colOff>
      <xdr:row>74</xdr:row>
      <xdr:rowOff>0</xdr:rowOff>
    </xdr:from>
    <xdr:to>
      <xdr:col>2</xdr:col>
      <xdr:colOff>199800</xdr:colOff>
      <xdr:row>74</xdr:row>
      <xdr:rowOff>199800</xdr:rowOff>
    </xdr:to>
    <xdr:pic>
      <xdr:nvPicPr>
        <xdr:cNvPr id="73" name="image74.png" descr=""/>
        <xdr:cNvPicPr/>
      </xdr:nvPicPr>
      <xdr:blipFill>
        <a:blip r:embed="rId74"/>
        <a:stretch/>
      </xdr:blipFill>
      <xdr:spPr>
        <a:xfrm>
          <a:off x="1843560" y="14801760"/>
          <a:ext cx="199800" cy="199800"/>
        </a:xfrm>
        <a:prstGeom prst="rect">
          <a:avLst/>
        </a:prstGeom>
        <a:ln w="0">
          <a:noFill/>
        </a:ln>
      </xdr:spPr>
    </xdr:pic>
    <xdr:clientData/>
  </xdr:twoCellAnchor>
  <xdr:twoCellAnchor editAs="oneCell">
    <xdr:from>
      <xdr:col>2</xdr:col>
      <xdr:colOff>0</xdr:colOff>
      <xdr:row>75</xdr:row>
      <xdr:rowOff>0</xdr:rowOff>
    </xdr:from>
    <xdr:to>
      <xdr:col>2</xdr:col>
      <xdr:colOff>199800</xdr:colOff>
      <xdr:row>75</xdr:row>
      <xdr:rowOff>199800</xdr:rowOff>
    </xdr:to>
    <xdr:pic>
      <xdr:nvPicPr>
        <xdr:cNvPr id="74" name="image71.png" descr=""/>
        <xdr:cNvPicPr/>
      </xdr:nvPicPr>
      <xdr:blipFill>
        <a:blip r:embed="rId75"/>
        <a:stretch/>
      </xdr:blipFill>
      <xdr:spPr>
        <a:xfrm>
          <a:off x="1843560" y="15001920"/>
          <a:ext cx="199800" cy="199800"/>
        </a:xfrm>
        <a:prstGeom prst="rect">
          <a:avLst/>
        </a:prstGeom>
        <a:ln w="0">
          <a:noFill/>
        </a:ln>
      </xdr:spPr>
    </xdr:pic>
    <xdr:clientData/>
  </xdr:twoCellAnchor>
  <xdr:twoCellAnchor editAs="oneCell">
    <xdr:from>
      <xdr:col>2</xdr:col>
      <xdr:colOff>0</xdr:colOff>
      <xdr:row>76</xdr:row>
      <xdr:rowOff>0</xdr:rowOff>
    </xdr:from>
    <xdr:to>
      <xdr:col>2</xdr:col>
      <xdr:colOff>199800</xdr:colOff>
      <xdr:row>76</xdr:row>
      <xdr:rowOff>199800</xdr:rowOff>
    </xdr:to>
    <xdr:pic>
      <xdr:nvPicPr>
        <xdr:cNvPr id="75" name="image73.png" descr=""/>
        <xdr:cNvPicPr/>
      </xdr:nvPicPr>
      <xdr:blipFill>
        <a:blip r:embed="rId76"/>
        <a:stretch/>
      </xdr:blipFill>
      <xdr:spPr>
        <a:xfrm>
          <a:off x="1843560" y="15202080"/>
          <a:ext cx="199800" cy="199800"/>
        </a:xfrm>
        <a:prstGeom prst="rect">
          <a:avLst/>
        </a:prstGeom>
        <a:ln w="0">
          <a:noFill/>
        </a:ln>
      </xdr:spPr>
    </xdr:pic>
    <xdr:clientData/>
  </xdr:twoCellAnchor>
  <xdr:twoCellAnchor editAs="oneCell">
    <xdr:from>
      <xdr:col>2</xdr:col>
      <xdr:colOff>0</xdr:colOff>
      <xdr:row>77</xdr:row>
      <xdr:rowOff>0</xdr:rowOff>
    </xdr:from>
    <xdr:to>
      <xdr:col>2</xdr:col>
      <xdr:colOff>199800</xdr:colOff>
      <xdr:row>77</xdr:row>
      <xdr:rowOff>199800</xdr:rowOff>
    </xdr:to>
    <xdr:pic>
      <xdr:nvPicPr>
        <xdr:cNvPr id="76" name="image65.png" descr=""/>
        <xdr:cNvPicPr/>
      </xdr:nvPicPr>
      <xdr:blipFill>
        <a:blip r:embed="rId77"/>
        <a:stretch/>
      </xdr:blipFill>
      <xdr:spPr>
        <a:xfrm>
          <a:off x="1843560" y="15401880"/>
          <a:ext cx="199800" cy="199800"/>
        </a:xfrm>
        <a:prstGeom prst="rect">
          <a:avLst/>
        </a:prstGeom>
        <a:ln w="0">
          <a:noFill/>
        </a:ln>
      </xdr:spPr>
    </xdr:pic>
    <xdr:clientData/>
  </xdr:twoCellAnchor>
  <xdr:twoCellAnchor editAs="oneCell">
    <xdr:from>
      <xdr:col>2</xdr:col>
      <xdr:colOff>0</xdr:colOff>
      <xdr:row>78</xdr:row>
      <xdr:rowOff>0</xdr:rowOff>
    </xdr:from>
    <xdr:to>
      <xdr:col>2</xdr:col>
      <xdr:colOff>199800</xdr:colOff>
      <xdr:row>78</xdr:row>
      <xdr:rowOff>199800</xdr:rowOff>
    </xdr:to>
    <xdr:pic>
      <xdr:nvPicPr>
        <xdr:cNvPr id="77" name="image69.png" descr=""/>
        <xdr:cNvPicPr/>
      </xdr:nvPicPr>
      <xdr:blipFill>
        <a:blip r:embed="rId78"/>
        <a:stretch/>
      </xdr:blipFill>
      <xdr:spPr>
        <a:xfrm>
          <a:off x="1843560" y="15602040"/>
          <a:ext cx="199800" cy="199800"/>
        </a:xfrm>
        <a:prstGeom prst="rect">
          <a:avLst/>
        </a:prstGeom>
        <a:ln w="0">
          <a:noFill/>
        </a:ln>
      </xdr:spPr>
    </xdr:pic>
    <xdr:clientData/>
  </xdr:twoCellAnchor>
  <xdr:twoCellAnchor editAs="oneCell">
    <xdr:from>
      <xdr:col>2</xdr:col>
      <xdr:colOff>0</xdr:colOff>
      <xdr:row>79</xdr:row>
      <xdr:rowOff>0</xdr:rowOff>
    </xdr:from>
    <xdr:to>
      <xdr:col>2</xdr:col>
      <xdr:colOff>199800</xdr:colOff>
      <xdr:row>79</xdr:row>
      <xdr:rowOff>199800</xdr:rowOff>
    </xdr:to>
    <xdr:pic>
      <xdr:nvPicPr>
        <xdr:cNvPr id="78" name="image77.png" descr=""/>
        <xdr:cNvPicPr/>
      </xdr:nvPicPr>
      <xdr:blipFill>
        <a:blip r:embed="rId79"/>
        <a:stretch/>
      </xdr:blipFill>
      <xdr:spPr>
        <a:xfrm>
          <a:off x="1843560" y="15801840"/>
          <a:ext cx="199800" cy="199800"/>
        </a:xfrm>
        <a:prstGeom prst="rect">
          <a:avLst/>
        </a:prstGeom>
        <a:ln w="0">
          <a:noFill/>
        </a:ln>
      </xdr:spPr>
    </xdr:pic>
    <xdr:clientData/>
  </xdr:twoCellAnchor>
  <xdr:twoCellAnchor editAs="oneCell">
    <xdr:from>
      <xdr:col>2</xdr:col>
      <xdr:colOff>0</xdr:colOff>
      <xdr:row>80</xdr:row>
      <xdr:rowOff>0</xdr:rowOff>
    </xdr:from>
    <xdr:to>
      <xdr:col>2</xdr:col>
      <xdr:colOff>199800</xdr:colOff>
      <xdr:row>80</xdr:row>
      <xdr:rowOff>199800</xdr:rowOff>
    </xdr:to>
    <xdr:pic>
      <xdr:nvPicPr>
        <xdr:cNvPr id="79" name="image75.png" descr=""/>
        <xdr:cNvPicPr/>
      </xdr:nvPicPr>
      <xdr:blipFill>
        <a:blip r:embed="rId80"/>
        <a:stretch/>
      </xdr:blipFill>
      <xdr:spPr>
        <a:xfrm>
          <a:off x="1843560" y="16002000"/>
          <a:ext cx="199800" cy="199800"/>
        </a:xfrm>
        <a:prstGeom prst="rect">
          <a:avLst/>
        </a:prstGeom>
        <a:ln w="0">
          <a:noFill/>
        </a:ln>
      </xdr:spPr>
    </xdr:pic>
    <xdr:clientData/>
  </xdr:twoCellAnchor>
  <xdr:twoCellAnchor editAs="oneCell">
    <xdr:from>
      <xdr:col>2</xdr:col>
      <xdr:colOff>0</xdr:colOff>
      <xdr:row>81</xdr:row>
      <xdr:rowOff>0</xdr:rowOff>
    </xdr:from>
    <xdr:to>
      <xdr:col>2</xdr:col>
      <xdr:colOff>199800</xdr:colOff>
      <xdr:row>81</xdr:row>
      <xdr:rowOff>199800</xdr:rowOff>
    </xdr:to>
    <xdr:pic>
      <xdr:nvPicPr>
        <xdr:cNvPr id="80" name="image78.png" descr=""/>
        <xdr:cNvPicPr/>
      </xdr:nvPicPr>
      <xdr:blipFill>
        <a:blip r:embed="rId81"/>
        <a:stretch/>
      </xdr:blipFill>
      <xdr:spPr>
        <a:xfrm>
          <a:off x="1843560" y="16202160"/>
          <a:ext cx="199800" cy="199800"/>
        </a:xfrm>
        <a:prstGeom prst="rect">
          <a:avLst/>
        </a:prstGeom>
        <a:ln w="0">
          <a:noFill/>
        </a:ln>
      </xdr:spPr>
    </xdr:pic>
    <xdr:clientData/>
  </xdr:twoCellAnchor>
  <xdr:twoCellAnchor editAs="oneCell">
    <xdr:from>
      <xdr:col>2</xdr:col>
      <xdr:colOff>0</xdr:colOff>
      <xdr:row>82</xdr:row>
      <xdr:rowOff>0</xdr:rowOff>
    </xdr:from>
    <xdr:to>
      <xdr:col>2</xdr:col>
      <xdr:colOff>199800</xdr:colOff>
      <xdr:row>82</xdr:row>
      <xdr:rowOff>199800</xdr:rowOff>
    </xdr:to>
    <xdr:pic>
      <xdr:nvPicPr>
        <xdr:cNvPr id="81" name="image83.png" descr=""/>
        <xdr:cNvPicPr/>
      </xdr:nvPicPr>
      <xdr:blipFill>
        <a:blip r:embed="rId82"/>
        <a:stretch/>
      </xdr:blipFill>
      <xdr:spPr>
        <a:xfrm>
          <a:off x="1843560" y="16401960"/>
          <a:ext cx="199800" cy="199800"/>
        </a:xfrm>
        <a:prstGeom prst="rect">
          <a:avLst/>
        </a:prstGeom>
        <a:ln w="0">
          <a:noFill/>
        </a:ln>
      </xdr:spPr>
    </xdr:pic>
    <xdr:clientData/>
  </xdr:twoCellAnchor>
  <xdr:twoCellAnchor editAs="oneCell">
    <xdr:from>
      <xdr:col>2</xdr:col>
      <xdr:colOff>0</xdr:colOff>
      <xdr:row>83</xdr:row>
      <xdr:rowOff>0</xdr:rowOff>
    </xdr:from>
    <xdr:to>
      <xdr:col>2</xdr:col>
      <xdr:colOff>199800</xdr:colOff>
      <xdr:row>83</xdr:row>
      <xdr:rowOff>199800</xdr:rowOff>
    </xdr:to>
    <xdr:pic>
      <xdr:nvPicPr>
        <xdr:cNvPr id="82" name="image99.png" descr=""/>
        <xdr:cNvPicPr/>
      </xdr:nvPicPr>
      <xdr:blipFill>
        <a:blip r:embed="rId83"/>
        <a:stretch/>
      </xdr:blipFill>
      <xdr:spPr>
        <a:xfrm>
          <a:off x="1843560" y="16602120"/>
          <a:ext cx="199800" cy="199800"/>
        </a:xfrm>
        <a:prstGeom prst="rect">
          <a:avLst/>
        </a:prstGeom>
        <a:ln w="0">
          <a:noFill/>
        </a:ln>
      </xdr:spPr>
    </xdr:pic>
    <xdr:clientData/>
  </xdr:twoCellAnchor>
  <xdr:twoCellAnchor editAs="oneCell">
    <xdr:from>
      <xdr:col>2</xdr:col>
      <xdr:colOff>0</xdr:colOff>
      <xdr:row>84</xdr:row>
      <xdr:rowOff>0</xdr:rowOff>
    </xdr:from>
    <xdr:to>
      <xdr:col>2</xdr:col>
      <xdr:colOff>199800</xdr:colOff>
      <xdr:row>84</xdr:row>
      <xdr:rowOff>199800</xdr:rowOff>
    </xdr:to>
    <xdr:pic>
      <xdr:nvPicPr>
        <xdr:cNvPr id="83" name="image84.png" descr=""/>
        <xdr:cNvPicPr/>
      </xdr:nvPicPr>
      <xdr:blipFill>
        <a:blip r:embed="rId84"/>
        <a:stretch/>
      </xdr:blipFill>
      <xdr:spPr>
        <a:xfrm>
          <a:off x="1843560" y="16802280"/>
          <a:ext cx="199800" cy="199800"/>
        </a:xfrm>
        <a:prstGeom prst="rect">
          <a:avLst/>
        </a:prstGeom>
        <a:ln w="0">
          <a:noFill/>
        </a:ln>
      </xdr:spPr>
    </xdr:pic>
    <xdr:clientData/>
  </xdr:twoCellAnchor>
  <xdr:twoCellAnchor editAs="oneCell">
    <xdr:from>
      <xdr:col>2</xdr:col>
      <xdr:colOff>0</xdr:colOff>
      <xdr:row>85</xdr:row>
      <xdr:rowOff>0</xdr:rowOff>
    </xdr:from>
    <xdr:to>
      <xdr:col>2</xdr:col>
      <xdr:colOff>199800</xdr:colOff>
      <xdr:row>85</xdr:row>
      <xdr:rowOff>199800</xdr:rowOff>
    </xdr:to>
    <xdr:pic>
      <xdr:nvPicPr>
        <xdr:cNvPr id="84" name="image80.png" descr=""/>
        <xdr:cNvPicPr/>
      </xdr:nvPicPr>
      <xdr:blipFill>
        <a:blip r:embed="rId85"/>
        <a:stretch/>
      </xdr:blipFill>
      <xdr:spPr>
        <a:xfrm>
          <a:off x="1843560" y="17002080"/>
          <a:ext cx="199800" cy="199800"/>
        </a:xfrm>
        <a:prstGeom prst="rect">
          <a:avLst/>
        </a:prstGeom>
        <a:ln w="0">
          <a:noFill/>
        </a:ln>
      </xdr:spPr>
    </xdr:pic>
    <xdr:clientData/>
  </xdr:twoCellAnchor>
  <xdr:twoCellAnchor editAs="oneCell">
    <xdr:from>
      <xdr:col>2</xdr:col>
      <xdr:colOff>0</xdr:colOff>
      <xdr:row>86</xdr:row>
      <xdr:rowOff>0</xdr:rowOff>
    </xdr:from>
    <xdr:to>
      <xdr:col>2</xdr:col>
      <xdr:colOff>199800</xdr:colOff>
      <xdr:row>86</xdr:row>
      <xdr:rowOff>199800</xdr:rowOff>
    </xdr:to>
    <xdr:pic>
      <xdr:nvPicPr>
        <xdr:cNvPr id="85" name="image81.png" descr=""/>
        <xdr:cNvPicPr/>
      </xdr:nvPicPr>
      <xdr:blipFill>
        <a:blip r:embed="rId86"/>
        <a:stretch/>
      </xdr:blipFill>
      <xdr:spPr>
        <a:xfrm>
          <a:off x="1843560" y="17202240"/>
          <a:ext cx="199800" cy="199800"/>
        </a:xfrm>
        <a:prstGeom prst="rect">
          <a:avLst/>
        </a:prstGeom>
        <a:ln w="0">
          <a:noFill/>
        </a:ln>
      </xdr:spPr>
    </xdr:pic>
    <xdr:clientData/>
  </xdr:twoCellAnchor>
  <xdr:twoCellAnchor editAs="oneCell">
    <xdr:from>
      <xdr:col>2</xdr:col>
      <xdr:colOff>0</xdr:colOff>
      <xdr:row>87</xdr:row>
      <xdr:rowOff>0</xdr:rowOff>
    </xdr:from>
    <xdr:to>
      <xdr:col>2</xdr:col>
      <xdr:colOff>199800</xdr:colOff>
      <xdr:row>87</xdr:row>
      <xdr:rowOff>199800</xdr:rowOff>
    </xdr:to>
    <xdr:pic>
      <xdr:nvPicPr>
        <xdr:cNvPr id="86" name="image79.png" descr=""/>
        <xdr:cNvPicPr/>
      </xdr:nvPicPr>
      <xdr:blipFill>
        <a:blip r:embed="rId87"/>
        <a:stretch/>
      </xdr:blipFill>
      <xdr:spPr>
        <a:xfrm>
          <a:off x="1843560" y="17402040"/>
          <a:ext cx="199800" cy="199800"/>
        </a:xfrm>
        <a:prstGeom prst="rect">
          <a:avLst/>
        </a:prstGeom>
        <a:ln w="0">
          <a:noFill/>
        </a:ln>
      </xdr:spPr>
    </xdr:pic>
    <xdr:clientData/>
  </xdr:twoCellAnchor>
  <xdr:twoCellAnchor editAs="oneCell">
    <xdr:from>
      <xdr:col>2</xdr:col>
      <xdr:colOff>0</xdr:colOff>
      <xdr:row>88</xdr:row>
      <xdr:rowOff>0</xdr:rowOff>
    </xdr:from>
    <xdr:to>
      <xdr:col>2</xdr:col>
      <xdr:colOff>199800</xdr:colOff>
      <xdr:row>88</xdr:row>
      <xdr:rowOff>199800</xdr:rowOff>
    </xdr:to>
    <xdr:pic>
      <xdr:nvPicPr>
        <xdr:cNvPr id="87" name="image135.png" descr=""/>
        <xdr:cNvPicPr/>
      </xdr:nvPicPr>
      <xdr:blipFill>
        <a:blip r:embed="rId88"/>
        <a:stretch/>
      </xdr:blipFill>
      <xdr:spPr>
        <a:xfrm>
          <a:off x="1843560" y="17602200"/>
          <a:ext cx="199800" cy="199800"/>
        </a:xfrm>
        <a:prstGeom prst="rect">
          <a:avLst/>
        </a:prstGeom>
        <a:ln w="0">
          <a:noFill/>
        </a:ln>
      </xdr:spPr>
    </xdr:pic>
    <xdr:clientData/>
  </xdr:twoCellAnchor>
  <xdr:twoCellAnchor editAs="oneCell">
    <xdr:from>
      <xdr:col>2</xdr:col>
      <xdr:colOff>0</xdr:colOff>
      <xdr:row>89</xdr:row>
      <xdr:rowOff>0</xdr:rowOff>
    </xdr:from>
    <xdr:to>
      <xdr:col>2</xdr:col>
      <xdr:colOff>199800</xdr:colOff>
      <xdr:row>89</xdr:row>
      <xdr:rowOff>199800</xdr:rowOff>
    </xdr:to>
    <xdr:pic>
      <xdr:nvPicPr>
        <xdr:cNvPr id="88" name="image136.png" descr=""/>
        <xdr:cNvPicPr/>
      </xdr:nvPicPr>
      <xdr:blipFill>
        <a:blip r:embed="rId89"/>
        <a:stretch/>
      </xdr:blipFill>
      <xdr:spPr>
        <a:xfrm>
          <a:off x="1843560" y="17802360"/>
          <a:ext cx="199800" cy="199800"/>
        </a:xfrm>
        <a:prstGeom prst="rect">
          <a:avLst/>
        </a:prstGeom>
        <a:ln w="0">
          <a:noFill/>
        </a:ln>
      </xdr:spPr>
    </xdr:pic>
    <xdr:clientData/>
  </xdr:twoCellAnchor>
  <xdr:twoCellAnchor editAs="oneCell">
    <xdr:from>
      <xdr:col>2</xdr:col>
      <xdr:colOff>0</xdr:colOff>
      <xdr:row>90</xdr:row>
      <xdr:rowOff>0</xdr:rowOff>
    </xdr:from>
    <xdr:to>
      <xdr:col>2</xdr:col>
      <xdr:colOff>199800</xdr:colOff>
      <xdr:row>90</xdr:row>
      <xdr:rowOff>199800</xdr:rowOff>
    </xdr:to>
    <xdr:pic>
      <xdr:nvPicPr>
        <xdr:cNvPr id="89" name="image82.png" descr=""/>
        <xdr:cNvPicPr/>
      </xdr:nvPicPr>
      <xdr:blipFill>
        <a:blip r:embed="rId90"/>
        <a:stretch/>
      </xdr:blipFill>
      <xdr:spPr>
        <a:xfrm>
          <a:off x="1843560" y="18002160"/>
          <a:ext cx="199800" cy="199800"/>
        </a:xfrm>
        <a:prstGeom prst="rect">
          <a:avLst/>
        </a:prstGeom>
        <a:ln w="0">
          <a:noFill/>
        </a:ln>
      </xdr:spPr>
    </xdr:pic>
    <xdr:clientData/>
  </xdr:twoCellAnchor>
  <xdr:twoCellAnchor editAs="oneCell">
    <xdr:from>
      <xdr:col>2</xdr:col>
      <xdr:colOff>0</xdr:colOff>
      <xdr:row>91</xdr:row>
      <xdr:rowOff>0</xdr:rowOff>
    </xdr:from>
    <xdr:to>
      <xdr:col>2</xdr:col>
      <xdr:colOff>199800</xdr:colOff>
      <xdr:row>91</xdr:row>
      <xdr:rowOff>199800</xdr:rowOff>
    </xdr:to>
    <xdr:pic>
      <xdr:nvPicPr>
        <xdr:cNvPr id="90" name="image87.png" descr=""/>
        <xdr:cNvPicPr/>
      </xdr:nvPicPr>
      <xdr:blipFill>
        <a:blip r:embed="rId91"/>
        <a:stretch/>
      </xdr:blipFill>
      <xdr:spPr>
        <a:xfrm>
          <a:off x="1843560" y="18202320"/>
          <a:ext cx="199800" cy="199800"/>
        </a:xfrm>
        <a:prstGeom prst="rect">
          <a:avLst/>
        </a:prstGeom>
        <a:ln w="0">
          <a:noFill/>
        </a:ln>
      </xdr:spPr>
    </xdr:pic>
    <xdr:clientData/>
  </xdr:twoCellAnchor>
  <xdr:twoCellAnchor editAs="oneCell">
    <xdr:from>
      <xdr:col>2</xdr:col>
      <xdr:colOff>0</xdr:colOff>
      <xdr:row>92</xdr:row>
      <xdr:rowOff>0</xdr:rowOff>
    </xdr:from>
    <xdr:to>
      <xdr:col>2</xdr:col>
      <xdr:colOff>199800</xdr:colOff>
      <xdr:row>92</xdr:row>
      <xdr:rowOff>199800</xdr:rowOff>
    </xdr:to>
    <xdr:pic>
      <xdr:nvPicPr>
        <xdr:cNvPr id="91" name="image85.png" descr=""/>
        <xdr:cNvPicPr/>
      </xdr:nvPicPr>
      <xdr:blipFill>
        <a:blip r:embed="rId92"/>
        <a:stretch/>
      </xdr:blipFill>
      <xdr:spPr>
        <a:xfrm>
          <a:off x="1843560" y="18402480"/>
          <a:ext cx="199800" cy="199800"/>
        </a:xfrm>
        <a:prstGeom prst="rect">
          <a:avLst/>
        </a:prstGeom>
        <a:ln w="0">
          <a:noFill/>
        </a:ln>
      </xdr:spPr>
    </xdr:pic>
    <xdr:clientData/>
  </xdr:twoCellAnchor>
  <xdr:twoCellAnchor editAs="oneCell">
    <xdr:from>
      <xdr:col>2</xdr:col>
      <xdr:colOff>0</xdr:colOff>
      <xdr:row>93</xdr:row>
      <xdr:rowOff>0</xdr:rowOff>
    </xdr:from>
    <xdr:to>
      <xdr:col>2</xdr:col>
      <xdr:colOff>199800</xdr:colOff>
      <xdr:row>93</xdr:row>
      <xdr:rowOff>199800</xdr:rowOff>
    </xdr:to>
    <xdr:pic>
      <xdr:nvPicPr>
        <xdr:cNvPr id="92" name="image97.png" descr=""/>
        <xdr:cNvPicPr/>
      </xdr:nvPicPr>
      <xdr:blipFill>
        <a:blip r:embed="rId93"/>
        <a:stretch/>
      </xdr:blipFill>
      <xdr:spPr>
        <a:xfrm>
          <a:off x="1843560" y="18602280"/>
          <a:ext cx="199800" cy="199800"/>
        </a:xfrm>
        <a:prstGeom prst="rect">
          <a:avLst/>
        </a:prstGeom>
        <a:ln w="0">
          <a:noFill/>
        </a:ln>
      </xdr:spPr>
    </xdr:pic>
    <xdr:clientData/>
  </xdr:twoCellAnchor>
  <xdr:twoCellAnchor editAs="oneCell">
    <xdr:from>
      <xdr:col>2</xdr:col>
      <xdr:colOff>0</xdr:colOff>
      <xdr:row>94</xdr:row>
      <xdr:rowOff>0</xdr:rowOff>
    </xdr:from>
    <xdr:to>
      <xdr:col>2</xdr:col>
      <xdr:colOff>199800</xdr:colOff>
      <xdr:row>94</xdr:row>
      <xdr:rowOff>199800</xdr:rowOff>
    </xdr:to>
    <xdr:pic>
      <xdr:nvPicPr>
        <xdr:cNvPr id="93" name="image86.png" descr=""/>
        <xdr:cNvPicPr/>
      </xdr:nvPicPr>
      <xdr:blipFill>
        <a:blip r:embed="rId94"/>
        <a:stretch/>
      </xdr:blipFill>
      <xdr:spPr>
        <a:xfrm>
          <a:off x="1843560" y="18802440"/>
          <a:ext cx="199800" cy="199800"/>
        </a:xfrm>
        <a:prstGeom prst="rect">
          <a:avLst/>
        </a:prstGeom>
        <a:ln w="0">
          <a:noFill/>
        </a:ln>
      </xdr:spPr>
    </xdr:pic>
    <xdr:clientData/>
  </xdr:twoCellAnchor>
  <xdr:twoCellAnchor editAs="oneCell">
    <xdr:from>
      <xdr:col>2</xdr:col>
      <xdr:colOff>0</xdr:colOff>
      <xdr:row>95</xdr:row>
      <xdr:rowOff>0</xdr:rowOff>
    </xdr:from>
    <xdr:to>
      <xdr:col>2</xdr:col>
      <xdr:colOff>199800</xdr:colOff>
      <xdr:row>95</xdr:row>
      <xdr:rowOff>199800</xdr:rowOff>
    </xdr:to>
    <xdr:pic>
      <xdr:nvPicPr>
        <xdr:cNvPr id="94" name="image89.png" descr=""/>
        <xdr:cNvPicPr/>
      </xdr:nvPicPr>
      <xdr:blipFill>
        <a:blip r:embed="rId95"/>
        <a:stretch/>
      </xdr:blipFill>
      <xdr:spPr>
        <a:xfrm>
          <a:off x="1843560" y="19002240"/>
          <a:ext cx="199800" cy="199800"/>
        </a:xfrm>
        <a:prstGeom prst="rect">
          <a:avLst/>
        </a:prstGeom>
        <a:ln w="0">
          <a:noFill/>
        </a:ln>
      </xdr:spPr>
    </xdr:pic>
    <xdr:clientData/>
  </xdr:twoCellAnchor>
  <xdr:twoCellAnchor editAs="oneCell">
    <xdr:from>
      <xdr:col>2</xdr:col>
      <xdr:colOff>0</xdr:colOff>
      <xdr:row>96</xdr:row>
      <xdr:rowOff>0</xdr:rowOff>
    </xdr:from>
    <xdr:to>
      <xdr:col>2</xdr:col>
      <xdr:colOff>199800</xdr:colOff>
      <xdr:row>96</xdr:row>
      <xdr:rowOff>199800</xdr:rowOff>
    </xdr:to>
    <xdr:pic>
      <xdr:nvPicPr>
        <xdr:cNvPr id="95" name="image98.png" descr=""/>
        <xdr:cNvPicPr/>
      </xdr:nvPicPr>
      <xdr:blipFill>
        <a:blip r:embed="rId96"/>
        <a:stretch/>
      </xdr:blipFill>
      <xdr:spPr>
        <a:xfrm>
          <a:off x="1843560" y="19202400"/>
          <a:ext cx="199800" cy="199800"/>
        </a:xfrm>
        <a:prstGeom prst="rect">
          <a:avLst/>
        </a:prstGeom>
        <a:ln w="0">
          <a:noFill/>
        </a:ln>
      </xdr:spPr>
    </xdr:pic>
    <xdr:clientData/>
  </xdr:twoCellAnchor>
  <xdr:twoCellAnchor editAs="oneCell">
    <xdr:from>
      <xdr:col>2</xdr:col>
      <xdr:colOff>0</xdr:colOff>
      <xdr:row>97</xdr:row>
      <xdr:rowOff>0</xdr:rowOff>
    </xdr:from>
    <xdr:to>
      <xdr:col>2</xdr:col>
      <xdr:colOff>199800</xdr:colOff>
      <xdr:row>97</xdr:row>
      <xdr:rowOff>199800</xdr:rowOff>
    </xdr:to>
    <xdr:pic>
      <xdr:nvPicPr>
        <xdr:cNvPr id="96" name="image88.png" descr=""/>
        <xdr:cNvPicPr/>
      </xdr:nvPicPr>
      <xdr:blipFill>
        <a:blip r:embed="rId97"/>
        <a:stretch/>
      </xdr:blipFill>
      <xdr:spPr>
        <a:xfrm>
          <a:off x="1843560" y="19402560"/>
          <a:ext cx="199800" cy="199800"/>
        </a:xfrm>
        <a:prstGeom prst="rect">
          <a:avLst/>
        </a:prstGeom>
        <a:ln w="0">
          <a:noFill/>
        </a:ln>
      </xdr:spPr>
    </xdr:pic>
    <xdr:clientData/>
  </xdr:twoCellAnchor>
  <xdr:twoCellAnchor editAs="oneCell">
    <xdr:from>
      <xdr:col>2</xdr:col>
      <xdr:colOff>0</xdr:colOff>
      <xdr:row>98</xdr:row>
      <xdr:rowOff>0</xdr:rowOff>
    </xdr:from>
    <xdr:to>
      <xdr:col>2</xdr:col>
      <xdr:colOff>199800</xdr:colOff>
      <xdr:row>98</xdr:row>
      <xdr:rowOff>199800</xdr:rowOff>
    </xdr:to>
    <xdr:pic>
      <xdr:nvPicPr>
        <xdr:cNvPr id="97" name="image90.png" descr=""/>
        <xdr:cNvPicPr/>
      </xdr:nvPicPr>
      <xdr:blipFill>
        <a:blip r:embed="rId98"/>
        <a:stretch/>
      </xdr:blipFill>
      <xdr:spPr>
        <a:xfrm>
          <a:off x="1843560" y="19602360"/>
          <a:ext cx="199800" cy="199800"/>
        </a:xfrm>
        <a:prstGeom prst="rect">
          <a:avLst/>
        </a:prstGeom>
        <a:ln w="0">
          <a:noFill/>
        </a:ln>
      </xdr:spPr>
    </xdr:pic>
    <xdr:clientData/>
  </xdr:twoCellAnchor>
  <xdr:twoCellAnchor editAs="oneCell">
    <xdr:from>
      <xdr:col>2</xdr:col>
      <xdr:colOff>0</xdr:colOff>
      <xdr:row>99</xdr:row>
      <xdr:rowOff>0</xdr:rowOff>
    </xdr:from>
    <xdr:to>
      <xdr:col>2</xdr:col>
      <xdr:colOff>199800</xdr:colOff>
      <xdr:row>99</xdr:row>
      <xdr:rowOff>199800</xdr:rowOff>
    </xdr:to>
    <xdr:pic>
      <xdr:nvPicPr>
        <xdr:cNvPr id="98" name="image94.png" descr=""/>
        <xdr:cNvPicPr/>
      </xdr:nvPicPr>
      <xdr:blipFill>
        <a:blip r:embed="rId99"/>
        <a:stretch/>
      </xdr:blipFill>
      <xdr:spPr>
        <a:xfrm>
          <a:off x="1843560" y="19802520"/>
          <a:ext cx="199800" cy="199800"/>
        </a:xfrm>
        <a:prstGeom prst="rect">
          <a:avLst/>
        </a:prstGeom>
        <a:ln w="0">
          <a:noFill/>
        </a:ln>
      </xdr:spPr>
    </xdr:pic>
    <xdr:clientData/>
  </xdr:twoCellAnchor>
  <xdr:twoCellAnchor editAs="oneCell">
    <xdr:from>
      <xdr:col>2</xdr:col>
      <xdr:colOff>0</xdr:colOff>
      <xdr:row>100</xdr:row>
      <xdr:rowOff>0</xdr:rowOff>
    </xdr:from>
    <xdr:to>
      <xdr:col>2</xdr:col>
      <xdr:colOff>199800</xdr:colOff>
      <xdr:row>100</xdr:row>
      <xdr:rowOff>199800</xdr:rowOff>
    </xdr:to>
    <xdr:pic>
      <xdr:nvPicPr>
        <xdr:cNvPr id="99" name="image93.png" descr=""/>
        <xdr:cNvPicPr/>
      </xdr:nvPicPr>
      <xdr:blipFill>
        <a:blip r:embed="rId100"/>
        <a:stretch/>
      </xdr:blipFill>
      <xdr:spPr>
        <a:xfrm>
          <a:off x="1843560" y="20002680"/>
          <a:ext cx="199800" cy="199800"/>
        </a:xfrm>
        <a:prstGeom prst="rect">
          <a:avLst/>
        </a:prstGeom>
        <a:ln w="0">
          <a:noFill/>
        </a:ln>
      </xdr:spPr>
    </xdr:pic>
    <xdr:clientData/>
  </xdr:twoCellAnchor>
  <xdr:twoCellAnchor editAs="oneCell">
    <xdr:from>
      <xdr:col>2</xdr:col>
      <xdr:colOff>0</xdr:colOff>
      <xdr:row>101</xdr:row>
      <xdr:rowOff>0</xdr:rowOff>
    </xdr:from>
    <xdr:to>
      <xdr:col>2</xdr:col>
      <xdr:colOff>199800</xdr:colOff>
      <xdr:row>101</xdr:row>
      <xdr:rowOff>199800</xdr:rowOff>
    </xdr:to>
    <xdr:pic>
      <xdr:nvPicPr>
        <xdr:cNvPr id="100" name="image100.png" descr=""/>
        <xdr:cNvPicPr/>
      </xdr:nvPicPr>
      <xdr:blipFill>
        <a:blip r:embed="rId101"/>
        <a:stretch/>
      </xdr:blipFill>
      <xdr:spPr>
        <a:xfrm>
          <a:off x="1843560" y="20202480"/>
          <a:ext cx="199800" cy="199800"/>
        </a:xfrm>
        <a:prstGeom prst="rect">
          <a:avLst/>
        </a:prstGeom>
        <a:ln w="0">
          <a:noFill/>
        </a:ln>
      </xdr:spPr>
    </xdr:pic>
    <xdr:clientData/>
  </xdr:twoCellAnchor>
  <xdr:twoCellAnchor editAs="oneCell">
    <xdr:from>
      <xdr:col>2</xdr:col>
      <xdr:colOff>0</xdr:colOff>
      <xdr:row>102</xdr:row>
      <xdr:rowOff>0</xdr:rowOff>
    </xdr:from>
    <xdr:to>
      <xdr:col>2</xdr:col>
      <xdr:colOff>199800</xdr:colOff>
      <xdr:row>102</xdr:row>
      <xdr:rowOff>199800</xdr:rowOff>
    </xdr:to>
    <xdr:pic>
      <xdr:nvPicPr>
        <xdr:cNvPr id="101" name="image96.png" descr=""/>
        <xdr:cNvPicPr/>
      </xdr:nvPicPr>
      <xdr:blipFill>
        <a:blip r:embed="rId102"/>
        <a:stretch/>
      </xdr:blipFill>
      <xdr:spPr>
        <a:xfrm>
          <a:off x="1843560" y="20402640"/>
          <a:ext cx="199800" cy="199800"/>
        </a:xfrm>
        <a:prstGeom prst="rect">
          <a:avLst/>
        </a:prstGeom>
        <a:ln w="0">
          <a:noFill/>
        </a:ln>
      </xdr:spPr>
    </xdr:pic>
    <xdr:clientData/>
  </xdr:twoCellAnchor>
  <xdr:twoCellAnchor editAs="oneCell">
    <xdr:from>
      <xdr:col>2</xdr:col>
      <xdr:colOff>0</xdr:colOff>
      <xdr:row>103</xdr:row>
      <xdr:rowOff>0</xdr:rowOff>
    </xdr:from>
    <xdr:to>
      <xdr:col>2</xdr:col>
      <xdr:colOff>199800</xdr:colOff>
      <xdr:row>103</xdr:row>
      <xdr:rowOff>199800</xdr:rowOff>
    </xdr:to>
    <xdr:pic>
      <xdr:nvPicPr>
        <xdr:cNvPr id="102" name="image138.png" descr=""/>
        <xdr:cNvPicPr/>
      </xdr:nvPicPr>
      <xdr:blipFill>
        <a:blip r:embed="rId103"/>
        <a:stretch/>
      </xdr:blipFill>
      <xdr:spPr>
        <a:xfrm>
          <a:off x="1843560" y="20602440"/>
          <a:ext cx="199800" cy="199800"/>
        </a:xfrm>
        <a:prstGeom prst="rect">
          <a:avLst/>
        </a:prstGeom>
        <a:ln w="0">
          <a:noFill/>
        </a:ln>
      </xdr:spPr>
    </xdr:pic>
    <xdr:clientData/>
  </xdr:twoCellAnchor>
  <xdr:twoCellAnchor editAs="oneCell">
    <xdr:from>
      <xdr:col>2</xdr:col>
      <xdr:colOff>0</xdr:colOff>
      <xdr:row>104</xdr:row>
      <xdr:rowOff>0</xdr:rowOff>
    </xdr:from>
    <xdr:to>
      <xdr:col>2</xdr:col>
      <xdr:colOff>199800</xdr:colOff>
      <xdr:row>104</xdr:row>
      <xdr:rowOff>199800</xdr:rowOff>
    </xdr:to>
    <xdr:pic>
      <xdr:nvPicPr>
        <xdr:cNvPr id="103" name="image103.png" descr=""/>
        <xdr:cNvPicPr/>
      </xdr:nvPicPr>
      <xdr:blipFill>
        <a:blip r:embed="rId104"/>
        <a:stretch/>
      </xdr:blipFill>
      <xdr:spPr>
        <a:xfrm>
          <a:off x="1843560" y="20802600"/>
          <a:ext cx="199800" cy="199800"/>
        </a:xfrm>
        <a:prstGeom prst="rect">
          <a:avLst/>
        </a:prstGeom>
        <a:ln w="0">
          <a:noFill/>
        </a:ln>
      </xdr:spPr>
    </xdr:pic>
    <xdr:clientData/>
  </xdr:twoCellAnchor>
  <xdr:twoCellAnchor editAs="oneCell">
    <xdr:from>
      <xdr:col>2</xdr:col>
      <xdr:colOff>0</xdr:colOff>
      <xdr:row>105</xdr:row>
      <xdr:rowOff>0</xdr:rowOff>
    </xdr:from>
    <xdr:to>
      <xdr:col>2</xdr:col>
      <xdr:colOff>199800</xdr:colOff>
      <xdr:row>105</xdr:row>
      <xdr:rowOff>199800</xdr:rowOff>
    </xdr:to>
    <xdr:pic>
      <xdr:nvPicPr>
        <xdr:cNvPr id="104" name="image92.png" descr=""/>
        <xdr:cNvPicPr/>
      </xdr:nvPicPr>
      <xdr:blipFill>
        <a:blip r:embed="rId105"/>
        <a:stretch/>
      </xdr:blipFill>
      <xdr:spPr>
        <a:xfrm>
          <a:off x="1843560" y="21002760"/>
          <a:ext cx="199800" cy="199800"/>
        </a:xfrm>
        <a:prstGeom prst="rect">
          <a:avLst/>
        </a:prstGeom>
        <a:ln w="0">
          <a:noFill/>
        </a:ln>
      </xdr:spPr>
    </xdr:pic>
    <xdr:clientData/>
  </xdr:twoCellAnchor>
  <xdr:twoCellAnchor editAs="oneCell">
    <xdr:from>
      <xdr:col>2</xdr:col>
      <xdr:colOff>0</xdr:colOff>
      <xdr:row>106</xdr:row>
      <xdr:rowOff>0</xdr:rowOff>
    </xdr:from>
    <xdr:to>
      <xdr:col>2</xdr:col>
      <xdr:colOff>199800</xdr:colOff>
      <xdr:row>106</xdr:row>
      <xdr:rowOff>199800</xdr:rowOff>
    </xdr:to>
    <xdr:pic>
      <xdr:nvPicPr>
        <xdr:cNvPr id="105" name="image91.png" descr=""/>
        <xdr:cNvPicPr/>
      </xdr:nvPicPr>
      <xdr:blipFill>
        <a:blip r:embed="rId106"/>
        <a:stretch/>
      </xdr:blipFill>
      <xdr:spPr>
        <a:xfrm>
          <a:off x="1843560" y="21202560"/>
          <a:ext cx="199800" cy="199800"/>
        </a:xfrm>
        <a:prstGeom prst="rect">
          <a:avLst/>
        </a:prstGeom>
        <a:ln w="0">
          <a:noFill/>
        </a:ln>
      </xdr:spPr>
    </xdr:pic>
    <xdr:clientData/>
  </xdr:twoCellAnchor>
  <xdr:twoCellAnchor editAs="oneCell">
    <xdr:from>
      <xdr:col>2</xdr:col>
      <xdr:colOff>0</xdr:colOff>
      <xdr:row>107</xdr:row>
      <xdr:rowOff>0</xdr:rowOff>
    </xdr:from>
    <xdr:to>
      <xdr:col>2</xdr:col>
      <xdr:colOff>199800</xdr:colOff>
      <xdr:row>107</xdr:row>
      <xdr:rowOff>199800</xdr:rowOff>
    </xdr:to>
    <xdr:pic>
      <xdr:nvPicPr>
        <xdr:cNvPr id="106" name="image101.png" descr=""/>
        <xdr:cNvPicPr/>
      </xdr:nvPicPr>
      <xdr:blipFill>
        <a:blip r:embed="rId107"/>
        <a:stretch/>
      </xdr:blipFill>
      <xdr:spPr>
        <a:xfrm>
          <a:off x="1843560" y="21402720"/>
          <a:ext cx="199800" cy="199800"/>
        </a:xfrm>
        <a:prstGeom prst="rect">
          <a:avLst/>
        </a:prstGeom>
        <a:ln w="0">
          <a:noFill/>
        </a:ln>
      </xdr:spPr>
    </xdr:pic>
    <xdr:clientData/>
  </xdr:twoCellAnchor>
  <xdr:twoCellAnchor editAs="oneCell">
    <xdr:from>
      <xdr:col>2</xdr:col>
      <xdr:colOff>0</xdr:colOff>
      <xdr:row>108</xdr:row>
      <xdr:rowOff>0</xdr:rowOff>
    </xdr:from>
    <xdr:to>
      <xdr:col>2</xdr:col>
      <xdr:colOff>199800</xdr:colOff>
      <xdr:row>108</xdr:row>
      <xdr:rowOff>199800</xdr:rowOff>
    </xdr:to>
    <xdr:pic>
      <xdr:nvPicPr>
        <xdr:cNvPr id="107" name="image95.png" descr=""/>
        <xdr:cNvPicPr/>
      </xdr:nvPicPr>
      <xdr:blipFill>
        <a:blip r:embed="rId108"/>
        <a:stretch/>
      </xdr:blipFill>
      <xdr:spPr>
        <a:xfrm>
          <a:off x="1843560" y="21602880"/>
          <a:ext cx="199800" cy="199800"/>
        </a:xfrm>
        <a:prstGeom prst="rect">
          <a:avLst/>
        </a:prstGeom>
        <a:ln w="0">
          <a:noFill/>
        </a:ln>
      </xdr:spPr>
    </xdr:pic>
    <xdr:clientData/>
  </xdr:twoCellAnchor>
  <xdr:twoCellAnchor editAs="oneCell">
    <xdr:from>
      <xdr:col>2</xdr:col>
      <xdr:colOff>0</xdr:colOff>
      <xdr:row>109</xdr:row>
      <xdr:rowOff>0</xdr:rowOff>
    </xdr:from>
    <xdr:to>
      <xdr:col>2</xdr:col>
      <xdr:colOff>199800</xdr:colOff>
      <xdr:row>109</xdr:row>
      <xdr:rowOff>199800</xdr:rowOff>
    </xdr:to>
    <xdr:pic>
      <xdr:nvPicPr>
        <xdr:cNvPr id="108" name="image104.png" descr=""/>
        <xdr:cNvPicPr/>
      </xdr:nvPicPr>
      <xdr:blipFill>
        <a:blip r:embed="rId109"/>
        <a:stretch/>
      </xdr:blipFill>
      <xdr:spPr>
        <a:xfrm>
          <a:off x="1843560" y="21802680"/>
          <a:ext cx="199800" cy="199800"/>
        </a:xfrm>
        <a:prstGeom prst="rect">
          <a:avLst/>
        </a:prstGeom>
        <a:ln w="0">
          <a:noFill/>
        </a:ln>
      </xdr:spPr>
    </xdr:pic>
    <xdr:clientData/>
  </xdr:twoCellAnchor>
  <xdr:twoCellAnchor editAs="oneCell">
    <xdr:from>
      <xdr:col>2</xdr:col>
      <xdr:colOff>0</xdr:colOff>
      <xdr:row>110</xdr:row>
      <xdr:rowOff>0</xdr:rowOff>
    </xdr:from>
    <xdr:to>
      <xdr:col>2</xdr:col>
      <xdr:colOff>199800</xdr:colOff>
      <xdr:row>110</xdr:row>
      <xdr:rowOff>199800</xdr:rowOff>
    </xdr:to>
    <xdr:pic>
      <xdr:nvPicPr>
        <xdr:cNvPr id="109" name="image105.png" descr=""/>
        <xdr:cNvPicPr/>
      </xdr:nvPicPr>
      <xdr:blipFill>
        <a:blip r:embed="rId110"/>
        <a:stretch/>
      </xdr:blipFill>
      <xdr:spPr>
        <a:xfrm>
          <a:off x="1843560" y="22002840"/>
          <a:ext cx="199800" cy="199800"/>
        </a:xfrm>
        <a:prstGeom prst="rect">
          <a:avLst/>
        </a:prstGeom>
        <a:ln w="0">
          <a:noFill/>
        </a:ln>
      </xdr:spPr>
    </xdr:pic>
    <xdr:clientData/>
  </xdr:twoCellAnchor>
  <xdr:twoCellAnchor editAs="oneCell">
    <xdr:from>
      <xdr:col>2</xdr:col>
      <xdr:colOff>0</xdr:colOff>
      <xdr:row>111</xdr:row>
      <xdr:rowOff>0</xdr:rowOff>
    </xdr:from>
    <xdr:to>
      <xdr:col>2</xdr:col>
      <xdr:colOff>199800</xdr:colOff>
      <xdr:row>111</xdr:row>
      <xdr:rowOff>199800</xdr:rowOff>
    </xdr:to>
    <xdr:pic>
      <xdr:nvPicPr>
        <xdr:cNvPr id="110" name="image102.png" descr=""/>
        <xdr:cNvPicPr/>
      </xdr:nvPicPr>
      <xdr:blipFill>
        <a:blip r:embed="rId111"/>
        <a:stretch/>
      </xdr:blipFill>
      <xdr:spPr>
        <a:xfrm>
          <a:off x="1843560" y="22202640"/>
          <a:ext cx="199800" cy="199800"/>
        </a:xfrm>
        <a:prstGeom prst="rect">
          <a:avLst/>
        </a:prstGeom>
        <a:ln w="0">
          <a:noFill/>
        </a:ln>
      </xdr:spPr>
    </xdr:pic>
    <xdr:clientData/>
  </xdr:twoCellAnchor>
  <xdr:twoCellAnchor editAs="oneCell">
    <xdr:from>
      <xdr:col>2</xdr:col>
      <xdr:colOff>0</xdr:colOff>
      <xdr:row>112</xdr:row>
      <xdr:rowOff>0</xdr:rowOff>
    </xdr:from>
    <xdr:to>
      <xdr:col>2</xdr:col>
      <xdr:colOff>199800</xdr:colOff>
      <xdr:row>112</xdr:row>
      <xdr:rowOff>199800</xdr:rowOff>
    </xdr:to>
    <xdr:pic>
      <xdr:nvPicPr>
        <xdr:cNvPr id="111" name="image111.png" descr=""/>
        <xdr:cNvPicPr/>
      </xdr:nvPicPr>
      <xdr:blipFill>
        <a:blip r:embed="rId112"/>
        <a:stretch/>
      </xdr:blipFill>
      <xdr:spPr>
        <a:xfrm>
          <a:off x="1843560" y="22402800"/>
          <a:ext cx="199800" cy="199800"/>
        </a:xfrm>
        <a:prstGeom prst="rect">
          <a:avLst/>
        </a:prstGeom>
        <a:ln w="0">
          <a:noFill/>
        </a:ln>
      </xdr:spPr>
    </xdr:pic>
    <xdr:clientData/>
  </xdr:twoCellAnchor>
  <xdr:twoCellAnchor editAs="oneCell">
    <xdr:from>
      <xdr:col>2</xdr:col>
      <xdr:colOff>0</xdr:colOff>
      <xdr:row>113</xdr:row>
      <xdr:rowOff>0</xdr:rowOff>
    </xdr:from>
    <xdr:to>
      <xdr:col>2</xdr:col>
      <xdr:colOff>199800</xdr:colOff>
      <xdr:row>113</xdr:row>
      <xdr:rowOff>199800</xdr:rowOff>
    </xdr:to>
    <xdr:pic>
      <xdr:nvPicPr>
        <xdr:cNvPr id="112" name="image107.png" descr=""/>
        <xdr:cNvPicPr/>
      </xdr:nvPicPr>
      <xdr:blipFill>
        <a:blip r:embed="rId113"/>
        <a:stretch/>
      </xdr:blipFill>
      <xdr:spPr>
        <a:xfrm>
          <a:off x="1843560" y="22602960"/>
          <a:ext cx="199800" cy="199800"/>
        </a:xfrm>
        <a:prstGeom prst="rect">
          <a:avLst/>
        </a:prstGeom>
        <a:ln w="0">
          <a:noFill/>
        </a:ln>
      </xdr:spPr>
    </xdr:pic>
    <xdr:clientData/>
  </xdr:twoCellAnchor>
  <xdr:twoCellAnchor editAs="oneCell">
    <xdr:from>
      <xdr:col>2</xdr:col>
      <xdr:colOff>0</xdr:colOff>
      <xdr:row>114</xdr:row>
      <xdr:rowOff>0</xdr:rowOff>
    </xdr:from>
    <xdr:to>
      <xdr:col>2</xdr:col>
      <xdr:colOff>199800</xdr:colOff>
      <xdr:row>114</xdr:row>
      <xdr:rowOff>199800</xdr:rowOff>
    </xdr:to>
    <xdr:pic>
      <xdr:nvPicPr>
        <xdr:cNvPr id="113" name="image124.png" descr=""/>
        <xdr:cNvPicPr/>
      </xdr:nvPicPr>
      <xdr:blipFill>
        <a:blip r:embed="rId114"/>
        <a:stretch/>
      </xdr:blipFill>
      <xdr:spPr>
        <a:xfrm>
          <a:off x="1843560" y="22802760"/>
          <a:ext cx="199800" cy="199800"/>
        </a:xfrm>
        <a:prstGeom prst="rect">
          <a:avLst/>
        </a:prstGeom>
        <a:ln w="0">
          <a:noFill/>
        </a:ln>
      </xdr:spPr>
    </xdr:pic>
    <xdr:clientData/>
  </xdr:twoCellAnchor>
  <xdr:twoCellAnchor editAs="oneCell">
    <xdr:from>
      <xdr:col>2</xdr:col>
      <xdr:colOff>0</xdr:colOff>
      <xdr:row>115</xdr:row>
      <xdr:rowOff>0</xdr:rowOff>
    </xdr:from>
    <xdr:to>
      <xdr:col>2</xdr:col>
      <xdr:colOff>199800</xdr:colOff>
      <xdr:row>115</xdr:row>
      <xdr:rowOff>199800</xdr:rowOff>
    </xdr:to>
    <xdr:pic>
      <xdr:nvPicPr>
        <xdr:cNvPr id="114" name="image109.png" descr=""/>
        <xdr:cNvPicPr/>
      </xdr:nvPicPr>
      <xdr:blipFill>
        <a:blip r:embed="rId115"/>
        <a:stretch/>
      </xdr:blipFill>
      <xdr:spPr>
        <a:xfrm>
          <a:off x="1843560" y="23002920"/>
          <a:ext cx="199800" cy="199800"/>
        </a:xfrm>
        <a:prstGeom prst="rect">
          <a:avLst/>
        </a:prstGeom>
        <a:ln w="0">
          <a:noFill/>
        </a:ln>
      </xdr:spPr>
    </xdr:pic>
    <xdr:clientData/>
  </xdr:twoCellAnchor>
  <xdr:twoCellAnchor editAs="oneCell">
    <xdr:from>
      <xdr:col>2</xdr:col>
      <xdr:colOff>0</xdr:colOff>
      <xdr:row>116</xdr:row>
      <xdr:rowOff>0</xdr:rowOff>
    </xdr:from>
    <xdr:to>
      <xdr:col>2</xdr:col>
      <xdr:colOff>199800</xdr:colOff>
      <xdr:row>116</xdr:row>
      <xdr:rowOff>199800</xdr:rowOff>
    </xdr:to>
    <xdr:pic>
      <xdr:nvPicPr>
        <xdr:cNvPr id="115" name="image114.png" descr=""/>
        <xdr:cNvPicPr/>
      </xdr:nvPicPr>
      <xdr:blipFill>
        <a:blip r:embed="rId116"/>
        <a:stretch/>
      </xdr:blipFill>
      <xdr:spPr>
        <a:xfrm>
          <a:off x="1843560" y="23203080"/>
          <a:ext cx="199800" cy="199800"/>
        </a:xfrm>
        <a:prstGeom prst="rect">
          <a:avLst/>
        </a:prstGeom>
        <a:ln w="0">
          <a:noFill/>
        </a:ln>
      </xdr:spPr>
    </xdr:pic>
    <xdr:clientData/>
  </xdr:twoCellAnchor>
  <xdr:twoCellAnchor editAs="oneCell">
    <xdr:from>
      <xdr:col>2</xdr:col>
      <xdr:colOff>0</xdr:colOff>
      <xdr:row>117</xdr:row>
      <xdr:rowOff>0</xdr:rowOff>
    </xdr:from>
    <xdr:to>
      <xdr:col>2</xdr:col>
      <xdr:colOff>199800</xdr:colOff>
      <xdr:row>117</xdr:row>
      <xdr:rowOff>199800</xdr:rowOff>
    </xdr:to>
    <xdr:pic>
      <xdr:nvPicPr>
        <xdr:cNvPr id="116" name="image117.png" descr=""/>
        <xdr:cNvPicPr/>
      </xdr:nvPicPr>
      <xdr:blipFill>
        <a:blip r:embed="rId117"/>
        <a:stretch/>
      </xdr:blipFill>
      <xdr:spPr>
        <a:xfrm>
          <a:off x="1843560" y="23402880"/>
          <a:ext cx="199800" cy="199800"/>
        </a:xfrm>
        <a:prstGeom prst="rect">
          <a:avLst/>
        </a:prstGeom>
        <a:ln w="0">
          <a:noFill/>
        </a:ln>
      </xdr:spPr>
    </xdr:pic>
    <xdr:clientData/>
  </xdr:twoCellAnchor>
  <xdr:twoCellAnchor editAs="oneCell">
    <xdr:from>
      <xdr:col>2</xdr:col>
      <xdr:colOff>0</xdr:colOff>
      <xdr:row>118</xdr:row>
      <xdr:rowOff>0</xdr:rowOff>
    </xdr:from>
    <xdr:to>
      <xdr:col>2</xdr:col>
      <xdr:colOff>199800</xdr:colOff>
      <xdr:row>118</xdr:row>
      <xdr:rowOff>199800</xdr:rowOff>
    </xdr:to>
    <xdr:pic>
      <xdr:nvPicPr>
        <xdr:cNvPr id="117" name="image110.png" descr=""/>
        <xdr:cNvPicPr/>
      </xdr:nvPicPr>
      <xdr:blipFill>
        <a:blip r:embed="rId118"/>
        <a:stretch/>
      </xdr:blipFill>
      <xdr:spPr>
        <a:xfrm>
          <a:off x="1843560" y="23603040"/>
          <a:ext cx="199800" cy="199800"/>
        </a:xfrm>
        <a:prstGeom prst="rect">
          <a:avLst/>
        </a:prstGeom>
        <a:ln w="0">
          <a:noFill/>
        </a:ln>
      </xdr:spPr>
    </xdr:pic>
    <xdr:clientData/>
  </xdr:twoCellAnchor>
  <xdr:twoCellAnchor editAs="oneCell">
    <xdr:from>
      <xdr:col>2</xdr:col>
      <xdr:colOff>0</xdr:colOff>
      <xdr:row>119</xdr:row>
      <xdr:rowOff>0</xdr:rowOff>
    </xdr:from>
    <xdr:to>
      <xdr:col>2</xdr:col>
      <xdr:colOff>199800</xdr:colOff>
      <xdr:row>119</xdr:row>
      <xdr:rowOff>199800</xdr:rowOff>
    </xdr:to>
    <xdr:pic>
      <xdr:nvPicPr>
        <xdr:cNvPr id="118" name="image113.png" descr=""/>
        <xdr:cNvPicPr/>
      </xdr:nvPicPr>
      <xdr:blipFill>
        <a:blip r:embed="rId119"/>
        <a:stretch/>
      </xdr:blipFill>
      <xdr:spPr>
        <a:xfrm>
          <a:off x="1843560" y="23802840"/>
          <a:ext cx="199800" cy="199800"/>
        </a:xfrm>
        <a:prstGeom prst="rect">
          <a:avLst/>
        </a:prstGeom>
        <a:ln w="0">
          <a:noFill/>
        </a:ln>
      </xdr:spPr>
    </xdr:pic>
    <xdr:clientData/>
  </xdr:twoCellAnchor>
  <xdr:twoCellAnchor editAs="oneCell">
    <xdr:from>
      <xdr:col>2</xdr:col>
      <xdr:colOff>0</xdr:colOff>
      <xdr:row>120</xdr:row>
      <xdr:rowOff>0</xdr:rowOff>
    </xdr:from>
    <xdr:to>
      <xdr:col>2</xdr:col>
      <xdr:colOff>199800</xdr:colOff>
      <xdr:row>120</xdr:row>
      <xdr:rowOff>199800</xdr:rowOff>
    </xdr:to>
    <xdr:pic>
      <xdr:nvPicPr>
        <xdr:cNvPr id="119" name="image112.png" descr=""/>
        <xdr:cNvPicPr/>
      </xdr:nvPicPr>
      <xdr:blipFill>
        <a:blip r:embed="rId120"/>
        <a:stretch/>
      </xdr:blipFill>
      <xdr:spPr>
        <a:xfrm>
          <a:off x="1843560" y="24003000"/>
          <a:ext cx="199800" cy="199800"/>
        </a:xfrm>
        <a:prstGeom prst="rect">
          <a:avLst/>
        </a:prstGeom>
        <a:ln w="0">
          <a:noFill/>
        </a:ln>
      </xdr:spPr>
    </xdr:pic>
    <xdr:clientData/>
  </xdr:twoCellAnchor>
  <xdr:twoCellAnchor editAs="oneCell">
    <xdr:from>
      <xdr:col>2</xdr:col>
      <xdr:colOff>0</xdr:colOff>
      <xdr:row>121</xdr:row>
      <xdr:rowOff>0</xdr:rowOff>
    </xdr:from>
    <xdr:to>
      <xdr:col>2</xdr:col>
      <xdr:colOff>199800</xdr:colOff>
      <xdr:row>121</xdr:row>
      <xdr:rowOff>199800</xdr:rowOff>
    </xdr:to>
    <xdr:pic>
      <xdr:nvPicPr>
        <xdr:cNvPr id="120" name="image122.png" descr=""/>
        <xdr:cNvPicPr/>
      </xdr:nvPicPr>
      <xdr:blipFill>
        <a:blip r:embed="rId121"/>
        <a:stretch/>
      </xdr:blipFill>
      <xdr:spPr>
        <a:xfrm>
          <a:off x="1843560" y="24203160"/>
          <a:ext cx="199800" cy="199800"/>
        </a:xfrm>
        <a:prstGeom prst="rect">
          <a:avLst/>
        </a:prstGeom>
        <a:ln w="0">
          <a:noFill/>
        </a:ln>
      </xdr:spPr>
    </xdr:pic>
    <xdr:clientData/>
  </xdr:twoCellAnchor>
  <xdr:twoCellAnchor editAs="oneCell">
    <xdr:from>
      <xdr:col>2</xdr:col>
      <xdr:colOff>0</xdr:colOff>
      <xdr:row>122</xdr:row>
      <xdr:rowOff>0</xdr:rowOff>
    </xdr:from>
    <xdr:to>
      <xdr:col>2</xdr:col>
      <xdr:colOff>199800</xdr:colOff>
      <xdr:row>122</xdr:row>
      <xdr:rowOff>199800</xdr:rowOff>
    </xdr:to>
    <xdr:pic>
      <xdr:nvPicPr>
        <xdr:cNvPr id="121" name="image119.png" descr=""/>
        <xdr:cNvPicPr/>
      </xdr:nvPicPr>
      <xdr:blipFill>
        <a:blip r:embed="rId122"/>
        <a:stretch/>
      </xdr:blipFill>
      <xdr:spPr>
        <a:xfrm>
          <a:off x="1843560" y="24402960"/>
          <a:ext cx="199800" cy="199800"/>
        </a:xfrm>
        <a:prstGeom prst="rect">
          <a:avLst/>
        </a:prstGeom>
        <a:ln w="0">
          <a:noFill/>
        </a:ln>
      </xdr:spPr>
    </xdr:pic>
    <xdr:clientData/>
  </xdr:twoCellAnchor>
  <xdr:twoCellAnchor editAs="oneCell">
    <xdr:from>
      <xdr:col>2</xdr:col>
      <xdr:colOff>0</xdr:colOff>
      <xdr:row>123</xdr:row>
      <xdr:rowOff>0</xdr:rowOff>
    </xdr:from>
    <xdr:to>
      <xdr:col>2</xdr:col>
      <xdr:colOff>199800</xdr:colOff>
      <xdr:row>123</xdr:row>
      <xdr:rowOff>199800</xdr:rowOff>
    </xdr:to>
    <xdr:pic>
      <xdr:nvPicPr>
        <xdr:cNvPr id="122" name="image115.png" descr=""/>
        <xdr:cNvPicPr/>
      </xdr:nvPicPr>
      <xdr:blipFill>
        <a:blip r:embed="rId123"/>
        <a:stretch/>
      </xdr:blipFill>
      <xdr:spPr>
        <a:xfrm>
          <a:off x="1843560" y="24603120"/>
          <a:ext cx="199800" cy="199800"/>
        </a:xfrm>
        <a:prstGeom prst="rect">
          <a:avLst/>
        </a:prstGeom>
        <a:ln w="0">
          <a:noFill/>
        </a:ln>
      </xdr:spPr>
    </xdr:pic>
    <xdr:clientData/>
  </xdr:twoCellAnchor>
  <xdr:twoCellAnchor editAs="oneCell">
    <xdr:from>
      <xdr:col>2</xdr:col>
      <xdr:colOff>0</xdr:colOff>
      <xdr:row>124</xdr:row>
      <xdr:rowOff>0</xdr:rowOff>
    </xdr:from>
    <xdr:to>
      <xdr:col>2</xdr:col>
      <xdr:colOff>199800</xdr:colOff>
      <xdr:row>124</xdr:row>
      <xdr:rowOff>199800</xdr:rowOff>
    </xdr:to>
    <xdr:pic>
      <xdr:nvPicPr>
        <xdr:cNvPr id="123" name="image118.png" descr=""/>
        <xdr:cNvPicPr/>
      </xdr:nvPicPr>
      <xdr:blipFill>
        <a:blip r:embed="rId124"/>
        <a:stretch/>
      </xdr:blipFill>
      <xdr:spPr>
        <a:xfrm>
          <a:off x="1843560" y="24803280"/>
          <a:ext cx="199800" cy="199800"/>
        </a:xfrm>
        <a:prstGeom prst="rect">
          <a:avLst/>
        </a:prstGeom>
        <a:ln w="0">
          <a:noFill/>
        </a:ln>
      </xdr:spPr>
    </xdr:pic>
    <xdr:clientData/>
  </xdr:twoCellAnchor>
  <xdr:twoCellAnchor editAs="oneCell">
    <xdr:from>
      <xdr:col>2</xdr:col>
      <xdr:colOff>0</xdr:colOff>
      <xdr:row>125</xdr:row>
      <xdr:rowOff>0</xdr:rowOff>
    </xdr:from>
    <xdr:to>
      <xdr:col>2</xdr:col>
      <xdr:colOff>199800</xdr:colOff>
      <xdr:row>125</xdr:row>
      <xdr:rowOff>199800</xdr:rowOff>
    </xdr:to>
    <xdr:pic>
      <xdr:nvPicPr>
        <xdr:cNvPr id="124" name="image116.png" descr=""/>
        <xdr:cNvPicPr/>
      </xdr:nvPicPr>
      <xdr:blipFill>
        <a:blip r:embed="rId125"/>
        <a:stretch/>
      </xdr:blipFill>
      <xdr:spPr>
        <a:xfrm>
          <a:off x="1843560" y="25003080"/>
          <a:ext cx="199800" cy="199800"/>
        </a:xfrm>
        <a:prstGeom prst="rect">
          <a:avLst/>
        </a:prstGeom>
        <a:ln w="0">
          <a:noFill/>
        </a:ln>
      </xdr:spPr>
    </xdr:pic>
    <xdr:clientData/>
  </xdr:twoCellAnchor>
  <xdr:twoCellAnchor editAs="oneCell">
    <xdr:from>
      <xdr:col>2</xdr:col>
      <xdr:colOff>0</xdr:colOff>
      <xdr:row>126</xdr:row>
      <xdr:rowOff>0</xdr:rowOff>
    </xdr:from>
    <xdr:to>
      <xdr:col>2</xdr:col>
      <xdr:colOff>199800</xdr:colOff>
      <xdr:row>126</xdr:row>
      <xdr:rowOff>199800</xdr:rowOff>
    </xdr:to>
    <xdr:pic>
      <xdr:nvPicPr>
        <xdr:cNvPr id="125" name="image121.png" descr=""/>
        <xdr:cNvPicPr/>
      </xdr:nvPicPr>
      <xdr:blipFill>
        <a:blip r:embed="rId126"/>
        <a:stretch/>
      </xdr:blipFill>
      <xdr:spPr>
        <a:xfrm>
          <a:off x="1843560" y="25203240"/>
          <a:ext cx="199800" cy="199800"/>
        </a:xfrm>
        <a:prstGeom prst="rect">
          <a:avLst/>
        </a:prstGeom>
        <a:ln w="0">
          <a:noFill/>
        </a:ln>
      </xdr:spPr>
    </xdr:pic>
    <xdr:clientData/>
  </xdr:twoCellAnchor>
  <xdr:twoCellAnchor editAs="oneCell">
    <xdr:from>
      <xdr:col>2</xdr:col>
      <xdr:colOff>0</xdr:colOff>
      <xdr:row>127</xdr:row>
      <xdr:rowOff>0</xdr:rowOff>
    </xdr:from>
    <xdr:to>
      <xdr:col>2</xdr:col>
      <xdr:colOff>199800</xdr:colOff>
      <xdr:row>127</xdr:row>
      <xdr:rowOff>199800</xdr:rowOff>
    </xdr:to>
    <xdr:pic>
      <xdr:nvPicPr>
        <xdr:cNvPr id="126" name="image120.png" descr=""/>
        <xdr:cNvPicPr/>
      </xdr:nvPicPr>
      <xdr:blipFill>
        <a:blip r:embed="rId127"/>
        <a:stretch/>
      </xdr:blipFill>
      <xdr:spPr>
        <a:xfrm>
          <a:off x="1843560" y="25403040"/>
          <a:ext cx="199800" cy="199800"/>
        </a:xfrm>
        <a:prstGeom prst="rect">
          <a:avLst/>
        </a:prstGeom>
        <a:ln w="0">
          <a:noFill/>
        </a:ln>
      </xdr:spPr>
    </xdr:pic>
    <xdr:clientData/>
  </xdr:twoCellAnchor>
  <xdr:twoCellAnchor editAs="oneCell">
    <xdr:from>
      <xdr:col>2</xdr:col>
      <xdr:colOff>0</xdr:colOff>
      <xdr:row>128</xdr:row>
      <xdr:rowOff>0</xdr:rowOff>
    </xdr:from>
    <xdr:to>
      <xdr:col>2</xdr:col>
      <xdr:colOff>199800</xdr:colOff>
      <xdr:row>128</xdr:row>
      <xdr:rowOff>199800</xdr:rowOff>
    </xdr:to>
    <xdr:pic>
      <xdr:nvPicPr>
        <xdr:cNvPr id="127" name="image125.png" descr=""/>
        <xdr:cNvPicPr/>
      </xdr:nvPicPr>
      <xdr:blipFill>
        <a:blip r:embed="rId128"/>
        <a:stretch/>
      </xdr:blipFill>
      <xdr:spPr>
        <a:xfrm>
          <a:off x="1843560" y="25603200"/>
          <a:ext cx="199800" cy="199800"/>
        </a:xfrm>
        <a:prstGeom prst="rect">
          <a:avLst/>
        </a:prstGeom>
        <a:ln w="0">
          <a:noFill/>
        </a:ln>
      </xdr:spPr>
    </xdr:pic>
    <xdr:clientData/>
  </xdr:twoCellAnchor>
  <xdr:twoCellAnchor editAs="oneCell">
    <xdr:from>
      <xdr:col>2</xdr:col>
      <xdr:colOff>0</xdr:colOff>
      <xdr:row>129</xdr:row>
      <xdr:rowOff>0</xdr:rowOff>
    </xdr:from>
    <xdr:to>
      <xdr:col>2</xdr:col>
      <xdr:colOff>199800</xdr:colOff>
      <xdr:row>129</xdr:row>
      <xdr:rowOff>199800</xdr:rowOff>
    </xdr:to>
    <xdr:pic>
      <xdr:nvPicPr>
        <xdr:cNvPr id="128" name="image123.png" descr=""/>
        <xdr:cNvPicPr/>
      </xdr:nvPicPr>
      <xdr:blipFill>
        <a:blip r:embed="rId129"/>
        <a:stretch/>
      </xdr:blipFill>
      <xdr:spPr>
        <a:xfrm>
          <a:off x="1843560" y="25803360"/>
          <a:ext cx="199800" cy="199800"/>
        </a:xfrm>
        <a:prstGeom prst="rect">
          <a:avLst/>
        </a:prstGeom>
        <a:ln w="0">
          <a:noFill/>
        </a:ln>
      </xdr:spPr>
    </xdr:pic>
    <xdr:clientData/>
  </xdr:twoCellAnchor>
  <xdr:twoCellAnchor editAs="oneCell">
    <xdr:from>
      <xdr:col>2</xdr:col>
      <xdr:colOff>0</xdr:colOff>
      <xdr:row>130</xdr:row>
      <xdr:rowOff>0</xdr:rowOff>
    </xdr:from>
    <xdr:to>
      <xdr:col>2</xdr:col>
      <xdr:colOff>199800</xdr:colOff>
      <xdr:row>130</xdr:row>
      <xdr:rowOff>199800</xdr:rowOff>
    </xdr:to>
    <xdr:pic>
      <xdr:nvPicPr>
        <xdr:cNvPr id="129" name="image126.png" descr=""/>
        <xdr:cNvPicPr/>
      </xdr:nvPicPr>
      <xdr:blipFill>
        <a:blip r:embed="rId130"/>
        <a:stretch/>
      </xdr:blipFill>
      <xdr:spPr>
        <a:xfrm>
          <a:off x="1843560" y="26003160"/>
          <a:ext cx="199800" cy="199800"/>
        </a:xfrm>
        <a:prstGeom prst="rect">
          <a:avLst/>
        </a:prstGeom>
        <a:ln w="0">
          <a:noFill/>
        </a:ln>
      </xdr:spPr>
    </xdr:pic>
    <xdr:clientData/>
  </xdr:twoCellAnchor>
  <xdr:twoCellAnchor editAs="oneCell">
    <xdr:from>
      <xdr:col>2</xdr:col>
      <xdr:colOff>0</xdr:colOff>
      <xdr:row>131</xdr:row>
      <xdr:rowOff>0</xdr:rowOff>
    </xdr:from>
    <xdr:to>
      <xdr:col>2</xdr:col>
      <xdr:colOff>199800</xdr:colOff>
      <xdr:row>131</xdr:row>
      <xdr:rowOff>199800</xdr:rowOff>
    </xdr:to>
    <xdr:pic>
      <xdr:nvPicPr>
        <xdr:cNvPr id="130" name="image129.png" descr=""/>
        <xdr:cNvPicPr/>
      </xdr:nvPicPr>
      <xdr:blipFill>
        <a:blip r:embed="rId131"/>
        <a:stretch/>
      </xdr:blipFill>
      <xdr:spPr>
        <a:xfrm>
          <a:off x="1843560" y="26203320"/>
          <a:ext cx="199800" cy="199800"/>
        </a:xfrm>
        <a:prstGeom prst="rect">
          <a:avLst/>
        </a:prstGeom>
        <a:ln w="0">
          <a:noFill/>
        </a:ln>
      </xdr:spPr>
    </xdr:pic>
    <xdr:clientData/>
  </xdr:twoCellAnchor>
  <xdr:twoCellAnchor editAs="oneCell">
    <xdr:from>
      <xdr:col>2</xdr:col>
      <xdr:colOff>0</xdr:colOff>
      <xdr:row>132</xdr:row>
      <xdr:rowOff>0</xdr:rowOff>
    </xdr:from>
    <xdr:to>
      <xdr:col>2</xdr:col>
      <xdr:colOff>199800</xdr:colOff>
      <xdr:row>132</xdr:row>
      <xdr:rowOff>199800</xdr:rowOff>
    </xdr:to>
    <xdr:pic>
      <xdr:nvPicPr>
        <xdr:cNvPr id="131" name="image127.png" descr=""/>
        <xdr:cNvPicPr/>
      </xdr:nvPicPr>
      <xdr:blipFill>
        <a:blip r:embed="rId132"/>
        <a:stretch/>
      </xdr:blipFill>
      <xdr:spPr>
        <a:xfrm>
          <a:off x="1843560" y="26403480"/>
          <a:ext cx="199800" cy="199800"/>
        </a:xfrm>
        <a:prstGeom prst="rect">
          <a:avLst/>
        </a:prstGeom>
        <a:ln w="0">
          <a:noFill/>
        </a:ln>
      </xdr:spPr>
    </xdr:pic>
    <xdr:clientData/>
  </xdr:twoCellAnchor>
  <xdr:twoCellAnchor editAs="oneCell">
    <xdr:from>
      <xdr:col>2</xdr:col>
      <xdr:colOff>0</xdr:colOff>
      <xdr:row>133</xdr:row>
      <xdr:rowOff>0</xdr:rowOff>
    </xdr:from>
    <xdr:to>
      <xdr:col>2</xdr:col>
      <xdr:colOff>199800</xdr:colOff>
      <xdr:row>133</xdr:row>
      <xdr:rowOff>199800</xdr:rowOff>
    </xdr:to>
    <xdr:pic>
      <xdr:nvPicPr>
        <xdr:cNvPr id="132" name="image133.png" descr=""/>
        <xdr:cNvPicPr/>
      </xdr:nvPicPr>
      <xdr:blipFill>
        <a:blip r:embed="rId133"/>
        <a:stretch/>
      </xdr:blipFill>
      <xdr:spPr>
        <a:xfrm>
          <a:off x="1843560" y="26603280"/>
          <a:ext cx="199800" cy="199800"/>
        </a:xfrm>
        <a:prstGeom prst="rect">
          <a:avLst/>
        </a:prstGeom>
        <a:ln w="0">
          <a:noFill/>
        </a:ln>
      </xdr:spPr>
    </xdr:pic>
    <xdr:clientData/>
  </xdr:twoCellAnchor>
  <xdr:twoCellAnchor editAs="oneCell">
    <xdr:from>
      <xdr:col>2</xdr:col>
      <xdr:colOff>0</xdr:colOff>
      <xdr:row>134</xdr:row>
      <xdr:rowOff>0</xdr:rowOff>
    </xdr:from>
    <xdr:to>
      <xdr:col>2</xdr:col>
      <xdr:colOff>199800</xdr:colOff>
      <xdr:row>134</xdr:row>
      <xdr:rowOff>199800</xdr:rowOff>
    </xdr:to>
    <xdr:pic>
      <xdr:nvPicPr>
        <xdr:cNvPr id="133" name="image131.png" descr=""/>
        <xdr:cNvPicPr/>
      </xdr:nvPicPr>
      <xdr:blipFill>
        <a:blip r:embed="rId134"/>
        <a:stretch/>
      </xdr:blipFill>
      <xdr:spPr>
        <a:xfrm>
          <a:off x="1843560" y="26803440"/>
          <a:ext cx="199800" cy="199800"/>
        </a:xfrm>
        <a:prstGeom prst="rect">
          <a:avLst/>
        </a:prstGeom>
        <a:ln w="0">
          <a:noFill/>
        </a:ln>
      </xdr:spPr>
    </xdr:pic>
    <xdr:clientData/>
  </xdr:twoCellAnchor>
  <xdr:twoCellAnchor editAs="oneCell">
    <xdr:from>
      <xdr:col>2</xdr:col>
      <xdr:colOff>0</xdr:colOff>
      <xdr:row>135</xdr:row>
      <xdr:rowOff>0</xdr:rowOff>
    </xdr:from>
    <xdr:to>
      <xdr:col>2</xdr:col>
      <xdr:colOff>199800</xdr:colOff>
      <xdr:row>135</xdr:row>
      <xdr:rowOff>199800</xdr:rowOff>
    </xdr:to>
    <xdr:pic>
      <xdr:nvPicPr>
        <xdr:cNvPr id="134" name="image132.png" descr=""/>
        <xdr:cNvPicPr/>
      </xdr:nvPicPr>
      <xdr:blipFill>
        <a:blip r:embed="rId135"/>
        <a:stretch/>
      </xdr:blipFill>
      <xdr:spPr>
        <a:xfrm>
          <a:off x="1843560" y="27003240"/>
          <a:ext cx="199800" cy="199800"/>
        </a:xfrm>
        <a:prstGeom prst="rect">
          <a:avLst/>
        </a:prstGeom>
        <a:ln w="0">
          <a:noFill/>
        </a:ln>
      </xdr:spPr>
    </xdr:pic>
    <xdr:clientData/>
  </xdr:twoCellAnchor>
  <xdr:twoCellAnchor editAs="oneCell">
    <xdr:from>
      <xdr:col>2</xdr:col>
      <xdr:colOff>0</xdr:colOff>
      <xdr:row>136</xdr:row>
      <xdr:rowOff>0</xdr:rowOff>
    </xdr:from>
    <xdr:to>
      <xdr:col>2</xdr:col>
      <xdr:colOff>199800</xdr:colOff>
      <xdr:row>136</xdr:row>
      <xdr:rowOff>199800</xdr:rowOff>
    </xdr:to>
    <xdr:pic>
      <xdr:nvPicPr>
        <xdr:cNvPr id="135" name="image130.png" descr=""/>
        <xdr:cNvPicPr/>
      </xdr:nvPicPr>
      <xdr:blipFill>
        <a:blip r:embed="rId136"/>
        <a:stretch/>
      </xdr:blipFill>
      <xdr:spPr>
        <a:xfrm>
          <a:off x="1843560" y="27203400"/>
          <a:ext cx="199800" cy="199800"/>
        </a:xfrm>
        <a:prstGeom prst="rect">
          <a:avLst/>
        </a:prstGeom>
        <a:ln w="0">
          <a:noFill/>
        </a:ln>
      </xdr:spPr>
    </xdr:pic>
    <xdr:clientData/>
  </xdr:twoCellAnchor>
  <xdr:twoCellAnchor editAs="oneCell">
    <xdr:from>
      <xdr:col>2</xdr:col>
      <xdr:colOff>0</xdr:colOff>
      <xdr:row>137</xdr:row>
      <xdr:rowOff>0</xdr:rowOff>
    </xdr:from>
    <xdr:to>
      <xdr:col>2</xdr:col>
      <xdr:colOff>199800</xdr:colOff>
      <xdr:row>137</xdr:row>
      <xdr:rowOff>199800</xdr:rowOff>
    </xdr:to>
    <xdr:pic>
      <xdr:nvPicPr>
        <xdr:cNvPr id="136" name="image134.png" descr=""/>
        <xdr:cNvPicPr/>
      </xdr:nvPicPr>
      <xdr:blipFill>
        <a:blip r:embed="rId137"/>
        <a:stretch/>
      </xdr:blipFill>
      <xdr:spPr>
        <a:xfrm>
          <a:off x="1843560" y="27403560"/>
          <a:ext cx="199800" cy="199800"/>
        </a:xfrm>
        <a:prstGeom prst="rect">
          <a:avLst/>
        </a:prstGeom>
        <a:ln w="0">
          <a:noFill/>
        </a:ln>
      </xdr:spPr>
    </xdr:pic>
    <xdr:clientData/>
  </xdr:twoCellAnchor>
  <xdr:twoCellAnchor editAs="oneCell">
    <xdr:from>
      <xdr:col>2</xdr:col>
      <xdr:colOff>0</xdr:colOff>
      <xdr:row>138</xdr:row>
      <xdr:rowOff>0</xdr:rowOff>
    </xdr:from>
    <xdr:to>
      <xdr:col>2</xdr:col>
      <xdr:colOff>199800</xdr:colOff>
      <xdr:row>138</xdr:row>
      <xdr:rowOff>199800</xdr:rowOff>
    </xdr:to>
    <xdr:pic>
      <xdr:nvPicPr>
        <xdr:cNvPr id="137" name="image128.png" descr=""/>
        <xdr:cNvPicPr/>
      </xdr:nvPicPr>
      <xdr:blipFill>
        <a:blip r:embed="rId138"/>
        <a:stretch/>
      </xdr:blipFill>
      <xdr:spPr>
        <a:xfrm>
          <a:off x="1843560" y="27603360"/>
          <a:ext cx="199800" cy="19980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73</xdr:col>
      <xdr:colOff>0</xdr:colOff>
      <xdr:row>1</xdr:row>
      <xdr:rowOff>0</xdr:rowOff>
    </xdr:from>
    <xdr:to>
      <xdr:col>73</xdr:col>
      <xdr:colOff>199800</xdr:colOff>
      <xdr:row>1</xdr:row>
      <xdr:rowOff>199800</xdr:rowOff>
    </xdr:to>
    <xdr:pic>
      <xdr:nvPicPr>
        <xdr:cNvPr id="138" name="image5.png" descr=""/>
        <xdr:cNvPicPr/>
      </xdr:nvPicPr>
      <xdr:blipFill>
        <a:blip r:embed="rId1"/>
        <a:stretch/>
      </xdr:blipFill>
      <xdr:spPr>
        <a:xfrm>
          <a:off x="65671200" y="200160"/>
          <a:ext cx="199800" cy="199800"/>
        </a:xfrm>
        <a:prstGeom prst="rect">
          <a:avLst/>
        </a:prstGeom>
        <a:ln w="0">
          <a:noFill/>
        </a:ln>
      </xdr:spPr>
    </xdr:pic>
    <xdr:clientData/>
  </xdr:twoCellAnchor>
  <xdr:twoCellAnchor editAs="oneCell">
    <xdr:from>
      <xdr:col>73</xdr:col>
      <xdr:colOff>0</xdr:colOff>
      <xdr:row>2</xdr:row>
      <xdr:rowOff>0</xdr:rowOff>
    </xdr:from>
    <xdr:to>
      <xdr:col>73</xdr:col>
      <xdr:colOff>199800</xdr:colOff>
      <xdr:row>2</xdr:row>
      <xdr:rowOff>199800</xdr:rowOff>
    </xdr:to>
    <xdr:pic>
      <xdr:nvPicPr>
        <xdr:cNvPr id="139" name="image11.png" descr=""/>
        <xdr:cNvPicPr/>
      </xdr:nvPicPr>
      <xdr:blipFill>
        <a:blip r:embed="rId2"/>
        <a:stretch/>
      </xdr:blipFill>
      <xdr:spPr>
        <a:xfrm>
          <a:off x="65671200" y="399960"/>
          <a:ext cx="199800" cy="199800"/>
        </a:xfrm>
        <a:prstGeom prst="rect">
          <a:avLst/>
        </a:prstGeom>
        <a:ln w="0">
          <a:noFill/>
        </a:ln>
      </xdr:spPr>
    </xdr:pic>
    <xdr:clientData/>
  </xdr:twoCellAnchor>
  <xdr:twoCellAnchor editAs="oneCell">
    <xdr:from>
      <xdr:col>73</xdr:col>
      <xdr:colOff>0</xdr:colOff>
      <xdr:row>3</xdr:row>
      <xdr:rowOff>0</xdr:rowOff>
    </xdr:from>
    <xdr:to>
      <xdr:col>73</xdr:col>
      <xdr:colOff>199800</xdr:colOff>
      <xdr:row>3</xdr:row>
      <xdr:rowOff>199800</xdr:rowOff>
    </xdr:to>
    <xdr:pic>
      <xdr:nvPicPr>
        <xdr:cNvPr id="140" name="image1.png" descr=""/>
        <xdr:cNvPicPr/>
      </xdr:nvPicPr>
      <xdr:blipFill>
        <a:blip r:embed="rId3"/>
        <a:stretch/>
      </xdr:blipFill>
      <xdr:spPr>
        <a:xfrm>
          <a:off x="65671200" y="600120"/>
          <a:ext cx="199800" cy="199800"/>
        </a:xfrm>
        <a:prstGeom prst="rect">
          <a:avLst/>
        </a:prstGeom>
        <a:ln w="0">
          <a:noFill/>
        </a:ln>
      </xdr:spPr>
    </xdr:pic>
    <xdr:clientData/>
  </xdr:twoCellAnchor>
  <xdr:twoCellAnchor editAs="oneCell">
    <xdr:from>
      <xdr:col>73</xdr:col>
      <xdr:colOff>0</xdr:colOff>
      <xdr:row>4</xdr:row>
      <xdr:rowOff>0</xdr:rowOff>
    </xdr:from>
    <xdr:to>
      <xdr:col>73</xdr:col>
      <xdr:colOff>199800</xdr:colOff>
      <xdr:row>4</xdr:row>
      <xdr:rowOff>199800</xdr:rowOff>
    </xdr:to>
    <xdr:pic>
      <xdr:nvPicPr>
        <xdr:cNvPr id="141" name="image21.png" descr=""/>
        <xdr:cNvPicPr/>
      </xdr:nvPicPr>
      <xdr:blipFill>
        <a:blip r:embed="rId4"/>
        <a:stretch/>
      </xdr:blipFill>
      <xdr:spPr>
        <a:xfrm>
          <a:off x="65671200" y="800280"/>
          <a:ext cx="199800" cy="199800"/>
        </a:xfrm>
        <a:prstGeom prst="rect">
          <a:avLst/>
        </a:prstGeom>
        <a:ln w="0">
          <a:noFill/>
        </a:ln>
      </xdr:spPr>
    </xdr:pic>
    <xdr:clientData/>
  </xdr:twoCellAnchor>
  <xdr:twoCellAnchor editAs="oneCell">
    <xdr:from>
      <xdr:col>73</xdr:col>
      <xdr:colOff>0</xdr:colOff>
      <xdr:row>5</xdr:row>
      <xdr:rowOff>0</xdr:rowOff>
    </xdr:from>
    <xdr:to>
      <xdr:col>73</xdr:col>
      <xdr:colOff>199800</xdr:colOff>
      <xdr:row>5</xdr:row>
      <xdr:rowOff>199800</xdr:rowOff>
    </xdr:to>
    <xdr:pic>
      <xdr:nvPicPr>
        <xdr:cNvPr id="142" name="image14.png" descr=""/>
        <xdr:cNvPicPr/>
      </xdr:nvPicPr>
      <xdr:blipFill>
        <a:blip r:embed="rId5"/>
        <a:stretch/>
      </xdr:blipFill>
      <xdr:spPr>
        <a:xfrm>
          <a:off x="65671200" y="1000080"/>
          <a:ext cx="199800" cy="199800"/>
        </a:xfrm>
        <a:prstGeom prst="rect">
          <a:avLst/>
        </a:prstGeom>
        <a:ln w="0">
          <a:noFill/>
        </a:ln>
      </xdr:spPr>
    </xdr:pic>
    <xdr:clientData/>
  </xdr:twoCellAnchor>
  <xdr:twoCellAnchor editAs="oneCell">
    <xdr:from>
      <xdr:col>73</xdr:col>
      <xdr:colOff>0</xdr:colOff>
      <xdr:row>6</xdr:row>
      <xdr:rowOff>0</xdr:rowOff>
    </xdr:from>
    <xdr:to>
      <xdr:col>73</xdr:col>
      <xdr:colOff>199800</xdr:colOff>
      <xdr:row>6</xdr:row>
      <xdr:rowOff>199800</xdr:rowOff>
    </xdr:to>
    <xdr:pic>
      <xdr:nvPicPr>
        <xdr:cNvPr id="143" name="image22.png" descr=""/>
        <xdr:cNvPicPr/>
      </xdr:nvPicPr>
      <xdr:blipFill>
        <a:blip r:embed="rId6"/>
        <a:stretch/>
      </xdr:blipFill>
      <xdr:spPr>
        <a:xfrm>
          <a:off x="65671200" y="1200240"/>
          <a:ext cx="199800" cy="199800"/>
        </a:xfrm>
        <a:prstGeom prst="rect">
          <a:avLst/>
        </a:prstGeom>
        <a:ln w="0">
          <a:noFill/>
        </a:ln>
      </xdr:spPr>
    </xdr:pic>
    <xdr:clientData/>
  </xdr:twoCellAnchor>
  <xdr:twoCellAnchor editAs="oneCell">
    <xdr:from>
      <xdr:col>73</xdr:col>
      <xdr:colOff>0</xdr:colOff>
      <xdr:row>7</xdr:row>
      <xdr:rowOff>0</xdr:rowOff>
    </xdr:from>
    <xdr:to>
      <xdr:col>73</xdr:col>
      <xdr:colOff>199800</xdr:colOff>
      <xdr:row>7</xdr:row>
      <xdr:rowOff>199800</xdr:rowOff>
    </xdr:to>
    <xdr:pic>
      <xdr:nvPicPr>
        <xdr:cNvPr id="144" name="image8.png" descr=""/>
        <xdr:cNvPicPr/>
      </xdr:nvPicPr>
      <xdr:blipFill>
        <a:blip r:embed="rId7"/>
        <a:stretch/>
      </xdr:blipFill>
      <xdr:spPr>
        <a:xfrm>
          <a:off x="65671200" y="1400040"/>
          <a:ext cx="199800" cy="199800"/>
        </a:xfrm>
        <a:prstGeom prst="rect">
          <a:avLst/>
        </a:prstGeom>
        <a:ln w="0">
          <a:noFill/>
        </a:ln>
      </xdr:spPr>
    </xdr:pic>
    <xdr:clientData/>
  </xdr:twoCellAnchor>
  <xdr:twoCellAnchor editAs="oneCell">
    <xdr:from>
      <xdr:col>73</xdr:col>
      <xdr:colOff>0</xdr:colOff>
      <xdr:row>8</xdr:row>
      <xdr:rowOff>0</xdr:rowOff>
    </xdr:from>
    <xdr:to>
      <xdr:col>73</xdr:col>
      <xdr:colOff>199800</xdr:colOff>
      <xdr:row>8</xdr:row>
      <xdr:rowOff>199800</xdr:rowOff>
    </xdr:to>
    <xdr:pic>
      <xdr:nvPicPr>
        <xdr:cNvPr id="145" name="image49.png" descr=""/>
        <xdr:cNvPicPr/>
      </xdr:nvPicPr>
      <xdr:blipFill>
        <a:blip r:embed="rId8"/>
        <a:stretch/>
      </xdr:blipFill>
      <xdr:spPr>
        <a:xfrm>
          <a:off x="65671200" y="1600200"/>
          <a:ext cx="199800" cy="199800"/>
        </a:xfrm>
        <a:prstGeom prst="rect">
          <a:avLst/>
        </a:prstGeom>
        <a:ln w="0">
          <a:noFill/>
        </a:ln>
      </xdr:spPr>
    </xdr:pic>
    <xdr:clientData/>
  </xdr:twoCellAnchor>
  <xdr:twoCellAnchor editAs="oneCell">
    <xdr:from>
      <xdr:col>73</xdr:col>
      <xdr:colOff>0</xdr:colOff>
      <xdr:row>9</xdr:row>
      <xdr:rowOff>0</xdr:rowOff>
    </xdr:from>
    <xdr:to>
      <xdr:col>73</xdr:col>
      <xdr:colOff>199800</xdr:colOff>
      <xdr:row>9</xdr:row>
      <xdr:rowOff>199800</xdr:rowOff>
    </xdr:to>
    <xdr:pic>
      <xdr:nvPicPr>
        <xdr:cNvPr id="146" name="image4.png" descr=""/>
        <xdr:cNvPicPr/>
      </xdr:nvPicPr>
      <xdr:blipFill>
        <a:blip r:embed="rId9"/>
        <a:stretch/>
      </xdr:blipFill>
      <xdr:spPr>
        <a:xfrm>
          <a:off x="65671200" y="1800360"/>
          <a:ext cx="199800" cy="199800"/>
        </a:xfrm>
        <a:prstGeom prst="rect">
          <a:avLst/>
        </a:prstGeom>
        <a:ln w="0">
          <a:noFill/>
        </a:ln>
      </xdr:spPr>
    </xdr:pic>
    <xdr:clientData/>
  </xdr:twoCellAnchor>
  <xdr:twoCellAnchor editAs="oneCell">
    <xdr:from>
      <xdr:col>73</xdr:col>
      <xdr:colOff>0</xdr:colOff>
      <xdr:row>10</xdr:row>
      <xdr:rowOff>0</xdr:rowOff>
    </xdr:from>
    <xdr:to>
      <xdr:col>73</xdr:col>
      <xdr:colOff>199800</xdr:colOff>
      <xdr:row>10</xdr:row>
      <xdr:rowOff>199800</xdr:rowOff>
    </xdr:to>
    <xdr:pic>
      <xdr:nvPicPr>
        <xdr:cNvPr id="147" name="image13.png" descr=""/>
        <xdr:cNvPicPr/>
      </xdr:nvPicPr>
      <xdr:blipFill>
        <a:blip r:embed="rId10"/>
        <a:stretch/>
      </xdr:blipFill>
      <xdr:spPr>
        <a:xfrm>
          <a:off x="65671200" y="2000160"/>
          <a:ext cx="199800" cy="199800"/>
        </a:xfrm>
        <a:prstGeom prst="rect">
          <a:avLst/>
        </a:prstGeom>
        <a:ln w="0">
          <a:noFill/>
        </a:ln>
      </xdr:spPr>
    </xdr:pic>
    <xdr:clientData/>
  </xdr:twoCellAnchor>
  <xdr:twoCellAnchor editAs="oneCell">
    <xdr:from>
      <xdr:col>73</xdr:col>
      <xdr:colOff>0</xdr:colOff>
      <xdr:row>11</xdr:row>
      <xdr:rowOff>0</xdr:rowOff>
    </xdr:from>
    <xdr:to>
      <xdr:col>73</xdr:col>
      <xdr:colOff>199800</xdr:colOff>
      <xdr:row>11</xdr:row>
      <xdr:rowOff>199800</xdr:rowOff>
    </xdr:to>
    <xdr:pic>
      <xdr:nvPicPr>
        <xdr:cNvPr id="148" name="image12.png" descr=""/>
        <xdr:cNvPicPr/>
      </xdr:nvPicPr>
      <xdr:blipFill>
        <a:blip r:embed="rId11"/>
        <a:stretch/>
      </xdr:blipFill>
      <xdr:spPr>
        <a:xfrm>
          <a:off x="65671200" y="2200320"/>
          <a:ext cx="199800" cy="199800"/>
        </a:xfrm>
        <a:prstGeom prst="rect">
          <a:avLst/>
        </a:prstGeom>
        <a:ln w="0">
          <a:noFill/>
        </a:ln>
      </xdr:spPr>
    </xdr:pic>
    <xdr:clientData/>
  </xdr:twoCellAnchor>
  <xdr:twoCellAnchor editAs="oneCell">
    <xdr:from>
      <xdr:col>73</xdr:col>
      <xdr:colOff>0</xdr:colOff>
      <xdr:row>12</xdr:row>
      <xdr:rowOff>0</xdr:rowOff>
    </xdr:from>
    <xdr:to>
      <xdr:col>73</xdr:col>
      <xdr:colOff>199800</xdr:colOff>
      <xdr:row>12</xdr:row>
      <xdr:rowOff>199800</xdr:rowOff>
    </xdr:to>
    <xdr:pic>
      <xdr:nvPicPr>
        <xdr:cNvPr id="149" name="image26.png" descr=""/>
        <xdr:cNvPicPr/>
      </xdr:nvPicPr>
      <xdr:blipFill>
        <a:blip r:embed="rId12"/>
        <a:stretch/>
      </xdr:blipFill>
      <xdr:spPr>
        <a:xfrm>
          <a:off x="65671200" y="2400480"/>
          <a:ext cx="199800" cy="199800"/>
        </a:xfrm>
        <a:prstGeom prst="rect">
          <a:avLst/>
        </a:prstGeom>
        <a:ln w="0">
          <a:noFill/>
        </a:ln>
      </xdr:spPr>
    </xdr:pic>
    <xdr:clientData/>
  </xdr:twoCellAnchor>
  <xdr:twoCellAnchor editAs="oneCell">
    <xdr:from>
      <xdr:col>73</xdr:col>
      <xdr:colOff>0</xdr:colOff>
      <xdr:row>13</xdr:row>
      <xdr:rowOff>0</xdr:rowOff>
    </xdr:from>
    <xdr:to>
      <xdr:col>73</xdr:col>
      <xdr:colOff>199800</xdr:colOff>
      <xdr:row>13</xdr:row>
      <xdr:rowOff>199800</xdr:rowOff>
    </xdr:to>
    <xdr:pic>
      <xdr:nvPicPr>
        <xdr:cNvPr id="150" name="image10.png" descr=""/>
        <xdr:cNvPicPr/>
      </xdr:nvPicPr>
      <xdr:blipFill>
        <a:blip r:embed="rId13"/>
        <a:stretch/>
      </xdr:blipFill>
      <xdr:spPr>
        <a:xfrm>
          <a:off x="65671200" y="2600280"/>
          <a:ext cx="199800" cy="199800"/>
        </a:xfrm>
        <a:prstGeom prst="rect">
          <a:avLst/>
        </a:prstGeom>
        <a:ln w="0">
          <a:noFill/>
        </a:ln>
      </xdr:spPr>
    </xdr:pic>
    <xdr:clientData/>
  </xdr:twoCellAnchor>
  <xdr:twoCellAnchor editAs="oneCell">
    <xdr:from>
      <xdr:col>73</xdr:col>
      <xdr:colOff>0</xdr:colOff>
      <xdr:row>14</xdr:row>
      <xdr:rowOff>0</xdr:rowOff>
    </xdr:from>
    <xdr:to>
      <xdr:col>73</xdr:col>
      <xdr:colOff>199800</xdr:colOff>
      <xdr:row>14</xdr:row>
      <xdr:rowOff>199800</xdr:rowOff>
    </xdr:to>
    <xdr:pic>
      <xdr:nvPicPr>
        <xdr:cNvPr id="151" name="image20.png" descr=""/>
        <xdr:cNvPicPr/>
      </xdr:nvPicPr>
      <xdr:blipFill>
        <a:blip r:embed="rId14"/>
        <a:stretch/>
      </xdr:blipFill>
      <xdr:spPr>
        <a:xfrm>
          <a:off x="65671200" y="2800440"/>
          <a:ext cx="199800" cy="199800"/>
        </a:xfrm>
        <a:prstGeom prst="rect">
          <a:avLst/>
        </a:prstGeom>
        <a:ln w="0">
          <a:noFill/>
        </a:ln>
      </xdr:spPr>
    </xdr:pic>
    <xdr:clientData/>
  </xdr:twoCellAnchor>
  <xdr:twoCellAnchor editAs="oneCell">
    <xdr:from>
      <xdr:col>73</xdr:col>
      <xdr:colOff>0</xdr:colOff>
      <xdr:row>15</xdr:row>
      <xdr:rowOff>0</xdr:rowOff>
    </xdr:from>
    <xdr:to>
      <xdr:col>73</xdr:col>
      <xdr:colOff>199800</xdr:colOff>
      <xdr:row>15</xdr:row>
      <xdr:rowOff>199800</xdr:rowOff>
    </xdr:to>
    <xdr:pic>
      <xdr:nvPicPr>
        <xdr:cNvPr id="152" name="image2.png" descr=""/>
        <xdr:cNvPicPr/>
      </xdr:nvPicPr>
      <xdr:blipFill>
        <a:blip r:embed="rId15"/>
        <a:stretch/>
      </xdr:blipFill>
      <xdr:spPr>
        <a:xfrm>
          <a:off x="65671200" y="3000240"/>
          <a:ext cx="199800" cy="199800"/>
        </a:xfrm>
        <a:prstGeom prst="rect">
          <a:avLst/>
        </a:prstGeom>
        <a:ln w="0">
          <a:noFill/>
        </a:ln>
      </xdr:spPr>
    </xdr:pic>
    <xdr:clientData/>
  </xdr:twoCellAnchor>
  <xdr:twoCellAnchor editAs="oneCell">
    <xdr:from>
      <xdr:col>73</xdr:col>
      <xdr:colOff>0</xdr:colOff>
      <xdr:row>16</xdr:row>
      <xdr:rowOff>0</xdr:rowOff>
    </xdr:from>
    <xdr:to>
      <xdr:col>73</xdr:col>
      <xdr:colOff>199800</xdr:colOff>
      <xdr:row>16</xdr:row>
      <xdr:rowOff>199800</xdr:rowOff>
    </xdr:to>
    <xdr:pic>
      <xdr:nvPicPr>
        <xdr:cNvPr id="153" name="image18.png" descr=""/>
        <xdr:cNvPicPr/>
      </xdr:nvPicPr>
      <xdr:blipFill>
        <a:blip r:embed="rId16"/>
        <a:stretch/>
      </xdr:blipFill>
      <xdr:spPr>
        <a:xfrm>
          <a:off x="65671200" y="3200400"/>
          <a:ext cx="199800" cy="199800"/>
        </a:xfrm>
        <a:prstGeom prst="rect">
          <a:avLst/>
        </a:prstGeom>
        <a:ln w="0">
          <a:noFill/>
        </a:ln>
      </xdr:spPr>
    </xdr:pic>
    <xdr:clientData/>
  </xdr:twoCellAnchor>
  <xdr:twoCellAnchor editAs="oneCell">
    <xdr:from>
      <xdr:col>73</xdr:col>
      <xdr:colOff>0</xdr:colOff>
      <xdr:row>17</xdr:row>
      <xdr:rowOff>0</xdr:rowOff>
    </xdr:from>
    <xdr:to>
      <xdr:col>73</xdr:col>
      <xdr:colOff>199800</xdr:colOff>
      <xdr:row>17</xdr:row>
      <xdr:rowOff>199800</xdr:rowOff>
    </xdr:to>
    <xdr:pic>
      <xdr:nvPicPr>
        <xdr:cNvPr id="154" name="image16.png" descr=""/>
        <xdr:cNvPicPr/>
      </xdr:nvPicPr>
      <xdr:blipFill>
        <a:blip r:embed="rId17"/>
        <a:stretch/>
      </xdr:blipFill>
      <xdr:spPr>
        <a:xfrm>
          <a:off x="65671200" y="3400560"/>
          <a:ext cx="199800" cy="199800"/>
        </a:xfrm>
        <a:prstGeom prst="rect">
          <a:avLst/>
        </a:prstGeom>
        <a:ln w="0">
          <a:noFill/>
        </a:ln>
      </xdr:spPr>
    </xdr:pic>
    <xdr:clientData/>
  </xdr:twoCellAnchor>
  <xdr:twoCellAnchor editAs="oneCell">
    <xdr:from>
      <xdr:col>73</xdr:col>
      <xdr:colOff>0</xdr:colOff>
      <xdr:row>18</xdr:row>
      <xdr:rowOff>0</xdr:rowOff>
    </xdr:from>
    <xdr:to>
      <xdr:col>73</xdr:col>
      <xdr:colOff>199800</xdr:colOff>
      <xdr:row>18</xdr:row>
      <xdr:rowOff>199800</xdr:rowOff>
    </xdr:to>
    <xdr:pic>
      <xdr:nvPicPr>
        <xdr:cNvPr id="155" name="image37.png" descr=""/>
        <xdr:cNvPicPr/>
      </xdr:nvPicPr>
      <xdr:blipFill>
        <a:blip r:embed="rId18"/>
        <a:stretch/>
      </xdr:blipFill>
      <xdr:spPr>
        <a:xfrm>
          <a:off x="65671200" y="3600360"/>
          <a:ext cx="199800" cy="199800"/>
        </a:xfrm>
        <a:prstGeom prst="rect">
          <a:avLst/>
        </a:prstGeom>
        <a:ln w="0">
          <a:noFill/>
        </a:ln>
      </xdr:spPr>
    </xdr:pic>
    <xdr:clientData/>
  </xdr:twoCellAnchor>
  <xdr:twoCellAnchor editAs="oneCell">
    <xdr:from>
      <xdr:col>73</xdr:col>
      <xdr:colOff>0</xdr:colOff>
      <xdr:row>19</xdr:row>
      <xdr:rowOff>0</xdr:rowOff>
    </xdr:from>
    <xdr:to>
      <xdr:col>73</xdr:col>
      <xdr:colOff>199800</xdr:colOff>
      <xdr:row>19</xdr:row>
      <xdr:rowOff>199800</xdr:rowOff>
    </xdr:to>
    <xdr:pic>
      <xdr:nvPicPr>
        <xdr:cNvPr id="156" name="image3.png" descr=""/>
        <xdr:cNvPicPr/>
      </xdr:nvPicPr>
      <xdr:blipFill>
        <a:blip r:embed="rId19"/>
        <a:stretch/>
      </xdr:blipFill>
      <xdr:spPr>
        <a:xfrm>
          <a:off x="65671200" y="3800520"/>
          <a:ext cx="199800" cy="199800"/>
        </a:xfrm>
        <a:prstGeom prst="rect">
          <a:avLst/>
        </a:prstGeom>
        <a:ln w="0">
          <a:noFill/>
        </a:ln>
      </xdr:spPr>
    </xdr:pic>
    <xdr:clientData/>
  </xdr:twoCellAnchor>
  <xdr:twoCellAnchor editAs="oneCell">
    <xdr:from>
      <xdr:col>73</xdr:col>
      <xdr:colOff>0</xdr:colOff>
      <xdr:row>20</xdr:row>
      <xdr:rowOff>0</xdr:rowOff>
    </xdr:from>
    <xdr:to>
      <xdr:col>73</xdr:col>
      <xdr:colOff>199800</xdr:colOff>
      <xdr:row>20</xdr:row>
      <xdr:rowOff>199800</xdr:rowOff>
    </xdr:to>
    <xdr:pic>
      <xdr:nvPicPr>
        <xdr:cNvPr id="157" name="image15.png" descr=""/>
        <xdr:cNvPicPr/>
      </xdr:nvPicPr>
      <xdr:blipFill>
        <a:blip r:embed="rId20"/>
        <a:stretch/>
      </xdr:blipFill>
      <xdr:spPr>
        <a:xfrm>
          <a:off x="65671200" y="4000680"/>
          <a:ext cx="199800" cy="199800"/>
        </a:xfrm>
        <a:prstGeom prst="rect">
          <a:avLst/>
        </a:prstGeom>
        <a:ln w="0">
          <a:noFill/>
        </a:ln>
      </xdr:spPr>
    </xdr:pic>
    <xdr:clientData/>
  </xdr:twoCellAnchor>
  <xdr:twoCellAnchor editAs="oneCell">
    <xdr:from>
      <xdr:col>73</xdr:col>
      <xdr:colOff>0</xdr:colOff>
      <xdr:row>21</xdr:row>
      <xdr:rowOff>0</xdr:rowOff>
    </xdr:from>
    <xdr:to>
      <xdr:col>73</xdr:col>
      <xdr:colOff>199800</xdr:colOff>
      <xdr:row>21</xdr:row>
      <xdr:rowOff>199800</xdr:rowOff>
    </xdr:to>
    <xdr:pic>
      <xdr:nvPicPr>
        <xdr:cNvPr id="158" name="image6.png" descr=""/>
        <xdr:cNvPicPr/>
      </xdr:nvPicPr>
      <xdr:blipFill>
        <a:blip r:embed="rId21"/>
        <a:stretch/>
      </xdr:blipFill>
      <xdr:spPr>
        <a:xfrm>
          <a:off x="65671200" y="4200480"/>
          <a:ext cx="199800" cy="199800"/>
        </a:xfrm>
        <a:prstGeom prst="rect">
          <a:avLst/>
        </a:prstGeom>
        <a:ln w="0">
          <a:noFill/>
        </a:ln>
      </xdr:spPr>
    </xdr:pic>
    <xdr:clientData/>
  </xdr:twoCellAnchor>
  <xdr:twoCellAnchor editAs="oneCell">
    <xdr:from>
      <xdr:col>73</xdr:col>
      <xdr:colOff>0</xdr:colOff>
      <xdr:row>22</xdr:row>
      <xdr:rowOff>0</xdr:rowOff>
    </xdr:from>
    <xdr:to>
      <xdr:col>73</xdr:col>
      <xdr:colOff>199800</xdr:colOff>
      <xdr:row>22</xdr:row>
      <xdr:rowOff>199800</xdr:rowOff>
    </xdr:to>
    <xdr:pic>
      <xdr:nvPicPr>
        <xdr:cNvPr id="159" name="image19.png" descr=""/>
        <xdr:cNvPicPr/>
      </xdr:nvPicPr>
      <xdr:blipFill>
        <a:blip r:embed="rId22"/>
        <a:stretch/>
      </xdr:blipFill>
      <xdr:spPr>
        <a:xfrm>
          <a:off x="65671200" y="4400640"/>
          <a:ext cx="199800" cy="199800"/>
        </a:xfrm>
        <a:prstGeom prst="rect">
          <a:avLst/>
        </a:prstGeom>
        <a:ln w="0">
          <a:noFill/>
        </a:ln>
      </xdr:spPr>
    </xdr:pic>
    <xdr:clientData/>
  </xdr:twoCellAnchor>
  <xdr:twoCellAnchor editAs="oneCell">
    <xdr:from>
      <xdr:col>73</xdr:col>
      <xdr:colOff>0</xdr:colOff>
      <xdr:row>23</xdr:row>
      <xdr:rowOff>0</xdr:rowOff>
    </xdr:from>
    <xdr:to>
      <xdr:col>73</xdr:col>
      <xdr:colOff>199800</xdr:colOff>
      <xdr:row>23</xdr:row>
      <xdr:rowOff>199800</xdr:rowOff>
    </xdr:to>
    <xdr:pic>
      <xdr:nvPicPr>
        <xdr:cNvPr id="160" name="image17.png" descr=""/>
        <xdr:cNvPicPr/>
      </xdr:nvPicPr>
      <xdr:blipFill>
        <a:blip r:embed="rId23"/>
        <a:stretch/>
      </xdr:blipFill>
      <xdr:spPr>
        <a:xfrm>
          <a:off x="65671200" y="4600440"/>
          <a:ext cx="199800" cy="199800"/>
        </a:xfrm>
        <a:prstGeom prst="rect">
          <a:avLst/>
        </a:prstGeom>
        <a:ln w="0">
          <a:noFill/>
        </a:ln>
      </xdr:spPr>
    </xdr:pic>
    <xdr:clientData/>
  </xdr:twoCellAnchor>
  <xdr:twoCellAnchor editAs="oneCell">
    <xdr:from>
      <xdr:col>73</xdr:col>
      <xdr:colOff>0</xdr:colOff>
      <xdr:row>24</xdr:row>
      <xdr:rowOff>0</xdr:rowOff>
    </xdr:from>
    <xdr:to>
      <xdr:col>73</xdr:col>
      <xdr:colOff>199800</xdr:colOff>
      <xdr:row>24</xdr:row>
      <xdr:rowOff>199800</xdr:rowOff>
    </xdr:to>
    <xdr:pic>
      <xdr:nvPicPr>
        <xdr:cNvPr id="161" name="image7.png" descr=""/>
        <xdr:cNvPicPr/>
      </xdr:nvPicPr>
      <xdr:blipFill>
        <a:blip r:embed="rId24"/>
        <a:stretch/>
      </xdr:blipFill>
      <xdr:spPr>
        <a:xfrm>
          <a:off x="65671200" y="4800600"/>
          <a:ext cx="199800" cy="199800"/>
        </a:xfrm>
        <a:prstGeom prst="rect">
          <a:avLst/>
        </a:prstGeom>
        <a:ln w="0">
          <a:noFill/>
        </a:ln>
      </xdr:spPr>
    </xdr:pic>
    <xdr:clientData/>
  </xdr:twoCellAnchor>
  <xdr:twoCellAnchor editAs="oneCell">
    <xdr:from>
      <xdr:col>73</xdr:col>
      <xdr:colOff>0</xdr:colOff>
      <xdr:row>25</xdr:row>
      <xdr:rowOff>0</xdr:rowOff>
    </xdr:from>
    <xdr:to>
      <xdr:col>73</xdr:col>
      <xdr:colOff>199800</xdr:colOff>
      <xdr:row>25</xdr:row>
      <xdr:rowOff>199800</xdr:rowOff>
    </xdr:to>
    <xdr:pic>
      <xdr:nvPicPr>
        <xdr:cNvPr id="162" name="image9.png" descr=""/>
        <xdr:cNvPicPr/>
      </xdr:nvPicPr>
      <xdr:blipFill>
        <a:blip r:embed="rId25"/>
        <a:stretch/>
      </xdr:blipFill>
      <xdr:spPr>
        <a:xfrm>
          <a:off x="65671200" y="5000760"/>
          <a:ext cx="199800" cy="199800"/>
        </a:xfrm>
        <a:prstGeom prst="rect">
          <a:avLst/>
        </a:prstGeom>
        <a:ln w="0">
          <a:noFill/>
        </a:ln>
      </xdr:spPr>
    </xdr:pic>
    <xdr:clientData/>
  </xdr:twoCellAnchor>
  <xdr:twoCellAnchor editAs="oneCell">
    <xdr:from>
      <xdr:col>73</xdr:col>
      <xdr:colOff>0</xdr:colOff>
      <xdr:row>26</xdr:row>
      <xdr:rowOff>0</xdr:rowOff>
    </xdr:from>
    <xdr:to>
      <xdr:col>73</xdr:col>
      <xdr:colOff>199800</xdr:colOff>
      <xdr:row>26</xdr:row>
      <xdr:rowOff>199800</xdr:rowOff>
    </xdr:to>
    <xdr:pic>
      <xdr:nvPicPr>
        <xdr:cNvPr id="163" name="image42.png" descr=""/>
        <xdr:cNvPicPr/>
      </xdr:nvPicPr>
      <xdr:blipFill>
        <a:blip r:embed="rId26"/>
        <a:stretch/>
      </xdr:blipFill>
      <xdr:spPr>
        <a:xfrm>
          <a:off x="65671200" y="5200560"/>
          <a:ext cx="199800" cy="199800"/>
        </a:xfrm>
        <a:prstGeom prst="rect">
          <a:avLst/>
        </a:prstGeom>
        <a:ln w="0">
          <a:noFill/>
        </a:ln>
      </xdr:spPr>
    </xdr:pic>
    <xdr:clientData/>
  </xdr:twoCellAnchor>
  <xdr:twoCellAnchor editAs="oneCell">
    <xdr:from>
      <xdr:col>73</xdr:col>
      <xdr:colOff>0</xdr:colOff>
      <xdr:row>27</xdr:row>
      <xdr:rowOff>0</xdr:rowOff>
    </xdr:from>
    <xdr:to>
      <xdr:col>73</xdr:col>
      <xdr:colOff>199800</xdr:colOff>
      <xdr:row>27</xdr:row>
      <xdr:rowOff>199800</xdr:rowOff>
    </xdr:to>
    <xdr:pic>
      <xdr:nvPicPr>
        <xdr:cNvPr id="164" name="image25.png" descr=""/>
        <xdr:cNvPicPr/>
      </xdr:nvPicPr>
      <xdr:blipFill>
        <a:blip r:embed="rId27"/>
        <a:stretch/>
      </xdr:blipFill>
      <xdr:spPr>
        <a:xfrm>
          <a:off x="65671200" y="5400720"/>
          <a:ext cx="199800" cy="199800"/>
        </a:xfrm>
        <a:prstGeom prst="rect">
          <a:avLst/>
        </a:prstGeom>
        <a:ln w="0">
          <a:noFill/>
        </a:ln>
      </xdr:spPr>
    </xdr:pic>
    <xdr:clientData/>
  </xdr:twoCellAnchor>
  <xdr:twoCellAnchor editAs="oneCell">
    <xdr:from>
      <xdr:col>73</xdr:col>
      <xdr:colOff>0</xdr:colOff>
      <xdr:row>28</xdr:row>
      <xdr:rowOff>0</xdr:rowOff>
    </xdr:from>
    <xdr:to>
      <xdr:col>73</xdr:col>
      <xdr:colOff>199800</xdr:colOff>
      <xdr:row>28</xdr:row>
      <xdr:rowOff>199800</xdr:rowOff>
    </xdr:to>
    <xdr:pic>
      <xdr:nvPicPr>
        <xdr:cNvPr id="165" name="image40.png" descr=""/>
        <xdr:cNvPicPr/>
      </xdr:nvPicPr>
      <xdr:blipFill>
        <a:blip r:embed="rId28"/>
        <a:stretch/>
      </xdr:blipFill>
      <xdr:spPr>
        <a:xfrm>
          <a:off x="65671200" y="5600880"/>
          <a:ext cx="199800" cy="199800"/>
        </a:xfrm>
        <a:prstGeom prst="rect">
          <a:avLst/>
        </a:prstGeom>
        <a:ln w="0">
          <a:noFill/>
        </a:ln>
      </xdr:spPr>
    </xdr:pic>
    <xdr:clientData/>
  </xdr:twoCellAnchor>
  <xdr:twoCellAnchor editAs="oneCell">
    <xdr:from>
      <xdr:col>73</xdr:col>
      <xdr:colOff>0</xdr:colOff>
      <xdr:row>29</xdr:row>
      <xdr:rowOff>0</xdr:rowOff>
    </xdr:from>
    <xdr:to>
      <xdr:col>73</xdr:col>
      <xdr:colOff>199800</xdr:colOff>
      <xdr:row>29</xdr:row>
      <xdr:rowOff>199800</xdr:rowOff>
    </xdr:to>
    <xdr:pic>
      <xdr:nvPicPr>
        <xdr:cNvPr id="166" name="image28.png" descr=""/>
        <xdr:cNvPicPr/>
      </xdr:nvPicPr>
      <xdr:blipFill>
        <a:blip r:embed="rId29"/>
        <a:stretch/>
      </xdr:blipFill>
      <xdr:spPr>
        <a:xfrm>
          <a:off x="65671200" y="5800680"/>
          <a:ext cx="199800" cy="199800"/>
        </a:xfrm>
        <a:prstGeom prst="rect">
          <a:avLst/>
        </a:prstGeom>
        <a:ln w="0">
          <a:noFill/>
        </a:ln>
      </xdr:spPr>
    </xdr:pic>
    <xdr:clientData/>
  </xdr:twoCellAnchor>
  <xdr:twoCellAnchor editAs="oneCell">
    <xdr:from>
      <xdr:col>73</xdr:col>
      <xdr:colOff>0</xdr:colOff>
      <xdr:row>30</xdr:row>
      <xdr:rowOff>0</xdr:rowOff>
    </xdr:from>
    <xdr:to>
      <xdr:col>73</xdr:col>
      <xdr:colOff>199800</xdr:colOff>
      <xdr:row>30</xdr:row>
      <xdr:rowOff>199800</xdr:rowOff>
    </xdr:to>
    <xdr:pic>
      <xdr:nvPicPr>
        <xdr:cNvPr id="167" name="image30.png" descr=""/>
        <xdr:cNvPicPr/>
      </xdr:nvPicPr>
      <xdr:blipFill>
        <a:blip r:embed="rId30"/>
        <a:stretch/>
      </xdr:blipFill>
      <xdr:spPr>
        <a:xfrm>
          <a:off x="65671200" y="6000840"/>
          <a:ext cx="199800" cy="199800"/>
        </a:xfrm>
        <a:prstGeom prst="rect">
          <a:avLst/>
        </a:prstGeom>
        <a:ln w="0">
          <a:noFill/>
        </a:ln>
      </xdr:spPr>
    </xdr:pic>
    <xdr:clientData/>
  </xdr:twoCellAnchor>
  <xdr:twoCellAnchor editAs="oneCell">
    <xdr:from>
      <xdr:col>73</xdr:col>
      <xdr:colOff>0</xdr:colOff>
      <xdr:row>31</xdr:row>
      <xdr:rowOff>0</xdr:rowOff>
    </xdr:from>
    <xdr:to>
      <xdr:col>73</xdr:col>
      <xdr:colOff>199800</xdr:colOff>
      <xdr:row>31</xdr:row>
      <xdr:rowOff>199800</xdr:rowOff>
    </xdr:to>
    <xdr:pic>
      <xdr:nvPicPr>
        <xdr:cNvPr id="168" name="image43.png" descr=""/>
        <xdr:cNvPicPr/>
      </xdr:nvPicPr>
      <xdr:blipFill>
        <a:blip r:embed="rId31"/>
        <a:stretch/>
      </xdr:blipFill>
      <xdr:spPr>
        <a:xfrm>
          <a:off x="65671200" y="6200640"/>
          <a:ext cx="199800" cy="199800"/>
        </a:xfrm>
        <a:prstGeom prst="rect">
          <a:avLst/>
        </a:prstGeom>
        <a:ln w="0">
          <a:noFill/>
        </a:ln>
      </xdr:spPr>
    </xdr:pic>
    <xdr:clientData/>
  </xdr:twoCellAnchor>
  <xdr:twoCellAnchor editAs="oneCell">
    <xdr:from>
      <xdr:col>73</xdr:col>
      <xdr:colOff>0</xdr:colOff>
      <xdr:row>32</xdr:row>
      <xdr:rowOff>0</xdr:rowOff>
    </xdr:from>
    <xdr:to>
      <xdr:col>73</xdr:col>
      <xdr:colOff>199800</xdr:colOff>
      <xdr:row>32</xdr:row>
      <xdr:rowOff>199800</xdr:rowOff>
    </xdr:to>
    <xdr:pic>
      <xdr:nvPicPr>
        <xdr:cNvPr id="169" name="image70.png" descr=""/>
        <xdr:cNvPicPr/>
      </xdr:nvPicPr>
      <xdr:blipFill>
        <a:blip r:embed="rId32"/>
        <a:stretch/>
      </xdr:blipFill>
      <xdr:spPr>
        <a:xfrm>
          <a:off x="65671200" y="6400800"/>
          <a:ext cx="199800" cy="199800"/>
        </a:xfrm>
        <a:prstGeom prst="rect">
          <a:avLst/>
        </a:prstGeom>
        <a:ln w="0">
          <a:noFill/>
        </a:ln>
      </xdr:spPr>
    </xdr:pic>
    <xdr:clientData/>
  </xdr:twoCellAnchor>
  <xdr:twoCellAnchor editAs="oneCell">
    <xdr:from>
      <xdr:col>73</xdr:col>
      <xdr:colOff>0</xdr:colOff>
      <xdr:row>33</xdr:row>
      <xdr:rowOff>0</xdr:rowOff>
    </xdr:from>
    <xdr:to>
      <xdr:col>73</xdr:col>
      <xdr:colOff>199800</xdr:colOff>
      <xdr:row>33</xdr:row>
      <xdr:rowOff>199800</xdr:rowOff>
    </xdr:to>
    <xdr:pic>
      <xdr:nvPicPr>
        <xdr:cNvPr id="170" name="image106.png" descr=""/>
        <xdr:cNvPicPr/>
      </xdr:nvPicPr>
      <xdr:blipFill>
        <a:blip r:embed="rId33"/>
        <a:stretch/>
      </xdr:blipFill>
      <xdr:spPr>
        <a:xfrm>
          <a:off x="65671200" y="6600960"/>
          <a:ext cx="199800" cy="199800"/>
        </a:xfrm>
        <a:prstGeom prst="rect">
          <a:avLst/>
        </a:prstGeom>
        <a:ln w="0">
          <a:noFill/>
        </a:ln>
      </xdr:spPr>
    </xdr:pic>
    <xdr:clientData/>
  </xdr:twoCellAnchor>
  <xdr:twoCellAnchor editAs="oneCell">
    <xdr:from>
      <xdr:col>73</xdr:col>
      <xdr:colOff>0</xdr:colOff>
      <xdr:row>34</xdr:row>
      <xdr:rowOff>0</xdr:rowOff>
    </xdr:from>
    <xdr:to>
      <xdr:col>73</xdr:col>
      <xdr:colOff>199800</xdr:colOff>
      <xdr:row>34</xdr:row>
      <xdr:rowOff>199800</xdr:rowOff>
    </xdr:to>
    <xdr:pic>
      <xdr:nvPicPr>
        <xdr:cNvPr id="171" name="image33.png" descr=""/>
        <xdr:cNvPicPr/>
      </xdr:nvPicPr>
      <xdr:blipFill>
        <a:blip r:embed="rId34"/>
        <a:stretch/>
      </xdr:blipFill>
      <xdr:spPr>
        <a:xfrm>
          <a:off x="65671200" y="6800760"/>
          <a:ext cx="199800" cy="199800"/>
        </a:xfrm>
        <a:prstGeom prst="rect">
          <a:avLst/>
        </a:prstGeom>
        <a:ln w="0">
          <a:noFill/>
        </a:ln>
      </xdr:spPr>
    </xdr:pic>
    <xdr:clientData/>
  </xdr:twoCellAnchor>
  <xdr:twoCellAnchor editAs="oneCell">
    <xdr:from>
      <xdr:col>73</xdr:col>
      <xdr:colOff>0</xdr:colOff>
      <xdr:row>35</xdr:row>
      <xdr:rowOff>0</xdr:rowOff>
    </xdr:from>
    <xdr:to>
      <xdr:col>73</xdr:col>
      <xdr:colOff>199800</xdr:colOff>
      <xdr:row>35</xdr:row>
      <xdr:rowOff>199800</xdr:rowOff>
    </xdr:to>
    <xdr:pic>
      <xdr:nvPicPr>
        <xdr:cNvPr id="172" name="image27.png" descr=""/>
        <xdr:cNvPicPr/>
      </xdr:nvPicPr>
      <xdr:blipFill>
        <a:blip r:embed="rId35"/>
        <a:stretch/>
      </xdr:blipFill>
      <xdr:spPr>
        <a:xfrm>
          <a:off x="65671200" y="7000920"/>
          <a:ext cx="199800" cy="199800"/>
        </a:xfrm>
        <a:prstGeom prst="rect">
          <a:avLst/>
        </a:prstGeom>
        <a:ln w="0">
          <a:noFill/>
        </a:ln>
      </xdr:spPr>
    </xdr:pic>
    <xdr:clientData/>
  </xdr:twoCellAnchor>
  <xdr:twoCellAnchor editAs="oneCell">
    <xdr:from>
      <xdr:col>73</xdr:col>
      <xdr:colOff>0</xdr:colOff>
      <xdr:row>36</xdr:row>
      <xdr:rowOff>0</xdr:rowOff>
    </xdr:from>
    <xdr:to>
      <xdr:col>73</xdr:col>
      <xdr:colOff>199800</xdr:colOff>
      <xdr:row>36</xdr:row>
      <xdr:rowOff>199800</xdr:rowOff>
    </xdr:to>
    <xdr:pic>
      <xdr:nvPicPr>
        <xdr:cNvPr id="173" name="image34.png" descr=""/>
        <xdr:cNvPicPr/>
      </xdr:nvPicPr>
      <xdr:blipFill>
        <a:blip r:embed="rId36"/>
        <a:stretch/>
      </xdr:blipFill>
      <xdr:spPr>
        <a:xfrm>
          <a:off x="65671200" y="7201080"/>
          <a:ext cx="199800" cy="199800"/>
        </a:xfrm>
        <a:prstGeom prst="rect">
          <a:avLst/>
        </a:prstGeom>
        <a:ln w="0">
          <a:noFill/>
        </a:ln>
      </xdr:spPr>
    </xdr:pic>
    <xdr:clientData/>
  </xdr:twoCellAnchor>
  <xdr:twoCellAnchor editAs="oneCell">
    <xdr:from>
      <xdr:col>73</xdr:col>
      <xdr:colOff>0</xdr:colOff>
      <xdr:row>37</xdr:row>
      <xdr:rowOff>0</xdr:rowOff>
    </xdr:from>
    <xdr:to>
      <xdr:col>73</xdr:col>
      <xdr:colOff>199800</xdr:colOff>
      <xdr:row>37</xdr:row>
      <xdr:rowOff>199800</xdr:rowOff>
    </xdr:to>
    <xdr:pic>
      <xdr:nvPicPr>
        <xdr:cNvPr id="174" name="image23.png" descr=""/>
        <xdr:cNvPicPr/>
      </xdr:nvPicPr>
      <xdr:blipFill>
        <a:blip r:embed="rId37"/>
        <a:stretch/>
      </xdr:blipFill>
      <xdr:spPr>
        <a:xfrm>
          <a:off x="65671200" y="7400880"/>
          <a:ext cx="199800" cy="199800"/>
        </a:xfrm>
        <a:prstGeom prst="rect">
          <a:avLst/>
        </a:prstGeom>
        <a:ln w="0">
          <a:noFill/>
        </a:ln>
      </xdr:spPr>
    </xdr:pic>
    <xdr:clientData/>
  </xdr:twoCellAnchor>
  <xdr:twoCellAnchor editAs="oneCell">
    <xdr:from>
      <xdr:col>73</xdr:col>
      <xdr:colOff>0</xdr:colOff>
      <xdr:row>38</xdr:row>
      <xdr:rowOff>0</xdr:rowOff>
    </xdr:from>
    <xdr:to>
      <xdr:col>73</xdr:col>
      <xdr:colOff>199800</xdr:colOff>
      <xdr:row>38</xdr:row>
      <xdr:rowOff>199800</xdr:rowOff>
    </xdr:to>
    <xdr:pic>
      <xdr:nvPicPr>
        <xdr:cNvPr id="175" name="image39.png" descr=""/>
        <xdr:cNvPicPr/>
      </xdr:nvPicPr>
      <xdr:blipFill>
        <a:blip r:embed="rId38"/>
        <a:stretch/>
      </xdr:blipFill>
      <xdr:spPr>
        <a:xfrm>
          <a:off x="65671200" y="7601040"/>
          <a:ext cx="199800" cy="199800"/>
        </a:xfrm>
        <a:prstGeom prst="rect">
          <a:avLst/>
        </a:prstGeom>
        <a:ln w="0">
          <a:noFill/>
        </a:ln>
      </xdr:spPr>
    </xdr:pic>
    <xdr:clientData/>
  </xdr:twoCellAnchor>
  <xdr:twoCellAnchor editAs="oneCell">
    <xdr:from>
      <xdr:col>73</xdr:col>
      <xdr:colOff>0</xdr:colOff>
      <xdr:row>39</xdr:row>
      <xdr:rowOff>0</xdr:rowOff>
    </xdr:from>
    <xdr:to>
      <xdr:col>73</xdr:col>
      <xdr:colOff>199800</xdr:colOff>
      <xdr:row>39</xdr:row>
      <xdr:rowOff>199800</xdr:rowOff>
    </xdr:to>
    <xdr:pic>
      <xdr:nvPicPr>
        <xdr:cNvPr id="176" name="image41.png" descr=""/>
        <xdr:cNvPicPr/>
      </xdr:nvPicPr>
      <xdr:blipFill>
        <a:blip r:embed="rId39"/>
        <a:stretch/>
      </xdr:blipFill>
      <xdr:spPr>
        <a:xfrm>
          <a:off x="65671200" y="7800840"/>
          <a:ext cx="199800" cy="199800"/>
        </a:xfrm>
        <a:prstGeom prst="rect">
          <a:avLst/>
        </a:prstGeom>
        <a:ln w="0">
          <a:noFill/>
        </a:ln>
      </xdr:spPr>
    </xdr:pic>
    <xdr:clientData/>
  </xdr:twoCellAnchor>
  <xdr:twoCellAnchor editAs="oneCell">
    <xdr:from>
      <xdr:col>73</xdr:col>
      <xdr:colOff>0</xdr:colOff>
      <xdr:row>40</xdr:row>
      <xdr:rowOff>0</xdr:rowOff>
    </xdr:from>
    <xdr:to>
      <xdr:col>73</xdr:col>
      <xdr:colOff>199800</xdr:colOff>
      <xdr:row>40</xdr:row>
      <xdr:rowOff>199800</xdr:rowOff>
    </xdr:to>
    <xdr:pic>
      <xdr:nvPicPr>
        <xdr:cNvPr id="177" name="image24.png" descr=""/>
        <xdr:cNvPicPr/>
      </xdr:nvPicPr>
      <xdr:blipFill>
        <a:blip r:embed="rId40"/>
        <a:stretch/>
      </xdr:blipFill>
      <xdr:spPr>
        <a:xfrm>
          <a:off x="65671200" y="8001000"/>
          <a:ext cx="199800" cy="199800"/>
        </a:xfrm>
        <a:prstGeom prst="rect">
          <a:avLst/>
        </a:prstGeom>
        <a:ln w="0">
          <a:noFill/>
        </a:ln>
      </xdr:spPr>
    </xdr:pic>
    <xdr:clientData/>
  </xdr:twoCellAnchor>
  <xdr:twoCellAnchor editAs="oneCell">
    <xdr:from>
      <xdr:col>73</xdr:col>
      <xdr:colOff>0</xdr:colOff>
      <xdr:row>41</xdr:row>
      <xdr:rowOff>0</xdr:rowOff>
    </xdr:from>
    <xdr:to>
      <xdr:col>73</xdr:col>
      <xdr:colOff>199800</xdr:colOff>
      <xdr:row>41</xdr:row>
      <xdr:rowOff>199800</xdr:rowOff>
    </xdr:to>
    <xdr:pic>
      <xdr:nvPicPr>
        <xdr:cNvPr id="178" name="image36.png" descr=""/>
        <xdr:cNvPicPr/>
      </xdr:nvPicPr>
      <xdr:blipFill>
        <a:blip r:embed="rId41"/>
        <a:stretch/>
      </xdr:blipFill>
      <xdr:spPr>
        <a:xfrm>
          <a:off x="65671200" y="8201160"/>
          <a:ext cx="199800" cy="199800"/>
        </a:xfrm>
        <a:prstGeom prst="rect">
          <a:avLst/>
        </a:prstGeom>
        <a:ln w="0">
          <a:noFill/>
        </a:ln>
      </xdr:spPr>
    </xdr:pic>
    <xdr:clientData/>
  </xdr:twoCellAnchor>
  <xdr:twoCellAnchor editAs="oneCell">
    <xdr:from>
      <xdr:col>73</xdr:col>
      <xdr:colOff>0</xdr:colOff>
      <xdr:row>42</xdr:row>
      <xdr:rowOff>0</xdr:rowOff>
    </xdr:from>
    <xdr:to>
      <xdr:col>73</xdr:col>
      <xdr:colOff>199800</xdr:colOff>
      <xdr:row>42</xdr:row>
      <xdr:rowOff>199800</xdr:rowOff>
    </xdr:to>
    <xdr:pic>
      <xdr:nvPicPr>
        <xdr:cNvPr id="179" name="image38.png" descr=""/>
        <xdr:cNvPicPr/>
      </xdr:nvPicPr>
      <xdr:blipFill>
        <a:blip r:embed="rId42"/>
        <a:stretch/>
      </xdr:blipFill>
      <xdr:spPr>
        <a:xfrm>
          <a:off x="65671200" y="8400960"/>
          <a:ext cx="199800" cy="199800"/>
        </a:xfrm>
        <a:prstGeom prst="rect">
          <a:avLst/>
        </a:prstGeom>
        <a:ln w="0">
          <a:noFill/>
        </a:ln>
      </xdr:spPr>
    </xdr:pic>
    <xdr:clientData/>
  </xdr:twoCellAnchor>
  <xdr:twoCellAnchor editAs="oneCell">
    <xdr:from>
      <xdr:col>73</xdr:col>
      <xdr:colOff>0</xdr:colOff>
      <xdr:row>43</xdr:row>
      <xdr:rowOff>0</xdr:rowOff>
    </xdr:from>
    <xdr:to>
      <xdr:col>73</xdr:col>
      <xdr:colOff>199800</xdr:colOff>
      <xdr:row>43</xdr:row>
      <xdr:rowOff>199800</xdr:rowOff>
    </xdr:to>
    <xdr:pic>
      <xdr:nvPicPr>
        <xdr:cNvPr id="180" name="image32.png" descr=""/>
        <xdr:cNvPicPr/>
      </xdr:nvPicPr>
      <xdr:blipFill>
        <a:blip r:embed="rId43"/>
        <a:stretch/>
      </xdr:blipFill>
      <xdr:spPr>
        <a:xfrm>
          <a:off x="65671200" y="8601120"/>
          <a:ext cx="199800" cy="199800"/>
        </a:xfrm>
        <a:prstGeom prst="rect">
          <a:avLst/>
        </a:prstGeom>
        <a:ln w="0">
          <a:noFill/>
        </a:ln>
      </xdr:spPr>
    </xdr:pic>
    <xdr:clientData/>
  </xdr:twoCellAnchor>
  <xdr:twoCellAnchor editAs="oneCell">
    <xdr:from>
      <xdr:col>73</xdr:col>
      <xdr:colOff>0</xdr:colOff>
      <xdr:row>44</xdr:row>
      <xdr:rowOff>0</xdr:rowOff>
    </xdr:from>
    <xdr:to>
      <xdr:col>73</xdr:col>
      <xdr:colOff>199800</xdr:colOff>
      <xdr:row>44</xdr:row>
      <xdr:rowOff>199800</xdr:rowOff>
    </xdr:to>
    <xdr:pic>
      <xdr:nvPicPr>
        <xdr:cNvPr id="181" name="image35.png" descr=""/>
        <xdr:cNvPicPr/>
      </xdr:nvPicPr>
      <xdr:blipFill>
        <a:blip r:embed="rId44"/>
        <a:stretch/>
      </xdr:blipFill>
      <xdr:spPr>
        <a:xfrm>
          <a:off x="65671200" y="8801280"/>
          <a:ext cx="199800" cy="199800"/>
        </a:xfrm>
        <a:prstGeom prst="rect">
          <a:avLst/>
        </a:prstGeom>
        <a:ln w="0">
          <a:noFill/>
        </a:ln>
      </xdr:spPr>
    </xdr:pic>
    <xdr:clientData/>
  </xdr:twoCellAnchor>
  <xdr:twoCellAnchor editAs="oneCell">
    <xdr:from>
      <xdr:col>73</xdr:col>
      <xdr:colOff>0</xdr:colOff>
      <xdr:row>45</xdr:row>
      <xdr:rowOff>0</xdr:rowOff>
    </xdr:from>
    <xdr:to>
      <xdr:col>73</xdr:col>
      <xdr:colOff>199800</xdr:colOff>
      <xdr:row>45</xdr:row>
      <xdr:rowOff>199800</xdr:rowOff>
    </xdr:to>
    <xdr:pic>
      <xdr:nvPicPr>
        <xdr:cNvPr id="182" name="image29.png" descr=""/>
        <xdr:cNvPicPr/>
      </xdr:nvPicPr>
      <xdr:blipFill>
        <a:blip r:embed="rId45"/>
        <a:stretch/>
      </xdr:blipFill>
      <xdr:spPr>
        <a:xfrm>
          <a:off x="65671200" y="9001080"/>
          <a:ext cx="199800" cy="199800"/>
        </a:xfrm>
        <a:prstGeom prst="rect">
          <a:avLst/>
        </a:prstGeom>
        <a:ln w="0">
          <a:noFill/>
        </a:ln>
      </xdr:spPr>
    </xdr:pic>
    <xdr:clientData/>
  </xdr:twoCellAnchor>
  <xdr:twoCellAnchor editAs="oneCell">
    <xdr:from>
      <xdr:col>73</xdr:col>
      <xdr:colOff>0</xdr:colOff>
      <xdr:row>46</xdr:row>
      <xdr:rowOff>0</xdr:rowOff>
    </xdr:from>
    <xdr:to>
      <xdr:col>73</xdr:col>
      <xdr:colOff>199800</xdr:colOff>
      <xdr:row>46</xdr:row>
      <xdr:rowOff>199800</xdr:rowOff>
    </xdr:to>
    <xdr:pic>
      <xdr:nvPicPr>
        <xdr:cNvPr id="183" name="image63.png" descr=""/>
        <xdr:cNvPicPr/>
      </xdr:nvPicPr>
      <xdr:blipFill>
        <a:blip r:embed="rId46"/>
        <a:stretch/>
      </xdr:blipFill>
      <xdr:spPr>
        <a:xfrm>
          <a:off x="65671200" y="9201240"/>
          <a:ext cx="199800" cy="199800"/>
        </a:xfrm>
        <a:prstGeom prst="rect">
          <a:avLst/>
        </a:prstGeom>
        <a:ln w="0">
          <a:noFill/>
        </a:ln>
      </xdr:spPr>
    </xdr:pic>
    <xdr:clientData/>
  </xdr:twoCellAnchor>
  <xdr:twoCellAnchor editAs="oneCell">
    <xdr:from>
      <xdr:col>73</xdr:col>
      <xdr:colOff>0</xdr:colOff>
      <xdr:row>47</xdr:row>
      <xdr:rowOff>0</xdr:rowOff>
    </xdr:from>
    <xdr:to>
      <xdr:col>73</xdr:col>
      <xdr:colOff>199800</xdr:colOff>
      <xdr:row>47</xdr:row>
      <xdr:rowOff>199800</xdr:rowOff>
    </xdr:to>
    <xdr:pic>
      <xdr:nvPicPr>
        <xdr:cNvPr id="184" name="image31.png" descr=""/>
        <xdr:cNvPicPr/>
      </xdr:nvPicPr>
      <xdr:blipFill>
        <a:blip r:embed="rId47"/>
        <a:stretch/>
      </xdr:blipFill>
      <xdr:spPr>
        <a:xfrm>
          <a:off x="65671200" y="9401040"/>
          <a:ext cx="199800" cy="199800"/>
        </a:xfrm>
        <a:prstGeom prst="rect">
          <a:avLst/>
        </a:prstGeom>
        <a:ln w="0">
          <a:noFill/>
        </a:ln>
      </xdr:spPr>
    </xdr:pic>
    <xdr:clientData/>
  </xdr:twoCellAnchor>
  <xdr:twoCellAnchor editAs="oneCell">
    <xdr:from>
      <xdr:col>73</xdr:col>
      <xdr:colOff>0</xdr:colOff>
      <xdr:row>48</xdr:row>
      <xdr:rowOff>0</xdr:rowOff>
    </xdr:from>
    <xdr:to>
      <xdr:col>73</xdr:col>
      <xdr:colOff>199800</xdr:colOff>
      <xdr:row>48</xdr:row>
      <xdr:rowOff>199800</xdr:rowOff>
    </xdr:to>
    <xdr:pic>
      <xdr:nvPicPr>
        <xdr:cNvPr id="185" name="image45.png" descr=""/>
        <xdr:cNvPicPr/>
      </xdr:nvPicPr>
      <xdr:blipFill>
        <a:blip r:embed="rId48"/>
        <a:stretch/>
      </xdr:blipFill>
      <xdr:spPr>
        <a:xfrm>
          <a:off x="65671200" y="9601200"/>
          <a:ext cx="199800" cy="199800"/>
        </a:xfrm>
        <a:prstGeom prst="rect">
          <a:avLst/>
        </a:prstGeom>
        <a:ln w="0">
          <a:noFill/>
        </a:ln>
      </xdr:spPr>
    </xdr:pic>
    <xdr:clientData/>
  </xdr:twoCellAnchor>
  <xdr:twoCellAnchor editAs="oneCell">
    <xdr:from>
      <xdr:col>73</xdr:col>
      <xdr:colOff>0</xdr:colOff>
      <xdr:row>49</xdr:row>
      <xdr:rowOff>0</xdr:rowOff>
    </xdr:from>
    <xdr:to>
      <xdr:col>73</xdr:col>
      <xdr:colOff>199800</xdr:colOff>
      <xdr:row>49</xdr:row>
      <xdr:rowOff>199800</xdr:rowOff>
    </xdr:to>
    <xdr:pic>
      <xdr:nvPicPr>
        <xdr:cNvPr id="186" name="image47.png" descr=""/>
        <xdr:cNvPicPr/>
      </xdr:nvPicPr>
      <xdr:blipFill>
        <a:blip r:embed="rId49"/>
        <a:stretch/>
      </xdr:blipFill>
      <xdr:spPr>
        <a:xfrm>
          <a:off x="65671200" y="9801360"/>
          <a:ext cx="199800" cy="199800"/>
        </a:xfrm>
        <a:prstGeom prst="rect">
          <a:avLst/>
        </a:prstGeom>
        <a:ln w="0">
          <a:noFill/>
        </a:ln>
      </xdr:spPr>
    </xdr:pic>
    <xdr:clientData/>
  </xdr:twoCellAnchor>
  <xdr:twoCellAnchor editAs="oneCell">
    <xdr:from>
      <xdr:col>73</xdr:col>
      <xdr:colOff>0</xdr:colOff>
      <xdr:row>50</xdr:row>
      <xdr:rowOff>0</xdr:rowOff>
    </xdr:from>
    <xdr:to>
      <xdr:col>73</xdr:col>
      <xdr:colOff>199800</xdr:colOff>
      <xdr:row>50</xdr:row>
      <xdr:rowOff>199800</xdr:rowOff>
    </xdr:to>
    <xdr:pic>
      <xdr:nvPicPr>
        <xdr:cNvPr id="187" name="image46.png" descr=""/>
        <xdr:cNvPicPr/>
      </xdr:nvPicPr>
      <xdr:blipFill>
        <a:blip r:embed="rId50"/>
        <a:stretch/>
      </xdr:blipFill>
      <xdr:spPr>
        <a:xfrm>
          <a:off x="65671200" y="10001160"/>
          <a:ext cx="199800" cy="199800"/>
        </a:xfrm>
        <a:prstGeom prst="rect">
          <a:avLst/>
        </a:prstGeom>
        <a:ln w="0">
          <a:noFill/>
        </a:ln>
      </xdr:spPr>
    </xdr:pic>
    <xdr:clientData/>
  </xdr:twoCellAnchor>
  <xdr:twoCellAnchor editAs="oneCell">
    <xdr:from>
      <xdr:col>73</xdr:col>
      <xdr:colOff>0</xdr:colOff>
      <xdr:row>51</xdr:row>
      <xdr:rowOff>0</xdr:rowOff>
    </xdr:from>
    <xdr:to>
      <xdr:col>73</xdr:col>
      <xdr:colOff>199800</xdr:colOff>
      <xdr:row>51</xdr:row>
      <xdr:rowOff>199800</xdr:rowOff>
    </xdr:to>
    <xdr:pic>
      <xdr:nvPicPr>
        <xdr:cNvPr id="188" name="image53.png" descr=""/>
        <xdr:cNvPicPr/>
      </xdr:nvPicPr>
      <xdr:blipFill>
        <a:blip r:embed="rId51"/>
        <a:stretch/>
      </xdr:blipFill>
      <xdr:spPr>
        <a:xfrm>
          <a:off x="65671200" y="10201320"/>
          <a:ext cx="199800" cy="199800"/>
        </a:xfrm>
        <a:prstGeom prst="rect">
          <a:avLst/>
        </a:prstGeom>
        <a:ln w="0">
          <a:noFill/>
        </a:ln>
      </xdr:spPr>
    </xdr:pic>
    <xdr:clientData/>
  </xdr:twoCellAnchor>
  <xdr:twoCellAnchor editAs="oneCell">
    <xdr:from>
      <xdr:col>73</xdr:col>
      <xdr:colOff>0</xdr:colOff>
      <xdr:row>52</xdr:row>
      <xdr:rowOff>0</xdr:rowOff>
    </xdr:from>
    <xdr:to>
      <xdr:col>73</xdr:col>
      <xdr:colOff>199800</xdr:colOff>
      <xdr:row>52</xdr:row>
      <xdr:rowOff>199800</xdr:rowOff>
    </xdr:to>
    <xdr:pic>
      <xdr:nvPicPr>
        <xdr:cNvPr id="189" name="image58.png" descr=""/>
        <xdr:cNvPicPr/>
      </xdr:nvPicPr>
      <xdr:blipFill>
        <a:blip r:embed="rId52"/>
        <a:stretch/>
      </xdr:blipFill>
      <xdr:spPr>
        <a:xfrm>
          <a:off x="65671200" y="10401480"/>
          <a:ext cx="199800" cy="199800"/>
        </a:xfrm>
        <a:prstGeom prst="rect">
          <a:avLst/>
        </a:prstGeom>
        <a:ln w="0">
          <a:noFill/>
        </a:ln>
      </xdr:spPr>
    </xdr:pic>
    <xdr:clientData/>
  </xdr:twoCellAnchor>
  <xdr:twoCellAnchor editAs="oneCell">
    <xdr:from>
      <xdr:col>73</xdr:col>
      <xdr:colOff>0</xdr:colOff>
      <xdr:row>53</xdr:row>
      <xdr:rowOff>0</xdr:rowOff>
    </xdr:from>
    <xdr:to>
      <xdr:col>73</xdr:col>
      <xdr:colOff>199800</xdr:colOff>
      <xdr:row>53</xdr:row>
      <xdr:rowOff>199800</xdr:rowOff>
    </xdr:to>
    <xdr:pic>
      <xdr:nvPicPr>
        <xdr:cNvPr id="190" name="image137.png" descr=""/>
        <xdr:cNvPicPr/>
      </xdr:nvPicPr>
      <xdr:blipFill>
        <a:blip r:embed="rId53"/>
        <a:stretch/>
      </xdr:blipFill>
      <xdr:spPr>
        <a:xfrm>
          <a:off x="65671200" y="10601280"/>
          <a:ext cx="199800" cy="199800"/>
        </a:xfrm>
        <a:prstGeom prst="rect">
          <a:avLst/>
        </a:prstGeom>
        <a:ln w="0">
          <a:noFill/>
        </a:ln>
      </xdr:spPr>
    </xdr:pic>
    <xdr:clientData/>
  </xdr:twoCellAnchor>
  <xdr:twoCellAnchor editAs="oneCell">
    <xdr:from>
      <xdr:col>73</xdr:col>
      <xdr:colOff>0</xdr:colOff>
      <xdr:row>54</xdr:row>
      <xdr:rowOff>0</xdr:rowOff>
    </xdr:from>
    <xdr:to>
      <xdr:col>73</xdr:col>
      <xdr:colOff>199800</xdr:colOff>
      <xdr:row>54</xdr:row>
      <xdr:rowOff>199800</xdr:rowOff>
    </xdr:to>
    <xdr:pic>
      <xdr:nvPicPr>
        <xdr:cNvPr id="191" name="image52.png" descr=""/>
        <xdr:cNvPicPr/>
      </xdr:nvPicPr>
      <xdr:blipFill>
        <a:blip r:embed="rId54"/>
        <a:stretch/>
      </xdr:blipFill>
      <xdr:spPr>
        <a:xfrm>
          <a:off x="65671200" y="10801440"/>
          <a:ext cx="199800" cy="199800"/>
        </a:xfrm>
        <a:prstGeom prst="rect">
          <a:avLst/>
        </a:prstGeom>
        <a:ln w="0">
          <a:noFill/>
        </a:ln>
      </xdr:spPr>
    </xdr:pic>
    <xdr:clientData/>
  </xdr:twoCellAnchor>
  <xdr:twoCellAnchor editAs="oneCell">
    <xdr:from>
      <xdr:col>73</xdr:col>
      <xdr:colOff>0</xdr:colOff>
      <xdr:row>55</xdr:row>
      <xdr:rowOff>0</xdr:rowOff>
    </xdr:from>
    <xdr:to>
      <xdr:col>73</xdr:col>
      <xdr:colOff>199800</xdr:colOff>
      <xdr:row>55</xdr:row>
      <xdr:rowOff>199800</xdr:rowOff>
    </xdr:to>
    <xdr:pic>
      <xdr:nvPicPr>
        <xdr:cNvPr id="192" name="image44.png" descr=""/>
        <xdr:cNvPicPr/>
      </xdr:nvPicPr>
      <xdr:blipFill>
        <a:blip r:embed="rId55"/>
        <a:stretch/>
      </xdr:blipFill>
      <xdr:spPr>
        <a:xfrm>
          <a:off x="65671200" y="11001240"/>
          <a:ext cx="199800" cy="199800"/>
        </a:xfrm>
        <a:prstGeom prst="rect">
          <a:avLst/>
        </a:prstGeom>
        <a:ln w="0">
          <a:noFill/>
        </a:ln>
      </xdr:spPr>
    </xdr:pic>
    <xdr:clientData/>
  </xdr:twoCellAnchor>
  <xdr:twoCellAnchor editAs="oneCell">
    <xdr:from>
      <xdr:col>73</xdr:col>
      <xdr:colOff>0</xdr:colOff>
      <xdr:row>56</xdr:row>
      <xdr:rowOff>0</xdr:rowOff>
    </xdr:from>
    <xdr:to>
      <xdr:col>73</xdr:col>
      <xdr:colOff>199800</xdr:colOff>
      <xdr:row>56</xdr:row>
      <xdr:rowOff>199800</xdr:rowOff>
    </xdr:to>
    <xdr:pic>
      <xdr:nvPicPr>
        <xdr:cNvPr id="193" name="image57.png" descr=""/>
        <xdr:cNvPicPr/>
      </xdr:nvPicPr>
      <xdr:blipFill>
        <a:blip r:embed="rId56"/>
        <a:stretch/>
      </xdr:blipFill>
      <xdr:spPr>
        <a:xfrm>
          <a:off x="65671200" y="11201400"/>
          <a:ext cx="199800" cy="199800"/>
        </a:xfrm>
        <a:prstGeom prst="rect">
          <a:avLst/>
        </a:prstGeom>
        <a:ln w="0">
          <a:noFill/>
        </a:ln>
      </xdr:spPr>
    </xdr:pic>
    <xdr:clientData/>
  </xdr:twoCellAnchor>
  <xdr:twoCellAnchor editAs="oneCell">
    <xdr:from>
      <xdr:col>73</xdr:col>
      <xdr:colOff>0</xdr:colOff>
      <xdr:row>57</xdr:row>
      <xdr:rowOff>0</xdr:rowOff>
    </xdr:from>
    <xdr:to>
      <xdr:col>73</xdr:col>
      <xdr:colOff>199800</xdr:colOff>
      <xdr:row>57</xdr:row>
      <xdr:rowOff>199800</xdr:rowOff>
    </xdr:to>
    <xdr:pic>
      <xdr:nvPicPr>
        <xdr:cNvPr id="194" name="image61.png" descr=""/>
        <xdr:cNvPicPr/>
      </xdr:nvPicPr>
      <xdr:blipFill>
        <a:blip r:embed="rId57"/>
        <a:stretch/>
      </xdr:blipFill>
      <xdr:spPr>
        <a:xfrm>
          <a:off x="65671200" y="11401560"/>
          <a:ext cx="199800" cy="199800"/>
        </a:xfrm>
        <a:prstGeom prst="rect">
          <a:avLst/>
        </a:prstGeom>
        <a:ln w="0">
          <a:noFill/>
        </a:ln>
      </xdr:spPr>
    </xdr:pic>
    <xdr:clientData/>
  </xdr:twoCellAnchor>
  <xdr:twoCellAnchor editAs="oneCell">
    <xdr:from>
      <xdr:col>73</xdr:col>
      <xdr:colOff>0</xdr:colOff>
      <xdr:row>58</xdr:row>
      <xdr:rowOff>0</xdr:rowOff>
    </xdr:from>
    <xdr:to>
      <xdr:col>73</xdr:col>
      <xdr:colOff>199800</xdr:colOff>
      <xdr:row>58</xdr:row>
      <xdr:rowOff>199800</xdr:rowOff>
    </xdr:to>
    <xdr:pic>
      <xdr:nvPicPr>
        <xdr:cNvPr id="195" name="image50.png" descr=""/>
        <xdr:cNvPicPr/>
      </xdr:nvPicPr>
      <xdr:blipFill>
        <a:blip r:embed="rId58"/>
        <a:stretch/>
      </xdr:blipFill>
      <xdr:spPr>
        <a:xfrm>
          <a:off x="65671200" y="11601360"/>
          <a:ext cx="199800" cy="199800"/>
        </a:xfrm>
        <a:prstGeom prst="rect">
          <a:avLst/>
        </a:prstGeom>
        <a:ln w="0">
          <a:noFill/>
        </a:ln>
      </xdr:spPr>
    </xdr:pic>
    <xdr:clientData/>
  </xdr:twoCellAnchor>
  <xdr:twoCellAnchor editAs="oneCell">
    <xdr:from>
      <xdr:col>73</xdr:col>
      <xdr:colOff>0</xdr:colOff>
      <xdr:row>59</xdr:row>
      <xdr:rowOff>0</xdr:rowOff>
    </xdr:from>
    <xdr:to>
      <xdr:col>73</xdr:col>
      <xdr:colOff>199800</xdr:colOff>
      <xdr:row>59</xdr:row>
      <xdr:rowOff>199800</xdr:rowOff>
    </xdr:to>
    <xdr:pic>
      <xdr:nvPicPr>
        <xdr:cNvPr id="196" name="image54.png" descr=""/>
        <xdr:cNvPicPr/>
      </xdr:nvPicPr>
      <xdr:blipFill>
        <a:blip r:embed="rId59"/>
        <a:stretch/>
      </xdr:blipFill>
      <xdr:spPr>
        <a:xfrm>
          <a:off x="65671200" y="11801520"/>
          <a:ext cx="199800" cy="199800"/>
        </a:xfrm>
        <a:prstGeom prst="rect">
          <a:avLst/>
        </a:prstGeom>
        <a:ln w="0">
          <a:noFill/>
        </a:ln>
      </xdr:spPr>
    </xdr:pic>
    <xdr:clientData/>
  </xdr:twoCellAnchor>
  <xdr:twoCellAnchor editAs="oneCell">
    <xdr:from>
      <xdr:col>73</xdr:col>
      <xdr:colOff>0</xdr:colOff>
      <xdr:row>60</xdr:row>
      <xdr:rowOff>0</xdr:rowOff>
    </xdr:from>
    <xdr:to>
      <xdr:col>73</xdr:col>
      <xdr:colOff>199800</xdr:colOff>
      <xdr:row>60</xdr:row>
      <xdr:rowOff>199800</xdr:rowOff>
    </xdr:to>
    <xdr:pic>
      <xdr:nvPicPr>
        <xdr:cNvPr id="197" name="image56.png" descr=""/>
        <xdr:cNvPicPr/>
      </xdr:nvPicPr>
      <xdr:blipFill>
        <a:blip r:embed="rId60"/>
        <a:stretch/>
      </xdr:blipFill>
      <xdr:spPr>
        <a:xfrm>
          <a:off x="65671200" y="12001680"/>
          <a:ext cx="199800" cy="199800"/>
        </a:xfrm>
        <a:prstGeom prst="rect">
          <a:avLst/>
        </a:prstGeom>
        <a:ln w="0">
          <a:noFill/>
        </a:ln>
      </xdr:spPr>
    </xdr:pic>
    <xdr:clientData/>
  </xdr:twoCellAnchor>
  <xdr:twoCellAnchor editAs="oneCell">
    <xdr:from>
      <xdr:col>73</xdr:col>
      <xdr:colOff>0</xdr:colOff>
      <xdr:row>61</xdr:row>
      <xdr:rowOff>0</xdr:rowOff>
    </xdr:from>
    <xdr:to>
      <xdr:col>73</xdr:col>
      <xdr:colOff>199800</xdr:colOff>
      <xdr:row>61</xdr:row>
      <xdr:rowOff>199800</xdr:rowOff>
    </xdr:to>
    <xdr:pic>
      <xdr:nvPicPr>
        <xdr:cNvPr id="198" name="image60.png" descr=""/>
        <xdr:cNvPicPr/>
      </xdr:nvPicPr>
      <xdr:blipFill>
        <a:blip r:embed="rId61"/>
        <a:stretch/>
      </xdr:blipFill>
      <xdr:spPr>
        <a:xfrm>
          <a:off x="65671200" y="12201480"/>
          <a:ext cx="199800" cy="199800"/>
        </a:xfrm>
        <a:prstGeom prst="rect">
          <a:avLst/>
        </a:prstGeom>
        <a:ln w="0">
          <a:noFill/>
        </a:ln>
      </xdr:spPr>
    </xdr:pic>
    <xdr:clientData/>
  </xdr:twoCellAnchor>
  <xdr:twoCellAnchor editAs="oneCell">
    <xdr:from>
      <xdr:col>73</xdr:col>
      <xdr:colOff>0</xdr:colOff>
      <xdr:row>62</xdr:row>
      <xdr:rowOff>0</xdr:rowOff>
    </xdr:from>
    <xdr:to>
      <xdr:col>73</xdr:col>
      <xdr:colOff>199800</xdr:colOff>
      <xdr:row>62</xdr:row>
      <xdr:rowOff>199800</xdr:rowOff>
    </xdr:to>
    <xdr:pic>
      <xdr:nvPicPr>
        <xdr:cNvPr id="199" name="image48.png" descr=""/>
        <xdr:cNvPicPr/>
      </xdr:nvPicPr>
      <xdr:blipFill>
        <a:blip r:embed="rId62"/>
        <a:stretch/>
      </xdr:blipFill>
      <xdr:spPr>
        <a:xfrm>
          <a:off x="65671200" y="12401640"/>
          <a:ext cx="199800" cy="199800"/>
        </a:xfrm>
        <a:prstGeom prst="rect">
          <a:avLst/>
        </a:prstGeom>
        <a:ln w="0">
          <a:noFill/>
        </a:ln>
      </xdr:spPr>
    </xdr:pic>
    <xdr:clientData/>
  </xdr:twoCellAnchor>
  <xdr:twoCellAnchor editAs="oneCell">
    <xdr:from>
      <xdr:col>73</xdr:col>
      <xdr:colOff>0</xdr:colOff>
      <xdr:row>63</xdr:row>
      <xdr:rowOff>0</xdr:rowOff>
    </xdr:from>
    <xdr:to>
      <xdr:col>73</xdr:col>
      <xdr:colOff>199800</xdr:colOff>
      <xdr:row>63</xdr:row>
      <xdr:rowOff>199800</xdr:rowOff>
    </xdr:to>
    <xdr:pic>
      <xdr:nvPicPr>
        <xdr:cNvPr id="200" name="image59.png" descr=""/>
        <xdr:cNvPicPr/>
      </xdr:nvPicPr>
      <xdr:blipFill>
        <a:blip r:embed="rId63"/>
        <a:stretch/>
      </xdr:blipFill>
      <xdr:spPr>
        <a:xfrm>
          <a:off x="65671200" y="12601440"/>
          <a:ext cx="199800" cy="199800"/>
        </a:xfrm>
        <a:prstGeom prst="rect">
          <a:avLst/>
        </a:prstGeom>
        <a:ln w="0">
          <a:noFill/>
        </a:ln>
      </xdr:spPr>
    </xdr:pic>
    <xdr:clientData/>
  </xdr:twoCellAnchor>
  <xdr:twoCellAnchor editAs="oneCell">
    <xdr:from>
      <xdr:col>73</xdr:col>
      <xdr:colOff>0</xdr:colOff>
      <xdr:row>64</xdr:row>
      <xdr:rowOff>0</xdr:rowOff>
    </xdr:from>
    <xdr:to>
      <xdr:col>73</xdr:col>
      <xdr:colOff>199800</xdr:colOff>
      <xdr:row>64</xdr:row>
      <xdr:rowOff>199800</xdr:rowOff>
    </xdr:to>
    <xdr:pic>
      <xdr:nvPicPr>
        <xdr:cNvPr id="201" name="image51.png" descr=""/>
        <xdr:cNvPicPr/>
      </xdr:nvPicPr>
      <xdr:blipFill>
        <a:blip r:embed="rId64"/>
        <a:stretch/>
      </xdr:blipFill>
      <xdr:spPr>
        <a:xfrm>
          <a:off x="65671200" y="12801600"/>
          <a:ext cx="199800" cy="199800"/>
        </a:xfrm>
        <a:prstGeom prst="rect">
          <a:avLst/>
        </a:prstGeom>
        <a:ln w="0">
          <a:noFill/>
        </a:ln>
      </xdr:spPr>
    </xdr:pic>
    <xdr:clientData/>
  </xdr:twoCellAnchor>
  <xdr:twoCellAnchor editAs="oneCell">
    <xdr:from>
      <xdr:col>73</xdr:col>
      <xdr:colOff>0</xdr:colOff>
      <xdr:row>65</xdr:row>
      <xdr:rowOff>0</xdr:rowOff>
    </xdr:from>
    <xdr:to>
      <xdr:col>73</xdr:col>
      <xdr:colOff>199800</xdr:colOff>
      <xdr:row>65</xdr:row>
      <xdr:rowOff>199800</xdr:rowOff>
    </xdr:to>
    <xdr:pic>
      <xdr:nvPicPr>
        <xdr:cNvPr id="202" name="image62.png" descr=""/>
        <xdr:cNvPicPr/>
      </xdr:nvPicPr>
      <xdr:blipFill>
        <a:blip r:embed="rId65"/>
        <a:stretch/>
      </xdr:blipFill>
      <xdr:spPr>
        <a:xfrm>
          <a:off x="65671200" y="13001760"/>
          <a:ext cx="199800" cy="199800"/>
        </a:xfrm>
        <a:prstGeom prst="rect">
          <a:avLst/>
        </a:prstGeom>
        <a:ln w="0">
          <a:noFill/>
        </a:ln>
      </xdr:spPr>
    </xdr:pic>
    <xdr:clientData/>
  </xdr:twoCellAnchor>
  <xdr:twoCellAnchor editAs="oneCell">
    <xdr:from>
      <xdr:col>73</xdr:col>
      <xdr:colOff>0</xdr:colOff>
      <xdr:row>66</xdr:row>
      <xdr:rowOff>0</xdr:rowOff>
    </xdr:from>
    <xdr:to>
      <xdr:col>73</xdr:col>
      <xdr:colOff>199800</xdr:colOff>
      <xdr:row>66</xdr:row>
      <xdr:rowOff>199800</xdr:rowOff>
    </xdr:to>
    <xdr:pic>
      <xdr:nvPicPr>
        <xdr:cNvPr id="203" name="image55.png" descr=""/>
        <xdr:cNvPicPr/>
      </xdr:nvPicPr>
      <xdr:blipFill>
        <a:blip r:embed="rId66"/>
        <a:stretch/>
      </xdr:blipFill>
      <xdr:spPr>
        <a:xfrm>
          <a:off x="65671200" y="13201560"/>
          <a:ext cx="199800" cy="199800"/>
        </a:xfrm>
        <a:prstGeom prst="rect">
          <a:avLst/>
        </a:prstGeom>
        <a:ln w="0">
          <a:noFill/>
        </a:ln>
      </xdr:spPr>
    </xdr:pic>
    <xdr:clientData/>
  </xdr:twoCellAnchor>
  <xdr:twoCellAnchor editAs="oneCell">
    <xdr:from>
      <xdr:col>73</xdr:col>
      <xdr:colOff>0</xdr:colOff>
      <xdr:row>67</xdr:row>
      <xdr:rowOff>0</xdr:rowOff>
    </xdr:from>
    <xdr:to>
      <xdr:col>73</xdr:col>
      <xdr:colOff>199800</xdr:colOff>
      <xdr:row>67</xdr:row>
      <xdr:rowOff>199800</xdr:rowOff>
    </xdr:to>
    <xdr:pic>
      <xdr:nvPicPr>
        <xdr:cNvPr id="204" name="image67.png" descr=""/>
        <xdr:cNvPicPr/>
      </xdr:nvPicPr>
      <xdr:blipFill>
        <a:blip r:embed="rId67"/>
        <a:stretch/>
      </xdr:blipFill>
      <xdr:spPr>
        <a:xfrm>
          <a:off x="65671200" y="13401720"/>
          <a:ext cx="199800" cy="199800"/>
        </a:xfrm>
        <a:prstGeom prst="rect">
          <a:avLst/>
        </a:prstGeom>
        <a:ln w="0">
          <a:noFill/>
        </a:ln>
      </xdr:spPr>
    </xdr:pic>
    <xdr:clientData/>
  </xdr:twoCellAnchor>
  <xdr:twoCellAnchor editAs="oneCell">
    <xdr:from>
      <xdr:col>73</xdr:col>
      <xdr:colOff>0</xdr:colOff>
      <xdr:row>68</xdr:row>
      <xdr:rowOff>0</xdr:rowOff>
    </xdr:from>
    <xdr:to>
      <xdr:col>73</xdr:col>
      <xdr:colOff>199800</xdr:colOff>
      <xdr:row>68</xdr:row>
      <xdr:rowOff>199800</xdr:rowOff>
    </xdr:to>
    <xdr:pic>
      <xdr:nvPicPr>
        <xdr:cNvPr id="205" name="image108.png" descr=""/>
        <xdr:cNvPicPr/>
      </xdr:nvPicPr>
      <xdr:blipFill>
        <a:blip r:embed="rId68"/>
        <a:stretch/>
      </xdr:blipFill>
      <xdr:spPr>
        <a:xfrm>
          <a:off x="65671200" y="13601880"/>
          <a:ext cx="199800" cy="199800"/>
        </a:xfrm>
        <a:prstGeom prst="rect">
          <a:avLst/>
        </a:prstGeom>
        <a:ln w="0">
          <a:noFill/>
        </a:ln>
      </xdr:spPr>
    </xdr:pic>
    <xdr:clientData/>
  </xdr:twoCellAnchor>
  <xdr:twoCellAnchor editAs="oneCell">
    <xdr:from>
      <xdr:col>73</xdr:col>
      <xdr:colOff>0</xdr:colOff>
      <xdr:row>69</xdr:row>
      <xdr:rowOff>0</xdr:rowOff>
    </xdr:from>
    <xdr:to>
      <xdr:col>73</xdr:col>
      <xdr:colOff>199800</xdr:colOff>
      <xdr:row>69</xdr:row>
      <xdr:rowOff>199800</xdr:rowOff>
    </xdr:to>
    <xdr:pic>
      <xdr:nvPicPr>
        <xdr:cNvPr id="206" name="image72.png" descr=""/>
        <xdr:cNvPicPr/>
      </xdr:nvPicPr>
      <xdr:blipFill>
        <a:blip r:embed="rId69"/>
        <a:stretch/>
      </xdr:blipFill>
      <xdr:spPr>
        <a:xfrm>
          <a:off x="65671200" y="13801680"/>
          <a:ext cx="199800" cy="199800"/>
        </a:xfrm>
        <a:prstGeom prst="rect">
          <a:avLst/>
        </a:prstGeom>
        <a:ln w="0">
          <a:noFill/>
        </a:ln>
      </xdr:spPr>
    </xdr:pic>
    <xdr:clientData/>
  </xdr:twoCellAnchor>
  <xdr:twoCellAnchor editAs="oneCell">
    <xdr:from>
      <xdr:col>73</xdr:col>
      <xdr:colOff>0</xdr:colOff>
      <xdr:row>70</xdr:row>
      <xdr:rowOff>0</xdr:rowOff>
    </xdr:from>
    <xdr:to>
      <xdr:col>73</xdr:col>
      <xdr:colOff>199800</xdr:colOff>
      <xdr:row>70</xdr:row>
      <xdr:rowOff>199800</xdr:rowOff>
    </xdr:to>
    <xdr:pic>
      <xdr:nvPicPr>
        <xdr:cNvPr id="207" name="image66.png" descr=""/>
        <xdr:cNvPicPr/>
      </xdr:nvPicPr>
      <xdr:blipFill>
        <a:blip r:embed="rId70"/>
        <a:stretch/>
      </xdr:blipFill>
      <xdr:spPr>
        <a:xfrm>
          <a:off x="65671200" y="14001840"/>
          <a:ext cx="199800" cy="199800"/>
        </a:xfrm>
        <a:prstGeom prst="rect">
          <a:avLst/>
        </a:prstGeom>
        <a:ln w="0">
          <a:noFill/>
        </a:ln>
      </xdr:spPr>
    </xdr:pic>
    <xdr:clientData/>
  </xdr:twoCellAnchor>
  <xdr:twoCellAnchor editAs="oneCell">
    <xdr:from>
      <xdr:col>73</xdr:col>
      <xdr:colOff>0</xdr:colOff>
      <xdr:row>71</xdr:row>
      <xdr:rowOff>0</xdr:rowOff>
    </xdr:from>
    <xdr:to>
      <xdr:col>73</xdr:col>
      <xdr:colOff>199800</xdr:colOff>
      <xdr:row>71</xdr:row>
      <xdr:rowOff>199800</xdr:rowOff>
    </xdr:to>
    <xdr:pic>
      <xdr:nvPicPr>
        <xdr:cNvPr id="208" name="image76.png" descr=""/>
        <xdr:cNvPicPr/>
      </xdr:nvPicPr>
      <xdr:blipFill>
        <a:blip r:embed="rId71"/>
        <a:stretch/>
      </xdr:blipFill>
      <xdr:spPr>
        <a:xfrm>
          <a:off x="65671200" y="14201640"/>
          <a:ext cx="199800" cy="199800"/>
        </a:xfrm>
        <a:prstGeom prst="rect">
          <a:avLst/>
        </a:prstGeom>
        <a:ln w="0">
          <a:noFill/>
        </a:ln>
      </xdr:spPr>
    </xdr:pic>
    <xdr:clientData/>
  </xdr:twoCellAnchor>
  <xdr:twoCellAnchor editAs="oneCell">
    <xdr:from>
      <xdr:col>73</xdr:col>
      <xdr:colOff>0</xdr:colOff>
      <xdr:row>72</xdr:row>
      <xdr:rowOff>0</xdr:rowOff>
    </xdr:from>
    <xdr:to>
      <xdr:col>73</xdr:col>
      <xdr:colOff>199800</xdr:colOff>
      <xdr:row>72</xdr:row>
      <xdr:rowOff>199800</xdr:rowOff>
    </xdr:to>
    <xdr:pic>
      <xdr:nvPicPr>
        <xdr:cNvPr id="209" name="image68.png" descr=""/>
        <xdr:cNvPicPr/>
      </xdr:nvPicPr>
      <xdr:blipFill>
        <a:blip r:embed="rId72"/>
        <a:stretch/>
      </xdr:blipFill>
      <xdr:spPr>
        <a:xfrm>
          <a:off x="65671200" y="14401800"/>
          <a:ext cx="199800" cy="199800"/>
        </a:xfrm>
        <a:prstGeom prst="rect">
          <a:avLst/>
        </a:prstGeom>
        <a:ln w="0">
          <a:noFill/>
        </a:ln>
      </xdr:spPr>
    </xdr:pic>
    <xdr:clientData/>
  </xdr:twoCellAnchor>
  <xdr:twoCellAnchor editAs="oneCell">
    <xdr:from>
      <xdr:col>73</xdr:col>
      <xdr:colOff>0</xdr:colOff>
      <xdr:row>73</xdr:row>
      <xdr:rowOff>0</xdr:rowOff>
    </xdr:from>
    <xdr:to>
      <xdr:col>73</xdr:col>
      <xdr:colOff>199800</xdr:colOff>
      <xdr:row>73</xdr:row>
      <xdr:rowOff>199800</xdr:rowOff>
    </xdr:to>
    <xdr:pic>
      <xdr:nvPicPr>
        <xdr:cNvPr id="210" name="image64.png" descr=""/>
        <xdr:cNvPicPr/>
      </xdr:nvPicPr>
      <xdr:blipFill>
        <a:blip r:embed="rId73"/>
        <a:stretch/>
      </xdr:blipFill>
      <xdr:spPr>
        <a:xfrm>
          <a:off x="65671200" y="14601960"/>
          <a:ext cx="199800" cy="199800"/>
        </a:xfrm>
        <a:prstGeom prst="rect">
          <a:avLst/>
        </a:prstGeom>
        <a:ln w="0">
          <a:noFill/>
        </a:ln>
      </xdr:spPr>
    </xdr:pic>
    <xdr:clientData/>
  </xdr:twoCellAnchor>
  <xdr:twoCellAnchor editAs="oneCell">
    <xdr:from>
      <xdr:col>73</xdr:col>
      <xdr:colOff>0</xdr:colOff>
      <xdr:row>74</xdr:row>
      <xdr:rowOff>0</xdr:rowOff>
    </xdr:from>
    <xdr:to>
      <xdr:col>73</xdr:col>
      <xdr:colOff>199800</xdr:colOff>
      <xdr:row>74</xdr:row>
      <xdr:rowOff>199800</xdr:rowOff>
    </xdr:to>
    <xdr:pic>
      <xdr:nvPicPr>
        <xdr:cNvPr id="211" name="image74.png" descr=""/>
        <xdr:cNvPicPr/>
      </xdr:nvPicPr>
      <xdr:blipFill>
        <a:blip r:embed="rId74"/>
        <a:stretch/>
      </xdr:blipFill>
      <xdr:spPr>
        <a:xfrm>
          <a:off x="65671200" y="14801760"/>
          <a:ext cx="199800" cy="199800"/>
        </a:xfrm>
        <a:prstGeom prst="rect">
          <a:avLst/>
        </a:prstGeom>
        <a:ln w="0">
          <a:noFill/>
        </a:ln>
      </xdr:spPr>
    </xdr:pic>
    <xdr:clientData/>
  </xdr:twoCellAnchor>
  <xdr:twoCellAnchor editAs="oneCell">
    <xdr:from>
      <xdr:col>73</xdr:col>
      <xdr:colOff>0</xdr:colOff>
      <xdr:row>75</xdr:row>
      <xdr:rowOff>0</xdr:rowOff>
    </xdr:from>
    <xdr:to>
      <xdr:col>73</xdr:col>
      <xdr:colOff>199800</xdr:colOff>
      <xdr:row>75</xdr:row>
      <xdr:rowOff>199800</xdr:rowOff>
    </xdr:to>
    <xdr:pic>
      <xdr:nvPicPr>
        <xdr:cNvPr id="212" name="image71.png" descr=""/>
        <xdr:cNvPicPr/>
      </xdr:nvPicPr>
      <xdr:blipFill>
        <a:blip r:embed="rId75"/>
        <a:stretch/>
      </xdr:blipFill>
      <xdr:spPr>
        <a:xfrm>
          <a:off x="65671200" y="15001920"/>
          <a:ext cx="199800" cy="199800"/>
        </a:xfrm>
        <a:prstGeom prst="rect">
          <a:avLst/>
        </a:prstGeom>
        <a:ln w="0">
          <a:noFill/>
        </a:ln>
      </xdr:spPr>
    </xdr:pic>
    <xdr:clientData/>
  </xdr:twoCellAnchor>
  <xdr:twoCellAnchor editAs="oneCell">
    <xdr:from>
      <xdr:col>73</xdr:col>
      <xdr:colOff>0</xdr:colOff>
      <xdr:row>76</xdr:row>
      <xdr:rowOff>0</xdr:rowOff>
    </xdr:from>
    <xdr:to>
      <xdr:col>73</xdr:col>
      <xdr:colOff>199800</xdr:colOff>
      <xdr:row>76</xdr:row>
      <xdr:rowOff>199800</xdr:rowOff>
    </xdr:to>
    <xdr:pic>
      <xdr:nvPicPr>
        <xdr:cNvPr id="213" name="image73.png" descr=""/>
        <xdr:cNvPicPr/>
      </xdr:nvPicPr>
      <xdr:blipFill>
        <a:blip r:embed="rId76"/>
        <a:stretch/>
      </xdr:blipFill>
      <xdr:spPr>
        <a:xfrm>
          <a:off x="65671200" y="15202080"/>
          <a:ext cx="199800" cy="199800"/>
        </a:xfrm>
        <a:prstGeom prst="rect">
          <a:avLst/>
        </a:prstGeom>
        <a:ln w="0">
          <a:noFill/>
        </a:ln>
      </xdr:spPr>
    </xdr:pic>
    <xdr:clientData/>
  </xdr:twoCellAnchor>
  <xdr:twoCellAnchor editAs="oneCell">
    <xdr:from>
      <xdr:col>73</xdr:col>
      <xdr:colOff>0</xdr:colOff>
      <xdr:row>77</xdr:row>
      <xdr:rowOff>0</xdr:rowOff>
    </xdr:from>
    <xdr:to>
      <xdr:col>73</xdr:col>
      <xdr:colOff>199800</xdr:colOff>
      <xdr:row>77</xdr:row>
      <xdr:rowOff>199800</xdr:rowOff>
    </xdr:to>
    <xdr:pic>
      <xdr:nvPicPr>
        <xdr:cNvPr id="214" name="image65.png" descr=""/>
        <xdr:cNvPicPr/>
      </xdr:nvPicPr>
      <xdr:blipFill>
        <a:blip r:embed="rId77"/>
        <a:stretch/>
      </xdr:blipFill>
      <xdr:spPr>
        <a:xfrm>
          <a:off x="65671200" y="15401880"/>
          <a:ext cx="199800" cy="199800"/>
        </a:xfrm>
        <a:prstGeom prst="rect">
          <a:avLst/>
        </a:prstGeom>
        <a:ln w="0">
          <a:noFill/>
        </a:ln>
      </xdr:spPr>
    </xdr:pic>
    <xdr:clientData/>
  </xdr:twoCellAnchor>
  <xdr:twoCellAnchor editAs="oneCell">
    <xdr:from>
      <xdr:col>73</xdr:col>
      <xdr:colOff>0</xdr:colOff>
      <xdr:row>78</xdr:row>
      <xdr:rowOff>0</xdr:rowOff>
    </xdr:from>
    <xdr:to>
      <xdr:col>73</xdr:col>
      <xdr:colOff>199800</xdr:colOff>
      <xdr:row>78</xdr:row>
      <xdr:rowOff>199800</xdr:rowOff>
    </xdr:to>
    <xdr:pic>
      <xdr:nvPicPr>
        <xdr:cNvPr id="215" name="image69.png" descr=""/>
        <xdr:cNvPicPr/>
      </xdr:nvPicPr>
      <xdr:blipFill>
        <a:blip r:embed="rId78"/>
        <a:stretch/>
      </xdr:blipFill>
      <xdr:spPr>
        <a:xfrm>
          <a:off x="65671200" y="15602040"/>
          <a:ext cx="199800" cy="199800"/>
        </a:xfrm>
        <a:prstGeom prst="rect">
          <a:avLst/>
        </a:prstGeom>
        <a:ln w="0">
          <a:noFill/>
        </a:ln>
      </xdr:spPr>
    </xdr:pic>
    <xdr:clientData/>
  </xdr:twoCellAnchor>
  <xdr:twoCellAnchor editAs="oneCell">
    <xdr:from>
      <xdr:col>73</xdr:col>
      <xdr:colOff>0</xdr:colOff>
      <xdr:row>79</xdr:row>
      <xdr:rowOff>0</xdr:rowOff>
    </xdr:from>
    <xdr:to>
      <xdr:col>73</xdr:col>
      <xdr:colOff>199800</xdr:colOff>
      <xdr:row>79</xdr:row>
      <xdr:rowOff>199800</xdr:rowOff>
    </xdr:to>
    <xdr:pic>
      <xdr:nvPicPr>
        <xdr:cNvPr id="216" name="image77.png" descr=""/>
        <xdr:cNvPicPr/>
      </xdr:nvPicPr>
      <xdr:blipFill>
        <a:blip r:embed="rId79"/>
        <a:stretch/>
      </xdr:blipFill>
      <xdr:spPr>
        <a:xfrm>
          <a:off x="65671200" y="15801840"/>
          <a:ext cx="199800" cy="199800"/>
        </a:xfrm>
        <a:prstGeom prst="rect">
          <a:avLst/>
        </a:prstGeom>
        <a:ln w="0">
          <a:noFill/>
        </a:ln>
      </xdr:spPr>
    </xdr:pic>
    <xdr:clientData/>
  </xdr:twoCellAnchor>
  <xdr:twoCellAnchor editAs="oneCell">
    <xdr:from>
      <xdr:col>73</xdr:col>
      <xdr:colOff>0</xdr:colOff>
      <xdr:row>80</xdr:row>
      <xdr:rowOff>0</xdr:rowOff>
    </xdr:from>
    <xdr:to>
      <xdr:col>73</xdr:col>
      <xdr:colOff>199800</xdr:colOff>
      <xdr:row>80</xdr:row>
      <xdr:rowOff>199800</xdr:rowOff>
    </xdr:to>
    <xdr:pic>
      <xdr:nvPicPr>
        <xdr:cNvPr id="217" name="image75.png" descr=""/>
        <xdr:cNvPicPr/>
      </xdr:nvPicPr>
      <xdr:blipFill>
        <a:blip r:embed="rId80"/>
        <a:stretch/>
      </xdr:blipFill>
      <xdr:spPr>
        <a:xfrm>
          <a:off x="65671200" y="16002000"/>
          <a:ext cx="199800" cy="199800"/>
        </a:xfrm>
        <a:prstGeom prst="rect">
          <a:avLst/>
        </a:prstGeom>
        <a:ln w="0">
          <a:noFill/>
        </a:ln>
      </xdr:spPr>
    </xdr:pic>
    <xdr:clientData/>
  </xdr:twoCellAnchor>
  <xdr:twoCellAnchor editAs="oneCell">
    <xdr:from>
      <xdr:col>73</xdr:col>
      <xdr:colOff>0</xdr:colOff>
      <xdr:row>81</xdr:row>
      <xdr:rowOff>0</xdr:rowOff>
    </xdr:from>
    <xdr:to>
      <xdr:col>73</xdr:col>
      <xdr:colOff>199800</xdr:colOff>
      <xdr:row>81</xdr:row>
      <xdr:rowOff>199800</xdr:rowOff>
    </xdr:to>
    <xdr:pic>
      <xdr:nvPicPr>
        <xdr:cNvPr id="218" name="image78.png" descr=""/>
        <xdr:cNvPicPr/>
      </xdr:nvPicPr>
      <xdr:blipFill>
        <a:blip r:embed="rId81"/>
        <a:stretch/>
      </xdr:blipFill>
      <xdr:spPr>
        <a:xfrm>
          <a:off x="65671200" y="16202160"/>
          <a:ext cx="199800" cy="199800"/>
        </a:xfrm>
        <a:prstGeom prst="rect">
          <a:avLst/>
        </a:prstGeom>
        <a:ln w="0">
          <a:noFill/>
        </a:ln>
      </xdr:spPr>
    </xdr:pic>
    <xdr:clientData/>
  </xdr:twoCellAnchor>
  <xdr:twoCellAnchor editAs="oneCell">
    <xdr:from>
      <xdr:col>73</xdr:col>
      <xdr:colOff>0</xdr:colOff>
      <xdr:row>82</xdr:row>
      <xdr:rowOff>0</xdr:rowOff>
    </xdr:from>
    <xdr:to>
      <xdr:col>73</xdr:col>
      <xdr:colOff>199800</xdr:colOff>
      <xdr:row>82</xdr:row>
      <xdr:rowOff>199800</xdr:rowOff>
    </xdr:to>
    <xdr:pic>
      <xdr:nvPicPr>
        <xdr:cNvPr id="219" name="image83.png" descr=""/>
        <xdr:cNvPicPr/>
      </xdr:nvPicPr>
      <xdr:blipFill>
        <a:blip r:embed="rId82"/>
        <a:stretch/>
      </xdr:blipFill>
      <xdr:spPr>
        <a:xfrm>
          <a:off x="65671200" y="16401960"/>
          <a:ext cx="199800" cy="199800"/>
        </a:xfrm>
        <a:prstGeom prst="rect">
          <a:avLst/>
        </a:prstGeom>
        <a:ln w="0">
          <a:noFill/>
        </a:ln>
      </xdr:spPr>
    </xdr:pic>
    <xdr:clientData/>
  </xdr:twoCellAnchor>
  <xdr:twoCellAnchor editAs="oneCell">
    <xdr:from>
      <xdr:col>73</xdr:col>
      <xdr:colOff>0</xdr:colOff>
      <xdr:row>83</xdr:row>
      <xdr:rowOff>0</xdr:rowOff>
    </xdr:from>
    <xdr:to>
      <xdr:col>73</xdr:col>
      <xdr:colOff>199800</xdr:colOff>
      <xdr:row>83</xdr:row>
      <xdr:rowOff>199800</xdr:rowOff>
    </xdr:to>
    <xdr:pic>
      <xdr:nvPicPr>
        <xdr:cNvPr id="220" name="image99.png" descr=""/>
        <xdr:cNvPicPr/>
      </xdr:nvPicPr>
      <xdr:blipFill>
        <a:blip r:embed="rId83"/>
        <a:stretch/>
      </xdr:blipFill>
      <xdr:spPr>
        <a:xfrm>
          <a:off x="65671200" y="16602120"/>
          <a:ext cx="199800" cy="199800"/>
        </a:xfrm>
        <a:prstGeom prst="rect">
          <a:avLst/>
        </a:prstGeom>
        <a:ln w="0">
          <a:noFill/>
        </a:ln>
      </xdr:spPr>
    </xdr:pic>
    <xdr:clientData/>
  </xdr:twoCellAnchor>
  <xdr:twoCellAnchor editAs="oneCell">
    <xdr:from>
      <xdr:col>73</xdr:col>
      <xdr:colOff>0</xdr:colOff>
      <xdr:row>84</xdr:row>
      <xdr:rowOff>0</xdr:rowOff>
    </xdr:from>
    <xdr:to>
      <xdr:col>73</xdr:col>
      <xdr:colOff>199800</xdr:colOff>
      <xdr:row>84</xdr:row>
      <xdr:rowOff>199800</xdr:rowOff>
    </xdr:to>
    <xdr:pic>
      <xdr:nvPicPr>
        <xdr:cNvPr id="221" name="image84.png" descr=""/>
        <xdr:cNvPicPr/>
      </xdr:nvPicPr>
      <xdr:blipFill>
        <a:blip r:embed="rId84"/>
        <a:stretch/>
      </xdr:blipFill>
      <xdr:spPr>
        <a:xfrm>
          <a:off x="65671200" y="16802280"/>
          <a:ext cx="199800" cy="199800"/>
        </a:xfrm>
        <a:prstGeom prst="rect">
          <a:avLst/>
        </a:prstGeom>
        <a:ln w="0">
          <a:noFill/>
        </a:ln>
      </xdr:spPr>
    </xdr:pic>
    <xdr:clientData/>
  </xdr:twoCellAnchor>
  <xdr:twoCellAnchor editAs="oneCell">
    <xdr:from>
      <xdr:col>73</xdr:col>
      <xdr:colOff>0</xdr:colOff>
      <xdr:row>85</xdr:row>
      <xdr:rowOff>0</xdr:rowOff>
    </xdr:from>
    <xdr:to>
      <xdr:col>73</xdr:col>
      <xdr:colOff>199800</xdr:colOff>
      <xdr:row>85</xdr:row>
      <xdr:rowOff>199800</xdr:rowOff>
    </xdr:to>
    <xdr:pic>
      <xdr:nvPicPr>
        <xdr:cNvPr id="222" name="image80.png" descr=""/>
        <xdr:cNvPicPr/>
      </xdr:nvPicPr>
      <xdr:blipFill>
        <a:blip r:embed="rId85"/>
        <a:stretch/>
      </xdr:blipFill>
      <xdr:spPr>
        <a:xfrm>
          <a:off x="65671200" y="17002080"/>
          <a:ext cx="199800" cy="199800"/>
        </a:xfrm>
        <a:prstGeom prst="rect">
          <a:avLst/>
        </a:prstGeom>
        <a:ln w="0">
          <a:noFill/>
        </a:ln>
      </xdr:spPr>
    </xdr:pic>
    <xdr:clientData/>
  </xdr:twoCellAnchor>
  <xdr:twoCellAnchor editAs="oneCell">
    <xdr:from>
      <xdr:col>73</xdr:col>
      <xdr:colOff>0</xdr:colOff>
      <xdr:row>86</xdr:row>
      <xdr:rowOff>0</xdr:rowOff>
    </xdr:from>
    <xdr:to>
      <xdr:col>73</xdr:col>
      <xdr:colOff>199800</xdr:colOff>
      <xdr:row>86</xdr:row>
      <xdr:rowOff>199800</xdr:rowOff>
    </xdr:to>
    <xdr:pic>
      <xdr:nvPicPr>
        <xdr:cNvPr id="223" name="image81.png" descr=""/>
        <xdr:cNvPicPr/>
      </xdr:nvPicPr>
      <xdr:blipFill>
        <a:blip r:embed="rId86"/>
        <a:stretch/>
      </xdr:blipFill>
      <xdr:spPr>
        <a:xfrm>
          <a:off x="65671200" y="17202240"/>
          <a:ext cx="199800" cy="199800"/>
        </a:xfrm>
        <a:prstGeom prst="rect">
          <a:avLst/>
        </a:prstGeom>
        <a:ln w="0">
          <a:noFill/>
        </a:ln>
      </xdr:spPr>
    </xdr:pic>
    <xdr:clientData/>
  </xdr:twoCellAnchor>
  <xdr:twoCellAnchor editAs="oneCell">
    <xdr:from>
      <xdr:col>73</xdr:col>
      <xdr:colOff>0</xdr:colOff>
      <xdr:row>87</xdr:row>
      <xdr:rowOff>0</xdr:rowOff>
    </xdr:from>
    <xdr:to>
      <xdr:col>73</xdr:col>
      <xdr:colOff>199800</xdr:colOff>
      <xdr:row>87</xdr:row>
      <xdr:rowOff>199800</xdr:rowOff>
    </xdr:to>
    <xdr:pic>
      <xdr:nvPicPr>
        <xdr:cNvPr id="224" name="image79.png" descr=""/>
        <xdr:cNvPicPr/>
      </xdr:nvPicPr>
      <xdr:blipFill>
        <a:blip r:embed="rId87"/>
        <a:stretch/>
      </xdr:blipFill>
      <xdr:spPr>
        <a:xfrm>
          <a:off x="65671200" y="17402040"/>
          <a:ext cx="199800" cy="199800"/>
        </a:xfrm>
        <a:prstGeom prst="rect">
          <a:avLst/>
        </a:prstGeom>
        <a:ln w="0">
          <a:noFill/>
        </a:ln>
      </xdr:spPr>
    </xdr:pic>
    <xdr:clientData/>
  </xdr:twoCellAnchor>
  <xdr:twoCellAnchor editAs="oneCell">
    <xdr:from>
      <xdr:col>73</xdr:col>
      <xdr:colOff>0</xdr:colOff>
      <xdr:row>88</xdr:row>
      <xdr:rowOff>0</xdr:rowOff>
    </xdr:from>
    <xdr:to>
      <xdr:col>73</xdr:col>
      <xdr:colOff>199800</xdr:colOff>
      <xdr:row>88</xdr:row>
      <xdr:rowOff>199800</xdr:rowOff>
    </xdr:to>
    <xdr:pic>
      <xdr:nvPicPr>
        <xdr:cNvPr id="225" name="image135.png" descr=""/>
        <xdr:cNvPicPr/>
      </xdr:nvPicPr>
      <xdr:blipFill>
        <a:blip r:embed="rId88"/>
        <a:stretch/>
      </xdr:blipFill>
      <xdr:spPr>
        <a:xfrm>
          <a:off x="65671200" y="17602200"/>
          <a:ext cx="199800" cy="199800"/>
        </a:xfrm>
        <a:prstGeom prst="rect">
          <a:avLst/>
        </a:prstGeom>
        <a:ln w="0">
          <a:noFill/>
        </a:ln>
      </xdr:spPr>
    </xdr:pic>
    <xdr:clientData/>
  </xdr:twoCellAnchor>
  <xdr:twoCellAnchor editAs="oneCell">
    <xdr:from>
      <xdr:col>73</xdr:col>
      <xdr:colOff>0</xdr:colOff>
      <xdr:row>89</xdr:row>
      <xdr:rowOff>0</xdr:rowOff>
    </xdr:from>
    <xdr:to>
      <xdr:col>73</xdr:col>
      <xdr:colOff>199800</xdr:colOff>
      <xdr:row>89</xdr:row>
      <xdr:rowOff>199800</xdr:rowOff>
    </xdr:to>
    <xdr:pic>
      <xdr:nvPicPr>
        <xdr:cNvPr id="226" name="image136.png" descr=""/>
        <xdr:cNvPicPr/>
      </xdr:nvPicPr>
      <xdr:blipFill>
        <a:blip r:embed="rId89"/>
        <a:stretch/>
      </xdr:blipFill>
      <xdr:spPr>
        <a:xfrm>
          <a:off x="65671200" y="17802360"/>
          <a:ext cx="199800" cy="199800"/>
        </a:xfrm>
        <a:prstGeom prst="rect">
          <a:avLst/>
        </a:prstGeom>
        <a:ln w="0">
          <a:noFill/>
        </a:ln>
      </xdr:spPr>
    </xdr:pic>
    <xdr:clientData/>
  </xdr:twoCellAnchor>
  <xdr:twoCellAnchor editAs="oneCell">
    <xdr:from>
      <xdr:col>73</xdr:col>
      <xdr:colOff>0</xdr:colOff>
      <xdr:row>90</xdr:row>
      <xdr:rowOff>0</xdr:rowOff>
    </xdr:from>
    <xdr:to>
      <xdr:col>73</xdr:col>
      <xdr:colOff>199800</xdr:colOff>
      <xdr:row>90</xdr:row>
      <xdr:rowOff>199800</xdr:rowOff>
    </xdr:to>
    <xdr:pic>
      <xdr:nvPicPr>
        <xdr:cNvPr id="227" name="image82.png" descr=""/>
        <xdr:cNvPicPr/>
      </xdr:nvPicPr>
      <xdr:blipFill>
        <a:blip r:embed="rId90"/>
        <a:stretch/>
      </xdr:blipFill>
      <xdr:spPr>
        <a:xfrm>
          <a:off x="65671200" y="18002160"/>
          <a:ext cx="199800" cy="199800"/>
        </a:xfrm>
        <a:prstGeom prst="rect">
          <a:avLst/>
        </a:prstGeom>
        <a:ln w="0">
          <a:noFill/>
        </a:ln>
      </xdr:spPr>
    </xdr:pic>
    <xdr:clientData/>
  </xdr:twoCellAnchor>
  <xdr:twoCellAnchor editAs="oneCell">
    <xdr:from>
      <xdr:col>73</xdr:col>
      <xdr:colOff>0</xdr:colOff>
      <xdr:row>91</xdr:row>
      <xdr:rowOff>0</xdr:rowOff>
    </xdr:from>
    <xdr:to>
      <xdr:col>73</xdr:col>
      <xdr:colOff>199800</xdr:colOff>
      <xdr:row>91</xdr:row>
      <xdr:rowOff>199800</xdr:rowOff>
    </xdr:to>
    <xdr:pic>
      <xdr:nvPicPr>
        <xdr:cNvPr id="228" name="image87.png" descr=""/>
        <xdr:cNvPicPr/>
      </xdr:nvPicPr>
      <xdr:blipFill>
        <a:blip r:embed="rId91"/>
        <a:stretch/>
      </xdr:blipFill>
      <xdr:spPr>
        <a:xfrm>
          <a:off x="65671200" y="18202320"/>
          <a:ext cx="199800" cy="199800"/>
        </a:xfrm>
        <a:prstGeom prst="rect">
          <a:avLst/>
        </a:prstGeom>
        <a:ln w="0">
          <a:noFill/>
        </a:ln>
      </xdr:spPr>
    </xdr:pic>
    <xdr:clientData/>
  </xdr:twoCellAnchor>
  <xdr:twoCellAnchor editAs="oneCell">
    <xdr:from>
      <xdr:col>73</xdr:col>
      <xdr:colOff>0</xdr:colOff>
      <xdr:row>92</xdr:row>
      <xdr:rowOff>0</xdr:rowOff>
    </xdr:from>
    <xdr:to>
      <xdr:col>73</xdr:col>
      <xdr:colOff>199800</xdr:colOff>
      <xdr:row>92</xdr:row>
      <xdr:rowOff>199800</xdr:rowOff>
    </xdr:to>
    <xdr:pic>
      <xdr:nvPicPr>
        <xdr:cNvPr id="229" name="image85.png" descr=""/>
        <xdr:cNvPicPr/>
      </xdr:nvPicPr>
      <xdr:blipFill>
        <a:blip r:embed="rId92"/>
        <a:stretch/>
      </xdr:blipFill>
      <xdr:spPr>
        <a:xfrm>
          <a:off x="65671200" y="18402480"/>
          <a:ext cx="199800" cy="199800"/>
        </a:xfrm>
        <a:prstGeom prst="rect">
          <a:avLst/>
        </a:prstGeom>
        <a:ln w="0">
          <a:noFill/>
        </a:ln>
      </xdr:spPr>
    </xdr:pic>
    <xdr:clientData/>
  </xdr:twoCellAnchor>
  <xdr:twoCellAnchor editAs="oneCell">
    <xdr:from>
      <xdr:col>73</xdr:col>
      <xdr:colOff>0</xdr:colOff>
      <xdr:row>93</xdr:row>
      <xdr:rowOff>0</xdr:rowOff>
    </xdr:from>
    <xdr:to>
      <xdr:col>73</xdr:col>
      <xdr:colOff>199800</xdr:colOff>
      <xdr:row>93</xdr:row>
      <xdr:rowOff>199800</xdr:rowOff>
    </xdr:to>
    <xdr:pic>
      <xdr:nvPicPr>
        <xdr:cNvPr id="230" name="image97.png" descr=""/>
        <xdr:cNvPicPr/>
      </xdr:nvPicPr>
      <xdr:blipFill>
        <a:blip r:embed="rId93"/>
        <a:stretch/>
      </xdr:blipFill>
      <xdr:spPr>
        <a:xfrm>
          <a:off x="65671200" y="18602280"/>
          <a:ext cx="199800" cy="199800"/>
        </a:xfrm>
        <a:prstGeom prst="rect">
          <a:avLst/>
        </a:prstGeom>
        <a:ln w="0">
          <a:noFill/>
        </a:ln>
      </xdr:spPr>
    </xdr:pic>
    <xdr:clientData/>
  </xdr:twoCellAnchor>
  <xdr:twoCellAnchor editAs="oneCell">
    <xdr:from>
      <xdr:col>73</xdr:col>
      <xdr:colOff>0</xdr:colOff>
      <xdr:row>94</xdr:row>
      <xdr:rowOff>0</xdr:rowOff>
    </xdr:from>
    <xdr:to>
      <xdr:col>73</xdr:col>
      <xdr:colOff>199800</xdr:colOff>
      <xdr:row>94</xdr:row>
      <xdr:rowOff>199800</xdr:rowOff>
    </xdr:to>
    <xdr:pic>
      <xdr:nvPicPr>
        <xdr:cNvPr id="231" name="image86.png" descr=""/>
        <xdr:cNvPicPr/>
      </xdr:nvPicPr>
      <xdr:blipFill>
        <a:blip r:embed="rId94"/>
        <a:stretch/>
      </xdr:blipFill>
      <xdr:spPr>
        <a:xfrm>
          <a:off x="65671200" y="18802440"/>
          <a:ext cx="199800" cy="199800"/>
        </a:xfrm>
        <a:prstGeom prst="rect">
          <a:avLst/>
        </a:prstGeom>
        <a:ln w="0">
          <a:noFill/>
        </a:ln>
      </xdr:spPr>
    </xdr:pic>
    <xdr:clientData/>
  </xdr:twoCellAnchor>
  <xdr:twoCellAnchor editAs="oneCell">
    <xdr:from>
      <xdr:col>73</xdr:col>
      <xdr:colOff>0</xdr:colOff>
      <xdr:row>95</xdr:row>
      <xdr:rowOff>0</xdr:rowOff>
    </xdr:from>
    <xdr:to>
      <xdr:col>73</xdr:col>
      <xdr:colOff>199800</xdr:colOff>
      <xdr:row>95</xdr:row>
      <xdr:rowOff>199800</xdr:rowOff>
    </xdr:to>
    <xdr:pic>
      <xdr:nvPicPr>
        <xdr:cNvPr id="232" name="image89.png" descr=""/>
        <xdr:cNvPicPr/>
      </xdr:nvPicPr>
      <xdr:blipFill>
        <a:blip r:embed="rId95"/>
        <a:stretch/>
      </xdr:blipFill>
      <xdr:spPr>
        <a:xfrm>
          <a:off x="65671200" y="19002240"/>
          <a:ext cx="199800" cy="199800"/>
        </a:xfrm>
        <a:prstGeom prst="rect">
          <a:avLst/>
        </a:prstGeom>
        <a:ln w="0">
          <a:noFill/>
        </a:ln>
      </xdr:spPr>
    </xdr:pic>
    <xdr:clientData/>
  </xdr:twoCellAnchor>
  <xdr:twoCellAnchor editAs="oneCell">
    <xdr:from>
      <xdr:col>73</xdr:col>
      <xdr:colOff>0</xdr:colOff>
      <xdr:row>96</xdr:row>
      <xdr:rowOff>0</xdr:rowOff>
    </xdr:from>
    <xdr:to>
      <xdr:col>73</xdr:col>
      <xdr:colOff>199800</xdr:colOff>
      <xdr:row>96</xdr:row>
      <xdr:rowOff>199800</xdr:rowOff>
    </xdr:to>
    <xdr:pic>
      <xdr:nvPicPr>
        <xdr:cNvPr id="233" name="image98.png" descr=""/>
        <xdr:cNvPicPr/>
      </xdr:nvPicPr>
      <xdr:blipFill>
        <a:blip r:embed="rId96"/>
        <a:stretch/>
      </xdr:blipFill>
      <xdr:spPr>
        <a:xfrm>
          <a:off x="65671200" y="19202400"/>
          <a:ext cx="199800" cy="199800"/>
        </a:xfrm>
        <a:prstGeom prst="rect">
          <a:avLst/>
        </a:prstGeom>
        <a:ln w="0">
          <a:noFill/>
        </a:ln>
      </xdr:spPr>
    </xdr:pic>
    <xdr:clientData/>
  </xdr:twoCellAnchor>
  <xdr:twoCellAnchor editAs="oneCell">
    <xdr:from>
      <xdr:col>73</xdr:col>
      <xdr:colOff>0</xdr:colOff>
      <xdr:row>97</xdr:row>
      <xdr:rowOff>0</xdr:rowOff>
    </xdr:from>
    <xdr:to>
      <xdr:col>73</xdr:col>
      <xdr:colOff>199800</xdr:colOff>
      <xdr:row>97</xdr:row>
      <xdr:rowOff>199800</xdr:rowOff>
    </xdr:to>
    <xdr:pic>
      <xdr:nvPicPr>
        <xdr:cNvPr id="234" name="image88.png" descr=""/>
        <xdr:cNvPicPr/>
      </xdr:nvPicPr>
      <xdr:blipFill>
        <a:blip r:embed="rId97"/>
        <a:stretch/>
      </xdr:blipFill>
      <xdr:spPr>
        <a:xfrm>
          <a:off x="65671200" y="19402560"/>
          <a:ext cx="199800" cy="199800"/>
        </a:xfrm>
        <a:prstGeom prst="rect">
          <a:avLst/>
        </a:prstGeom>
        <a:ln w="0">
          <a:noFill/>
        </a:ln>
      </xdr:spPr>
    </xdr:pic>
    <xdr:clientData/>
  </xdr:twoCellAnchor>
  <xdr:twoCellAnchor editAs="oneCell">
    <xdr:from>
      <xdr:col>73</xdr:col>
      <xdr:colOff>0</xdr:colOff>
      <xdr:row>98</xdr:row>
      <xdr:rowOff>0</xdr:rowOff>
    </xdr:from>
    <xdr:to>
      <xdr:col>73</xdr:col>
      <xdr:colOff>199800</xdr:colOff>
      <xdr:row>98</xdr:row>
      <xdr:rowOff>199800</xdr:rowOff>
    </xdr:to>
    <xdr:pic>
      <xdr:nvPicPr>
        <xdr:cNvPr id="235" name="image90.png" descr=""/>
        <xdr:cNvPicPr/>
      </xdr:nvPicPr>
      <xdr:blipFill>
        <a:blip r:embed="rId98"/>
        <a:stretch/>
      </xdr:blipFill>
      <xdr:spPr>
        <a:xfrm>
          <a:off x="65671200" y="19602360"/>
          <a:ext cx="199800" cy="199800"/>
        </a:xfrm>
        <a:prstGeom prst="rect">
          <a:avLst/>
        </a:prstGeom>
        <a:ln w="0">
          <a:noFill/>
        </a:ln>
      </xdr:spPr>
    </xdr:pic>
    <xdr:clientData/>
  </xdr:twoCellAnchor>
  <xdr:twoCellAnchor editAs="oneCell">
    <xdr:from>
      <xdr:col>73</xdr:col>
      <xdr:colOff>0</xdr:colOff>
      <xdr:row>99</xdr:row>
      <xdr:rowOff>0</xdr:rowOff>
    </xdr:from>
    <xdr:to>
      <xdr:col>73</xdr:col>
      <xdr:colOff>199800</xdr:colOff>
      <xdr:row>99</xdr:row>
      <xdr:rowOff>199800</xdr:rowOff>
    </xdr:to>
    <xdr:pic>
      <xdr:nvPicPr>
        <xdr:cNvPr id="236" name="image94.png" descr=""/>
        <xdr:cNvPicPr/>
      </xdr:nvPicPr>
      <xdr:blipFill>
        <a:blip r:embed="rId99"/>
        <a:stretch/>
      </xdr:blipFill>
      <xdr:spPr>
        <a:xfrm>
          <a:off x="65671200" y="19802520"/>
          <a:ext cx="199800" cy="199800"/>
        </a:xfrm>
        <a:prstGeom prst="rect">
          <a:avLst/>
        </a:prstGeom>
        <a:ln w="0">
          <a:noFill/>
        </a:ln>
      </xdr:spPr>
    </xdr:pic>
    <xdr:clientData/>
  </xdr:twoCellAnchor>
  <xdr:twoCellAnchor editAs="oneCell">
    <xdr:from>
      <xdr:col>73</xdr:col>
      <xdr:colOff>0</xdr:colOff>
      <xdr:row>100</xdr:row>
      <xdr:rowOff>0</xdr:rowOff>
    </xdr:from>
    <xdr:to>
      <xdr:col>73</xdr:col>
      <xdr:colOff>199800</xdr:colOff>
      <xdr:row>100</xdr:row>
      <xdr:rowOff>199800</xdr:rowOff>
    </xdr:to>
    <xdr:pic>
      <xdr:nvPicPr>
        <xdr:cNvPr id="237" name="image93.png" descr=""/>
        <xdr:cNvPicPr/>
      </xdr:nvPicPr>
      <xdr:blipFill>
        <a:blip r:embed="rId100"/>
        <a:stretch/>
      </xdr:blipFill>
      <xdr:spPr>
        <a:xfrm>
          <a:off x="65671200" y="20002680"/>
          <a:ext cx="199800" cy="199800"/>
        </a:xfrm>
        <a:prstGeom prst="rect">
          <a:avLst/>
        </a:prstGeom>
        <a:ln w="0">
          <a:noFill/>
        </a:ln>
      </xdr:spPr>
    </xdr:pic>
    <xdr:clientData/>
  </xdr:twoCellAnchor>
  <xdr:twoCellAnchor editAs="oneCell">
    <xdr:from>
      <xdr:col>73</xdr:col>
      <xdr:colOff>0</xdr:colOff>
      <xdr:row>101</xdr:row>
      <xdr:rowOff>0</xdr:rowOff>
    </xdr:from>
    <xdr:to>
      <xdr:col>73</xdr:col>
      <xdr:colOff>199800</xdr:colOff>
      <xdr:row>101</xdr:row>
      <xdr:rowOff>199800</xdr:rowOff>
    </xdr:to>
    <xdr:pic>
      <xdr:nvPicPr>
        <xdr:cNvPr id="238" name="image100.png" descr=""/>
        <xdr:cNvPicPr/>
      </xdr:nvPicPr>
      <xdr:blipFill>
        <a:blip r:embed="rId101"/>
        <a:stretch/>
      </xdr:blipFill>
      <xdr:spPr>
        <a:xfrm>
          <a:off x="65671200" y="20202480"/>
          <a:ext cx="199800" cy="199800"/>
        </a:xfrm>
        <a:prstGeom prst="rect">
          <a:avLst/>
        </a:prstGeom>
        <a:ln w="0">
          <a:noFill/>
        </a:ln>
      </xdr:spPr>
    </xdr:pic>
    <xdr:clientData/>
  </xdr:twoCellAnchor>
  <xdr:twoCellAnchor editAs="oneCell">
    <xdr:from>
      <xdr:col>73</xdr:col>
      <xdr:colOff>0</xdr:colOff>
      <xdr:row>102</xdr:row>
      <xdr:rowOff>0</xdr:rowOff>
    </xdr:from>
    <xdr:to>
      <xdr:col>73</xdr:col>
      <xdr:colOff>199800</xdr:colOff>
      <xdr:row>102</xdr:row>
      <xdr:rowOff>199800</xdr:rowOff>
    </xdr:to>
    <xdr:pic>
      <xdr:nvPicPr>
        <xdr:cNvPr id="239" name="image96.png" descr=""/>
        <xdr:cNvPicPr/>
      </xdr:nvPicPr>
      <xdr:blipFill>
        <a:blip r:embed="rId102"/>
        <a:stretch/>
      </xdr:blipFill>
      <xdr:spPr>
        <a:xfrm>
          <a:off x="65671200" y="20402640"/>
          <a:ext cx="199800" cy="199800"/>
        </a:xfrm>
        <a:prstGeom prst="rect">
          <a:avLst/>
        </a:prstGeom>
        <a:ln w="0">
          <a:noFill/>
        </a:ln>
      </xdr:spPr>
    </xdr:pic>
    <xdr:clientData/>
  </xdr:twoCellAnchor>
  <xdr:twoCellAnchor editAs="oneCell">
    <xdr:from>
      <xdr:col>73</xdr:col>
      <xdr:colOff>0</xdr:colOff>
      <xdr:row>103</xdr:row>
      <xdr:rowOff>0</xdr:rowOff>
    </xdr:from>
    <xdr:to>
      <xdr:col>73</xdr:col>
      <xdr:colOff>199800</xdr:colOff>
      <xdr:row>103</xdr:row>
      <xdr:rowOff>199800</xdr:rowOff>
    </xdr:to>
    <xdr:pic>
      <xdr:nvPicPr>
        <xdr:cNvPr id="240" name="image138.png" descr=""/>
        <xdr:cNvPicPr/>
      </xdr:nvPicPr>
      <xdr:blipFill>
        <a:blip r:embed="rId103"/>
        <a:stretch/>
      </xdr:blipFill>
      <xdr:spPr>
        <a:xfrm>
          <a:off x="65671200" y="20602440"/>
          <a:ext cx="199800" cy="199800"/>
        </a:xfrm>
        <a:prstGeom prst="rect">
          <a:avLst/>
        </a:prstGeom>
        <a:ln w="0">
          <a:noFill/>
        </a:ln>
      </xdr:spPr>
    </xdr:pic>
    <xdr:clientData/>
  </xdr:twoCellAnchor>
  <xdr:twoCellAnchor editAs="oneCell">
    <xdr:from>
      <xdr:col>73</xdr:col>
      <xdr:colOff>0</xdr:colOff>
      <xdr:row>104</xdr:row>
      <xdr:rowOff>0</xdr:rowOff>
    </xdr:from>
    <xdr:to>
      <xdr:col>73</xdr:col>
      <xdr:colOff>199800</xdr:colOff>
      <xdr:row>104</xdr:row>
      <xdr:rowOff>199800</xdr:rowOff>
    </xdr:to>
    <xdr:pic>
      <xdr:nvPicPr>
        <xdr:cNvPr id="241" name="image103.png" descr=""/>
        <xdr:cNvPicPr/>
      </xdr:nvPicPr>
      <xdr:blipFill>
        <a:blip r:embed="rId104"/>
        <a:stretch/>
      </xdr:blipFill>
      <xdr:spPr>
        <a:xfrm>
          <a:off x="65671200" y="20802600"/>
          <a:ext cx="199800" cy="199800"/>
        </a:xfrm>
        <a:prstGeom prst="rect">
          <a:avLst/>
        </a:prstGeom>
        <a:ln w="0">
          <a:noFill/>
        </a:ln>
      </xdr:spPr>
    </xdr:pic>
    <xdr:clientData/>
  </xdr:twoCellAnchor>
  <xdr:twoCellAnchor editAs="oneCell">
    <xdr:from>
      <xdr:col>73</xdr:col>
      <xdr:colOff>0</xdr:colOff>
      <xdr:row>105</xdr:row>
      <xdr:rowOff>0</xdr:rowOff>
    </xdr:from>
    <xdr:to>
      <xdr:col>73</xdr:col>
      <xdr:colOff>199800</xdr:colOff>
      <xdr:row>105</xdr:row>
      <xdr:rowOff>199800</xdr:rowOff>
    </xdr:to>
    <xdr:pic>
      <xdr:nvPicPr>
        <xdr:cNvPr id="242" name="image92.png" descr=""/>
        <xdr:cNvPicPr/>
      </xdr:nvPicPr>
      <xdr:blipFill>
        <a:blip r:embed="rId105"/>
        <a:stretch/>
      </xdr:blipFill>
      <xdr:spPr>
        <a:xfrm>
          <a:off x="65671200" y="21002760"/>
          <a:ext cx="199800" cy="199800"/>
        </a:xfrm>
        <a:prstGeom prst="rect">
          <a:avLst/>
        </a:prstGeom>
        <a:ln w="0">
          <a:noFill/>
        </a:ln>
      </xdr:spPr>
    </xdr:pic>
    <xdr:clientData/>
  </xdr:twoCellAnchor>
  <xdr:twoCellAnchor editAs="oneCell">
    <xdr:from>
      <xdr:col>73</xdr:col>
      <xdr:colOff>0</xdr:colOff>
      <xdr:row>106</xdr:row>
      <xdr:rowOff>0</xdr:rowOff>
    </xdr:from>
    <xdr:to>
      <xdr:col>73</xdr:col>
      <xdr:colOff>199800</xdr:colOff>
      <xdr:row>106</xdr:row>
      <xdr:rowOff>199800</xdr:rowOff>
    </xdr:to>
    <xdr:pic>
      <xdr:nvPicPr>
        <xdr:cNvPr id="243" name="image91.png" descr=""/>
        <xdr:cNvPicPr/>
      </xdr:nvPicPr>
      <xdr:blipFill>
        <a:blip r:embed="rId106"/>
        <a:stretch/>
      </xdr:blipFill>
      <xdr:spPr>
        <a:xfrm>
          <a:off x="65671200" y="21202560"/>
          <a:ext cx="199800" cy="199800"/>
        </a:xfrm>
        <a:prstGeom prst="rect">
          <a:avLst/>
        </a:prstGeom>
        <a:ln w="0">
          <a:noFill/>
        </a:ln>
      </xdr:spPr>
    </xdr:pic>
    <xdr:clientData/>
  </xdr:twoCellAnchor>
  <xdr:twoCellAnchor editAs="oneCell">
    <xdr:from>
      <xdr:col>73</xdr:col>
      <xdr:colOff>0</xdr:colOff>
      <xdr:row>107</xdr:row>
      <xdr:rowOff>0</xdr:rowOff>
    </xdr:from>
    <xdr:to>
      <xdr:col>73</xdr:col>
      <xdr:colOff>199800</xdr:colOff>
      <xdr:row>107</xdr:row>
      <xdr:rowOff>199800</xdr:rowOff>
    </xdr:to>
    <xdr:pic>
      <xdr:nvPicPr>
        <xdr:cNvPr id="244" name="image101.png" descr=""/>
        <xdr:cNvPicPr/>
      </xdr:nvPicPr>
      <xdr:blipFill>
        <a:blip r:embed="rId107"/>
        <a:stretch/>
      </xdr:blipFill>
      <xdr:spPr>
        <a:xfrm>
          <a:off x="65671200" y="21402720"/>
          <a:ext cx="199800" cy="199800"/>
        </a:xfrm>
        <a:prstGeom prst="rect">
          <a:avLst/>
        </a:prstGeom>
        <a:ln w="0">
          <a:noFill/>
        </a:ln>
      </xdr:spPr>
    </xdr:pic>
    <xdr:clientData/>
  </xdr:twoCellAnchor>
  <xdr:twoCellAnchor editAs="oneCell">
    <xdr:from>
      <xdr:col>73</xdr:col>
      <xdr:colOff>0</xdr:colOff>
      <xdr:row>108</xdr:row>
      <xdr:rowOff>0</xdr:rowOff>
    </xdr:from>
    <xdr:to>
      <xdr:col>73</xdr:col>
      <xdr:colOff>199800</xdr:colOff>
      <xdr:row>108</xdr:row>
      <xdr:rowOff>199800</xdr:rowOff>
    </xdr:to>
    <xdr:pic>
      <xdr:nvPicPr>
        <xdr:cNvPr id="245" name="image95.png" descr=""/>
        <xdr:cNvPicPr/>
      </xdr:nvPicPr>
      <xdr:blipFill>
        <a:blip r:embed="rId108"/>
        <a:stretch/>
      </xdr:blipFill>
      <xdr:spPr>
        <a:xfrm>
          <a:off x="65671200" y="21602880"/>
          <a:ext cx="199800" cy="199800"/>
        </a:xfrm>
        <a:prstGeom prst="rect">
          <a:avLst/>
        </a:prstGeom>
        <a:ln w="0">
          <a:noFill/>
        </a:ln>
      </xdr:spPr>
    </xdr:pic>
    <xdr:clientData/>
  </xdr:twoCellAnchor>
  <xdr:twoCellAnchor editAs="oneCell">
    <xdr:from>
      <xdr:col>73</xdr:col>
      <xdr:colOff>0</xdr:colOff>
      <xdr:row>109</xdr:row>
      <xdr:rowOff>0</xdr:rowOff>
    </xdr:from>
    <xdr:to>
      <xdr:col>73</xdr:col>
      <xdr:colOff>199800</xdr:colOff>
      <xdr:row>109</xdr:row>
      <xdr:rowOff>199800</xdr:rowOff>
    </xdr:to>
    <xdr:pic>
      <xdr:nvPicPr>
        <xdr:cNvPr id="246" name="image104.png" descr=""/>
        <xdr:cNvPicPr/>
      </xdr:nvPicPr>
      <xdr:blipFill>
        <a:blip r:embed="rId109"/>
        <a:stretch/>
      </xdr:blipFill>
      <xdr:spPr>
        <a:xfrm>
          <a:off x="65671200" y="21802680"/>
          <a:ext cx="199800" cy="199800"/>
        </a:xfrm>
        <a:prstGeom prst="rect">
          <a:avLst/>
        </a:prstGeom>
        <a:ln w="0">
          <a:noFill/>
        </a:ln>
      </xdr:spPr>
    </xdr:pic>
    <xdr:clientData/>
  </xdr:twoCellAnchor>
  <xdr:twoCellAnchor editAs="oneCell">
    <xdr:from>
      <xdr:col>73</xdr:col>
      <xdr:colOff>0</xdr:colOff>
      <xdr:row>110</xdr:row>
      <xdr:rowOff>0</xdr:rowOff>
    </xdr:from>
    <xdr:to>
      <xdr:col>73</xdr:col>
      <xdr:colOff>199800</xdr:colOff>
      <xdr:row>110</xdr:row>
      <xdr:rowOff>199800</xdr:rowOff>
    </xdr:to>
    <xdr:pic>
      <xdr:nvPicPr>
        <xdr:cNvPr id="247" name="image105.png" descr=""/>
        <xdr:cNvPicPr/>
      </xdr:nvPicPr>
      <xdr:blipFill>
        <a:blip r:embed="rId110"/>
        <a:stretch/>
      </xdr:blipFill>
      <xdr:spPr>
        <a:xfrm>
          <a:off x="65671200" y="22002840"/>
          <a:ext cx="199800" cy="199800"/>
        </a:xfrm>
        <a:prstGeom prst="rect">
          <a:avLst/>
        </a:prstGeom>
        <a:ln w="0">
          <a:noFill/>
        </a:ln>
      </xdr:spPr>
    </xdr:pic>
    <xdr:clientData/>
  </xdr:twoCellAnchor>
  <xdr:twoCellAnchor editAs="oneCell">
    <xdr:from>
      <xdr:col>73</xdr:col>
      <xdr:colOff>0</xdr:colOff>
      <xdr:row>111</xdr:row>
      <xdr:rowOff>0</xdr:rowOff>
    </xdr:from>
    <xdr:to>
      <xdr:col>73</xdr:col>
      <xdr:colOff>199800</xdr:colOff>
      <xdr:row>111</xdr:row>
      <xdr:rowOff>199800</xdr:rowOff>
    </xdr:to>
    <xdr:pic>
      <xdr:nvPicPr>
        <xdr:cNvPr id="248" name="image102.png" descr=""/>
        <xdr:cNvPicPr/>
      </xdr:nvPicPr>
      <xdr:blipFill>
        <a:blip r:embed="rId111"/>
        <a:stretch/>
      </xdr:blipFill>
      <xdr:spPr>
        <a:xfrm>
          <a:off x="65671200" y="22202640"/>
          <a:ext cx="199800" cy="199800"/>
        </a:xfrm>
        <a:prstGeom prst="rect">
          <a:avLst/>
        </a:prstGeom>
        <a:ln w="0">
          <a:noFill/>
        </a:ln>
      </xdr:spPr>
    </xdr:pic>
    <xdr:clientData/>
  </xdr:twoCellAnchor>
  <xdr:twoCellAnchor editAs="oneCell">
    <xdr:from>
      <xdr:col>73</xdr:col>
      <xdr:colOff>0</xdr:colOff>
      <xdr:row>112</xdr:row>
      <xdr:rowOff>0</xdr:rowOff>
    </xdr:from>
    <xdr:to>
      <xdr:col>73</xdr:col>
      <xdr:colOff>199800</xdr:colOff>
      <xdr:row>112</xdr:row>
      <xdr:rowOff>199800</xdr:rowOff>
    </xdr:to>
    <xdr:pic>
      <xdr:nvPicPr>
        <xdr:cNvPr id="249" name="image111.png" descr=""/>
        <xdr:cNvPicPr/>
      </xdr:nvPicPr>
      <xdr:blipFill>
        <a:blip r:embed="rId112"/>
        <a:stretch/>
      </xdr:blipFill>
      <xdr:spPr>
        <a:xfrm>
          <a:off x="65671200" y="22402800"/>
          <a:ext cx="199800" cy="199800"/>
        </a:xfrm>
        <a:prstGeom prst="rect">
          <a:avLst/>
        </a:prstGeom>
        <a:ln w="0">
          <a:noFill/>
        </a:ln>
      </xdr:spPr>
    </xdr:pic>
    <xdr:clientData/>
  </xdr:twoCellAnchor>
  <xdr:twoCellAnchor editAs="oneCell">
    <xdr:from>
      <xdr:col>73</xdr:col>
      <xdr:colOff>0</xdr:colOff>
      <xdr:row>113</xdr:row>
      <xdr:rowOff>0</xdr:rowOff>
    </xdr:from>
    <xdr:to>
      <xdr:col>73</xdr:col>
      <xdr:colOff>199800</xdr:colOff>
      <xdr:row>113</xdr:row>
      <xdr:rowOff>199800</xdr:rowOff>
    </xdr:to>
    <xdr:pic>
      <xdr:nvPicPr>
        <xdr:cNvPr id="250" name="image107.png" descr=""/>
        <xdr:cNvPicPr/>
      </xdr:nvPicPr>
      <xdr:blipFill>
        <a:blip r:embed="rId113"/>
        <a:stretch/>
      </xdr:blipFill>
      <xdr:spPr>
        <a:xfrm>
          <a:off x="65671200" y="22602960"/>
          <a:ext cx="199800" cy="199800"/>
        </a:xfrm>
        <a:prstGeom prst="rect">
          <a:avLst/>
        </a:prstGeom>
        <a:ln w="0">
          <a:noFill/>
        </a:ln>
      </xdr:spPr>
    </xdr:pic>
    <xdr:clientData/>
  </xdr:twoCellAnchor>
  <xdr:twoCellAnchor editAs="oneCell">
    <xdr:from>
      <xdr:col>73</xdr:col>
      <xdr:colOff>0</xdr:colOff>
      <xdr:row>114</xdr:row>
      <xdr:rowOff>0</xdr:rowOff>
    </xdr:from>
    <xdr:to>
      <xdr:col>73</xdr:col>
      <xdr:colOff>199800</xdr:colOff>
      <xdr:row>114</xdr:row>
      <xdr:rowOff>199800</xdr:rowOff>
    </xdr:to>
    <xdr:pic>
      <xdr:nvPicPr>
        <xdr:cNvPr id="251" name="image124.png" descr=""/>
        <xdr:cNvPicPr/>
      </xdr:nvPicPr>
      <xdr:blipFill>
        <a:blip r:embed="rId114"/>
        <a:stretch/>
      </xdr:blipFill>
      <xdr:spPr>
        <a:xfrm>
          <a:off x="65671200" y="22802760"/>
          <a:ext cx="199800" cy="199800"/>
        </a:xfrm>
        <a:prstGeom prst="rect">
          <a:avLst/>
        </a:prstGeom>
        <a:ln w="0">
          <a:noFill/>
        </a:ln>
      </xdr:spPr>
    </xdr:pic>
    <xdr:clientData/>
  </xdr:twoCellAnchor>
  <xdr:twoCellAnchor editAs="oneCell">
    <xdr:from>
      <xdr:col>73</xdr:col>
      <xdr:colOff>0</xdr:colOff>
      <xdr:row>115</xdr:row>
      <xdr:rowOff>0</xdr:rowOff>
    </xdr:from>
    <xdr:to>
      <xdr:col>73</xdr:col>
      <xdr:colOff>199800</xdr:colOff>
      <xdr:row>115</xdr:row>
      <xdr:rowOff>199800</xdr:rowOff>
    </xdr:to>
    <xdr:pic>
      <xdr:nvPicPr>
        <xdr:cNvPr id="252" name="image109.png" descr=""/>
        <xdr:cNvPicPr/>
      </xdr:nvPicPr>
      <xdr:blipFill>
        <a:blip r:embed="rId115"/>
        <a:stretch/>
      </xdr:blipFill>
      <xdr:spPr>
        <a:xfrm>
          <a:off x="65671200" y="23002920"/>
          <a:ext cx="199800" cy="199800"/>
        </a:xfrm>
        <a:prstGeom prst="rect">
          <a:avLst/>
        </a:prstGeom>
        <a:ln w="0">
          <a:noFill/>
        </a:ln>
      </xdr:spPr>
    </xdr:pic>
    <xdr:clientData/>
  </xdr:twoCellAnchor>
  <xdr:twoCellAnchor editAs="oneCell">
    <xdr:from>
      <xdr:col>73</xdr:col>
      <xdr:colOff>0</xdr:colOff>
      <xdr:row>116</xdr:row>
      <xdr:rowOff>0</xdr:rowOff>
    </xdr:from>
    <xdr:to>
      <xdr:col>73</xdr:col>
      <xdr:colOff>199800</xdr:colOff>
      <xdr:row>116</xdr:row>
      <xdr:rowOff>199800</xdr:rowOff>
    </xdr:to>
    <xdr:pic>
      <xdr:nvPicPr>
        <xdr:cNvPr id="253" name="image114.png" descr=""/>
        <xdr:cNvPicPr/>
      </xdr:nvPicPr>
      <xdr:blipFill>
        <a:blip r:embed="rId116"/>
        <a:stretch/>
      </xdr:blipFill>
      <xdr:spPr>
        <a:xfrm>
          <a:off x="65671200" y="23203080"/>
          <a:ext cx="199800" cy="199800"/>
        </a:xfrm>
        <a:prstGeom prst="rect">
          <a:avLst/>
        </a:prstGeom>
        <a:ln w="0">
          <a:noFill/>
        </a:ln>
      </xdr:spPr>
    </xdr:pic>
    <xdr:clientData/>
  </xdr:twoCellAnchor>
  <xdr:twoCellAnchor editAs="oneCell">
    <xdr:from>
      <xdr:col>73</xdr:col>
      <xdr:colOff>0</xdr:colOff>
      <xdr:row>117</xdr:row>
      <xdr:rowOff>0</xdr:rowOff>
    </xdr:from>
    <xdr:to>
      <xdr:col>73</xdr:col>
      <xdr:colOff>199800</xdr:colOff>
      <xdr:row>117</xdr:row>
      <xdr:rowOff>199800</xdr:rowOff>
    </xdr:to>
    <xdr:pic>
      <xdr:nvPicPr>
        <xdr:cNvPr id="254" name="image117.png" descr=""/>
        <xdr:cNvPicPr/>
      </xdr:nvPicPr>
      <xdr:blipFill>
        <a:blip r:embed="rId117"/>
        <a:stretch/>
      </xdr:blipFill>
      <xdr:spPr>
        <a:xfrm>
          <a:off x="65671200" y="23402880"/>
          <a:ext cx="199800" cy="199800"/>
        </a:xfrm>
        <a:prstGeom prst="rect">
          <a:avLst/>
        </a:prstGeom>
        <a:ln w="0">
          <a:noFill/>
        </a:ln>
      </xdr:spPr>
    </xdr:pic>
    <xdr:clientData/>
  </xdr:twoCellAnchor>
  <xdr:twoCellAnchor editAs="oneCell">
    <xdr:from>
      <xdr:col>73</xdr:col>
      <xdr:colOff>0</xdr:colOff>
      <xdr:row>118</xdr:row>
      <xdr:rowOff>0</xdr:rowOff>
    </xdr:from>
    <xdr:to>
      <xdr:col>73</xdr:col>
      <xdr:colOff>199800</xdr:colOff>
      <xdr:row>118</xdr:row>
      <xdr:rowOff>199800</xdr:rowOff>
    </xdr:to>
    <xdr:pic>
      <xdr:nvPicPr>
        <xdr:cNvPr id="255" name="image110.png" descr=""/>
        <xdr:cNvPicPr/>
      </xdr:nvPicPr>
      <xdr:blipFill>
        <a:blip r:embed="rId118"/>
        <a:stretch/>
      </xdr:blipFill>
      <xdr:spPr>
        <a:xfrm>
          <a:off x="65671200" y="23603040"/>
          <a:ext cx="199800" cy="199800"/>
        </a:xfrm>
        <a:prstGeom prst="rect">
          <a:avLst/>
        </a:prstGeom>
        <a:ln w="0">
          <a:noFill/>
        </a:ln>
      </xdr:spPr>
    </xdr:pic>
    <xdr:clientData/>
  </xdr:twoCellAnchor>
  <xdr:twoCellAnchor editAs="oneCell">
    <xdr:from>
      <xdr:col>73</xdr:col>
      <xdr:colOff>0</xdr:colOff>
      <xdr:row>119</xdr:row>
      <xdr:rowOff>0</xdr:rowOff>
    </xdr:from>
    <xdr:to>
      <xdr:col>73</xdr:col>
      <xdr:colOff>199800</xdr:colOff>
      <xdr:row>119</xdr:row>
      <xdr:rowOff>199800</xdr:rowOff>
    </xdr:to>
    <xdr:pic>
      <xdr:nvPicPr>
        <xdr:cNvPr id="256" name="image113.png" descr=""/>
        <xdr:cNvPicPr/>
      </xdr:nvPicPr>
      <xdr:blipFill>
        <a:blip r:embed="rId119"/>
        <a:stretch/>
      </xdr:blipFill>
      <xdr:spPr>
        <a:xfrm>
          <a:off x="65671200" y="23802840"/>
          <a:ext cx="199800" cy="199800"/>
        </a:xfrm>
        <a:prstGeom prst="rect">
          <a:avLst/>
        </a:prstGeom>
        <a:ln w="0">
          <a:noFill/>
        </a:ln>
      </xdr:spPr>
    </xdr:pic>
    <xdr:clientData/>
  </xdr:twoCellAnchor>
  <xdr:twoCellAnchor editAs="oneCell">
    <xdr:from>
      <xdr:col>73</xdr:col>
      <xdr:colOff>0</xdr:colOff>
      <xdr:row>120</xdr:row>
      <xdr:rowOff>0</xdr:rowOff>
    </xdr:from>
    <xdr:to>
      <xdr:col>73</xdr:col>
      <xdr:colOff>199800</xdr:colOff>
      <xdr:row>120</xdr:row>
      <xdr:rowOff>199800</xdr:rowOff>
    </xdr:to>
    <xdr:pic>
      <xdr:nvPicPr>
        <xdr:cNvPr id="257" name="image112.png" descr=""/>
        <xdr:cNvPicPr/>
      </xdr:nvPicPr>
      <xdr:blipFill>
        <a:blip r:embed="rId120"/>
        <a:stretch/>
      </xdr:blipFill>
      <xdr:spPr>
        <a:xfrm>
          <a:off x="65671200" y="24003000"/>
          <a:ext cx="199800" cy="199800"/>
        </a:xfrm>
        <a:prstGeom prst="rect">
          <a:avLst/>
        </a:prstGeom>
        <a:ln w="0">
          <a:noFill/>
        </a:ln>
      </xdr:spPr>
    </xdr:pic>
    <xdr:clientData/>
  </xdr:twoCellAnchor>
  <xdr:twoCellAnchor editAs="oneCell">
    <xdr:from>
      <xdr:col>73</xdr:col>
      <xdr:colOff>0</xdr:colOff>
      <xdr:row>121</xdr:row>
      <xdr:rowOff>0</xdr:rowOff>
    </xdr:from>
    <xdr:to>
      <xdr:col>73</xdr:col>
      <xdr:colOff>199800</xdr:colOff>
      <xdr:row>121</xdr:row>
      <xdr:rowOff>199800</xdr:rowOff>
    </xdr:to>
    <xdr:pic>
      <xdr:nvPicPr>
        <xdr:cNvPr id="258" name="image122.png" descr=""/>
        <xdr:cNvPicPr/>
      </xdr:nvPicPr>
      <xdr:blipFill>
        <a:blip r:embed="rId121"/>
        <a:stretch/>
      </xdr:blipFill>
      <xdr:spPr>
        <a:xfrm>
          <a:off x="65671200" y="24203160"/>
          <a:ext cx="199800" cy="199800"/>
        </a:xfrm>
        <a:prstGeom prst="rect">
          <a:avLst/>
        </a:prstGeom>
        <a:ln w="0">
          <a:noFill/>
        </a:ln>
      </xdr:spPr>
    </xdr:pic>
    <xdr:clientData/>
  </xdr:twoCellAnchor>
  <xdr:twoCellAnchor editAs="oneCell">
    <xdr:from>
      <xdr:col>73</xdr:col>
      <xdr:colOff>0</xdr:colOff>
      <xdr:row>122</xdr:row>
      <xdr:rowOff>0</xdr:rowOff>
    </xdr:from>
    <xdr:to>
      <xdr:col>73</xdr:col>
      <xdr:colOff>199800</xdr:colOff>
      <xdr:row>122</xdr:row>
      <xdr:rowOff>199800</xdr:rowOff>
    </xdr:to>
    <xdr:pic>
      <xdr:nvPicPr>
        <xdr:cNvPr id="259" name="image119.png" descr=""/>
        <xdr:cNvPicPr/>
      </xdr:nvPicPr>
      <xdr:blipFill>
        <a:blip r:embed="rId122"/>
        <a:stretch/>
      </xdr:blipFill>
      <xdr:spPr>
        <a:xfrm>
          <a:off x="65671200" y="24402960"/>
          <a:ext cx="199800" cy="199800"/>
        </a:xfrm>
        <a:prstGeom prst="rect">
          <a:avLst/>
        </a:prstGeom>
        <a:ln w="0">
          <a:noFill/>
        </a:ln>
      </xdr:spPr>
    </xdr:pic>
    <xdr:clientData/>
  </xdr:twoCellAnchor>
  <xdr:twoCellAnchor editAs="oneCell">
    <xdr:from>
      <xdr:col>73</xdr:col>
      <xdr:colOff>0</xdr:colOff>
      <xdr:row>123</xdr:row>
      <xdr:rowOff>0</xdr:rowOff>
    </xdr:from>
    <xdr:to>
      <xdr:col>73</xdr:col>
      <xdr:colOff>199800</xdr:colOff>
      <xdr:row>123</xdr:row>
      <xdr:rowOff>199800</xdr:rowOff>
    </xdr:to>
    <xdr:pic>
      <xdr:nvPicPr>
        <xdr:cNvPr id="260" name="image115.png" descr=""/>
        <xdr:cNvPicPr/>
      </xdr:nvPicPr>
      <xdr:blipFill>
        <a:blip r:embed="rId123"/>
        <a:stretch/>
      </xdr:blipFill>
      <xdr:spPr>
        <a:xfrm>
          <a:off x="65671200" y="24603120"/>
          <a:ext cx="199800" cy="199800"/>
        </a:xfrm>
        <a:prstGeom prst="rect">
          <a:avLst/>
        </a:prstGeom>
        <a:ln w="0">
          <a:noFill/>
        </a:ln>
      </xdr:spPr>
    </xdr:pic>
    <xdr:clientData/>
  </xdr:twoCellAnchor>
  <xdr:twoCellAnchor editAs="oneCell">
    <xdr:from>
      <xdr:col>73</xdr:col>
      <xdr:colOff>0</xdr:colOff>
      <xdr:row>124</xdr:row>
      <xdr:rowOff>0</xdr:rowOff>
    </xdr:from>
    <xdr:to>
      <xdr:col>73</xdr:col>
      <xdr:colOff>199800</xdr:colOff>
      <xdr:row>124</xdr:row>
      <xdr:rowOff>199800</xdr:rowOff>
    </xdr:to>
    <xdr:pic>
      <xdr:nvPicPr>
        <xdr:cNvPr id="261" name="image118.png" descr=""/>
        <xdr:cNvPicPr/>
      </xdr:nvPicPr>
      <xdr:blipFill>
        <a:blip r:embed="rId124"/>
        <a:stretch/>
      </xdr:blipFill>
      <xdr:spPr>
        <a:xfrm>
          <a:off x="65671200" y="24803280"/>
          <a:ext cx="199800" cy="199800"/>
        </a:xfrm>
        <a:prstGeom prst="rect">
          <a:avLst/>
        </a:prstGeom>
        <a:ln w="0">
          <a:noFill/>
        </a:ln>
      </xdr:spPr>
    </xdr:pic>
    <xdr:clientData/>
  </xdr:twoCellAnchor>
  <xdr:twoCellAnchor editAs="oneCell">
    <xdr:from>
      <xdr:col>73</xdr:col>
      <xdr:colOff>0</xdr:colOff>
      <xdr:row>125</xdr:row>
      <xdr:rowOff>0</xdr:rowOff>
    </xdr:from>
    <xdr:to>
      <xdr:col>73</xdr:col>
      <xdr:colOff>199800</xdr:colOff>
      <xdr:row>125</xdr:row>
      <xdr:rowOff>199800</xdr:rowOff>
    </xdr:to>
    <xdr:pic>
      <xdr:nvPicPr>
        <xdr:cNvPr id="262" name="image116.png" descr=""/>
        <xdr:cNvPicPr/>
      </xdr:nvPicPr>
      <xdr:blipFill>
        <a:blip r:embed="rId125"/>
        <a:stretch/>
      </xdr:blipFill>
      <xdr:spPr>
        <a:xfrm>
          <a:off x="65671200" y="25003080"/>
          <a:ext cx="199800" cy="199800"/>
        </a:xfrm>
        <a:prstGeom prst="rect">
          <a:avLst/>
        </a:prstGeom>
        <a:ln w="0">
          <a:noFill/>
        </a:ln>
      </xdr:spPr>
    </xdr:pic>
    <xdr:clientData/>
  </xdr:twoCellAnchor>
  <xdr:twoCellAnchor editAs="oneCell">
    <xdr:from>
      <xdr:col>73</xdr:col>
      <xdr:colOff>0</xdr:colOff>
      <xdr:row>126</xdr:row>
      <xdr:rowOff>0</xdr:rowOff>
    </xdr:from>
    <xdr:to>
      <xdr:col>73</xdr:col>
      <xdr:colOff>199800</xdr:colOff>
      <xdr:row>126</xdr:row>
      <xdr:rowOff>199800</xdr:rowOff>
    </xdr:to>
    <xdr:pic>
      <xdr:nvPicPr>
        <xdr:cNvPr id="263" name="image121.png" descr=""/>
        <xdr:cNvPicPr/>
      </xdr:nvPicPr>
      <xdr:blipFill>
        <a:blip r:embed="rId126"/>
        <a:stretch/>
      </xdr:blipFill>
      <xdr:spPr>
        <a:xfrm>
          <a:off x="65671200" y="25203240"/>
          <a:ext cx="199800" cy="199800"/>
        </a:xfrm>
        <a:prstGeom prst="rect">
          <a:avLst/>
        </a:prstGeom>
        <a:ln w="0">
          <a:noFill/>
        </a:ln>
      </xdr:spPr>
    </xdr:pic>
    <xdr:clientData/>
  </xdr:twoCellAnchor>
  <xdr:twoCellAnchor editAs="oneCell">
    <xdr:from>
      <xdr:col>73</xdr:col>
      <xdr:colOff>0</xdr:colOff>
      <xdr:row>127</xdr:row>
      <xdr:rowOff>0</xdr:rowOff>
    </xdr:from>
    <xdr:to>
      <xdr:col>73</xdr:col>
      <xdr:colOff>199800</xdr:colOff>
      <xdr:row>127</xdr:row>
      <xdr:rowOff>199800</xdr:rowOff>
    </xdr:to>
    <xdr:pic>
      <xdr:nvPicPr>
        <xdr:cNvPr id="264" name="image120.png" descr=""/>
        <xdr:cNvPicPr/>
      </xdr:nvPicPr>
      <xdr:blipFill>
        <a:blip r:embed="rId127"/>
        <a:stretch/>
      </xdr:blipFill>
      <xdr:spPr>
        <a:xfrm>
          <a:off x="65671200" y="25403040"/>
          <a:ext cx="199800" cy="199800"/>
        </a:xfrm>
        <a:prstGeom prst="rect">
          <a:avLst/>
        </a:prstGeom>
        <a:ln w="0">
          <a:noFill/>
        </a:ln>
      </xdr:spPr>
    </xdr:pic>
    <xdr:clientData/>
  </xdr:twoCellAnchor>
  <xdr:twoCellAnchor editAs="oneCell">
    <xdr:from>
      <xdr:col>73</xdr:col>
      <xdr:colOff>0</xdr:colOff>
      <xdr:row>128</xdr:row>
      <xdr:rowOff>0</xdr:rowOff>
    </xdr:from>
    <xdr:to>
      <xdr:col>73</xdr:col>
      <xdr:colOff>199800</xdr:colOff>
      <xdr:row>128</xdr:row>
      <xdr:rowOff>199800</xdr:rowOff>
    </xdr:to>
    <xdr:pic>
      <xdr:nvPicPr>
        <xdr:cNvPr id="265" name="image125.png" descr=""/>
        <xdr:cNvPicPr/>
      </xdr:nvPicPr>
      <xdr:blipFill>
        <a:blip r:embed="rId128"/>
        <a:stretch/>
      </xdr:blipFill>
      <xdr:spPr>
        <a:xfrm>
          <a:off x="65671200" y="25603200"/>
          <a:ext cx="199800" cy="199800"/>
        </a:xfrm>
        <a:prstGeom prst="rect">
          <a:avLst/>
        </a:prstGeom>
        <a:ln w="0">
          <a:noFill/>
        </a:ln>
      </xdr:spPr>
    </xdr:pic>
    <xdr:clientData/>
  </xdr:twoCellAnchor>
  <xdr:twoCellAnchor editAs="oneCell">
    <xdr:from>
      <xdr:col>73</xdr:col>
      <xdr:colOff>0</xdr:colOff>
      <xdr:row>129</xdr:row>
      <xdr:rowOff>0</xdr:rowOff>
    </xdr:from>
    <xdr:to>
      <xdr:col>73</xdr:col>
      <xdr:colOff>199800</xdr:colOff>
      <xdr:row>129</xdr:row>
      <xdr:rowOff>199800</xdr:rowOff>
    </xdr:to>
    <xdr:pic>
      <xdr:nvPicPr>
        <xdr:cNvPr id="266" name="image123.png" descr=""/>
        <xdr:cNvPicPr/>
      </xdr:nvPicPr>
      <xdr:blipFill>
        <a:blip r:embed="rId129"/>
        <a:stretch/>
      </xdr:blipFill>
      <xdr:spPr>
        <a:xfrm>
          <a:off x="65671200" y="25803360"/>
          <a:ext cx="199800" cy="199800"/>
        </a:xfrm>
        <a:prstGeom prst="rect">
          <a:avLst/>
        </a:prstGeom>
        <a:ln w="0">
          <a:noFill/>
        </a:ln>
      </xdr:spPr>
    </xdr:pic>
    <xdr:clientData/>
  </xdr:twoCellAnchor>
  <xdr:twoCellAnchor editAs="oneCell">
    <xdr:from>
      <xdr:col>73</xdr:col>
      <xdr:colOff>0</xdr:colOff>
      <xdr:row>130</xdr:row>
      <xdr:rowOff>0</xdr:rowOff>
    </xdr:from>
    <xdr:to>
      <xdr:col>73</xdr:col>
      <xdr:colOff>199800</xdr:colOff>
      <xdr:row>130</xdr:row>
      <xdr:rowOff>199800</xdr:rowOff>
    </xdr:to>
    <xdr:pic>
      <xdr:nvPicPr>
        <xdr:cNvPr id="267" name="image126.png" descr=""/>
        <xdr:cNvPicPr/>
      </xdr:nvPicPr>
      <xdr:blipFill>
        <a:blip r:embed="rId130"/>
        <a:stretch/>
      </xdr:blipFill>
      <xdr:spPr>
        <a:xfrm>
          <a:off x="65671200" y="26003160"/>
          <a:ext cx="199800" cy="199800"/>
        </a:xfrm>
        <a:prstGeom prst="rect">
          <a:avLst/>
        </a:prstGeom>
        <a:ln w="0">
          <a:noFill/>
        </a:ln>
      </xdr:spPr>
    </xdr:pic>
    <xdr:clientData/>
  </xdr:twoCellAnchor>
  <xdr:twoCellAnchor editAs="oneCell">
    <xdr:from>
      <xdr:col>73</xdr:col>
      <xdr:colOff>0</xdr:colOff>
      <xdr:row>131</xdr:row>
      <xdr:rowOff>0</xdr:rowOff>
    </xdr:from>
    <xdr:to>
      <xdr:col>73</xdr:col>
      <xdr:colOff>199800</xdr:colOff>
      <xdr:row>131</xdr:row>
      <xdr:rowOff>199800</xdr:rowOff>
    </xdr:to>
    <xdr:pic>
      <xdr:nvPicPr>
        <xdr:cNvPr id="268" name="image129.png" descr=""/>
        <xdr:cNvPicPr/>
      </xdr:nvPicPr>
      <xdr:blipFill>
        <a:blip r:embed="rId131"/>
        <a:stretch/>
      </xdr:blipFill>
      <xdr:spPr>
        <a:xfrm>
          <a:off x="65671200" y="26203320"/>
          <a:ext cx="199800" cy="199800"/>
        </a:xfrm>
        <a:prstGeom prst="rect">
          <a:avLst/>
        </a:prstGeom>
        <a:ln w="0">
          <a:noFill/>
        </a:ln>
      </xdr:spPr>
    </xdr:pic>
    <xdr:clientData/>
  </xdr:twoCellAnchor>
  <xdr:twoCellAnchor editAs="oneCell">
    <xdr:from>
      <xdr:col>73</xdr:col>
      <xdr:colOff>0</xdr:colOff>
      <xdr:row>132</xdr:row>
      <xdr:rowOff>0</xdr:rowOff>
    </xdr:from>
    <xdr:to>
      <xdr:col>73</xdr:col>
      <xdr:colOff>199800</xdr:colOff>
      <xdr:row>132</xdr:row>
      <xdr:rowOff>199800</xdr:rowOff>
    </xdr:to>
    <xdr:pic>
      <xdr:nvPicPr>
        <xdr:cNvPr id="269" name="image127.png" descr=""/>
        <xdr:cNvPicPr/>
      </xdr:nvPicPr>
      <xdr:blipFill>
        <a:blip r:embed="rId132"/>
        <a:stretch/>
      </xdr:blipFill>
      <xdr:spPr>
        <a:xfrm>
          <a:off x="65671200" y="26403480"/>
          <a:ext cx="199800" cy="199800"/>
        </a:xfrm>
        <a:prstGeom prst="rect">
          <a:avLst/>
        </a:prstGeom>
        <a:ln w="0">
          <a:noFill/>
        </a:ln>
      </xdr:spPr>
    </xdr:pic>
    <xdr:clientData/>
  </xdr:twoCellAnchor>
  <xdr:twoCellAnchor editAs="oneCell">
    <xdr:from>
      <xdr:col>73</xdr:col>
      <xdr:colOff>0</xdr:colOff>
      <xdr:row>133</xdr:row>
      <xdr:rowOff>0</xdr:rowOff>
    </xdr:from>
    <xdr:to>
      <xdr:col>73</xdr:col>
      <xdr:colOff>199800</xdr:colOff>
      <xdr:row>133</xdr:row>
      <xdr:rowOff>199800</xdr:rowOff>
    </xdr:to>
    <xdr:pic>
      <xdr:nvPicPr>
        <xdr:cNvPr id="270" name="image133.png" descr=""/>
        <xdr:cNvPicPr/>
      </xdr:nvPicPr>
      <xdr:blipFill>
        <a:blip r:embed="rId133"/>
        <a:stretch/>
      </xdr:blipFill>
      <xdr:spPr>
        <a:xfrm>
          <a:off x="65671200" y="26603280"/>
          <a:ext cx="199800" cy="199800"/>
        </a:xfrm>
        <a:prstGeom prst="rect">
          <a:avLst/>
        </a:prstGeom>
        <a:ln w="0">
          <a:noFill/>
        </a:ln>
      </xdr:spPr>
    </xdr:pic>
    <xdr:clientData/>
  </xdr:twoCellAnchor>
  <xdr:twoCellAnchor editAs="oneCell">
    <xdr:from>
      <xdr:col>73</xdr:col>
      <xdr:colOff>0</xdr:colOff>
      <xdr:row>134</xdr:row>
      <xdr:rowOff>0</xdr:rowOff>
    </xdr:from>
    <xdr:to>
      <xdr:col>73</xdr:col>
      <xdr:colOff>199800</xdr:colOff>
      <xdr:row>134</xdr:row>
      <xdr:rowOff>199800</xdr:rowOff>
    </xdr:to>
    <xdr:pic>
      <xdr:nvPicPr>
        <xdr:cNvPr id="271" name="image131.png" descr=""/>
        <xdr:cNvPicPr/>
      </xdr:nvPicPr>
      <xdr:blipFill>
        <a:blip r:embed="rId134"/>
        <a:stretch/>
      </xdr:blipFill>
      <xdr:spPr>
        <a:xfrm>
          <a:off x="65671200" y="26803440"/>
          <a:ext cx="199800" cy="199800"/>
        </a:xfrm>
        <a:prstGeom prst="rect">
          <a:avLst/>
        </a:prstGeom>
        <a:ln w="0">
          <a:noFill/>
        </a:ln>
      </xdr:spPr>
    </xdr:pic>
    <xdr:clientData/>
  </xdr:twoCellAnchor>
  <xdr:twoCellAnchor editAs="oneCell">
    <xdr:from>
      <xdr:col>73</xdr:col>
      <xdr:colOff>0</xdr:colOff>
      <xdr:row>135</xdr:row>
      <xdr:rowOff>0</xdr:rowOff>
    </xdr:from>
    <xdr:to>
      <xdr:col>73</xdr:col>
      <xdr:colOff>199800</xdr:colOff>
      <xdr:row>135</xdr:row>
      <xdr:rowOff>199800</xdr:rowOff>
    </xdr:to>
    <xdr:pic>
      <xdr:nvPicPr>
        <xdr:cNvPr id="272" name="image132.png" descr=""/>
        <xdr:cNvPicPr/>
      </xdr:nvPicPr>
      <xdr:blipFill>
        <a:blip r:embed="rId135"/>
        <a:stretch/>
      </xdr:blipFill>
      <xdr:spPr>
        <a:xfrm>
          <a:off x="65671200" y="27003240"/>
          <a:ext cx="199800" cy="199800"/>
        </a:xfrm>
        <a:prstGeom prst="rect">
          <a:avLst/>
        </a:prstGeom>
        <a:ln w="0">
          <a:noFill/>
        </a:ln>
      </xdr:spPr>
    </xdr:pic>
    <xdr:clientData/>
  </xdr:twoCellAnchor>
  <xdr:twoCellAnchor editAs="oneCell">
    <xdr:from>
      <xdr:col>73</xdr:col>
      <xdr:colOff>0</xdr:colOff>
      <xdr:row>136</xdr:row>
      <xdr:rowOff>0</xdr:rowOff>
    </xdr:from>
    <xdr:to>
      <xdr:col>73</xdr:col>
      <xdr:colOff>199800</xdr:colOff>
      <xdr:row>136</xdr:row>
      <xdr:rowOff>199800</xdr:rowOff>
    </xdr:to>
    <xdr:pic>
      <xdr:nvPicPr>
        <xdr:cNvPr id="273" name="image130.png" descr=""/>
        <xdr:cNvPicPr/>
      </xdr:nvPicPr>
      <xdr:blipFill>
        <a:blip r:embed="rId136"/>
        <a:stretch/>
      </xdr:blipFill>
      <xdr:spPr>
        <a:xfrm>
          <a:off x="65671200" y="27203400"/>
          <a:ext cx="199800" cy="199800"/>
        </a:xfrm>
        <a:prstGeom prst="rect">
          <a:avLst/>
        </a:prstGeom>
        <a:ln w="0">
          <a:noFill/>
        </a:ln>
      </xdr:spPr>
    </xdr:pic>
    <xdr:clientData/>
  </xdr:twoCellAnchor>
  <xdr:twoCellAnchor editAs="oneCell">
    <xdr:from>
      <xdr:col>73</xdr:col>
      <xdr:colOff>0</xdr:colOff>
      <xdr:row>137</xdr:row>
      <xdr:rowOff>0</xdr:rowOff>
    </xdr:from>
    <xdr:to>
      <xdr:col>73</xdr:col>
      <xdr:colOff>199800</xdr:colOff>
      <xdr:row>137</xdr:row>
      <xdr:rowOff>199800</xdr:rowOff>
    </xdr:to>
    <xdr:pic>
      <xdr:nvPicPr>
        <xdr:cNvPr id="274" name="image134.png" descr=""/>
        <xdr:cNvPicPr/>
      </xdr:nvPicPr>
      <xdr:blipFill>
        <a:blip r:embed="rId137"/>
        <a:stretch/>
      </xdr:blipFill>
      <xdr:spPr>
        <a:xfrm>
          <a:off x="65671200" y="27403560"/>
          <a:ext cx="199800" cy="199800"/>
        </a:xfrm>
        <a:prstGeom prst="rect">
          <a:avLst/>
        </a:prstGeom>
        <a:ln w="0">
          <a:noFill/>
        </a:ln>
      </xdr:spPr>
    </xdr:pic>
    <xdr:clientData/>
  </xdr:twoCellAnchor>
  <xdr:twoCellAnchor editAs="oneCell">
    <xdr:from>
      <xdr:col>73</xdr:col>
      <xdr:colOff>0</xdr:colOff>
      <xdr:row>138</xdr:row>
      <xdr:rowOff>0</xdr:rowOff>
    </xdr:from>
    <xdr:to>
      <xdr:col>73</xdr:col>
      <xdr:colOff>199800</xdr:colOff>
      <xdr:row>138</xdr:row>
      <xdr:rowOff>199800</xdr:rowOff>
    </xdr:to>
    <xdr:pic>
      <xdr:nvPicPr>
        <xdr:cNvPr id="275" name="image128.png" descr=""/>
        <xdr:cNvPicPr/>
      </xdr:nvPicPr>
      <xdr:blipFill>
        <a:blip r:embed="rId138"/>
        <a:stretch/>
      </xdr:blipFill>
      <xdr:spPr>
        <a:xfrm>
          <a:off x="65671200" y="27603360"/>
          <a:ext cx="199800" cy="199800"/>
        </a:xfrm>
        <a:prstGeom prst="rect">
          <a:avLst/>
        </a:prstGeom>
        <a:ln w="0">
          <a:noFill/>
        </a:ln>
      </xdr:spPr>
    </xdr:pic>
    <xdr:clientData/>
  </xdr:twoCellAnchor>
</xdr:wsDr>
</file>

<file path=xl/tables/table1.xml><?xml version="1.0" encoding="utf-8"?>
<table xmlns="http://schemas.openxmlformats.org/spreadsheetml/2006/main" id="1" name="Table_1" displayName="Table_1" ref="O4:R7" headerRowCount="0" totalsRowCount="0" totalsRowShown="0">
  <tableColumns count="4">
    <tableColumn id="1" name="Column1"/>
    <tableColumn id="2" name="Column2"/>
    <tableColumn id="3" name="Column3"/>
    <tableColumn id="4" name="Column4"/>
  </tableColumns>
</table>
</file>

<file path=xl/tables/table2.xml><?xml version="1.0" encoding="utf-8"?>
<table xmlns="http://schemas.openxmlformats.org/spreadsheetml/2006/main" id="2" name="Table_2" displayName="Table_2" ref="O14:R17" headerRowCount="0" totalsRowCount="0" totalsRowShown="0">
  <tableColumns count="4">
    <tableColumn id="1" name="Column1"/>
    <tableColumn id="2" name="Column2"/>
    <tableColumn id="3" name="Column3"/>
    <tableColumn id="4" name="Column4"/>
  </tableColumns>
</table>
</file>

<file path=xl/tables/table3.xml><?xml version="1.0" encoding="utf-8"?>
<table xmlns="http://schemas.openxmlformats.org/spreadsheetml/2006/main" id="3" name="Table_3" displayName="Table_3" ref="N3:P13" headerRowCount="1" totalsRowCount="0" totalsRowShown="0">
  <tableColumns count="3">
    <tableColumn id="1" name="Generation"/>
    <tableColumn id="2" name="Name"/>
    <tableColumn id="3" name="Power"/>
  </tableColumns>
</table>
</file>

<file path=xl/tables/table4.xml><?xml version="1.0" encoding="utf-8"?>
<table xmlns="http://schemas.openxmlformats.org/spreadsheetml/2006/main" id="4" name="Table_4" displayName="Table_4" ref="A1" headerRowCount="0" totalsRowCount="0" totalsRowShown="0">
  <tableColumns count="1">
    <tableColumn id="1" name="Column1"/>
  </tableColumns>
</table>
</file>

<file path=xl/tables/table5.xml><?xml version="1.0" encoding="utf-8"?>
<table xmlns="http://schemas.openxmlformats.org/spreadsheetml/2006/main" id="5" name="Table_5" displayName="Table_5" ref="A2:EJ140" headerRowCount="0" totalsRowCount="0" totalsRowShown="0">
  <tableColumns count="140">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 id="38" name="Column38"/>
    <tableColumn id="39" name="Column39"/>
    <tableColumn id="40" name="Column40"/>
    <tableColumn id="41" name="Column41"/>
    <tableColumn id="42" name="Column42"/>
    <tableColumn id="43" name="Column43"/>
    <tableColumn id="44" name="Column44"/>
    <tableColumn id="45" name="Column45"/>
    <tableColumn id="46" name="Column46"/>
    <tableColumn id="47" name="Column47"/>
    <tableColumn id="48" name="Column48"/>
    <tableColumn id="49" name="Column49"/>
    <tableColumn id="50" name="Column50"/>
    <tableColumn id="51" name="Column51"/>
    <tableColumn id="52" name="Column52"/>
    <tableColumn id="53" name="Column53"/>
    <tableColumn id="54" name="Column54"/>
    <tableColumn id="55" name="Column55"/>
    <tableColumn id="56" name="Column56"/>
    <tableColumn id="57" name="Column57"/>
    <tableColumn id="58" name="Column58"/>
    <tableColumn id="59" name="Column59"/>
    <tableColumn id="60" name="Column60"/>
    <tableColumn id="61" name="Column61"/>
    <tableColumn id="62" name="Column62"/>
    <tableColumn id="63" name="Column63"/>
    <tableColumn id="64" name="Column64"/>
    <tableColumn id="65" name="Column65"/>
    <tableColumn id="66" name="Column66"/>
    <tableColumn id="67" name="Column67"/>
    <tableColumn id="68" name="Column68"/>
    <tableColumn id="69" name="Column69"/>
    <tableColumn id="70" name="Column70"/>
    <tableColumn id="71" name="Column71"/>
    <tableColumn id="72" name="Column72"/>
    <tableColumn id="73" name="Column73"/>
    <tableColumn id="74" name="Column74"/>
    <tableColumn id="75" name="Column75"/>
    <tableColumn id="76" name="Column76"/>
    <tableColumn id="77" name="Column77"/>
    <tableColumn id="78" name="Column78"/>
    <tableColumn id="79" name="Column79"/>
    <tableColumn id="80" name="Column80"/>
    <tableColumn id="81" name="Column81"/>
    <tableColumn id="82" name="Column82"/>
    <tableColumn id="83" name="Column83"/>
    <tableColumn id="84" name="Column84"/>
    <tableColumn id="85" name="Column85"/>
    <tableColumn id="86" name="Column86"/>
    <tableColumn id="87" name="Column87"/>
    <tableColumn id="88" name="Column88"/>
    <tableColumn id="89" name="Column89"/>
    <tableColumn id="90" name="Column90"/>
    <tableColumn id="91" name="Column91"/>
    <tableColumn id="92" name="Column92"/>
    <tableColumn id="93" name="Column93"/>
    <tableColumn id="94" name="Column94"/>
    <tableColumn id="95" name="Column95"/>
    <tableColumn id="96" name="Column96"/>
    <tableColumn id="97" name="Column97"/>
    <tableColumn id="98" name="Column98"/>
    <tableColumn id="99" name="Column99"/>
    <tableColumn id="100" name="Column100"/>
    <tableColumn id="101" name="Column101"/>
    <tableColumn id="102" name="Column102"/>
    <tableColumn id="103" name="Column103"/>
    <tableColumn id="104" name="Column104"/>
    <tableColumn id="105" name="Column105"/>
    <tableColumn id="106" name="Column106"/>
    <tableColumn id="107" name="Column107"/>
    <tableColumn id="108" name="Column108"/>
    <tableColumn id="109" name="Column109"/>
    <tableColumn id="110" name="Column110"/>
    <tableColumn id="111" name="Column111"/>
    <tableColumn id="112" name="Column112"/>
    <tableColumn id="113" name="Column113"/>
    <tableColumn id="114" name="Column114"/>
    <tableColumn id="115" name="Column115"/>
    <tableColumn id="116" name="Column116"/>
    <tableColumn id="117" name="Column117"/>
    <tableColumn id="118" name="Column118"/>
    <tableColumn id="119" name="Column119"/>
    <tableColumn id="120" name="Column120"/>
    <tableColumn id="121" name="Column121"/>
    <tableColumn id="122" name="Column122"/>
    <tableColumn id="123" name="Column123"/>
    <tableColumn id="124" name="Column124"/>
    <tableColumn id="125" name="Column125"/>
    <tableColumn id="126" name="Column126"/>
    <tableColumn id="127" name="Column127"/>
    <tableColumn id="128" name="Column128"/>
    <tableColumn id="129" name="Column129"/>
    <tableColumn id="130" name="Column130"/>
    <tableColumn id="131" name="Column131"/>
    <tableColumn id="132" name="Column132"/>
    <tableColumn id="133" name="Column133"/>
    <tableColumn id="134" name="Column134"/>
    <tableColumn id="135" name="Column135"/>
    <tableColumn id="136" name="Column136"/>
    <tableColumn id="137" name="Column137"/>
    <tableColumn id="138" name="Column138"/>
    <tableColumn id="139" name="Column139"/>
    <tableColumn id="140" name="Column140"/>
  </tableColumns>
</table>
</file>

<file path=xl/tables/table6.xml><?xml version="1.0" encoding="utf-8"?>
<table xmlns="http://schemas.openxmlformats.org/spreadsheetml/2006/main" id="6" name="Table_6" displayName="Table_6" ref="R2:T140" headerRowCount="0" totalsRowCount="0" totalsRowShown="0">
  <tableColumns count="3">
    <tableColumn id="1" name="Column1"/>
    <tableColumn id="2" name="Column2"/>
    <tableColumn id="3" name="Column3"/>
  </tableColumns>
</table>
</file>

<file path=xl/tables/table7.xml><?xml version="1.0" encoding="utf-8"?>
<table xmlns="http://schemas.openxmlformats.org/spreadsheetml/2006/main" id="7" name="Table_7" displayName="Table_7" ref="V2:X140" headerRowCount="0" totalsRowCount="0" totalsRowShown="0">
  <tableColumns count="3">
    <tableColumn id="1" name="Column1"/>
    <tableColumn id="2" name="Column2"/>
    <tableColumn id="3" name="Column3"/>
  </tableColumns>
</table>
</file>

<file path=xl/tables/table8.xml><?xml version="1.0" encoding="utf-8"?>
<table xmlns="http://schemas.openxmlformats.org/spreadsheetml/2006/main" id="8" name="Table_8" displayName="Table_8" ref="A1:C11" headerRowCount="1" totalsRowCount="0" totalsRowShown="0">
  <tableColumns count="3">
    <tableColumn id="1" name="Number"/>
    <tableColumn id="2" name="Name"/>
    <tableColumn id="3" name="Male Probability (%)"/>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ocs.google.com/spreadsheets/d/1YgPc11dgdBUC8jXNp01b7gI6jNHoBRQGwrY_V6lXMgQ/copy" TargetMode="External"/><Relationship Id="rId3" Type="http://schemas.openxmlformats.org/officeDocument/2006/relationships/drawing" Target="../drawings/drawing1.xml"/><Relationship Id="rId4"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Relationship Id="rId3" Type="http://schemas.openxmlformats.org/officeDocument/2006/relationships/table" Target="../tables/table1.xml"/><Relationship Id="rId4" Type="http://schemas.openxmlformats.org/officeDocument/2006/relationships/table" Target="../tables/table2.x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hyperlink" Target="https://docs.google.com/spreadsheets/d/1YgPc11dgdBUC8jXNp01b7gI6jNHoBRQGwrY_V6lXMgQ/copy" TargetMode="External"/><Relationship Id="rId2" Type="http://schemas.openxmlformats.org/officeDocument/2006/relationships/table" Target="../tables/table3.xml"/>
</Relationships>
</file>

<file path=xl/worksheets/_rels/sheet5.xml.rels><?xml version="1.0" encoding="UTF-8"?>
<Relationships xmlns="http://schemas.openxmlformats.org/package/2006/relationships"><Relationship Id="rId1" Type="http://schemas.openxmlformats.org/officeDocument/2006/relationships/table" Target="../tables/table4.xml"/><Relationship Id="rId2" Type="http://schemas.openxmlformats.org/officeDocument/2006/relationships/table" Target="../tables/table5.x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4.vml"/><Relationship Id="rId3" Type="http://schemas.openxmlformats.org/officeDocument/2006/relationships/table" Target="../tables/table6.xml"/><Relationship Id="rId4" Type="http://schemas.openxmlformats.org/officeDocument/2006/relationships/table" Target="../tables/table7.x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hyperlink" Target="https://www.reddit.com/r/Palworld/comments/1aedboa/partner_skill_upgrade_stats_exact_values_for_lv1/" TargetMode="External"/><Relationship Id="rId3" Type="http://schemas.openxmlformats.org/officeDocument/2006/relationships/drawing" Target="../drawings/drawing3.xml"/><Relationship Id="rId4"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8.xml"/>
</Relationships>
</file>

<file path=xl/worksheets/_rels/sheet11.xml.rels><?xml version="1.0" encoding="UTF-8"?>
<Relationships xmlns="http://schemas.openxmlformats.org/package/2006/relationships"><Relationship Id="rId1" Type="http://schemas.openxmlformats.org/officeDocument/2006/relationships/drawing" Target="../drawings/drawing4.x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5.xml"/><Relationship Id="rId3" Type="http://schemas.openxmlformats.org/officeDocument/2006/relationships/vmlDrawing" Target="../drawings/vmlDrawing6.vml"/>
</Relationships>
</file>

<file path=xl/worksheets/_rels/sheet15.xml.rels><?xml version="1.0" encoding="UTF-8"?>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6.xml"/><Relationship Id="rId3" Type="http://schemas.openxmlformats.org/officeDocument/2006/relationships/vmlDrawing" Target="../drawings/vmlDrawing7.vml"/>
</Relationships>
</file>

<file path=xl/worksheets/_rels/sheet16.xml.rels><?xml version="1.0" encoding="UTF-8"?>
<Relationships xmlns="http://schemas.openxmlformats.org/package/2006/relationships"><Relationship Id="rId1" Type="http://schemas.openxmlformats.org/officeDocument/2006/relationships/comments" Target="../comments16.xml"/><Relationship Id="rId2" Type="http://schemas.openxmlformats.org/officeDocument/2006/relationships/vmlDrawing" Target="../drawings/vmlDrawing8.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U1008"/>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selection pane="topLeft" activeCell="D25" activeCellId="0" sqref="D25"/>
    </sheetView>
  </sheetViews>
  <sheetFormatPr defaultColWidth="12.640625" defaultRowHeight="15.75" zeroHeight="false" outlineLevelRow="0" outlineLevelCol="0"/>
  <cols>
    <col collapsed="false" customWidth="true" hidden="false" outlineLevel="0" max="1" min="1" style="0" width="2.76"/>
    <col collapsed="false" customWidth="true" hidden="false" outlineLevel="0" max="4" min="4" style="0" width="16.87"/>
    <col collapsed="false" customWidth="true" hidden="false" outlineLevel="0" max="5" min="5" style="0" width="15.49"/>
    <col collapsed="false" customWidth="true" hidden="false" outlineLevel="0" max="6" min="6" style="0" width="3.5"/>
    <col collapsed="false" customWidth="true" hidden="false" outlineLevel="0" max="7" min="7" style="0" width="3.37"/>
    <col collapsed="false" customWidth="true" hidden="false" outlineLevel="0" max="8" min="8" style="0" width="13.24"/>
    <col collapsed="false" customWidth="true" hidden="false" outlineLevel="0" max="9" min="9" style="0" width="3.88"/>
    <col collapsed="false" customWidth="true" hidden="false" outlineLevel="0" max="10" min="10" style="0" width="3.5"/>
    <col collapsed="false" customWidth="true" hidden="false" outlineLevel="0" max="11" min="11" style="0" width="14.75"/>
    <col collapsed="false" customWidth="true" hidden="false" outlineLevel="0" max="12" min="12" style="0" width="1"/>
    <col collapsed="false" customWidth="true" hidden="false" outlineLevel="0" max="13" min="13" style="0" width="3.88"/>
    <col collapsed="false" customWidth="true" hidden="false" outlineLevel="0" max="14" min="14" style="0" width="3.63"/>
    <col collapsed="false" customWidth="true" hidden="false" outlineLevel="0" max="15" min="15" style="0" width="34.13"/>
    <col collapsed="false" customWidth="true" hidden="false" outlineLevel="0" max="16" min="16" style="0" width="9.38"/>
    <col collapsed="false" customWidth="true" hidden="false" outlineLevel="0" max="17" min="17" style="0" width="4.13"/>
    <col collapsed="false" customWidth="true" hidden="false" outlineLevel="0" max="18" min="18" style="0" width="3.5"/>
    <col collapsed="false" customWidth="true" hidden="false" outlineLevel="0" max="19" min="19" style="0" width="16.49"/>
    <col collapsed="false" customWidth="true" hidden="false" outlineLevel="0" max="20" min="20" style="0" width="7.49"/>
    <col collapsed="false" customWidth="true" hidden="false" outlineLevel="0" max="21" min="21" style="0" width="9.88"/>
  </cols>
  <sheetData>
    <row r="1" customFormat="false" ht="16.5" hidden="false" customHeight="true" outlineLevel="0" collapsed="false">
      <c r="F1" s="1"/>
      <c r="G1" s="1"/>
      <c r="H1" s="1"/>
      <c r="I1" s="1"/>
      <c r="J1" s="1"/>
      <c r="K1" s="1"/>
      <c r="L1" s="1"/>
      <c r="M1" s="1"/>
      <c r="N1" s="1"/>
      <c r="O1" s="1"/>
      <c r="Q1" s="2"/>
      <c r="R1" s="2"/>
      <c r="S1" s="2"/>
      <c r="T1" s="2"/>
      <c r="U1" s="2"/>
    </row>
    <row r="2" customFormat="false" ht="16.5" hidden="false" customHeight="true" outlineLevel="0" collapsed="false">
      <c r="A2" s="3"/>
      <c r="B2" s="3" t="s">
        <v>0</v>
      </c>
      <c r="C2" s="3"/>
      <c r="D2" s="3"/>
      <c r="F2" s="4" t="s">
        <v>1</v>
      </c>
      <c r="G2" s="4"/>
      <c r="H2" s="4"/>
      <c r="I2" s="4"/>
      <c r="J2" s="4"/>
      <c r="K2" s="4"/>
      <c r="L2" s="4"/>
      <c r="M2" s="4"/>
      <c r="N2" s="4"/>
      <c r="O2" s="4"/>
      <c r="Q2" s="5" t="s">
        <v>2</v>
      </c>
      <c r="R2" s="5"/>
      <c r="S2" s="5"/>
      <c r="T2" s="5"/>
      <c r="U2" s="5"/>
    </row>
    <row r="3" customFormat="false" ht="16.5" hidden="false" customHeight="true" outlineLevel="0" collapsed="false">
      <c r="A3" s="3"/>
      <c r="B3" s="3" t="s">
        <v>3</v>
      </c>
      <c r="C3" s="6"/>
      <c r="D3" s="6"/>
      <c r="F3" s="7" t="n">
        <f aca="false">IFERROR(INDEX(PalData,MATCH(F8,PalNames,0)+1,MATCH("Image",PalData_Header,0)),)</f>
        <v>0</v>
      </c>
      <c r="G3" s="7"/>
      <c r="H3" s="7"/>
      <c r="I3" s="7"/>
      <c r="J3" s="7"/>
      <c r="K3" s="7"/>
      <c r="L3" s="7"/>
      <c r="M3" s="7"/>
      <c r="N3" s="7"/>
      <c r="O3" s="7"/>
      <c r="Q3" s="8" t="s">
        <v>4</v>
      </c>
      <c r="R3" s="8"/>
      <c r="S3" s="8"/>
      <c r="T3" s="8"/>
      <c r="U3" s="9"/>
    </row>
    <row r="4" customFormat="false" ht="16.5" hidden="false" customHeight="true" outlineLevel="0" collapsed="false">
      <c r="A4" s="10"/>
      <c r="B4" s="11" t="s">
        <v>5</v>
      </c>
      <c r="C4" s="11"/>
      <c r="D4" s="11"/>
      <c r="F4" s="7"/>
      <c r="G4" s="7"/>
      <c r="H4" s="7"/>
      <c r="I4" s="7"/>
      <c r="J4" s="7"/>
      <c r="K4" s="7"/>
      <c r="L4" s="7"/>
      <c r="M4" s="7"/>
      <c r="N4" s="7"/>
      <c r="O4" s="7"/>
      <c r="Q4" s="5" t="s">
        <v>6</v>
      </c>
      <c r="R4" s="5"/>
      <c r="S4" s="5"/>
      <c r="T4" s="5"/>
      <c r="U4" s="5"/>
    </row>
    <row r="5" customFormat="false" ht="16.5" hidden="false" customHeight="true" outlineLevel="0" collapsed="false">
      <c r="A5" s="10"/>
      <c r="B5" s="11"/>
      <c r="C5" s="11"/>
      <c r="D5" s="11"/>
      <c r="F5" s="7"/>
      <c r="G5" s="7"/>
      <c r="H5" s="7"/>
      <c r="I5" s="7"/>
      <c r="J5" s="7"/>
      <c r="K5" s="7"/>
      <c r="L5" s="7"/>
      <c r="M5" s="7"/>
      <c r="N5" s="7"/>
      <c r="O5" s="7"/>
      <c r="Q5" s="12"/>
      <c r="R5" s="13" t="s">
        <v>7</v>
      </c>
      <c r="S5" s="13" t="s">
        <v>8</v>
      </c>
      <c r="T5" s="13" t="s">
        <v>9</v>
      </c>
      <c r="U5" s="14" t="s">
        <v>10</v>
      </c>
    </row>
    <row r="6" customFormat="false" ht="16.5" hidden="false" customHeight="true" outlineLevel="0" collapsed="false">
      <c r="A6" s="10"/>
      <c r="B6" s="15" t="s">
        <v>11</v>
      </c>
      <c r="C6" s="15"/>
      <c r="D6" s="15"/>
      <c r="F6" s="7"/>
      <c r="G6" s="7"/>
      <c r="H6" s="7"/>
      <c r="I6" s="7"/>
      <c r="J6" s="7"/>
      <c r="K6" s="7"/>
      <c r="L6" s="7"/>
      <c r="M6" s="7"/>
      <c r="N6" s="7"/>
      <c r="O6" s="7"/>
      <c r="Q6" s="16" t="n">
        <f aca="false">IFERROR(INDEX(PalData,MATCH(S6,PalNames,0)+1,MATCH("Image",PalData_Header,0)),)</f>
        <v>0</v>
      </c>
      <c r="R6" s="17" t="n">
        <f aca="false" t="array" ref="R6:R6">INDEX(PalData,MATCH(S6,PalNames,0)+1,MATCH("ZukanIndex",PalData_Header,0))</f>
        <v>100</v>
      </c>
      <c r="S6" s="18" t="s">
        <v>12</v>
      </c>
      <c r="T6" s="19" t="b">
        <f aca="false">FALSE()</f>
        <v>0</v>
      </c>
      <c r="U6" s="20" t="b">
        <f aca="false">FALSE()</f>
        <v>0</v>
      </c>
    </row>
    <row r="7" customFormat="false" ht="16.5" hidden="false" customHeight="true" outlineLevel="0" collapsed="false">
      <c r="A7" s="10"/>
      <c r="B7" s="15"/>
      <c r="C7" s="15"/>
      <c r="D7" s="15"/>
      <c r="F7" s="7"/>
      <c r="G7" s="7"/>
      <c r="H7" s="7"/>
      <c r="I7" s="7"/>
      <c r="J7" s="7"/>
      <c r="K7" s="7"/>
      <c r="L7" s="7"/>
      <c r="M7" s="7"/>
      <c r="N7" s="7"/>
      <c r="O7" s="7"/>
      <c r="Q7" s="21" t="n">
        <f aca="false">IFERROR(INDEX(PalData,MATCH(S7,PalNames,0)+1,MATCH("Image",PalData_Header,0)),)</f>
        <v>0</v>
      </c>
      <c r="R7" s="22" t="n">
        <f aca="false" t="array" ref="R7:R7">INDEX(PalData,MATCH(S7,PalNames,0)+1,MATCH("ZukanIndex",PalData_Header,0))</f>
        <v>42</v>
      </c>
      <c r="S7" s="23" t="s">
        <v>13</v>
      </c>
      <c r="T7" s="24" t="b">
        <f aca="false">FALSE()</f>
        <v>0</v>
      </c>
      <c r="U7" s="25" t="b">
        <f aca="false">FALSE()</f>
        <v>0</v>
      </c>
    </row>
    <row r="8" customFormat="false" ht="19.5" hidden="false" customHeight="true" outlineLevel="0" collapsed="false">
      <c r="A8" s="10"/>
      <c r="F8" s="26" t="s">
        <v>14</v>
      </c>
      <c r="G8" s="26"/>
      <c r="H8" s="26"/>
      <c r="I8" s="26"/>
      <c r="J8" s="26"/>
      <c r="K8" s="26"/>
      <c r="L8" s="26"/>
      <c r="M8" s="26"/>
      <c r="N8" s="26"/>
      <c r="O8" s="26"/>
      <c r="Q8" s="27" t="n">
        <f aca="false">IFERROR(INDEX(PalData,MATCH(S8,PalNames,0)+1,MATCH("Image",PalData_Header,0)),)</f>
        <v>0</v>
      </c>
      <c r="R8" s="17" t="n">
        <f aca="false" t="array" ref="R8:R8">INDEX(PalData,MATCH(S8,PalNames,0)+1,MATCH("ZukanIndex",PalData_Header,0))</f>
        <v>98</v>
      </c>
      <c r="S8" s="18" t="s">
        <v>15</v>
      </c>
      <c r="T8" s="19" t="b">
        <f aca="false">FALSE()</f>
        <v>0</v>
      </c>
      <c r="U8" s="20" t="b">
        <f aca="false">FALSE()</f>
        <v>0</v>
      </c>
    </row>
    <row r="9" customFormat="false" ht="16.5" hidden="false" customHeight="true" outlineLevel="0" collapsed="false">
      <c r="B9" s="28" t="s">
        <v>16</v>
      </c>
      <c r="C9" s="28"/>
      <c r="D9" s="28"/>
      <c r="F9" s="29" t="str">
        <f aca="false">IF($Q$3="Show All Combos", "Find Both Parents (All Combos)", "Find Both Parents (Filtered by PAL Box)")</f>
        <v>Find Both Parents (All Combos)</v>
      </c>
      <c r="G9" s="29"/>
      <c r="H9" s="29"/>
      <c r="I9" s="29"/>
      <c r="J9" s="29"/>
      <c r="K9" s="29"/>
      <c r="M9" s="30" t="s">
        <v>17</v>
      </c>
      <c r="N9" s="30"/>
      <c r="O9" s="30"/>
      <c r="Q9" s="21" t="n">
        <f aca="false">IFERROR(INDEX(PalData,MATCH(S9,PalNames,0)+1,MATCH("Image",PalData_Header,0)),)</f>
        <v>0</v>
      </c>
      <c r="R9" s="22" t="n">
        <f aca="false" t="array" ref="R9:R9">INDEX(PalData,MATCH(S9,PalNames,0)+1,MATCH("ZukanIndex",PalData_Header,0))</f>
        <v>82</v>
      </c>
      <c r="S9" s="23" t="s">
        <v>18</v>
      </c>
      <c r="T9" s="24" t="b">
        <f aca="false">FALSE()</f>
        <v>0</v>
      </c>
      <c r="U9" s="25" t="b">
        <f aca="false">FALSE()</f>
        <v>0</v>
      </c>
    </row>
    <row r="10" customFormat="false" ht="16.5" hidden="false" customHeight="true" outlineLevel="0" collapsed="false">
      <c r="B10" s="28"/>
      <c r="C10" s="28"/>
      <c r="D10" s="28"/>
      <c r="F10" s="31" t="str">
        <f aca="false">IF( Q3="Show All Combos", "Parent 1","Male Parent")</f>
        <v>Parent 1</v>
      </c>
      <c r="G10" s="31"/>
      <c r="H10" s="31"/>
      <c r="I10" s="32" t="str">
        <f aca="false">IF( Q3="Show All Combos", "Parent 2","Female Parent")</f>
        <v>Parent 2</v>
      </c>
      <c r="J10" s="32"/>
      <c r="K10" s="32"/>
      <c r="M10" s="33" t="s">
        <v>19</v>
      </c>
      <c r="N10" s="33"/>
      <c r="O10" s="33"/>
      <c r="Q10" s="27" t="n">
        <f aca="false">IFERROR(INDEX(PalData,MATCH(S10,PalNames,0)+1,MATCH("Image",PalData_Header,0)),)</f>
        <v>0</v>
      </c>
      <c r="R10" s="17" t="n">
        <f aca="false" t="array" ref="R10:R10">INDEX(PalData,MATCH(S10,PalNames,0)+1,MATCH("ZukanIndex",PalData_Header,0))</f>
        <v>73</v>
      </c>
      <c r="S10" s="18" t="s">
        <v>20</v>
      </c>
      <c r="T10" s="19" t="b">
        <f aca="false">FALSE()</f>
        <v>0</v>
      </c>
      <c r="U10" s="20" t="b">
        <f aca="false">FALSE()</f>
        <v>0</v>
      </c>
    </row>
    <row r="11" customFormat="false" ht="15" hidden="false" customHeight="false" outlineLevel="0" collapsed="false">
      <c r="F11" s="34" t="n">
        <f aca="false">IFERROR(INDEX(PalData,MATCH(H11,PalNames,0)+1,MATCH("Image",PalData_Header,0)),)</f>
        <v>0</v>
      </c>
      <c r="G11" s="35" t="n">
        <f aca="false" t="array" ref="G11:G11">IFERROR(INDEX(PalData,MATCH(H11,PalNames,0)+1,MATCH("ZukanIndex",PalData_Header,0)),)</f>
        <v>11</v>
      </c>
      <c r="H11" s="35" t="str">
        <f aca="false">IFERROR(__xludf.dummyfunction("IF(Q3=""Show All Combos"", Arrayformula(ReverseSearchData!D3:D1008),IFERROR(Filter(ReverseSearchData!P3:P1008,ReverseSearchData!N3:N1008),""No matches.""))"),"Penking")</f>
        <v>Penking</v>
      </c>
      <c r="I11" s="36" t="n">
        <f aca="false">IFERROR(INDEX(PalData,MATCH(K11,PalNames,0)+1,MATCH("Image",PalData_Header,0)),)</f>
        <v>0</v>
      </c>
      <c r="J11" s="35" t="n">
        <f aca="false" t="array" ref="J11:J11">IFERROR(INDEX(PalData,MATCH(K11,PalNames,0)+1,MATCH("ZukanIndex",PalData_Header,0)),)</f>
        <v>58</v>
      </c>
      <c r="K11" s="37" t="str">
        <f aca="false">IFERROR(__xludf.dummyfunction("IF(Q3=""Show All Combos"", Arrayformula(ReverseSearchData!E3:E1008), IFERROR(Filter(ReverseSearchData!Q3:Q1008,ReverseSearchData!N3:N1008),""""))"),"Pyrin Noct")</f>
        <v>Pyrin Noct</v>
      </c>
      <c r="M11" s="38" t="s">
        <v>21</v>
      </c>
      <c r="N11" s="38"/>
      <c r="O11" s="38"/>
      <c r="Q11" s="21" t="n">
        <f aca="false">IFERROR(INDEX(PalData,MATCH(S11,PalNames,0)+1,MATCH("Image",PalData_Header,0)),)</f>
        <v>0</v>
      </c>
      <c r="R11" s="22" t="n">
        <f aca="false" t="array" ref="R11:R11">INDEX(PalData,MATCH(S11,PalNames,0)+1,MATCH("ZukanIndex",PalData_Header,0))</f>
        <v>50</v>
      </c>
      <c r="S11" s="23" t="s">
        <v>22</v>
      </c>
      <c r="T11" s="24" t="b">
        <f aca="false">FALSE()</f>
        <v>0</v>
      </c>
      <c r="U11" s="25" t="b">
        <f aca="false">FALSE()</f>
        <v>0</v>
      </c>
    </row>
    <row r="12" customFormat="false" ht="15" hidden="false" customHeight="false" outlineLevel="0" collapsed="false">
      <c r="F12" s="39" t="n">
        <f aca="false">IFERROR(INDEX(PalData,MATCH(H12,PalNames,0)+1,MATCH("Image",PalData_Header,0)),)</f>
        <v>0</v>
      </c>
      <c r="G12" s="40" t="n">
        <f aca="false" t="array" ref="G12:G12">IFERROR(INDEX(PalData,MATCH(H12,PalNames,0)+1,MATCH("ZukanIndex",PalData_Header,0)),)</f>
        <v>11</v>
      </c>
      <c r="H12" s="40" t="str">
        <f aca="false">IFERROR(__xludf.dummyfunction("""COMPUTED_VALUE"""),"Penking")</f>
        <v>Penking</v>
      </c>
      <c r="I12" s="41" t="n">
        <f aca="false">IFERROR(INDEX(PalData,MATCH(K12,PalNames,0)+1,MATCH("Image",PalData_Header,0)),)</f>
        <v>0</v>
      </c>
      <c r="J12" s="40" t="n">
        <f aca="false" t="array" ref="J12:J12">IFERROR(INDEX(PalData,MATCH(K12,PalNames,0)+1,MATCH("ZukanIndex",PalData_Header,0)),)</f>
        <v>88</v>
      </c>
      <c r="K12" s="42" t="str">
        <f aca="false">IFERROR(__xludf.dummyfunction("""COMPUTED_VALUE"""),"Ice Reptyro")</f>
        <v>Ice Reptyro</v>
      </c>
      <c r="M12" s="43" t="s">
        <v>23</v>
      </c>
      <c r="N12" s="43"/>
      <c r="O12" s="43"/>
      <c r="Q12" s="27" t="n">
        <f aca="false">IFERROR(INDEX(PalData,MATCH(S12,PalNames,0)+1,MATCH("Image",PalData_Header,0)),)</f>
        <v>0</v>
      </c>
      <c r="R12" s="17" t="n">
        <f aca="false" t="array" ref="R12:R12">INDEX(PalData,MATCH(S12,PalNames,0)+1,MATCH("ZukanIndex",PalData_Header,0))</f>
        <v>96</v>
      </c>
      <c r="S12" s="18" t="s">
        <v>24</v>
      </c>
      <c r="T12" s="19" t="b">
        <f aca="false">FALSE()</f>
        <v>0</v>
      </c>
      <c r="U12" s="20" t="b">
        <f aca="false">FALSE()</f>
        <v>0</v>
      </c>
    </row>
    <row r="13" customFormat="false" ht="15" hidden="false" customHeight="false" outlineLevel="0" collapsed="false">
      <c r="F13" s="34" t="n">
        <f aca="false">IFERROR(INDEX(PalData,MATCH(H13,PalNames,0)+1,MATCH("Image",PalData_Header,0)),)</f>
        <v>0</v>
      </c>
      <c r="G13" s="35" t="n">
        <f aca="false" t="array" ref="G13:G13">IFERROR(INDEX(PalData,MATCH(H13,PalNames,0)+1,MATCH("ZukanIndex",PalData_Header,0)),)</f>
        <v>11</v>
      </c>
      <c r="H13" s="35" t="str">
        <f aca="false">IFERROR(__xludf.dummyfunction("""COMPUTED_VALUE"""),"Penking")</f>
        <v>Penking</v>
      </c>
      <c r="I13" s="36" t="n">
        <f aca="false">IFERROR(INDEX(PalData,MATCH(K13,PalNames,0)+1,MATCH("Image",PalData_Header,0)),)</f>
        <v>0</v>
      </c>
      <c r="J13" s="35" t="n">
        <f aca="false" t="array" ref="J13:J13">IFERROR(INDEX(PalData,MATCH(K13,PalNames,0)+1,MATCH("ZukanIndex",PalData_Header,0)),)</f>
        <v>99</v>
      </c>
      <c r="K13" s="37" t="str">
        <f aca="false">IFERROR(__xludf.dummyfunction("""COMPUTED_VALUE"""),"Menasting")</f>
        <v>Menasting</v>
      </c>
      <c r="M13" s="44" t="n">
        <f aca="false">IFERROR(INDEX(PalData,MATCH(O13,PalNames,0)+1,MATCH("Image",PalData_Header,0)),)</f>
        <v>0</v>
      </c>
      <c r="N13" s="45" t="n">
        <f aca="false">IFERROR(INDEX(PalData,MATCH(O13,PalNames,0)+1,MATCH("ZukanIndex",PalData_Header,0)),)</f>
        <v>0</v>
      </c>
      <c r="O13" s="46" t="n">
        <f aca="false">IFERROR(ReverseSearchData!J3:J1008,"ERROR: RESELECT PARENT")</f>
        <v>0</v>
      </c>
      <c r="Q13" s="21" t="n">
        <f aca="false">IFERROR(INDEX(PalData,MATCH(S13,PalNames,0)+1,MATCH("Image",PalData_Header,0)),)</f>
        <v>0</v>
      </c>
      <c r="R13" s="22" t="n">
        <f aca="false" t="array" ref="R13:R13">INDEX(PalData,MATCH(S13,PalNames,0)+1,MATCH("ZukanIndex",PalData_Header,0))</f>
        <v>84</v>
      </c>
      <c r="S13" s="23" t="s">
        <v>25</v>
      </c>
      <c r="T13" s="24" t="b">
        <f aca="false">FALSE()</f>
        <v>0</v>
      </c>
      <c r="U13" s="25" t="b">
        <f aca="false">FALSE()</f>
        <v>0</v>
      </c>
    </row>
    <row r="14" customFormat="false" ht="15" hidden="false" customHeight="false" outlineLevel="0" collapsed="false">
      <c r="F14" s="39" t="n">
        <f aca="false">IFERROR(INDEX(PalData,MATCH(H14,PalNames,0)+1,MATCH("Image",PalData_Header,0)),)</f>
        <v>0</v>
      </c>
      <c r="G14" s="40" t="n">
        <f aca="false" t="array" ref="G14:G14">IFERROR(INDEX(PalData,MATCH(H14,PalNames,0)+1,MATCH("ZukanIndex",PalData_Header,0)),)</f>
        <v>11</v>
      </c>
      <c r="H14" s="40" t="str">
        <f aca="false">IFERROR(__xludf.dummyfunction("""COMPUTED_VALUE"""),"Penking")</f>
        <v>Penking</v>
      </c>
      <c r="I14" s="41" t="n">
        <f aca="false">IFERROR(INDEX(PalData,MATCH(K14,PalNames,0)+1,MATCH("Image",PalData_Header,0)),)</f>
        <v>0</v>
      </c>
      <c r="J14" s="40" t="n">
        <f aca="false" t="array" ref="J14:J14">IFERROR(INDEX(PalData,MATCH(K14,PalNames,0)+1,MATCH("ZukanIndex",PalData_Header,0)),)</f>
        <v>104</v>
      </c>
      <c r="K14" s="42" t="str">
        <f aca="false">IFERROR(__xludf.dummyfunction("""COMPUTED_VALUE"""),"Lyleen")</f>
        <v>Lyleen</v>
      </c>
      <c r="M14" s="47" t="n">
        <f aca="false">IFERROR(INDEX(PalData,MATCH(O14,PalNames,0)+1,MATCH("Image",PalData_Header,0)),)</f>
        <v>0</v>
      </c>
      <c r="N14" s="48" t="n">
        <f aca="false" t="array" ref="N14:N14">IFERROR(INDEX(PalData,MATCH(O14,PalNames,0)+1,MATCH("ZukanIndex",PalData_Header,0)),)</f>
        <v>72</v>
      </c>
      <c r="O14" s="49" t="s">
        <v>26</v>
      </c>
      <c r="Q14" s="27" t="n">
        <f aca="false">IFERROR(INDEX(PalData,MATCH(S14,PalNames,0)+1,MATCH("Image",PalData_Header,0)),)</f>
        <v>0</v>
      </c>
      <c r="R14" s="17" t="n">
        <f aca="false" t="array" ref="R14:R14">INDEX(PalData,MATCH(S14,PalNames,0)+1,MATCH("ZukanIndex",PalData_Header,0))</f>
        <v>84</v>
      </c>
      <c r="S14" s="18" t="s">
        <v>27</v>
      </c>
      <c r="T14" s="19" t="b">
        <f aca="false">FALSE()</f>
        <v>0</v>
      </c>
      <c r="U14" s="20" t="b">
        <f aca="false">FALSE()</f>
        <v>0</v>
      </c>
    </row>
    <row r="15" customFormat="false" ht="15" hidden="false" customHeight="false" outlineLevel="0" collapsed="false">
      <c r="F15" s="34" t="n">
        <f aca="false">IFERROR(INDEX(PalData,MATCH(H15,PalNames,0)+1,MATCH("Image",PalData_Header,0)),)</f>
        <v>0</v>
      </c>
      <c r="G15" s="35" t="n">
        <f aca="false" t="array" ref="G15:G15">IFERROR(INDEX(PalData,MATCH(H15,PalNames,0)+1,MATCH("ZukanIndex",PalData_Header,0)),)</f>
        <v>33</v>
      </c>
      <c r="H15" s="35" t="str">
        <f aca="false">IFERROR(__xludf.dummyfunction("""COMPUTED_VALUE"""),"Mossanda")</f>
        <v>Mossanda</v>
      </c>
      <c r="I15" s="36" t="n">
        <f aca="false">IFERROR(INDEX(PalData,MATCH(K15,PalNames,0)+1,MATCH("Image",PalData_Header,0)),)</f>
        <v>0</v>
      </c>
      <c r="J15" s="35" t="n">
        <f aca="false" t="array" ref="J15:J15">IFERROR(INDEX(PalData,MATCH(K15,PalNames,0)+1,MATCH("ZukanIndex",PalData_Header,0)),)</f>
        <v>51</v>
      </c>
      <c r="K15" s="37" t="str">
        <f aca="false">IFERROR(__xludf.dummyfunction("""COMPUTED_VALUE"""),"Elizabee")</f>
        <v>Elizabee</v>
      </c>
      <c r="M15" s="44" t="n">
        <f aca="false">IFERROR(INDEX(PalData,MATCH(O15,PalNames,0)+1,MATCH("Image",PalData_Header,0)),)</f>
        <v>0</v>
      </c>
      <c r="N15" s="45" t="n">
        <f aca="false">IFERROR(INDEX(PalData,MATCH(O15,PalNames,0)+1,MATCH("ZukanIndex",PalData_Header,0)),)</f>
        <v>0</v>
      </c>
      <c r="O15" s="46"/>
      <c r="Q15" s="21" t="n">
        <f aca="false">IFERROR(INDEX(PalData,MATCH(S15,PalNames,0)+1,MATCH("Image",PalData_Header,0)),)</f>
        <v>0</v>
      </c>
      <c r="R15" s="22" t="n">
        <f aca="false" t="array" ref="R15:R15">INDEX(PalData,MATCH(S15,PalNames,0)+1,MATCH("ZukanIndex",PalData_Header,0))</f>
        <v>30</v>
      </c>
      <c r="S15" s="23" t="s">
        <v>28</v>
      </c>
      <c r="T15" s="24" t="b">
        <f aca="false">FALSE()</f>
        <v>0</v>
      </c>
      <c r="U15" s="25" t="b">
        <f aca="false">FALSE()</f>
        <v>0</v>
      </c>
    </row>
    <row r="16" customFormat="false" ht="15" hidden="false" customHeight="false" outlineLevel="0" collapsed="false">
      <c r="B16" s="50"/>
      <c r="C16" s="50"/>
      <c r="D16" s="50"/>
      <c r="E16" s="51"/>
      <c r="F16" s="39" t="n">
        <f aca="false">IFERROR(INDEX(PalData,MATCH(H16,PalNames,0)+1,MATCH("Image",PalData_Header,0)),)</f>
        <v>0</v>
      </c>
      <c r="G16" s="40" t="n">
        <f aca="false" t="array" ref="G16:G16">IFERROR(INDEX(PalData,MATCH(H16,PalNames,0)+1,MATCH("ZukanIndex",PalData_Header,0)),)</f>
        <v>33</v>
      </c>
      <c r="H16" s="40" t="str">
        <f aca="false">IFERROR(__xludf.dummyfunction("""COMPUTED_VALUE"""),"Mossanda")</f>
        <v>Mossanda</v>
      </c>
      <c r="I16" s="41" t="n">
        <f aca="false">IFERROR(INDEX(PalData,MATCH(K16,PalNames,0)+1,MATCH("Image",PalData_Header,0)),)</f>
        <v>0</v>
      </c>
      <c r="J16" s="40" t="n">
        <f aca="false" t="array" ref="J16:J16">IFERROR(INDEX(PalData,MATCH(K16,PalNames,0)+1,MATCH("ZukanIndex",PalData_Header,0)),)</f>
        <v>88</v>
      </c>
      <c r="K16" s="42" t="str">
        <f aca="false">IFERROR(__xludf.dummyfunction("""COMPUTED_VALUE"""),"Reptyro")</f>
        <v>Reptyro</v>
      </c>
      <c r="M16" s="47" t="n">
        <f aca="false">IFERROR(INDEX(PalData,MATCH(O16,PalNames,0)+1,MATCH("Image",PalData_Header,0)),)</f>
        <v>0</v>
      </c>
      <c r="N16" s="48" t="n">
        <f aca="false">IFERROR(INDEX(PalData,MATCH(O16,PalNames,0)+1,MATCH("ZukanIndex",PalData_Header,0)),)</f>
        <v>0</v>
      </c>
      <c r="O16" s="49"/>
      <c r="Q16" s="27" t="n">
        <f aca="false">IFERROR(INDEX(PalData,MATCH(S16,PalNames,0)+1,MATCH("Image",PalData_Header,0)),)</f>
        <v>0</v>
      </c>
      <c r="R16" s="17" t="n">
        <f aca="false" t="array" ref="R16:R16">INDEX(PalData,MATCH(S16,PalNames,0)+1,MATCH("ZukanIndex",PalData_Header,0))</f>
        <v>86</v>
      </c>
      <c r="S16" s="18" t="s">
        <v>29</v>
      </c>
      <c r="T16" s="19" t="b">
        <f aca="false">FALSE()</f>
        <v>0</v>
      </c>
      <c r="U16" s="20" t="b">
        <f aca="false">FALSE()</f>
        <v>0</v>
      </c>
    </row>
    <row r="17" customFormat="false" ht="15.75" hidden="false" customHeight="false" outlineLevel="0" collapsed="false">
      <c r="B17" s="50"/>
      <c r="C17" s="50"/>
      <c r="D17" s="50"/>
      <c r="E17" s="51"/>
      <c r="F17" s="34" t="n">
        <f aca="false">IFERROR(INDEX(PalData,MATCH(H17,PalNames,0)+1,MATCH("Image",PalData_Header,0)),)</f>
        <v>0</v>
      </c>
      <c r="G17" s="35" t="n">
        <f aca="false" t="array" ref="G17:G17">IFERROR(INDEX(PalData,MATCH(H17,PalNames,0)+1,MATCH("ZukanIndex",PalData_Header,0)),)</f>
        <v>33</v>
      </c>
      <c r="H17" s="35" t="str">
        <f aca="false">IFERROR(__xludf.dummyfunction("""COMPUTED_VALUE"""),"Mossanda")</f>
        <v>Mossanda</v>
      </c>
      <c r="I17" s="36" t="n">
        <f aca="false">IFERROR(INDEX(PalData,MATCH(K17,PalNames,0)+1,MATCH("Image",PalData_Header,0)),)</f>
        <v>0</v>
      </c>
      <c r="J17" s="35" t="n">
        <f aca="false" t="array" ref="J17:J17">IFERROR(INDEX(PalData,MATCH(K17,PalNames,0)+1,MATCH("ZukanIndex",PalData_Header,0)),)</f>
        <v>92</v>
      </c>
      <c r="K17" s="37" t="str">
        <f aca="false">IFERROR(__xludf.dummyfunction("""COMPUTED_VALUE"""),"Warsect")</f>
        <v>Warsect</v>
      </c>
      <c r="M17" s="44" t="n">
        <f aca="false">IFERROR(INDEX(PalData,MATCH(O17,PalNames,0)+1,MATCH("Image",PalData_Header,0)),)</f>
        <v>0</v>
      </c>
      <c r="N17" s="45" t="n">
        <f aca="false">IFERROR(INDEX(PalData,MATCH(O17,PalNames,0)+1,MATCH("ZukanIndex",PalData_Header,0)),)</f>
        <v>0</v>
      </c>
      <c r="O17" s="46"/>
      <c r="Q17" s="21" t="n">
        <f aca="false">IFERROR(INDEX(PalData,MATCH(S17,PalNames,0)+1,MATCH("Image",PalData_Header,0)),)</f>
        <v>0</v>
      </c>
      <c r="R17" s="22" t="n">
        <f aca="false" t="array" ref="R17:R17">INDEX(PalData,MATCH(S17,PalNames,0)+1,MATCH("ZukanIndex",PalData_Header,0))</f>
        <v>86</v>
      </c>
      <c r="S17" s="23" t="s">
        <v>30</v>
      </c>
      <c r="T17" s="24" t="b">
        <f aca="false">FALSE()</f>
        <v>0</v>
      </c>
      <c r="U17" s="25" t="b">
        <f aca="false">FALSE()</f>
        <v>0</v>
      </c>
    </row>
    <row r="18" customFormat="false" ht="15.75" hidden="false" customHeight="false" outlineLevel="0" collapsed="false">
      <c r="B18" s="50"/>
      <c r="C18" s="50"/>
      <c r="D18" s="50"/>
      <c r="E18" s="51"/>
      <c r="F18" s="39" t="n">
        <f aca="false">IFERROR(INDEX(PalData,MATCH(H18,PalNames,0)+1,MATCH("Image",PalData_Header,0)),)</f>
        <v>0</v>
      </c>
      <c r="G18" s="40" t="n">
        <f aca="false" t="array" ref="G18:G18">IFERROR(INDEX(PalData,MATCH(H18,PalNames,0)+1,MATCH("ZukanIndex",PalData_Header,0)),)</f>
        <v>33</v>
      </c>
      <c r="H18" s="40" t="str">
        <f aca="false">IFERROR(__xludf.dummyfunction("""COMPUTED_VALUE"""),"Mossanda")</f>
        <v>Mossanda</v>
      </c>
      <c r="I18" s="41" t="n">
        <f aca="false">IFERROR(INDEX(PalData,MATCH(K18,PalNames,0)+1,MATCH("Image",PalData_Header,0)),)</f>
        <v>0</v>
      </c>
      <c r="J18" s="40" t="n">
        <f aca="false" t="array" ref="J18:J18">IFERROR(INDEX(PalData,MATCH(K18,PalNames,0)+1,MATCH("ZukanIndex",PalData_Header,0)),)</f>
        <v>95</v>
      </c>
      <c r="K18" s="42" t="str">
        <f aca="false">IFERROR(__xludf.dummyfunction("""COMPUTED_VALUE"""),"Quivern")</f>
        <v>Quivern</v>
      </c>
      <c r="M18" s="47" t="n">
        <f aca="false">IFERROR(INDEX(PalData,MATCH(O18,PalNames,0)+1,MATCH("Image",PalData_Header,0)),)</f>
        <v>0</v>
      </c>
      <c r="N18" s="48" t="n">
        <f aca="false">IFERROR(INDEX(PalData,MATCH(O18,PalNames,0)+1,MATCH("ZukanIndex",PalData_Header,0)),)</f>
        <v>0</v>
      </c>
      <c r="O18" s="49"/>
      <c r="Q18" s="27" t="n">
        <f aca="false">IFERROR(INDEX(PalData,MATCH(S18,PalNames,0)+1,MATCH("Image",PalData_Header,0)),)</f>
        <v>0</v>
      </c>
      <c r="R18" s="17" t="n">
        <f aca="false" t="array" ref="R18:R18">INDEX(PalData,MATCH(S18,PalNames,0)+1,MATCH("ZukanIndex",PalData_Header,0))</f>
        <v>72</v>
      </c>
      <c r="S18" s="18" t="s">
        <v>26</v>
      </c>
      <c r="T18" s="19" t="b">
        <f aca="false">FALSE()</f>
        <v>0</v>
      </c>
      <c r="U18" s="20" t="b">
        <f aca="false">FALSE()</f>
        <v>0</v>
      </c>
    </row>
    <row r="19" customFormat="false" ht="15.75" hidden="false" customHeight="false" outlineLevel="0" collapsed="false">
      <c r="B19" s="28"/>
      <c r="C19" s="28"/>
      <c r="D19" s="28"/>
      <c r="E19" s="51"/>
      <c r="F19" s="34" t="n">
        <f aca="false">IFERROR(INDEX(PalData,MATCH(H19,PalNames,0)+1,MATCH("Image",PalData_Header,0)),)</f>
        <v>0</v>
      </c>
      <c r="G19" s="35" t="n">
        <f aca="false" t="array" ref="G19:G19">IFERROR(INDEX(PalData,MATCH(H19,PalNames,0)+1,MATCH("ZukanIndex",PalData_Header,0)),)</f>
        <v>33</v>
      </c>
      <c r="H19" s="35" t="str">
        <f aca="false">IFERROR(__xludf.dummyfunction("""COMPUTED_VALUE"""),"Mossanda")</f>
        <v>Mossanda</v>
      </c>
      <c r="I19" s="36" t="n">
        <f aca="false">IFERROR(INDEX(PalData,MATCH(K19,PalNames,0)+1,MATCH("Image",PalData_Header,0)),)</f>
        <v>0</v>
      </c>
      <c r="J19" s="35" t="n">
        <f aca="false" t="array" ref="J19:J19">IFERROR(INDEX(PalData,MATCH(K19,PalNames,0)+1,MATCH("ZukanIndex",PalData_Header,0)),)</f>
        <v>101</v>
      </c>
      <c r="K19" s="37" t="str">
        <f aca="false">IFERROR(__xludf.dummyfunction("""COMPUTED_VALUE"""),"Jormuntide Ignis")</f>
        <v>Jormuntide Ignis</v>
      </c>
      <c r="M19" s="44" t="n">
        <f aca="false">IFERROR(INDEX(PalData,MATCH(O19,PalNames,0)+1,MATCH("Image",PalData_Header,0)),)</f>
        <v>0</v>
      </c>
      <c r="N19" s="45" t="n">
        <f aca="false">IFERROR(INDEX(PalData,MATCH(O19,PalNames,0)+1,MATCH("ZukanIndex",PalData_Header,0)),)</f>
        <v>0</v>
      </c>
      <c r="O19" s="46"/>
      <c r="Q19" s="21" t="n">
        <f aca="false">IFERROR(INDEX(PalData,MATCH(S19,PalNames,0)+1,MATCH("Image",PalData_Header,0)),)</f>
        <v>0</v>
      </c>
      <c r="R19" s="22" t="n">
        <f aca="false" t="array" ref="R19:R19">INDEX(PalData,MATCH(S19,PalNames,0)+1,MATCH("ZukanIndex",PalData_Header,0))</f>
        <v>35</v>
      </c>
      <c r="S19" s="23" t="s">
        <v>31</v>
      </c>
      <c r="T19" s="24" t="b">
        <f aca="false">FALSE()</f>
        <v>0</v>
      </c>
      <c r="U19" s="25" t="b">
        <f aca="false">FALSE()</f>
        <v>0</v>
      </c>
    </row>
    <row r="20" customFormat="false" ht="15.75" hidden="false" customHeight="false" outlineLevel="0" collapsed="false">
      <c r="B20" s="28"/>
      <c r="C20" s="28"/>
      <c r="D20" s="28"/>
      <c r="E20" s="51"/>
      <c r="F20" s="39" t="n">
        <f aca="false">IFERROR(INDEX(PalData,MATCH(H20,PalNames,0)+1,MATCH("Image",PalData_Header,0)),)</f>
        <v>0</v>
      </c>
      <c r="G20" s="40" t="n">
        <f aca="false" t="array" ref="G20:G20">IFERROR(INDEX(PalData,MATCH(H20,PalNames,0)+1,MATCH("ZukanIndex",PalData_Header,0)),)</f>
        <v>33</v>
      </c>
      <c r="H20" s="40" t="str">
        <f aca="false">IFERROR(__xludf.dummyfunction("""COMPUTED_VALUE"""),"Mossanda Lux")</f>
        <v>Mossanda Lux</v>
      </c>
      <c r="I20" s="41" t="n">
        <f aca="false">IFERROR(INDEX(PalData,MATCH(K20,PalNames,0)+1,MATCH("Image",PalData_Header,0)),)</f>
        <v>0</v>
      </c>
      <c r="J20" s="40" t="n">
        <f aca="false" t="array" ref="J20:J20">IFERROR(INDEX(PalData,MATCH(K20,PalNames,0)+1,MATCH("ZukanIndex",PalData_Header,0)),)</f>
        <v>58</v>
      </c>
      <c r="K20" s="42" t="str">
        <f aca="false">IFERROR(__xludf.dummyfunction("""COMPUTED_VALUE"""),"Pyrin")</f>
        <v>Pyrin</v>
      </c>
      <c r="M20" s="47" t="n">
        <f aca="false">IFERROR(INDEX(PalData,MATCH(O20,PalNames,0)+1,MATCH("Image",PalData_Header,0)),)</f>
        <v>0</v>
      </c>
      <c r="N20" s="48" t="n">
        <f aca="false">IFERROR(INDEX(PalData,MATCH(O20,PalNames,0)+1,MATCH("ZukanIndex",PalData_Header,0)),)</f>
        <v>0</v>
      </c>
      <c r="O20" s="49"/>
      <c r="Q20" s="27" t="n">
        <f aca="false">IFERROR(INDEX(PalData,MATCH(S20,PalNames,0)+1,MATCH("Image",PalData_Header,0)),)</f>
        <v>0</v>
      </c>
      <c r="R20" s="17" t="n">
        <f aca="false" t="array" ref="R20:R20">INDEX(PalData,MATCH(S20,PalNames,0)+1,MATCH("ZukanIndex",PalData_Header,0))</f>
        <v>2</v>
      </c>
      <c r="S20" s="18" t="s">
        <v>32</v>
      </c>
      <c r="T20" s="19" t="b">
        <f aca="false">FALSE()</f>
        <v>0</v>
      </c>
      <c r="U20" s="20" t="b">
        <f aca="false">FALSE()</f>
        <v>0</v>
      </c>
    </row>
    <row r="21" customFormat="false" ht="15.75" hidden="false" customHeight="false" outlineLevel="0" collapsed="false">
      <c r="E21" s="51"/>
      <c r="F21" s="34" t="n">
        <f aca="false">IFERROR(INDEX(PalData,MATCH(H21,PalNames,0)+1,MATCH("Image",PalData_Header,0)),)</f>
        <v>0</v>
      </c>
      <c r="G21" s="35" t="n">
        <f aca="false" t="array" ref="G21:G21">IFERROR(INDEX(PalData,MATCH(H21,PalNames,0)+1,MATCH("ZukanIndex",PalData_Header,0)),)</f>
        <v>33</v>
      </c>
      <c r="H21" s="35" t="str">
        <f aca="false">IFERROR(__xludf.dummyfunction("""COMPUTED_VALUE"""),"Mossanda Lux")</f>
        <v>Mossanda Lux</v>
      </c>
      <c r="I21" s="36" t="n">
        <f aca="false">IFERROR(INDEX(PalData,MATCH(K21,PalNames,0)+1,MATCH("Image",PalData_Header,0)),)</f>
        <v>0</v>
      </c>
      <c r="J21" s="35" t="n">
        <f aca="false" t="array" ref="J21:J21">IFERROR(INDEX(PalData,MATCH(K21,PalNames,0)+1,MATCH("ZukanIndex",PalData_Header,0)),)</f>
        <v>74</v>
      </c>
      <c r="K21" s="37" t="str">
        <f aca="false">IFERROR(__xludf.dummyfunction("""COMPUTED_VALUE"""),"Ragnahawk")</f>
        <v>Ragnahawk</v>
      </c>
      <c r="M21" s="44" t="n">
        <f aca="false">IFERROR(INDEX(PalData,MATCH(O21,PalNames,0)+1,MATCH("Image",PalData_Header,0)),)</f>
        <v>0</v>
      </c>
      <c r="N21" s="45" t="n">
        <f aca="false">IFERROR(INDEX(PalData,MATCH(O21,PalNames,0)+1,MATCH("ZukanIndex",PalData_Header,0)),)</f>
        <v>0</v>
      </c>
      <c r="O21" s="46"/>
      <c r="Q21" s="21" t="n">
        <f aca="false">IFERROR(INDEX(PalData,MATCH(S21,PalNames,0)+1,MATCH("Image",PalData_Header,0)),)</f>
        <v>0</v>
      </c>
      <c r="R21" s="22" t="n">
        <f aca="false" t="array" ref="R21:R21">INDEX(PalData,MATCH(S21,PalNames,0)+1,MATCH("ZukanIndex",PalData_Header,0))</f>
        <v>44</v>
      </c>
      <c r="S21" s="23" t="s">
        <v>33</v>
      </c>
      <c r="T21" s="24" t="b">
        <f aca="false">FALSE()</f>
        <v>0</v>
      </c>
      <c r="U21" s="25" t="b">
        <f aca="false">FALSE()</f>
        <v>0</v>
      </c>
    </row>
    <row r="22" customFormat="false" ht="15.75" hidden="false" customHeight="false" outlineLevel="0" collapsed="false">
      <c r="F22" s="39" t="n">
        <f aca="false">IFERROR(INDEX(PalData,MATCH(H22,PalNames,0)+1,MATCH("Image",PalData_Header,0)),)</f>
        <v>0</v>
      </c>
      <c r="G22" s="40" t="n">
        <f aca="false" t="array" ref="G22:G22">IFERROR(INDEX(PalData,MATCH(H22,PalNames,0)+1,MATCH("ZukanIndex",PalData_Header,0)),)</f>
        <v>33</v>
      </c>
      <c r="H22" s="40" t="str">
        <f aca="false">IFERROR(__xludf.dummyfunction("""COMPUTED_VALUE"""),"Mossanda Lux")</f>
        <v>Mossanda Lux</v>
      </c>
      <c r="I22" s="41" t="n">
        <f aca="false">IFERROR(INDEX(PalData,MATCH(K22,PalNames,0)+1,MATCH("Image",PalData_Header,0)),)</f>
        <v>0</v>
      </c>
      <c r="J22" s="40" t="n">
        <f aca="false" t="array" ref="J22:J22">IFERROR(INDEX(PalData,MATCH(K22,PalNames,0)+1,MATCH("ZukanIndex",PalData_Header,0)),)</f>
        <v>105</v>
      </c>
      <c r="K22" s="42" t="str">
        <f aca="false">IFERROR(__xludf.dummyfunction("""COMPUTED_VALUE"""),"Faleris")</f>
        <v>Faleris</v>
      </c>
      <c r="M22" s="47" t="n">
        <f aca="false">IFERROR(INDEX(PalData,MATCH(O22,PalNames,0)+1,MATCH("Image",PalData_Header,0)),)</f>
        <v>0</v>
      </c>
      <c r="N22" s="48" t="n">
        <f aca="false">IFERROR(INDEX(PalData,MATCH(O22,PalNames,0)+1,MATCH("ZukanIndex",PalData_Header,0)),)</f>
        <v>0</v>
      </c>
      <c r="O22" s="49"/>
      <c r="Q22" s="27" t="n">
        <f aca="false">IFERROR(INDEX(PalData,MATCH(S22,PalNames,0)+1,MATCH("Image",PalData_Header,0)),)</f>
        <v>0</v>
      </c>
      <c r="R22" s="17" t="n">
        <f aca="false" t="array" ref="R22:R22">INDEX(PalData,MATCH(S22,PalNames,0)+1,MATCH("ZukanIndex",PalData_Header,0))</f>
        <v>25</v>
      </c>
      <c r="S22" s="18" t="s">
        <v>34</v>
      </c>
      <c r="T22" s="19" t="b">
        <f aca="false">FALSE()</f>
        <v>0</v>
      </c>
      <c r="U22" s="20" t="b">
        <f aca="false">FALSE()</f>
        <v>0</v>
      </c>
    </row>
    <row r="23" customFormat="false" ht="15.75" hidden="false" customHeight="false" outlineLevel="0" collapsed="false">
      <c r="F23" s="34" t="n">
        <f aca="false">IFERROR(INDEX(PalData,MATCH(H23,PalNames,0)+1,MATCH("Image",PalData_Header,0)),)</f>
        <v>0</v>
      </c>
      <c r="G23" s="35" t="n">
        <f aca="false" t="array" ref="G23:G23">IFERROR(INDEX(PalData,MATCH(H23,PalNames,0)+1,MATCH("ZukanIndex",PalData_Header,0)),)</f>
        <v>38</v>
      </c>
      <c r="H23" s="35" t="str">
        <f aca="false">IFERROR(__xludf.dummyfunction("""COMPUTED_VALUE"""),"Nitewing")</f>
        <v>Nitewing</v>
      </c>
      <c r="I23" s="36" t="n">
        <f aca="false">IFERROR(INDEX(PalData,MATCH(K23,PalNames,0)+1,MATCH("Image",PalData_Header,0)),)</f>
        <v>0</v>
      </c>
      <c r="J23" s="35" t="n">
        <f aca="false" t="array" ref="J23:J23">IFERROR(INDEX(PalData,MATCH(K23,PalNames,0)+1,MATCH("ZukanIndex",PalData_Header,0)),)</f>
        <v>51</v>
      </c>
      <c r="K23" s="37" t="str">
        <f aca="false">IFERROR(__xludf.dummyfunction("""COMPUTED_VALUE"""),"Elizabee")</f>
        <v>Elizabee</v>
      </c>
      <c r="M23" s="44" t="n">
        <f aca="false">IFERROR(INDEX(PalData,MATCH(O23,PalNames,0)+1,MATCH("Image",PalData_Header,0)),)</f>
        <v>0</v>
      </c>
      <c r="N23" s="45" t="n">
        <f aca="false">IFERROR(INDEX(PalData,MATCH(O23,PalNames,0)+1,MATCH("ZukanIndex",PalData_Header,0)),)</f>
        <v>0</v>
      </c>
      <c r="O23" s="46"/>
      <c r="Q23" s="21" t="n">
        <f aca="false">IFERROR(INDEX(PalData,MATCH(S23,PalNames,0)+1,MATCH("Image",PalData_Header,0)),)</f>
        <v>0</v>
      </c>
      <c r="R23" s="22" t="n">
        <f aca="false" t="array" ref="R23:R23">INDEX(PalData,MATCH(S23,PalNames,0)+1,MATCH("ZukanIndex",PalData_Header,0))</f>
        <v>3</v>
      </c>
      <c r="S23" s="23" t="s">
        <v>35</v>
      </c>
      <c r="T23" s="24" t="b">
        <f aca="false">FALSE()</f>
        <v>0</v>
      </c>
      <c r="U23" s="25" t="b">
        <f aca="false">FALSE()</f>
        <v>0</v>
      </c>
    </row>
    <row r="24" customFormat="false" ht="15.75" hidden="false" customHeight="false" outlineLevel="0" collapsed="false">
      <c r="F24" s="39" t="n">
        <f aca="false">IFERROR(INDEX(PalData,MATCH(H24,PalNames,0)+1,MATCH("Image",PalData_Header,0)),)</f>
        <v>0</v>
      </c>
      <c r="G24" s="40" t="n">
        <f aca="false" t="array" ref="G24:G24">IFERROR(INDEX(PalData,MATCH(H24,PalNames,0)+1,MATCH("ZukanIndex",PalData_Header,0)),)</f>
        <v>38</v>
      </c>
      <c r="H24" s="40" t="str">
        <f aca="false">IFERROR(__xludf.dummyfunction("""COMPUTED_VALUE"""),"Nitewing")</f>
        <v>Nitewing</v>
      </c>
      <c r="I24" s="41" t="n">
        <f aca="false">IFERROR(INDEX(PalData,MATCH(K24,PalNames,0)+1,MATCH("Image",PalData_Header,0)),)</f>
        <v>0</v>
      </c>
      <c r="J24" s="40" t="n">
        <f aca="false" t="array" ref="J24:J24">IFERROR(INDEX(PalData,MATCH(K24,PalNames,0)+1,MATCH("ZukanIndex",PalData_Header,0)),)</f>
        <v>58</v>
      </c>
      <c r="K24" s="42" t="str">
        <f aca="false">IFERROR(__xludf.dummyfunction("""COMPUTED_VALUE"""),"Pyrin")</f>
        <v>Pyrin</v>
      </c>
      <c r="M24" s="47" t="n">
        <f aca="false">IFERROR(INDEX(PalData,MATCH(O24,PalNames,0)+1,MATCH("Image",PalData_Header,0)),)</f>
        <v>0</v>
      </c>
      <c r="N24" s="48" t="n">
        <f aca="false">IFERROR(INDEX(PalData,MATCH(O24,PalNames,0)+1,MATCH("ZukanIndex",PalData_Header,0)),)</f>
        <v>0</v>
      </c>
      <c r="O24" s="49"/>
      <c r="Q24" s="27" t="n">
        <f aca="false">IFERROR(INDEX(PalData,MATCH(S24,PalNames,0)+1,MATCH("Image",PalData_Header,0)),)</f>
        <v>0</v>
      </c>
      <c r="R24" s="17" t="n">
        <f aca="false" t="array" ref="R24:R24">INDEX(PalData,MATCH(S24,PalNames,0)+1,MATCH("ZukanIndex",PalData_Header,0))</f>
        <v>55</v>
      </c>
      <c r="S24" s="18" t="s">
        <v>36</v>
      </c>
      <c r="T24" s="19" t="b">
        <f aca="false">FALSE()</f>
        <v>0</v>
      </c>
      <c r="U24" s="20" t="b">
        <f aca="false">FALSE()</f>
        <v>0</v>
      </c>
    </row>
    <row r="25" customFormat="false" ht="15.75" hidden="false" customHeight="false" outlineLevel="0" collapsed="false">
      <c r="F25" s="34" t="n">
        <f aca="false">IFERROR(INDEX(PalData,MATCH(H25,PalNames,0)+1,MATCH("Image",PalData_Header,0)),)</f>
        <v>0</v>
      </c>
      <c r="G25" s="35" t="n">
        <f aca="false" t="array" ref="G25:G25">IFERROR(INDEX(PalData,MATCH(H25,PalNames,0)+1,MATCH("ZukanIndex",PalData_Header,0)),)</f>
        <v>38</v>
      </c>
      <c r="H25" s="35" t="str">
        <f aca="false">IFERROR(__xludf.dummyfunction("""COMPUTED_VALUE"""),"Nitewing")</f>
        <v>Nitewing</v>
      </c>
      <c r="I25" s="36" t="n">
        <f aca="false">IFERROR(INDEX(PalData,MATCH(K25,PalNames,0)+1,MATCH("Image",PalData_Header,0)),)</f>
        <v>0</v>
      </c>
      <c r="J25" s="35" t="n">
        <f aca="false" t="array" ref="J25:J25">IFERROR(INDEX(PalData,MATCH(K25,PalNames,0)+1,MATCH("ZukanIndex",PalData_Header,0)),)</f>
        <v>92</v>
      </c>
      <c r="K25" s="37" t="str">
        <f aca="false">IFERROR(__xludf.dummyfunction("""COMPUTED_VALUE"""),"Warsect")</f>
        <v>Warsect</v>
      </c>
      <c r="M25" s="44" t="n">
        <f aca="false">IFERROR(INDEX(PalData,MATCH(O25,PalNames,0)+1,MATCH("Image",PalData_Header,0)),)</f>
        <v>0</v>
      </c>
      <c r="N25" s="45" t="n">
        <f aca="false">IFERROR(INDEX(PalData,MATCH(O25,PalNames,0)+1,MATCH("ZukanIndex",PalData_Header,0)),)</f>
        <v>0</v>
      </c>
      <c r="O25" s="46"/>
      <c r="Q25" s="21" t="n">
        <f aca="false">IFERROR(INDEX(PalData,MATCH(S25,PalNames,0)+1,MATCH("Image",PalData_Header,0)),)</f>
        <v>0</v>
      </c>
      <c r="R25" s="22" t="n">
        <f aca="false" t="array" ref="R25:R25">INDEX(PalData,MATCH(S25,PalNames,0)+1,MATCH("ZukanIndex",PalData_Header,0))</f>
        <v>41</v>
      </c>
      <c r="S25" s="23" t="s">
        <v>37</v>
      </c>
      <c r="T25" s="24" t="b">
        <f aca="false">FALSE()</f>
        <v>0</v>
      </c>
      <c r="U25" s="25" t="b">
        <f aca="false">FALSE()</f>
        <v>0</v>
      </c>
    </row>
    <row r="26" customFormat="false" ht="15.75" hidden="false" customHeight="false" outlineLevel="0" collapsed="false">
      <c r="F26" s="39" t="n">
        <f aca="false">IFERROR(INDEX(PalData,MATCH(H26,PalNames,0)+1,MATCH("Image",PalData_Header,0)),)</f>
        <v>0</v>
      </c>
      <c r="G26" s="40" t="n">
        <f aca="false" t="array" ref="G26:G26">IFERROR(INDEX(PalData,MATCH(H26,PalNames,0)+1,MATCH("ZukanIndex",PalData_Header,0)),)</f>
        <v>38</v>
      </c>
      <c r="H26" s="40" t="str">
        <f aca="false">IFERROR(__xludf.dummyfunction("""COMPUTED_VALUE"""),"Nitewing")</f>
        <v>Nitewing</v>
      </c>
      <c r="I26" s="41" t="n">
        <f aca="false">IFERROR(INDEX(PalData,MATCH(K26,PalNames,0)+1,MATCH("Image",PalData_Header,0)),)</f>
        <v>0</v>
      </c>
      <c r="J26" s="40" t="n">
        <f aca="false" t="array" ref="J26:J26">IFERROR(INDEX(PalData,MATCH(K26,PalNames,0)+1,MATCH("ZukanIndex",PalData_Header,0)),)</f>
        <v>95</v>
      </c>
      <c r="K26" s="42" t="str">
        <f aca="false">IFERROR(__xludf.dummyfunction("""COMPUTED_VALUE"""),"Quivern")</f>
        <v>Quivern</v>
      </c>
      <c r="M26" s="47" t="n">
        <f aca="false">IFERROR(INDEX(PalData,MATCH(O26,PalNames,0)+1,MATCH("Image",PalData_Header,0)),)</f>
        <v>0</v>
      </c>
      <c r="N26" s="48" t="n">
        <f aca="false">IFERROR(INDEX(PalData,MATCH(O26,PalNames,0)+1,MATCH("ZukanIndex",PalData_Header,0)),)</f>
        <v>0</v>
      </c>
      <c r="O26" s="49"/>
      <c r="Q26" s="27" t="n">
        <f aca="false">IFERROR(INDEX(PalData,MATCH(S26,PalNames,0)+1,MATCH("Image",PalData_Header,0)),)</f>
        <v>0</v>
      </c>
      <c r="R26" s="17" t="n">
        <f aca="false" t="array" ref="R26:R26">INDEX(PalData,MATCH(S26,PalNames,0)+1,MATCH("ZukanIndex",PalData_Header,0))</f>
        <v>18</v>
      </c>
      <c r="S26" s="18" t="s">
        <v>38</v>
      </c>
      <c r="T26" s="19" t="b">
        <f aca="false">FALSE()</f>
        <v>0</v>
      </c>
      <c r="U26" s="20" t="b">
        <f aca="false">FALSE()</f>
        <v>0</v>
      </c>
    </row>
    <row r="27" customFormat="false" ht="15.75" hidden="false" customHeight="false" outlineLevel="0" collapsed="false">
      <c r="F27" s="34" t="n">
        <f aca="false">IFERROR(INDEX(PalData,MATCH(H27,PalNames,0)+1,MATCH("Image",PalData_Header,0)),)</f>
        <v>0</v>
      </c>
      <c r="G27" s="35" t="n">
        <f aca="false" t="array" ref="G27:G27">IFERROR(INDEX(PalData,MATCH(H27,PalNames,0)+1,MATCH("ZukanIndex",PalData_Header,0)),)</f>
        <v>40</v>
      </c>
      <c r="H27" s="35" t="str">
        <f aca="false">IFERROR(__xludf.dummyfunction("""COMPUTED_VALUE"""),"Incineram")</f>
        <v>Incineram</v>
      </c>
      <c r="I27" s="36" t="n">
        <f aca="false">IFERROR(INDEX(PalData,MATCH(K27,PalNames,0)+1,MATCH("Image",PalData_Header,0)),)</f>
        <v>0</v>
      </c>
      <c r="J27" s="35" t="n">
        <f aca="false" t="array" ref="J27:J27">IFERROR(INDEX(PalData,MATCH(K27,PalNames,0)+1,MATCH("ZukanIndex",PalData_Header,0)),)</f>
        <v>97</v>
      </c>
      <c r="K27" s="37" t="str">
        <f aca="false">IFERROR(__xludf.dummyfunction("""COMPUTED_VALUE"""),"Helzephyr")</f>
        <v>Helzephyr</v>
      </c>
      <c r="M27" s="44" t="n">
        <f aca="false">IFERROR(INDEX(PalData,MATCH(O27,PalNames,0)+1,MATCH("Image",PalData_Header,0)),)</f>
        <v>0</v>
      </c>
      <c r="N27" s="45" t="n">
        <f aca="false">IFERROR(INDEX(PalData,MATCH(O27,PalNames,0)+1,MATCH("ZukanIndex",PalData_Header,0)),)</f>
        <v>0</v>
      </c>
      <c r="O27" s="46"/>
      <c r="Q27" s="21" t="n">
        <f aca="false">IFERROR(INDEX(PalData,MATCH(S27,PalNames,0)+1,MATCH("Image",PalData_Header,0)),)</f>
        <v>0</v>
      </c>
      <c r="R27" s="22" t="n">
        <f aca="false" t="array" ref="R27:R27">INDEX(PalData,MATCH(S27,PalNames,0)+1,MATCH("ZukanIndex",PalData_Header,0))</f>
        <v>83</v>
      </c>
      <c r="S27" s="23" t="s">
        <v>39</v>
      </c>
      <c r="T27" s="24" t="b">
        <f aca="false">FALSE()</f>
        <v>0</v>
      </c>
      <c r="U27" s="25" t="b">
        <f aca="false">FALSE()</f>
        <v>0</v>
      </c>
    </row>
    <row r="28" customFormat="false" ht="15.75" hidden="false" customHeight="false" outlineLevel="0" collapsed="false">
      <c r="F28" s="39" t="n">
        <f aca="false">IFERROR(INDEX(PalData,MATCH(H28,PalNames,0)+1,MATCH("Image",PalData_Header,0)),)</f>
        <v>0</v>
      </c>
      <c r="G28" s="40" t="n">
        <f aca="false" t="array" ref="G28:G28">IFERROR(INDEX(PalData,MATCH(H28,PalNames,0)+1,MATCH("ZukanIndex",PalData_Header,0)),)</f>
        <v>40</v>
      </c>
      <c r="H28" s="40" t="str">
        <f aca="false">IFERROR(__xludf.dummyfunction("""COMPUTED_VALUE"""),"Incineram Noct")</f>
        <v>Incineram Noct</v>
      </c>
      <c r="I28" s="41" t="n">
        <f aca="false">IFERROR(INDEX(PalData,MATCH(K28,PalNames,0)+1,MATCH("Image",PalData_Header,0)),)</f>
        <v>0</v>
      </c>
      <c r="J28" s="40" t="n">
        <f aca="false" t="array" ref="J28:J28">IFERROR(INDEX(PalData,MATCH(K28,PalNames,0)+1,MATCH("ZukanIndex",PalData_Header,0)),)</f>
        <v>97</v>
      </c>
      <c r="K28" s="42" t="str">
        <f aca="false">IFERROR(__xludf.dummyfunction("""COMPUTED_VALUE"""),"Helzephyr")</f>
        <v>Helzephyr</v>
      </c>
      <c r="M28" s="47" t="n">
        <f aca="false">IFERROR(INDEX(PalData,MATCH(O28,PalNames,0)+1,MATCH("Image",PalData_Header,0)),)</f>
        <v>0</v>
      </c>
      <c r="N28" s="48" t="n">
        <f aca="false">IFERROR(INDEX(PalData,MATCH(O28,PalNames,0)+1,MATCH("ZukanIndex",PalData_Header,0)),)</f>
        <v>0</v>
      </c>
      <c r="O28" s="49"/>
      <c r="Q28" s="27" t="n">
        <f aca="false">IFERROR(INDEX(PalData,MATCH(S28,PalNames,0)+1,MATCH("Image",PalData_Header,0)),)</f>
        <v>0</v>
      </c>
      <c r="R28" s="17" t="n">
        <f aca="false" t="array" ref="R28:R28">INDEX(PalData,MATCH(S28,PalNames,0)+1,MATCH("ZukanIndex",PalData_Header,0))</f>
        <v>19</v>
      </c>
      <c r="S28" s="18" t="s">
        <v>40</v>
      </c>
      <c r="T28" s="19" t="b">
        <f aca="false">FALSE()</f>
        <v>0</v>
      </c>
      <c r="U28" s="20" t="b">
        <f aca="false">FALSE()</f>
        <v>0</v>
      </c>
    </row>
    <row r="29" customFormat="false" ht="15.75" hidden="false" customHeight="false" outlineLevel="0" collapsed="false">
      <c r="F29" s="34" t="n">
        <f aca="false">IFERROR(INDEX(PalData,MATCH(H29,PalNames,0)+1,MATCH("Image",PalData_Header,0)),)</f>
        <v>0</v>
      </c>
      <c r="G29" s="35" t="n">
        <f aca="false" t="array" ref="G29:G29">IFERROR(INDEX(PalData,MATCH(H29,PalNames,0)+1,MATCH("ZukanIndex",PalData_Header,0)),)</f>
        <v>40</v>
      </c>
      <c r="H29" s="35" t="str">
        <f aca="false">IFERROR(__xludf.dummyfunction("""COMPUTED_VALUE"""),"Incineram Noct")</f>
        <v>Incineram Noct</v>
      </c>
      <c r="I29" s="36" t="n">
        <f aca="false">IFERROR(INDEX(PalData,MATCH(K29,PalNames,0)+1,MATCH("Image",PalData_Header,0)),)</f>
        <v>0</v>
      </c>
      <c r="J29" s="35" t="n">
        <f aca="false" t="array" ref="J29:J29">IFERROR(INDEX(PalData,MATCH(K29,PalNames,0)+1,MATCH("ZukanIndex",PalData_Header,0)),)</f>
        <v>103</v>
      </c>
      <c r="K29" s="37" t="str">
        <f aca="false">IFERROR(__xludf.dummyfunction("""COMPUTED_VALUE"""),"Grizzbolt")</f>
        <v>Grizzbolt</v>
      </c>
      <c r="M29" s="44" t="n">
        <f aca="false">IFERROR(INDEX(PalData,MATCH(O29,PalNames,0)+1,MATCH("Image",PalData_Header,0)),)</f>
        <v>0</v>
      </c>
      <c r="N29" s="45" t="n">
        <f aca="false">IFERROR(INDEX(PalData,MATCH(O29,PalNames,0)+1,MATCH("ZukanIndex",PalData_Header,0)),)</f>
        <v>0</v>
      </c>
      <c r="O29" s="46"/>
      <c r="Q29" s="21" t="n">
        <f aca="false">IFERROR(INDEX(PalData,MATCH(S29,PalNames,0)+1,MATCH("Image",PalData_Header,0)),)</f>
        <v>0</v>
      </c>
      <c r="R29" s="22" t="n">
        <f aca="false" t="array" ref="R29:R29">INDEX(PalData,MATCH(S29,PalNames,0)+1,MATCH("ZukanIndex",PalData_Header,0))</f>
        <v>62</v>
      </c>
      <c r="S29" s="23" t="s">
        <v>41</v>
      </c>
      <c r="T29" s="24" t="b">
        <f aca="false">FALSE()</f>
        <v>0</v>
      </c>
      <c r="U29" s="25" t="b">
        <f aca="false">FALSE()</f>
        <v>0</v>
      </c>
    </row>
    <row r="30" customFormat="false" ht="15.75" hidden="false" customHeight="false" outlineLevel="0" collapsed="false">
      <c r="F30" s="39" t="n">
        <f aca="false">IFERROR(INDEX(PalData,MATCH(H30,PalNames,0)+1,MATCH("Image",PalData_Header,0)),)</f>
        <v>0</v>
      </c>
      <c r="G30" s="40" t="n">
        <f aca="false" t="array" ref="G30:G30">IFERROR(INDEX(PalData,MATCH(H30,PalNames,0)+1,MATCH("ZukanIndex",PalData_Header,0)),)</f>
        <v>41</v>
      </c>
      <c r="H30" s="40" t="str">
        <f aca="false">IFERROR(__xludf.dummyfunction("""COMPUTED_VALUE"""),"Cinnamoth")</f>
        <v>Cinnamoth</v>
      </c>
      <c r="I30" s="41" t="n">
        <f aca="false">IFERROR(INDEX(PalData,MATCH(K30,PalNames,0)+1,MATCH("Image",PalData_Header,0)),)</f>
        <v>0</v>
      </c>
      <c r="J30" s="40" t="n">
        <f aca="false" t="array" ref="J30:J30">IFERROR(INDEX(PalData,MATCH(K30,PalNames,0)+1,MATCH("ZukanIndex",PalData_Header,0)),)</f>
        <v>85</v>
      </c>
      <c r="K30" s="42" t="str">
        <f aca="false">IFERROR(__xludf.dummyfunction("""COMPUTED_VALUE"""),"Relaxaurus")</f>
        <v>Relaxaurus</v>
      </c>
      <c r="M30" s="47" t="n">
        <f aca="false">IFERROR(INDEX(PalData,MATCH(O30,PalNames,0)+1,MATCH("Image",PalData_Header,0)),)</f>
        <v>0</v>
      </c>
      <c r="N30" s="48" t="n">
        <f aca="false">IFERROR(INDEX(PalData,MATCH(O30,PalNames,0)+1,MATCH("ZukanIndex",PalData_Header,0)),)</f>
        <v>0</v>
      </c>
      <c r="O30" s="49"/>
      <c r="Q30" s="27" t="n">
        <f aca="false">IFERROR(INDEX(PalData,MATCH(S30,PalNames,0)+1,MATCH("Image",PalData_Header,0)),)</f>
        <v>0</v>
      </c>
      <c r="R30" s="17" t="n">
        <f aca="false" t="array" ref="R30:R30">INDEX(PalData,MATCH(S30,PalNames,0)+1,MATCH("ZukanIndex",PalData_Header,0))</f>
        <v>17</v>
      </c>
      <c r="S30" s="18" t="s">
        <v>42</v>
      </c>
      <c r="T30" s="19" t="b">
        <f aca="false">FALSE()</f>
        <v>0</v>
      </c>
      <c r="U30" s="20" t="b">
        <f aca="false">FALSE()</f>
        <v>0</v>
      </c>
    </row>
    <row r="31" customFormat="false" ht="15.75" hidden="false" customHeight="false" outlineLevel="0" collapsed="false">
      <c r="F31" s="34" t="n">
        <f aca="false">IFERROR(INDEX(PalData,MATCH(H31,PalNames,0)+1,MATCH("Image",PalData_Header,0)),)</f>
        <v>0</v>
      </c>
      <c r="G31" s="35" t="n">
        <f aca="false" t="array" ref="G31:G31">IFERROR(INDEX(PalData,MATCH(H31,PalNames,0)+1,MATCH("ZukanIndex",PalData_Header,0)),)</f>
        <v>41</v>
      </c>
      <c r="H31" s="35" t="str">
        <f aca="false">IFERROR(__xludf.dummyfunction("""COMPUTED_VALUE"""),"Cinnamoth")</f>
        <v>Cinnamoth</v>
      </c>
      <c r="I31" s="36" t="n">
        <f aca="false">IFERROR(INDEX(PalData,MATCH(K31,PalNames,0)+1,MATCH("Image",PalData_Header,0)),)</f>
        <v>0</v>
      </c>
      <c r="J31" s="35" t="n">
        <f aca="false" t="array" ref="J31:J31">IFERROR(INDEX(PalData,MATCH(K31,PalNames,0)+1,MATCH("ZukanIndex",PalData_Header,0)),)</f>
        <v>85</v>
      </c>
      <c r="K31" s="37" t="str">
        <f aca="false">IFERROR(__xludf.dummyfunction("""COMPUTED_VALUE"""),"Relaxaurus Lux")</f>
        <v>Relaxaurus Lux</v>
      </c>
      <c r="M31" s="44" t="n">
        <f aca="false">IFERROR(INDEX(PalData,MATCH(O31,PalNames,0)+1,MATCH("Image",PalData_Header,0)),)</f>
        <v>0</v>
      </c>
      <c r="N31" s="45" t="n">
        <f aca="false">IFERROR(INDEX(PalData,MATCH(O31,PalNames,0)+1,MATCH("ZukanIndex",PalData_Header,0)),)</f>
        <v>0</v>
      </c>
      <c r="O31" s="46"/>
      <c r="Q31" s="21" t="n">
        <f aca="false">IFERROR(INDEX(PalData,MATCH(S31,PalNames,0)+1,MATCH("Image",PalData_Header,0)),)</f>
        <v>0</v>
      </c>
      <c r="R31" s="22" t="n">
        <f aca="false" t="array" ref="R31:R31">INDEX(PalData,MATCH(S31,PalNames,0)+1,MATCH("ZukanIndex",PalData_Header,0))</f>
        <v>67</v>
      </c>
      <c r="S31" s="23" t="s">
        <v>43</v>
      </c>
      <c r="T31" s="24" t="b">
        <f aca="false">FALSE()</f>
        <v>0</v>
      </c>
      <c r="U31" s="25" t="b">
        <f aca="false">FALSE()</f>
        <v>0</v>
      </c>
    </row>
    <row r="32" customFormat="false" ht="15.75" hidden="false" customHeight="false" outlineLevel="0" collapsed="false">
      <c r="F32" s="39" t="n">
        <f aca="false">IFERROR(INDEX(PalData,MATCH(H32,PalNames,0)+1,MATCH("Image",PalData_Header,0)),)</f>
        <v>0</v>
      </c>
      <c r="G32" s="40" t="n">
        <f aca="false" t="array" ref="G32:G32">IFERROR(INDEX(PalData,MATCH(H32,PalNames,0)+1,MATCH("ZukanIndex",PalData_Header,0)),)</f>
        <v>41</v>
      </c>
      <c r="H32" s="40" t="str">
        <f aca="false">IFERROR(__xludf.dummyfunction("""COMPUTED_VALUE"""),"Cinnamoth")</f>
        <v>Cinnamoth</v>
      </c>
      <c r="I32" s="41" t="n">
        <f aca="false">IFERROR(INDEX(PalData,MATCH(K32,PalNames,0)+1,MATCH("Image",PalData_Header,0)),)</f>
        <v>0</v>
      </c>
      <c r="J32" s="40" t="n">
        <f aca="false" t="array" ref="J32:J32">IFERROR(INDEX(PalData,MATCH(K32,PalNames,0)+1,MATCH("ZukanIndex",PalData_Header,0)),)</f>
        <v>90</v>
      </c>
      <c r="K32" s="42" t="str">
        <f aca="false">IFERROR(__xludf.dummyfunction("""COMPUTED_VALUE"""),"Mammorest Cryst")</f>
        <v>Mammorest Cryst</v>
      </c>
      <c r="M32" s="47" t="n">
        <f aca="false">IFERROR(INDEX(PalData,MATCH(O32,PalNames,0)+1,MATCH("Image",PalData_Header,0)),)</f>
        <v>0</v>
      </c>
      <c r="N32" s="48" t="n">
        <f aca="false">IFERROR(INDEX(PalData,MATCH(O32,PalNames,0)+1,MATCH("ZukanIndex",PalData_Header,0)),)</f>
        <v>0</v>
      </c>
      <c r="O32" s="49"/>
      <c r="Q32" s="27" t="n">
        <f aca="false">IFERROR(INDEX(PalData,MATCH(S32,PalNames,0)+1,MATCH("Image",PalData_Header,0)),)</f>
        <v>0</v>
      </c>
      <c r="R32" s="17" t="n">
        <f aca="false" t="array" ref="R32:R32">INDEX(PalData,MATCH(S32,PalNames,0)+1,MATCH("ZukanIndex",PalData_Header,0))</f>
        <v>64</v>
      </c>
      <c r="S32" s="18" t="s">
        <v>44</v>
      </c>
      <c r="T32" s="19" t="b">
        <f aca="false">FALSE()</f>
        <v>0</v>
      </c>
      <c r="U32" s="20" t="b">
        <f aca="false">FALSE()</f>
        <v>0</v>
      </c>
    </row>
    <row r="33" customFormat="false" ht="15.75" hidden="false" customHeight="false" outlineLevel="0" collapsed="false">
      <c r="F33" s="34" t="n">
        <f aca="false">IFERROR(INDEX(PalData,MATCH(H33,PalNames,0)+1,MATCH("Image",PalData_Header,0)),)</f>
        <v>0</v>
      </c>
      <c r="G33" s="35" t="n">
        <f aca="false" t="array" ref="G33:G33">IFERROR(INDEX(PalData,MATCH(H33,PalNames,0)+1,MATCH("ZukanIndex",PalData_Header,0)),)</f>
        <v>41</v>
      </c>
      <c r="H33" s="35" t="str">
        <f aca="false">IFERROR(__xludf.dummyfunction("""COMPUTED_VALUE"""),"Cinnamoth")</f>
        <v>Cinnamoth</v>
      </c>
      <c r="I33" s="36" t="n">
        <f aca="false">IFERROR(INDEX(PalData,MATCH(K33,PalNames,0)+1,MATCH("Image",PalData_Header,0)),)</f>
        <v>0</v>
      </c>
      <c r="J33" s="35" t="n">
        <f aca="false" t="array" ref="J33:J33">IFERROR(INDEX(PalData,MATCH(K33,PalNames,0)+1,MATCH("ZukanIndex",PalData_Header,0)),)</f>
        <v>99</v>
      </c>
      <c r="K33" s="37" t="str">
        <f aca="false">IFERROR(__xludf.dummyfunction("""COMPUTED_VALUE"""),"Menasting")</f>
        <v>Menasting</v>
      </c>
      <c r="M33" s="44" t="n">
        <f aca="false">IFERROR(INDEX(PalData,MATCH(O33,PalNames,0)+1,MATCH("Image",PalData_Header,0)),)</f>
        <v>0</v>
      </c>
      <c r="N33" s="45" t="n">
        <f aca="false">IFERROR(INDEX(PalData,MATCH(O33,PalNames,0)+1,MATCH("ZukanIndex",PalData_Header,0)),)</f>
        <v>0</v>
      </c>
      <c r="O33" s="46"/>
      <c r="Q33" s="21" t="n">
        <f aca="false">IFERROR(INDEX(PalData,MATCH(S33,PalNames,0)+1,MATCH("Image",PalData_Header,0)),)</f>
        <v>0</v>
      </c>
      <c r="R33" s="22" t="n">
        <f aca="false" t="array" ref="R33:R33">INDEX(PalData,MATCH(S33,PalNames,0)+1,MATCH("ZukanIndex",PalData_Header,0))</f>
        <v>64</v>
      </c>
      <c r="S33" s="23" t="s">
        <v>45</v>
      </c>
      <c r="T33" s="24" t="b">
        <f aca="false">FALSE()</f>
        <v>0</v>
      </c>
      <c r="U33" s="25" t="b">
        <f aca="false">FALSE()</f>
        <v>0</v>
      </c>
    </row>
    <row r="34" customFormat="false" ht="15.75" hidden="false" customHeight="false" outlineLevel="0" collapsed="false">
      <c r="F34" s="39" t="n">
        <f aca="false">IFERROR(INDEX(PalData,MATCH(H34,PalNames,0)+1,MATCH("Image",PalData_Header,0)),)</f>
        <v>0</v>
      </c>
      <c r="G34" s="40" t="n">
        <f aca="false" t="array" ref="G34:G34">IFERROR(INDEX(PalData,MATCH(H34,PalNames,0)+1,MATCH("ZukanIndex",PalData_Header,0)),)</f>
        <v>51</v>
      </c>
      <c r="H34" s="40" t="str">
        <f aca="false">IFERROR(__xludf.dummyfunction("""COMPUTED_VALUE"""),"Elizabee")</f>
        <v>Elizabee</v>
      </c>
      <c r="I34" s="41" t="n">
        <f aca="false">IFERROR(INDEX(PalData,MATCH(K34,PalNames,0)+1,MATCH("Image",PalData_Header,0)),)</f>
        <v>0</v>
      </c>
      <c r="J34" s="40" t="n">
        <f aca="false" t="array" ref="J34:J34">IFERROR(INDEX(PalData,MATCH(K34,PalNames,0)+1,MATCH("ZukanIndex",PalData_Header,0)),)</f>
        <v>79</v>
      </c>
      <c r="K34" s="42" t="str">
        <f aca="false">IFERROR(__xludf.dummyfunction("""COMPUTED_VALUE"""),"Sibelyx")</f>
        <v>Sibelyx</v>
      </c>
      <c r="M34" s="47" t="n">
        <f aca="false">IFERROR(INDEX(PalData,MATCH(O34,PalNames,0)+1,MATCH("Image",PalData_Header,0)),)</f>
        <v>0</v>
      </c>
      <c r="N34" s="48" t="n">
        <f aca="false">IFERROR(INDEX(PalData,MATCH(O34,PalNames,0)+1,MATCH("ZukanIndex",PalData_Header,0)),)</f>
        <v>0</v>
      </c>
      <c r="O34" s="49"/>
      <c r="Q34" s="27" t="n">
        <f aca="false">IFERROR(INDEX(PalData,MATCH(S34,PalNames,0)+1,MATCH("Image",PalData_Header,0)),)</f>
        <v>0</v>
      </c>
      <c r="R34" s="17" t="n">
        <f aca="false" t="array" ref="R34:R34">INDEX(PalData,MATCH(S34,PalNames,0)+1,MATCH("ZukanIndex",PalData_Header,0))</f>
        <v>26</v>
      </c>
      <c r="S34" s="18" t="s">
        <v>46</v>
      </c>
      <c r="T34" s="19" t="b">
        <f aca="false">FALSE()</f>
        <v>0</v>
      </c>
      <c r="U34" s="20" t="b">
        <f aca="false">FALSE()</f>
        <v>0</v>
      </c>
    </row>
    <row r="35" customFormat="false" ht="15.75" hidden="false" customHeight="false" outlineLevel="0" collapsed="false">
      <c r="F35" s="34" t="n">
        <f aca="false">IFERROR(INDEX(PalData,MATCH(H35,PalNames,0)+1,MATCH("Image",PalData_Header,0)),)</f>
        <v>0</v>
      </c>
      <c r="G35" s="35" t="n">
        <f aca="false" t="array" ref="G35:G35">IFERROR(INDEX(PalData,MATCH(H35,PalNames,0)+1,MATCH("ZukanIndex",PalData_Header,0)),)</f>
        <v>51</v>
      </c>
      <c r="H35" s="35" t="str">
        <f aca="false">IFERROR(__xludf.dummyfunction("""COMPUTED_VALUE"""),"Elizabee")</f>
        <v>Elizabee</v>
      </c>
      <c r="I35" s="36" t="n">
        <f aca="false">IFERROR(INDEX(PalData,MATCH(K35,PalNames,0)+1,MATCH("Image",PalData_Header,0)),)</f>
        <v>0</v>
      </c>
      <c r="J35" s="35" t="n">
        <f aca="false" t="array" ref="J35:J35">IFERROR(INDEX(PalData,MATCH(K35,PalNames,0)+1,MATCH("ZukanIndex",PalData_Header,0)),)</f>
        <v>89</v>
      </c>
      <c r="K35" s="37" t="str">
        <f aca="false">IFERROR(__xludf.dummyfunction("""COMPUTED_VALUE"""),"Ice Kingpaca")</f>
        <v>Ice Kingpaca</v>
      </c>
      <c r="M35" s="44" t="n">
        <f aca="false">IFERROR(INDEX(PalData,MATCH(O35,PalNames,0)+1,MATCH("Image",PalData_Header,0)),)</f>
        <v>0</v>
      </c>
      <c r="N35" s="45" t="n">
        <f aca="false">IFERROR(INDEX(PalData,MATCH(O35,PalNames,0)+1,MATCH("ZukanIndex",PalData_Header,0)),)</f>
        <v>0</v>
      </c>
      <c r="O35" s="46"/>
      <c r="Q35" s="21" t="n">
        <f aca="false">IFERROR(INDEX(PalData,MATCH(S35,PalNames,0)+1,MATCH("Image",PalData_Header,0)),)</f>
        <v>0</v>
      </c>
      <c r="R35" s="22" t="n">
        <f aca="false" t="array" ref="R35:R35">INDEX(PalData,MATCH(S35,PalNames,0)+1,MATCH("ZukanIndex",PalData_Header,0))</f>
        <v>43</v>
      </c>
      <c r="S35" s="23" t="s">
        <v>47</v>
      </c>
      <c r="T35" s="24" t="b">
        <f aca="false">FALSE()</f>
        <v>0</v>
      </c>
      <c r="U35" s="25" t="b">
        <f aca="false">FALSE()</f>
        <v>0</v>
      </c>
    </row>
    <row r="36" customFormat="false" ht="15.75" hidden="false" customHeight="false" outlineLevel="0" collapsed="false">
      <c r="F36" s="39" t="n">
        <f aca="false">IFERROR(INDEX(PalData,MATCH(H36,PalNames,0)+1,MATCH("Image",PalData_Header,0)),)</f>
        <v>0</v>
      </c>
      <c r="G36" s="40" t="n">
        <f aca="false" t="array" ref="G36:G36">IFERROR(INDEX(PalData,MATCH(H36,PalNames,0)+1,MATCH("ZukanIndex",PalData_Header,0)),)</f>
        <v>52</v>
      </c>
      <c r="H36" s="40" t="str">
        <f aca="false">IFERROR(__xludf.dummyfunction("""COMPUTED_VALUE"""),"Grintale")</f>
        <v>Grintale</v>
      </c>
      <c r="I36" s="41" t="n">
        <f aca="false">IFERROR(INDEX(PalData,MATCH(K36,PalNames,0)+1,MATCH("Image",PalData_Header,0)),)</f>
        <v>0</v>
      </c>
      <c r="J36" s="40" t="n">
        <f aca="false" t="array" ref="J36:J36">IFERROR(INDEX(PalData,MATCH(K36,PalNames,0)+1,MATCH("ZukanIndex",PalData_Header,0)),)</f>
        <v>58</v>
      </c>
      <c r="K36" s="42" t="str">
        <f aca="false">IFERROR(__xludf.dummyfunction("""COMPUTED_VALUE"""),"Pyrin Noct")</f>
        <v>Pyrin Noct</v>
      </c>
      <c r="M36" s="47" t="n">
        <f aca="false">IFERROR(INDEX(PalData,MATCH(O36,PalNames,0)+1,MATCH("Image",PalData_Header,0)),)</f>
        <v>0</v>
      </c>
      <c r="N36" s="48" t="n">
        <f aca="false">IFERROR(INDEX(PalData,MATCH(O36,PalNames,0)+1,MATCH("ZukanIndex",PalData_Header,0)),)</f>
        <v>0</v>
      </c>
      <c r="O36" s="49"/>
      <c r="Q36" s="27" t="n">
        <f aca="false">IFERROR(INDEX(PalData,MATCH(S36,PalNames,0)+1,MATCH("Image",PalData_Header,0)),)</f>
        <v>0</v>
      </c>
      <c r="R36" s="17" t="n">
        <f aca="false" t="array" ref="R36:R36">INDEX(PalData,MATCH(S36,PalNames,0)+1,MATCH("ZukanIndex",PalData_Header,0))</f>
        <v>37</v>
      </c>
      <c r="S36" s="18" t="s">
        <v>48</v>
      </c>
      <c r="T36" s="19" t="b">
        <f aca="false">FALSE()</f>
        <v>0</v>
      </c>
      <c r="U36" s="20" t="b">
        <f aca="false">FALSE()</f>
        <v>0</v>
      </c>
    </row>
    <row r="37" customFormat="false" ht="15.75" hidden="false" customHeight="false" outlineLevel="0" collapsed="false">
      <c r="F37" s="34" t="n">
        <f aca="false">IFERROR(INDEX(PalData,MATCH(H37,PalNames,0)+1,MATCH("Image",PalData_Header,0)),)</f>
        <v>0</v>
      </c>
      <c r="G37" s="35" t="n">
        <f aca="false" t="array" ref="G37:G37">IFERROR(INDEX(PalData,MATCH(H37,PalNames,0)+1,MATCH("ZukanIndex",PalData_Header,0)),)</f>
        <v>52</v>
      </c>
      <c r="H37" s="35" t="str">
        <f aca="false">IFERROR(__xludf.dummyfunction("""COMPUTED_VALUE"""),"Grintale")</f>
        <v>Grintale</v>
      </c>
      <c r="I37" s="36" t="n">
        <f aca="false">IFERROR(INDEX(PalData,MATCH(K37,PalNames,0)+1,MATCH("Image",PalData_Header,0)),)</f>
        <v>0</v>
      </c>
      <c r="J37" s="35" t="n">
        <f aca="false" t="array" ref="J37:J37">IFERROR(INDEX(PalData,MATCH(K37,PalNames,0)+1,MATCH("ZukanIndex",PalData_Header,0)),)</f>
        <v>85</v>
      </c>
      <c r="K37" s="37" t="str">
        <f aca="false">IFERROR(__xludf.dummyfunction("""COMPUTED_VALUE"""),"Relaxaurus Lux")</f>
        <v>Relaxaurus Lux</v>
      </c>
      <c r="M37" s="44" t="n">
        <f aca="false">IFERROR(INDEX(PalData,MATCH(O37,PalNames,0)+1,MATCH("Image",PalData_Header,0)),)</f>
        <v>0</v>
      </c>
      <c r="N37" s="45" t="n">
        <f aca="false">IFERROR(INDEX(PalData,MATCH(O37,PalNames,0)+1,MATCH("ZukanIndex",PalData_Header,0)),)</f>
        <v>0</v>
      </c>
      <c r="O37" s="46"/>
      <c r="Q37" s="21" t="n">
        <f aca="false">IFERROR(INDEX(PalData,MATCH(S37,PalNames,0)+1,MATCH("Image",PalData_Header,0)),)</f>
        <v>0</v>
      </c>
      <c r="R37" s="22" t="n">
        <f aca="false" t="array" ref="R37:R37">INDEX(PalData,MATCH(S37,PalNames,0)+1,MATCH("ZukanIndex",PalData_Header,0))</f>
        <v>37</v>
      </c>
      <c r="S37" s="23" t="s">
        <v>49</v>
      </c>
      <c r="T37" s="24" t="b">
        <f aca="false">FALSE()</f>
        <v>0</v>
      </c>
      <c r="U37" s="25" t="b">
        <f aca="false">FALSE()</f>
        <v>0</v>
      </c>
    </row>
    <row r="38" customFormat="false" ht="15.75" hidden="false" customHeight="false" outlineLevel="0" collapsed="false">
      <c r="F38" s="39" t="n">
        <f aca="false">IFERROR(INDEX(PalData,MATCH(H38,PalNames,0)+1,MATCH("Image",PalData_Header,0)),)</f>
        <v>0</v>
      </c>
      <c r="G38" s="40" t="n">
        <f aca="false" t="array" ref="G38:G38">IFERROR(INDEX(PalData,MATCH(H38,PalNames,0)+1,MATCH("ZukanIndex",PalData_Header,0)),)</f>
        <v>52</v>
      </c>
      <c r="H38" s="40" t="str">
        <f aca="false">IFERROR(__xludf.dummyfunction("""COMPUTED_VALUE"""),"Grintale")</f>
        <v>Grintale</v>
      </c>
      <c r="I38" s="41" t="n">
        <f aca="false">IFERROR(INDEX(PalData,MATCH(K38,PalNames,0)+1,MATCH("Image",PalData_Header,0)),)</f>
        <v>0</v>
      </c>
      <c r="J38" s="40" t="n">
        <f aca="false" t="array" ref="J38:J38">IFERROR(INDEX(PalData,MATCH(K38,PalNames,0)+1,MATCH("ZukanIndex",PalData_Header,0)),)</f>
        <v>99</v>
      </c>
      <c r="K38" s="42" t="str">
        <f aca="false">IFERROR(__xludf.dummyfunction("""COMPUTED_VALUE"""),"Menasting")</f>
        <v>Menasting</v>
      </c>
      <c r="M38" s="47" t="n">
        <f aca="false">IFERROR(INDEX(PalData,MATCH(O38,PalNames,0)+1,MATCH("Image",PalData_Header,0)),)</f>
        <v>0</v>
      </c>
      <c r="N38" s="48" t="n">
        <f aca="false">IFERROR(INDEX(PalData,MATCH(O38,PalNames,0)+1,MATCH("ZukanIndex",PalData_Header,0)),)</f>
        <v>0</v>
      </c>
      <c r="O38" s="49"/>
      <c r="Q38" s="27" t="n">
        <f aca="false">IFERROR(INDEX(PalData,MATCH(S38,PalNames,0)+1,MATCH("Image",PalData_Header,0)),)</f>
        <v>0</v>
      </c>
      <c r="R38" s="17" t="n">
        <f aca="false" t="array" ref="R38:R38">INDEX(PalData,MATCH(S38,PalNames,0)+1,MATCH("ZukanIndex",PalData_Header,0))</f>
        <v>51</v>
      </c>
      <c r="S38" s="18" t="s">
        <v>50</v>
      </c>
      <c r="T38" s="19" t="b">
        <f aca="false">FALSE()</f>
        <v>0</v>
      </c>
      <c r="U38" s="20" t="b">
        <f aca="false">FALSE()</f>
        <v>0</v>
      </c>
    </row>
    <row r="39" customFormat="false" ht="15.75" hidden="false" customHeight="false" outlineLevel="0" collapsed="false">
      <c r="F39" s="34" t="n">
        <f aca="false">IFERROR(INDEX(PalData,MATCH(H39,PalNames,0)+1,MATCH("Image",PalData_Header,0)),)</f>
        <v>0</v>
      </c>
      <c r="G39" s="35" t="n">
        <f aca="false" t="array" ref="G39:G39">IFERROR(INDEX(PalData,MATCH(H39,PalNames,0)+1,MATCH("ZukanIndex",PalData_Header,0)),)</f>
        <v>52</v>
      </c>
      <c r="H39" s="35" t="str">
        <f aca="false">IFERROR(__xludf.dummyfunction("""COMPUTED_VALUE"""),"Grintale")</f>
        <v>Grintale</v>
      </c>
      <c r="I39" s="36" t="n">
        <f aca="false">IFERROR(INDEX(PalData,MATCH(K39,PalNames,0)+1,MATCH("Image",PalData_Header,0)),)</f>
        <v>0</v>
      </c>
      <c r="J39" s="35" t="n">
        <f aca="false" t="array" ref="J39:J39">IFERROR(INDEX(PalData,MATCH(K39,PalNames,0)+1,MATCH("ZukanIndex",PalData_Header,0)),)</f>
        <v>104</v>
      </c>
      <c r="K39" s="37" t="str">
        <f aca="false">IFERROR(__xludf.dummyfunction("""COMPUTED_VALUE"""),"Lyleen")</f>
        <v>Lyleen</v>
      </c>
      <c r="M39" s="44" t="n">
        <f aca="false">IFERROR(INDEX(PalData,MATCH(O39,PalNames,0)+1,MATCH("Image",PalData_Header,0)),)</f>
        <v>0</v>
      </c>
      <c r="N39" s="45" t="n">
        <f aca="false">IFERROR(INDEX(PalData,MATCH(O39,PalNames,0)+1,MATCH("ZukanIndex",PalData_Header,0)),)</f>
        <v>0</v>
      </c>
      <c r="O39" s="46"/>
      <c r="Q39" s="21" t="n">
        <f aca="false">IFERROR(INDEX(PalData,MATCH(S39,PalNames,0)+1,MATCH("Image",PalData_Header,0)),)</f>
        <v>0</v>
      </c>
      <c r="R39" s="22" t="n">
        <f aca="false" t="array" ref="R39:R39">INDEX(PalData,MATCH(S39,PalNames,0)+1,MATCH("ZukanIndex",PalData_Header,0))</f>
        <v>80</v>
      </c>
      <c r="S39" s="23" t="s">
        <v>51</v>
      </c>
      <c r="T39" s="24" t="b">
        <f aca="false">FALSE()</f>
        <v>0</v>
      </c>
      <c r="U39" s="25" t="b">
        <f aca="false">FALSE()</f>
        <v>0</v>
      </c>
    </row>
    <row r="40" customFormat="false" ht="15.75" hidden="false" customHeight="false" outlineLevel="0" collapsed="false">
      <c r="F40" s="39" t="n">
        <f aca="false">IFERROR(INDEX(PalData,MATCH(H40,PalNames,0)+1,MATCH("Image",PalData_Header,0)),)</f>
        <v>0</v>
      </c>
      <c r="G40" s="40" t="n">
        <f aca="false" t="array" ref="G40:G40">IFERROR(INDEX(PalData,MATCH(H40,PalNames,0)+1,MATCH("ZukanIndex",PalData_Header,0)),)</f>
        <v>54</v>
      </c>
      <c r="H40" s="40" t="str">
        <f aca="false">IFERROR(__xludf.dummyfunction("""COMPUTED_VALUE"""),"Sweepa")</f>
        <v>Sweepa</v>
      </c>
      <c r="I40" s="41" t="n">
        <f aca="false">IFERROR(INDEX(PalData,MATCH(K40,PalNames,0)+1,MATCH("Image",PalData_Header,0)),)</f>
        <v>0</v>
      </c>
      <c r="J40" s="40" t="n">
        <f aca="false" t="array" ref="J40:J40">IFERROR(INDEX(PalData,MATCH(K40,PalNames,0)+1,MATCH("ZukanIndex",PalData_Header,0)),)</f>
        <v>58</v>
      </c>
      <c r="K40" s="42" t="str">
        <f aca="false">IFERROR(__xludf.dummyfunction("""COMPUTED_VALUE"""),"Pyrin")</f>
        <v>Pyrin</v>
      </c>
      <c r="M40" s="47" t="n">
        <f aca="false">IFERROR(INDEX(PalData,MATCH(O40,PalNames,0)+1,MATCH("Image",PalData_Header,0)),)</f>
        <v>0</v>
      </c>
      <c r="N40" s="48" t="n">
        <f aca="false">IFERROR(INDEX(PalData,MATCH(O40,PalNames,0)+1,MATCH("ZukanIndex",PalData_Header,0)),)</f>
        <v>0</v>
      </c>
      <c r="O40" s="49"/>
      <c r="Q40" s="27" t="n">
        <f aca="false">IFERROR(INDEX(PalData,MATCH(S40,PalNames,0)+1,MATCH("Image",PalData_Header,0)),)</f>
        <v>0</v>
      </c>
      <c r="R40" s="17" t="n">
        <f aca="false" t="array" ref="R40:R40">INDEX(PalData,MATCH(S40,PalNames,0)+1,MATCH("ZukanIndex",PalData_Header,0))</f>
        <v>80</v>
      </c>
      <c r="S40" s="18" t="s">
        <v>52</v>
      </c>
      <c r="T40" s="19" t="b">
        <f aca="false">FALSE()</f>
        <v>0</v>
      </c>
      <c r="U40" s="20" t="b">
        <f aca="false">FALSE()</f>
        <v>0</v>
      </c>
    </row>
    <row r="41" customFormat="false" ht="15.75" hidden="false" customHeight="false" outlineLevel="0" collapsed="false">
      <c r="F41" s="34" t="n">
        <f aca="false">IFERROR(INDEX(PalData,MATCH(H41,PalNames,0)+1,MATCH("Image",PalData_Header,0)),)</f>
        <v>0</v>
      </c>
      <c r="G41" s="35" t="n">
        <f aca="false" t="array" ref="G41:G41">IFERROR(INDEX(PalData,MATCH(H41,PalNames,0)+1,MATCH("ZukanIndex",PalData_Header,0)),)</f>
        <v>54</v>
      </c>
      <c r="H41" s="35" t="str">
        <f aca="false">IFERROR(__xludf.dummyfunction("""COMPUTED_VALUE"""),"Sweepa")</f>
        <v>Sweepa</v>
      </c>
      <c r="I41" s="36" t="n">
        <f aca="false">IFERROR(INDEX(PalData,MATCH(K41,PalNames,0)+1,MATCH("Image",PalData_Header,0)),)</f>
        <v>0</v>
      </c>
      <c r="J41" s="35" t="n">
        <f aca="false" t="array" ref="J41:J41">IFERROR(INDEX(PalData,MATCH(K41,PalNames,0)+1,MATCH("ZukanIndex",PalData_Header,0)),)</f>
        <v>92</v>
      </c>
      <c r="K41" s="37" t="str">
        <f aca="false">IFERROR(__xludf.dummyfunction("""COMPUTED_VALUE"""),"Warsect")</f>
        <v>Warsect</v>
      </c>
      <c r="M41" s="44" t="n">
        <f aca="false">IFERROR(INDEX(PalData,MATCH(O41,PalNames,0)+1,MATCH("Image",PalData_Header,0)),)</f>
        <v>0</v>
      </c>
      <c r="N41" s="45" t="n">
        <f aca="false">IFERROR(INDEX(PalData,MATCH(O41,PalNames,0)+1,MATCH("ZukanIndex",PalData_Header,0)),)</f>
        <v>0</v>
      </c>
      <c r="O41" s="46"/>
      <c r="Q41" s="21" t="n">
        <f aca="false">IFERROR(INDEX(PalData,MATCH(S41,PalNames,0)+1,MATCH("Image",PalData_Header,0)),)</f>
        <v>0</v>
      </c>
      <c r="R41" s="22" t="n">
        <f aca="false" t="array" ref="R41:R41">INDEX(PalData,MATCH(S41,PalNames,0)+1,MATCH("ZukanIndex",PalData_Header,0))</f>
        <v>105</v>
      </c>
      <c r="S41" s="23" t="s">
        <v>53</v>
      </c>
      <c r="T41" s="24" t="b">
        <f aca="false">FALSE()</f>
        <v>0</v>
      </c>
      <c r="U41" s="25" t="b">
        <f aca="false">FALSE()</f>
        <v>0</v>
      </c>
    </row>
    <row r="42" customFormat="false" ht="15.75" hidden="false" customHeight="false" outlineLevel="0" collapsed="false">
      <c r="F42" s="39" t="n">
        <f aca="false">IFERROR(INDEX(PalData,MATCH(H42,PalNames,0)+1,MATCH("Image",PalData_Header,0)),)</f>
        <v>0</v>
      </c>
      <c r="G42" s="40" t="n">
        <f aca="false" t="array" ref="G42:G42">IFERROR(INDEX(PalData,MATCH(H42,PalNames,0)+1,MATCH("ZukanIndex",PalData_Header,0)),)</f>
        <v>54</v>
      </c>
      <c r="H42" s="40" t="str">
        <f aca="false">IFERROR(__xludf.dummyfunction("""COMPUTED_VALUE"""),"Sweepa")</f>
        <v>Sweepa</v>
      </c>
      <c r="I42" s="41" t="n">
        <f aca="false">IFERROR(INDEX(PalData,MATCH(K42,PalNames,0)+1,MATCH("Image",PalData_Header,0)),)</f>
        <v>0</v>
      </c>
      <c r="J42" s="40" t="n">
        <f aca="false" t="array" ref="J42:J42">IFERROR(INDEX(PalData,MATCH(K42,PalNames,0)+1,MATCH("ZukanIndex",PalData_Header,0)),)</f>
        <v>95</v>
      </c>
      <c r="K42" s="42" t="str">
        <f aca="false">IFERROR(__xludf.dummyfunction("""COMPUTED_VALUE"""),"Quivern")</f>
        <v>Quivern</v>
      </c>
      <c r="M42" s="47" t="n">
        <f aca="false">IFERROR(INDEX(PalData,MATCH(O42,PalNames,0)+1,MATCH("Image",PalData_Header,0)),)</f>
        <v>0</v>
      </c>
      <c r="N42" s="48" t="n">
        <f aca="false">IFERROR(INDEX(PalData,MATCH(O42,PalNames,0)+1,MATCH("ZukanIndex",PalData_Header,0)),)</f>
        <v>0</v>
      </c>
      <c r="O42" s="49"/>
      <c r="Q42" s="27" t="n">
        <f aca="false">IFERROR(INDEX(PalData,MATCH(S42,PalNames,0)+1,MATCH("Image",PalData_Header,0)),)</f>
        <v>0</v>
      </c>
      <c r="R42" s="17" t="n">
        <f aca="false" t="array" ref="R42:R42">INDEX(PalData,MATCH(S42,PalNames,0)+1,MATCH("ZukanIndex",PalData_Header,0))</f>
        <v>94</v>
      </c>
      <c r="S42" s="18" t="s">
        <v>54</v>
      </c>
      <c r="T42" s="19" t="b">
        <f aca="false">FALSE()</f>
        <v>0</v>
      </c>
      <c r="U42" s="20" t="b">
        <f aca="false">FALSE()</f>
        <v>0</v>
      </c>
    </row>
    <row r="43" customFormat="false" ht="15.75" hidden="false" customHeight="false" outlineLevel="0" collapsed="false">
      <c r="F43" s="34" t="n">
        <f aca="false">IFERROR(INDEX(PalData,MATCH(H43,PalNames,0)+1,MATCH("Image",PalData_Header,0)),)</f>
        <v>0</v>
      </c>
      <c r="G43" s="35" t="n">
        <f aca="false" t="array" ref="G43:G43">IFERROR(INDEX(PalData,MATCH(H43,PalNames,0)+1,MATCH("ZukanIndex",PalData_Header,0)),)</f>
        <v>54</v>
      </c>
      <c r="H43" s="35" t="str">
        <f aca="false">IFERROR(__xludf.dummyfunction("""COMPUTED_VALUE"""),"Sweepa")</f>
        <v>Sweepa</v>
      </c>
      <c r="I43" s="36" t="n">
        <f aca="false">IFERROR(INDEX(PalData,MATCH(K43,PalNames,0)+1,MATCH("Image",PalData_Header,0)),)</f>
        <v>0</v>
      </c>
      <c r="J43" s="35" t="n">
        <f aca="false" t="array" ref="J43:J43">IFERROR(INDEX(PalData,MATCH(K43,PalNames,0)+1,MATCH("ZukanIndex",PalData_Header,0)),)</f>
        <v>105</v>
      </c>
      <c r="K43" s="37" t="str">
        <f aca="false">IFERROR(__xludf.dummyfunction("""COMPUTED_VALUE"""),"Faleris")</f>
        <v>Faleris</v>
      </c>
      <c r="M43" s="44" t="n">
        <f aca="false">IFERROR(INDEX(PalData,MATCH(O43,PalNames,0)+1,MATCH("Image",PalData_Header,0)),)</f>
        <v>0</v>
      </c>
      <c r="N43" s="45" t="n">
        <f aca="false">IFERROR(INDEX(PalData,MATCH(O43,PalNames,0)+1,MATCH("ZukanIndex",PalData_Header,0)),)</f>
        <v>0</v>
      </c>
      <c r="O43" s="46"/>
      <c r="Q43" s="21" t="n">
        <f aca="false">IFERROR(INDEX(PalData,MATCH(S43,PalNames,0)+1,MATCH("Image",PalData_Header,0)),)</f>
        <v>0</v>
      </c>
      <c r="R43" s="22" t="n">
        <f aca="false" t="array" ref="R43:R43">INDEX(PalData,MATCH(S43,PalNames,0)+1,MATCH("ZukanIndex",PalData_Header,0))</f>
        <v>93</v>
      </c>
      <c r="S43" s="23" t="s">
        <v>55</v>
      </c>
      <c r="T43" s="24" t="b">
        <f aca="false">FALSE()</f>
        <v>0</v>
      </c>
      <c r="U43" s="25" t="b">
        <f aca="false">FALSE()</f>
        <v>0</v>
      </c>
    </row>
    <row r="44" customFormat="false" ht="15.75" hidden="false" customHeight="false" outlineLevel="0" collapsed="false">
      <c r="F44" s="39" t="n">
        <f aca="false">IFERROR(INDEX(PalData,MATCH(H44,PalNames,0)+1,MATCH("Image",PalData_Header,0)),)</f>
        <v>0</v>
      </c>
      <c r="G44" s="40" t="n">
        <f aca="false" t="array" ref="G44:G44">IFERROR(INDEX(PalData,MATCH(H44,PalNames,0)+1,MATCH("ZukanIndex",PalData_Header,0)),)</f>
        <v>56</v>
      </c>
      <c r="H44" s="40" t="str">
        <f aca="false">IFERROR(__xludf.dummyfunction("""COMPUTED_VALUE"""),"Univolt")</f>
        <v>Univolt</v>
      </c>
      <c r="I44" s="41" t="n">
        <f aca="false">IFERROR(INDEX(PalData,MATCH(K44,PalNames,0)+1,MATCH("Image",PalData_Header,0)),)</f>
        <v>0</v>
      </c>
      <c r="J44" s="40" t="n">
        <f aca="false" t="array" ref="J44:J44">IFERROR(INDEX(PalData,MATCH(K44,PalNames,0)+1,MATCH("ZukanIndex",PalData_Header,0)),)</f>
        <v>108</v>
      </c>
      <c r="K44" s="42" t="str">
        <f aca="false">IFERROR(__xludf.dummyfunction("""COMPUTED_VALUE"""),"Paladius")</f>
        <v>Paladius</v>
      </c>
      <c r="M44" s="47" t="n">
        <f aca="false">IFERROR(INDEX(PalData,MATCH(O44,PalNames,0)+1,MATCH("Image",PalData_Header,0)),)</f>
        <v>0</v>
      </c>
      <c r="N44" s="48" t="n">
        <f aca="false">IFERROR(INDEX(PalData,MATCH(O44,PalNames,0)+1,MATCH("ZukanIndex",PalData_Header,0)),)</f>
        <v>0</v>
      </c>
      <c r="O44" s="49"/>
      <c r="Q44" s="27" t="n">
        <f aca="false">IFERROR(INDEX(PalData,MATCH(S44,PalNames,0)+1,MATCH("Image",PalData_Header,0)),)</f>
        <v>0</v>
      </c>
      <c r="R44" s="17" t="n">
        <f aca="false" t="array" ref="R44:R44">INDEX(PalData,MATCH(S44,PalNames,0)+1,MATCH("ZukanIndex",PalData_Header,0))</f>
        <v>70</v>
      </c>
      <c r="S44" s="18" t="s">
        <v>56</v>
      </c>
      <c r="T44" s="19" t="b">
        <f aca="false">FALSE()</f>
        <v>0</v>
      </c>
      <c r="U44" s="20" t="b">
        <f aca="false">FALSE()</f>
        <v>0</v>
      </c>
    </row>
    <row r="45" customFormat="false" ht="15.75" hidden="false" customHeight="false" outlineLevel="0" collapsed="false">
      <c r="F45" s="34" t="n">
        <f aca="false">IFERROR(INDEX(PalData,MATCH(H45,PalNames,0)+1,MATCH("Image",PalData_Header,0)),)</f>
        <v>0</v>
      </c>
      <c r="G45" s="35" t="n">
        <f aca="false" t="array" ref="G45:G45">IFERROR(INDEX(PalData,MATCH(H45,PalNames,0)+1,MATCH("ZukanIndex",PalData_Header,0)),)</f>
        <v>56</v>
      </c>
      <c r="H45" s="35" t="str">
        <f aca="false">IFERROR(__xludf.dummyfunction("""COMPUTED_VALUE"""),"Univolt")</f>
        <v>Univolt</v>
      </c>
      <c r="I45" s="36" t="n">
        <f aca="false">IFERROR(INDEX(PalData,MATCH(K45,PalNames,0)+1,MATCH("Image",PalData_Header,0)),)</f>
        <v>0</v>
      </c>
      <c r="J45" s="35" t="n">
        <f aca="false" t="array" ref="J45:J45">IFERROR(INDEX(PalData,MATCH(K45,PalNames,0)+1,MATCH("ZukanIndex",PalData_Header,0)),)</f>
        <v>109</v>
      </c>
      <c r="K45" s="37" t="str">
        <f aca="false">IFERROR(__xludf.dummyfunction("""COMPUTED_VALUE"""),"Necromus")</f>
        <v>Necromus</v>
      </c>
      <c r="M45" s="44" t="n">
        <f aca="false">IFERROR(INDEX(PalData,MATCH(O45,PalNames,0)+1,MATCH("Image",PalData_Header,0)),)</f>
        <v>0</v>
      </c>
      <c r="N45" s="45" t="n">
        <f aca="false">IFERROR(INDEX(PalData,MATCH(O45,PalNames,0)+1,MATCH("ZukanIndex",PalData_Header,0)),)</f>
        <v>0</v>
      </c>
      <c r="O45" s="46"/>
      <c r="Q45" s="21" t="n">
        <f aca="false">IFERROR(INDEX(PalData,MATCH(S45,PalNames,0)+1,MATCH("Image",PalData_Header,0)),)</f>
        <v>0</v>
      </c>
      <c r="R45" s="22" t="n">
        <f aca="false" t="array" ref="R45:R45">INDEX(PalData,MATCH(S45,PalNames,0)+1,MATCH("ZukanIndex",PalData_Header,0))</f>
        <v>28</v>
      </c>
      <c r="S45" s="23" t="s">
        <v>57</v>
      </c>
      <c r="T45" s="24" t="b">
        <f aca="false">FALSE()</f>
        <v>0</v>
      </c>
      <c r="U45" s="25" t="b">
        <f aca="false">FALSE()</f>
        <v>0</v>
      </c>
    </row>
    <row r="46" customFormat="false" ht="15.75" hidden="false" customHeight="false" outlineLevel="0" collapsed="false">
      <c r="F46" s="39" t="n">
        <f aca="false">IFERROR(INDEX(PalData,MATCH(H46,PalNames,0)+1,MATCH("Image",PalData_Header,0)),)</f>
        <v>0</v>
      </c>
      <c r="G46" s="40" t="n">
        <f aca="false" t="array" ref="G46:G46">IFERROR(INDEX(PalData,MATCH(H46,PalNames,0)+1,MATCH("ZukanIndex",PalData_Header,0)),)</f>
        <v>56</v>
      </c>
      <c r="H46" s="40" t="str">
        <f aca="false">IFERROR(__xludf.dummyfunction("""COMPUTED_VALUE"""),"Univolt")</f>
        <v>Univolt</v>
      </c>
      <c r="I46" s="41" t="n">
        <f aca="false">IFERROR(INDEX(PalData,MATCH(K46,PalNames,0)+1,MATCH("Image",PalData_Header,0)),)</f>
        <v>0</v>
      </c>
      <c r="J46" s="40" t="n">
        <f aca="false" t="array" ref="J46:J46">IFERROR(INDEX(PalData,MATCH(K46,PalNames,0)+1,MATCH("ZukanIndex",PalData_Header,0)),)</f>
        <v>110</v>
      </c>
      <c r="K46" s="42" t="str">
        <f aca="false">IFERROR(__xludf.dummyfunction("""COMPUTED_VALUE"""),"Frostallion Noct")</f>
        <v>Frostallion Noct</v>
      </c>
      <c r="M46" s="47" t="n">
        <f aca="false">IFERROR(INDEX(PalData,MATCH(O46,PalNames,0)+1,MATCH("Image",PalData_Header,0)),)</f>
        <v>0</v>
      </c>
      <c r="N46" s="48" t="n">
        <f aca="false">IFERROR(INDEX(PalData,MATCH(O46,PalNames,0)+1,MATCH("ZukanIndex",PalData_Header,0)),)</f>
        <v>0</v>
      </c>
      <c r="O46" s="49"/>
      <c r="Q46" s="27" t="n">
        <f aca="false">IFERROR(INDEX(PalData,MATCH(S46,PalNames,0)+1,MATCH("Image",PalData_Header,0)),)</f>
        <v>0</v>
      </c>
      <c r="R46" s="17" t="n">
        <f aca="false" t="array" ref="R46:R46">INDEX(PalData,MATCH(S46,PalNames,0)+1,MATCH("ZukanIndex",PalData_Header,0))</f>
        <v>57</v>
      </c>
      <c r="S46" s="18" t="s">
        <v>58</v>
      </c>
      <c r="T46" s="52" t="b">
        <f aca="false">FALSE()</f>
        <v>0</v>
      </c>
      <c r="U46" s="53" t="b">
        <f aca="false">FALSE()</f>
        <v>0</v>
      </c>
    </row>
    <row r="47" customFormat="false" ht="15.75" hidden="false" customHeight="false" outlineLevel="0" collapsed="false">
      <c r="F47" s="34" t="n">
        <f aca="false">IFERROR(INDEX(PalData,MATCH(H47,PalNames,0)+1,MATCH("Image",PalData_Header,0)),)</f>
        <v>0</v>
      </c>
      <c r="G47" s="35" t="n">
        <f aca="false" t="array" ref="G47:G47">IFERROR(INDEX(PalData,MATCH(H47,PalNames,0)+1,MATCH("ZukanIndex",PalData_Header,0)),)</f>
        <v>56</v>
      </c>
      <c r="H47" s="35" t="str">
        <f aca="false">IFERROR(__xludf.dummyfunction("""COMPUTED_VALUE"""),"Univolt")</f>
        <v>Univolt</v>
      </c>
      <c r="I47" s="36" t="n">
        <f aca="false">IFERROR(INDEX(PalData,MATCH(K47,PalNames,0)+1,MATCH("Image",PalData_Header,0)),)</f>
        <v>0</v>
      </c>
      <c r="J47" s="35" t="n">
        <f aca="false" t="array" ref="J47:J47">IFERROR(INDEX(PalData,MATCH(K47,PalNames,0)+1,MATCH("ZukanIndex",PalData_Header,0)),)</f>
        <v>111</v>
      </c>
      <c r="K47" s="37" t="str">
        <f aca="false">IFERROR(__xludf.dummyfunction("""COMPUTED_VALUE"""),"Jetragon")</f>
        <v>Jetragon</v>
      </c>
      <c r="M47" s="44" t="n">
        <f aca="false">IFERROR(INDEX(PalData,MATCH(O47,PalNames,0)+1,MATCH("Image",PalData_Header,0)),)</f>
        <v>0</v>
      </c>
      <c r="N47" s="45" t="n">
        <f aca="false">IFERROR(INDEX(PalData,MATCH(O47,PalNames,0)+1,MATCH("ZukanIndex",PalData_Header,0)),)</f>
        <v>0</v>
      </c>
      <c r="O47" s="46"/>
      <c r="Q47" s="21" t="n">
        <f aca="false">IFERROR(INDEX(PalData,MATCH(S47,PalNames,0)+1,MATCH("Image",PalData_Header,0)),)</f>
        <v>0</v>
      </c>
      <c r="R47" s="22" t="n">
        <f aca="false" t="array" ref="R47:R47">INDEX(PalData,MATCH(S47,PalNames,0)+1,MATCH("ZukanIndex",PalData_Header,0))</f>
        <v>5</v>
      </c>
      <c r="S47" s="23" t="s">
        <v>59</v>
      </c>
      <c r="T47" s="54" t="b">
        <f aca="false">FALSE()</f>
        <v>0</v>
      </c>
      <c r="U47" s="55" t="b">
        <f aca="false">FALSE()</f>
        <v>0</v>
      </c>
    </row>
    <row r="48" customFormat="false" ht="15.75" hidden="false" customHeight="false" outlineLevel="0" collapsed="false">
      <c r="F48" s="39" t="n">
        <f aca="false">IFERROR(INDEX(PalData,MATCH(H48,PalNames,0)+1,MATCH("Image",PalData_Header,0)),)</f>
        <v>0</v>
      </c>
      <c r="G48" s="40" t="n">
        <f aca="false" t="array" ref="G48:G48">IFERROR(INDEX(PalData,MATCH(H48,PalNames,0)+1,MATCH("ZukanIndex",PalData_Header,0)),)</f>
        <v>57</v>
      </c>
      <c r="H48" s="40" t="str">
        <f aca="false">IFERROR(__xludf.dummyfunction("""COMPUTED_VALUE"""),"Foxcicle")</f>
        <v>Foxcicle</v>
      </c>
      <c r="I48" s="41" t="n">
        <f aca="false">IFERROR(INDEX(PalData,MATCH(K48,PalNames,0)+1,MATCH("Image",PalData_Header,0)),)</f>
        <v>0</v>
      </c>
      <c r="J48" s="40" t="n">
        <f aca="false" t="array" ref="J48:J48">IFERROR(INDEX(PalData,MATCH(K48,PalNames,0)+1,MATCH("ZukanIndex",PalData_Header,0)),)</f>
        <v>96</v>
      </c>
      <c r="K48" s="42" t="str">
        <f aca="false">IFERROR(__xludf.dummyfunction("""COMPUTED_VALUE"""),"Blazamut")</f>
        <v>Blazamut</v>
      </c>
      <c r="M48" s="47" t="n">
        <f aca="false">IFERROR(INDEX(PalData,MATCH(O48,PalNames,0)+1,MATCH("Image",PalData_Header,0)),)</f>
        <v>0</v>
      </c>
      <c r="N48" s="48" t="n">
        <f aca="false">IFERROR(INDEX(PalData,MATCH(O48,PalNames,0)+1,MATCH("ZukanIndex",PalData_Header,0)),)</f>
        <v>0</v>
      </c>
      <c r="O48" s="49"/>
      <c r="Q48" s="27" t="n">
        <f aca="false">IFERROR(INDEX(PalData,MATCH(S48,PalNames,0)+1,MATCH("Image",PalData_Header,0)),)</f>
        <v>0</v>
      </c>
      <c r="R48" s="17" t="n">
        <f aca="false" t="array" ref="R48:R48">INDEX(PalData,MATCH(S48,PalNames,0)+1,MATCH("ZukanIndex",PalData_Header,0))</f>
        <v>110</v>
      </c>
      <c r="S48" s="18" t="s">
        <v>21</v>
      </c>
      <c r="T48" s="52" t="b">
        <f aca="false">FALSE()</f>
        <v>0</v>
      </c>
      <c r="U48" s="53" t="b">
        <f aca="false">FALSE()</f>
        <v>0</v>
      </c>
    </row>
    <row r="49" customFormat="false" ht="15.75" hidden="false" customHeight="false" outlineLevel="0" collapsed="false">
      <c r="F49" s="34" t="n">
        <f aca="false">IFERROR(INDEX(PalData,MATCH(H49,PalNames,0)+1,MATCH("Image",PalData_Header,0)),)</f>
        <v>0</v>
      </c>
      <c r="G49" s="35" t="n">
        <f aca="false" t="array" ref="G49:G49">IFERROR(INDEX(PalData,MATCH(H49,PalNames,0)+1,MATCH("ZukanIndex",PalData_Header,0)),)</f>
        <v>58</v>
      </c>
      <c r="H49" s="35" t="str">
        <f aca="false">IFERROR(__xludf.dummyfunction("""COMPUTED_VALUE"""),"Pyrin Noct")</f>
        <v>Pyrin Noct</v>
      </c>
      <c r="I49" s="36" t="n">
        <f aca="false">IFERROR(INDEX(PalData,MATCH(K49,PalNames,0)+1,MATCH("Image",PalData_Header,0)),)</f>
        <v>0</v>
      </c>
      <c r="J49" s="35" t="n">
        <f aca="false" t="array" ref="J49:J49">IFERROR(INDEX(PalData,MATCH(K49,PalNames,0)+1,MATCH("ZukanIndex",PalData_Header,0)),)</f>
        <v>80</v>
      </c>
      <c r="K49" s="37" t="str">
        <f aca="false">IFERROR(__xludf.dummyfunction("""COMPUTED_VALUE"""),"Elphidran")</f>
        <v>Elphidran</v>
      </c>
      <c r="M49" s="44" t="n">
        <f aca="false">IFERROR(INDEX(PalData,MATCH(O49,PalNames,0)+1,MATCH("Image",PalData_Header,0)),)</f>
        <v>0</v>
      </c>
      <c r="N49" s="45" t="n">
        <f aca="false">IFERROR(INDEX(PalData,MATCH(O49,PalNames,0)+1,MATCH("ZukanIndex",PalData_Header,0)),)</f>
        <v>0</v>
      </c>
      <c r="O49" s="46"/>
      <c r="Q49" s="21" t="n">
        <f aca="false">IFERROR(INDEX(PalData,MATCH(S49,PalNames,0)+1,MATCH("Image",PalData_Header,0)),)</f>
        <v>0</v>
      </c>
      <c r="R49" s="22" t="n">
        <f aca="false" t="array" ref="R49:R49">INDEX(PalData,MATCH(S49,PalNames,0)+1,MATCH("ZukanIndex",PalData_Header,0))</f>
        <v>110</v>
      </c>
      <c r="S49" s="23" t="s">
        <v>60</v>
      </c>
      <c r="T49" s="54" t="b">
        <f aca="false">FALSE()</f>
        <v>0</v>
      </c>
      <c r="U49" s="55" t="b">
        <f aca="false">FALSE()</f>
        <v>0</v>
      </c>
    </row>
    <row r="50" customFormat="false" ht="15.75" hidden="false" customHeight="false" outlineLevel="0" collapsed="false">
      <c r="F50" s="39" t="n">
        <f aca="false">IFERROR(INDEX(PalData,MATCH(H50,PalNames,0)+1,MATCH("Image",PalData_Header,0)),)</f>
        <v>0</v>
      </c>
      <c r="G50" s="40" t="n">
        <f aca="false" t="array" ref="G50:G50">IFERROR(INDEX(PalData,MATCH(H50,PalNames,0)+1,MATCH("ZukanIndex",PalData_Header,0)),)</f>
        <v>58</v>
      </c>
      <c r="H50" s="40" t="str">
        <f aca="false">IFERROR(__xludf.dummyfunction("""COMPUTED_VALUE"""),"Pyrin Noct")</f>
        <v>Pyrin Noct</v>
      </c>
      <c r="I50" s="41" t="n">
        <f aca="false">IFERROR(INDEX(PalData,MATCH(K50,PalNames,0)+1,MATCH("Image",PalData_Header,0)),)</f>
        <v>0</v>
      </c>
      <c r="J50" s="40" t="n">
        <f aca="false" t="array" ref="J50:J50">IFERROR(INDEX(PalData,MATCH(K50,PalNames,0)+1,MATCH("ZukanIndex",PalData_Header,0)),)</f>
        <v>80</v>
      </c>
      <c r="K50" s="42" t="str">
        <f aca="false">IFERROR(__xludf.dummyfunction("""COMPUTED_VALUE"""),"Elphidran Aqua")</f>
        <v>Elphidran Aqua</v>
      </c>
      <c r="M50" s="47" t="n">
        <f aca="false">IFERROR(INDEX(PalData,MATCH(O50,PalNames,0)+1,MATCH("Image",PalData_Header,0)),)</f>
        <v>0</v>
      </c>
      <c r="N50" s="48" t="n">
        <f aca="false">IFERROR(INDEX(PalData,MATCH(O50,PalNames,0)+1,MATCH("ZukanIndex",PalData_Header,0)),)</f>
        <v>0</v>
      </c>
      <c r="O50" s="49"/>
      <c r="Q50" s="27" t="n">
        <f aca="false">IFERROR(INDEX(PalData,MATCH(S50,PalNames,0)+1,MATCH("Image",PalData_Header,0)),)</f>
        <v>0</v>
      </c>
      <c r="R50" s="17" t="n">
        <f aca="false" t="array" ref="R50:R50">INDEX(PalData,MATCH(S50,PalNames,0)+1,MATCH("ZukanIndex",PalData_Header,0))</f>
        <v>6</v>
      </c>
      <c r="S50" s="18" t="s">
        <v>61</v>
      </c>
      <c r="T50" s="52" t="b">
        <f aca="false">FALSE()</f>
        <v>0</v>
      </c>
      <c r="U50" s="53" t="b">
        <f aca="false">FALSE()</f>
        <v>0</v>
      </c>
    </row>
    <row r="51" customFormat="false" ht="15.75" hidden="false" customHeight="false" outlineLevel="0" collapsed="false">
      <c r="F51" s="34" t="n">
        <f aca="false">IFERROR(INDEX(PalData,MATCH(H51,PalNames,0)+1,MATCH("Image",PalData_Header,0)),)</f>
        <v>0</v>
      </c>
      <c r="G51" s="35" t="n">
        <f aca="false" t="array" ref="G51:G51">IFERROR(INDEX(PalData,MATCH(H51,PalNames,0)+1,MATCH("ZukanIndex",PalData_Header,0)),)</f>
        <v>60</v>
      </c>
      <c r="H51" s="35" t="str">
        <f aca="false">IFERROR(__xludf.dummyfunction("""COMPUTED_VALUE"""),"Rayhound")</f>
        <v>Rayhound</v>
      </c>
      <c r="I51" s="36" t="n">
        <f aca="false">IFERROR(INDEX(PalData,MATCH(K51,PalNames,0)+1,MATCH("Image",PalData_Header,0)),)</f>
        <v>0</v>
      </c>
      <c r="J51" s="35" t="n">
        <f aca="false" t="array" ref="J51:J51">IFERROR(INDEX(PalData,MATCH(K51,PalNames,0)+1,MATCH("ZukanIndex",PalData_Header,0)),)</f>
        <v>96</v>
      </c>
      <c r="K51" s="37" t="str">
        <f aca="false">IFERROR(__xludf.dummyfunction("""COMPUTED_VALUE"""),"Blazamut")</f>
        <v>Blazamut</v>
      </c>
      <c r="M51" s="44" t="n">
        <f aca="false">IFERROR(INDEX(PalData,MATCH(O51,PalNames,0)+1,MATCH("Image",PalData_Header,0)),)</f>
        <v>0</v>
      </c>
      <c r="N51" s="45" t="n">
        <f aca="false">IFERROR(INDEX(PalData,MATCH(O51,PalNames,0)+1,MATCH("ZukanIndex",PalData_Header,0)),)</f>
        <v>0</v>
      </c>
      <c r="O51" s="46"/>
      <c r="Q51" s="21" t="n">
        <f aca="false">IFERROR(INDEX(PalData,MATCH(S51,PalNames,0)+1,MATCH("Image",PalData_Header,0)),)</f>
        <v>0</v>
      </c>
      <c r="R51" s="22" t="n">
        <f aca="false" t="array" ref="R51:R51">INDEX(PalData,MATCH(S51,PalNames,0)+1,MATCH("ZukanIndex",PalData_Header,0))</f>
        <v>22</v>
      </c>
      <c r="S51" s="23" t="s">
        <v>62</v>
      </c>
      <c r="T51" s="54" t="b">
        <f aca="false">FALSE()</f>
        <v>0</v>
      </c>
      <c r="U51" s="55" t="b">
        <f aca="false">FALSE()</f>
        <v>0</v>
      </c>
    </row>
    <row r="52" customFormat="false" ht="15.75" hidden="false" customHeight="false" outlineLevel="0" collapsed="false">
      <c r="F52" s="39" t="n">
        <f aca="false">IFERROR(INDEX(PalData,MATCH(H52,PalNames,0)+1,MATCH("Image",PalData_Header,0)),)</f>
        <v>0</v>
      </c>
      <c r="G52" s="40" t="n">
        <f aca="false" t="array" ref="G52:G52">IFERROR(INDEX(PalData,MATCH(H52,PalNames,0)+1,MATCH("ZukanIndex",PalData_Header,0)),)</f>
        <v>60</v>
      </c>
      <c r="H52" s="40" t="str">
        <f aca="false">IFERROR(__xludf.dummyfunction("""COMPUTED_VALUE"""),"Rayhound")</f>
        <v>Rayhound</v>
      </c>
      <c r="I52" s="41" t="n">
        <f aca="false">IFERROR(INDEX(PalData,MATCH(K52,PalNames,0)+1,MATCH("Image",PalData_Header,0)),)</f>
        <v>0</v>
      </c>
      <c r="J52" s="40" t="n">
        <f aca="false" t="array" ref="J52:J52">IFERROR(INDEX(PalData,MATCH(K52,PalNames,0)+1,MATCH("ZukanIndex",PalData_Header,0)),)</f>
        <v>102</v>
      </c>
      <c r="K52" s="42" t="str">
        <f aca="false">IFERROR(__xludf.dummyfunction("""COMPUTED_VALUE"""),"Suzaku Aqua")</f>
        <v>Suzaku Aqua</v>
      </c>
      <c r="M52" s="47" t="n">
        <f aca="false">IFERROR(INDEX(PalData,MATCH(O52,PalNames,0)+1,MATCH("Image",PalData_Header,0)),)</f>
        <v>0</v>
      </c>
      <c r="N52" s="48" t="n">
        <f aca="false">IFERROR(INDEX(PalData,MATCH(O52,PalNames,0)+1,MATCH("ZukanIndex",PalData_Header,0)),)</f>
        <v>0</v>
      </c>
      <c r="O52" s="49"/>
      <c r="Q52" s="27" t="n">
        <f aca="false">IFERROR(INDEX(PalData,MATCH(S52,PalNames,0)+1,MATCH("Image",PalData_Header,0)),)</f>
        <v>0</v>
      </c>
      <c r="R52" s="17" t="n">
        <f aca="false" t="array" ref="R52:R52">INDEX(PalData,MATCH(S52,PalNames,0)+1,MATCH("ZukanIndex",PalData_Header,0))</f>
        <v>47</v>
      </c>
      <c r="S52" s="18" t="s">
        <v>63</v>
      </c>
      <c r="T52" s="52" t="b">
        <f aca="false">FALSE()</f>
        <v>0</v>
      </c>
      <c r="U52" s="53" t="b">
        <f aca="false">FALSE()</f>
        <v>0</v>
      </c>
    </row>
    <row r="53" customFormat="false" ht="15.75" hidden="false" customHeight="false" outlineLevel="0" collapsed="false">
      <c r="F53" s="34" t="n">
        <f aca="false">IFERROR(INDEX(PalData,MATCH(H53,PalNames,0)+1,MATCH("Image",PalData_Header,0)),)</f>
        <v>0</v>
      </c>
      <c r="G53" s="35" t="n">
        <f aca="false" t="array" ref="G53:G53">IFERROR(INDEX(PalData,MATCH(H53,PalNames,0)+1,MATCH("ZukanIndex",PalData_Header,0)),)</f>
        <v>65</v>
      </c>
      <c r="H53" s="35" t="str">
        <f aca="false">IFERROR(__xludf.dummyfunction("""COMPUTED_VALUE"""),"Surfent")</f>
        <v>Surfent</v>
      </c>
      <c r="I53" s="36" t="n">
        <f aca="false">IFERROR(INDEX(PalData,MATCH(K53,PalNames,0)+1,MATCH("Image",PalData_Header,0)),)</f>
        <v>0</v>
      </c>
      <c r="J53" s="35" t="n">
        <f aca="false" t="array" ref="J53:J53">IFERROR(INDEX(PalData,MATCH(K53,PalNames,0)+1,MATCH("ZukanIndex",PalData_Header,0)),)</f>
        <v>73</v>
      </c>
      <c r="K53" s="37" t="str">
        <f aca="false">IFERROR(__xludf.dummyfunction("""COMPUTED_VALUE"""),"Beakon")</f>
        <v>Beakon</v>
      </c>
      <c r="M53" s="44" t="n">
        <f aca="false">IFERROR(INDEX(PalData,MATCH(O53,PalNames,0)+1,MATCH("Image",PalData_Header,0)),)</f>
        <v>0</v>
      </c>
      <c r="N53" s="45" t="n">
        <f aca="false">IFERROR(INDEX(PalData,MATCH(O53,PalNames,0)+1,MATCH("ZukanIndex",PalData_Header,0)),)</f>
        <v>0</v>
      </c>
      <c r="O53" s="46"/>
      <c r="Q53" s="21" t="n">
        <f aca="false">IFERROR(INDEX(PalData,MATCH(S53,PalNames,0)+1,MATCH("Image",PalData_Header,0)),)</f>
        <v>0</v>
      </c>
      <c r="R53" s="22" t="n">
        <f aca="false" t="array" ref="R53:R53">INDEX(PalData,MATCH(S53,PalNames,0)+1,MATCH("ZukanIndex",PalData_Header,0))</f>
        <v>31</v>
      </c>
      <c r="S53" s="23" t="s">
        <v>64</v>
      </c>
      <c r="T53" s="54" t="b">
        <f aca="false">FALSE()</f>
        <v>0</v>
      </c>
      <c r="U53" s="55" t="b">
        <f aca="false">FALSE()</f>
        <v>0</v>
      </c>
    </row>
    <row r="54" customFormat="false" ht="15.75" hidden="false" customHeight="false" outlineLevel="0" collapsed="false">
      <c r="F54" s="39" t="n">
        <f aca="false">IFERROR(INDEX(PalData,MATCH(H54,PalNames,0)+1,MATCH("Image",PalData_Header,0)),)</f>
        <v>0</v>
      </c>
      <c r="G54" s="40" t="n">
        <f aca="false" t="array" ref="G54:G54">IFERROR(INDEX(PalData,MATCH(H54,PalNames,0)+1,MATCH("ZukanIndex",PalData_Header,0)),)</f>
        <v>65</v>
      </c>
      <c r="H54" s="40" t="str">
        <f aca="false">IFERROR(__xludf.dummyfunction("""COMPUTED_VALUE"""),"Surfent")</f>
        <v>Surfent</v>
      </c>
      <c r="I54" s="41" t="n">
        <f aca="false">IFERROR(INDEX(PalData,MATCH(K54,PalNames,0)+1,MATCH("Image",PalData_Header,0)),)</f>
        <v>0</v>
      </c>
      <c r="J54" s="40" t="n">
        <f aca="false" t="array" ref="J54:J54">IFERROR(INDEX(PalData,MATCH(K54,PalNames,0)+1,MATCH("ZukanIndex",PalData_Header,0)),)</f>
        <v>97</v>
      </c>
      <c r="K54" s="42" t="str">
        <f aca="false">IFERROR(__xludf.dummyfunction("""COMPUTED_VALUE"""),"Helzephyr")</f>
        <v>Helzephyr</v>
      </c>
      <c r="M54" s="47" t="n">
        <f aca="false">IFERROR(INDEX(PalData,MATCH(O54,PalNames,0)+1,MATCH("Image",PalData_Header,0)),)</f>
        <v>0</v>
      </c>
      <c r="N54" s="48" t="n">
        <f aca="false">IFERROR(INDEX(PalData,MATCH(O54,PalNames,0)+1,MATCH("ZukanIndex",PalData_Header,0)),)</f>
        <v>0</v>
      </c>
      <c r="O54" s="49"/>
      <c r="Q54" s="27" t="n">
        <f aca="false">IFERROR(INDEX(PalData,MATCH(S54,PalNames,0)+1,MATCH("Image",PalData_Header,0)),)</f>
        <v>0</v>
      </c>
      <c r="R54" s="17" t="n">
        <f aca="false" t="array" ref="R54:R54">INDEX(PalData,MATCH(S54,PalNames,0)+1,MATCH("ZukanIndex",PalData_Header,0))</f>
        <v>31</v>
      </c>
      <c r="S54" s="18" t="s">
        <v>65</v>
      </c>
      <c r="T54" s="52" t="b">
        <f aca="false">FALSE()</f>
        <v>0</v>
      </c>
      <c r="U54" s="53" t="b">
        <f aca="false">FALSE()</f>
        <v>0</v>
      </c>
    </row>
    <row r="55" customFormat="false" ht="15.75" hidden="false" customHeight="false" outlineLevel="0" collapsed="false">
      <c r="F55" s="34" t="n">
        <f aca="false">IFERROR(INDEX(PalData,MATCH(H55,PalNames,0)+1,MATCH("Image",PalData_Header,0)),)</f>
        <v>0</v>
      </c>
      <c r="G55" s="35" t="n">
        <f aca="false" t="array" ref="G55:G55">IFERROR(INDEX(PalData,MATCH(H55,PalNames,0)+1,MATCH("ZukanIndex",PalData_Header,0)),)</f>
        <v>65</v>
      </c>
      <c r="H55" s="35" t="str">
        <f aca="false">IFERROR(__xludf.dummyfunction("""COMPUTED_VALUE"""),"Surfent")</f>
        <v>Surfent</v>
      </c>
      <c r="I55" s="36" t="n">
        <f aca="false">IFERROR(INDEX(PalData,MATCH(K55,PalNames,0)+1,MATCH("Image",PalData_Header,0)),)</f>
        <v>0</v>
      </c>
      <c r="J55" s="35" t="n">
        <f aca="false" t="array" ref="J55:J55">IFERROR(INDEX(PalData,MATCH(K55,PalNames,0)+1,MATCH("ZukanIndex",PalData_Header,0)),)</f>
        <v>103</v>
      </c>
      <c r="K55" s="37" t="str">
        <f aca="false">IFERROR(__xludf.dummyfunction("""COMPUTED_VALUE"""),"Grizzbolt")</f>
        <v>Grizzbolt</v>
      </c>
      <c r="M55" s="44" t="n">
        <f aca="false">IFERROR(INDEX(PalData,MATCH(O55,PalNames,0)+1,MATCH("Image",PalData_Header,0)),)</f>
        <v>0</v>
      </c>
      <c r="N55" s="45" t="n">
        <f aca="false">IFERROR(INDEX(PalData,MATCH(O55,PalNames,0)+1,MATCH("ZukanIndex",PalData_Header,0)),)</f>
        <v>0</v>
      </c>
      <c r="O55" s="46"/>
      <c r="Q55" s="21" t="n">
        <f aca="false">IFERROR(INDEX(PalData,MATCH(S55,PalNames,0)+1,MATCH("Image",PalData_Header,0)),)</f>
        <v>0</v>
      </c>
      <c r="R55" s="22" t="n">
        <f aca="false" t="array" ref="R55:R55">INDEX(PalData,MATCH(S55,PalNames,0)+1,MATCH("ZukanIndex",PalData_Header,0))</f>
        <v>49</v>
      </c>
      <c r="S55" s="23" t="s">
        <v>66</v>
      </c>
      <c r="T55" s="54" t="b">
        <f aca="false">FALSE()</f>
        <v>0</v>
      </c>
      <c r="U55" s="55" t="b">
        <f aca="false">FALSE()</f>
        <v>0</v>
      </c>
    </row>
    <row r="56" customFormat="false" ht="15.75" hidden="false" customHeight="false" outlineLevel="0" collapsed="false">
      <c r="F56" s="39" t="n">
        <f aca="false">IFERROR(INDEX(PalData,MATCH(H56,PalNames,0)+1,MATCH("Image",PalData_Header,0)),)</f>
        <v>0</v>
      </c>
      <c r="G56" s="40" t="n">
        <f aca="false" t="array" ref="G56:G56">IFERROR(INDEX(PalData,MATCH(H56,PalNames,0)+1,MATCH("ZukanIndex",PalData_Header,0)),)</f>
        <v>65</v>
      </c>
      <c r="H56" s="40" t="str">
        <f aca="false">IFERROR(__xludf.dummyfunction("""COMPUTED_VALUE"""),"Surfent")</f>
        <v>Surfent</v>
      </c>
      <c r="I56" s="41" t="n">
        <f aca="false">IFERROR(INDEX(PalData,MATCH(K56,PalNames,0)+1,MATCH("Image",PalData_Header,0)),)</f>
        <v>0</v>
      </c>
      <c r="J56" s="40" t="n">
        <f aca="false" t="array" ref="J56:J56">IFERROR(INDEX(PalData,MATCH(K56,PalNames,0)+1,MATCH("ZukanIndex",PalData_Header,0)),)</f>
        <v>104</v>
      </c>
      <c r="K56" s="42" t="str">
        <f aca="false">IFERROR(__xludf.dummyfunction("""COMPUTED_VALUE"""),"Lyleen Noct")</f>
        <v>Lyleen Noct</v>
      </c>
      <c r="M56" s="47" t="n">
        <f aca="false">IFERROR(INDEX(PalData,MATCH(O56,PalNames,0)+1,MATCH("Image",PalData_Header,0)),)</f>
        <v>0</v>
      </c>
      <c r="N56" s="48" t="n">
        <f aca="false">IFERROR(INDEX(PalData,MATCH(O56,PalNames,0)+1,MATCH("ZukanIndex",PalData_Header,0)),)</f>
        <v>0</v>
      </c>
      <c r="O56" s="49"/>
      <c r="Q56" s="27" t="n">
        <f aca="false">IFERROR(INDEX(PalData,MATCH(S56,PalNames,0)+1,MATCH("Image",PalData_Header,0)),)</f>
        <v>0</v>
      </c>
      <c r="R56" s="17" t="n">
        <f aca="false" t="array" ref="R56:R56">INDEX(PalData,MATCH(S56,PalNames,0)+1,MATCH("ZukanIndex",PalData_Header,0))</f>
        <v>52</v>
      </c>
      <c r="S56" s="18" t="s">
        <v>67</v>
      </c>
      <c r="T56" s="52" t="b">
        <f aca="false">FALSE()</f>
        <v>0</v>
      </c>
      <c r="U56" s="53" t="b">
        <f aca="false">FALSE()</f>
        <v>0</v>
      </c>
    </row>
    <row r="57" customFormat="false" ht="15.75" hidden="false" customHeight="false" outlineLevel="0" collapsed="false">
      <c r="F57" s="34" t="n">
        <f aca="false">IFERROR(INDEX(PalData,MATCH(H57,PalNames,0)+1,MATCH("Image",PalData_Header,0)),)</f>
        <v>0</v>
      </c>
      <c r="G57" s="35" t="n">
        <f aca="false" t="array" ref="G57:G57">IFERROR(INDEX(PalData,MATCH(H57,PalNames,0)+1,MATCH("ZukanIndex",PalData_Header,0)),)</f>
        <v>65</v>
      </c>
      <c r="H57" s="35" t="str">
        <f aca="false">IFERROR(__xludf.dummyfunction("""COMPUTED_VALUE"""),"Surfent Terra")</f>
        <v>Surfent Terra</v>
      </c>
      <c r="I57" s="36" t="n">
        <f aca="false">IFERROR(INDEX(PalData,MATCH(K57,PalNames,0)+1,MATCH("Image",PalData_Header,0)),)</f>
        <v>0</v>
      </c>
      <c r="J57" s="35" t="n">
        <f aca="false" t="array" ref="J57:J57">IFERROR(INDEX(PalData,MATCH(K57,PalNames,0)+1,MATCH("ZukanIndex",PalData_Header,0)),)</f>
        <v>73</v>
      </c>
      <c r="K57" s="37" t="str">
        <f aca="false">IFERROR(__xludf.dummyfunction("""COMPUTED_VALUE"""),"Beakon")</f>
        <v>Beakon</v>
      </c>
      <c r="M57" s="44" t="n">
        <f aca="false">IFERROR(INDEX(PalData,MATCH(O57,PalNames,0)+1,MATCH("Image",PalData_Header,0)),)</f>
        <v>0</v>
      </c>
      <c r="N57" s="45" t="n">
        <f aca="false">IFERROR(INDEX(PalData,MATCH(O57,PalNames,0)+1,MATCH("ZukanIndex",PalData_Header,0)),)</f>
        <v>0</v>
      </c>
      <c r="O57" s="46"/>
      <c r="Q57" s="21" t="n">
        <f aca="false">IFERROR(INDEX(PalData,MATCH(S57,PalNames,0)+1,MATCH("Image",PalData_Header,0)),)</f>
        <v>0</v>
      </c>
      <c r="R57" s="22" t="n">
        <f aca="false" t="array" ref="R57:R57">INDEX(PalData,MATCH(S57,PalNames,0)+1,MATCH("ZukanIndex",PalData_Header,0))</f>
        <v>103</v>
      </c>
      <c r="S57" s="23" t="s">
        <v>68</v>
      </c>
      <c r="T57" s="54" t="b">
        <f aca="false">FALSE()</f>
        <v>0</v>
      </c>
      <c r="U57" s="55" t="b">
        <f aca="false">FALSE()</f>
        <v>0</v>
      </c>
    </row>
    <row r="58" customFormat="false" ht="15.75" hidden="false" customHeight="false" outlineLevel="0" collapsed="false">
      <c r="F58" s="39" t="n">
        <f aca="false">IFERROR(INDEX(PalData,MATCH(H58,PalNames,0)+1,MATCH("Image",PalData_Header,0)),)</f>
        <v>0</v>
      </c>
      <c r="G58" s="40" t="n">
        <f aca="false" t="array" ref="G58:G58">IFERROR(INDEX(PalData,MATCH(H58,PalNames,0)+1,MATCH("ZukanIndex",PalData_Header,0)),)</f>
        <v>65</v>
      </c>
      <c r="H58" s="40" t="str">
        <f aca="false">IFERROR(__xludf.dummyfunction("""COMPUTED_VALUE"""),"Surfent Terra")</f>
        <v>Surfent Terra</v>
      </c>
      <c r="I58" s="41" t="n">
        <f aca="false">IFERROR(INDEX(PalData,MATCH(K58,PalNames,0)+1,MATCH("Image",PalData_Header,0)),)</f>
        <v>0</v>
      </c>
      <c r="J58" s="40" t="n">
        <f aca="false" t="array" ref="J58:J58">IFERROR(INDEX(PalData,MATCH(K58,PalNames,0)+1,MATCH("ZukanIndex",PalData_Header,0)),)</f>
        <v>88</v>
      </c>
      <c r="K58" s="42" t="str">
        <f aca="false">IFERROR(__xludf.dummyfunction("""COMPUTED_VALUE"""),"Ice Reptyro")</f>
        <v>Ice Reptyro</v>
      </c>
      <c r="M58" s="47" t="n">
        <f aca="false">IFERROR(INDEX(PalData,MATCH(O58,PalNames,0)+1,MATCH("Image",PalData_Header,0)),)</f>
        <v>0</v>
      </c>
      <c r="N58" s="48" t="n">
        <f aca="false">IFERROR(INDEX(PalData,MATCH(O58,PalNames,0)+1,MATCH("ZukanIndex",PalData_Header,0)),)</f>
        <v>0</v>
      </c>
      <c r="O58" s="49"/>
      <c r="Q58" s="27" t="n">
        <f aca="false">IFERROR(INDEX(PalData,MATCH(S58,PalNames,0)+1,MATCH("Image",PalData_Header,0)),)</f>
        <v>0</v>
      </c>
      <c r="R58" s="17" t="n">
        <f aca="false" t="array" ref="R58:R58">INDEX(PalData,MATCH(S58,PalNames,0)+1,MATCH("ZukanIndex",PalData_Header,0))</f>
        <v>13</v>
      </c>
      <c r="S58" s="18" t="s">
        <v>69</v>
      </c>
      <c r="T58" s="52" t="b">
        <f aca="false">FALSE()</f>
        <v>0</v>
      </c>
      <c r="U58" s="53" t="b">
        <f aca="false">FALSE()</f>
        <v>0</v>
      </c>
    </row>
    <row r="59" customFormat="false" ht="15.75" hidden="false" customHeight="false" outlineLevel="0" collapsed="false">
      <c r="F59" s="34" t="n">
        <f aca="false">IFERROR(INDEX(PalData,MATCH(H59,PalNames,0)+1,MATCH("Image",PalData_Header,0)),)</f>
        <v>0</v>
      </c>
      <c r="G59" s="35" t="n">
        <f aca="false" t="array" ref="G59:G59">IFERROR(INDEX(PalData,MATCH(H59,PalNames,0)+1,MATCH("ZukanIndex",PalData_Header,0)),)</f>
        <v>65</v>
      </c>
      <c r="H59" s="35" t="str">
        <f aca="false">IFERROR(__xludf.dummyfunction("""COMPUTED_VALUE"""),"Surfent Terra")</f>
        <v>Surfent Terra</v>
      </c>
      <c r="I59" s="36" t="n">
        <f aca="false">IFERROR(INDEX(PalData,MATCH(K59,PalNames,0)+1,MATCH("Image",PalData_Header,0)),)</f>
        <v>0</v>
      </c>
      <c r="J59" s="35" t="n">
        <f aca="false" t="array" ref="J59:J59">IFERROR(INDEX(PalData,MATCH(K59,PalNames,0)+1,MATCH("ZukanIndex",PalData_Header,0)),)</f>
        <v>103</v>
      </c>
      <c r="K59" s="37" t="str">
        <f aca="false">IFERROR(__xludf.dummyfunction("""COMPUTED_VALUE"""),"Grizzbolt")</f>
        <v>Grizzbolt</v>
      </c>
      <c r="M59" s="44" t="n">
        <f aca="false">IFERROR(INDEX(PalData,MATCH(O59,PalNames,0)+1,MATCH("Image",PalData_Header,0)),)</f>
        <v>0</v>
      </c>
      <c r="N59" s="45" t="n">
        <f aca="false">IFERROR(INDEX(PalData,MATCH(O59,PalNames,0)+1,MATCH("ZukanIndex",PalData_Header,0)),)</f>
        <v>0</v>
      </c>
      <c r="O59" s="46"/>
      <c r="Q59" s="21" t="n">
        <f aca="false">IFERROR(INDEX(PalData,MATCH(S59,PalNames,0)+1,MATCH("Image",PalData_Header,0)),)</f>
        <v>0</v>
      </c>
      <c r="R59" s="22" t="n">
        <f aca="false" t="array" ref="R59:R59">INDEX(PalData,MATCH(S59,PalNames,0)+1,MATCH("ZukanIndex",PalData_Header,0))</f>
        <v>13</v>
      </c>
      <c r="S59" s="23" t="s">
        <v>70</v>
      </c>
      <c r="T59" s="54" t="b">
        <f aca="false">FALSE()</f>
        <v>0</v>
      </c>
      <c r="U59" s="55" t="b">
        <f aca="false">FALSE()</f>
        <v>0</v>
      </c>
    </row>
    <row r="60" customFormat="false" ht="15.75" hidden="false" customHeight="false" outlineLevel="0" collapsed="false">
      <c r="F60" s="39" t="n">
        <f aca="false">IFERROR(INDEX(PalData,MATCH(H60,PalNames,0)+1,MATCH("Image",PalData_Header,0)),)</f>
        <v>0</v>
      </c>
      <c r="G60" s="40" t="n">
        <f aca="false" t="array" ref="G60:G60">IFERROR(INDEX(PalData,MATCH(H60,PalNames,0)+1,MATCH("ZukanIndex",PalData_Header,0)),)</f>
        <v>65</v>
      </c>
      <c r="H60" s="40" t="str">
        <f aca="false">IFERROR(__xludf.dummyfunction("""COMPUTED_VALUE"""),"Surfent Terra")</f>
        <v>Surfent Terra</v>
      </c>
      <c r="I60" s="41" t="n">
        <f aca="false">IFERROR(INDEX(PalData,MATCH(K60,PalNames,0)+1,MATCH("Image",PalData_Header,0)),)</f>
        <v>0</v>
      </c>
      <c r="J60" s="40" t="n">
        <f aca="false" t="array" ref="J60:J60">IFERROR(INDEX(PalData,MATCH(K60,PalNames,0)+1,MATCH("ZukanIndex",PalData_Header,0)),)</f>
        <v>104</v>
      </c>
      <c r="K60" s="42" t="str">
        <f aca="false">IFERROR(__xludf.dummyfunction("""COMPUTED_VALUE"""),"Lyleen Noct")</f>
        <v>Lyleen Noct</v>
      </c>
      <c r="M60" s="47" t="n">
        <f aca="false">IFERROR(INDEX(PalData,MATCH(O60,PalNames,0)+1,MATCH("Image",PalData_Header,0)),)</f>
        <v>0</v>
      </c>
      <c r="N60" s="48" t="n">
        <f aca="false">IFERROR(INDEX(PalData,MATCH(O60,PalNames,0)+1,MATCH("ZukanIndex",PalData_Header,0)),)</f>
        <v>0</v>
      </c>
      <c r="O60" s="49"/>
      <c r="Q60" s="27" t="n">
        <f aca="false">IFERROR(INDEX(PalData,MATCH(S60,PalNames,0)+1,MATCH("Image",PalData_Header,0)),)</f>
        <v>0</v>
      </c>
      <c r="R60" s="17" t="n">
        <f aca="false" t="array" ref="R60:R60">INDEX(PalData,MATCH(S60,PalNames,0)+1,MATCH("ZukanIndex",PalData_Header,0))</f>
        <v>32</v>
      </c>
      <c r="S60" s="18" t="s">
        <v>71</v>
      </c>
      <c r="T60" s="52" t="b">
        <f aca="false">FALSE()</f>
        <v>0</v>
      </c>
      <c r="U60" s="53" t="b">
        <f aca="false">FALSE()</f>
        <v>0</v>
      </c>
    </row>
    <row r="61" customFormat="false" ht="15.75" hidden="false" customHeight="false" outlineLevel="0" collapsed="false">
      <c r="F61" s="34" t="n">
        <f aca="false">IFERROR(INDEX(PalData,MATCH(H61,PalNames,0)+1,MATCH("Image",PalData_Header,0)),)</f>
        <v>0</v>
      </c>
      <c r="G61" s="35" t="n">
        <f aca="false" t="array" ref="G61:G61">IFERROR(INDEX(PalData,MATCH(H61,PalNames,0)+1,MATCH("ZukanIndex",PalData_Header,0)),)</f>
        <v>68</v>
      </c>
      <c r="H61" s="35" t="str">
        <f aca="false">IFERROR(__xludf.dummyfunction("""COMPUTED_VALUE"""),"Tombat")</f>
        <v>Tombat</v>
      </c>
      <c r="I61" s="36" t="n">
        <f aca="false">IFERROR(INDEX(PalData,MATCH(K61,PalNames,0)+1,MATCH("Image",PalData_Header,0)),)</f>
        <v>0</v>
      </c>
      <c r="J61" s="35" t="n">
        <f aca="false" t="array" ref="J61:J61">IFERROR(INDEX(PalData,MATCH(K61,PalNames,0)+1,MATCH("ZukanIndex",PalData_Header,0)),)</f>
        <v>96</v>
      </c>
      <c r="K61" s="37" t="str">
        <f aca="false">IFERROR(__xludf.dummyfunction("""COMPUTED_VALUE"""),"Blazamut")</f>
        <v>Blazamut</v>
      </c>
      <c r="M61" s="44" t="n">
        <f aca="false">IFERROR(INDEX(PalData,MATCH(O61,PalNames,0)+1,MATCH("Image",PalData_Header,0)),)</f>
        <v>0</v>
      </c>
      <c r="N61" s="45" t="n">
        <f aca="false">IFERROR(INDEX(PalData,MATCH(O61,PalNames,0)+1,MATCH("ZukanIndex",PalData_Header,0)),)</f>
        <v>0</v>
      </c>
      <c r="O61" s="46"/>
      <c r="Q61" s="21" t="n">
        <f aca="false">IFERROR(INDEX(PalData,MATCH(S61,PalNames,0)+1,MATCH("Image",PalData_Header,0)),)</f>
        <v>0</v>
      </c>
      <c r="R61" s="22" t="n">
        <f aca="false" t="array" ref="R61:R61">INDEX(PalData,MATCH(S61,PalNames,0)+1,MATCH("ZukanIndex",PalData_Header,0))</f>
        <v>32</v>
      </c>
      <c r="S61" s="23" t="s">
        <v>72</v>
      </c>
      <c r="T61" s="54" t="b">
        <f aca="false">FALSE()</f>
        <v>0</v>
      </c>
      <c r="U61" s="55" t="b">
        <f aca="false">FALSE()</f>
        <v>0</v>
      </c>
    </row>
    <row r="62" customFormat="false" ht="15.75" hidden="false" customHeight="false" outlineLevel="0" collapsed="false">
      <c r="F62" s="39" t="n">
        <f aca="false">IFERROR(INDEX(PalData,MATCH(H62,PalNames,0)+1,MATCH("Image",PalData_Header,0)),)</f>
        <v>0</v>
      </c>
      <c r="G62" s="40" t="n">
        <f aca="false" t="array" ref="G62:G62">IFERROR(INDEX(PalData,MATCH(H62,PalNames,0)+1,MATCH("ZukanIndex",PalData_Header,0)),)</f>
        <v>68</v>
      </c>
      <c r="H62" s="40" t="str">
        <f aca="false">IFERROR(__xludf.dummyfunction("""COMPUTED_VALUE"""),"Tombat")</f>
        <v>Tombat</v>
      </c>
      <c r="I62" s="41" t="n">
        <f aca="false">IFERROR(INDEX(PalData,MATCH(K62,PalNames,0)+1,MATCH("Image",PalData_Header,0)),)</f>
        <v>0</v>
      </c>
      <c r="J62" s="40" t="n">
        <f aca="false" t="array" ref="J62:J62">IFERROR(INDEX(PalData,MATCH(K62,PalNames,0)+1,MATCH("ZukanIndex",PalData_Header,0)),)</f>
        <v>102</v>
      </c>
      <c r="K62" s="42" t="str">
        <f aca="false">IFERROR(__xludf.dummyfunction("""COMPUTED_VALUE"""),"Suzaku Aqua")</f>
        <v>Suzaku Aqua</v>
      </c>
      <c r="M62" s="47" t="n">
        <f aca="false">IFERROR(INDEX(PalData,MATCH(O62,PalNames,0)+1,MATCH("Image",PalData_Header,0)),)</f>
        <v>0</v>
      </c>
      <c r="N62" s="48" t="n">
        <f aca="false">IFERROR(INDEX(PalData,MATCH(O62,PalNames,0)+1,MATCH("ZukanIndex",PalData_Header,0)),)</f>
        <v>0</v>
      </c>
      <c r="O62" s="49"/>
      <c r="Q62" s="27" t="n">
        <f aca="false">IFERROR(INDEX(PalData,MATCH(S62,PalNames,0)+1,MATCH("Image",PalData_Header,0)),)</f>
        <v>0</v>
      </c>
      <c r="R62" s="17" t="n">
        <f aca="false" t="array" ref="R62:R62">INDEX(PalData,MATCH(S62,PalNames,0)+1,MATCH("ZukanIndex",PalData_Header,0))</f>
        <v>97</v>
      </c>
      <c r="S62" s="18" t="s">
        <v>73</v>
      </c>
      <c r="T62" s="52" t="b">
        <f aca="false">FALSE()</f>
        <v>0</v>
      </c>
      <c r="U62" s="53" t="b">
        <f aca="false">FALSE()</f>
        <v>0</v>
      </c>
    </row>
    <row r="63" customFormat="false" ht="15.75" hidden="false" customHeight="false" outlineLevel="0" collapsed="false">
      <c r="F63" s="34" t="n">
        <f aca="false">IFERROR(INDEX(PalData,MATCH(H63,PalNames,0)+1,MATCH("Image",PalData_Header,0)),)</f>
        <v>0</v>
      </c>
      <c r="G63" s="35" t="n">
        <f aca="false" t="array" ref="G63:G63">IFERROR(INDEX(PalData,MATCH(H63,PalNames,0)+1,MATCH("ZukanIndex",PalData_Header,0)),)</f>
        <v>71</v>
      </c>
      <c r="H63" s="35" t="str">
        <f aca="false">IFERROR(__xludf.dummyfunction("""COMPUTED_VALUE"""),"Vanwyrm")</f>
        <v>Vanwyrm</v>
      </c>
      <c r="I63" s="36" t="n">
        <f aca="false">IFERROR(INDEX(PalData,MATCH(K63,PalNames,0)+1,MATCH("Image",PalData_Header,0)),)</f>
        <v>0</v>
      </c>
      <c r="J63" s="35" t="n">
        <f aca="false" t="array" ref="J63:J63">IFERROR(INDEX(PalData,MATCH(K63,PalNames,0)+1,MATCH("ZukanIndex",PalData_Header,0)),)</f>
        <v>110</v>
      </c>
      <c r="K63" s="37" t="str">
        <f aca="false">IFERROR(__xludf.dummyfunction("""COMPUTED_VALUE"""),"Frostallion")</f>
        <v>Frostallion</v>
      </c>
      <c r="M63" s="44" t="n">
        <f aca="false">IFERROR(INDEX(PalData,MATCH(O63,PalNames,0)+1,MATCH("Image",PalData_Header,0)),)</f>
        <v>0</v>
      </c>
      <c r="N63" s="45" t="n">
        <f aca="false">IFERROR(INDEX(PalData,MATCH(O63,PalNames,0)+1,MATCH("ZukanIndex",PalData_Header,0)),)</f>
        <v>0</v>
      </c>
      <c r="O63" s="46"/>
      <c r="Q63" s="21" t="n">
        <f aca="false">IFERROR(INDEX(PalData,MATCH(S63,PalNames,0)+1,MATCH("Image",PalData_Header,0)),)</f>
        <v>0</v>
      </c>
      <c r="R63" s="22" t="n">
        <f aca="false" t="array" ref="R63:R63">INDEX(PalData,MATCH(S63,PalNames,0)+1,MATCH("ZukanIndex",PalData_Header,0))</f>
        <v>15</v>
      </c>
      <c r="S63" s="23" t="s">
        <v>74</v>
      </c>
      <c r="T63" s="54" t="b">
        <f aca="false">FALSE()</f>
        <v>0</v>
      </c>
      <c r="U63" s="55" t="b">
        <f aca="false">FALSE()</f>
        <v>0</v>
      </c>
    </row>
    <row r="64" customFormat="false" ht="15.75" hidden="false" customHeight="false" outlineLevel="0" collapsed="false">
      <c r="F64" s="39" t="n">
        <f aca="false">IFERROR(INDEX(PalData,MATCH(H64,PalNames,0)+1,MATCH("Image",PalData_Header,0)),)</f>
        <v>0</v>
      </c>
      <c r="G64" s="40" t="n">
        <f aca="false" t="array" ref="G64:G64">IFERROR(INDEX(PalData,MATCH(H64,PalNames,0)+1,MATCH("ZukanIndex",PalData_Header,0)),)</f>
        <v>71</v>
      </c>
      <c r="H64" s="40" t="str">
        <f aca="false">IFERROR(__xludf.dummyfunction("""COMPUTED_VALUE"""),"Vanwyrm")</f>
        <v>Vanwyrm</v>
      </c>
      <c r="I64" s="41" t="n">
        <f aca="false">IFERROR(INDEX(PalData,MATCH(K64,PalNames,0)+1,MATCH("Image",PalData_Header,0)),)</f>
        <v>0</v>
      </c>
      <c r="J64" s="40" t="n">
        <f aca="false" t="array" ref="J64:J64">IFERROR(INDEX(PalData,MATCH(K64,PalNames,0)+1,MATCH("ZukanIndex",PalData_Header,0)),)</f>
        <v>110</v>
      </c>
      <c r="K64" s="42" t="str">
        <f aca="false">IFERROR(__xludf.dummyfunction("""COMPUTED_VALUE"""),"Frostallion Noct")</f>
        <v>Frostallion Noct</v>
      </c>
      <c r="M64" s="47" t="n">
        <f aca="false">IFERROR(INDEX(PalData,MATCH(O64,PalNames,0)+1,MATCH("Image",PalData_Header,0)),)</f>
        <v>0</v>
      </c>
      <c r="N64" s="48" t="n">
        <f aca="false">IFERROR(INDEX(PalData,MATCH(O64,PalNames,0)+1,MATCH("ZukanIndex",PalData_Header,0)),)</f>
        <v>0</v>
      </c>
      <c r="O64" s="49"/>
      <c r="Q64" s="27" t="n">
        <f aca="false">IFERROR(INDEX(PalData,MATCH(S64,PalNames,0)+1,MATCH("Image",PalData_Header,0)),)</f>
        <v>0</v>
      </c>
      <c r="R64" s="17" t="n">
        <f aca="false" t="array" ref="R64:R64">INDEX(PalData,MATCH(S64,PalNames,0)+1,MATCH("ZukanIndex",PalData_Header,0))</f>
        <v>89</v>
      </c>
      <c r="S64" s="18" t="s">
        <v>75</v>
      </c>
      <c r="T64" s="52" t="b">
        <f aca="false">FALSE()</f>
        <v>0</v>
      </c>
      <c r="U64" s="53" t="b">
        <f aca="false">FALSE()</f>
        <v>0</v>
      </c>
    </row>
    <row r="65" customFormat="false" ht="15.75" hidden="false" customHeight="false" outlineLevel="0" collapsed="false">
      <c r="F65" s="34" t="n">
        <f aca="false">IFERROR(INDEX(PalData,MATCH(H65,PalNames,0)+1,MATCH("Image",PalData_Header,0)),)</f>
        <v>0</v>
      </c>
      <c r="G65" s="35" t="n">
        <f aca="false" t="array" ref="G65:G65">IFERROR(INDEX(PalData,MATCH(H65,PalNames,0)+1,MATCH("ZukanIndex",PalData_Header,0)),)</f>
        <v>71</v>
      </c>
      <c r="H65" s="35" t="str">
        <f aca="false">IFERROR(__xludf.dummyfunction("""COMPUTED_VALUE"""),"Vanwyrm")</f>
        <v>Vanwyrm</v>
      </c>
      <c r="I65" s="36" t="n">
        <f aca="false">IFERROR(INDEX(PalData,MATCH(K65,PalNames,0)+1,MATCH("Image",PalData_Header,0)),)</f>
        <v>0</v>
      </c>
      <c r="J65" s="35" t="n">
        <f aca="false" t="array" ref="J65:J65">IFERROR(INDEX(PalData,MATCH(K65,PalNames,0)+1,MATCH("ZukanIndex",PalData_Header,0)),)</f>
        <v>111</v>
      </c>
      <c r="K65" s="37" t="str">
        <f aca="false">IFERROR(__xludf.dummyfunction("""COMPUTED_VALUE"""),"Jetragon")</f>
        <v>Jetragon</v>
      </c>
      <c r="M65" s="44" t="n">
        <f aca="false">IFERROR(INDEX(PalData,MATCH(O65,PalNames,0)+1,MATCH("Image",PalData_Header,0)),)</f>
        <v>0</v>
      </c>
      <c r="N65" s="45" t="n">
        <f aca="false">IFERROR(INDEX(PalData,MATCH(O65,PalNames,0)+1,MATCH("ZukanIndex",PalData_Header,0)),)</f>
        <v>0</v>
      </c>
      <c r="O65" s="46"/>
      <c r="Q65" s="21" t="n">
        <f aca="false">IFERROR(INDEX(PalData,MATCH(S65,PalNames,0)+1,MATCH("Image",PalData_Header,0)),)</f>
        <v>0</v>
      </c>
      <c r="R65" s="22" t="n">
        <f aca="false" t="array" ref="R65:R65">INDEX(PalData,MATCH(S65,PalNames,0)+1,MATCH("ZukanIndex",PalData_Header,0))</f>
        <v>88</v>
      </c>
      <c r="S65" s="23" t="s">
        <v>76</v>
      </c>
      <c r="T65" s="54" t="b">
        <f aca="false">FALSE()</f>
        <v>0</v>
      </c>
      <c r="U65" s="55" t="b">
        <f aca="false">FALSE()</f>
        <v>0</v>
      </c>
    </row>
    <row r="66" customFormat="false" ht="15.75" hidden="false" customHeight="false" outlineLevel="0" collapsed="false">
      <c r="F66" s="39" t="n">
        <f aca="false">IFERROR(INDEX(PalData,MATCH(H66,PalNames,0)+1,MATCH("Image",PalData_Header,0)),)</f>
        <v>0</v>
      </c>
      <c r="G66" s="40" t="n">
        <f aca="false" t="array" ref="G66:G66">IFERROR(INDEX(PalData,MATCH(H66,PalNames,0)+1,MATCH("ZukanIndex",PalData_Header,0)),)</f>
        <v>71</v>
      </c>
      <c r="H66" s="40" t="str">
        <f aca="false">IFERROR(__xludf.dummyfunction("""COMPUTED_VALUE"""),"Vanwyrm Cryst")</f>
        <v>Vanwyrm Cryst</v>
      </c>
      <c r="I66" s="41" t="n">
        <f aca="false">IFERROR(INDEX(PalData,MATCH(K66,PalNames,0)+1,MATCH("Image",PalData_Header,0)),)</f>
        <v>0</v>
      </c>
      <c r="J66" s="40" t="n">
        <f aca="false" t="array" ref="J66:J66">IFERROR(INDEX(PalData,MATCH(K66,PalNames,0)+1,MATCH("ZukanIndex",PalData_Header,0)),)</f>
        <v>83</v>
      </c>
      <c r="K66" s="42" t="str">
        <f aca="false">IFERROR(__xludf.dummyfunction("""COMPUTED_VALUE"""),"Cryolinx")</f>
        <v>Cryolinx</v>
      </c>
      <c r="M66" s="47" t="n">
        <f aca="false">IFERROR(INDEX(PalData,MATCH(O66,PalNames,0)+1,MATCH("Image",PalData_Header,0)),)</f>
        <v>0</v>
      </c>
      <c r="N66" s="48" t="n">
        <f aca="false">IFERROR(INDEX(PalData,MATCH(O66,PalNames,0)+1,MATCH("ZukanIndex",PalData_Header,0)),)</f>
        <v>0</v>
      </c>
      <c r="O66" s="49"/>
      <c r="Q66" s="27" t="n">
        <f aca="false">IFERROR(INDEX(PalData,MATCH(S66,PalNames,0)+1,MATCH("Image",PalData_Header,0)),)</f>
        <v>0</v>
      </c>
      <c r="R66" s="17" t="n">
        <f aca="false" t="array" ref="R66:R66">INDEX(PalData,MATCH(S66,PalNames,0)+1,MATCH("ZukanIndex",PalData_Header,0))</f>
        <v>40</v>
      </c>
      <c r="S66" s="18" t="s">
        <v>77</v>
      </c>
      <c r="T66" s="52" t="b">
        <f aca="false">FALSE()</f>
        <v>0</v>
      </c>
      <c r="U66" s="53" t="b">
        <f aca="false">FALSE()</f>
        <v>0</v>
      </c>
    </row>
    <row r="67" customFormat="false" ht="15.75" hidden="false" customHeight="false" outlineLevel="0" collapsed="false">
      <c r="F67" s="34" t="n">
        <f aca="false">IFERROR(INDEX(PalData,MATCH(H67,PalNames,0)+1,MATCH("Image",PalData_Header,0)),)</f>
        <v>0</v>
      </c>
      <c r="G67" s="35" t="n">
        <f aca="false" t="array" ref="G67:G67">IFERROR(INDEX(PalData,MATCH(H67,PalNames,0)+1,MATCH("ZukanIndex",PalData_Header,0)),)</f>
        <v>71</v>
      </c>
      <c r="H67" s="35" t="str">
        <f aca="false">IFERROR(__xludf.dummyfunction("""COMPUTED_VALUE"""),"Vanwyrm Cryst")</f>
        <v>Vanwyrm Cryst</v>
      </c>
      <c r="I67" s="36" t="n">
        <f aca="false">IFERROR(INDEX(PalData,MATCH(K67,PalNames,0)+1,MATCH("Image",PalData_Header,0)),)</f>
        <v>0</v>
      </c>
      <c r="J67" s="35" t="n">
        <f aca="false" t="array" ref="J67:J67">IFERROR(INDEX(PalData,MATCH(K67,PalNames,0)+1,MATCH("ZukanIndex",PalData_Header,0)),)</f>
        <v>98</v>
      </c>
      <c r="K67" s="37" t="str">
        <f aca="false">IFERROR(__xludf.dummyfunction("""COMPUTED_VALUE"""),"Astegon")</f>
        <v>Astegon</v>
      </c>
      <c r="M67" s="44" t="n">
        <f aca="false">IFERROR(INDEX(PalData,MATCH(O67,PalNames,0)+1,MATCH("Image",PalData_Header,0)),)</f>
        <v>0</v>
      </c>
      <c r="N67" s="45" t="n">
        <f aca="false">IFERROR(INDEX(PalData,MATCH(O67,PalNames,0)+1,MATCH("ZukanIndex",PalData_Header,0)),)</f>
        <v>0</v>
      </c>
      <c r="O67" s="46"/>
      <c r="Q67" s="21" t="n">
        <f aca="false">IFERROR(INDEX(PalData,MATCH(S67,PalNames,0)+1,MATCH("Image",PalData_Header,0)),)</f>
        <v>0</v>
      </c>
      <c r="R67" s="22" t="n">
        <f aca="false" t="array" ref="R67:R67">INDEX(PalData,MATCH(S67,PalNames,0)+1,MATCH("ZukanIndex",PalData_Header,0))</f>
        <v>40</v>
      </c>
      <c r="S67" s="23" t="s">
        <v>78</v>
      </c>
      <c r="T67" s="54" t="b">
        <f aca="false">FALSE()</f>
        <v>0</v>
      </c>
      <c r="U67" s="55" t="b">
        <f aca="false">FALSE()</f>
        <v>0</v>
      </c>
    </row>
    <row r="68" customFormat="false" ht="15.75" hidden="false" customHeight="false" outlineLevel="0" collapsed="false">
      <c r="F68" s="39" t="n">
        <f aca="false">IFERROR(INDEX(PalData,MATCH(H68,PalNames,0)+1,MATCH("Image",PalData_Header,0)),)</f>
        <v>0</v>
      </c>
      <c r="G68" s="40" t="n">
        <f aca="false" t="array" ref="G68:G68">IFERROR(INDEX(PalData,MATCH(H68,PalNames,0)+1,MATCH("ZukanIndex",PalData_Header,0)),)</f>
        <v>71</v>
      </c>
      <c r="H68" s="40" t="str">
        <f aca="false">IFERROR(__xludf.dummyfunction("""COMPUTED_VALUE"""),"Vanwyrm Cryst")</f>
        <v>Vanwyrm Cryst</v>
      </c>
      <c r="I68" s="41" t="n">
        <f aca="false">IFERROR(INDEX(PalData,MATCH(K68,PalNames,0)+1,MATCH("Image",PalData_Header,0)),)</f>
        <v>0</v>
      </c>
      <c r="J68" s="40" t="n">
        <f aca="false" t="array" ref="J68:J68">IFERROR(INDEX(PalData,MATCH(K68,PalNames,0)+1,MATCH("ZukanIndex",PalData_Header,0)),)</f>
        <v>106</v>
      </c>
      <c r="K68" s="42" t="str">
        <f aca="false">IFERROR(__xludf.dummyfunction("""COMPUTED_VALUE"""),"Orserk")</f>
        <v>Orserk</v>
      </c>
      <c r="M68" s="47" t="n">
        <f aca="false">IFERROR(INDEX(PalData,MATCH(O68,PalNames,0)+1,MATCH("Image",PalData_Header,0)),)</f>
        <v>0</v>
      </c>
      <c r="N68" s="48" t="n">
        <f aca="false">IFERROR(INDEX(PalData,MATCH(O68,PalNames,0)+1,MATCH("ZukanIndex",PalData_Header,0)),)</f>
        <v>0</v>
      </c>
      <c r="O68" s="49"/>
      <c r="Q68" s="27" t="n">
        <f aca="false">IFERROR(INDEX(PalData,MATCH(S68,PalNames,0)+1,MATCH("Image",PalData_Header,0)),)</f>
        <v>0</v>
      </c>
      <c r="R68" s="17" t="n">
        <f aca="false" t="array" ref="R68:R68">INDEX(PalData,MATCH(S68,PalNames,0)+1,MATCH("ZukanIndex",PalData_Header,0))</f>
        <v>111</v>
      </c>
      <c r="S68" s="18" t="s">
        <v>79</v>
      </c>
      <c r="T68" s="52" t="b">
        <f aca="false">FALSE()</f>
        <v>0</v>
      </c>
      <c r="U68" s="53" t="b">
        <f aca="false">FALSE()</f>
        <v>0</v>
      </c>
    </row>
    <row r="69" customFormat="false" ht="15.75" hidden="false" customHeight="false" outlineLevel="0" collapsed="false">
      <c r="F69" s="34" t="n">
        <f aca="false">IFERROR(INDEX(PalData,MATCH(H69,PalNames,0)+1,MATCH("Image",PalData_Header,0)),)</f>
        <v>0</v>
      </c>
      <c r="G69" s="35" t="n">
        <f aca="false" t="array" ref="G69:G69">IFERROR(INDEX(PalData,MATCH(H69,PalNames,0)+1,MATCH("ZukanIndex",PalData_Header,0)),)</f>
        <v>72</v>
      </c>
      <c r="H69" s="35" t="str">
        <f aca="false">IFERROR(__xludf.dummyfunction("""COMPUTED_VALUE"""),"Bushi")</f>
        <v>Bushi</v>
      </c>
      <c r="I69" s="36" t="n">
        <f aca="false">IFERROR(INDEX(PalData,MATCH(K69,PalNames,0)+1,MATCH("Image",PalData_Header,0)),)</f>
        <v>0</v>
      </c>
      <c r="J69" s="35" t="n">
        <f aca="false" t="array" ref="J69:J69">IFERROR(INDEX(PalData,MATCH(K69,PalNames,0)+1,MATCH("ZukanIndex",PalData_Header,0)),)</f>
        <v>83</v>
      </c>
      <c r="K69" s="37" t="str">
        <f aca="false">IFERROR(__xludf.dummyfunction("""COMPUTED_VALUE"""),"Cryolinx")</f>
        <v>Cryolinx</v>
      </c>
      <c r="M69" s="44" t="n">
        <f aca="false">IFERROR(INDEX(PalData,MATCH(O69,PalNames,0)+1,MATCH("Image",PalData_Header,0)),)</f>
        <v>0</v>
      </c>
      <c r="N69" s="45" t="n">
        <f aca="false">IFERROR(INDEX(PalData,MATCH(O69,PalNames,0)+1,MATCH("ZukanIndex",PalData_Header,0)),)</f>
        <v>0</v>
      </c>
      <c r="O69" s="46"/>
      <c r="Q69" s="21" t="n">
        <f aca="false">IFERROR(INDEX(PalData,MATCH(S69,PalNames,0)+1,MATCH("Image",PalData_Header,0)),)</f>
        <v>0</v>
      </c>
      <c r="R69" s="22" t="n">
        <f aca="false" t="array" ref="R69:R69">INDEX(PalData,MATCH(S69,PalNames,0)+1,MATCH("ZukanIndex",PalData_Header,0))</f>
        <v>12</v>
      </c>
      <c r="S69" s="23" t="s">
        <v>80</v>
      </c>
      <c r="T69" s="54" t="b">
        <f aca="false">FALSE()</f>
        <v>0</v>
      </c>
      <c r="U69" s="55" t="b">
        <f aca="false">FALSE()</f>
        <v>0</v>
      </c>
    </row>
    <row r="70" customFormat="false" ht="15.75" hidden="false" customHeight="false" outlineLevel="0" collapsed="false">
      <c r="F70" s="39" t="n">
        <f aca="false">IFERROR(INDEX(PalData,MATCH(H70,PalNames,0)+1,MATCH("Image",PalData_Header,0)),)</f>
        <v>0</v>
      </c>
      <c r="G70" s="40" t="n">
        <f aca="false" t="array" ref="G70:G70">IFERROR(INDEX(PalData,MATCH(H70,PalNames,0)+1,MATCH("ZukanIndex",PalData_Header,0)),)</f>
        <v>72</v>
      </c>
      <c r="H70" s="40" t="str">
        <f aca="false">IFERROR(__xludf.dummyfunction("""COMPUTED_VALUE"""),"Bushi")</f>
        <v>Bushi</v>
      </c>
      <c r="I70" s="41" t="n">
        <f aca="false">IFERROR(INDEX(PalData,MATCH(K70,PalNames,0)+1,MATCH("Image",PalData_Header,0)),)</f>
        <v>0</v>
      </c>
      <c r="J70" s="40" t="n">
        <f aca="false" t="array" ref="J70:J70">IFERROR(INDEX(PalData,MATCH(K70,PalNames,0)+1,MATCH("ZukanIndex",PalData_Header,0)),)</f>
        <v>106</v>
      </c>
      <c r="K70" s="42" t="str">
        <f aca="false">IFERROR(__xludf.dummyfunction("""COMPUTED_VALUE"""),"Orserk")</f>
        <v>Orserk</v>
      </c>
      <c r="M70" s="47" t="n">
        <f aca="false">IFERROR(INDEX(PalData,MATCH(O70,PalNames,0)+1,MATCH("Image",PalData_Header,0)),)</f>
        <v>0</v>
      </c>
      <c r="N70" s="48" t="n">
        <f aca="false">IFERROR(INDEX(PalData,MATCH(O70,PalNames,0)+1,MATCH("ZukanIndex",PalData_Header,0)),)</f>
        <v>0</v>
      </c>
      <c r="O70" s="49"/>
      <c r="Q70" s="27" t="n">
        <f aca="false">IFERROR(INDEX(PalData,MATCH(S70,PalNames,0)+1,MATCH("Image",PalData_Header,0)),)</f>
        <v>0</v>
      </c>
      <c r="R70" s="17" t="n">
        <f aca="false" t="array" ref="R70:R70">INDEX(PalData,MATCH(S70,PalNames,0)+1,MATCH("ZukanIndex",PalData_Header,0))</f>
        <v>12</v>
      </c>
      <c r="S70" s="18" t="s">
        <v>81</v>
      </c>
      <c r="T70" s="52" t="b">
        <f aca="false">FALSE()</f>
        <v>0</v>
      </c>
      <c r="U70" s="53" t="b">
        <f aca="false">FALSE()</f>
        <v>0</v>
      </c>
    </row>
    <row r="71" customFormat="false" ht="15.75" hidden="false" customHeight="false" outlineLevel="0" collapsed="false">
      <c r="F71" s="34" t="n">
        <f aca="false">IFERROR(INDEX(PalData,MATCH(H71,PalNames,0)+1,MATCH("Image",PalData_Header,0)),)</f>
        <v>0</v>
      </c>
      <c r="G71" s="35" t="n">
        <f aca="false" t="array" ref="G71:G71">IFERROR(INDEX(PalData,MATCH(H71,PalNames,0)+1,MATCH("ZukanIndex",PalData_Header,0)),)</f>
        <v>72</v>
      </c>
      <c r="H71" s="35" t="str">
        <f aca="false">IFERROR(__xludf.dummyfunction("""COMPUTED_VALUE"""),"Bushi")</f>
        <v>Bushi</v>
      </c>
      <c r="I71" s="36" t="n">
        <f aca="false">IFERROR(INDEX(PalData,MATCH(K71,PalNames,0)+1,MATCH("Image",PalData_Header,0)),)</f>
        <v>0</v>
      </c>
      <c r="J71" s="35" t="n">
        <f aca="false" t="array" ref="J71:J71">IFERROR(INDEX(PalData,MATCH(K71,PalNames,0)+1,MATCH("ZukanIndex",PalData_Header,0)),)</f>
        <v>110</v>
      </c>
      <c r="K71" s="37" t="str">
        <f aca="false">IFERROR(__xludf.dummyfunction("""COMPUTED_VALUE"""),"Frostallion")</f>
        <v>Frostallion</v>
      </c>
      <c r="M71" s="44" t="n">
        <f aca="false">IFERROR(INDEX(PalData,MATCH(O71,PalNames,0)+1,MATCH("Image",PalData_Header,0)),)</f>
        <v>0</v>
      </c>
      <c r="N71" s="45" t="n">
        <f aca="false">IFERROR(INDEX(PalData,MATCH(O71,PalNames,0)+1,MATCH("ZukanIndex",PalData_Header,0)),)</f>
        <v>0</v>
      </c>
      <c r="O71" s="46"/>
      <c r="Q71" s="21" t="n">
        <f aca="false">IFERROR(INDEX(PalData,MATCH(S71,PalNames,0)+1,MATCH("Image",PalData_Header,0)),)</f>
        <v>0</v>
      </c>
      <c r="R71" s="22" t="n">
        <f aca="false" t="array" ref="R71:R71">INDEX(PalData,MATCH(S71,PalNames,0)+1,MATCH("ZukanIndex",PalData_Header,0))</f>
        <v>101</v>
      </c>
      <c r="S71" s="23" t="s">
        <v>82</v>
      </c>
      <c r="T71" s="54" t="b">
        <f aca="false">FALSE()</f>
        <v>0</v>
      </c>
      <c r="U71" s="55" t="b">
        <f aca="false">FALSE()</f>
        <v>0</v>
      </c>
    </row>
    <row r="72" customFormat="false" ht="15.75" hidden="false" customHeight="false" outlineLevel="0" collapsed="false">
      <c r="F72" s="39" t="n">
        <f aca="false">IFERROR(INDEX(PalData,MATCH(H72,PalNames,0)+1,MATCH("Image",PalData_Header,0)),)</f>
        <v>0</v>
      </c>
      <c r="G72" s="40" t="n">
        <f aca="false" t="array" ref="G72:G72">IFERROR(INDEX(PalData,MATCH(H72,PalNames,0)+1,MATCH("ZukanIndex",PalData_Header,0)),)</f>
        <v>73</v>
      </c>
      <c r="H72" s="40" t="str">
        <f aca="false">IFERROR(__xludf.dummyfunction("""COMPUTED_VALUE"""),"Beakon")</f>
        <v>Beakon</v>
      </c>
      <c r="I72" s="41" t="n">
        <f aca="false">IFERROR(INDEX(PalData,MATCH(K72,PalNames,0)+1,MATCH("Image",PalData_Header,0)),)</f>
        <v>0</v>
      </c>
      <c r="J72" s="40" t="n">
        <f aca="false" t="array" ref="J72:J72">IFERROR(INDEX(PalData,MATCH(K72,PalNames,0)+1,MATCH("ZukanIndex",PalData_Header,0)),)</f>
        <v>80</v>
      </c>
      <c r="K72" s="42" t="str">
        <f aca="false">IFERROR(__xludf.dummyfunction("""COMPUTED_VALUE"""),"Elphidran")</f>
        <v>Elphidran</v>
      </c>
      <c r="M72" s="47" t="n">
        <f aca="false">IFERROR(INDEX(PalData,MATCH(O72,PalNames,0)+1,MATCH("Image",PalData_Header,0)),)</f>
        <v>0</v>
      </c>
      <c r="N72" s="48" t="n">
        <f aca="false">IFERROR(INDEX(PalData,MATCH(O72,PalNames,0)+1,MATCH("ZukanIndex",PalData_Header,0)),)</f>
        <v>0</v>
      </c>
      <c r="O72" s="49"/>
      <c r="Q72" s="27" t="n">
        <f aca="false">IFERROR(INDEX(PalData,MATCH(S72,PalNames,0)+1,MATCH("Image",PalData_Header,0)),)</f>
        <v>0</v>
      </c>
      <c r="R72" s="17" t="n">
        <f aca="false" t="array" ref="R72:R72">INDEX(PalData,MATCH(S72,PalNames,0)+1,MATCH("ZukanIndex",PalData_Header,0))</f>
        <v>101</v>
      </c>
      <c r="S72" s="18" t="s">
        <v>83</v>
      </c>
      <c r="T72" s="52" t="b">
        <f aca="false">FALSE()</f>
        <v>0</v>
      </c>
      <c r="U72" s="53" t="b">
        <f aca="false">FALSE()</f>
        <v>0</v>
      </c>
    </row>
    <row r="73" customFormat="false" ht="15.75" hidden="false" customHeight="false" outlineLevel="0" collapsed="false">
      <c r="F73" s="34" t="n">
        <f aca="false">IFERROR(INDEX(PalData,MATCH(H73,PalNames,0)+1,MATCH("Image",PalData_Header,0)),)</f>
        <v>0</v>
      </c>
      <c r="G73" s="35" t="n">
        <f aca="false" t="array" ref="G73:G73">IFERROR(INDEX(PalData,MATCH(H73,PalNames,0)+1,MATCH("ZukanIndex",PalData_Header,0)),)</f>
        <v>73</v>
      </c>
      <c r="H73" s="35" t="str">
        <f aca="false">IFERROR(__xludf.dummyfunction("""COMPUTED_VALUE"""),"Beakon")</f>
        <v>Beakon</v>
      </c>
      <c r="I73" s="36" t="n">
        <f aca="false">IFERROR(INDEX(PalData,MATCH(K73,PalNames,0)+1,MATCH("Image",PalData_Header,0)),)</f>
        <v>0</v>
      </c>
      <c r="J73" s="35" t="n">
        <f aca="false" t="array" ref="J73:J73">IFERROR(INDEX(PalData,MATCH(K73,PalNames,0)+1,MATCH("ZukanIndex",PalData_Header,0)),)</f>
        <v>80</v>
      </c>
      <c r="K73" s="37" t="str">
        <f aca="false">IFERROR(__xludf.dummyfunction("""COMPUTED_VALUE"""),"Elphidran Aqua")</f>
        <v>Elphidran Aqua</v>
      </c>
      <c r="M73" s="44" t="n">
        <f aca="false">IFERROR(INDEX(PalData,MATCH(O73,PalNames,0)+1,MATCH("Image",PalData_Header,0)),)</f>
        <v>0</v>
      </c>
      <c r="N73" s="45" t="n">
        <f aca="false">IFERROR(INDEX(PalData,MATCH(O73,PalNames,0)+1,MATCH("ZukanIndex",PalData_Header,0)),)</f>
        <v>0</v>
      </c>
      <c r="O73" s="46"/>
      <c r="Q73" s="21" t="n">
        <f aca="false">IFERROR(INDEX(PalData,MATCH(S73,PalNames,0)+1,MATCH("Image",PalData_Header,0)),)</f>
        <v>0</v>
      </c>
      <c r="R73" s="22" t="n">
        <f aca="false" t="array" ref="R73:R73">INDEX(PalData,MATCH(S73,PalNames,0)+1,MATCH("ZukanIndex",PalData_Header,0))</f>
        <v>75</v>
      </c>
      <c r="S73" s="23" t="s">
        <v>84</v>
      </c>
      <c r="T73" s="54" t="b">
        <f aca="false">FALSE()</f>
        <v>0</v>
      </c>
      <c r="U73" s="55" t="b">
        <f aca="false">FALSE()</f>
        <v>0</v>
      </c>
    </row>
    <row r="74" customFormat="false" ht="15.75" hidden="false" customHeight="false" outlineLevel="0" collapsed="false">
      <c r="F74" s="39" t="n">
        <f aca="false">IFERROR(INDEX(PalData,MATCH(H74,PalNames,0)+1,MATCH("Image",PalData_Header,0)),)</f>
        <v>0</v>
      </c>
      <c r="G74" s="40" t="n">
        <f aca="false" t="array" ref="G74:G74">IFERROR(INDEX(PalData,MATCH(H74,PalNames,0)+1,MATCH("ZukanIndex",PalData_Header,0)),)</f>
        <v>74</v>
      </c>
      <c r="H74" s="40" t="str">
        <f aca="false">IFERROR(__xludf.dummyfunction("""COMPUTED_VALUE"""),"Ragnahawk")</f>
        <v>Ragnahawk</v>
      </c>
      <c r="I74" s="41" t="n">
        <f aca="false">IFERROR(INDEX(PalData,MATCH(K74,PalNames,0)+1,MATCH("Image",PalData_Header,0)),)</f>
        <v>0</v>
      </c>
      <c r="J74" s="40" t="n">
        <f aca="false" t="array" ref="J74:J74">IFERROR(INDEX(PalData,MATCH(K74,PalNames,0)+1,MATCH("ZukanIndex",PalData_Header,0)),)</f>
        <v>74</v>
      </c>
      <c r="K74" s="42" t="str">
        <f aca="false">IFERROR(__xludf.dummyfunction("""COMPUTED_VALUE"""),"Ragnahawk")</f>
        <v>Ragnahawk</v>
      </c>
      <c r="M74" s="47" t="n">
        <f aca="false">IFERROR(INDEX(PalData,MATCH(O74,PalNames,0)+1,MATCH("Image",PalData_Header,0)),)</f>
        <v>0</v>
      </c>
      <c r="N74" s="48" t="n">
        <f aca="false">IFERROR(INDEX(PalData,MATCH(O74,PalNames,0)+1,MATCH("ZukanIndex",PalData_Header,0)),)</f>
        <v>0</v>
      </c>
      <c r="O74" s="49"/>
      <c r="Q74" s="27" t="n">
        <f aca="false">IFERROR(INDEX(PalData,MATCH(S74,PalNames,0)+1,MATCH("Image",PalData_Header,0)),)</f>
        <v>0</v>
      </c>
      <c r="R74" s="17" t="n">
        <f aca="false" t="array" ref="R74:R74">INDEX(PalData,MATCH(S74,PalNames,0)+1,MATCH("ZukanIndex",PalData_Header,0))</f>
        <v>81</v>
      </c>
      <c r="S74" s="18" t="s">
        <v>85</v>
      </c>
      <c r="T74" s="52" t="b">
        <f aca="false">FALSE()</f>
        <v>0</v>
      </c>
      <c r="U74" s="53" t="b">
        <f aca="false">FALSE()</f>
        <v>0</v>
      </c>
    </row>
    <row r="75" customFormat="false" ht="15.75" hidden="false" customHeight="false" outlineLevel="0" collapsed="false">
      <c r="F75" s="34" t="n">
        <f aca="false">IFERROR(INDEX(PalData,MATCH(H75,PalNames,0)+1,MATCH("Image",PalData_Header,0)),)</f>
        <v>0</v>
      </c>
      <c r="G75" s="35" t="n">
        <f aca="false" t="array" ref="G75:G75">IFERROR(INDEX(PalData,MATCH(H75,PalNames,0)+1,MATCH("ZukanIndex",PalData_Header,0)),)</f>
        <v>74</v>
      </c>
      <c r="H75" s="35" t="str">
        <f aca="false">IFERROR(__xludf.dummyfunction("""COMPUTED_VALUE"""),"Ragnahawk")</f>
        <v>Ragnahawk</v>
      </c>
      <c r="I75" s="36" t="n">
        <f aca="false">IFERROR(INDEX(PalData,MATCH(K75,PalNames,0)+1,MATCH("Image",PalData_Header,0)),)</f>
        <v>0</v>
      </c>
      <c r="J75" s="35" t="n">
        <f aca="false" t="array" ref="J75:J75">IFERROR(INDEX(PalData,MATCH(K75,PalNames,0)+1,MATCH("ZukanIndex",PalData_Header,0)),)</f>
        <v>105</v>
      </c>
      <c r="K75" s="37" t="str">
        <f aca="false">IFERROR(__xludf.dummyfunction("""COMPUTED_VALUE"""),"Faleris")</f>
        <v>Faleris</v>
      </c>
      <c r="M75" s="44" t="n">
        <f aca="false">IFERROR(INDEX(PalData,MATCH(O75,PalNames,0)+1,MATCH("Image",PalData_Header,0)),)</f>
        <v>0</v>
      </c>
      <c r="N75" s="45" t="n">
        <f aca="false">IFERROR(INDEX(PalData,MATCH(O75,PalNames,0)+1,MATCH("ZukanIndex",PalData_Header,0)),)</f>
        <v>0</v>
      </c>
      <c r="O75" s="46"/>
      <c r="Q75" s="21" t="n">
        <f aca="false">IFERROR(INDEX(PalData,MATCH(S75,PalNames,0)+1,MATCH("Image",PalData_Header,0)),)</f>
        <v>0</v>
      </c>
      <c r="R75" s="22" t="n">
        <f aca="false" t="array" ref="R75:R75">INDEX(PalData,MATCH(S75,PalNames,0)+1,MATCH("ZukanIndex",PalData_Header,0))</f>
        <v>81</v>
      </c>
      <c r="S75" s="23" t="s">
        <v>86</v>
      </c>
      <c r="T75" s="54" t="b">
        <f aca="false">FALSE()</f>
        <v>0</v>
      </c>
      <c r="U75" s="55" t="b">
        <f aca="false">FALSE()</f>
        <v>0</v>
      </c>
    </row>
    <row r="76" customFormat="false" ht="15.75" hidden="false" customHeight="false" outlineLevel="0" collapsed="false">
      <c r="F76" s="39" t="n">
        <f aca="false">IFERROR(INDEX(PalData,MATCH(H76,PalNames,0)+1,MATCH("Image",PalData_Header,0)),)</f>
        <v>0</v>
      </c>
      <c r="G76" s="40" t="n">
        <f aca="false" t="array" ref="G76:G76">IFERROR(INDEX(PalData,MATCH(H76,PalNames,0)+1,MATCH("ZukanIndex",PalData_Header,0)),)</f>
        <v>75</v>
      </c>
      <c r="H76" s="40" t="str">
        <f aca="false">IFERROR(__xludf.dummyfunction("""COMPUTED_VALUE"""),"Katress")</f>
        <v>Katress</v>
      </c>
      <c r="I76" s="41" t="n">
        <f aca="false">IFERROR(INDEX(PalData,MATCH(K76,PalNames,0)+1,MATCH("Image",PalData_Header,0)),)</f>
        <v>0</v>
      </c>
      <c r="J76" s="40" t="n">
        <f aca="false" t="array" ref="J76:J76">IFERROR(INDEX(PalData,MATCH(K76,PalNames,0)+1,MATCH("ZukanIndex",PalData_Header,0)),)</f>
        <v>102</v>
      </c>
      <c r="K76" s="42" t="str">
        <f aca="false">IFERROR(__xludf.dummyfunction("""COMPUTED_VALUE"""),"Suzaku")</f>
        <v>Suzaku</v>
      </c>
      <c r="M76" s="47" t="n">
        <f aca="false">IFERROR(INDEX(PalData,MATCH(O76,PalNames,0)+1,MATCH("Image",PalData_Header,0)),)</f>
        <v>0</v>
      </c>
      <c r="N76" s="48" t="n">
        <f aca="false">IFERROR(INDEX(PalData,MATCH(O76,PalNames,0)+1,MATCH("ZukanIndex",PalData_Header,0)),)</f>
        <v>0</v>
      </c>
      <c r="O76" s="49"/>
      <c r="Q76" s="27" t="n">
        <f aca="false">IFERROR(INDEX(PalData,MATCH(S76,PalNames,0)+1,MATCH("Image",PalData_Header,0)),)</f>
        <v>0</v>
      </c>
      <c r="R76" s="17" t="n">
        <f aca="false" t="array" ref="R76:R76">INDEX(PalData,MATCH(S76,PalNames,0)+1,MATCH("ZukanIndex",PalData_Header,0))</f>
        <v>23</v>
      </c>
      <c r="S76" s="18" t="s">
        <v>87</v>
      </c>
      <c r="T76" s="52" t="b">
        <f aca="false">FALSE()</f>
        <v>0</v>
      </c>
      <c r="U76" s="53" t="b">
        <f aca="false">FALSE()</f>
        <v>0</v>
      </c>
    </row>
    <row r="77" customFormat="false" ht="15.75" hidden="false" customHeight="false" outlineLevel="0" collapsed="false">
      <c r="F77" s="34" t="n">
        <f aca="false">IFERROR(INDEX(PalData,MATCH(H77,PalNames,0)+1,MATCH("Image",PalData_Header,0)),)</f>
        <v>0</v>
      </c>
      <c r="G77" s="35" t="n">
        <f aca="false" t="array" ref="G77:G77">IFERROR(INDEX(PalData,MATCH(H77,PalNames,0)+1,MATCH("ZukanIndex",PalData_Header,0)),)</f>
        <v>75</v>
      </c>
      <c r="H77" s="35" t="str">
        <f aca="false">IFERROR(__xludf.dummyfunction("""COMPUTED_VALUE"""),"Katress")</f>
        <v>Katress</v>
      </c>
      <c r="I77" s="36" t="n">
        <f aca="false">IFERROR(INDEX(PalData,MATCH(K77,PalNames,0)+1,MATCH("Image",PalData_Header,0)),)</f>
        <v>0</v>
      </c>
      <c r="J77" s="35" t="n">
        <f aca="false" t="array" ref="J77:J77">IFERROR(INDEX(PalData,MATCH(K77,PalNames,0)+1,MATCH("ZukanIndex",PalData_Header,0)),)</f>
        <v>107</v>
      </c>
      <c r="K77" s="37" t="str">
        <f aca="false">IFERROR(__xludf.dummyfunction("""COMPUTED_VALUE"""),"Shadowbeak")</f>
        <v>Shadowbeak</v>
      </c>
      <c r="M77" s="44" t="n">
        <f aca="false">IFERROR(INDEX(PalData,MATCH(O77,PalNames,0)+1,MATCH("Image",PalData_Header,0)),)</f>
        <v>0</v>
      </c>
      <c r="N77" s="45" t="n">
        <f aca="false">IFERROR(INDEX(PalData,MATCH(O77,PalNames,0)+1,MATCH("ZukanIndex",PalData_Header,0)),)</f>
        <v>0</v>
      </c>
      <c r="O77" s="46"/>
      <c r="Q77" s="21" t="n">
        <f aca="false">IFERROR(INDEX(PalData,MATCH(S77,PalNames,0)+1,MATCH("Image",PalData_Header,0)),)</f>
        <v>0</v>
      </c>
      <c r="R77" s="22" t="n">
        <f aca="false" t="array" ref="R77:R77">INDEX(PalData,MATCH(S77,PalNames,0)+1,MATCH("ZukanIndex",PalData_Header,0))</f>
        <v>89</v>
      </c>
      <c r="S77" s="23" t="s">
        <v>88</v>
      </c>
      <c r="T77" s="54" t="b">
        <f aca="false">FALSE()</f>
        <v>0</v>
      </c>
      <c r="U77" s="55" t="b">
        <f aca="false">FALSE()</f>
        <v>0</v>
      </c>
    </row>
    <row r="78" customFormat="false" ht="15.75" hidden="false" customHeight="false" outlineLevel="0" collapsed="false">
      <c r="F78" s="39" t="n">
        <f aca="false">IFERROR(INDEX(PalData,MATCH(H78,PalNames,0)+1,MATCH("Image",PalData_Header,0)),)</f>
        <v>0</v>
      </c>
      <c r="G78" s="40" t="n">
        <f aca="false" t="array" ref="G78:G78">IFERROR(INDEX(PalData,MATCH(H78,PalNames,0)+1,MATCH("ZukanIndex",PalData_Header,0)),)</f>
        <v>75</v>
      </c>
      <c r="H78" s="40" t="str">
        <f aca="false">IFERROR(__xludf.dummyfunction("""COMPUTED_VALUE"""),"Katress")</f>
        <v>Katress</v>
      </c>
      <c r="I78" s="41" t="n">
        <f aca="false">IFERROR(INDEX(PalData,MATCH(K78,PalNames,0)+1,MATCH("Image",PalData_Header,0)),)</f>
        <v>0</v>
      </c>
      <c r="J78" s="40" t="n">
        <f aca="false" t="array" ref="J78:J78">IFERROR(INDEX(PalData,MATCH(K78,PalNames,0)+1,MATCH("ZukanIndex",PalData_Header,0)),)</f>
        <v>108</v>
      </c>
      <c r="K78" s="42" t="str">
        <f aca="false">IFERROR(__xludf.dummyfunction("""COMPUTED_VALUE"""),"Paladius")</f>
        <v>Paladius</v>
      </c>
      <c r="M78" s="47" t="n">
        <f aca="false">IFERROR(INDEX(PalData,MATCH(O78,PalNames,0)+1,MATCH("Image",PalData_Header,0)),)</f>
        <v>0</v>
      </c>
      <c r="N78" s="48" t="n">
        <f aca="false">IFERROR(INDEX(PalData,MATCH(O78,PalNames,0)+1,MATCH("ZukanIndex",PalData_Header,0)),)</f>
        <v>0</v>
      </c>
      <c r="O78" s="49"/>
      <c r="Q78" s="27" t="n">
        <f aca="false">IFERROR(INDEX(PalData,MATCH(S78,PalNames,0)+1,MATCH("Image",PalData_Header,0)),)</f>
        <v>0</v>
      </c>
      <c r="R78" s="17" t="n">
        <f aca="false" t="array" ref="R78:R78">INDEX(PalData,MATCH(S78,PalNames,0)+1,MATCH("ZukanIndex",PalData_Header,0))</f>
        <v>61</v>
      </c>
      <c r="S78" s="18" t="s">
        <v>89</v>
      </c>
      <c r="T78" s="52" t="b">
        <f aca="false">FALSE()</f>
        <v>0</v>
      </c>
      <c r="U78" s="53" t="b">
        <f aca="false">FALSE()</f>
        <v>0</v>
      </c>
    </row>
    <row r="79" customFormat="false" ht="15.75" hidden="false" customHeight="false" outlineLevel="0" collapsed="false">
      <c r="F79" s="34" t="n">
        <f aca="false">IFERROR(INDEX(PalData,MATCH(H79,PalNames,0)+1,MATCH("Image",PalData_Header,0)),)</f>
        <v>0</v>
      </c>
      <c r="G79" s="35" t="n">
        <f aca="false" t="array" ref="G79:G79">IFERROR(INDEX(PalData,MATCH(H79,PalNames,0)+1,MATCH("ZukanIndex",PalData_Header,0)),)</f>
        <v>75</v>
      </c>
      <c r="H79" s="35" t="str">
        <f aca="false">IFERROR(__xludf.dummyfunction("""COMPUTED_VALUE"""),"Katress")</f>
        <v>Katress</v>
      </c>
      <c r="I79" s="36" t="n">
        <f aca="false">IFERROR(INDEX(PalData,MATCH(K79,PalNames,0)+1,MATCH("Image",PalData_Header,0)),)</f>
        <v>0</v>
      </c>
      <c r="J79" s="35" t="n">
        <f aca="false" t="array" ref="J79:J79">IFERROR(INDEX(PalData,MATCH(K79,PalNames,0)+1,MATCH("ZukanIndex",PalData_Header,0)),)</f>
        <v>109</v>
      </c>
      <c r="K79" s="37" t="str">
        <f aca="false">IFERROR(__xludf.dummyfunction("""COMPUTED_VALUE"""),"Necromus")</f>
        <v>Necromus</v>
      </c>
      <c r="M79" s="44" t="n">
        <f aca="false">IFERROR(INDEX(PalData,MATCH(O79,PalNames,0)+1,MATCH("Image",PalData_Header,0)),)</f>
        <v>0</v>
      </c>
      <c r="N79" s="45" t="n">
        <f aca="false">IFERROR(INDEX(PalData,MATCH(O79,PalNames,0)+1,MATCH("ZukanIndex",PalData_Header,0)),)</f>
        <v>0</v>
      </c>
      <c r="O79" s="46"/>
      <c r="Q79" s="21" t="n">
        <f aca="false">IFERROR(INDEX(PalData,MATCH(S79,PalNames,0)+1,MATCH("Image",PalData_Header,0)),)</f>
        <v>0</v>
      </c>
      <c r="R79" s="22" t="n">
        <f aca="false" t="array" ref="R79:R79">INDEX(PalData,MATCH(S79,PalNames,0)+1,MATCH("ZukanIndex",PalData_Header,0))</f>
        <v>1</v>
      </c>
      <c r="S79" s="23" t="s">
        <v>90</v>
      </c>
      <c r="T79" s="54" t="b">
        <f aca="false">FALSE()</f>
        <v>0</v>
      </c>
      <c r="U79" s="55" t="b">
        <f aca="false">FALSE()</f>
        <v>0</v>
      </c>
    </row>
    <row r="80" customFormat="false" ht="15.75" hidden="false" customHeight="false" outlineLevel="0" collapsed="false">
      <c r="F80" s="39" t="n">
        <f aca="false">IFERROR(INDEX(PalData,MATCH(H80,PalNames,0)+1,MATCH("Image",PalData_Header,0)),)</f>
        <v>0</v>
      </c>
      <c r="G80" s="40" t="n">
        <f aca="false" t="array" ref="G80:G80">IFERROR(INDEX(PalData,MATCH(H80,PalNames,0)+1,MATCH("ZukanIndex",PalData_Header,0)),)</f>
        <v>79</v>
      </c>
      <c r="H80" s="40" t="str">
        <f aca="false">IFERROR(__xludf.dummyfunction("""COMPUTED_VALUE"""),"Sibelyx")</f>
        <v>Sibelyx</v>
      </c>
      <c r="I80" s="41" t="n">
        <f aca="false">IFERROR(INDEX(PalData,MATCH(K80,PalNames,0)+1,MATCH("Image",PalData_Header,0)),)</f>
        <v>0</v>
      </c>
      <c r="J80" s="40" t="n">
        <f aca="false" t="array" ref="J80:J80">IFERROR(INDEX(PalData,MATCH(K80,PalNames,0)+1,MATCH("ZukanIndex",PalData_Header,0)),)</f>
        <v>88</v>
      </c>
      <c r="K80" s="42" t="str">
        <f aca="false">IFERROR(__xludf.dummyfunction("""COMPUTED_VALUE"""),"Reptyro")</f>
        <v>Reptyro</v>
      </c>
      <c r="M80" s="47" t="n">
        <f aca="false">IFERROR(INDEX(PalData,MATCH(O80,PalNames,0)+1,MATCH("Image",PalData_Header,0)),)</f>
        <v>0</v>
      </c>
      <c r="N80" s="48" t="n">
        <f aca="false">IFERROR(INDEX(PalData,MATCH(O80,PalNames,0)+1,MATCH("ZukanIndex",PalData_Header,0)),)</f>
        <v>0</v>
      </c>
      <c r="O80" s="49"/>
      <c r="Q80" s="27" t="n">
        <f aca="false">IFERROR(INDEX(PalData,MATCH(S80,PalNames,0)+1,MATCH("Image",PalData_Header,0)),)</f>
        <v>0</v>
      </c>
      <c r="R80" s="17" t="n">
        <f aca="false" t="array" ref="R80:R80">INDEX(PalData,MATCH(S80,PalNames,0)+1,MATCH("ZukanIndex",PalData_Header,0))</f>
        <v>45</v>
      </c>
      <c r="S80" s="18" t="s">
        <v>91</v>
      </c>
      <c r="T80" s="52" t="b">
        <f aca="false">FALSE()</f>
        <v>0</v>
      </c>
      <c r="U80" s="53" t="b">
        <f aca="false">FALSE()</f>
        <v>0</v>
      </c>
    </row>
    <row r="81" customFormat="false" ht="15.75" hidden="false" customHeight="false" outlineLevel="0" collapsed="false">
      <c r="F81" s="34" t="n">
        <f aca="false">IFERROR(INDEX(PalData,MATCH(H81,PalNames,0)+1,MATCH("Image",PalData_Header,0)),)</f>
        <v>0</v>
      </c>
      <c r="G81" s="35" t="n">
        <f aca="false" t="array" ref="G81:G81">IFERROR(INDEX(PalData,MATCH(H81,PalNames,0)+1,MATCH("ZukanIndex",PalData_Header,0)),)</f>
        <v>79</v>
      </c>
      <c r="H81" s="35" t="str">
        <f aca="false">IFERROR(__xludf.dummyfunction("""COMPUTED_VALUE"""),"Sibelyx")</f>
        <v>Sibelyx</v>
      </c>
      <c r="I81" s="36" t="n">
        <f aca="false">IFERROR(INDEX(PalData,MATCH(K81,PalNames,0)+1,MATCH("Image",PalData_Header,0)),)</f>
        <v>0</v>
      </c>
      <c r="J81" s="35" t="n">
        <f aca="false" t="array" ref="J81:J81">IFERROR(INDEX(PalData,MATCH(K81,PalNames,0)+1,MATCH("ZukanIndex",PalData_Header,0)),)</f>
        <v>90</v>
      </c>
      <c r="K81" s="37" t="str">
        <f aca="false">IFERROR(__xludf.dummyfunction("""COMPUTED_VALUE"""),"Mammorest")</f>
        <v>Mammorest</v>
      </c>
      <c r="M81" s="44" t="n">
        <f aca="false">IFERROR(INDEX(PalData,MATCH(O81,PalNames,0)+1,MATCH("Image",PalData_Header,0)),)</f>
        <v>0</v>
      </c>
      <c r="N81" s="45" t="n">
        <f aca="false">IFERROR(INDEX(PalData,MATCH(O81,PalNames,0)+1,MATCH("ZukanIndex",PalData_Header,0)),)</f>
        <v>0</v>
      </c>
      <c r="O81" s="46"/>
      <c r="Q81" s="21" t="n">
        <f aca="false">IFERROR(INDEX(PalData,MATCH(S81,PalNames,0)+1,MATCH("Image",PalData_Header,0)),)</f>
        <v>0</v>
      </c>
      <c r="R81" s="22" t="n">
        <f aca="false" t="array" ref="R81:R81">INDEX(PalData,MATCH(S81,PalNames,0)+1,MATCH("ZukanIndex",PalData_Header,0))</f>
        <v>45</v>
      </c>
      <c r="S81" s="23" t="s">
        <v>92</v>
      </c>
      <c r="T81" s="54" t="b">
        <f aca="false">FALSE()</f>
        <v>0</v>
      </c>
      <c r="U81" s="55" t="b">
        <f aca="false">FALSE()</f>
        <v>0</v>
      </c>
    </row>
    <row r="82" customFormat="false" ht="15.75" hidden="false" customHeight="false" outlineLevel="0" collapsed="false">
      <c r="F82" s="39" t="n">
        <f aca="false">IFERROR(INDEX(PalData,MATCH(H82,PalNames,0)+1,MATCH("Image",PalData_Header,0)),)</f>
        <v>0</v>
      </c>
      <c r="G82" s="40" t="n">
        <f aca="false" t="array" ref="G82:G82">IFERROR(INDEX(PalData,MATCH(H82,PalNames,0)+1,MATCH("ZukanIndex",PalData_Header,0)),)</f>
        <v>79</v>
      </c>
      <c r="H82" s="40" t="str">
        <f aca="false">IFERROR(__xludf.dummyfunction("""COMPUTED_VALUE"""),"Sibelyx")</f>
        <v>Sibelyx</v>
      </c>
      <c r="I82" s="41" t="n">
        <f aca="false">IFERROR(INDEX(PalData,MATCH(K82,PalNames,0)+1,MATCH("Image",PalData_Header,0)),)</f>
        <v>0</v>
      </c>
      <c r="J82" s="40" t="n">
        <f aca="false" t="array" ref="J82:J82">IFERROR(INDEX(PalData,MATCH(K82,PalNames,0)+1,MATCH("ZukanIndex",PalData_Header,0)),)</f>
        <v>101</v>
      </c>
      <c r="K82" s="42" t="str">
        <f aca="false">IFERROR(__xludf.dummyfunction("""COMPUTED_VALUE"""),"Jormuntide")</f>
        <v>Jormuntide</v>
      </c>
      <c r="M82" s="47" t="n">
        <f aca="false">IFERROR(INDEX(PalData,MATCH(O82,PalNames,0)+1,MATCH("Image",PalData_Header,0)),)</f>
        <v>0</v>
      </c>
      <c r="N82" s="48" t="n">
        <f aca="false">IFERROR(INDEX(PalData,MATCH(O82,PalNames,0)+1,MATCH("ZukanIndex",PalData_Header,0)),)</f>
        <v>0</v>
      </c>
      <c r="O82" s="49"/>
      <c r="Q82" s="27" t="n">
        <f aca="false">IFERROR(INDEX(PalData,MATCH(S82,PalNames,0)+1,MATCH("Image",PalData_Header,0)),)</f>
        <v>0</v>
      </c>
      <c r="R82" s="17" t="n">
        <f aca="false" t="array" ref="R82:R82">INDEX(PalData,MATCH(S82,PalNames,0)+1,MATCH("ZukanIndex",PalData_Header,0))</f>
        <v>4</v>
      </c>
      <c r="S82" s="18" t="s">
        <v>93</v>
      </c>
      <c r="T82" s="52" t="b">
        <f aca="false">FALSE()</f>
        <v>0</v>
      </c>
      <c r="U82" s="53" t="b">
        <f aca="false">FALSE()</f>
        <v>0</v>
      </c>
    </row>
    <row r="83" customFormat="false" ht="15.75" hidden="false" customHeight="false" outlineLevel="0" collapsed="false">
      <c r="F83" s="34" t="n">
        <f aca="false">IFERROR(INDEX(PalData,MATCH(H83,PalNames,0)+1,MATCH("Image",PalData_Header,0)),)</f>
        <v>0</v>
      </c>
      <c r="G83" s="35" t="n">
        <f aca="false" t="array" ref="G83:G83">IFERROR(INDEX(PalData,MATCH(H83,PalNames,0)+1,MATCH("ZukanIndex",PalData_Header,0)),)</f>
        <v>79</v>
      </c>
      <c r="H83" s="35" t="str">
        <f aca="false">IFERROR(__xludf.dummyfunction("""COMPUTED_VALUE"""),"Sibelyx")</f>
        <v>Sibelyx</v>
      </c>
      <c r="I83" s="36" t="n">
        <f aca="false">IFERROR(INDEX(PalData,MATCH(K83,PalNames,0)+1,MATCH("Image",PalData_Header,0)),)</f>
        <v>0</v>
      </c>
      <c r="J83" s="35" t="n">
        <f aca="false" t="array" ref="J83:J83">IFERROR(INDEX(PalData,MATCH(K83,PalNames,0)+1,MATCH("ZukanIndex",PalData_Header,0)),)</f>
        <v>101</v>
      </c>
      <c r="K83" s="37" t="str">
        <f aca="false">IFERROR(__xludf.dummyfunction("""COMPUTED_VALUE"""),"Jormuntide Ignis")</f>
        <v>Jormuntide Ignis</v>
      </c>
      <c r="M83" s="44" t="n">
        <f aca="false">IFERROR(INDEX(PalData,MATCH(O83,PalNames,0)+1,MATCH("Image",PalData_Header,0)),)</f>
        <v>0</v>
      </c>
      <c r="N83" s="45" t="n">
        <f aca="false">IFERROR(INDEX(PalData,MATCH(O83,PalNames,0)+1,MATCH("ZukanIndex",PalData_Header,0)),)</f>
        <v>0</v>
      </c>
      <c r="O83" s="46"/>
      <c r="Q83" s="21" t="n">
        <f aca="false">IFERROR(INDEX(PalData,MATCH(S83,PalNames,0)+1,MATCH("Image",PalData_Header,0)),)</f>
        <v>0</v>
      </c>
      <c r="R83" s="22" t="n">
        <f aca="false" t="array" ref="R83:R83">INDEX(PalData,MATCH(S83,PalNames,0)+1,MATCH("ZukanIndex",PalData_Header,0))</f>
        <v>46</v>
      </c>
      <c r="S83" s="23" t="s">
        <v>94</v>
      </c>
      <c r="T83" s="54" t="b">
        <f aca="false">FALSE()</f>
        <v>0</v>
      </c>
      <c r="U83" s="55" t="b">
        <f aca="false">FALSE()</f>
        <v>0</v>
      </c>
    </row>
    <row r="84" customFormat="false" ht="15.75" hidden="false" customHeight="false" outlineLevel="0" collapsed="false">
      <c r="F84" s="39" t="n">
        <f aca="false">IFERROR(INDEX(PalData,MATCH(H84,PalNames,0)+1,MATCH("Image",PalData_Header,0)),)</f>
        <v>0</v>
      </c>
      <c r="G84" s="40" t="n">
        <f aca="false" t="array" ref="G84:G84">IFERROR(INDEX(PalData,MATCH(H84,PalNames,0)+1,MATCH("ZukanIndex",PalData_Header,0)),)</f>
        <v>80</v>
      </c>
      <c r="H84" s="40" t="str">
        <f aca="false">IFERROR(__xludf.dummyfunction("""COMPUTED_VALUE"""),"Elphidran")</f>
        <v>Elphidran</v>
      </c>
      <c r="I84" s="41" t="n">
        <f aca="false">IFERROR(INDEX(PalData,MATCH(K84,PalNames,0)+1,MATCH("Image",PalData_Header,0)),)</f>
        <v>0</v>
      </c>
      <c r="J84" s="40" t="n">
        <f aca="false" t="array" ref="J84:J84">IFERROR(INDEX(PalData,MATCH(K84,PalNames,0)+1,MATCH("ZukanIndex",PalData_Header,0)),)</f>
        <v>88</v>
      </c>
      <c r="K84" s="42" t="str">
        <f aca="false">IFERROR(__xludf.dummyfunction("""COMPUTED_VALUE"""),"Ice Reptyro")</f>
        <v>Ice Reptyro</v>
      </c>
      <c r="M84" s="47" t="n">
        <f aca="false">IFERROR(INDEX(PalData,MATCH(O84,PalNames,0)+1,MATCH("Image",PalData_Header,0)),)</f>
        <v>0</v>
      </c>
      <c r="N84" s="48" t="n">
        <f aca="false">IFERROR(INDEX(PalData,MATCH(O84,PalNames,0)+1,MATCH("ZukanIndex",PalData_Header,0)),)</f>
        <v>0</v>
      </c>
      <c r="O84" s="49"/>
      <c r="Q84" s="27" t="n">
        <f aca="false">IFERROR(INDEX(PalData,MATCH(S84,PalNames,0)+1,MATCH("Image",PalData_Header,0)),)</f>
        <v>0</v>
      </c>
      <c r="R84" s="17" t="n">
        <f aca="false" t="array" ref="R84:R84">INDEX(PalData,MATCH(S84,PalNames,0)+1,MATCH("ZukanIndex",PalData_Header,0))</f>
        <v>69</v>
      </c>
      <c r="S84" s="18" t="s">
        <v>95</v>
      </c>
      <c r="T84" s="52" t="b">
        <f aca="false">FALSE()</f>
        <v>0</v>
      </c>
      <c r="U84" s="53" t="b">
        <f aca="false">FALSE()</f>
        <v>0</v>
      </c>
    </row>
    <row r="85" customFormat="false" ht="15.75" hidden="false" customHeight="false" outlineLevel="0" collapsed="false">
      <c r="F85" s="34" t="n">
        <f aca="false">IFERROR(INDEX(PalData,MATCH(H85,PalNames,0)+1,MATCH("Image",PalData_Header,0)),)</f>
        <v>0</v>
      </c>
      <c r="G85" s="35" t="n">
        <f aca="false" t="array" ref="G85:G85">IFERROR(INDEX(PalData,MATCH(H85,PalNames,0)+1,MATCH("ZukanIndex",PalData_Header,0)),)</f>
        <v>80</v>
      </c>
      <c r="H85" s="35" t="str">
        <f aca="false">IFERROR(__xludf.dummyfunction("""COMPUTED_VALUE"""),"Elphidran")</f>
        <v>Elphidran</v>
      </c>
      <c r="I85" s="36" t="n">
        <f aca="false">IFERROR(INDEX(PalData,MATCH(K85,PalNames,0)+1,MATCH("Image",PalData_Header,0)),)</f>
        <v>0</v>
      </c>
      <c r="J85" s="35" t="n">
        <f aca="false" t="array" ref="J85:J85">IFERROR(INDEX(PalData,MATCH(K85,PalNames,0)+1,MATCH("ZukanIndex",PalData_Header,0)),)</f>
        <v>104</v>
      </c>
      <c r="K85" s="37" t="str">
        <f aca="false">IFERROR(__xludf.dummyfunction("""COMPUTED_VALUE"""),"Lyleen Noct")</f>
        <v>Lyleen Noct</v>
      </c>
      <c r="M85" s="44" t="n">
        <f aca="false">IFERROR(INDEX(PalData,MATCH(O85,PalNames,0)+1,MATCH("Image",PalData_Header,0)),)</f>
        <v>0</v>
      </c>
      <c r="N85" s="45" t="n">
        <f aca="false">IFERROR(INDEX(PalData,MATCH(O85,PalNames,0)+1,MATCH("ZukanIndex",PalData_Header,0)),)</f>
        <v>0</v>
      </c>
      <c r="O85" s="46"/>
      <c r="Q85" s="21" t="n">
        <f aca="false">IFERROR(INDEX(PalData,MATCH(S85,PalNames,0)+1,MATCH("Image",PalData_Header,0)),)</f>
        <v>0</v>
      </c>
      <c r="R85" s="22" t="n">
        <f aca="false" t="array" ref="R85:R85">INDEX(PalData,MATCH(S85,PalNames,0)+1,MATCH("ZukanIndex",PalData_Header,0))</f>
        <v>63</v>
      </c>
      <c r="S85" s="23" t="s">
        <v>96</v>
      </c>
      <c r="T85" s="54" t="b">
        <f aca="false">FALSE()</f>
        <v>0</v>
      </c>
      <c r="U85" s="55" t="b">
        <f aca="false">FALSE()</f>
        <v>0</v>
      </c>
    </row>
    <row r="86" customFormat="false" ht="15.75" hidden="false" customHeight="false" outlineLevel="0" collapsed="false">
      <c r="F86" s="39" t="n">
        <f aca="false">IFERROR(INDEX(PalData,MATCH(H86,PalNames,0)+1,MATCH("Image",PalData_Header,0)),)</f>
        <v>0</v>
      </c>
      <c r="G86" s="40" t="n">
        <f aca="false" t="array" ref="G86:G86">IFERROR(INDEX(PalData,MATCH(H86,PalNames,0)+1,MATCH("ZukanIndex",PalData_Header,0)),)</f>
        <v>80</v>
      </c>
      <c r="H86" s="40" t="str">
        <f aca="false">IFERROR(__xludf.dummyfunction("""COMPUTED_VALUE"""),"Elphidran Aqua")</f>
        <v>Elphidran Aqua</v>
      </c>
      <c r="I86" s="41" t="n">
        <f aca="false">IFERROR(INDEX(PalData,MATCH(K86,PalNames,0)+1,MATCH("Image",PalData_Header,0)),)</f>
        <v>0</v>
      </c>
      <c r="J86" s="40" t="n">
        <f aca="false" t="array" ref="J86:J86">IFERROR(INDEX(PalData,MATCH(K86,PalNames,0)+1,MATCH("ZukanIndex",PalData_Header,0)),)</f>
        <v>88</v>
      </c>
      <c r="K86" s="42" t="str">
        <f aca="false">IFERROR(__xludf.dummyfunction("""COMPUTED_VALUE"""),"Ice Reptyro")</f>
        <v>Ice Reptyro</v>
      </c>
      <c r="M86" s="47" t="n">
        <f aca="false">IFERROR(INDEX(PalData,MATCH(O86,PalNames,0)+1,MATCH("Image",PalData_Header,0)),)</f>
        <v>0</v>
      </c>
      <c r="N86" s="48" t="n">
        <f aca="false">IFERROR(INDEX(PalData,MATCH(O86,PalNames,0)+1,MATCH("ZukanIndex",PalData_Header,0)),)</f>
        <v>0</v>
      </c>
      <c r="O86" s="49"/>
      <c r="Q86" s="27" t="n">
        <f aca="false">IFERROR(INDEX(PalData,MATCH(S86,PalNames,0)+1,MATCH("Image",PalData_Header,0)),)</f>
        <v>0</v>
      </c>
      <c r="R86" s="17" t="n">
        <f aca="false" t="array" ref="R86:R86">INDEX(PalData,MATCH(S86,PalNames,0)+1,MATCH("ZukanIndex",PalData_Header,0))</f>
        <v>104</v>
      </c>
      <c r="S86" s="18" t="s">
        <v>97</v>
      </c>
      <c r="T86" s="52" t="b">
        <f aca="false">FALSE()</f>
        <v>0</v>
      </c>
      <c r="U86" s="53" t="b">
        <f aca="false">FALSE()</f>
        <v>0</v>
      </c>
    </row>
    <row r="87" customFormat="false" ht="15.75" hidden="false" customHeight="false" outlineLevel="0" collapsed="false">
      <c r="F87" s="34" t="n">
        <f aca="false">IFERROR(INDEX(PalData,MATCH(H87,PalNames,0)+1,MATCH("Image",PalData_Header,0)),)</f>
        <v>0</v>
      </c>
      <c r="G87" s="35" t="n">
        <f aca="false" t="array" ref="G87:G87">IFERROR(INDEX(PalData,MATCH(H87,PalNames,0)+1,MATCH("ZukanIndex",PalData_Header,0)),)</f>
        <v>80</v>
      </c>
      <c r="H87" s="35" t="str">
        <f aca="false">IFERROR(__xludf.dummyfunction("""COMPUTED_VALUE"""),"Elphidran Aqua")</f>
        <v>Elphidran Aqua</v>
      </c>
      <c r="I87" s="36" t="n">
        <f aca="false">IFERROR(INDEX(PalData,MATCH(K87,PalNames,0)+1,MATCH("Image",PalData_Header,0)),)</f>
        <v>0</v>
      </c>
      <c r="J87" s="35" t="n">
        <f aca="false" t="array" ref="J87:J87">IFERROR(INDEX(PalData,MATCH(K87,PalNames,0)+1,MATCH("ZukanIndex",PalData_Header,0)),)</f>
        <v>104</v>
      </c>
      <c r="K87" s="37" t="str">
        <f aca="false">IFERROR(__xludf.dummyfunction("""COMPUTED_VALUE"""),"Lyleen")</f>
        <v>Lyleen</v>
      </c>
      <c r="M87" s="44" t="n">
        <f aca="false">IFERROR(INDEX(PalData,MATCH(O87,PalNames,0)+1,MATCH("Image",PalData_Header,0)),)</f>
        <v>0</v>
      </c>
      <c r="N87" s="45" t="n">
        <f aca="false">IFERROR(INDEX(PalData,MATCH(O87,PalNames,0)+1,MATCH("ZukanIndex",PalData_Header,0)),)</f>
        <v>0</v>
      </c>
      <c r="O87" s="46"/>
      <c r="Q87" s="21" t="n">
        <f aca="false">IFERROR(INDEX(PalData,MATCH(S87,PalNames,0)+1,MATCH("Image",PalData_Header,0)),)</f>
        <v>0</v>
      </c>
      <c r="R87" s="22" t="n">
        <f aca="false" t="array" ref="R87:R87">INDEX(PalData,MATCH(S87,PalNames,0)+1,MATCH("ZukanIndex",PalData_Header,0))</f>
        <v>104</v>
      </c>
      <c r="S87" s="23" t="s">
        <v>98</v>
      </c>
      <c r="T87" s="54" t="b">
        <f aca="false">FALSE()</f>
        <v>0</v>
      </c>
      <c r="U87" s="55" t="b">
        <f aca="false">FALSE()</f>
        <v>0</v>
      </c>
    </row>
    <row r="88" customFormat="false" ht="15.75" hidden="false" customHeight="false" outlineLevel="0" collapsed="false">
      <c r="F88" s="39" t="n">
        <f aca="false">IFERROR(INDEX(PalData,MATCH(H88,PalNames,0)+1,MATCH("Image",PalData_Header,0)),)</f>
        <v>0</v>
      </c>
      <c r="G88" s="40" t="n">
        <f aca="false" t="array" ref="G88:G88">IFERROR(INDEX(PalData,MATCH(H88,PalNames,0)+1,MATCH("ZukanIndex",PalData_Header,0)),)</f>
        <v>82</v>
      </c>
      <c r="H88" s="40" t="str">
        <f aca="false">IFERROR(__xludf.dummyfunction("""COMPUTED_VALUE"""),"Azurobe")</f>
        <v>Azurobe</v>
      </c>
      <c r="I88" s="41" t="n">
        <f aca="false">IFERROR(INDEX(PalData,MATCH(K88,PalNames,0)+1,MATCH("Image",PalData_Header,0)),)</f>
        <v>0</v>
      </c>
      <c r="J88" s="40" t="n">
        <f aca="false" t="array" ref="J88:J88">IFERROR(INDEX(PalData,MATCH(K88,PalNames,0)+1,MATCH("ZukanIndex",PalData_Header,0)),)</f>
        <v>85</v>
      </c>
      <c r="K88" s="42" t="str">
        <f aca="false">IFERROR(__xludf.dummyfunction("""COMPUTED_VALUE"""),"Relaxaurus")</f>
        <v>Relaxaurus</v>
      </c>
      <c r="M88" s="47" t="n">
        <f aca="false">IFERROR(INDEX(PalData,MATCH(O88,PalNames,0)+1,MATCH("Image",PalData_Header,0)),)</f>
        <v>0</v>
      </c>
      <c r="N88" s="48" t="n">
        <f aca="false">IFERROR(INDEX(PalData,MATCH(O88,PalNames,0)+1,MATCH("ZukanIndex",PalData_Header,0)),)</f>
        <v>0</v>
      </c>
      <c r="O88" s="49"/>
      <c r="Q88" s="27" t="n">
        <f aca="false">IFERROR(INDEX(PalData,MATCH(S88,PalNames,0)+1,MATCH("Image",PalData_Header,0)),)</f>
        <v>0</v>
      </c>
      <c r="R88" s="17" t="n">
        <f aca="false" t="array" ref="R88:R88">INDEX(PalData,MATCH(S88,PalNames,0)+1,MATCH("ZukanIndex",PalData_Header,0))</f>
        <v>90</v>
      </c>
      <c r="S88" s="18" t="s">
        <v>99</v>
      </c>
      <c r="T88" s="52" t="b">
        <f aca="false">FALSE()</f>
        <v>0</v>
      </c>
      <c r="U88" s="53" t="b">
        <f aca="false">FALSE()</f>
        <v>0</v>
      </c>
    </row>
    <row r="89" customFormat="false" ht="15.75" hidden="false" customHeight="false" outlineLevel="0" collapsed="false">
      <c r="F89" s="34" t="n">
        <f aca="false">IFERROR(INDEX(PalData,MATCH(H89,PalNames,0)+1,MATCH("Image",PalData_Header,0)),)</f>
        <v>0</v>
      </c>
      <c r="G89" s="35" t="n">
        <f aca="false" t="array" ref="G89:G89">IFERROR(INDEX(PalData,MATCH(H89,PalNames,0)+1,MATCH("ZukanIndex",PalData_Header,0)),)</f>
        <v>82</v>
      </c>
      <c r="H89" s="35" t="str">
        <f aca="false">IFERROR(__xludf.dummyfunction("""COMPUTED_VALUE"""),"Azurobe")</f>
        <v>Azurobe</v>
      </c>
      <c r="I89" s="36" t="n">
        <f aca="false">IFERROR(INDEX(PalData,MATCH(K89,PalNames,0)+1,MATCH("Image",PalData_Header,0)),)</f>
        <v>0</v>
      </c>
      <c r="J89" s="35" t="n">
        <f aca="false" t="array" ref="J89:J89">IFERROR(INDEX(PalData,MATCH(K89,PalNames,0)+1,MATCH("ZukanIndex",PalData_Header,0)),)</f>
        <v>85</v>
      </c>
      <c r="K89" s="37" t="str">
        <f aca="false">IFERROR(__xludf.dummyfunction("""COMPUTED_VALUE"""),"Relaxaurus Lux")</f>
        <v>Relaxaurus Lux</v>
      </c>
      <c r="M89" s="44" t="n">
        <f aca="false">IFERROR(INDEX(PalData,MATCH(O89,PalNames,0)+1,MATCH("Image",PalData_Header,0)),)</f>
        <v>0</v>
      </c>
      <c r="N89" s="45" t="n">
        <f aca="false">IFERROR(INDEX(PalData,MATCH(O89,PalNames,0)+1,MATCH("ZukanIndex",PalData_Header,0)),)</f>
        <v>0</v>
      </c>
      <c r="O89" s="46"/>
      <c r="Q89" s="21" t="n">
        <f aca="false">IFERROR(INDEX(PalData,MATCH(S89,PalNames,0)+1,MATCH("Image",PalData_Header,0)),)</f>
        <v>0</v>
      </c>
      <c r="R89" s="22" t="n">
        <f aca="false" t="array" ref="R89:R89">INDEX(PalData,MATCH(S89,PalNames,0)+1,MATCH("ZukanIndex",PalData_Header,0))</f>
        <v>90</v>
      </c>
      <c r="S89" s="23" t="s">
        <v>100</v>
      </c>
      <c r="T89" s="54" t="b">
        <f aca="false">FALSE()</f>
        <v>0</v>
      </c>
      <c r="U89" s="55" t="b">
        <f aca="false">FALSE()</f>
        <v>0</v>
      </c>
    </row>
    <row r="90" customFormat="false" ht="15.75" hidden="false" customHeight="false" outlineLevel="0" collapsed="false">
      <c r="F90" s="39" t="n">
        <f aca="false">IFERROR(INDEX(PalData,MATCH(H90,PalNames,0)+1,MATCH("Image",PalData_Header,0)),)</f>
        <v>0</v>
      </c>
      <c r="G90" s="40" t="n">
        <f aca="false" t="array" ref="G90:G90">IFERROR(INDEX(PalData,MATCH(H90,PalNames,0)+1,MATCH("ZukanIndex",PalData_Header,0)),)</f>
        <v>82</v>
      </c>
      <c r="H90" s="40" t="str">
        <f aca="false">IFERROR(__xludf.dummyfunction("""COMPUTED_VALUE"""),"Azurobe")</f>
        <v>Azurobe</v>
      </c>
      <c r="I90" s="41" t="n">
        <f aca="false">IFERROR(INDEX(PalData,MATCH(K90,PalNames,0)+1,MATCH("Image",PalData_Header,0)),)</f>
        <v>0</v>
      </c>
      <c r="J90" s="40" t="n">
        <f aca="false" t="array" ref="J90:J90">IFERROR(INDEX(PalData,MATCH(K90,PalNames,0)+1,MATCH("ZukanIndex",PalData_Header,0)),)</f>
        <v>99</v>
      </c>
      <c r="K90" s="42" t="str">
        <f aca="false">IFERROR(__xludf.dummyfunction("""COMPUTED_VALUE"""),"Menasting")</f>
        <v>Menasting</v>
      </c>
      <c r="M90" s="47" t="n">
        <f aca="false">IFERROR(INDEX(PalData,MATCH(O90,PalNames,0)+1,MATCH("Image",PalData_Header,0)),)</f>
        <v>0</v>
      </c>
      <c r="N90" s="48" t="n">
        <f aca="false">IFERROR(INDEX(PalData,MATCH(O90,PalNames,0)+1,MATCH("ZukanIndex",PalData_Header,0)),)</f>
        <v>0</v>
      </c>
      <c r="O90" s="49"/>
      <c r="Q90" s="27" t="n">
        <f aca="false">IFERROR(INDEX(PalData,MATCH(S90,PalNames,0)+1,MATCH("Image",PalData_Header,0)),)</f>
        <v>0</v>
      </c>
      <c r="R90" s="17" t="n">
        <f aca="false" t="array" ref="R90:R90">INDEX(PalData,MATCH(S90,PalNames,0)+1,MATCH("ZukanIndex",PalData_Header,0))</f>
        <v>66</v>
      </c>
      <c r="S90" s="18" t="s">
        <v>101</v>
      </c>
      <c r="T90" s="52" t="b">
        <f aca="false">FALSE()</f>
        <v>0</v>
      </c>
      <c r="U90" s="53" t="b">
        <f aca="false">FALSE()</f>
        <v>0</v>
      </c>
    </row>
    <row r="91" customFormat="false" ht="15.75" hidden="false" customHeight="false" outlineLevel="0" collapsed="false">
      <c r="F91" s="34" t="n">
        <f aca="false">IFERROR(INDEX(PalData,MATCH(H91,PalNames,0)+1,MATCH("Image",PalData_Header,0)),)</f>
        <v>0</v>
      </c>
      <c r="G91" s="35" t="n">
        <f aca="false" t="array" ref="G91:G91">IFERROR(INDEX(PalData,MATCH(H91,PalNames,0)+1,MATCH("ZukanIndex",PalData_Header,0)),)</f>
        <v>82</v>
      </c>
      <c r="H91" s="35" t="str">
        <f aca="false">IFERROR(__xludf.dummyfunction("""COMPUTED_VALUE"""),"Azurobe")</f>
        <v>Azurobe</v>
      </c>
      <c r="I91" s="36" t="n">
        <f aca="false">IFERROR(INDEX(PalData,MATCH(K91,PalNames,0)+1,MATCH("Image",PalData_Header,0)),)</f>
        <v>0</v>
      </c>
      <c r="J91" s="35" t="n">
        <f aca="false" t="array" ref="J91:J91">IFERROR(INDEX(PalData,MATCH(K91,PalNames,0)+1,MATCH("ZukanIndex",PalData_Header,0)),)</f>
        <v>104</v>
      </c>
      <c r="K91" s="37" t="str">
        <f aca="false">IFERROR(__xludf.dummyfunction("""COMPUTED_VALUE"""),"Lyleen")</f>
        <v>Lyleen</v>
      </c>
      <c r="M91" s="44" t="n">
        <f aca="false">IFERROR(INDEX(PalData,MATCH(O91,PalNames,0)+1,MATCH("Image",PalData_Header,0)),)</f>
        <v>0</v>
      </c>
      <c r="N91" s="45" t="n">
        <f aca="false">IFERROR(INDEX(PalData,MATCH(O91,PalNames,0)+1,MATCH("ZukanIndex",PalData_Header,0)),)</f>
        <v>0</v>
      </c>
      <c r="O91" s="46"/>
      <c r="Q91" s="21" t="n">
        <f aca="false">IFERROR(INDEX(PalData,MATCH(S91,PalNames,0)+1,MATCH("Image",PalData_Header,0)),)</f>
        <v>0</v>
      </c>
      <c r="R91" s="22" t="n">
        <f aca="false" t="array" ref="R91:R91">INDEX(PalData,MATCH(S91,PalNames,0)+1,MATCH("ZukanIndex",PalData_Header,0))</f>
        <v>24</v>
      </c>
      <c r="S91" s="23" t="s">
        <v>102</v>
      </c>
      <c r="T91" s="54" t="b">
        <f aca="false">FALSE()</f>
        <v>0</v>
      </c>
      <c r="U91" s="55" t="b">
        <f aca="false">FALSE()</f>
        <v>0</v>
      </c>
    </row>
    <row r="92" customFormat="false" ht="15.75" hidden="false" customHeight="false" outlineLevel="0" collapsed="false">
      <c r="F92" s="39" t="n">
        <f aca="false">IFERROR(INDEX(PalData,MATCH(H92,PalNames,0)+1,MATCH("Image",PalData_Header,0)),)</f>
        <v>0</v>
      </c>
      <c r="G92" s="40" t="n">
        <f aca="false" t="array" ref="G92:G92">IFERROR(INDEX(PalData,MATCH(H92,PalNames,0)+1,MATCH("ZukanIndex",PalData_Header,0)),)</f>
        <v>84</v>
      </c>
      <c r="H92" s="40" t="str">
        <f aca="false">IFERROR(__xludf.dummyfunction("""COMPUTED_VALUE"""),"Blazehowl")</f>
        <v>Blazehowl</v>
      </c>
      <c r="I92" s="41" t="n">
        <f aca="false">IFERROR(INDEX(PalData,MATCH(K92,PalNames,0)+1,MATCH("Image",PalData_Header,0)),)</f>
        <v>0</v>
      </c>
      <c r="J92" s="40" t="n">
        <f aca="false" t="array" ref="J92:J92">IFERROR(INDEX(PalData,MATCH(K92,PalNames,0)+1,MATCH("ZukanIndex",PalData_Header,0)),)</f>
        <v>102</v>
      </c>
      <c r="K92" s="42" t="str">
        <f aca="false">IFERROR(__xludf.dummyfunction("""COMPUTED_VALUE"""),"Suzaku")</f>
        <v>Suzaku</v>
      </c>
      <c r="M92" s="47" t="n">
        <f aca="false">IFERROR(INDEX(PalData,MATCH(O92,PalNames,0)+1,MATCH("Image",PalData_Header,0)),)</f>
        <v>0</v>
      </c>
      <c r="N92" s="48" t="n">
        <f aca="false">IFERROR(INDEX(PalData,MATCH(O92,PalNames,0)+1,MATCH("ZukanIndex",PalData_Header,0)),)</f>
        <v>0</v>
      </c>
      <c r="O92" s="49"/>
      <c r="Q92" s="27" t="n">
        <f aca="false">IFERROR(INDEX(PalData,MATCH(S92,PalNames,0)+1,MATCH("Image",PalData_Header,0)),)</f>
        <v>0</v>
      </c>
      <c r="R92" s="17" t="n">
        <f aca="false" t="array" ref="R92:R92">INDEX(PalData,MATCH(S92,PalNames,0)+1,MATCH("ZukanIndex",PalData_Header,0))</f>
        <v>24</v>
      </c>
      <c r="S92" s="18" t="s">
        <v>103</v>
      </c>
      <c r="T92" s="52" t="b">
        <f aca="false">FALSE()</f>
        <v>0</v>
      </c>
      <c r="U92" s="53" t="b">
        <f aca="false">FALSE()</f>
        <v>0</v>
      </c>
    </row>
    <row r="93" customFormat="false" ht="15.75" hidden="false" customHeight="false" outlineLevel="0" collapsed="false">
      <c r="F93" s="34" t="n">
        <f aca="false">IFERROR(INDEX(PalData,MATCH(H93,PalNames,0)+1,MATCH("Image",PalData_Header,0)),)</f>
        <v>0</v>
      </c>
      <c r="G93" s="35" t="n">
        <f aca="false" t="array" ref="G93:G93">IFERROR(INDEX(PalData,MATCH(H93,PalNames,0)+1,MATCH("ZukanIndex",PalData_Header,0)),)</f>
        <v>84</v>
      </c>
      <c r="H93" s="35" t="str">
        <f aca="false">IFERROR(__xludf.dummyfunction("""COMPUTED_VALUE"""),"Blazehowl")</f>
        <v>Blazehowl</v>
      </c>
      <c r="I93" s="36" t="n">
        <f aca="false">IFERROR(INDEX(PalData,MATCH(K93,PalNames,0)+1,MATCH("Image",PalData_Header,0)),)</f>
        <v>0</v>
      </c>
      <c r="J93" s="35" t="n">
        <f aca="false" t="array" ref="J93:J93">IFERROR(INDEX(PalData,MATCH(K93,PalNames,0)+1,MATCH("ZukanIndex",PalData_Header,0)),)</f>
        <v>107</v>
      </c>
      <c r="K93" s="37" t="str">
        <f aca="false">IFERROR(__xludf.dummyfunction("""COMPUTED_VALUE"""),"Shadowbeak")</f>
        <v>Shadowbeak</v>
      </c>
      <c r="M93" s="44" t="n">
        <f aca="false">IFERROR(INDEX(PalData,MATCH(O93,PalNames,0)+1,MATCH("Image",PalData_Header,0)),)</f>
        <v>0</v>
      </c>
      <c r="N93" s="45" t="n">
        <f aca="false">IFERROR(INDEX(PalData,MATCH(O93,PalNames,0)+1,MATCH("ZukanIndex",PalData_Header,0)),)</f>
        <v>0</v>
      </c>
      <c r="O93" s="46"/>
      <c r="Q93" s="21" t="n">
        <f aca="false">IFERROR(INDEX(PalData,MATCH(S93,PalNames,0)+1,MATCH("Image",PalData_Header,0)),)</f>
        <v>0</v>
      </c>
      <c r="R93" s="22" t="n">
        <f aca="false" t="array" ref="R93:R93">INDEX(PalData,MATCH(S93,PalNames,0)+1,MATCH("ZukanIndex",PalData_Header,0))</f>
        <v>36</v>
      </c>
      <c r="S93" s="23" t="s">
        <v>104</v>
      </c>
      <c r="T93" s="54" t="b">
        <f aca="false">FALSE()</f>
        <v>0</v>
      </c>
      <c r="U93" s="55" t="b">
        <f aca="false">FALSE()</f>
        <v>0</v>
      </c>
    </row>
    <row r="94" customFormat="false" ht="15.75" hidden="false" customHeight="false" outlineLevel="0" collapsed="false">
      <c r="F94" s="39" t="n">
        <f aca="false">IFERROR(INDEX(PalData,MATCH(H94,PalNames,0)+1,MATCH("Image",PalData_Header,0)),)</f>
        <v>0</v>
      </c>
      <c r="G94" s="40" t="n">
        <f aca="false" t="array" ref="G94:G94">IFERROR(INDEX(PalData,MATCH(H94,PalNames,0)+1,MATCH("ZukanIndex",PalData_Header,0)),)</f>
        <v>84</v>
      </c>
      <c r="H94" s="40" t="str">
        <f aca="false">IFERROR(__xludf.dummyfunction("""COMPUTED_VALUE"""),"Blazehowl")</f>
        <v>Blazehowl</v>
      </c>
      <c r="I94" s="41" t="n">
        <f aca="false">IFERROR(INDEX(PalData,MATCH(K94,PalNames,0)+1,MATCH("Image",PalData_Header,0)),)</f>
        <v>0</v>
      </c>
      <c r="J94" s="40" t="n">
        <f aca="false" t="array" ref="J94:J94">IFERROR(INDEX(PalData,MATCH(K94,PalNames,0)+1,MATCH("ZukanIndex",PalData_Header,0)),)</f>
        <v>109</v>
      </c>
      <c r="K94" s="42" t="str">
        <f aca="false">IFERROR(__xludf.dummyfunction("""COMPUTED_VALUE"""),"Necromus")</f>
        <v>Necromus</v>
      </c>
      <c r="M94" s="47" t="n">
        <f aca="false">IFERROR(INDEX(PalData,MATCH(O94,PalNames,0)+1,MATCH("Image",PalData_Header,0)),)</f>
        <v>0</v>
      </c>
      <c r="N94" s="48" t="n">
        <f aca="false">IFERROR(INDEX(PalData,MATCH(O94,PalNames,0)+1,MATCH("ZukanIndex",PalData_Header,0)),)</f>
        <v>0</v>
      </c>
      <c r="O94" s="49"/>
      <c r="Q94" s="27" t="n">
        <f aca="false">IFERROR(INDEX(PalData,MATCH(S94,PalNames,0)+1,MATCH("Image",PalData_Header,0)),)</f>
        <v>0</v>
      </c>
      <c r="R94" s="17" t="n">
        <f aca="false" t="array" ref="R94:R94">INDEX(PalData,MATCH(S94,PalNames,0)+1,MATCH("ZukanIndex",PalData_Header,0))</f>
        <v>99</v>
      </c>
      <c r="S94" s="18" t="s">
        <v>105</v>
      </c>
      <c r="T94" s="52" t="b">
        <f aca="false">FALSE()</f>
        <v>0</v>
      </c>
      <c r="U94" s="53" t="b">
        <f aca="false">FALSE()</f>
        <v>0</v>
      </c>
    </row>
    <row r="95" customFormat="false" ht="15.75" hidden="false" customHeight="false" outlineLevel="0" collapsed="false">
      <c r="F95" s="34" t="n">
        <f aca="false">IFERROR(INDEX(PalData,MATCH(H95,PalNames,0)+1,MATCH("Image",PalData_Header,0)),)</f>
        <v>0</v>
      </c>
      <c r="G95" s="35" t="n">
        <f aca="false" t="array" ref="G95:G95">IFERROR(INDEX(PalData,MATCH(H95,PalNames,0)+1,MATCH("ZukanIndex",PalData_Header,0)),)</f>
        <v>84</v>
      </c>
      <c r="H95" s="35" t="str">
        <f aca="false">IFERROR(__xludf.dummyfunction("""COMPUTED_VALUE"""),"Blazehowl Noct")</f>
        <v>Blazehowl Noct</v>
      </c>
      <c r="I95" s="36" t="n">
        <f aca="false">IFERROR(INDEX(PalData,MATCH(K95,PalNames,0)+1,MATCH("Image",PalData_Header,0)),)</f>
        <v>0</v>
      </c>
      <c r="J95" s="35" t="n">
        <f aca="false" t="array" ref="J95:J95">IFERROR(INDEX(PalData,MATCH(K95,PalNames,0)+1,MATCH("ZukanIndex",PalData_Header,0)),)</f>
        <v>108</v>
      </c>
      <c r="K95" s="37" t="str">
        <f aca="false">IFERROR(__xludf.dummyfunction("""COMPUTED_VALUE"""),"Paladius")</f>
        <v>Paladius</v>
      </c>
      <c r="M95" s="44" t="n">
        <f aca="false">IFERROR(INDEX(PalData,MATCH(O95,PalNames,0)+1,MATCH("Image",PalData_Header,0)),)</f>
        <v>0</v>
      </c>
      <c r="N95" s="45" t="n">
        <f aca="false">IFERROR(INDEX(PalData,MATCH(O95,PalNames,0)+1,MATCH("ZukanIndex",PalData_Header,0)),)</f>
        <v>0</v>
      </c>
      <c r="O95" s="46"/>
      <c r="Q95" s="21" t="n">
        <f aca="false">IFERROR(INDEX(PalData,MATCH(S95,PalNames,0)+1,MATCH("Image",PalData_Header,0)),)</f>
        <v>0</v>
      </c>
      <c r="R95" s="22" t="n">
        <f aca="false" t="array" ref="R95:R95">INDEX(PalData,MATCH(S95,PalNames,0)+1,MATCH("ZukanIndex",PalData_Header,0))</f>
        <v>33</v>
      </c>
      <c r="S95" s="23" t="s">
        <v>106</v>
      </c>
      <c r="T95" s="54" t="b">
        <f aca="false">FALSE()</f>
        <v>0</v>
      </c>
      <c r="U95" s="55" t="b">
        <f aca="false">FALSE()</f>
        <v>0</v>
      </c>
    </row>
    <row r="96" customFormat="false" ht="15.75" hidden="false" customHeight="false" outlineLevel="0" collapsed="false">
      <c r="F96" s="39" t="n">
        <f aca="false">IFERROR(INDEX(PalData,MATCH(H96,PalNames,0)+1,MATCH("Image",PalData_Header,0)),)</f>
        <v>0</v>
      </c>
      <c r="G96" s="40" t="n">
        <f aca="false" t="array" ref="G96:G96">IFERROR(INDEX(PalData,MATCH(H96,PalNames,0)+1,MATCH("ZukanIndex",PalData_Header,0)),)</f>
        <v>84</v>
      </c>
      <c r="H96" s="40" t="str">
        <f aca="false">IFERROR(__xludf.dummyfunction("""COMPUTED_VALUE"""),"Blazehowl Noct")</f>
        <v>Blazehowl Noct</v>
      </c>
      <c r="I96" s="41" t="n">
        <f aca="false">IFERROR(INDEX(PalData,MATCH(K96,PalNames,0)+1,MATCH("Image",PalData_Header,0)),)</f>
        <v>0</v>
      </c>
      <c r="J96" s="40" t="n">
        <f aca="false" t="array" ref="J96:J96">IFERROR(INDEX(PalData,MATCH(K96,PalNames,0)+1,MATCH("ZukanIndex",PalData_Header,0)),)</f>
        <v>110</v>
      </c>
      <c r="K96" s="42" t="str">
        <f aca="false">IFERROR(__xludf.dummyfunction("""COMPUTED_VALUE"""),"Frostallion Noct")</f>
        <v>Frostallion Noct</v>
      </c>
      <c r="M96" s="47" t="n">
        <f aca="false">IFERROR(INDEX(PalData,MATCH(O96,PalNames,0)+1,MATCH("Image",PalData_Header,0)),)</f>
        <v>0</v>
      </c>
      <c r="N96" s="48" t="n">
        <f aca="false">IFERROR(INDEX(PalData,MATCH(O96,PalNames,0)+1,MATCH("ZukanIndex",PalData_Header,0)),)</f>
        <v>0</v>
      </c>
      <c r="O96" s="49"/>
      <c r="Q96" s="27" t="n">
        <f aca="false">IFERROR(INDEX(PalData,MATCH(S96,PalNames,0)+1,MATCH("Image",PalData_Header,0)),)</f>
        <v>0</v>
      </c>
      <c r="R96" s="17" t="n">
        <f aca="false" t="array" ref="R96:R96">INDEX(PalData,MATCH(S96,PalNames,0)+1,MATCH("ZukanIndex",PalData_Header,0))</f>
        <v>33</v>
      </c>
      <c r="S96" s="18" t="s">
        <v>107</v>
      </c>
      <c r="T96" s="52" t="b">
        <f aca="false">FALSE()</f>
        <v>0</v>
      </c>
      <c r="U96" s="53" t="b">
        <f aca="false">FALSE()</f>
        <v>0</v>
      </c>
    </row>
    <row r="97" customFormat="false" ht="15.75" hidden="false" customHeight="false" outlineLevel="0" collapsed="false">
      <c r="F97" s="34" t="n">
        <f aca="false">IFERROR(INDEX(PalData,MATCH(H97,PalNames,0)+1,MATCH("Image",PalData_Header,0)),)</f>
        <v>0</v>
      </c>
      <c r="G97" s="35" t="n">
        <f aca="false" t="array" ref="G97:G97">IFERROR(INDEX(PalData,MATCH(H97,PalNames,0)+1,MATCH("ZukanIndex",PalData_Header,0)),)</f>
        <v>84</v>
      </c>
      <c r="H97" s="35" t="str">
        <f aca="false">IFERROR(__xludf.dummyfunction("""COMPUTED_VALUE"""),"Blazehowl Noct")</f>
        <v>Blazehowl Noct</v>
      </c>
      <c r="I97" s="36" t="n">
        <f aca="false">IFERROR(INDEX(PalData,MATCH(K97,PalNames,0)+1,MATCH("Image",PalData_Header,0)),)</f>
        <v>0</v>
      </c>
      <c r="J97" s="35" t="n">
        <f aca="false" t="array" ref="J97:J97">IFERROR(INDEX(PalData,MATCH(K97,PalNames,0)+1,MATCH("ZukanIndex",PalData_Header,0)),)</f>
        <v>111</v>
      </c>
      <c r="K97" s="37" t="str">
        <f aca="false">IFERROR(__xludf.dummyfunction("""COMPUTED_VALUE"""),"Jetragon")</f>
        <v>Jetragon</v>
      </c>
      <c r="M97" s="44" t="n">
        <f aca="false">IFERROR(INDEX(PalData,MATCH(O97,PalNames,0)+1,MATCH("Image",PalData_Header,0)),)</f>
        <v>0</v>
      </c>
      <c r="N97" s="45" t="n">
        <f aca="false">IFERROR(INDEX(PalData,MATCH(O97,PalNames,0)+1,MATCH("ZukanIndex",PalData_Header,0)),)</f>
        <v>0</v>
      </c>
      <c r="O97" s="46"/>
      <c r="Q97" s="21" t="n">
        <f aca="false">IFERROR(INDEX(PalData,MATCH(S97,PalNames,0)+1,MATCH("Image",PalData_Header,0)),)</f>
        <v>0</v>
      </c>
      <c r="R97" s="22" t="n">
        <f aca="false" t="array" ref="R97:R97">INDEX(PalData,MATCH(S97,PalNames,0)+1,MATCH("ZukanIndex",PalData_Header,0))</f>
        <v>29</v>
      </c>
      <c r="S97" s="23" t="s">
        <v>108</v>
      </c>
      <c r="T97" s="54" t="b">
        <f aca="false">FALSE()</f>
        <v>0</v>
      </c>
      <c r="U97" s="55" t="b">
        <f aca="false">FALSE()</f>
        <v>0</v>
      </c>
    </row>
    <row r="98" customFormat="false" ht="15.75" hidden="false" customHeight="false" outlineLevel="0" collapsed="false">
      <c r="F98" s="39" t="n">
        <f aca="false">IFERROR(INDEX(PalData,MATCH(H98,PalNames,0)+1,MATCH("Image",PalData_Header,0)),)</f>
        <v>0</v>
      </c>
      <c r="G98" s="40" t="n">
        <f aca="false" t="array" ref="G98:G98">IFERROR(INDEX(PalData,MATCH(H98,PalNames,0)+1,MATCH("ZukanIndex",PalData_Header,0)),)</f>
        <v>85</v>
      </c>
      <c r="H98" s="40" t="str">
        <f aca="false">IFERROR(__xludf.dummyfunction("""COMPUTED_VALUE"""),"Relaxaurus")</f>
        <v>Relaxaurus</v>
      </c>
      <c r="I98" s="41" t="n">
        <f aca="false">IFERROR(INDEX(PalData,MATCH(K98,PalNames,0)+1,MATCH("Image",PalData_Header,0)),)</f>
        <v>0</v>
      </c>
      <c r="J98" s="40" t="n">
        <f aca="false" t="array" ref="J98:J98">IFERROR(INDEX(PalData,MATCH(K98,PalNames,0)+1,MATCH("ZukanIndex",PalData_Header,0)),)</f>
        <v>89</v>
      </c>
      <c r="K98" s="42" t="str">
        <f aca="false">IFERROR(__xludf.dummyfunction("""COMPUTED_VALUE"""),"Kingpaca")</f>
        <v>Kingpaca</v>
      </c>
      <c r="M98" s="47" t="n">
        <f aca="false">IFERROR(INDEX(PalData,MATCH(O98,PalNames,0)+1,MATCH("Image",PalData_Header,0)),)</f>
        <v>0</v>
      </c>
      <c r="N98" s="48" t="n">
        <f aca="false">IFERROR(INDEX(PalData,MATCH(O98,PalNames,0)+1,MATCH("ZukanIndex",PalData_Header,0)),)</f>
        <v>0</v>
      </c>
      <c r="O98" s="49"/>
      <c r="Q98" s="27" t="n">
        <f aca="false">IFERROR(INDEX(PalData,MATCH(S98,PalNames,0)+1,MATCH("Image",PalData_Header,0)),)</f>
        <v>0</v>
      </c>
      <c r="R98" s="17" t="n">
        <f aca="false" t="array" ref="R98:R98">INDEX(PalData,MATCH(S98,PalNames,0)+1,MATCH("ZukanIndex",PalData_Header,0))</f>
        <v>109</v>
      </c>
      <c r="S98" s="18" t="s">
        <v>109</v>
      </c>
      <c r="T98" s="52" t="b">
        <f aca="false">FALSE()</f>
        <v>0</v>
      </c>
      <c r="U98" s="53" t="b">
        <f aca="false">FALSE()</f>
        <v>0</v>
      </c>
    </row>
    <row r="99" customFormat="false" ht="15.75" hidden="false" customHeight="false" outlineLevel="0" collapsed="false">
      <c r="F99" s="34" t="n">
        <f aca="false">IFERROR(INDEX(PalData,MATCH(H99,PalNames,0)+1,MATCH("Image",PalData_Header,0)),)</f>
        <v>0</v>
      </c>
      <c r="G99" s="35" t="n">
        <f aca="false" t="array" ref="G99:G99">IFERROR(INDEX(PalData,MATCH(H99,PalNames,0)+1,MATCH("ZukanIndex",PalData_Header,0)),)</f>
        <v>85</v>
      </c>
      <c r="H99" s="35" t="str">
        <f aca="false">IFERROR(__xludf.dummyfunction("""COMPUTED_VALUE"""),"Relaxaurus")</f>
        <v>Relaxaurus</v>
      </c>
      <c r="I99" s="36" t="n">
        <f aca="false">IFERROR(INDEX(PalData,MATCH(K99,PalNames,0)+1,MATCH("Image",PalData_Header,0)),)</f>
        <v>0</v>
      </c>
      <c r="J99" s="35" t="n">
        <f aca="false" t="array" ref="J99:J99">IFERROR(INDEX(PalData,MATCH(K99,PalNames,0)+1,MATCH("ZukanIndex",PalData_Header,0)),)</f>
        <v>91</v>
      </c>
      <c r="K99" s="37" t="str">
        <f aca="false">IFERROR(__xludf.dummyfunction("""COMPUTED_VALUE"""),"Wumpo Botan")</f>
        <v>Wumpo Botan</v>
      </c>
      <c r="M99" s="44" t="n">
        <f aca="false">IFERROR(INDEX(PalData,MATCH(O99,PalNames,0)+1,MATCH("Image",PalData_Header,0)),)</f>
        <v>0</v>
      </c>
      <c r="N99" s="45" t="n">
        <f aca="false">IFERROR(INDEX(PalData,MATCH(O99,PalNames,0)+1,MATCH("ZukanIndex",PalData_Header,0)),)</f>
        <v>0</v>
      </c>
      <c r="O99" s="46"/>
      <c r="Q99" s="21" t="n">
        <f aca="false">IFERROR(INDEX(PalData,MATCH(S99,PalNames,0)+1,MATCH("Image",PalData_Header,0)),)</f>
        <v>0</v>
      </c>
      <c r="R99" s="22" t="n">
        <f aca="false" t="array" ref="R99:R99">INDEX(PalData,MATCH(S99,PalNames,0)+1,MATCH("ZukanIndex",PalData_Header,0))</f>
        <v>38</v>
      </c>
      <c r="S99" s="23" t="s">
        <v>110</v>
      </c>
      <c r="T99" s="54" t="b">
        <f aca="false">FALSE()</f>
        <v>0</v>
      </c>
      <c r="U99" s="55" t="b">
        <f aca="false">FALSE()</f>
        <v>0</v>
      </c>
    </row>
    <row r="100" customFormat="false" ht="15.75" hidden="false" customHeight="false" outlineLevel="0" collapsed="false">
      <c r="F100" s="39" t="n">
        <f aca="false">IFERROR(INDEX(PalData,MATCH(H100,PalNames,0)+1,MATCH("Image",PalData_Header,0)),)</f>
        <v>0</v>
      </c>
      <c r="G100" s="40" t="n">
        <f aca="false" t="array" ref="G100:G100">IFERROR(INDEX(PalData,MATCH(H100,PalNames,0)+1,MATCH("ZukanIndex",PalData_Header,0)),)</f>
        <v>85</v>
      </c>
      <c r="H100" s="40" t="str">
        <f aca="false">IFERROR(__xludf.dummyfunction("""COMPUTED_VALUE"""),"Relaxaurus Lux")</f>
        <v>Relaxaurus Lux</v>
      </c>
      <c r="I100" s="41" t="n">
        <f aca="false">IFERROR(INDEX(PalData,MATCH(K100,PalNames,0)+1,MATCH("Image",PalData_Header,0)),)</f>
        <v>0</v>
      </c>
      <c r="J100" s="40" t="n">
        <f aca="false" t="array" ref="J100:J100">IFERROR(INDEX(PalData,MATCH(K100,PalNames,0)+1,MATCH("ZukanIndex",PalData_Header,0)),)</f>
        <v>91</v>
      </c>
      <c r="K100" s="42" t="str">
        <f aca="false">IFERROR(__xludf.dummyfunction("""COMPUTED_VALUE"""),"Wumpo Botan")</f>
        <v>Wumpo Botan</v>
      </c>
      <c r="M100" s="47" t="n">
        <f aca="false">IFERROR(INDEX(PalData,MATCH(O100,PalNames,0)+1,MATCH("Image",PalData_Header,0)),)</f>
        <v>0</v>
      </c>
      <c r="N100" s="48" t="n">
        <f aca="false">IFERROR(INDEX(PalData,MATCH(O100,PalNames,0)+1,MATCH("ZukanIndex",PalData_Header,0)),)</f>
        <v>0</v>
      </c>
      <c r="O100" s="49"/>
      <c r="Q100" s="27" t="n">
        <f aca="false">IFERROR(INDEX(PalData,MATCH(S100,PalNames,0)+1,MATCH("Image",PalData_Header,0)),)</f>
        <v>0</v>
      </c>
      <c r="R100" s="17" t="n">
        <f aca="false" t="array" ref="R100:R100">INDEX(PalData,MATCH(S100,PalNames,0)+1,MATCH("ZukanIndex",PalData_Header,0))</f>
        <v>21</v>
      </c>
      <c r="S100" s="18" t="s">
        <v>111</v>
      </c>
      <c r="T100" s="52" t="b">
        <f aca="false">FALSE()</f>
        <v>0</v>
      </c>
      <c r="U100" s="53" t="b">
        <f aca="false">FALSE()</f>
        <v>0</v>
      </c>
    </row>
    <row r="101" customFormat="false" ht="15.75" hidden="false" customHeight="false" outlineLevel="0" collapsed="false">
      <c r="F101" s="34" t="n">
        <f aca="false">IFERROR(INDEX(PalData,MATCH(H101,PalNames,0)+1,MATCH("Image",PalData_Header,0)),)</f>
        <v>0</v>
      </c>
      <c r="G101" s="35" t="n">
        <f aca="false" t="array" ref="G101:G101">IFERROR(INDEX(PalData,MATCH(H101,PalNames,0)+1,MATCH("ZukanIndex",PalData_Header,0)),)</f>
        <v>88</v>
      </c>
      <c r="H101" s="35" t="str">
        <f aca="false">IFERROR(__xludf.dummyfunction("""COMPUTED_VALUE"""),"Reptyro")</f>
        <v>Reptyro</v>
      </c>
      <c r="I101" s="36" t="n">
        <f aca="false">IFERROR(INDEX(PalData,MATCH(K101,PalNames,0)+1,MATCH("Image",PalData_Header,0)),)</f>
        <v>0</v>
      </c>
      <c r="J101" s="35" t="n">
        <f aca="false" t="array" ref="J101:J101">IFERROR(INDEX(PalData,MATCH(K101,PalNames,0)+1,MATCH("ZukanIndex",PalData_Header,0)),)</f>
        <v>89</v>
      </c>
      <c r="K101" s="37" t="str">
        <f aca="false">IFERROR(__xludf.dummyfunction("""COMPUTED_VALUE"""),"Ice Kingpaca")</f>
        <v>Ice Kingpaca</v>
      </c>
      <c r="M101" s="44" t="n">
        <f aca="false">IFERROR(INDEX(PalData,MATCH(O101,PalNames,0)+1,MATCH("Image",PalData_Header,0)),)</f>
        <v>0</v>
      </c>
      <c r="N101" s="45" t="n">
        <f aca="false">IFERROR(INDEX(PalData,MATCH(O101,PalNames,0)+1,MATCH("ZukanIndex",PalData_Header,0)),)</f>
        <v>0</v>
      </c>
      <c r="O101" s="46"/>
      <c r="Q101" s="21" t="n">
        <f aca="false">IFERROR(INDEX(PalData,MATCH(S101,PalNames,0)+1,MATCH("Image",PalData_Header,0)),)</f>
        <v>0</v>
      </c>
      <c r="R101" s="22" t="n">
        <f aca="false" t="array" ref="R101:R101">INDEX(PalData,MATCH(S101,PalNames,0)+1,MATCH("ZukanIndex",PalData_Header,0))</f>
        <v>106</v>
      </c>
      <c r="S101" s="23" t="s">
        <v>112</v>
      </c>
      <c r="T101" s="54" t="b">
        <f aca="false">FALSE()</f>
        <v>0</v>
      </c>
      <c r="U101" s="55" t="b">
        <f aca="false">FALSE()</f>
        <v>0</v>
      </c>
    </row>
    <row r="102" customFormat="false" ht="15.75" hidden="false" customHeight="false" outlineLevel="0" collapsed="false">
      <c r="F102" s="39" t="n">
        <f aca="false">IFERROR(INDEX(PalData,MATCH(H102,PalNames,0)+1,MATCH("Image",PalData_Header,0)),)</f>
        <v>0</v>
      </c>
      <c r="G102" s="40" t="n">
        <f aca="false" t="array" ref="G102:G102">IFERROR(INDEX(PalData,MATCH(H102,PalNames,0)+1,MATCH("ZukanIndex",PalData_Header,0)),)</f>
        <v>88</v>
      </c>
      <c r="H102" s="40" t="str">
        <f aca="false">IFERROR(__xludf.dummyfunction("""COMPUTED_VALUE"""),"Reptyro")</f>
        <v>Reptyro</v>
      </c>
      <c r="I102" s="41" t="n">
        <f aca="false">IFERROR(INDEX(PalData,MATCH(K102,PalNames,0)+1,MATCH("Image",PalData_Header,0)),)</f>
        <v>0</v>
      </c>
      <c r="J102" s="40" t="n">
        <f aca="false" t="array" ref="J102:J102">IFERROR(INDEX(PalData,MATCH(K102,PalNames,0)+1,MATCH("ZukanIndex",PalData_Header,0)),)</f>
        <v>91</v>
      </c>
      <c r="K102" s="42" t="str">
        <f aca="false">IFERROR(__xludf.dummyfunction("""COMPUTED_VALUE"""),"Wumpo")</f>
        <v>Wumpo</v>
      </c>
      <c r="M102" s="47" t="n">
        <f aca="false">IFERROR(INDEX(PalData,MATCH(O102,PalNames,0)+1,MATCH("Image",PalData_Header,0)),)</f>
        <v>0</v>
      </c>
      <c r="N102" s="48" t="n">
        <f aca="false">IFERROR(INDEX(PalData,MATCH(O102,PalNames,0)+1,MATCH("ZukanIndex",PalData_Header,0)),)</f>
        <v>0</v>
      </c>
      <c r="O102" s="49"/>
      <c r="Q102" s="27" t="n">
        <f aca="false">IFERROR(INDEX(PalData,MATCH(S102,PalNames,0)+1,MATCH("Image",PalData_Header,0)),)</f>
        <v>0</v>
      </c>
      <c r="R102" s="17" t="n">
        <f aca="false" t="array" ref="R102:R102">INDEX(PalData,MATCH(S102,PalNames,0)+1,MATCH("ZukanIndex",PalData_Header,0))</f>
        <v>108</v>
      </c>
      <c r="S102" s="18" t="s">
        <v>113</v>
      </c>
      <c r="T102" s="52" t="b">
        <f aca="false">FALSE()</f>
        <v>0</v>
      </c>
      <c r="U102" s="53" t="b">
        <f aca="false">FALSE()</f>
        <v>0</v>
      </c>
    </row>
    <row r="103" customFormat="false" ht="15.75" hidden="false" customHeight="false" outlineLevel="0" collapsed="false">
      <c r="F103" s="34" t="n">
        <f aca="false">IFERROR(INDEX(PalData,MATCH(H103,PalNames,0)+1,MATCH("Image",PalData_Header,0)),)</f>
        <v>0</v>
      </c>
      <c r="G103" s="35" t="n">
        <f aca="false" t="array" ref="G103:G103">IFERROR(INDEX(PalData,MATCH(H103,PalNames,0)+1,MATCH("ZukanIndex",PalData_Header,0)),)</f>
        <v>89</v>
      </c>
      <c r="H103" s="35" t="str">
        <f aca="false">IFERROR(__xludf.dummyfunction("""COMPUTED_VALUE"""),"Kingpaca")</f>
        <v>Kingpaca</v>
      </c>
      <c r="I103" s="36" t="n">
        <f aca="false">IFERROR(INDEX(PalData,MATCH(K103,PalNames,0)+1,MATCH("Image",PalData_Header,0)),)</f>
        <v>0</v>
      </c>
      <c r="J103" s="35" t="n">
        <f aca="false" t="array" ref="J103:J103">IFERROR(INDEX(PalData,MATCH(K103,PalNames,0)+1,MATCH("ZukanIndex",PalData_Header,0)),)</f>
        <v>90</v>
      </c>
      <c r="K103" s="37" t="str">
        <f aca="false">IFERROR(__xludf.dummyfunction("""COMPUTED_VALUE"""),"Mammorest")</f>
        <v>Mammorest</v>
      </c>
      <c r="M103" s="44" t="n">
        <f aca="false">IFERROR(INDEX(PalData,MATCH(O103,PalNames,0)+1,MATCH("Image",PalData_Header,0)),)</f>
        <v>0</v>
      </c>
      <c r="N103" s="45" t="n">
        <f aca="false">IFERROR(INDEX(PalData,MATCH(O103,PalNames,0)+1,MATCH("ZukanIndex",PalData_Header,0)),)</f>
        <v>0</v>
      </c>
      <c r="O103" s="46"/>
      <c r="Q103" s="21" t="n">
        <f aca="false">IFERROR(INDEX(PalData,MATCH(S103,PalNames,0)+1,MATCH("Image",PalData_Header,0)),)</f>
        <v>0</v>
      </c>
      <c r="R103" s="22" t="n">
        <f aca="false" t="array" ref="R103:R103">INDEX(PalData,MATCH(S103,PalNames,0)+1,MATCH("ZukanIndex",PalData_Header,0))</f>
        <v>10</v>
      </c>
      <c r="S103" s="23" t="s">
        <v>114</v>
      </c>
      <c r="T103" s="54" t="b">
        <f aca="false">FALSE()</f>
        <v>0</v>
      </c>
      <c r="U103" s="55" t="b">
        <f aca="false">FALSE()</f>
        <v>0</v>
      </c>
    </row>
    <row r="104" customFormat="false" ht="15.75" hidden="false" customHeight="false" outlineLevel="0" collapsed="false">
      <c r="F104" s="39" t="n">
        <f aca="false">IFERROR(INDEX(PalData,MATCH(H104,PalNames,0)+1,MATCH("Image",PalData_Header,0)),)</f>
        <v>0</v>
      </c>
      <c r="G104" s="40" t="n">
        <f aca="false" t="array" ref="G104:G104">IFERROR(INDEX(PalData,MATCH(H104,PalNames,0)+1,MATCH("ZukanIndex",PalData_Header,0)),)</f>
        <v>89</v>
      </c>
      <c r="H104" s="40" t="str">
        <f aca="false">IFERROR(__xludf.dummyfunction("""COMPUTED_VALUE"""),"Kingpaca")</f>
        <v>Kingpaca</v>
      </c>
      <c r="I104" s="41" t="n">
        <f aca="false">IFERROR(INDEX(PalData,MATCH(K104,PalNames,0)+1,MATCH("Image",PalData_Header,0)),)</f>
        <v>0</v>
      </c>
      <c r="J104" s="40" t="n">
        <f aca="false" t="array" ref="J104:J104">IFERROR(INDEX(PalData,MATCH(K104,PalNames,0)+1,MATCH("ZukanIndex",PalData_Header,0)),)</f>
        <v>90</v>
      </c>
      <c r="K104" s="42" t="str">
        <f aca="false">IFERROR(__xludf.dummyfunction("""COMPUTED_VALUE"""),"Mammorest Cryst")</f>
        <v>Mammorest Cryst</v>
      </c>
      <c r="M104" s="47" t="n">
        <f aca="false">IFERROR(INDEX(PalData,MATCH(O104,PalNames,0)+1,MATCH("Image",PalData_Header,0)),)</f>
        <v>0</v>
      </c>
      <c r="N104" s="48" t="n">
        <f aca="false">IFERROR(INDEX(PalData,MATCH(O104,PalNames,0)+1,MATCH("ZukanIndex",PalData_Header,0)),)</f>
        <v>0</v>
      </c>
      <c r="O104" s="49"/>
      <c r="Q104" s="27" t="n">
        <f aca="false">IFERROR(INDEX(PalData,MATCH(S104,PalNames,0)+1,MATCH("Image",PalData_Header,0)),)</f>
        <v>0</v>
      </c>
      <c r="R104" s="17" t="n">
        <f aca="false" t="array" ref="R104:R104">INDEX(PalData,MATCH(S104,PalNames,0)+1,MATCH("ZukanIndex",PalData_Header,0))</f>
        <v>11</v>
      </c>
      <c r="S104" s="18" t="s">
        <v>115</v>
      </c>
      <c r="T104" s="52" t="b">
        <f aca="false">FALSE()</f>
        <v>0</v>
      </c>
      <c r="U104" s="53" t="b">
        <f aca="false">FALSE()</f>
        <v>0</v>
      </c>
    </row>
    <row r="105" customFormat="false" ht="15.75" hidden="false" customHeight="false" outlineLevel="0" collapsed="false">
      <c r="F105" s="34" t="n">
        <f aca="false">IFERROR(INDEX(PalData,MATCH(H105,PalNames,0)+1,MATCH("Image",PalData_Header,0)),)</f>
        <v>0</v>
      </c>
      <c r="G105" s="35" t="n">
        <f aca="false" t="array" ref="G105:G105">IFERROR(INDEX(PalData,MATCH(H105,PalNames,0)+1,MATCH("ZukanIndex",PalData_Header,0)),)</f>
        <v>89</v>
      </c>
      <c r="H105" s="35" t="str">
        <f aca="false">IFERROR(__xludf.dummyfunction("""COMPUTED_VALUE"""),"Kingpaca")</f>
        <v>Kingpaca</v>
      </c>
      <c r="I105" s="36" t="n">
        <f aca="false">IFERROR(INDEX(PalData,MATCH(K105,PalNames,0)+1,MATCH("Image",PalData_Header,0)),)</f>
        <v>0</v>
      </c>
      <c r="J105" s="35" t="n">
        <f aca="false" t="array" ref="J105:J105">IFERROR(INDEX(PalData,MATCH(K105,PalNames,0)+1,MATCH("ZukanIndex",PalData_Header,0)),)</f>
        <v>101</v>
      </c>
      <c r="K105" s="37" t="str">
        <f aca="false">IFERROR(__xludf.dummyfunction("""COMPUTED_VALUE"""),"Jormuntide")</f>
        <v>Jormuntide</v>
      </c>
      <c r="M105" s="44" t="n">
        <f aca="false">IFERROR(INDEX(PalData,MATCH(O105,PalNames,0)+1,MATCH("Image",PalData_Header,0)),)</f>
        <v>0</v>
      </c>
      <c r="N105" s="45" t="n">
        <f aca="false">IFERROR(INDEX(PalData,MATCH(O105,PalNames,0)+1,MATCH("ZukanIndex",PalData_Header,0)),)</f>
        <v>0</v>
      </c>
      <c r="O105" s="46"/>
      <c r="Q105" s="21" t="n">
        <f aca="false">IFERROR(INDEX(PalData,MATCH(S105,PalNames,0)+1,MATCH("Image",PalData_Header,0)),)</f>
        <v>0</v>
      </c>
      <c r="R105" s="22" t="n">
        <f aca="false" t="array" ref="R105:R105">INDEX(PalData,MATCH(S105,PalNames,0)+1,MATCH("ZukanIndex",PalData_Header,0))</f>
        <v>87</v>
      </c>
      <c r="S105" s="23" t="s">
        <v>116</v>
      </c>
      <c r="T105" s="54" t="b">
        <f aca="false">FALSE()</f>
        <v>0</v>
      </c>
      <c r="U105" s="55" t="b">
        <f aca="false">FALSE()</f>
        <v>0</v>
      </c>
    </row>
    <row r="106" customFormat="false" ht="15.75" hidden="false" customHeight="false" outlineLevel="0" collapsed="false">
      <c r="F106" s="39" t="n">
        <f aca="false">IFERROR(INDEX(PalData,MATCH(H106,PalNames,0)+1,MATCH("Image",PalData_Header,0)),)</f>
        <v>0</v>
      </c>
      <c r="G106" s="40" t="n">
        <f aca="false" t="array" ref="G106:G106">IFERROR(INDEX(PalData,MATCH(H106,PalNames,0)+1,MATCH("ZukanIndex",PalData_Header,0)),)</f>
        <v>89</v>
      </c>
      <c r="H106" s="40" t="str">
        <f aca="false">IFERROR(__xludf.dummyfunction("""COMPUTED_VALUE"""),"Kingpaca")</f>
        <v>Kingpaca</v>
      </c>
      <c r="I106" s="41" t="n">
        <f aca="false">IFERROR(INDEX(PalData,MATCH(K106,PalNames,0)+1,MATCH("Image",PalData_Header,0)),)</f>
        <v>0</v>
      </c>
      <c r="J106" s="40" t="n">
        <f aca="false" t="array" ref="J106:J106">IFERROR(INDEX(PalData,MATCH(K106,PalNames,0)+1,MATCH("ZukanIndex",PalData_Header,0)),)</f>
        <v>101</v>
      </c>
      <c r="K106" s="42" t="str">
        <f aca="false">IFERROR(__xludf.dummyfunction("""COMPUTED_VALUE"""),"Jormuntide Ignis")</f>
        <v>Jormuntide Ignis</v>
      </c>
      <c r="M106" s="47" t="n">
        <f aca="false">IFERROR(INDEX(PalData,MATCH(O106,PalNames,0)+1,MATCH("Image",PalData_Header,0)),)</f>
        <v>0</v>
      </c>
      <c r="N106" s="48" t="n">
        <f aca="false">IFERROR(INDEX(PalData,MATCH(O106,PalNames,0)+1,MATCH("ZukanIndex",PalData_Header,0)),)</f>
        <v>0</v>
      </c>
      <c r="O106" s="49"/>
      <c r="Q106" s="27" t="n">
        <f aca="false">IFERROR(INDEX(PalData,MATCH(S106,PalNames,0)+1,MATCH("Image",PalData_Header,0)),)</f>
        <v>0</v>
      </c>
      <c r="R106" s="17" t="n">
        <f aca="false" t="array" ref="R106:R106">INDEX(PalData,MATCH(S106,PalNames,0)+1,MATCH("ZukanIndex",PalData_Header,0))</f>
        <v>58</v>
      </c>
      <c r="S106" s="18" t="s">
        <v>117</v>
      </c>
      <c r="T106" s="52" t="b">
        <f aca="false">FALSE()</f>
        <v>0</v>
      </c>
      <c r="U106" s="53" t="b">
        <f aca="false">FALSE()</f>
        <v>0</v>
      </c>
    </row>
    <row r="107" customFormat="false" ht="15.75" hidden="false" customHeight="false" outlineLevel="0" collapsed="false">
      <c r="F107" s="34" t="n">
        <f aca="false">IFERROR(INDEX(PalData,MATCH(H107,PalNames,0)+1,MATCH("Image",PalData_Header,0)),)</f>
        <v>0</v>
      </c>
      <c r="G107" s="35" t="n">
        <f aca="false" t="array" ref="G107:G107">IFERROR(INDEX(PalData,MATCH(H107,PalNames,0)+1,MATCH("ZukanIndex",PalData_Header,0)),)</f>
        <v>89</v>
      </c>
      <c r="H107" s="35" t="str">
        <f aca="false">IFERROR(__xludf.dummyfunction("""COMPUTED_VALUE"""),"Ice Kingpaca")</f>
        <v>Ice Kingpaca</v>
      </c>
      <c r="I107" s="36" t="n">
        <f aca="false">IFERROR(INDEX(PalData,MATCH(K107,PalNames,0)+1,MATCH("Image",PalData_Header,0)),)</f>
        <v>0</v>
      </c>
      <c r="J107" s="35" t="n">
        <f aca="false" t="array" ref="J107:J107">IFERROR(INDEX(PalData,MATCH(K107,PalNames,0)+1,MATCH("ZukanIndex",PalData_Header,0)),)</f>
        <v>92</v>
      </c>
      <c r="K107" s="37" t="str">
        <f aca="false">IFERROR(__xludf.dummyfunction("""COMPUTED_VALUE"""),"Warsect")</f>
        <v>Warsect</v>
      </c>
      <c r="M107" s="44" t="n">
        <f aca="false">IFERROR(INDEX(PalData,MATCH(O107,PalNames,0)+1,MATCH("Image",PalData_Header,0)),)</f>
        <v>0</v>
      </c>
      <c r="N107" s="45" t="n">
        <f aca="false">IFERROR(INDEX(PalData,MATCH(O107,PalNames,0)+1,MATCH("ZukanIndex",PalData_Header,0)),)</f>
        <v>0</v>
      </c>
      <c r="O107" s="46"/>
      <c r="Q107" s="21" t="n">
        <f aca="false">IFERROR(INDEX(PalData,MATCH(S107,PalNames,0)+1,MATCH("Image",PalData_Header,0)),)</f>
        <v>0</v>
      </c>
      <c r="R107" s="22" t="n">
        <f aca="false" t="array" ref="R107:R107">INDEX(PalData,MATCH(S107,PalNames,0)+1,MATCH("ZukanIndex",PalData_Header,0))</f>
        <v>58</v>
      </c>
      <c r="S107" s="23" t="s">
        <v>118</v>
      </c>
      <c r="T107" s="54" t="b">
        <f aca="false">FALSE()</f>
        <v>0</v>
      </c>
      <c r="U107" s="55" t="b">
        <f aca="false">FALSE()</f>
        <v>0</v>
      </c>
    </row>
    <row r="108" customFormat="false" ht="15.75" hidden="false" customHeight="false" outlineLevel="0" collapsed="false">
      <c r="F108" s="39" t="n">
        <f aca="false">IFERROR(INDEX(PalData,MATCH(H108,PalNames,0)+1,MATCH("Image",PalData_Header,0)),)</f>
        <v>0</v>
      </c>
      <c r="G108" s="40" t="n">
        <f aca="false" t="array" ref="G108:G108">IFERROR(INDEX(PalData,MATCH(H108,PalNames,0)+1,MATCH("ZukanIndex",PalData_Header,0)),)</f>
        <v>89</v>
      </c>
      <c r="H108" s="40" t="str">
        <f aca="false">IFERROR(__xludf.dummyfunction("""COMPUTED_VALUE"""),"Ice Kingpaca")</f>
        <v>Ice Kingpaca</v>
      </c>
      <c r="I108" s="41" t="n">
        <f aca="false">IFERROR(INDEX(PalData,MATCH(K108,PalNames,0)+1,MATCH("Image",PalData_Header,0)),)</f>
        <v>0</v>
      </c>
      <c r="J108" s="40" t="n">
        <f aca="false" t="array" ref="J108:J108">IFERROR(INDEX(PalData,MATCH(K108,PalNames,0)+1,MATCH("ZukanIndex",PalData_Header,0)),)</f>
        <v>101</v>
      </c>
      <c r="K108" s="42" t="str">
        <f aca="false">IFERROR(__xludf.dummyfunction("""COMPUTED_VALUE"""),"Jormuntide")</f>
        <v>Jormuntide</v>
      </c>
      <c r="M108" s="47" t="n">
        <f aca="false">IFERROR(INDEX(PalData,MATCH(O108,PalNames,0)+1,MATCH("Image",PalData_Header,0)),)</f>
        <v>0</v>
      </c>
      <c r="N108" s="48" t="n">
        <f aca="false">IFERROR(INDEX(PalData,MATCH(O108,PalNames,0)+1,MATCH("ZukanIndex",PalData_Header,0)),)</f>
        <v>0</v>
      </c>
      <c r="O108" s="49"/>
      <c r="Q108" s="27" t="n">
        <f aca="false">IFERROR(INDEX(PalData,MATCH(S108,PalNames,0)+1,MATCH("Image",PalData_Header,0)),)</f>
        <v>0</v>
      </c>
      <c r="R108" s="17" t="n">
        <f aca="false" t="array" ref="R108:R108">INDEX(PalData,MATCH(S108,PalNames,0)+1,MATCH("ZukanIndex",PalData_Header,0))</f>
        <v>95</v>
      </c>
      <c r="S108" s="18" t="s">
        <v>119</v>
      </c>
      <c r="T108" s="52" t="b">
        <f aca="false">FALSE()</f>
        <v>0</v>
      </c>
      <c r="U108" s="53" t="b">
        <f aca="false">FALSE()</f>
        <v>0</v>
      </c>
    </row>
    <row r="109" customFormat="false" ht="15.75" hidden="false" customHeight="false" outlineLevel="0" collapsed="false">
      <c r="F109" s="34" t="n">
        <f aca="false">IFERROR(INDEX(PalData,MATCH(H109,PalNames,0)+1,MATCH("Image",PalData_Header,0)),)</f>
        <v>0</v>
      </c>
      <c r="G109" s="35" t="n">
        <f aca="false" t="array" ref="G109:G109">IFERROR(INDEX(PalData,MATCH(H109,PalNames,0)+1,MATCH("ZukanIndex",PalData_Header,0)),)</f>
        <v>89</v>
      </c>
      <c r="H109" s="35" t="str">
        <f aca="false">IFERROR(__xludf.dummyfunction("""COMPUTED_VALUE"""),"Ice Kingpaca")</f>
        <v>Ice Kingpaca</v>
      </c>
      <c r="I109" s="36" t="n">
        <f aca="false">IFERROR(INDEX(PalData,MATCH(K109,PalNames,0)+1,MATCH("Image",PalData_Header,0)),)</f>
        <v>0</v>
      </c>
      <c r="J109" s="35" t="n">
        <f aca="false" t="array" ref="J109:J109">IFERROR(INDEX(PalData,MATCH(K109,PalNames,0)+1,MATCH("ZukanIndex",PalData_Header,0)),)</f>
        <v>101</v>
      </c>
      <c r="K109" s="37" t="str">
        <f aca="false">IFERROR(__xludf.dummyfunction("""COMPUTED_VALUE"""),"Jormuntide Ignis")</f>
        <v>Jormuntide Ignis</v>
      </c>
      <c r="M109" s="44" t="n">
        <f aca="false">IFERROR(INDEX(PalData,MATCH(O109,PalNames,0)+1,MATCH("Image",PalData_Header,0)),)</f>
        <v>0</v>
      </c>
      <c r="N109" s="45" t="n">
        <f aca="false">IFERROR(INDEX(PalData,MATCH(O109,PalNames,0)+1,MATCH("ZukanIndex",PalData_Header,0)),)</f>
        <v>0</v>
      </c>
      <c r="O109" s="46"/>
      <c r="Q109" s="21" t="n">
        <f aca="false">IFERROR(INDEX(PalData,MATCH(S109,PalNames,0)+1,MATCH("Image",PalData_Header,0)),)</f>
        <v>0</v>
      </c>
      <c r="R109" s="22" t="n">
        <f aca="false" t="array" ref="R109:R109">INDEX(PalData,MATCH(S109,PalNames,0)+1,MATCH("ZukanIndex",PalData_Header,0))</f>
        <v>74</v>
      </c>
      <c r="S109" s="23" t="s">
        <v>14</v>
      </c>
      <c r="T109" s="54" t="b">
        <f aca="false">FALSE()</f>
        <v>0</v>
      </c>
      <c r="U109" s="55" t="b">
        <f aca="false">FALSE()</f>
        <v>0</v>
      </c>
    </row>
    <row r="110" customFormat="false" ht="15.75" hidden="false" customHeight="false" outlineLevel="0" collapsed="false">
      <c r="F110" s="39" t="n">
        <f aca="false">IFERROR(INDEX(PalData,MATCH(H110,PalNames,0)+1,MATCH("Image",PalData_Header,0)),)</f>
        <v>0</v>
      </c>
      <c r="G110" s="40" t="n">
        <f aca="false" t="array" ref="G110:G110">IFERROR(INDEX(PalData,MATCH(H110,PalNames,0)+1,MATCH("ZukanIndex",PalData_Header,0)),)</f>
        <v>90</v>
      </c>
      <c r="H110" s="40" t="str">
        <f aca="false">IFERROR(__xludf.dummyfunction("""COMPUTED_VALUE"""),"Mammorest")</f>
        <v>Mammorest</v>
      </c>
      <c r="I110" s="41" t="n">
        <f aca="false">IFERROR(INDEX(PalData,MATCH(K110,PalNames,0)+1,MATCH("Image",PalData_Header,0)),)</f>
        <v>0</v>
      </c>
      <c r="J110" s="40" t="n">
        <f aca="false" t="array" ref="J110:J110">IFERROR(INDEX(PalData,MATCH(K110,PalNames,0)+1,MATCH("ZukanIndex",PalData_Header,0)),)</f>
        <v>91</v>
      </c>
      <c r="K110" s="42" t="str">
        <f aca="false">IFERROR(__xludf.dummyfunction("""COMPUTED_VALUE"""),"Wumpo Botan")</f>
        <v>Wumpo Botan</v>
      </c>
      <c r="M110" s="47" t="n">
        <f aca="false">IFERROR(INDEX(PalData,MATCH(O110,PalNames,0)+1,MATCH("Image",PalData_Header,0)),)</f>
        <v>0</v>
      </c>
      <c r="N110" s="48" t="n">
        <f aca="false">IFERROR(INDEX(PalData,MATCH(O110,PalNames,0)+1,MATCH("ZukanIndex",PalData_Header,0)),)</f>
        <v>0</v>
      </c>
      <c r="O110" s="49"/>
      <c r="Q110" s="27" t="n">
        <f aca="false">IFERROR(INDEX(PalData,MATCH(S110,PalNames,0)+1,MATCH("Image",PalData_Header,0)),)</f>
        <v>0</v>
      </c>
      <c r="R110" s="17" t="n">
        <f aca="false" t="array" ref="R110:R110">INDEX(PalData,MATCH(S110,PalNames,0)+1,MATCH("ZukanIndex",PalData_Header,0))</f>
        <v>60</v>
      </c>
      <c r="S110" s="18" t="s">
        <v>120</v>
      </c>
      <c r="T110" s="52" t="b">
        <f aca="false">FALSE()</f>
        <v>0</v>
      </c>
      <c r="U110" s="53" t="b">
        <f aca="false">FALSE()</f>
        <v>0</v>
      </c>
    </row>
    <row r="111" customFormat="false" ht="15.75" hidden="false" customHeight="false" outlineLevel="0" collapsed="false">
      <c r="F111" s="34" t="n">
        <f aca="false">IFERROR(INDEX(PalData,MATCH(H111,PalNames,0)+1,MATCH("Image",PalData_Header,0)),)</f>
        <v>0</v>
      </c>
      <c r="G111" s="35" t="n">
        <f aca="false" t="array" ref="G111:G111">IFERROR(INDEX(PalData,MATCH(H111,PalNames,0)+1,MATCH("ZukanIndex",PalData_Header,0)),)</f>
        <v>90</v>
      </c>
      <c r="H111" s="35" t="str">
        <f aca="false">IFERROR(__xludf.dummyfunction("""COMPUTED_VALUE"""),"Mammorest Cryst")</f>
        <v>Mammorest Cryst</v>
      </c>
      <c r="I111" s="36" t="n">
        <f aca="false">IFERROR(INDEX(PalData,MATCH(K111,PalNames,0)+1,MATCH("Image",PalData_Header,0)),)</f>
        <v>0</v>
      </c>
      <c r="J111" s="35" t="n">
        <f aca="false" t="array" ref="J111:J111">IFERROR(INDEX(PalData,MATCH(K111,PalNames,0)+1,MATCH("ZukanIndex",PalData_Header,0)),)</f>
        <v>91</v>
      </c>
      <c r="K111" s="37" t="str">
        <f aca="false">IFERROR(__xludf.dummyfunction("""COMPUTED_VALUE"""),"Wumpo")</f>
        <v>Wumpo</v>
      </c>
      <c r="M111" s="44" t="n">
        <f aca="false">IFERROR(INDEX(PalData,MATCH(O111,PalNames,0)+1,MATCH("Image",PalData_Header,0)),)</f>
        <v>0</v>
      </c>
      <c r="N111" s="45" t="n">
        <f aca="false">IFERROR(INDEX(PalData,MATCH(O111,PalNames,0)+1,MATCH("ZukanIndex",PalData_Header,0)),)</f>
        <v>0</v>
      </c>
      <c r="O111" s="46"/>
      <c r="Q111" s="21" t="n">
        <f aca="false">IFERROR(INDEX(PalData,MATCH(S111,PalNames,0)+1,MATCH("Image",PalData_Header,0)),)</f>
        <v>0</v>
      </c>
      <c r="R111" s="22" t="n">
        <f aca="false" t="array" ref="R111:R111">INDEX(PalData,MATCH(S111,PalNames,0)+1,MATCH("ZukanIndex",PalData_Header,0))</f>
        <v>59</v>
      </c>
      <c r="S111" s="23" t="s">
        <v>121</v>
      </c>
      <c r="T111" s="54" t="b">
        <f aca="false">FALSE()</f>
        <v>0</v>
      </c>
      <c r="U111" s="55" t="b">
        <f aca="false">FALSE()</f>
        <v>0</v>
      </c>
    </row>
    <row r="112" customFormat="false" ht="15.75" hidden="false" customHeight="false" outlineLevel="0" collapsed="false">
      <c r="F112" s="39" t="n">
        <f aca="false">IFERROR(INDEX(PalData,MATCH(H112,PalNames,0)+1,MATCH("Image",PalData_Header,0)),)</f>
        <v>0</v>
      </c>
      <c r="G112" s="40" t="n">
        <f aca="false" t="array" ref="G112:G112">IFERROR(INDEX(PalData,MATCH(H112,PalNames,0)+1,MATCH("ZukanIndex",PalData_Header,0)),)</f>
        <v>90</v>
      </c>
      <c r="H112" s="40" t="str">
        <f aca="false">IFERROR(__xludf.dummyfunction("""COMPUTED_VALUE"""),"Mammorest Cryst")</f>
        <v>Mammorest Cryst</v>
      </c>
      <c r="I112" s="41" t="n">
        <f aca="false">IFERROR(INDEX(PalData,MATCH(K112,PalNames,0)+1,MATCH("Image",PalData_Header,0)),)</f>
        <v>0</v>
      </c>
      <c r="J112" s="40" t="n">
        <f aca="false" t="array" ref="J112:J112">IFERROR(INDEX(PalData,MATCH(K112,PalNames,0)+1,MATCH("ZukanIndex",PalData_Header,0)),)</f>
        <v>91</v>
      </c>
      <c r="K112" s="42" t="str">
        <f aca="false">IFERROR(__xludf.dummyfunction("""COMPUTED_VALUE"""),"Wumpo Botan")</f>
        <v>Wumpo Botan</v>
      </c>
      <c r="M112" s="47" t="n">
        <f aca="false">IFERROR(INDEX(PalData,MATCH(O112,PalNames,0)+1,MATCH("Image",PalData_Header,0)),)</f>
        <v>0</v>
      </c>
      <c r="N112" s="48" t="n">
        <f aca="false">IFERROR(INDEX(PalData,MATCH(O112,PalNames,0)+1,MATCH("ZukanIndex",PalData_Header,0)),)</f>
        <v>0</v>
      </c>
      <c r="O112" s="49"/>
      <c r="Q112" s="27" t="n">
        <f aca="false">IFERROR(INDEX(PalData,MATCH(S112,PalNames,0)+1,MATCH("Image",PalData_Header,0)),)</f>
        <v>0</v>
      </c>
      <c r="R112" s="17" t="n">
        <f aca="false" t="array" ref="R112:R112">INDEX(PalData,MATCH(S112,PalNames,0)+1,MATCH("ZukanIndex",PalData_Header,0))</f>
        <v>85</v>
      </c>
      <c r="S112" s="18" t="s">
        <v>122</v>
      </c>
      <c r="T112" s="52" t="b">
        <f aca="false">FALSE()</f>
        <v>0</v>
      </c>
      <c r="U112" s="53" t="b">
        <f aca="false">FALSE()</f>
        <v>0</v>
      </c>
    </row>
    <row r="113" customFormat="false" ht="15.75" hidden="false" customHeight="false" outlineLevel="0" collapsed="false">
      <c r="F113" s="34" t="n">
        <f aca="false">IFERROR(INDEX(PalData,MATCH(H113,PalNames,0)+1,MATCH("Image",PalData_Header,0)),)</f>
        <v>0</v>
      </c>
      <c r="G113" s="35" t="n">
        <f aca="false" t="array" ref="G113:G113">IFERROR(INDEX(PalData,MATCH(H113,PalNames,0)+1,MATCH("ZukanIndex",PalData_Header,0)),)</f>
        <v>91</v>
      </c>
      <c r="H113" s="35" t="str">
        <f aca="false">IFERROR(__xludf.dummyfunction("""COMPUTED_VALUE"""),"Wumpo")</f>
        <v>Wumpo</v>
      </c>
      <c r="I113" s="36" t="n">
        <f aca="false">IFERROR(INDEX(PalData,MATCH(K113,PalNames,0)+1,MATCH("Image",PalData_Header,0)),)</f>
        <v>0</v>
      </c>
      <c r="J113" s="35" t="n">
        <f aca="false" t="array" ref="J113:J113">IFERROR(INDEX(PalData,MATCH(K113,PalNames,0)+1,MATCH("ZukanIndex",PalData_Header,0)),)</f>
        <v>101</v>
      </c>
      <c r="K113" s="37" t="str">
        <f aca="false">IFERROR(__xludf.dummyfunction("""COMPUTED_VALUE"""),"Jormuntide")</f>
        <v>Jormuntide</v>
      </c>
      <c r="M113" s="44" t="n">
        <f aca="false">IFERROR(INDEX(PalData,MATCH(O113,PalNames,0)+1,MATCH("Image",PalData_Header,0)),)</f>
        <v>0</v>
      </c>
      <c r="N113" s="45" t="n">
        <f aca="false">IFERROR(INDEX(PalData,MATCH(O113,PalNames,0)+1,MATCH("ZukanIndex",PalData_Header,0)),)</f>
        <v>0</v>
      </c>
      <c r="O113" s="46"/>
      <c r="Q113" s="21" t="n">
        <f aca="false">IFERROR(INDEX(PalData,MATCH(S113,PalNames,0)+1,MATCH("Image",PalData_Header,0)),)</f>
        <v>0</v>
      </c>
      <c r="R113" s="22" t="n">
        <f aca="false" t="array" ref="R113:R113">INDEX(PalData,MATCH(S113,PalNames,0)+1,MATCH("ZukanIndex",PalData_Header,0))</f>
        <v>85</v>
      </c>
      <c r="S113" s="23" t="s">
        <v>123</v>
      </c>
      <c r="T113" s="54" t="b">
        <f aca="false">FALSE()</f>
        <v>0</v>
      </c>
      <c r="U113" s="55" t="b">
        <f aca="false">FALSE()</f>
        <v>0</v>
      </c>
    </row>
    <row r="114" customFormat="false" ht="15.75" hidden="false" customHeight="false" outlineLevel="0" collapsed="false">
      <c r="F114" s="39" t="n">
        <f aca="false">IFERROR(INDEX(PalData,MATCH(H114,PalNames,0)+1,MATCH("Image",PalData_Header,0)),)</f>
        <v>0</v>
      </c>
      <c r="G114" s="40" t="n">
        <f aca="false" t="array" ref="G114:G114">IFERROR(INDEX(PalData,MATCH(H114,PalNames,0)+1,MATCH("ZukanIndex",PalData_Header,0)),)</f>
        <v>91</v>
      </c>
      <c r="H114" s="40" t="str">
        <f aca="false">IFERROR(__xludf.dummyfunction("""COMPUTED_VALUE"""),"Wumpo")</f>
        <v>Wumpo</v>
      </c>
      <c r="I114" s="41" t="n">
        <f aca="false">IFERROR(INDEX(PalData,MATCH(K114,PalNames,0)+1,MATCH("Image",PalData_Header,0)),)</f>
        <v>0</v>
      </c>
      <c r="J114" s="40" t="n">
        <f aca="false" t="array" ref="J114:J114">IFERROR(INDEX(PalData,MATCH(K114,PalNames,0)+1,MATCH("ZukanIndex",PalData_Header,0)),)</f>
        <v>101</v>
      </c>
      <c r="K114" s="42" t="str">
        <f aca="false">IFERROR(__xludf.dummyfunction("""COMPUTED_VALUE"""),"Jormuntide Ignis")</f>
        <v>Jormuntide Ignis</v>
      </c>
      <c r="M114" s="47" t="n">
        <f aca="false">IFERROR(INDEX(PalData,MATCH(O114,PalNames,0)+1,MATCH("Image",PalData_Header,0)),)</f>
        <v>0</v>
      </c>
      <c r="N114" s="48" t="n">
        <f aca="false">IFERROR(INDEX(PalData,MATCH(O114,PalNames,0)+1,MATCH("ZukanIndex",PalData_Header,0)),)</f>
        <v>0</v>
      </c>
      <c r="O114" s="49"/>
      <c r="Q114" s="27" t="n">
        <f aca="false">IFERROR(INDEX(PalData,MATCH(S114,PalNames,0)+1,MATCH("Image",PalData_Header,0)),)</f>
        <v>0</v>
      </c>
      <c r="R114" s="17" t="n">
        <f aca="false" t="array" ref="R114:R114">INDEX(PalData,MATCH(S114,PalNames,0)+1,MATCH("ZukanIndex",PalData_Header,0))</f>
        <v>88</v>
      </c>
      <c r="S114" s="18" t="s">
        <v>124</v>
      </c>
      <c r="T114" s="52" t="b">
        <f aca="false">FALSE()</f>
        <v>0</v>
      </c>
      <c r="U114" s="53" t="b">
        <f aca="false">FALSE()</f>
        <v>0</v>
      </c>
    </row>
    <row r="115" customFormat="false" ht="15.75" hidden="false" customHeight="false" outlineLevel="0" collapsed="false">
      <c r="F115" s="34" t="n">
        <f aca="false">IFERROR(INDEX(PalData,MATCH(H115,PalNames,0)+1,MATCH("Image",PalData_Header,0)),)</f>
        <v>0</v>
      </c>
      <c r="G115" s="35" t="n">
        <f aca="false" t="array" ref="G115:G115">IFERROR(INDEX(PalData,MATCH(H115,PalNames,0)+1,MATCH("ZukanIndex",PalData_Header,0)),)</f>
        <v>97</v>
      </c>
      <c r="H115" s="35" t="str">
        <f aca="false">IFERROR(__xludf.dummyfunction("""COMPUTED_VALUE"""),"Helzephyr")</f>
        <v>Helzephyr</v>
      </c>
      <c r="I115" s="36" t="n">
        <f aca="false">IFERROR(INDEX(PalData,MATCH(K115,PalNames,0)+1,MATCH("Image",PalData_Header,0)),)</f>
        <v>0</v>
      </c>
      <c r="J115" s="35" t="n">
        <f aca="false" t="array" ref="J115:J115">IFERROR(INDEX(PalData,MATCH(K115,PalNames,0)+1,MATCH("ZukanIndex",PalData_Header,0)),)</f>
        <v>100</v>
      </c>
      <c r="K115" s="37" t="str">
        <f aca="false">IFERROR(__xludf.dummyfunction("""COMPUTED_VALUE"""),"Anubis")</f>
        <v>Anubis</v>
      </c>
      <c r="M115" s="44" t="n">
        <f aca="false">IFERROR(INDEX(PalData,MATCH(O115,PalNames,0)+1,MATCH("Image",PalData_Header,0)),)</f>
        <v>0</v>
      </c>
      <c r="N115" s="45" t="n">
        <f aca="false">IFERROR(INDEX(PalData,MATCH(O115,PalNames,0)+1,MATCH("ZukanIndex",PalData_Header,0)),)</f>
        <v>0</v>
      </c>
      <c r="O115" s="46"/>
      <c r="Q115" s="21" t="n">
        <f aca="false">IFERROR(INDEX(PalData,MATCH(S115,PalNames,0)+1,MATCH("Image",PalData_Header,0)),)</f>
        <v>0</v>
      </c>
      <c r="R115" s="22" t="n">
        <f aca="false" t="array" ref="R115:R115">INDEX(PalData,MATCH(S115,PalNames,0)+1,MATCH("ZukanIndex",PalData_Header,0))</f>
        <v>39</v>
      </c>
      <c r="S115" s="23" t="s">
        <v>125</v>
      </c>
      <c r="T115" s="54" t="b">
        <f aca="false">FALSE()</f>
        <v>0</v>
      </c>
      <c r="U115" s="55" t="b">
        <f aca="false">FALSE()</f>
        <v>0</v>
      </c>
    </row>
    <row r="116" customFormat="false" ht="15.75" hidden="false" customHeight="false" outlineLevel="0" collapsed="false">
      <c r="F116" s="39" t="n">
        <f aca="false">IFERROR(INDEX(PalData,MATCH(H116,PalNames,0)+1,MATCH("Image",PalData_Header,0)),)</f>
        <v>0</v>
      </c>
      <c r="G116" s="40" t="n">
        <f aca="false" t="array" ref="G116:G116">IFERROR(INDEX(PalData,MATCH(H116,PalNames,0)+1,MATCH("ZukanIndex",PalData_Header,0)),)</f>
        <v>100</v>
      </c>
      <c r="H116" s="40" t="str">
        <f aca="false">IFERROR(__xludf.dummyfunction("""COMPUTED_VALUE"""),"Anubis")</f>
        <v>Anubis</v>
      </c>
      <c r="I116" s="41" t="n">
        <f aca="false">IFERROR(INDEX(PalData,MATCH(K116,PalNames,0)+1,MATCH("Image",PalData_Header,0)),)</f>
        <v>0</v>
      </c>
      <c r="J116" s="40" t="n">
        <f aca="false" t="array" ref="J116:J116">IFERROR(INDEX(PalData,MATCH(K116,PalNames,0)+1,MATCH("ZukanIndex",PalData_Header,0)),)</f>
        <v>103</v>
      </c>
      <c r="K116" s="42" t="str">
        <f aca="false">IFERROR(__xludf.dummyfunction("""COMPUTED_VALUE"""),"Grizzbolt")</f>
        <v>Grizzbolt</v>
      </c>
      <c r="M116" s="47" t="n">
        <f aca="false">IFERROR(INDEX(PalData,MATCH(O116,PalNames,0)+1,MATCH("Image",PalData_Header,0)),)</f>
        <v>0</v>
      </c>
      <c r="N116" s="48" t="n">
        <f aca="false">IFERROR(INDEX(PalData,MATCH(O116,PalNames,0)+1,MATCH("ZukanIndex",PalData_Header,0)),)</f>
        <v>0</v>
      </c>
      <c r="O116" s="49"/>
      <c r="Q116" s="27" t="n">
        <f aca="false">IFERROR(INDEX(PalData,MATCH(S116,PalNames,0)+1,MATCH("Image",PalData_Header,0)),)</f>
        <v>0</v>
      </c>
      <c r="R116" s="17" t="n">
        <f aca="false" t="array" ref="R116:R116">INDEX(PalData,MATCH(S116,PalNames,0)+1,MATCH("ZukanIndex",PalData_Header,0))</f>
        <v>48</v>
      </c>
      <c r="S116" s="18" t="s">
        <v>126</v>
      </c>
      <c r="T116" s="52" t="b">
        <f aca="false">FALSE()</f>
        <v>0</v>
      </c>
      <c r="U116" s="53" t="b">
        <f aca="false">FALSE()</f>
        <v>0</v>
      </c>
    </row>
    <row r="117" customFormat="false" ht="15.75" hidden="false" customHeight="false" outlineLevel="0" collapsed="false">
      <c r="F117" s="34" t="n">
        <f aca="false">IFERROR(INDEX(PalData,MATCH(H117,PalNames,0)+1,MATCH("Image",PalData_Header,0)),)</f>
        <v>0</v>
      </c>
      <c r="G117" s="35" t="n">
        <f aca="false" t="array" ref="G117:G117">IFERROR(INDEX(PalData,MATCH(H117,PalNames,0)+1,MATCH("ZukanIndex",PalData_Header,0)),)</f>
        <v>100</v>
      </c>
      <c r="H117" s="35" t="str">
        <f aca="false">IFERROR(__xludf.dummyfunction("""COMPUTED_VALUE"""),"Anubis")</f>
        <v>Anubis</v>
      </c>
      <c r="I117" s="36" t="n">
        <f aca="false">IFERROR(INDEX(PalData,MATCH(K117,PalNames,0)+1,MATCH("Image",PalData_Header,0)),)</f>
        <v>0</v>
      </c>
      <c r="J117" s="35" t="n">
        <f aca="false" t="array" ref="J117:J117">IFERROR(INDEX(PalData,MATCH(K117,PalNames,0)+1,MATCH("ZukanIndex",PalData_Header,0)),)</f>
        <v>104</v>
      </c>
      <c r="K117" s="37" t="str">
        <f aca="false">IFERROR(__xludf.dummyfunction("""COMPUTED_VALUE"""),"Lyleen Noct")</f>
        <v>Lyleen Noct</v>
      </c>
      <c r="M117" s="44" t="n">
        <f aca="false">IFERROR(INDEX(PalData,MATCH(O117,PalNames,0)+1,MATCH("Image",PalData_Header,0)),)</f>
        <v>0</v>
      </c>
      <c r="N117" s="45" t="n">
        <f aca="false">IFERROR(INDEX(PalData,MATCH(O117,PalNames,0)+1,MATCH("ZukanIndex",PalData_Header,0)),)</f>
        <v>0</v>
      </c>
      <c r="O117" s="46"/>
      <c r="Q117" s="21" t="n">
        <f aca="false">IFERROR(INDEX(PalData,MATCH(S117,PalNames,0)+1,MATCH("Image",PalData_Header,0)),)</f>
        <v>0</v>
      </c>
      <c r="R117" s="22" t="n">
        <f aca="false" t="array" ref="R117:R117">INDEX(PalData,MATCH(S117,PalNames,0)+1,MATCH("ZukanIndex",PalData_Header,0))</f>
        <v>48</v>
      </c>
      <c r="S117" s="23" t="s">
        <v>127</v>
      </c>
      <c r="T117" s="54" t="b">
        <f aca="false">FALSE()</f>
        <v>0</v>
      </c>
      <c r="U117" s="55" t="b">
        <f aca="false">FALSE()</f>
        <v>0</v>
      </c>
    </row>
    <row r="118" customFormat="false" ht="15.75" hidden="false" customHeight="false" outlineLevel="0" collapsed="false">
      <c r="F118" s="39" t="n">
        <f aca="false">IFERROR(INDEX(PalData,MATCH(H118,PalNames,0)+1,MATCH("Image",PalData_Header,0)),)</f>
        <v>0</v>
      </c>
      <c r="G118" s="40" t="n">
        <f aca="false">IFERROR(INDEX(PalData,MATCH(H118,PalNames,0)+1,MATCH("ZukanIndex",PalData_Header,0)),)</f>
        <v>0</v>
      </c>
      <c r="H118" s="40"/>
      <c r="I118" s="41" t="n">
        <f aca="false">IFERROR(INDEX(PalData,MATCH(K118,PalNames,0)+1,MATCH("Image",PalData_Header,0)),)</f>
        <v>0</v>
      </c>
      <c r="J118" s="40" t="n">
        <f aca="false">IFERROR(INDEX(PalData,MATCH(K118,PalNames,0)+1,MATCH("ZukanIndex",PalData_Header,0)),)</f>
        <v>0</v>
      </c>
      <c r="K118" s="42"/>
      <c r="M118" s="47" t="n">
        <f aca="false">IFERROR(INDEX(PalData,MATCH(O118,PalNames,0)+1,MATCH("Image",PalData_Header,0)),)</f>
        <v>0</v>
      </c>
      <c r="N118" s="48" t="n">
        <f aca="false">IFERROR(INDEX(PalData,MATCH(O118,PalNames,0)+1,MATCH("ZukanIndex",PalData_Header,0)),)</f>
        <v>0</v>
      </c>
      <c r="O118" s="49"/>
      <c r="Q118" s="27" t="n">
        <f aca="false">IFERROR(INDEX(PalData,MATCH(S118,PalNames,0)+1,MATCH("Image",PalData_Header,0)),)</f>
        <v>0</v>
      </c>
      <c r="R118" s="17" t="n">
        <f aca="false" t="array" ref="R118:R118">INDEX(PalData,MATCH(S118,PalNames,0)+1,MATCH("ZukanIndex",PalData_Header,0))</f>
        <v>9</v>
      </c>
      <c r="S118" s="18" t="s">
        <v>128</v>
      </c>
      <c r="T118" s="52" t="b">
        <f aca="false">FALSE()</f>
        <v>0</v>
      </c>
      <c r="U118" s="53" t="b">
        <f aca="false">FALSE()</f>
        <v>0</v>
      </c>
    </row>
    <row r="119" customFormat="false" ht="15.75" hidden="false" customHeight="false" outlineLevel="0" collapsed="false">
      <c r="F119" s="34" t="n">
        <f aca="false">IFERROR(INDEX(PalData,MATCH(H119,PalNames,0)+1,MATCH("Image",PalData_Header,0)),)</f>
        <v>0</v>
      </c>
      <c r="G119" s="35" t="n">
        <f aca="false">IFERROR(INDEX(PalData,MATCH(H119,PalNames,0)+1,MATCH("ZukanIndex",PalData_Header,0)),)</f>
        <v>0</v>
      </c>
      <c r="H119" s="35"/>
      <c r="I119" s="36" t="n">
        <f aca="false">IFERROR(INDEX(PalData,MATCH(K119,PalNames,0)+1,MATCH("Image",PalData_Header,0)),)</f>
        <v>0</v>
      </c>
      <c r="J119" s="35" t="n">
        <f aca="false">IFERROR(INDEX(PalData,MATCH(K119,PalNames,0)+1,MATCH("ZukanIndex",PalData_Header,0)),)</f>
        <v>0</v>
      </c>
      <c r="K119" s="37"/>
      <c r="M119" s="44" t="n">
        <f aca="false">IFERROR(INDEX(PalData,MATCH(O119,PalNames,0)+1,MATCH("Image",PalData_Header,0)),)</f>
        <v>0</v>
      </c>
      <c r="N119" s="45" t="n">
        <f aca="false">IFERROR(INDEX(PalData,MATCH(O119,PalNames,0)+1,MATCH("ZukanIndex",PalData_Header,0)),)</f>
        <v>0</v>
      </c>
      <c r="O119" s="46"/>
      <c r="Q119" s="21" t="n">
        <f aca="false">IFERROR(INDEX(PalData,MATCH(S119,PalNames,0)+1,MATCH("Image",PalData_Header,0)),)</f>
        <v>0</v>
      </c>
      <c r="R119" s="22" t="n">
        <f aca="false" t="array" ref="R119:R119">INDEX(PalData,MATCH(S119,PalNames,0)+1,MATCH("ZukanIndex",PalData_Header,0))</f>
        <v>20</v>
      </c>
      <c r="S119" s="23" t="s">
        <v>129</v>
      </c>
      <c r="T119" s="54" t="b">
        <f aca="false">FALSE()</f>
        <v>0</v>
      </c>
      <c r="U119" s="55" t="b">
        <f aca="false">FALSE()</f>
        <v>0</v>
      </c>
    </row>
    <row r="120" customFormat="false" ht="15.75" hidden="false" customHeight="false" outlineLevel="0" collapsed="false">
      <c r="F120" s="39" t="n">
        <f aca="false">IFERROR(INDEX(PalData,MATCH(H120,PalNames,0)+1,MATCH("Image",PalData_Header,0)),)</f>
        <v>0</v>
      </c>
      <c r="G120" s="40" t="n">
        <f aca="false">IFERROR(INDEX(PalData,MATCH(H120,PalNames,0)+1,MATCH("ZukanIndex",PalData_Header,0)),)</f>
        <v>0</v>
      </c>
      <c r="H120" s="40"/>
      <c r="I120" s="41" t="n">
        <f aca="false">IFERROR(INDEX(PalData,MATCH(K120,PalNames,0)+1,MATCH("Image",PalData_Header,0)),)</f>
        <v>0</v>
      </c>
      <c r="J120" s="40" t="n">
        <f aca="false">IFERROR(INDEX(PalData,MATCH(K120,PalNames,0)+1,MATCH("ZukanIndex",PalData_Header,0)),)</f>
        <v>0</v>
      </c>
      <c r="K120" s="42"/>
      <c r="M120" s="47" t="n">
        <f aca="false">IFERROR(INDEX(PalData,MATCH(O120,PalNames,0)+1,MATCH("Image",PalData_Header,0)),)</f>
        <v>0</v>
      </c>
      <c r="N120" s="48" t="n">
        <f aca="false">IFERROR(INDEX(PalData,MATCH(O120,PalNames,0)+1,MATCH("ZukanIndex",PalData_Header,0)),)</f>
        <v>0</v>
      </c>
      <c r="O120" s="49"/>
      <c r="Q120" s="27" t="n">
        <f aca="false">IFERROR(INDEX(PalData,MATCH(S120,PalNames,0)+1,MATCH("Image",PalData_Header,0)),)</f>
        <v>0</v>
      </c>
      <c r="R120" s="17" t="n">
        <f aca="false" t="array" ref="R120:R120">INDEX(PalData,MATCH(S120,PalNames,0)+1,MATCH("ZukanIndex",PalData_Header,0))</f>
        <v>107</v>
      </c>
      <c r="S120" s="18" t="s">
        <v>130</v>
      </c>
      <c r="T120" s="52" t="b">
        <f aca="false">FALSE()</f>
        <v>0</v>
      </c>
      <c r="U120" s="53" t="b">
        <f aca="false">FALSE()</f>
        <v>0</v>
      </c>
    </row>
    <row r="121" customFormat="false" ht="15.75" hidden="false" customHeight="false" outlineLevel="0" collapsed="false">
      <c r="F121" s="34" t="n">
        <f aca="false">IFERROR(INDEX(PalData,MATCH(H121,PalNames,0)+1,MATCH("Image",PalData_Header,0)),)</f>
        <v>0</v>
      </c>
      <c r="G121" s="35" t="n">
        <f aca="false">IFERROR(INDEX(PalData,MATCH(H121,PalNames,0)+1,MATCH("ZukanIndex",PalData_Header,0)),)</f>
        <v>0</v>
      </c>
      <c r="H121" s="35"/>
      <c r="I121" s="36" t="n">
        <f aca="false">IFERROR(INDEX(PalData,MATCH(K121,PalNames,0)+1,MATCH("Image",PalData_Header,0)),)</f>
        <v>0</v>
      </c>
      <c r="J121" s="35" t="n">
        <f aca="false">IFERROR(INDEX(PalData,MATCH(K121,PalNames,0)+1,MATCH("ZukanIndex",PalData_Header,0)),)</f>
        <v>0</v>
      </c>
      <c r="K121" s="37"/>
      <c r="M121" s="44" t="n">
        <f aca="false">IFERROR(INDEX(PalData,MATCH(O121,PalNames,0)+1,MATCH("Image",PalData_Header,0)),)</f>
        <v>0</v>
      </c>
      <c r="N121" s="45" t="n">
        <f aca="false">IFERROR(INDEX(PalData,MATCH(O121,PalNames,0)+1,MATCH("ZukanIndex",PalData_Header,0)),)</f>
        <v>0</v>
      </c>
      <c r="O121" s="46"/>
      <c r="Q121" s="21" t="n">
        <f aca="false">IFERROR(INDEX(PalData,MATCH(S121,PalNames,0)+1,MATCH("Image",PalData_Header,0)),)</f>
        <v>0</v>
      </c>
      <c r="R121" s="22" t="n">
        <f aca="false" t="array" ref="R121:R121">INDEX(PalData,MATCH(S121,PalNames,0)+1,MATCH("ZukanIndex",PalData_Header,0))</f>
        <v>79</v>
      </c>
      <c r="S121" s="23" t="s">
        <v>131</v>
      </c>
      <c r="T121" s="54" t="b">
        <f aca="false">FALSE()</f>
        <v>0</v>
      </c>
      <c r="U121" s="55" t="b">
        <f aca="false">FALSE()</f>
        <v>0</v>
      </c>
    </row>
    <row r="122" customFormat="false" ht="15.75" hidden="false" customHeight="false" outlineLevel="0" collapsed="false">
      <c r="F122" s="39" t="n">
        <f aca="false">IFERROR(INDEX(PalData,MATCH(H122,PalNames,0)+1,MATCH("Image",PalData_Header,0)),)</f>
        <v>0</v>
      </c>
      <c r="G122" s="40" t="n">
        <f aca="false">IFERROR(INDEX(PalData,MATCH(H122,PalNames,0)+1,MATCH("ZukanIndex",PalData_Header,0)),)</f>
        <v>0</v>
      </c>
      <c r="H122" s="40"/>
      <c r="I122" s="41" t="n">
        <f aca="false">IFERROR(INDEX(PalData,MATCH(K122,PalNames,0)+1,MATCH("Image",PalData_Header,0)),)</f>
        <v>0</v>
      </c>
      <c r="J122" s="40" t="n">
        <f aca="false">IFERROR(INDEX(PalData,MATCH(K122,PalNames,0)+1,MATCH("ZukanIndex",PalData_Header,0)),)</f>
        <v>0</v>
      </c>
      <c r="K122" s="42"/>
      <c r="M122" s="47" t="n">
        <f aca="false">IFERROR(INDEX(PalData,MATCH(O122,PalNames,0)+1,MATCH("Image",PalData_Header,0)),)</f>
        <v>0</v>
      </c>
      <c r="N122" s="48" t="n">
        <f aca="false">IFERROR(INDEX(PalData,MATCH(O122,PalNames,0)+1,MATCH("ZukanIndex",PalData_Header,0)),)</f>
        <v>0</v>
      </c>
      <c r="O122" s="49"/>
      <c r="Q122" s="27" t="n">
        <f aca="false">IFERROR(INDEX(PalData,MATCH(S122,PalNames,0)+1,MATCH("Image",PalData_Header,0)),)</f>
        <v>0</v>
      </c>
      <c r="R122" s="17" t="n">
        <f aca="false" t="array" ref="R122:R122">INDEX(PalData,MATCH(S122,PalNames,0)+1,MATCH("ZukanIndex",PalData_Header,0))</f>
        <v>7</v>
      </c>
      <c r="S122" s="18" t="s">
        <v>132</v>
      </c>
      <c r="T122" s="52" t="b">
        <f aca="false">FALSE()</f>
        <v>0</v>
      </c>
      <c r="U122" s="53" t="b">
        <f aca="false">FALSE()</f>
        <v>0</v>
      </c>
    </row>
    <row r="123" customFormat="false" ht="15.75" hidden="false" customHeight="false" outlineLevel="0" collapsed="false">
      <c r="F123" s="34" t="n">
        <f aca="false">IFERROR(INDEX(PalData,MATCH(H123,PalNames,0)+1,MATCH("Image",PalData_Header,0)),)</f>
        <v>0</v>
      </c>
      <c r="G123" s="35" t="n">
        <f aca="false">IFERROR(INDEX(PalData,MATCH(H123,PalNames,0)+1,MATCH("ZukanIndex",PalData_Header,0)),)</f>
        <v>0</v>
      </c>
      <c r="H123" s="35"/>
      <c r="I123" s="36" t="n">
        <f aca="false">IFERROR(INDEX(PalData,MATCH(K123,PalNames,0)+1,MATCH("Image",PalData_Header,0)),)</f>
        <v>0</v>
      </c>
      <c r="J123" s="35" t="n">
        <f aca="false">IFERROR(INDEX(PalData,MATCH(K123,PalNames,0)+1,MATCH("ZukanIndex",PalData_Header,0)),)</f>
        <v>0</v>
      </c>
      <c r="K123" s="37"/>
      <c r="M123" s="44" t="n">
        <f aca="false">IFERROR(INDEX(PalData,MATCH(O123,PalNames,0)+1,MATCH("Image",PalData_Header,0)),)</f>
        <v>0</v>
      </c>
      <c r="N123" s="45" t="n">
        <f aca="false">IFERROR(INDEX(PalData,MATCH(O123,PalNames,0)+1,MATCH("ZukanIndex",PalData_Header,0)),)</f>
        <v>0</v>
      </c>
      <c r="O123" s="46"/>
      <c r="Q123" s="21" t="n">
        <f aca="false">IFERROR(INDEX(PalData,MATCH(S123,PalNames,0)+1,MATCH("Image",PalData_Header,0)),)</f>
        <v>0</v>
      </c>
      <c r="R123" s="22" t="n">
        <f aca="false" t="array" ref="R123:R123">INDEX(PalData,MATCH(S123,PalNames,0)+1,MATCH("ZukanIndex",PalData_Header,0))</f>
        <v>65</v>
      </c>
      <c r="S123" s="23" t="s">
        <v>133</v>
      </c>
      <c r="T123" s="54" t="b">
        <f aca="false">FALSE()</f>
        <v>0</v>
      </c>
      <c r="U123" s="55" t="b">
        <f aca="false">FALSE()</f>
        <v>0</v>
      </c>
    </row>
    <row r="124" customFormat="false" ht="15.75" hidden="false" customHeight="false" outlineLevel="0" collapsed="false">
      <c r="F124" s="39" t="n">
        <f aca="false">IFERROR(INDEX(PalData,MATCH(H124,PalNames,0)+1,MATCH("Image",PalData_Header,0)),)</f>
        <v>0</v>
      </c>
      <c r="G124" s="40" t="n">
        <f aca="false">IFERROR(INDEX(PalData,MATCH(H124,PalNames,0)+1,MATCH("ZukanIndex",PalData_Header,0)),)</f>
        <v>0</v>
      </c>
      <c r="H124" s="40"/>
      <c r="I124" s="41" t="n">
        <f aca="false">IFERROR(INDEX(PalData,MATCH(K124,PalNames,0)+1,MATCH("Image",PalData_Header,0)),)</f>
        <v>0</v>
      </c>
      <c r="J124" s="40" t="n">
        <f aca="false">IFERROR(INDEX(PalData,MATCH(K124,PalNames,0)+1,MATCH("ZukanIndex",PalData_Header,0)),)</f>
        <v>0</v>
      </c>
      <c r="K124" s="42"/>
      <c r="M124" s="47" t="n">
        <f aca="false">IFERROR(INDEX(PalData,MATCH(O124,PalNames,0)+1,MATCH("Image",PalData_Header,0)),)</f>
        <v>0</v>
      </c>
      <c r="N124" s="48" t="n">
        <f aca="false">IFERROR(INDEX(PalData,MATCH(O124,PalNames,0)+1,MATCH("ZukanIndex",PalData_Header,0)),)</f>
        <v>0</v>
      </c>
      <c r="O124" s="49"/>
      <c r="Q124" s="27" t="n">
        <f aca="false">IFERROR(INDEX(PalData,MATCH(S124,PalNames,0)+1,MATCH("Image",PalData_Header,0)),)</f>
        <v>0</v>
      </c>
      <c r="R124" s="17" t="n">
        <f aca="false" t="array" ref="R124:R124">INDEX(PalData,MATCH(S124,PalNames,0)+1,MATCH("ZukanIndex",PalData_Header,0))</f>
        <v>65</v>
      </c>
      <c r="S124" s="18" t="s">
        <v>134</v>
      </c>
      <c r="T124" s="52" t="b">
        <f aca="false">FALSE()</f>
        <v>0</v>
      </c>
      <c r="U124" s="53" t="b">
        <f aca="false">FALSE()</f>
        <v>0</v>
      </c>
    </row>
    <row r="125" customFormat="false" ht="15.75" hidden="false" customHeight="false" outlineLevel="0" collapsed="false">
      <c r="F125" s="34" t="n">
        <f aca="false">IFERROR(INDEX(PalData,MATCH(H125,PalNames,0)+1,MATCH("Image",PalData_Header,0)),)</f>
        <v>0</v>
      </c>
      <c r="G125" s="35" t="n">
        <f aca="false">IFERROR(INDEX(PalData,MATCH(H125,PalNames,0)+1,MATCH("ZukanIndex",PalData_Header,0)),)</f>
        <v>0</v>
      </c>
      <c r="H125" s="35"/>
      <c r="I125" s="36" t="n">
        <f aca="false">IFERROR(INDEX(PalData,MATCH(K125,PalNames,0)+1,MATCH("Image",PalData_Header,0)),)</f>
        <v>0</v>
      </c>
      <c r="J125" s="35" t="n">
        <f aca="false">IFERROR(INDEX(PalData,MATCH(K125,PalNames,0)+1,MATCH("ZukanIndex",PalData_Header,0)),)</f>
        <v>0</v>
      </c>
      <c r="K125" s="37"/>
      <c r="M125" s="44" t="n">
        <f aca="false">IFERROR(INDEX(PalData,MATCH(O125,PalNames,0)+1,MATCH("Image",PalData_Header,0)),)</f>
        <v>0</v>
      </c>
      <c r="N125" s="45" t="n">
        <f aca="false">IFERROR(INDEX(PalData,MATCH(O125,PalNames,0)+1,MATCH("ZukanIndex",PalData_Header,0)),)</f>
        <v>0</v>
      </c>
      <c r="O125" s="46"/>
      <c r="Q125" s="21" t="n">
        <f aca="false">IFERROR(INDEX(PalData,MATCH(S125,PalNames,0)+1,MATCH("Image",PalData_Header,0)),)</f>
        <v>0</v>
      </c>
      <c r="R125" s="22" t="n">
        <f aca="false" t="array" ref="R125:R125">INDEX(PalData,MATCH(S125,PalNames,0)+1,MATCH("ZukanIndex",PalData_Header,0))</f>
        <v>102</v>
      </c>
      <c r="S125" s="23" t="s">
        <v>135</v>
      </c>
      <c r="T125" s="54" t="b">
        <f aca="false">FALSE()</f>
        <v>0</v>
      </c>
      <c r="U125" s="55" t="b">
        <f aca="false">FALSE()</f>
        <v>0</v>
      </c>
    </row>
    <row r="126" customFormat="false" ht="15.75" hidden="false" customHeight="false" outlineLevel="0" collapsed="false">
      <c r="F126" s="39" t="n">
        <f aca="false">IFERROR(INDEX(PalData,MATCH(H126,PalNames,0)+1,MATCH("Image",PalData_Header,0)),)</f>
        <v>0</v>
      </c>
      <c r="G126" s="40" t="n">
        <f aca="false">IFERROR(INDEX(PalData,MATCH(H126,PalNames,0)+1,MATCH("ZukanIndex",PalData_Header,0)),)</f>
        <v>0</v>
      </c>
      <c r="H126" s="40"/>
      <c r="I126" s="41" t="n">
        <f aca="false">IFERROR(INDEX(PalData,MATCH(K126,PalNames,0)+1,MATCH("Image",PalData_Header,0)),)</f>
        <v>0</v>
      </c>
      <c r="J126" s="40" t="n">
        <f aca="false">IFERROR(INDEX(PalData,MATCH(K126,PalNames,0)+1,MATCH("ZukanIndex",PalData_Header,0)),)</f>
        <v>0</v>
      </c>
      <c r="K126" s="42"/>
      <c r="M126" s="47" t="n">
        <f aca="false">IFERROR(INDEX(PalData,MATCH(O126,PalNames,0)+1,MATCH("Image",PalData_Header,0)),)</f>
        <v>0</v>
      </c>
      <c r="N126" s="48" t="n">
        <f aca="false">IFERROR(INDEX(PalData,MATCH(O126,PalNames,0)+1,MATCH("ZukanIndex",PalData_Header,0)),)</f>
        <v>0</v>
      </c>
      <c r="O126" s="49"/>
      <c r="Q126" s="27" t="n">
        <f aca="false">IFERROR(INDEX(PalData,MATCH(S126,PalNames,0)+1,MATCH("Image",PalData_Header,0)),)</f>
        <v>0</v>
      </c>
      <c r="R126" s="17" t="n">
        <f aca="false" t="array" ref="R126:R126">INDEX(PalData,MATCH(S126,PalNames,0)+1,MATCH("ZukanIndex",PalData_Header,0))</f>
        <v>102</v>
      </c>
      <c r="S126" s="18" t="s">
        <v>136</v>
      </c>
      <c r="T126" s="52" t="b">
        <f aca="false">FALSE()</f>
        <v>0</v>
      </c>
      <c r="U126" s="53" t="b">
        <f aca="false">FALSE()</f>
        <v>0</v>
      </c>
    </row>
    <row r="127" customFormat="false" ht="15.75" hidden="false" customHeight="false" outlineLevel="0" collapsed="false">
      <c r="F127" s="34" t="n">
        <f aca="false">IFERROR(INDEX(PalData,MATCH(H127,PalNames,0)+1,MATCH("Image",PalData_Header,0)),)</f>
        <v>0</v>
      </c>
      <c r="G127" s="35" t="n">
        <f aca="false">IFERROR(INDEX(PalData,MATCH(H127,PalNames,0)+1,MATCH("ZukanIndex",PalData_Header,0)),)</f>
        <v>0</v>
      </c>
      <c r="H127" s="35"/>
      <c r="I127" s="36" t="n">
        <f aca="false">IFERROR(INDEX(PalData,MATCH(K127,PalNames,0)+1,MATCH("Image",PalData_Header,0)),)</f>
        <v>0</v>
      </c>
      <c r="J127" s="35" t="n">
        <f aca="false">IFERROR(INDEX(PalData,MATCH(K127,PalNames,0)+1,MATCH("ZukanIndex",PalData_Header,0)),)</f>
        <v>0</v>
      </c>
      <c r="K127" s="37"/>
      <c r="M127" s="44" t="n">
        <f aca="false">IFERROR(INDEX(PalData,MATCH(O127,PalNames,0)+1,MATCH("Image",PalData_Header,0)),)</f>
        <v>0</v>
      </c>
      <c r="N127" s="45" t="n">
        <f aca="false">IFERROR(INDEX(PalData,MATCH(O127,PalNames,0)+1,MATCH("ZukanIndex",PalData_Header,0)),)</f>
        <v>0</v>
      </c>
      <c r="O127" s="46"/>
      <c r="Q127" s="21" t="n">
        <f aca="false">IFERROR(INDEX(PalData,MATCH(S127,PalNames,0)+1,MATCH("Image",PalData_Header,0)),)</f>
        <v>0</v>
      </c>
      <c r="R127" s="22" t="n">
        <f aca="false" t="array" ref="R127:R127">INDEX(PalData,MATCH(S127,PalNames,0)+1,MATCH("ZukanIndex",PalData_Header,0))</f>
        <v>53</v>
      </c>
      <c r="S127" s="23" t="s">
        <v>137</v>
      </c>
      <c r="T127" s="54" t="b">
        <f aca="false">FALSE()</f>
        <v>0</v>
      </c>
      <c r="U127" s="55" t="b">
        <f aca="false">FALSE()</f>
        <v>0</v>
      </c>
    </row>
    <row r="128" customFormat="false" ht="15.75" hidden="false" customHeight="false" outlineLevel="0" collapsed="false">
      <c r="F128" s="39" t="n">
        <f aca="false">IFERROR(INDEX(PalData,MATCH(H128,PalNames,0)+1,MATCH("Image",PalData_Header,0)),)</f>
        <v>0</v>
      </c>
      <c r="G128" s="40" t="n">
        <f aca="false">IFERROR(INDEX(PalData,MATCH(H128,PalNames,0)+1,MATCH("ZukanIndex",PalData_Header,0)),)</f>
        <v>0</v>
      </c>
      <c r="H128" s="40"/>
      <c r="I128" s="41" t="n">
        <f aca="false">IFERROR(INDEX(PalData,MATCH(K128,PalNames,0)+1,MATCH("Image",PalData_Header,0)),)</f>
        <v>0</v>
      </c>
      <c r="J128" s="40" t="n">
        <f aca="false">IFERROR(INDEX(PalData,MATCH(K128,PalNames,0)+1,MATCH("ZukanIndex",PalData_Header,0)),)</f>
        <v>0</v>
      </c>
      <c r="K128" s="42"/>
      <c r="M128" s="47" t="n">
        <f aca="false">IFERROR(INDEX(PalData,MATCH(O128,PalNames,0)+1,MATCH("Image",PalData_Header,0)),)</f>
        <v>0</v>
      </c>
      <c r="N128" s="48" t="n">
        <f aca="false">IFERROR(INDEX(PalData,MATCH(O128,PalNames,0)+1,MATCH("ZukanIndex",PalData_Header,0)),)</f>
        <v>0</v>
      </c>
      <c r="O128" s="49"/>
      <c r="Q128" s="27" t="n">
        <f aca="false">IFERROR(INDEX(PalData,MATCH(S128,PalNames,0)+1,MATCH("Image",PalData_Header,0)),)</f>
        <v>0</v>
      </c>
      <c r="R128" s="17" t="n">
        <f aca="false" t="array" ref="R128:R128">INDEX(PalData,MATCH(S128,PalNames,0)+1,MATCH("ZukanIndex",PalData_Header,0))</f>
        <v>54</v>
      </c>
      <c r="S128" s="18" t="s">
        <v>138</v>
      </c>
      <c r="T128" s="52" t="b">
        <f aca="false">FALSE()</f>
        <v>0</v>
      </c>
      <c r="U128" s="53" t="b">
        <f aca="false">FALSE()</f>
        <v>0</v>
      </c>
    </row>
    <row r="129" customFormat="false" ht="15.75" hidden="false" customHeight="false" outlineLevel="0" collapsed="false">
      <c r="F129" s="34" t="n">
        <f aca="false">IFERROR(INDEX(PalData,MATCH(H129,PalNames,0)+1,MATCH("Image",PalData_Header,0)),)</f>
        <v>0</v>
      </c>
      <c r="G129" s="35" t="n">
        <f aca="false">IFERROR(INDEX(PalData,MATCH(H129,PalNames,0)+1,MATCH("ZukanIndex",PalData_Header,0)),)</f>
        <v>0</v>
      </c>
      <c r="H129" s="35"/>
      <c r="I129" s="36" t="n">
        <f aca="false">IFERROR(INDEX(PalData,MATCH(K129,PalNames,0)+1,MATCH("Image",PalData_Header,0)),)</f>
        <v>0</v>
      </c>
      <c r="J129" s="35" t="n">
        <f aca="false">IFERROR(INDEX(PalData,MATCH(K129,PalNames,0)+1,MATCH("ZukanIndex",PalData_Header,0)),)</f>
        <v>0</v>
      </c>
      <c r="K129" s="37"/>
      <c r="M129" s="44" t="n">
        <f aca="false">IFERROR(INDEX(PalData,MATCH(O129,PalNames,0)+1,MATCH("Image",PalData_Header,0)),)</f>
        <v>0</v>
      </c>
      <c r="N129" s="45" t="n">
        <f aca="false">IFERROR(INDEX(PalData,MATCH(O129,PalNames,0)+1,MATCH("ZukanIndex",PalData_Header,0)),)</f>
        <v>0</v>
      </c>
      <c r="O129" s="46"/>
      <c r="Q129" s="21" t="n">
        <f aca="false">IFERROR(INDEX(PalData,MATCH(S129,PalNames,0)+1,MATCH("Image",PalData_Header,0)),)</f>
        <v>0</v>
      </c>
      <c r="R129" s="22" t="n">
        <f aca="false" t="array" ref="R129:R129">INDEX(PalData,MATCH(S129,PalNames,0)+1,MATCH("ZukanIndex",PalData_Header,0))</f>
        <v>8</v>
      </c>
      <c r="S129" s="23" t="s">
        <v>139</v>
      </c>
      <c r="T129" s="54" t="b">
        <f aca="false">FALSE()</f>
        <v>0</v>
      </c>
      <c r="U129" s="55" t="b">
        <f aca="false">FALSE()</f>
        <v>0</v>
      </c>
    </row>
    <row r="130" customFormat="false" ht="15.75" hidden="false" customHeight="false" outlineLevel="0" collapsed="false">
      <c r="F130" s="39" t="n">
        <f aca="false">IFERROR(INDEX(PalData,MATCH(H130,PalNames,0)+1,MATCH("Image",PalData_Header,0)),)</f>
        <v>0</v>
      </c>
      <c r="G130" s="40" t="n">
        <f aca="false">IFERROR(INDEX(PalData,MATCH(H130,PalNames,0)+1,MATCH("ZukanIndex",PalData_Header,0)),)</f>
        <v>0</v>
      </c>
      <c r="H130" s="40"/>
      <c r="I130" s="41" t="n">
        <f aca="false">IFERROR(INDEX(PalData,MATCH(K130,PalNames,0)+1,MATCH("Image",PalData_Header,0)),)</f>
        <v>0</v>
      </c>
      <c r="J130" s="40" t="n">
        <f aca="false">IFERROR(INDEX(PalData,MATCH(K130,PalNames,0)+1,MATCH("ZukanIndex",PalData_Header,0)),)</f>
        <v>0</v>
      </c>
      <c r="K130" s="42"/>
      <c r="M130" s="47" t="n">
        <f aca="false">IFERROR(INDEX(PalData,MATCH(O130,PalNames,0)+1,MATCH("Image",PalData_Header,0)),)</f>
        <v>0</v>
      </c>
      <c r="N130" s="48" t="n">
        <f aca="false">IFERROR(INDEX(PalData,MATCH(O130,PalNames,0)+1,MATCH("ZukanIndex",PalData_Header,0)),)</f>
        <v>0</v>
      </c>
      <c r="O130" s="49"/>
      <c r="Q130" s="27" t="n">
        <f aca="false">IFERROR(INDEX(PalData,MATCH(S130,PalNames,0)+1,MATCH("Image",PalData_Header,0)),)</f>
        <v>0</v>
      </c>
      <c r="R130" s="17" t="n">
        <f aca="false" t="array" ref="R130:R130">INDEX(PalData,MATCH(S130,PalNames,0)+1,MATCH("ZukanIndex",PalData_Header,0))</f>
        <v>16</v>
      </c>
      <c r="S130" s="18" t="s">
        <v>140</v>
      </c>
      <c r="T130" s="52" t="b">
        <f aca="false">FALSE()</f>
        <v>0</v>
      </c>
      <c r="U130" s="53" t="b">
        <f aca="false">FALSE()</f>
        <v>0</v>
      </c>
    </row>
    <row r="131" customFormat="false" ht="15.75" hidden="false" customHeight="false" outlineLevel="0" collapsed="false">
      <c r="F131" s="34" t="n">
        <f aca="false">IFERROR(INDEX(PalData,MATCH(H131,PalNames,0)+1,MATCH("Image",PalData_Header,0)),)</f>
        <v>0</v>
      </c>
      <c r="G131" s="35" t="n">
        <f aca="false">IFERROR(INDEX(PalData,MATCH(H131,PalNames,0)+1,MATCH("ZukanIndex",PalData_Header,0)),)</f>
        <v>0</v>
      </c>
      <c r="H131" s="35"/>
      <c r="I131" s="36" t="n">
        <f aca="false">IFERROR(INDEX(PalData,MATCH(K131,PalNames,0)+1,MATCH("Image",PalData_Header,0)),)</f>
        <v>0</v>
      </c>
      <c r="J131" s="35" t="n">
        <f aca="false">IFERROR(INDEX(PalData,MATCH(K131,PalNames,0)+1,MATCH("ZukanIndex",PalData_Header,0)),)</f>
        <v>0</v>
      </c>
      <c r="K131" s="37"/>
      <c r="M131" s="44" t="n">
        <f aca="false">IFERROR(INDEX(PalData,MATCH(O131,PalNames,0)+1,MATCH("Image",PalData_Header,0)),)</f>
        <v>0</v>
      </c>
      <c r="N131" s="45" t="n">
        <f aca="false">IFERROR(INDEX(PalData,MATCH(O131,PalNames,0)+1,MATCH("ZukanIndex",PalData_Header,0)),)</f>
        <v>0</v>
      </c>
      <c r="O131" s="46"/>
      <c r="Q131" s="21" t="n">
        <f aca="false">IFERROR(INDEX(PalData,MATCH(S131,PalNames,0)+1,MATCH("Image",PalData_Header,0)),)</f>
        <v>0</v>
      </c>
      <c r="R131" s="22" t="n">
        <f aca="false" t="array" ref="R131:R131">INDEX(PalData,MATCH(S131,PalNames,0)+1,MATCH("ZukanIndex",PalData_Header,0))</f>
        <v>27</v>
      </c>
      <c r="S131" s="23" t="s">
        <v>141</v>
      </c>
      <c r="T131" s="54" t="b">
        <f aca="false">FALSE()</f>
        <v>0</v>
      </c>
      <c r="U131" s="55" t="b">
        <f aca="false">FALSE()</f>
        <v>0</v>
      </c>
    </row>
    <row r="132" customFormat="false" ht="15.75" hidden="false" customHeight="false" outlineLevel="0" collapsed="false">
      <c r="F132" s="39" t="n">
        <f aca="false">IFERROR(INDEX(PalData,MATCH(H132,PalNames,0)+1,MATCH("Image",PalData_Header,0)),)</f>
        <v>0</v>
      </c>
      <c r="G132" s="40" t="n">
        <f aca="false">IFERROR(INDEX(PalData,MATCH(H132,PalNames,0)+1,MATCH("ZukanIndex",PalData_Header,0)),)</f>
        <v>0</v>
      </c>
      <c r="H132" s="40"/>
      <c r="I132" s="41" t="n">
        <f aca="false">IFERROR(INDEX(PalData,MATCH(K132,PalNames,0)+1,MATCH("Image",PalData_Header,0)),)</f>
        <v>0</v>
      </c>
      <c r="J132" s="40" t="n">
        <f aca="false">IFERROR(INDEX(PalData,MATCH(K132,PalNames,0)+1,MATCH("ZukanIndex",PalData_Header,0)),)</f>
        <v>0</v>
      </c>
      <c r="K132" s="42"/>
      <c r="M132" s="47" t="n">
        <f aca="false">IFERROR(INDEX(PalData,MATCH(O132,PalNames,0)+1,MATCH("Image",PalData_Header,0)),)</f>
        <v>0</v>
      </c>
      <c r="N132" s="48" t="n">
        <f aca="false">IFERROR(INDEX(PalData,MATCH(O132,PalNames,0)+1,MATCH("ZukanIndex",PalData_Header,0)),)</f>
        <v>0</v>
      </c>
      <c r="O132" s="49"/>
      <c r="Q132" s="27" t="n">
        <f aca="false">IFERROR(INDEX(PalData,MATCH(S132,PalNames,0)+1,MATCH("Image",PalData_Header,0)),)</f>
        <v>0</v>
      </c>
      <c r="R132" s="17" t="n">
        <f aca="false" t="array" ref="R132:R132">INDEX(PalData,MATCH(S132,PalNames,0)+1,MATCH("ZukanIndex",PalData_Header,0))</f>
        <v>68</v>
      </c>
      <c r="S132" s="18" t="s">
        <v>142</v>
      </c>
      <c r="T132" s="52" t="b">
        <f aca="false">FALSE()</f>
        <v>0</v>
      </c>
      <c r="U132" s="53" t="b">
        <f aca="false">FALSE()</f>
        <v>0</v>
      </c>
    </row>
    <row r="133" customFormat="false" ht="15.75" hidden="false" customHeight="false" outlineLevel="0" collapsed="false">
      <c r="F133" s="34" t="n">
        <f aca="false">IFERROR(INDEX(PalData,MATCH(H133,PalNames,0)+1,MATCH("Image",PalData_Header,0)),)</f>
        <v>0</v>
      </c>
      <c r="G133" s="35" t="n">
        <f aca="false">IFERROR(INDEX(PalData,MATCH(H133,PalNames,0)+1,MATCH("ZukanIndex",PalData_Header,0)),)</f>
        <v>0</v>
      </c>
      <c r="H133" s="35"/>
      <c r="I133" s="36" t="n">
        <f aca="false">IFERROR(INDEX(PalData,MATCH(K133,PalNames,0)+1,MATCH("Image",PalData_Header,0)),)</f>
        <v>0</v>
      </c>
      <c r="J133" s="35" t="n">
        <f aca="false">IFERROR(INDEX(PalData,MATCH(K133,PalNames,0)+1,MATCH("ZukanIndex",PalData_Header,0)),)</f>
        <v>0</v>
      </c>
      <c r="K133" s="37"/>
      <c r="M133" s="44" t="n">
        <f aca="false">IFERROR(INDEX(PalData,MATCH(O133,PalNames,0)+1,MATCH("Image",PalData_Header,0)),)</f>
        <v>0</v>
      </c>
      <c r="N133" s="45" t="n">
        <f aca="false">IFERROR(INDEX(PalData,MATCH(O133,PalNames,0)+1,MATCH("ZukanIndex",PalData_Header,0)),)</f>
        <v>0</v>
      </c>
      <c r="O133" s="46"/>
      <c r="Q133" s="21" t="n">
        <f aca="false">IFERROR(INDEX(PalData,MATCH(S133,PalNames,0)+1,MATCH("Image",PalData_Header,0)),)</f>
        <v>0</v>
      </c>
      <c r="R133" s="22" t="n">
        <f aca="false" t="array" ref="R133:R133">INDEX(PalData,MATCH(S133,PalNames,0)+1,MATCH("ZukanIndex",PalData_Header,0))</f>
        <v>56</v>
      </c>
      <c r="S133" s="23" t="s">
        <v>143</v>
      </c>
      <c r="T133" s="54" t="b">
        <f aca="false">FALSE()</f>
        <v>0</v>
      </c>
      <c r="U133" s="55" t="b">
        <f aca="false">FALSE()</f>
        <v>0</v>
      </c>
    </row>
    <row r="134" customFormat="false" ht="15.75" hidden="false" customHeight="false" outlineLevel="0" collapsed="false">
      <c r="F134" s="39" t="n">
        <f aca="false">IFERROR(INDEX(PalData,MATCH(H134,PalNames,0)+1,MATCH("Image",PalData_Header,0)),)</f>
        <v>0</v>
      </c>
      <c r="G134" s="40" t="n">
        <f aca="false">IFERROR(INDEX(PalData,MATCH(H134,PalNames,0)+1,MATCH("ZukanIndex",PalData_Header,0)),)</f>
        <v>0</v>
      </c>
      <c r="H134" s="40"/>
      <c r="I134" s="41" t="n">
        <f aca="false">IFERROR(INDEX(PalData,MATCH(K134,PalNames,0)+1,MATCH("Image",PalData_Header,0)),)</f>
        <v>0</v>
      </c>
      <c r="J134" s="40" t="n">
        <f aca="false">IFERROR(INDEX(PalData,MATCH(K134,PalNames,0)+1,MATCH("ZukanIndex",PalData_Header,0)),)</f>
        <v>0</v>
      </c>
      <c r="K134" s="42"/>
      <c r="M134" s="47" t="n">
        <f aca="false">IFERROR(INDEX(PalData,MATCH(O134,PalNames,0)+1,MATCH("Image",PalData_Header,0)),)</f>
        <v>0</v>
      </c>
      <c r="N134" s="48" t="n">
        <f aca="false">IFERROR(INDEX(PalData,MATCH(O134,PalNames,0)+1,MATCH("ZukanIndex",PalData_Header,0)),)</f>
        <v>0</v>
      </c>
      <c r="O134" s="49"/>
      <c r="Q134" s="27" t="n">
        <f aca="false">IFERROR(INDEX(PalData,MATCH(S134,PalNames,0)+1,MATCH("Image",PalData_Header,0)),)</f>
        <v>0</v>
      </c>
      <c r="R134" s="17" t="n">
        <f aca="false" t="array" ref="R134:R134">INDEX(PalData,MATCH(S134,PalNames,0)+1,MATCH("ZukanIndex",PalData_Header,0))</f>
        <v>78</v>
      </c>
      <c r="S134" s="18" t="s">
        <v>144</v>
      </c>
      <c r="T134" s="52" t="b">
        <f aca="false">FALSE()</f>
        <v>0</v>
      </c>
      <c r="U134" s="53" t="b">
        <f aca="false">FALSE()</f>
        <v>0</v>
      </c>
    </row>
    <row r="135" customFormat="false" ht="15.75" hidden="false" customHeight="false" outlineLevel="0" collapsed="false">
      <c r="F135" s="34" t="n">
        <f aca="false">IFERROR(INDEX(PalData,MATCH(H135,PalNames,0)+1,MATCH("Image",PalData_Header,0)),)</f>
        <v>0</v>
      </c>
      <c r="G135" s="35" t="n">
        <f aca="false">IFERROR(INDEX(PalData,MATCH(H135,PalNames,0)+1,MATCH("ZukanIndex",PalData_Header,0)),)</f>
        <v>0</v>
      </c>
      <c r="H135" s="35"/>
      <c r="I135" s="36" t="n">
        <f aca="false">IFERROR(INDEX(PalData,MATCH(K135,PalNames,0)+1,MATCH("Image",PalData_Header,0)),)</f>
        <v>0</v>
      </c>
      <c r="J135" s="35" t="n">
        <f aca="false">IFERROR(INDEX(PalData,MATCH(K135,PalNames,0)+1,MATCH("ZukanIndex",PalData_Header,0)),)</f>
        <v>0</v>
      </c>
      <c r="K135" s="37"/>
      <c r="M135" s="44" t="n">
        <f aca="false">IFERROR(INDEX(PalData,MATCH(O135,PalNames,0)+1,MATCH("Image",PalData_Header,0)),)</f>
        <v>0</v>
      </c>
      <c r="N135" s="45" t="n">
        <f aca="false">IFERROR(INDEX(PalData,MATCH(O135,PalNames,0)+1,MATCH("ZukanIndex",PalData_Header,0)),)</f>
        <v>0</v>
      </c>
      <c r="O135" s="46"/>
      <c r="Q135" s="21" t="n">
        <f aca="false">IFERROR(INDEX(PalData,MATCH(S135,PalNames,0)+1,MATCH("Image",PalData_Header,0)),)</f>
        <v>0</v>
      </c>
      <c r="R135" s="22" t="n">
        <f aca="false" t="array" ref="R135:R135">INDEX(PalData,MATCH(S135,PalNames,0)+1,MATCH("ZukanIndex",PalData_Header,0))</f>
        <v>71</v>
      </c>
      <c r="S135" s="23" t="s">
        <v>145</v>
      </c>
      <c r="T135" s="54" t="b">
        <f aca="false">FALSE()</f>
        <v>0</v>
      </c>
      <c r="U135" s="55" t="b">
        <f aca="false">FALSE()</f>
        <v>0</v>
      </c>
    </row>
    <row r="136" customFormat="false" ht="15.75" hidden="false" customHeight="false" outlineLevel="0" collapsed="false">
      <c r="F136" s="39" t="n">
        <f aca="false">IFERROR(INDEX(PalData,MATCH(H136,PalNames,0)+1,MATCH("Image",PalData_Header,0)),)</f>
        <v>0</v>
      </c>
      <c r="G136" s="40" t="n">
        <f aca="false">IFERROR(INDEX(PalData,MATCH(H136,PalNames,0)+1,MATCH("ZukanIndex",PalData_Header,0)),)</f>
        <v>0</v>
      </c>
      <c r="H136" s="40"/>
      <c r="I136" s="41" t="n">
        <f aca="false">IFERROR(INDEX(PalData,MATCH(K136,PalNames,0)+1,MATCH("Image",PalData_Header,0)),)</f>
        <v>0</v>
      </c>
      <c r="J136" s="40" t="n">
        <f aca="false">IFERROR(INDEX(PalData,MATCH(K136,PalNames,0)+1,MATCH("ZukanIndex",PalData_Header,0)),)</f>
        <v>0</v>
      </c>
      <c r="K136" s="42"/>
      <c r="M136" s="47" t="n">
        <f aca="false">IFERROR(INDEX(PalData,MATCH(O136,PalNames,0)+1,MATCH("Image",PalData_Header,0)),)</f>
        <v>0</v>
      </c>
      <c r="N136" s="48" t="n">
        <f aca="false">IFERROR(INDEX(PalData,MATCH(O136,PalNames,0)+1,MATCH("ZukanIndex",PalData_Header,0)),)</f>
        <v>0</v>
      </c>
      <c r="O136" s="49"/>
      <c r="Q136" s="27" t="n">
        <f aca="false">IFERROR(INDEX(PalData,MATCH(S136,PalNames,0)+1,MATCH("Image",PalData_Header,0)),)</f>
        <v>0</v>
      </c>
      <c r="R136" s="17" t="n">
        <f aca="false" t="array" ref="R136:R136">INDEX(PalData,MATCH(S136,PalNames,0)+1,MATCH("ZukanIndex",PalData_Header,0))</f>
        <v>71</v>
      </c>
      <c r="S136" s="18" t="s">
        <v>146</v>
      </c>
      <c r="T136" s="52" t="b">
        <f aca="false">FALSE()</f>
        <v>0</v>
      </c>
      <c r="U136" s="53" t="b">
        <f aca="false">FALSE()</f>
        <v>0</v>
      </c>
    </row>
    <row r="137" customFormat="false" ht="15.75" hidden="false" customHeight="false" outlineLevel="0" collapsed="false">
      <c r="F137" s="34" t="n">
        <f aca="false">IFERROR(INDEX(PalData,MATCH(H137,PalNames,0)+1,MATCH("Image",PalData_Header,0)),)</f>
        <v>0</v>
      </c>
      <c r="G137" s="35" t="n">
        <f aca="false">IFERROR(INDEX(PalData,MATCH(H137,PalNames,0)+1,MATCH("ZukanIndex",PalData_Header,0)),)</f>
        <v>0</v>
      </c>
      <c r="H137" s="35"/>
      <c r="I137" s="36" t="n">
        <f aca="false">IFERROR(INDEX(PalData,MATCH(K137,PalNames,0)+1,MATCH("Image",PalData_Header,0)),)</f>
        <v>0</v>
      </c>
      <c r="J137" s="35" t="n">
        <f aca="false">IFERROR(INDEX(PalData,MATCH(K137,PalNames,0)+1,MATCH("ZukanIndex",PalData_Header,0)),)</f>
        <v>0</v>
      </c>
      <c r="K137" s="37"/>
      <c r="M137" s="44" t="n">
        <f aca="false">IFERROR(INDEX(PalData,MATCH(O137,PalNames,0)+1,MATCH("Image",PalData_Header,0)),)</f>
        <v>0</v>
      </c>
      <c r="N137" s="45" t="n">
        <f aca="false">IFERROR(INDEX(PalData,MATCH(O137,PalNames,0)+1,MATCH("ZukanIndex",PalData_Header,0)),)</f>
        <v>0</v>
      </c>
      <c r="O137" s="46"/>
      <c r="Q137" s="21" t="n">
        <f aca="false">IFERROR(INDEX(PalData,MATCH(S137,PalNames,0)+1,MATCH("Image",PalData_Header,0)),)</f>
        <v>0</v>
      </c>
      <c r="R137" s="22" t="n">
        <f aca="false" t="array" ref="R137:R137">INDEX(PalData,MATCH(S137,PalNames,0)+1,MATCH("ZukanIndex",PalData_Header,0))</f>
        <v>77</v>
      </c>
      <c r="S137" s="23" t="s">
        <v>147</v>
      </c>
      <c r="T137" s="54" t="b">
        <f aca="false">FALSE()</f>
        <v>0</v>
      </c>
      <c r="U137" s="55" t="b">
        <f aca="false">FALSE()</f>
        <v>0</v>
      </c>
    </row>
    <row r="138" customFormat="false" ht="15.75" hidden="false" customHeight="false" outlineLevel="0" collapsed="false">
      <c r="F138" s="39" t="n">
        <f aca="false">IFERROR(INDEX(PalData,MATCH(H138,PalNames,0)+1,MATCH("Image",PalData_Header,0)),)</f>
        <v>0</v>
      </c>
      <c r="G138" s="40" t="n">
        <f aca="false">IFERROR(INDEX(PalData,MATCH(H138,PalNames,0)+1,MATCH("ZukanIndex",PalData_Header,0)),)</f>
        <v>0</v>
      </c>
      <c r="H138" s="40"/>
      <c r="I138" s="41" t="n">
        <f aca="false">IFERROR(INDEX(PalData,MATCH(K138,PalNames,0)+1,MATCH("Image",PalData_Header,0)),)</f>
        <v>0</v>
      </c>
      <c r="J138" s="40" t="n">
        <f aca="false">IFERROR(INDEX(PalData,MATCH(K138,PalNames,0)+1,MATCH("ZukanIndex",PalData_Header,0)),)</f>
        <v>0</v>
      </c>
      <c r="K138" s="42"/>
      <c r="M138" s="47" t="n">
        <f aca="false">IFERROR(INDEX(PalData,MATCH(O138,PalNames,0)+1,MATCH("Image",PalData_Header,0)),)</f>
        <v>0</v>
      </c>
      <c r="N138" s="48" t="n">
        <f aca="false">IFERROR(INDEX(PalData,MATCH(O138,PalNames,0)+1,MATCH("ZukanIndex",PalData_Header,0)),)</f>
        <v>0</v>
      </c>
      <c r="O138" s="49"/>
      <c r="Q138" s="27" t="n">
        <f aca="false">IFERROR(INDEX(PalData,MATCH(S138,PalNames,0)+1,MATCH("Image",PalData_Header,0)),)</f>
        <v>0</v>
      </c>
      <c r="R138" s="17" t="n">
        <f aca="false" t="array" ref="R138:R138">INDEX(PalData,MATCH(S138,PalNames,0)+1,MATCH("ZukanIndex",PalData_Header,0))</f>
        <v>14</v>
      </c>
      <c r="S138" s="18" t="s">
        <v>148</v>
      </c>
      <c r="T138" s="52" t="b">
        <f aca="false">FALSE()</f>
        <v>0</v>
      </c>
      <c r="U138" s="53" t="b">
        <f aca="false">FALSE()</f>
        <v>0</v>
      </c>
    </row>
    <row r="139" customFormat="false" ht="15.75" hidden="false" customHeight="false" outlineLevel="0" collapsed="false">
      <c r="F139" s="34" t="n">
        <f aca="false">IFERROR(INDEX(PalData,MATCH(H139,PalNames,0)+1,MATCH("Image",PalData_Header,0)),)</f>
        <v>0</v>
      </c>
      <c r="G139" s="35" t="n">
        <f aca="false">IFERROR(INDEX(PalData,MATCH(H139,PalNames,0)+1,MATCH("ZukanIndex",PalData_Header,0)),)</f>
        <v>0</v>
      </c>
      <c r="H139" s="35"/>
      <c r="I139" s="36" t="n">
        <f aca="false">IFERROR(INDEX(PalData,MATCH(K139,PalNames,0)+1,MATCH("Image",PalData_Header,0)),)</f>
        <v>0</v>
      </c>
      <c r="J139" s="35" t="n">
        <f aca="false">IFERROR(INDEX(PalData,MATCH(K139,PalNames,0)+1,MATCH("ZukanIndex",PalData_Header,0)),)</f>
        <v>0</v>
      </c>
      <c r="K139" s="37"/>
      <c r="M139" s="44" t="n">
        <f aca="false">IFERROR(INDEX(PalData,MATCH(O139,PalNames,0)+1,MATCH("Image",PalData_Header,0)),)</f>
        <v>0</v>
      </c>
      <c r="N139" s="45" t="n">
        <f aca="false">IFERROR(INDEX(PalData,MATCH(O139,PalNames,0)+1,MATCH("ZukanIndex",PalData_Header,0)),)</f>
        <v>0</v>
      </c>
      <c r="O139" s="46"/>
      <c r="Q139" s="21" t="n">
        <f aca="false">IFERROR(INDEX(PalData,MATCH(S139,PalNames,0)+1,MATCH("Image",PalData_Header,0)),)</f>
        <v>0</v>
      </c>
      <c r="R139" s="22" t="n">
        <f aca="false" t="array" ref="R139:R139">INDEX(PalData,MATCH(S139,PalNames,0)+1,MATCH("ZukanIndex",PalData_Header,0))</f>
        <v>92</v>
      </c>
      <c r="S139" s="23" t="s">
        <v>149</v>
      </c>
      <c r="T139" s="54" t="b">
        <f aca="false">FALSE()</f>
        <v>0</v>
      </c>
      <c r="U139" s="55" t="b">
        <f aca="false">FALSE()</f>
        <v>0</v>
      </c>
    </row>
    <row r="140" customFormat="false" ht="15.75" hidden="false" customHeight="false" outlineLevel="0" collapsed="false">
      <c r="F140" s="39" t="n">
        <f aca="false">IFERROR(INDEX(PalData,MATCH(H140,PalNames,0)+1,MATCH("Image",PalData_Header,0)),)</f>
        <v>0</v>
      </c>
      <c r="G140" s="40" t="n">
        <f aca="false">IFERROR(INDEX(PalData,MATCH(H140,PalNames,0)+1,MATCH("ZukanIndex",PalData_Header,0)),)</f>
        <v>0</v>
      </c>
      <c r="H140" s="40"/>
      <c r="I140" s="41" t="n">
        <f aca="false">IFERROR(INDEX(PalData,MATCH(K140,PalNames,0)+1,MATCH("Image",PalData_Header,0)),)</f>
        <v>0</v>
      </c>
      <c r="J140" s="40" t="n">
        <f aca="false">IFERROR(INDEX(PalData,MATCH(K140,PalNames,0)+1,MATCH("ZukanIndex",PalData_Header,0)),)</f>
        <v>0</v>
      </c>
      <c r="K140" s="42"/>
      <c r="M140" s="47" t="n">
        <f aca="false">IFERROR(INDEX(PalData,MATCH(O140,PalNames,0)+1,MATCH("Image",PalData_Header,0)),)</f>
        <v>0</v>
      </c>
      <c r="N140" s="48" t="n">
        <f aca="false">IFERROR(INDEX(PalData,MATCH(O140,PalNames,0)+1,MATCH("ZukanIndex",PalData_Header,0)),)</f>
        <v>0</v>
      </c>
      <c r="O140" s="49"/>
      <c r="Q140" s="27" t="n">
        <f aca="false">IFERROR(INDEX(PalData,MATCH(S140,PalNames,0)+1,MATCH("Image",PalData_Header,0)),)</f>
        <v>0</v>
      </c>
      <c r="R140" s="17" t="n">
        <f aca="false" t="array" ref="R140:R140">INDEX(PalData,MATCH(S140,PalNames,0)+1,MATCH("ZukanIndex",PalData_Header,0))</f>
        <v>76</v>
      </c>
      <c r="S140" s="18" t="s">
        <v>150</v>
      </c>
      <c r="T140" s="52" t="b">
        <f aca="false">FALSE()</f>
        <v>0</v>
      </c>
      <c r="U140" s="53" t="b">
        <f aca="false">FALSE()</f>
        <v>0</v>
      </c>
    </row>
    <row r="141" customFormat="false" ht="15.75" hidden="false" customHeight="false" outlineLevel="0" collapsed="false">
      <c r="F141" s="34" t="n">
        <f aca="false">IFERROR(INDEX(PalData,MATCH(H141,PalNames,0)+1,MATCH("Image",PalData_Header,0)),)</f>
        <v>0</v>
      </c>
      <c r="G141" s="35" t="n">
        <f aca="false">IFERROR(INDEX(PalData,MATCH(H141,PalNames,0)+1,MATCH("ZukanIndex",PalData_Header,0)),)</f>
        <v>0</v>
      </c>
      <c r="H141" s="35"/>
      <c r="I141" s="36" t="n">
        <f aca="false">IFERROR(INDEX(PalData,MATCH(K141,PalNames,0)+1,MATCH("Image",PalData_Header,0)),)</f>
        <v>0</v>
      </c>
      <c r="J141" s="35" t="n">
        <f aca="false">IFERROR(INDEX(PalData,MATCH(K141,PalNames,0)+1,MATCH("ZukanIndex",PalData_Header,0)),)</f>
        <v>0</v>
      </c>
      <c r="K141" s="37"/>
      <c r="M141" s="44" t="n">
        <f aca="false">IFERROR(INDEX(PalData,MATCH(O141,PalNames,0)+1,MATCH("Image",PalData_Header,0)),)</f>
        <v>0</v>
      </c>
      <c r="N141" s="45" t="n">
        <f aca="false">IFERROR(INDEX(PalData,MATCH(O141,PalNames,0)+1,MATCH("ZukanIndex",PalData_Header,0)),)</f>
        <v>0</v>
      </c>
      <c r="O141" s="46"/>
      <c r="Q141" s="21" t="n">
        <f aca="false">IFERROR(INDEX(PalData,MATCH(S141,PalNames,0)+1,MATCH("Image",PalData_Header,0)),)</f>
        <v>0</v>
      </c>
      <c r="R141" s="22" t="n">
        <f aca="false" t="array" ref="R141:R141">INDEX(PalData,MATCH(S141,PalNames,0)+1,MATCH("ZukanIndex",PalData_Header,0))</f>
        <v>34</v>
      </c>
      <c r="S141" s="23" t="s">
        <v>151</v>
      </c>
      <c r="T141" s="54" t="b">
        <f aca="false">FALSE()</f>
        <v>0</v>
      </c>
      <c r="U141" s="55" t="b">
        <f aca="false">FALSE()</f>
        <v>0</v>
      </c>
    </row>
    <row r="142" customFormat="false" ht="15.75" hidden="false" customHeight="false" outlineLevel="0" collapsed="false">
      <c r="F142" s="39" t="n">
        <f aca="false">IFERROR(INDEX(PalData,MATCH(H142,PalNames,0)+1,MATCH("Image",PalData_Header,0)),)</f>
        <v>0</v>
      </c>
      <c r="G142" s="40" t="n">
        <f aca="false">IFERROR(INDEX(PalData,MATCH(H142,PalNames,0)+1,MATCH("ZukanIndex",PalData_Header,0)),)</f>
        <v>0</v>
      </c>
      <c r="H142" s="40"/>
      <c r="I142" s="41" t="n">
        <f aca="false">IFERROR(INDEX(PalData,MATCH(K142,PalNames,0)+1,MATCH("Image",PalData_Header,0)),)</f>
        <v>0</v>
      </c>
      <c r="J142" s="40" t="n">
        <f aca="false">IFERROR(INDEX(PalData,MATCH(K142,PalNames,0)+1,MATCH("ZukanIndex",PalData_Header,0)),)</f>
        <v>0</v>
      </c>
      <c r="K142" s="42"/>
      <c r="M142" s="47" t="n">
        <f aca="false">IFERROR(INDEX(PalData,MATCH(O142,PalNames,0)+1,MATCH("Image",PalData_Header,0)),)</f>
        <v>0</v>
      </c>
      <c r="N142" s="48" t="n">
        <f aca="false">IFERROR(INDEX(PalData,MATCH(O142,PalNames,0)+1,MATCH("ZukanIndex",PalData_Header,0)),)</f>
        <v>0</v>
      </c>
      <c r="O142" s="49"/>
      <c r="Q142" s="27" t="n">
        <f aca="false">IFERROR(INDEX(PalData,MATCH(S142,PalNames,0)+1,MATCH("Image",PalData_Header,0)),)</f>
        <v>0</v>
      </c>
      <c r="R142" s="17" t="n">
        <f aca="false" t="array" ref="R142:R142">INDEX(PalData,MATCH(S142,PalNames,0)+1,MATCH("ZukanIndex",PalData_Header,0))</f>
        <v>91</v>
      </c>
      <c r="S142" s="18" t="s">
        <v>152</v>
      </c>
      <c r="T142" s="52" t="b">
        <f aca="false">FALSE()</f>
        <v>0</v>
      </c>
      <c r="U142" s="53" t="b">
        <f aca="false">FALSE()</f>
        <v>0</v>
      </c>
    </row>
    <row r="143" customFormat="false" ht="15.75" hidden="false" customHeight="false" outlineLevel="0" collapsed="false">
      <c r="F143" s="34" t="n">
        <f aca="false">IFERROR(INDEX(PalData,MATCH(H143,PalNames,0)+1,MATCH("Image",PalData_Header,0)),)</f>
        <v>0</v>
      </c>
      <c r="G143" s="35" t="n">
        <f aca="false">IFERROR(INDEX(PalData,MATCH(H143,PalNames,0)+1,MATCH("ZukanIndex",PalData_Header,0)),)</f>
        <v>0</v>
      </c>
      <c r="H143" s="35"/>
      <c r="I143" s="36" t="n">
        <f aca="false">IFERROR(INDEX(PalData,MATCH(K143,PalNames,0)+1,MATCH("Image",PalData_Header,0)),)</f>
        <v>0</v>
      </c>
      <c r="J143" s="35" t="n">
        <f aca="false">IFERROR(INDEX(PalData,MATCH(K143,PalNames,0)+1,MATCH("ZukanIndex",PalData_Header,0)),)</f>
        <v>0</v>
      </c>
      <c r="K143" s="37"/>
      <c r="M143" s="44" t="n">
        <f aca="false">IFERROR(INDEX(PalData,MATCH(O143,PalNames,0)+1,MATCH("Image",PalData_Header,0)),)</f>
        <v>0</v>
      </c>
      <c r="N143" s="45" t="n">
        <f aca="false">IFERROR(INDEX(PalData,MATCH(O143,PalNames,0)+1,MATCH("ZukanIndex",PalData_Header,0)),)</f>
        <v>0</v>
      </c>
      <c r="O143" s="46"/>
      <c r="Q143" s="56" t="n">
        <f aca="false">IFERROR(INDEX(PalData,MATCH(S143,PalNames,0)+1,MATCH("Image",PalData_Header,0)),)</f>
        <v>0</v>
      </c>
      <c r="R143" s="57" t="n">
        <f aca="false" t="array" ref="R143:R143">INDEX(PalData,MATCH(S143,PalNames,0)+1,MATCH("ZukanIndex",PalData_Header,0))</f>
        <v>91</v>
      </c>
      <c r="S143" s="58" t="s">
        <v>153</v>
      </c>
      <c r="T143" s="59" t="b">
        <f aca="false">FALSE()</f>
        <v>0</v>
      </c>
      <c r="U143" s="60" t="b">
        <f aca="false">FALSE()</f>
        <v>0</v>
      </c>
    </row>
    <row r="144" customFormat="false" ht="15.75" hidden="false" customHeight="false" outlineLevel="0" collapsed="false">
      <c r="F144" s="39" t="n">
        <f aca="false">IFERROR(INDEX(PalData,MATCH(H144,PalNames,0)+1,MATCH("Image",PalData_Header,0)),)</f>
        <v>0</v>
      </c>
      <c r="G144" s="40" t="n">
        <f aca="false">IFERROR(INDEX(PalData,MATCH(H144,PalNames,0)+1,MATCH("ZukanIndex",PalData_Header,0)),)</f>
        <v>0</v>
      </c>
      <c r="H144" s="40"/>
      <c r="I144" s="41" t="n">
        <f aca="false">IFERROR(INDEX(PalData,MATCH(K144,PalNames,0)+1,MATCH("Image",PalData_Header,0)),)</f>
        <v>0</v>
      </c>
      <c r="J144" s="40" t="n">
        <f aca="false">IFERROR(INDEX(PalData,MATCH(K144,PalNames,0)+1,MATCH("ZukanIndex",PalData_Header,0)),)</f>
        <v>0</v>
      </c>
      <c r="K144" s="42"/>
      <c r="M144" s="47" t="n">
        <f aca="false">IFERROR(INDEX(PalData,MATCH(O144,PalNames,0)+1,MATCH("Image",PalData_Header,0)),)</f>
        <v>0</v>
      </c>
      <c r="N144" s="48" t="n">
        <f aca="false">IFERROR(INDEX(PalData,MATCH(O144,PalNames,0)+1,MATCH("ZukanIndex",PalData_Header,0)),)</f>
        <v>0</v>
      </c>
      <c r="O144" s="49"/>
      <c r="Q144" s="3"/>
      <c r="R144" s="3"/>
      <c r="S144" s="3"/>
      <c r="T144" s="3"/>
      <c r="U144" s="3"/>
    </row>
    <row r="145" customFormat="false" ht="15.75" hidden="false" customHeight="false" outlineLevel="0" collapsed="false">
      <c r="F145" s="34" t="n">
        <f aca="false">IFERROR(INDEX(PalData,MATCH(H145,PalNames,0)+1,MATCH("Image",PalData_Header,0)),)</f>
        <v>0</v>
      </c>
      <c r="G145" s="35" t="n">
        <f aca="false">IFERROR(INDEX(PalData,MATCH(H145,PalNames,0)+1,MATCH("ZukanIndex",PalData_Header,0)),)</f>
        <v>0</v>
      </c>
      <c r="H145" s="35"/>
      <c r="I145" s="36" t="n">
        <f aca="false">IFERROR(INDEX(PalData,MATCH(K145,PalNames,0)+1,MATCH("Image",PalData_Header,0)),)</f>
        <v>0</v>
      </c>
      <c r="J145" s="35" t="n">
        <f aca="false">IFERROR(INDEX(PalData,MATCH(K145,PalNames,0)+1,MATCH("ZukanIndex",PalData_Header,0)),)</f>
        <v>0</v>
      </c>
      <c r="K145" s="37"/>
      <c r="M145" s="44" t="n">
        <f aca="false">IFERROR(INDEX(PalData,MATCH(O145,PalNames,0)+1,MATCH("Image",PalData_Header,0)),)</f>
        <v>0</v>
      </c>
      <c r="N145" s="45" t="n">
        <f aca="false">IFERROR(INDEX(PalData,MATCH(O145,PalNames,0)+1,MATCH("ZukanIndex",PalData_Header,0)),)</f>
        <v>0</v>
      </c>
      <c r="O145" s="46"/>
      <c r="Q145" s="3"/>
      <c r="R145" s="3"/>
      <c r="S145" s="3"/>
      <c r="T145" s="3"/>
      <c r="U145" s="3"/>
    </row>
    <row r="146" customFormat="false" ht="15.75" hidden="false" customHeight="false" outlineLevel="0" collapsed="false">
      <c r="F146" s="39" t="n">
        <f aca="false">IFERROR(INDEX(PalData,MATCH(H146,PalNames,0)+1,MATCH("Image",PalData_Header,0)),)</f>
        <v>0</v>
      </c>
      <c r="G146" s="40" t="n">
        <f aca="false">IFERROR(INDEX(PalData,MATCH(H146,PalNames,0)+1,MATCH("ZukanIndex",PalData_Header,0)),)</f>
        <v>0</v>
      </c>
      <c r="H146" s="40"/>
      <c r="I146" s="41" t="n">
        <f aca="false">IFERROR(INDEX(PalData,MATCH(K146,PalNames,0)+1,MATCH("Image",PalData_Header,0)),)</f>
        <v>0</v>
      </c>
      <c r="J146" s="40" t="n">
        <f aca="false">IFERROR(INDEX(PalData,MATCH(K146,PalNames,0)+1,MATCH("ZukanIndex",PalData_Header,0)),)</f>
        <v>0</v>
      </c>
      <c r="K146" s="42"/>
      <c r="M146" s="47" t="n">
        <f aca="false">IFERROR(INDEX(PalData,MATCH(O146,PalNames,0)+1,MATCH("Image",PalData_Header,0)),)</f>
        <v>0</v>
      </c>
      <c r="N146" s="48" t="n">
        <f aca="false">IFERROR(INDEX(PalData,MATCH(O146,PalNames,0)+1,MATCH("ZukanIndex",PalData_Header,0)),)</f>
        <v>0</v>
      </c>
      <c r="O146" s="49"/>
      <c r="Q146" s="3"/>
      <c r="R146" s="3"/>
      <c r="S146" s="3"/>
      <c r="T146" s="3"/>
      <c r="U146" s="3"/>
    </row>
    <row r="147" customFormat="false" ht="15.75" hidden="false" customHeight="false" outlineLevel="0" collapsed="false">
      <c r="F147" s="34" t="n">
        <f aca="false">IFERROR(INDEX(PalData,MATCH(H147,PalNames,0)+1,MATCH("Image",PalData_Header,0)),)</f>
        <v>0</v>
      </c>
      <c r="G147" s="35" t="n">
        <f aca="false">IFERROR(INDEX(PalData,MATCH(H147,PalNames,0)+1,MATCH("ZukanIndex",PalData_Header,0)),)</f>
        <v>0</v>
      </c>
      <c r="H147" s="35"/>
      <c r="I147" s="36" t="n">
        <f aca="false">IFERROR(INDEX(PalData,MATCH(K147,PalNames,0)+1,MATCH("Image",PalData_Header,0)),)</f>
        <v>0</v>
      </c>
      <c r="J147" s="35" t="n">
        <f aca="false">IFERROR(INDEX(PalData,MATCH(K147,PalNames,0)+1,MATCH("ZukanIndex",PalData_Header,0)),)</f>
        <v>0</v>
      </c>
      <c r="K147" s="37"/>
      <c r="M147" s="44" t="n">
        <f aca="false">IFERROR(INDEX(PalData,MATCH(O147,PalNames,0)+1,MATCH("Image",PalData_Header,0)),)</f>
        <v>0</v>
      </c>
      <c r="N147" s="45" t="n">
        <f aca="false">IFERROR(INDEX(PalData,MATCH(O147,PalNames,0)+1,MATCH("ZukanIndex",PalData_Header,0)),)</f>
        <v>0</v>
      </c>
      <c r="O147" s="46"/>
      <c r="Q147" s="3"/>
      <c r="R147" s="3"/>
      <c r="S147" s="3"/>
      <c r="T147" s="3"/>
      <c r="U147" s="3"/>
    </row>
    <row r="148" customFormat="false" ht="15.75" hidden="false" customHeight="false" outlineLevel="0" collapsed="false">
      <c r="F148" s="39" t="n">
        <f aca="false">IFERROR(INDEX(PalData,MATCH(H148,PalNames,0)+1,MATCH("Image",PalData_Header,0)),)</f>
        <v>0</v>
      </c>
      <c r="G148" s="40" t="n">
        <f aca="false">IFERROR(INDEX(PalData,MATCH(H148,PalNames,0)+1,MATCH("ZukanIndex",PalData_Header,0)),)</f>
        <v>0</v>
      </c>
      <c r="H148" s="40"/>
      <c r="I148" s="41" t="n">
        <f aca="false">IFERROR(INDEX(PalData,MATCH(K148,PalNames,0)+1,MATCH("Image",PalData_Header,0)),)</f>
        <v>0</v>
      </c>
      <c r="J148" s="40" t="n">
        <f aca="false">IFERROR(INDEX(PalData,MATCH(K148,PalNames,0)+1,MATCH("ZukanIndex",PalData_Header,0)),)</f>
        <v>0</v>
      </c>
      <c r="K148" s="42"/>
      <c r="M148" s="47" t="n">
        <f aca="false">IFERROR(INDEX(PalData,MATCH(O148,PalNames,0)+1,MATCH("Image",PalData_Header,0)),)</f>
        <v>0</v>
      </c>
      <c r="N148" s="48" t="n">
        <f aca="false">IFERROR(INDEX(PalData,MATCH(O148,PalNames,0)+1,MATCH("ZukanIndex",PalData_Header,0)),)</f>
        <v>0</v>
      </c>
      <c r="O148" s="49"/>
      <c r="Q148" s="3"/>
      <c r="R148" s="3"/>
      <c r="S148" s="3"/>
      <c r="T148" s="3"/>
      <c r="U148" s="3"/>
    </row>
    <row r="149" customFormat="false" ht="15.75" hidden="false" customHeight="false" outlineLevel="0" collapsed="false">
      <c r="F149" s="34" t="n">
        <f aca="false">IFERROR(INDEX(PalData,MATCH(H149,PalNames,0)+1,MATCH("Image",PalData_Header,0)),)</f>
        <v>0</v>
      </c>
      <c r="G149" s="35" t="n">
        <f aca="false">IFERROR(INDEX(PalData,MATCH(H149,PalNames,0)+1,MATCH("ZukanIndex",PalData_Header,0)),)</f>
        <v>0</v>
      </c>
      <c r="H149" s="35"/>
      <c r="I149" s="36" t="n">
        <f aca="false">IFERROR(INDEX(PalData,MATCH(K149,PalNames,0)+1,MATCH("Image",PalData_Header,0)),)</f>
        <v>0</v>
      </c>
      <c r="J149" s="35" t="n">
        <f aca="false">IFERROR(INDEX(PalData,MATCH(K149,PalNames,0)+1,MATCH("ZukanIndex",PalData_Header,0)),)</f>
        <v>0</v>
      </c>
      <c r="K149" s="37"/>
      <c r="M149" s="44" t="n">
        <f aca="false">IFERROR(INDEX(PalData,MATCH(O149,PalNames,0)+1,MATCH("Image",PalData_Header,0)),)</f>
        <v>0</v>
      </c>
      <c r="N149" s="45" t="n">
        <f aca="false">IFERROR(INDEX(PalData,MATCH(O149,PalNames,0)+1,MATCH("ZukanIndex",PalData_Header,0)),)</f>
        <v>0</v>
      </c>
      <c r="O149" s="46"/>
      <c r="Q149" s="3"/>
      <c r="R149" s="3"/>
      <c r="S149" s="3"/>
      <c r="T149" s="3"/>
      <c r="U149" s="3"/>
    </row>
    <row r="150" customFormat="false" ht="15.75" hidden="false" customHeight="false" outlineLevel="0" collapsed="false">
      <c r="F150" s="39" t="n">
        <f aca="false">IFERROR(INDEX(PalData,MATCH(H150,PalNames,0)+1,MATCH("Image",PalData_Header,0)),)</f>
        <v>0</v>
      </c>
      <c r="G150" s="40" t="n">
        <f aca="false">IFERROR(INDEX(PalData,MATCH(H150,PalNames,0)+1,MATCH("ZukanIndex",PalData_Header,0)),)</f>
        <v>0</v>
      </c>
      <c r="H150" s="40"/>
      <c r="I150" s="41" t="n">
        <f aca="false">IFERROR(INDEX(PalData,MATCH(K150,PalNames,0)+1,MATCH("Image",PalData_Header,0)),)</f>
        <v>0</v>
      </c>
      <c r="J150" s="40" t="n">
        <f aca="false">IFERROR(INDEX(PalData,MATCH(K150,PalNames,0)+1,MATCH("ZukanIndex",PalData_Header,0)),)</f>
        <v>0</v>
      </c>
      <c r="K150" s="42"/>
      <c r="M150" s="47" t="n">
        <f aca="false">IFERROR(INDEX(PalData,MATCH(O150,PalNames,0)+1,MATCH("Image",PalData_Header,0)),)</f>
        <v>0</v>
      </c>
      <c r="N150" s="48" t="n">
        <f aca="false">IFERROR(INDEX(PalData,MATCH(O150,PalNames,0)+1,MATCH("ZukanIndex",PalData_Header,0)),)</f>
        <v>0</v>
      </c>
      <c r="O150" s="49"/>
      <c r="Q150" s="3"/>
      <c r="R150" s="3"/>
      <c r="S150" s="3"/>
      <c r="T150" s="3"/>
      <c r="U150" s="3"/>
    </row>
    <row r="151" customFormat="false" ht="15.75" hidden="false" customHeight="false" outlineLevel="0" collapsed="false">
      <c r="F151" s="34" t="n">
        <f aca="false">IFERROR(INDEX(PalData,MATCH(H151,PalNames,0)+1,MATCH("Image",PalData_Header,0)),)</f>
        <v>0</v>
      </c>
      <c r="G151" s="35" t="n">
        <f aca="false">IFERROR(INDEX(PalData,MATCH(H151,PalNames,0)+1,MATCH("ZukanIndex",PalData_Header,0)),)</f>
        <v>0</v>
      </c>
      <c r="H151" s="35"/>
      <c r="I151" s="36" t="n">
        <f aca="false">IFERROR(INDEX(PalData,MATCH(K151,PalNames,0)+1,MATCH("Image",PalData_Header,0)),)</f>
        <v>0</v>
      </c>
      <c r="J151" s="35" t="n">
        <f aca="false">IFERROR(INDEX(PalData,MATCH(K151,PalNames,0)+1,MATCH("ZukanIndex",PalData_Header,0)),)</f>
        <v>0</v>
      </c>
      <c r="K151" s="37"/>
      <c r="M151" s="44" t="n">
        <f aca="false">IFERROR(INDEX(PalData,MATCH(O151,PalNames,0)+1,MATCH("Image",PalData_Header,0)),)</f>
        <v>0</v>
      </c>
      <c r="N151" s="45" t="n">
        <f aca="false">IFERROR(INDEX(PalData,MATCH(O151,PalNames,0)+1,MATCH("ZukanIndex",PalData_Header,0)),)</f>
        <v>0</v>
      </c>
      <c r="O151" s="46"/>
      <c r="Q151" s="3"/>
      <c r="R151" s="3"/>
      <c r="S151" s="3"/>
      <c r="T151" s="3"/>
      <c r="U151" s="3"/>
    </row>
    <row r="152" customFormat="false" ht="15.75" hidden="false" customHeight="false" outlineLevel="0" collapsed="false">
      <c r="F152" s="39" t="n">
        <f aca="false">IFERROR(INDEX(PalData,MATCH(H152,PalNames,0)+1,MATCH("Image",PalData_Header,0)),)</f>
        <v>0</v>
      </c>
      <c r="G152" s="40" t="n">
        <f aca="false">IFERROR(INDEX(PalData,MATCH(H152,PalNames,0)+1,MATCH("ZukanIndex",PalData_Header,0)),)</f>
        <v>0</v>
      </c>
      <c r="H152" s="40"/>
      <c r="I152" s="41" t="n">
        <f aca="false">IFERROR(INDEX(PalData,MATCH(K152,PalNames,0)+1,MATCH("Image",PalData_Header,0)),)</f>
        <v>0</v>
      </c>
      <c r="J152" s="40" t="n">
        <f aca="false">IFERROR(INDEX(PalData,MATCH(K152,PalNames,0)+1,MATCH("ZukanIndex",PalData_Header,0)),)</f>
        <v>0</v>
      </c>
      <c r="K152" s="42"/>
      <c r="M152" s="47" t="n">
        <f aca="false">IFERROR(INDEX(PalData,MATCH(O152,PalNames,0)+1,MATCH("Image",PalData_Header,0)),)</f>
        <v>0</v>
      </c>
      <c r="N152" s="48" t="n">
        <f aca="false">IFERROR(INDEX(PalData,MATCH(O152,PalNames,0)+1,MATCH("ZukanIndex",PalData_Header,0)),)</f>
        <v>0</v>
      </c>
      <c r="O152" s="49"/>
      <c r="Q152" s="3"/>
      <c r="R152" s="3"/>
      <c r="S152" s="3"/>
      <c r="T152" s="3"/>
      <c r="U152" s="3"/>
    </row>
    <row r="153" customFormat="false" ht="15.75" hidden="false" customHeight="false" outlineLevel="0" collapsed="false">
      <c r="F153" s="34" t="n">
        <f aca="false">IFERROR(INDEX(PalData,MATCH(H153,PalNames,0)+1,MATCH("Image",PalData_Header,0)),)</f>
        <v>0</v>
      </c>
      <c r="G153" s="35" t="n">
        <f aca="false">IFERROR(INDEX(PalData,MATCH(H153,PalNames,0)+1,MATCH("ZukanIndex",PalData_Header,0)),)</f>
        <v>0</v>
      </c>
      <c r="H153" s="35"/>
      <c r="I153" s="36" t="n">
        <f aca="false">IFERROR(INDEX(PalData,MATCH(K153,PalNames,0)+1,MATCH("Image",PalData_Header,0)),)</f>
        <v>0</v>
      </c>
      <c r="J153" s="35" t="n">
        <f aca="false">IFERROR(INDEX(PalData,MATCH(K153,PalNames,0)+1,MATCH("ZukanIndex",PalData_Header,0)),)</f>
        <v>0</v>
      </c>
      <c r="K153" s="37"/>
      <c r="M153" s="44" t="n">
        <f aca="false">IFERROR(INDEX(PalData,MATCH(O153,PalNames,0)+1,MATCH("Image",PalData_Header,0)),)</f>
        <v>0</v>
      </c>
      <c r="N153" s="45" t="n">
        <f aca="false">IFERROR(INDEX(PalData,MATCH(O153,PalNames,0)+1,MATCH("ZukanIndex",PalData_Header,0)),)</f>
        <v>0</v>
      </c>
      <c r="O153" s="46"/>
      <c r="Q153" s="3"/>
      <c r="R153" s="3"/>
      <c r="S153" s="3"/>
      <c r="T153" s="3"/>
      <c r="U153" s="3"/>
    </row>
    <row r="154" customFormat="false" ht="15.75" hidden="false" customHeight="false" outlineLevel="0" collapsed="false">
      <c r="F154" s="39" t="n">
        <f aca="false">IFERROR(INDEX(PalData,MATCH(H154,PalNames,0)+1,MATCH("Image",PalData_Header,0)),)</f>
        <v>0</v>
      </c>
      <c r="G154" s="40" t="n">
        <f aca="false">IFERROR(INDEX(PalData,MATCH(H154,PalNames,0)+1,MATCH("ZukanIndex",PalData_Header,0)),)</f>
        <v>0</v>
      </c>
      <c r="H154" s="40"/>
      <c r="I154" s="41" t="n">
        <f aca="false">IFERROR(INDEX(PalData,MATCH(K154,PalNames,0)+1,MATCH("Image",PalData_Header,0)),)</f>
        <v>0</v>
      </c>
      <c r="J154" s="40" t="n">
        <f aca="false">IFERROR(INDEX(PalData,MATCH(K154,PalNames,0)+1,MATCH("ZukanIndex",PalData_Header,0)),)</f>
        <v>0</v>
      </c>
      <c r="K154" s="42"/>
      <c r="M154" s="47" t="n">
        <f aca="false">IFERROR(INDEX(PalData,MATCH(O154,PalNames,0)+1,MATCH("Image",PalData_Header,0)),)</f>
        <v>0</v>
      </c>
      <c r="N154" s="48" t="n">
        <f aca="false">IFERROR(INDEX(PalData,MATCH(O154,PalNames,0)+1,MATCH("ZukanIndex",PalData_Header,0)),)</f>
        <v>0</v>
      </c>
      <c r="O154" s="49"/>
      <c r="Q154" s="3"/>
      <c r="R154" s="3"/>
      <c r="S154" s="3"/>
      <c r="T154" s="3"/>
      <c r="U154" s="3"/>
    </row>
    <row r="155" customFormat="false" ht="15.75" hidden="false" customHeight="false" outlineLevel="0" collapsed="false">
      <c r="F155" s="34" t="n">
        <f aca="false">IFERROR(INDEX(PalData,MATCH(H155,PalNames,0)+1,MATCH("Image",PalData_Header,0)),)</f>
        <v>0</v>
      </c>
      <c r="G155" s="35" t="n">
        <f aca="false">IFERROR(INDEX(PalData,MATCH(H155,PalNames,0)+1,MATCH("ZukanIndex",PalData_Header,0)),)</f>
        <v>0</v>
      </c>
      <c r="H155" s="35"/>
      <c r="I155" s="36" t="n">
        <f aca="false">IFERROR(INDEX(PalData,MATCH(K155,PalNames,0)+1,MATCH("Image",PalData_Header,0)),)</f>
        <v>0</v>
      </c>
      <c r="J155" s="35" t="n">
        <f aca="false">IFERROR(INDEX(PalData,MATCH(K155,PalNames,0)+1,MATCH("ZukanIndex",PalData_Header,0)),)</f>
        <v>0</v>
      </c>
      <c r="K155" s="37"/>
      <c r="M155" s="44" t="n">
        <f aca="false">IFERROR(INDEX(PalData,MATCH(O155,PalNames,0)+1,MATCH("Image",PalData_Header,0)),)</f>
        <v>0</v>
      </c>
      <c r="N155" s="45" t="n">
        <f aca="false">IFERROR(INDEX(PalData,MATCH(O155,PalNames,0)+1,MATCH("ZukanIndex",PalData_Header,0)),)</f>
        <v>0</v>
      </c>
      <c r="O155" s="46"/>
      <c r="Q155" s="3"/>
      <c r="R155" s="3"/>
      <c r="S155" s="3"/>
      <c r="T155" s="3"/>
      <c r="U155" s="3"/>
    </row>
    <row r="156" customFormat="false" ht="15.75" hidden="false" customHeight="false" outlineLevel="0" collapsed="false">
      <c r="F156" s="39" t="n">
        <f aca="false">IFERROR(INDEX(PalData,MATCH(H156,PalNames,0)+1,MATCH("Image",PalData_Header,0)),)</f>
        <v>0</v>
      </c>
      <c r="G156" s="40" t="n">
        <f aca="false">IFERROR(INDEX(PalData,MATCH(H156,PalNames,0)+1,MATCH("ZukanIndex",PalData_Header,0)),)</f>
        <v>0</v>
      </c>
      <c r="H156" s="40"/>
      <c r="I156" s="41" t="n">
        <f aca="false">IFERROR(INDEX(PalData,MATCH(K156,PalNames,0)+1,MATCH("Image",PalData_Header,0)),)</f>
        <v>0</v>
      </c>
      <c r="J156" s="40" t="n">
        <f aca="false">IFERROR(INDEX(PalData,MATCH(K156,PalNames,0)+1,MATCH("ZukanIndex",PalData_Header,0)),)</f>
        <v>0</v>
      </c>
      <c r="K156" s="42"/>
      <c r="M156" s="47" t="n">
        <f aca="false">IFERROR(INDEX(PalData,MATCH(O156,PalNames,0)+1,MATCH("Image",PalData_Header,0)),)</f>
        <v>0</v>
      </c>
      <c r="N156" s="48" t="n">
        <f aca="false">IFERROR(INDEX(PalData,MATCH(O156,PalNames,0)+1,MATCH("ZukanIndex",PalData_Header,0)),)</f>
        <v>0</v>
      </c>
      <c r="O156" s="49"/>
      <c r="Q156" s="3"/>
      <c r="R156" s="3"/>
      <c r="S156" s="3"/>
      <c r="T156" s="3"/>
      <c r="U156" s="3"/>
    </row>
    <row r="157" customFormat="false" ht="15.75" hidden="false" customHeight="false" outlineLevel="0" collapsed="false">
      <c r="F157" s="34" t="n">
        <f aca="false">IFERROR(INDEX(PalData,MATCH(H157,PalNames,0)+1,MATCH("Image",PalData_Header,0)),)</f>
        <v>0</v>
      </c>
      <c r="G157" s="35" t="n">
        <f aca="false">IFERROR(INDEX(PalData,MATCH(H157,PalNames,0)+1,MATCH("ZukanIndex",PalData_Header,0)),)</f>
        <v>0</v>
      </c>
      <c r="H157" s="35"/>
      <c r="I157" s="36" t="n">
        <f aca="false">IFERROR(INDEX(PalData,MATCH(K157,PalNames,0)+1,MATCH("Image",PalData_Header,0)),)</f>
        <v>0</v>
      </c>
      <c r="J157" s="35" t="n">
        <f aca="false">IFERROR(INDEX(PalData,MATCH(K157,PalNames,0)+1,MATCH("ZukanIndex",PalData_Header,0)),)</f>
        <v>0</v>
      </c>
      <c r="K157" s="37"/>
      <c r="M157" s="44" t="n">
        <f aca="false">IFERROR(INDEX(PalData,MATCH(O157,PalNames,0)+1,MATCH("Image",PalData_Header,0)),)</f>
        <v>0</v>
      </c>
      <c r="N157" s="45" t="n">
        <f aca="false">IFERROR(INDEX(PalData,MATCH(O157,PalNames,0)+1,MATCH("ZukanIndex",PalData_Header,0)),)</f>
        <v>0</v>
      </c>
      <c r="O157" s="46"/>
      <c r="Q157" s="3"/>
      <c r="R157" s="3"/>
      <c r="S157" s="3"/>
      <c r="T157" s="3"/>
      <c r="U157" s="3"/>
    </row>
    <row r="158" customFormat="false" ht="15.75" hidden="false" customHeight="false" outlineLevel="0" collapsed="false">
      <c r="F158" s="39" t="n">
        <f aca="false">IFERROR(INDEX(PalData,MATCH(H158,PalNames,0)+1,MATCH("Image",PalData_Header,0)),)</f>
        <v>0</v>
      </c>
      <c r="G158" s="40" t="n">
        <f aca="false">IFERROR(INDEX(PalData,MATCH(H158,PalNames,0)+1,MATCH("ZukanIndex",PalData_Header,0)),)</f>
        <v>0</v>
      </c>
      <c r="H158" s="40"/>
      <c r="I158" s="41" t="n">
        <f aca="false">IFERROR(INDEX(PalData,MATCH(K158,PalNames,0)+1,MATCH("Image",PalData_Header,0)),)</f>
        <v>0</v>
      </c>
      <c r="J158" s="40" t="n">
        <f aca="false">IFERROR(INDEX(PalData,MATCH(K158,PalNames,0)+1,MATCH("ZukanIndex",PalData_Header,0)),)</f>
        <v>0</v>
      </c>
      <c r="K158" s="42"/>
      <c r="M158" s="47" t="n">
        <f aca="false">IFERROR(INDEX(PalData,MATCH(O158,PalNames,0)+1,MATCH("Image",PalData_Header,0)),)</f>
        <v>0</v>
      </c>
      <c r="N158" s="48" t="n">
        <f aca="false">IFERROR(INDEX(PalData,MATCH(O158,PalNames,0)+1,MATCH("ZukanIndex",PalData_Header,0)),)</f>
        <v>0</v>
      </c>
      <c r="O158" s="49"/>
      <c r="Q158" s="3"/>
      <c r="R158" s="3"/>
      <c r="S158" s="3"/>
      <c r="T158" s="3"/>
      <c r="U158" s="3"/>
    </row>
    <row r="159" customFormat="false" ht="15.75" hidden="false" customHeight="false" outlineLevel="0" collapsed="false">
      <c r="F159" s="34" t="n">
        <f aca="false">IFERROR(INDEX(PalData,MATCH(H159,PalNames,0)+1,MATCH("Image",PalData_Header,0)),)</f>
        <v>0</v>
      </c>
      <c r="G159" s="35" t="n">
        <f aca="false">IFERROR(INDEX(PalData,MATCH(H159,PalNames,0)+1,MATCH("ZukanIndex",PalData_Header,0)),)</f>
        <v>0</v>
      </c>
      <c r="H159" s="35"/>
      <c r="I159" s="36" t="n">
        <f aca="false">IFERROR(INDEX(PalData,MATCH(K159,PalNames,0)+1,MATCH("Image",PalData_Header,0)),)</f>
        <v>0</v>
      </c>
      <c r="J159" s="35" t="n">
        <f aca="false">IFERROR(INDEX(PalData,MATCH(K159,PalNames,0)+1,MATCH("ZukanIndex",PalData_Header,0)),)</f>
        <v>0</v>
      </c>
      <c r="K159" s="37"/>
      <c r="M159" s="44" t="n">
        <f aca="false">IFERROR(INDEX(PalData,MATCH(O159,PalNames,0)+1,MATCH("Image",PalData_Header,0)),)</f>
        <v>0</v>
      </c>
      <c r="N159" s="45" t="n">
        <f aca="false">IFERROR(INDEX(PalData,MATCH(O159,PalNames,0)+1,MATCH("ZukanIndex",PalData_Header,0)),)</f>
        <v>0</v>
      </c>
      <c r="O159" s="46"/>
      <c r="Q159" s="3"/>
      <c r="R159" s="3"/>
      <c r="S159" s="3"/>
      <c r="T159" s="3"/>
      <c r="U159" s="3"/>
    </row>
    <row r="160" customFormat="false" ht="15.75" hidden="false" customHeight="false" outlineLevel="0" collapsed="false">
      <c r="F160" s="39" t="n">
        <f aca="false">IFERROR(INDEX(PalData,MATCH(H160,PalNames,0)+1,MATCH("Image",PalData_Header,0)),)</f>
        <v>0</v>
      </c>
      <c r="G160" s="40" t="n">
        <f aca="false">IFERROR(INDEX(PalData,MATCH(H160,PalNames,0)+1,MATCH("ZukanIndex",PalData_Header,0)),)</f>
        <v>0</v>
      </c>
      <c r="H160" s="40"/>
      <c r="I160" s="41" t="n">
        <f aca="false">IFERROR(INDEX(PalData,MATCH(K160,PalNames,0)+1,MATCH("Image",PalData_Header,0)),)</f>
        <v>0</v>
      </c>
      <c r="J160" s="40" t="n">
        <f aca="false">IFERROR(INDEX(PalData,MATCH(K160,PalNames,0)+1,MATCH("ZukanIndex",PalData_Header,0)),)</f>
        <v>0</v>
      </c>
      <c r="K160" s="42"/>
      <c r="M160" s="47" t="n">
        <f aca="false">IFERROR(INDEX(PalData,MATCH(O160,PalNames,0)+1,MATCH("Image",PalData_Header,0)),)</f>
        <v>0</v>
      </c>
      <c r="N160" s="48" t="n">
        <f aca="false">IFERROR(INDEX(PalData,MATCH(O160,PalNames,0)+1,MATCH("ZukanIndex",PalData_Header,0)),)</f>
        <v>0</v>
      </c>
      <c r="O160" s="49"/>
      <c r="Q160" s="3"/>
      <c r="R160" s="3"/>
      <c r="S160" s="3"/>
      <c r="T160" s="3"/>
      <c r="U160" s="3"/>
    </row>
    <row r="161" customFormat="false" ht="15.75" hidden="false" customHeight="false" outlineLevel="0" collapsed="false">
      <c r="F161" s="34" t="n">
        <f aca="false">IFERROR(INDEX(PalData,MATCH(H161,PalNames,0)+1,MATCH("Image",PalData_Header,0)),)</f>
        <v>0</v>
      </c>
      <c r="G161" s="35" t="n">
        <f aca="false">IFERROR(INDEX(PalData,MATCH(H161,PalNames,0)+1,MATCH("ZukanIndex",PalData_Header,0)),)</f>
        <v>0</v>
      </c>
      <c r="H161" s="35"/>
      <c r="I161" s="36" t="n">
        <f aca="false">IFERROR(INDEX(PalData,MATCH(K161,PalNames,0)+1,MATCH("Image",PalData_Header,0)),)</f>
        <v>0</v>
      </c>
      <c r="J161" s="35" t="n">
        <f aca="false">IFERROR(INDEX(PalData,MATCH(K161,PalNames,0)+1,MATCH("ZukanIndex",PalData_Header,0)),)</f>
        <v>0</v>
      </c>
      <c r="K161" s="37"/>
      <c r="M161" s="44" t="n">
        <f aca="false">IFERROR(INDEX(PalData,MATCH(O161,PalNames,0)+1,MATCH("Image",PalData_Header,0)),)</f>
        <v>0</v>
      </c>
      <c r="N161" s="45" t="n">
        <f aca="false">IFERROR(INDEX(PalData,MATCH(O161,PalNames,0)+1,MATCH("ZukanIndex",PalData_Header,0)),)</f>
        <v>0</v>
      </c>
      <c r="O161" s="46"/>
      <c r="Q161" s="3"/>
      <c r="R161" s="3"/>
      <c r="S161" s="3"/>
      <c r="T161" s="3"/>
      <c r="U161" s="3"/>
    </row>
    <row r="162" customFormat="false" ht="15.75" hidden="false" customHeight="false" outlineLevel="0" collapsed="false">
      <c r="F162" s="39" t="n">
        <f aca="false">IFERROR(INDEX(PalData,MATCH(H162,PalNames,0)+1,MATCH("Image",PalData_Header,0)),)</f>
        <v>0</v>
      </c>
      <c r="G162" s="40" t="n">
        <f aca="false">IFERROR(INDEX(PalData,MATCH(H162,PalNames,0)+1,MATCH("ZukanIndex",PalData_Header,0)),)</f>
        <v>0</v>
      </c>
      <c r="H162" s="40"/>
      <c r="I162" s="41" t="n">
        <f aca="false">IFERROR(INDEX(PalData,MATCH(K162,PalNames,0)+1,MATCH("Image",PalData_Header,0)),)</f>
        <v>0</v>
      </c>
      <c r="J162" s="40" t="n">
        <f aca="false">IFERROR(INDEX(PalData,MATCH(K162,PalNames,0)+1,MATCH("ZukanIndex",PalData_Header,0)),)</f>
        <v>0</v>
      </c>
      <c r="K162" s="42"/>
      <c r="M162" s="47" t="n">
        <f aca="false">IFERROR(INDEX(PalData,MATCH(O162,PalNames,0)+1,MATCH("Image",PalData_Header,0)),)</f>
        <v>0</v>
      </c>
      <c r="N162" s="48" t="n">
        <f aca="false">IFERROR(INDEX(PalData,MATCH(O162,PalNames,0)+1,MATCH("ZukanIndex",PalData_Header,0)),)</f>
        <v>0</v>
      </c>
      <c r="O162" s="49"/>
      <c r="Q162" s="3"/>
      <c r="R162" s="3"/>
      <c r="S162" s="3"/>
      <c r="T162" s="3"/>
      <c r="U162" s="3"/>
    </row>
    <row r="163" customFormat="false" ht="15.75" hidden="false" customHeight="false" outlineLevel="0" collapsed="false">
      <c r="F163" s="34" t="n">
        <f aca="false">IFERROR(INDEX(PalData,MATCH(H163,PalNames,0)+1,MATCH("Image",PalData_Header,0)),)</f>
        <v>0</v>
      </c>
      <c r="G163" s="35" t="n">
        <f aca="false">IFERROR(INDEX(PalData,MATCH(H163,PalNames,0)+1,MATCH("ZukanIndex",PalData_Header,0)),)</f>
        <v>0</v>
      </c>
      <c r="H163" s="35"/>
      <c r="I163" s="36" t="n">
        <f aca="false">IFERROR(INDEX(PalData,MATCH(K163,PalNames,0)+1,MATCH("Image",PalData_Header,0)),)</f>
        <v>0</v>
      </c>
      <c r="J163" s="35" t="n">
        <f aca="false">IFERROR(INDEX(PalData,MATCH(K163,PalNames,0)+1,MATCH("ZukanIndex",PalData_Header,0)),)</f>
        <v>0</v>
      </c>
      <c r="K163" s="37"/>
      <c r="M163" s="44" t="n">
        <f aca="false">IFERROR(INDEX(PalData,MATCH(O163,PalNames,0)+1,MATCH("Image",PalData_Header,0)),)</f>
        <v>0</v>
      </c>
      <c r="N163" s="45" t="n">
        <f aca="false">IFERROR(INDEX(PalData,MATCH(O163,PalNames,0)+1,MATCH("ZukanIndex",PalData_Header,0)),)</f>
        <v>0</v>
      </c>
      <c r="O163" s="46"/>
      <c r="Q163" s="3"/>
      <c r="R163" s="3"/>
      <c r="S163" s="3"/>
      <c r="T163" s="3"/>
      <c r="U163" s="3"/>
    </row>
    <row r="164" customFormat="false" ht="15.75" hidden="false" customHeight="false" outlineLevel="0" collapsed="false">
      <c r="F164" s="39" t="n">
        <f aca="false">IFERROR(INDEX(PalData,MATCH(H164,PalNames,0)+1,MATCH("Image",PalData_Header,0)),)</f>
        <v>0</v>
      </c>
      <c r="G164" s="40" t="n">
        <f aca="false">IFERROR(INDEX(PalData,MATCH(H164,PalNames,0)+1,MATCH("ZukanIndex",PalData_Header,0)),)</f>
        <v>0</v>
      </c>
      <c r="H164" s="40"/>
      <c r="I164" s="41" t="n">
        <f aca="false">IFERROR(INDEX(PalData,MATCH(K164,PalNames,0)+1,MATCH("Image",PalData_Header,0)),)</f>
        <v>0</v>
      </c>
      <c r="J164" s="40" t="n">
        <f aca="false">IFERROR(INDEX(PalData,MATCH(K164,PalNames,0)+1,MATCH("ZukanIndex",PalData_Header,0)),)</f>
        <v>0</v>
      </c>
      <c r="K164" s="42"/>
      <c r="M164" s="47" t="n">
        <f aca="false">IFERROR(INDEX(PalData,MATCH(O164,PalNames,0)+1,MATCH("Image",PalData_Header,0)),)</f>
        <v>0</v>
      </c>
      <c r="N164" s="48" t="n">
        <f aca="false">IFERROR(INDEX(PalData,MATCH(O164,PalNames,0)+1,MATCH("ZukanIndex",PalData_Header,0)),)</f>
        <v>0</v>
      </c>
      <c r="O164" s="49"/>
      <c r="Q164" s="3"/>
      <c r="R164" s="3"/>
      <c r="S164" s="3"/>
      <c r="T164" s="3"/>
      <c r="U164" s="3"/>
    </row>
    <row r="165" customFormat="false" ht="15.75" hidden="false" customHeight="false" outlineLevel="0" collapsed="false">
      <c r="F165" s="34" t="n">
        <f aca="false">IFERROR(INDEX(PalData,MATCH(H165,PalNames,0)+1,MATCH("Image",PalData_Header,0)),)</f>
        <v>0</v>
      </c>
      <c r="G165" s="35" t="n">
        <f aca="false">IFERROR(INDEX(PalData,MATCH(H165,PalNames,0)+1,MATCH("ZukanIndex",PalData_Header,0)),)</f>
        <v>0</v>
      </c>
      <c r="H165" s="35"/>
      <c r="I165" s="36" t="n">
        <f aca="false">IFERROR(INDEX(PalData,MATCH(K165,PalNames,0)+1,MATCH("Image",PalData_Header,0)),)</f>
        <v>0</v>
      </c>
      <c r="J165" s="35" t="n">
        <f aca="false">IFERROR(INDEX(PalData,MATCH(K165,PalNames,0)+1,MATCH("ZukanIndex",PalData_Header,0)),)</f>
        <v>0</v>
      </c>
      <c r="K165" s="37"/>
      <c r="M165" s="44" t="n">
        <f aca="false">IFERROR(INDEX(PalData,MATCH(O165,PalNames,0)+1,MATCH("Image",PalData_Header,0)),)</f>
        <v>0</v>
      </c>
      <c r="N165" s="45" t="n">
        <f aca="false">IFERROR(INDEX(PalData,MATCH(O165,PalNames,0)+1,MATCH("ZukanIndex",PalData_Header,0)),)</f>
        <v>0</v>
      </c>
      <c r="O165" s="46"/>
      <c r="Q165" s="3"/>
      <c r="R165" s="3"/>
      <c r="S165" s="3"/>
      <c r="T165" s="3"/>
      <c r="U165" s="3"/>
    </row>
    <row r="166" customFormat="false" ht="15.75" hidden="false" customHeight="false" outlineLevel="0" collapsed="false">
      <c r="F166" s="39" t="n">
        <f aca="false">IFERROR(INDEX(PalData,MATCH(H166,PalNames,0)+1,MATCH("Image",PalData_Header,0)),)</f>
        <v>0</v>
      </c>
      <c r="G166" s="40" t="n">
        <f aca="false">IFERROR(INDEX(PalData,MATCH(H166,PalNames,0)+1,MATCH("ZukanIndex",PalData_Header,0)),)</f>
        <v>0</v>
      </c>
      <c r="H166" s="40"/>
      <c r="I166" s="41" t="n">
        <f aca="false">IFERROR(INDEX(PalData,MATCH(K166,PalNames,0)+1,MATCH("Image",PalData_Header,0)),)</f>
        <v>0</v>
      </c>
      <c r="J166" s="40" t="n">
        <f aca="false">IFERROR(INDEX(PalData,MATCH(K166,PalNames,0)+1,MATCH("ZukanIndex",PalData_Header,0)),)</f>
        <v>0</v>
      </c>
      <c r="K166" s="42"/>
      <c r="M166" s="47" t="n">
        <f aca="false">IFERROR(INDEX(PalData,MATCH(O166,PalNames,0)+1,MATCH("Image",PalData_Header,0)),)</f>
        <v>0</v>
      </c>
      <c r="N166" s="48" t="n">
        <f aca="false">IFERROR(INDEX(PalData,MATCH(O166,PalNames,0)+1,MATCH("ZukanIndex",PalData_Header,0)),)</f>
        <v>0</v>
      </c>
      <c r="O166" s="49"/>
      <c r="Q166" s="3"/>
      <c r="R166" s="3"/>
      <c r="S166" s="3"/>
      <c r="T166" s="3"/>
      <c r="U166" s="3"/>
    </row>
    <row r="167" customFormat="false" ht="15.75" hidden="false" customHeight="false" outlineLevel="0" collapsed="false">
      <c r="F167" s="34" t="n">
        <f aca="false">IFERROR(INDEX(PalData,MATCH(H167,PalNames,0)+1,MATCH("Image",PalData_Header,0)),)</f>
        <v>0</v>
      </c>
      <c r="G167" s="35" t="n">
        <f aca="false">IFERROR(INDEX(PalData,MATCH(H167,PalNames,0)+1,MATCH("ZukanIndex",PalData_Header,0)),)</f>
        <v>0</v>
      </c>
      <c r="H167" s="35"/>
      <c r="I167" s="36" t="n">
        <f aca="false">IFERROR(INDEX(PalData,MATCH(K167,PalNames,0)+1,MATCH("Image",PalData_Header,0)),)</f>
        <v>0</v>
      </c>
      <c r="J167" s="35" t="n">
        <f aca="false">IFERROR(INDEX(PalData,MATCH(K167,PalNames,0)+1,MATCH("ZukanIndex",PalData_Header,0)),)</f>
        <v>0</v>
      </c>
      <c r="K167" s="37"/>
      <c r="M167" s="44" t="n">
        <f aca="false">IFERROR(INDEX(PalData,MATCH(O167,PalNames,0)+1,MATCH("Image",PalData_Header,0)),)</f>
        <v>0</v>
      </c>
      <c r="N167" s="45" t="n">
        <f aca="false">IFERROR(INDEX(PalData,MATCH(O167,PalNames,0)+1,MATCH("ZukanIndex",PalData_Header,0)),)</f>
        <v>0</v>
      </c>
      <c r="O167" s="46"/>
      <c r="Q167" s="3"/>
      <c r="R167" s="3"/>
      <c r="S167" s="3"/>
      <c r="T167" s="3"/>
      <c r="U167" s="3"/>
    </row>
    <row r="168" customFormat="false" ht="15.75" hidden="false" customHeight="false" outlineLevel="0" collapsed="false">
      <c r="F168" s="39" t="n">
        <f aca="false">IFERROR(INDEX(PalData,MATCH(H168,PalNames,0)+1,MATCH("Image",PalData_Header,0)),)</f>
        <v>0</v>
      </c>
      <c r="G168" s="40" t="n">
        <f aca="false">IFERROR(INDEX(PalData,MATCH(H168,PalNames,0)+1,MATCH("ZukanIndex",PalData_Header,0)),)</f>
        <v>0</v>
      </c>
      <c r="H168" s="40"/>
      <c r="I168" s="41" t="n">
        <f aca="false">IFERROR(INDEX(PalData,MATCH(K168,PalNames,0)+1,MATCH("Image",PalData_Header,0)),)</f>
        <v>0</v>
      </c>
      <c r="J168" s="40" t="n">
        <f aca="false">IFERROR(INDEX(PalData,MATCH(K168,PalNames,0)+1,MATCH("ZukanIndex",PalData_Header,0)),)</f>
        <v>0</v>
      </c>
      <c r="K168" s="42"/>
      <c r="M168" s="47" t="n">
        <f aca="false">IFERROR(INDEX(PalData,MATCH(O168,PalNames,0)+1,MATCH("Image",PalData_Header,0)),)</f>
        <v>0</v>
      </c>
      <c r="N168" s="48" t="n">
        <f aca="false">IFERROR(INDEX(PalData,MATCH(O168,PalNames,0)+1,MATCH("ZukanIndex",PalData_Header,0)),)</f>
        <v>0</v>
      </c>
      <c r="O168" s="49"/>
      <c r="Q168" s="3"/>
      <c r="R168" s="3"/>
      <c r="S168" s="3"/>
      <c r="T168" s="3"/>
      <c r="U168" s="3"/>
    </row>
    <row r="169" customFormat="false" ht="15.75" hidden="false" customHeight="false" outlineLevel="0" collapsed="false">
      <c r="F169" s="34" t="n">
        <f aca="false">IFERROR(INDEX(PalData,MATCH(H169,PalNames,0)+1,MATCH("Image",PalData_Header,0)),)</f>
        <v>0</v>
      </c>
      <c r="G169" s="35" t="n">
        <f aca="false">IFERROR(INDEX(PalData,MATCH(H169,PalNames,0)+1,MATCH("ZukanIndex",PalData_Header,0)),)</f>
        <v>0</v>
      </c>
      <c r="H169" s="35"/>
      <c r="I169" s="36" t="n">
        <f aca="false">IFERROR(INDEX(PalData,MATCH(K169,PalNames,0)+1,MATCH("Image",PalData_Header,0)),)</f>
        <v>0</v>
      </c>
      <c r="J169" s="35" t="n">
        <f aca="false">IFERROR(INDEX(PalData,MATCH(K169,PalNames,0)+1,MATCH("ZukanIndex",PalData_Header,0)),)</f>
        <v>0</v>
      </c>
      <c r="K169" s="37"/>
      <c r="M169" s="44" t="n">
        <f aca="false">IFERROR(INDEX(PalData,MATCH(O169,PalNames,0)+1,MATCH("Image",PalData_Header,0)),)</f>
        <v>0</v>
      </c>
      <c r="N169" s="45" t="n">
        <f aca="false">IFERROR(INDEX(PalData,MATCH(O169,PalNames,0)+1,MATCH("ZukanIndex",PalData_Header,0)),)</f>
        <v>0</v>
      </c>
      <c r="O169" s="46"/>
      <c r="Q169" s="3"/>
      <c r="R169" s="3"/>
      <c r="S169" s="3"/>
      <c r="T169" s="3"/>
      <c r="U169" s="3"/>
    </row>
    <row r="170" customFormat="false" ht="15.75" hidden="false" customHeight="false" outlineLevel="0" collapsed="false">
      <c r="F170" s="39" t="n">
        <f aca="false">IFERROR(INDEX(PalData,MATCH(H170,PalNames,0)+1,MATCH("Image",PalData_Header,0)),)</f>
        <v>0</v>
      </c>
      <c r="G170" s="40" t="n">
        <f aca="false">IFERROR(INDEX(PalData,MATCH(H170,PalNames,0)+1,MATCH("ZukanIndex",PalData_Header,0)),)</f>
        <v>0</v>
      </c>
      <c r="H170" s="40"/>
      <c r="I170" s="41" t="n">
        <f aca="false">IFERROR(INDEX(PalData,MATCH(K170,PalNames,0)+1,MATCH("Image",PalData_Header,0)),)</f>
        <v>0</v>
      </c>
      <c r="J170" s="40" t="n">
        <f aca="false">IFERROR(INDEX(PalData,MATCH(K170,PalNames,0)+1,MATCH("ZukanIndex",PalData_Header,0)),)</f>
        <v>0</v>
      </c>
      <c r="K170" s="42"/>
      <c r="M170" s="47" t="n">
        <f aca="false">IFERROR(INDEX(PalData,MATCH(O170,PalNames,0)+1,MATCH("Image",PalData_Header,0)),)</f>
        <v>0</v>
      </c>
      <c r="N170" s="48" t="n">
        <f aca="false">IFERROR(INDEX(PalData,MATCH(O170,PalNames,0)+1,MATCH("ZukanIndex",PalData_Header,0)),)</f>
        <v>0</v>
      </c>
      <c r="O170" s="49"/>
      <c r="Q170" s="3"/>
      <c r="R170" s="3"/>
      <c r="S170" s="3"/>
      <c r="T170" s="3"/>
      <c r="U170" s="3"/>
    </row>
    <row r="171" customFormat="false" ht="15.75" hidden="false" customHeight="false" outlineLevel="0" collapsed="false">
      <c r="F171" s="34" t="n">
        <f aca="false">IFERROR(INDEX(PalData,MATCH(H171,PalNames,0)+1,MATCH("Image",PalData_Header,0)),)</f>
        <v>0</v>
      </c>
      <c r="G171" s="35" t="n">
        <f aca="false">IFERROR(INDEX(PalData,MATCH(H171,PalNames,0)+1,MATCH("ZukanIndex",PalData_Header,0)),)</f>
        <v>0</v>
      </c>
      <c r="H171" s="35"/>
      <c r="I171" s="36" t="n">
        <f aca="false">IFERROR(INDEX(PalData,MATCH(K171,PalNames,0)+1,MATCH("Image",PalData_Header,0)),)</f>
        <v>0</v>
      </c>
      <c r="J171" s="35" t="n">
        <f aca="false">IFERROR(INDEX(PalData,MATCH(K171,PalNames,0)+1,MATCH("ZukanIndex",PalData_Header,0)),)</f>
        <v>0</v>
      </c>
      <c r="K171" s="37"/>
      <c r="M171" s="44" t="n">
        <f aca="false">IFERROR(INDEX(PalData,MATCH(O171,PalNames,0)+1,MATCH("Image",PalData_Header,0)),)</f>
        <v>0</v>
      </c>
      <c r="N171" s="45" t="n">
        <f aca="false">IFERROR(INDEX(PalData,MATCH(O171,PalNames,0)+1,MATCH("ZukanIndex",PalData_Header,0)),)</f>
        <v>0</v>
      </c>
      <c r="O171" s="46"/>
      <c r="Q171" s="3"/>
      <c r="R171" s="3"/>
      <c r="S171" s="3"/>
      <c r="T171" s="3"/>
      <c r="U171" s="3"/>
    </row>
    <row r="172" customFormat="false" ht="15.75" hidden="false" customHeight="false" outlineLevel="0" collapsed="false">
      <c r="F172" s="39" t="n">
        <f aca="false">IFERROR(INDEX(PalData,MATCH(H172,PalNames,0)+1,MATCH("Image",PalData_Header,0)),)</f>
        <v>0</v>
      </c>
      <c r="G172" s="40" t="n">
        <f aca="false">IFERROR(INDEX(PalData,MATCH(H172,PalNames,0)+1,MATCH("ZukanIndex",PalData_Header,0)),)</f>
        <v>0</v>
      </c>
      <c r="H172" s="40"/>
      <c r="I172" s="41" t="n">
        <f aca="false">IFERROR(INDEX(PalData,MATCH(K172,PalNames,0)+1,MATCH("Image",PalData_Header,0)),)</f>
        <v>0</v>
      </c>
      <c r="J172" s="40" t="n">
        <f aca="false">IFERROR(INDEX(PalData,MATCH(K172,PalNames,0)+1,MATCH("ZukanIndex",PalData_Header,0)),)</f>
        <v>0</v>
      </c>
      <c r="K172" s="42"/>
      <c r="M172" s="47" t="n">
        <f aca="false">IFERROR(INDEX(PalData,MATCH(O172,PalNames,0)+1,MATCH("Image",PalData_Header,0)),)</f>
        <v>0</v>
      </c>
      <c r="N172" s="48" t="n">
        <f aca="false">IFERROR(INDEX(PalData,MATCH(O172,PalNames,0)+1,MATCH("ZukanIndex",PalData_Header,0)),)</f>
        <v>0</v>
      </c>
      <c r="O172" s="49"/>
      <c r="Q172" s="3"/>
      <c r="R172" s="3"/>
      <c r="S172" s="3"/>
      <c r="T172" s="3"/>
      <c r="U172" s="3"/>
    </row>
    <row r="173" customFormat="false" ht="15.75" hidden="false" customHeight="false" outlineLevel="0" collapsed="false">
      <c r="F173" s="34" t="n">
        <f aca="false">IFERROR(INDEX(PalData,MATCH(H173,PalNames,0)+1,MATCH("Image",PalData_Header,0)),)</f>
        <v>0</v>
      </c>
      <c r="G173" s="35" t="n">
        <f aca="false">IFERROR(INDEX(PalData,MATCH(H173,PalNames,0)+1,MATCH("ZukanIndex",PalData_Header,0)),)</f>
        <v>0</v>
      </c>
      <c r="H173" s="35"/>
      <c r="I173" s="36" t="n">
        <f aca="false">IFERROR(INDEX(PalData,MATCH(K173,PalNames,0)+1,MATCH("Image",PalData_Header,0)),)</f>
        <v>0</v>
      </c>
      <c r="J173" s="35" t="n">
        <f aca="false">IFERROR(INDEX(PalData,MATCH(K173,PalNames,0)+1,MATCH("ZukanIndex",PalData_Header,0)),)</f>
        <v>0</v>
      </c>
      <c r="K173" s="37"/>
      <c r="M173" s="44" t="n">
        <f aca="false">IFERROR(INDEX(PalData,MATCH(O173,PalNames,0)+1,MATCH("Image",PalData_Header,0)),)</f>
        <v>0</v>
      </c>
      <c r="N173" s="45" t="n">
        <f aca="false">IFERROR(INDEX(PalData,MATCH(O173,PalNames,0)+1,MATCH("ZukanIndex",PalData_Header,0)),)</f>
        <v>0</v>
      </c>
      <c r="O173" s="46"/>
      <c r="Q173" s="3"/>
      <c r="R173" s="3"/>
      <c r="S173" s="3"/>
      <c r="T173" s="3"/>
      <c r="U173" s="3"/>
    </row>
    <row r="174" customFormat="false" ht="15.75" hidden="false" customHeight="false" outlineLevel="0" collapsed="false">
      <c r="F174" s="39" t="n">
        <f aca="false">IFERROR(INDEX(PalData,MATCH(H174,PalNames,0)+1,MATCH("Image",PalData_Header,0)),)</f>
        <v>0</v>
      </c>
      <c r="G174" s="40" t="n">
        <f aca="false">IFERROR(INDEX(PalData,MATCH(H174,PalNames,0)+1,MATCH("ZukanIndex",PalData_Header,0)),)</f>
        <v>0</v>
      </c>
      <c r="H174" s="40"/>
      <c r="I174" s="41" t="n">
        <f aca="false">IFERROR(INDEX(PalData,MATCH(K174,PalNames,0)+1,MATCH("Image",PalData_Header,0)),)</f>
        <v>0</v>
      </c>
      <c r="J174" s="40" t="n">
        <f aca="false">IFERROR(INDEX(PalData,MATCH(K174,PalNames,0)+1,MATCH("ZukanIndex",PalData_Header,0)),)</f>
        <v>0</v>
      </c>
      <c r="K174" s="42"/>
      <c r="M174" s="47" t="n">
        <f aca="false">IFERROR(INDEX(PalData,MATCH(O174,PalNames,0)+1,MATCH("Image",PalData_Header,0)),)</f>
        <v>0</v>
      </c>
      <c r="N174" s="48" t="n">
        <f aca="false">IFERROR(INDEX(PalData,MATCH(O174,PalNames,0)+1,MATCH("ZukanIndex",PalData_Header,0)),)</f>
        <v>0</v>
      </c>
      <c r="O174" s="49"/>
      <c r="Q174" s="3"/>
      <c r="R174" s="3"/>
      <c r="S174" s="3"/>
      <c r="T174" s="3"/>
      <c r="U174" s="3"/>
    </row>
    <row r="175" customFormat="false" ht="15.75" hidden="false" customHeight="false" outlineLevel="0" collapsed="false">
      <c r="F175" s="34" t="n">
        <f aca="false">IFERROR(INDEX(PalData,MATCH(H175,PalNames,0)+1,MATCH("Image",PalData_Header,0)),)</f>
        <v>0</v>
      </c>
      <c r="G175" s="35" t="n">
        <f aca="false">IFERROR(INDEX(PalData,MATCH(H175,PalNames,0)+1,MATCH("ZukanIndex",PalData_Header,0)),)</f>
        <v>0</v>
      </c>
      <c r="H175" s="35"/>
      <c r="I175" s="36" t="n">
        <f aca="false">IFERROR(INDEX(PalData,MATCH(K175,PalNames,0)+1,MATCH("Image",PalData_Header,0)),)</f>
        <v>0</v>
      </c>
      <c r="J175" s="35" t="n">
        <f aca="false">IFERROR(INDEX(PalData,MATCH(K175,PalNames,0)+1,MATCH("ZukanIndex",PalData_Header,0)),)</f>
        <v>0</v>
      </c>
      <c r="K175" s="37"/>
      <c r="M175" s="44" t="n">
        <f aca="false">IFERROR(INDEX(PalData,MATCH(O175,PalNames,0)+1,MATCH("Image",PalData_Header,0)),)</f>
        <v>0</v>
      </c>
      <c r="N175" s="45" t="n">
        <f aca="false">IFERROR(INDEX(PalData,MATCH(O175,PalNames,0)+1,MATCH("ZukanIndex",PalData_Header,0)),)</f>
        <v>0</v>
      </c>
      <c r="O175" s="46"/>
      <c r="Q175" s="3"/>
      <c r="R175" s="3"/>
      <c r="S175" s="3"/>
      <c r="T175" s="3"/>
      <c r="U175" s="3"/>
    </row>
    <row r="176" customFormat="false" ht="15.75" hidden="false" customHeight="false" outlineLevel="0" collapsed="false">
      <c r="F176" s="39" t="n">
        <f aca="false">IFERROR(INDEX(PalData,MATCH(H176,PalNames,0)+1,MATCH("Image",PalData_Header,0)),)</f>
        <v>0</v>
      </c>
      <c r="G176" s="40" t="n">
        <f aca="false">IFERROR(INDEX(PalData,MATCH(H176,PalNames,0)+1,MATCH("ZukanIndex",PalData_Header,0)),)</f>
        <v>0</v>
      </c>
      <c r="H176" s="40"/>
      <c r="I176" s="41" t="n">
        <f aca="false">IFERROR(INDEX(PalData,MATCH(K176,PalNames,0)+1,MATCH("Image",PalData_Header,0)),)</f>
        <v>0</v>
      </c>
      <c r="J176" s="40" t="n">
        <f aca="false">IFERROR(INDEX(PalData,MATCH(K176,PalNames,0)+1,MATCH("ZukanIndex",PalData_Header,0)),)</f>
        <v>0</v>
      </c>
      <c r="K176" s="42"/>
      <c r="M176" s="47" t="n">
        <f aca="false">IFERROR(INDEX(PalData,MATCH(O176,PalNames,0)+1,MATCH("Image",PalData_Header,0)),)</f>
        <v>0</v>
      </c>
      <c r="N176" s="48" t="n">
        <f aca="false">IFERROR(INDEX(PalData,MATCH(O176,PalNames,0)+1,MATCH("ZukanIndex",PalData_Header,0)),)</f>
        <v>0</v>
      </c>
      <c r="O176" s="49"/>
      <c r="Q176" s="3"/>
      <c r="R176" s="3"/>
      <c r="S176" s="3"/>
      <c r="T176" s="3"/>
      <c r="U176" s="3"/>
    </row>
    <row r="177" customFormat="false" ht="15.75" hidden="false" customHeight="false" outlineLevel="0" collapsed="false">
      <c r="F177" s="34" t="n">
        <f aca="false">IFERROR(INDEX(PalData,MATCH(H177,PalNames,0)+1,MATCH("Image",PalData_Header,0)),)</f>
        <v>0</v>
      </c>
      <c r="G177" s="35" t="n">
        <f aca="false">IFERROR(INDEX(PalData,MATCH(H177,PalNames,0)+1,MATCH("ZukanIndex",PalData_Header,0)),)</f>
        <v>0</v>
      </c>
      <c r="H177" s="35"/>
      <c r="I177" s="36" t="n">
        <f aca="false">IFERROR(INDEX(PalData,MATCH(K177,PalNames,0)+1,MATCH("Image",PalData_Header,0)),)</f>
        <v>0</v>
      </c>
      <c r="J177" s="35" t="n">
        <f aca="false">IFERROR(INDEX(PalData,MATCH(K177,PalNames,0)+1,MATCH("ZukanIndex",PalData_Header,0)),)</f>
        <v>0</v>
      </c>
      <c r="K177" s="37"/>
      <c r="M177" s="44" t="n">
        <f aca="false">IFERROR(INDEX(PalData,MATCH(O177,PalNames,0)+1,MATCH("Image",PalData_Header,0)),)</f>
        <v>0</v>
      </c>
      <c r="N177" s="45" t="n">
        <f aca="false">IFERROR(INDEX(PalData,MATCH(O177,PalNames,0)+1,MATCH("ZukanIndex",PalData_Header,0)),)</f>
        <v>0</v>
      </c>
      <c r="O177" s="46"/>
      <c r="Q177" s="3"/>
      <c r="R177" s="3"/>
      <c r="S177" s="3"/>
      <c r="T177" s="3"/>
      <c r="U177" s="3"/>
    </row>
    <row r="178" customFormat="false" ht="15.75" hidden="false" customHeight="false" outlineLevel="0" collapsed="false">
      <c r="F178" s="39" t="n">
        <f aca="false">IFERROR(INDEX(PalData,MATCH(H178,PalNames,0)+1,MATCH("Image",PalData_Header,0)),)</f>
        <v>0</v>
      </c>
      <c r="G178" s="40" t="n">
        <f aca="false">IFERROR(INDEX(PalData,MATCH(H178,PalNames,0)+1,MATCH("ZukanIndex",PalData_Header,0)),)</f>
        <v>0</v>
      </c>
      <c r="H178" s="40"/>
      <c r="I178" s="41" t="n">
        <f aca="false">IFERROR(INDEX(PalData,MATCH(K178,PalNames,0)+1,MATCH("Image",PalData_Header,0)),)</f>
        <v>0</v>
      </c>
      <c r="J178" s="40" t="n">
        <f aca="false">IFERROR(INDEX(PalData,MATCH(K178,PalNames,0)+1,MATCH("ZukanIndex",PalData_Header,0)),)</f>
        <v>0</v>
      </c>
      <c r="K178" s="42"/>
      <c r="M178" s="47" t="n">
        <f aca="false">IFERROR(INDEX(PalData,MATCH(O178,PalNames,0)+1,MATCH("Image",PalData_Header,0)),)</f>
        <v>0</v>
      </c>
      <c r="N178" s="48" t="n">
        <f aca="false">IFERROR(INDEX(PalData,MATCH(O178,PalNames,0)+1,MATCH("ZukanIndex",PalData_Header,0)),)</f>
        <v>0</v>
      </c>
      <c r="O178" s="49"/>
      <c r="Q178" s="3"/>
      <c r="R178" s="3"/>
      <c r="S178" s="3"/>
      <c r="T178" s="3"/>
      <c r="U178" s="3"/>
    </row>
    <row r="179" customFormat="false" ht="15.75" hidden="false" customHeight="false" outlineLevel="0" collapsed="false">
      <c r="F179" s="34" t="n">
        <f aca="false">IFERROR(INDEX(PalData,MATCH(H179,PalNames,0)+1,MATCH("Image",PalData_Header,0)),)</f>
        <v>0</v>
      </c>
      <c r="G179" s="35" t="n">
        <f aca="false">IFERROR(INDEX(PalData,MATCH(H179,PalNames,0)+1,MATCH("ZukanIndex",PalData_Header,0)),)</f>
        <v>0</v>
      </c>
      <c r="H179" s="35"/>
      <c r="I179" s="36" t="n">
        <f aca="false">IFERROR(INDEX(PalData,MATCH(K179,PalNames,0)+1,MATCH("Image",PalData_Header,0)),)</f>
        <v>0</v>
      </c>
      <c r="J179" s="35" t="n">
        <f aca="false">IFERROR(INDEX(PalData,MATCH(K179,PalNames,0)+1,MATCH("ZukanIndex",PalData_Header,0)),)</f>
        <v>0</v>
      </c>
      <c r="K179" s="37"/>
      <c r="M179" s="44" t="n">
        <f aca="false">IFERROR(INDEX(PalData,MATCH(O179,PalNames,0)+1,MATCH("Image",PalData_Header,0)),)</f>
        <v>0</v>
      </c>
      <c r="N179" s="45" t="n">
        <f aca="false">IFERROR(INDEX(PalData,MATCH(O179,PalNames,0)+1,MATCH("ZukanIndex",PalData_Header,0)),)</f>
        <v>0</v>
      </c>
      <c r="O179" s="46"/>
      <c r="Q179" s="3"/>
      <c r="R179" s="3"/>
      <c r="S179" s="3"/>
      <c r="T179" s="3"/>
      <c r="U179" s="3"/>
    </row>
    <row r="180" customFormat="false" ht="15.75" hidden="false" customHeight="false" outlineLevel="0" collapsed="false">
      <c r="F180" s="39" t="n">
        <f aca="false">IFERROR(INDEX(PalData,MATCH(H180,PalNames,0)+1,MATCH("Image",PalData_Header,0)),)</f>
        <v>0</v>
      </c>
      <c r="G180" s="40" t="n">
        <f aca="false">IFERROR(INDEX(PalData,MATCH(H180,PalNames,0)+1,MATCH("ZukanIndex",PalData_Header,0)),)</f>
        <v>0</v>
      </c>
      <c r="H180" s="40"/>
      <c r="I180" s="41" t="n">
        <f aca="false">IFERROR(INDEX(PalData,MATCH(K180,PalNames,0)+1,MATCH("Image",PalData_Header,0)),)</f>
        <v>0</v>
      </c>
      <c r="J180" s="61" t="n">
        <f aca="false">IFERROR(INDEX(PalData,MATCH(K180,PalNames,0)+1,MATCH("ZukanIndex",PalData_Header,0)),)</f>
        <v>0</v>
      </c>
      <c r="K180" s="42"/>
      <c r="M180" s="47" t="n">
        <f aca="false">IFERROR(INDEX(PalData,MATCH(O180,PalNames,0)+1,MATCH("Image",PalData_Header,0)),)</f>
        <v>0</v>
      </c>
      <c r="N180" s="48" t="n">
        <f aca="false">IFERROR(INDEX(PalData,MATCH(O180,PalNames,0)+1,MATCH("ZukanIndex",PalData_Header,0)),)</f>
        <v>0</v>
      </c>
      <c r="O180" s="49"/>
      <c r="Q180" s="3"/>
      <c r="R180" s="3"/>
      <c r="S180" s="3"/>
      <c r="T180" s="3"/>
      <c r="U180" s="3"/>
    </row>
    <row r="181" customFormat="false" ht="15.75" hidden="false" customHeight="false" outlineLevel="0" collapsed="false">
      <c r="F181" s="34" t="n">
        <f aca="false">IFERROR(INDEX(PalData,MATCH(H181,PalNames,0)+1,MATCH("Image",PalData_Header,0)),)</f>
        <v>0</v>
      </c>
      <c r="G181" s="35" t="n">
        <f aca="false">IFERROR(INDEX(PalData,MATCH(H181,PalNames,0)+1,MATCH("ZukanIndex",PalData_Header,0)),)</f>
        <v>0</v>
      </c>
      <c r="H181" s="35"/>
      <c r="I181" s="36" t="n">
        <f aca="false">IFERROR(INDEX(PalData,MATCH(K181,PalNames,0)+1,MATCH("Image",PalData_Header,0)),)</f>
        <v>0</v>
      </c>
      <c r="J181" s="62" t="n">
        <f aca="false">IFERROR(INDEX(PalData,MATCH(K181,PalNames,0)+1,MATCH("ZukanIndex",PalData_Header,0)),)</f>
        <v>0</v>
      </c>
      <c r="K181" s="37"/>
      <c r="M181" s="44" t="n">
        <f aca="false">IFERROR(INDEX(PalData,MATCH(O181,PalNames,0)+1,MATCH("Image",PalData_Header,0)),)</f>
        <v>0</v>
      </c>
      <c r="N181" s="45" t="n">
        <f aca="false">IFERROR(INDEX(PalData,MATCH(O181,PalNames,0)+1,MATCH("ZukanIndex",PalData_Header,0)),)</f>
        <v>0</v>
      </c>
      <c r="O181" s="46"/>
      <c r="Q181" s="3"/>
      <c r="R181" s="3"/>
      <c r="S181" s="3"/>
      <c r="T181" s="3"/>
      <c r="U181" s="3"/>
    </row>
    <row r="182" customFormat="false" ht="15.75" hidden="false" customHeight="false" outlineLevel="0" collapsed="false">
      <c r="F182" s="39" t="n">
        <f aca="false">IFERROR(INDEX(PalData,MATCH(H182,PalNames,0)+1,MATCH("Image",PalData_Header,0)),)</f>
        <v>0</v>
      </c>
      <c r="G182" s="40" t="n">
        <f aca="false">IFERROR(INDEX(PalData,MATCH(H182,PalNames,0)+1,MATCH("ZukanIndex",PalData_Header,0)),)</f>
        <v>0</v>
      </c>
      <c r="H182" s="40"/>
      <c r="I182" s="41" t="n">
        <f aca="false">IFERROR(INDEX(PalData,MATCH(K182,PalNames,0)+1,MATCH("Image",PalData_Header,0)),)</f>
        <v>0</v>
      </c>
      <c r="J182" s="40" t="n">
        <f aca="false">IFERROR(INDEX(PalData,MATCH(K182,PalNames,0)+1,MATCH("ZukanIndex",PalData_Header,0)),)</f>
        <v>0</v>
      </c>
      <c r="K182" s="42"/>
      <c r="M182" s="47" t="n">
        <f aca="false">IFERROR(INDEX(PalData,MATCH(O182,PalNames,0)+1,MATCH("Image",PalData_Header,0)),)</f>
        <v>0</v>
      </c>
      <c r="N182" s="48" t="n">
        <f aca="false">IFERROR(INDEX(PalData,MATCH(O182,PalNames,0)+1,MATCH("ZukanIndex",PalData_Header,0)),)</f>
        <v>0</v>
      </c>
      <c r="O182" s="49"/>
      <c r="Q182" s="3"/>
      <c r="R182" s="3"/>
      <c r="S182" s="3"/>
      <c r="T182" s="3"/>
      <c r="U182" s="3"/>
    </row>
    <row r="183" customFormat="false" ht="15.75" hidden="false" customHeight="false" outlineLevel="0" collapsed="false">
      <c r="F183" s="34" t="n">
        <f aca="false">IFERROR(INDEX(PalData,MATCH(H183,PalNames,0)+1,MATCH("Image",PalData_Header,0)),)</f>
        <v>0</v>
      </c>
      <c r="G183" s="35" t="n">
        <f aca="false">IFERROR(INDEX(PalData,MATCH(H183,PalNames,0)+1,MATCH("ZukanIndex",PalData_Header,0)),)</f>
        <v>0</v>
      </c>
      <c r="H183" s="35"/>
      <c r="I183" s="36" t="n">
        <f aca="false">IFERROR(INDEX(PalData,MATCH(K183,PalNames,0)+1,MATCH("Image",PalData_Header,0)),)</f>
        <v>0</v>
      </c>
      <c r="J183" s="35" t="n">
        <f aca="false">IFERROR(INDEX(PalData,MATCH(K183,PalNames,0)+1,MATCH("ZukanIndex",PalData_Header,0)),)</f>
        <v>0</v>
      </c>
      <c r="K183" s="37"/>
      <c r="M183" s="44" t="n">
        <f aca="false">IFERROR(INDEX(PalData,MATCH(O183,PalNames,0)+1,MATCH("Image",PalData_Header,0)),)</f>
        <v>0</v>
      </c>
      <c r="N183" s="45" t="n">
        <f aca="false">IFERROR(INDEX(PalData,MATCH(O183,PalNames,0)+1,MATCH("ZukanIndex",PalData_Header,0)),)</f>
        <v>0</v>
      </c>
      <c r="O183" s="46"/>
      <c r="Q183" s="3"/>
      <c r="R183" s="3"/>
      <c r="S183" s="3"/>
      <c r="T183" s="3"/>
      <c r="U183" s="3"/>
    </row>
    <row r="184" customFormat="false" ht="15.75" hidden="false" customHeight="false" outlineLevel="0" collapsed="false">
      <c r="F184" s="39" t="n">
        <f aca="false">IFERROR(INDEX(PalData,MATCH(H184,PalNames,0)+1,MATCH("Image",PalData_Header,0)),)</f>
        <v>0</v>
      </c>
      <c r="G184" s="40" t="n">
        <f aca="false">IFERROR(INDEX(PalData,MATCH(H184,PalNames,0)+1,MATCH("ZukanIndex",PalData_Header,0)),)</f>
        <v>0</v>
      </c>
      <c r="H184" s="40"/>
      <c r="I184" s="41" t="n">
        <f aca="false">IFERROR(INDEX(PalData,MATCH(K184,PalNames,0)+1,MATCH("Image",PalData_Header,0)),)</f>
        <v>0</v>
      </c>
      <c r="J184" s="40" t="n">
        <f aca="false">IFERROR(INDEX(PalData,MATCH(K184,PalNames,0)+1,MATCH("ZukanIndex",PalData_Header,0)),)</f>
        <v>0</v>
      </c>
      <c r="K184" s="42"/>
      <c r="M184" s="47" t="n">
        <f aca="false">IFERROR(INDEX(PalData,MATCH(O184,PalNames,0)+1,MATCH("Image",PalData_Header,0)),)</f>
        <v>0</v>
      </c>
      <c r="N184" s="48" t="n">
        <f aca="false">IFERROR(INDEX(PalData,MATCH(O184,PalNames,0)+1,MATCH("ZukanIndex",PalData_Header,0)),)</f>
        <v>0</v>
      </c>
      <c r="O184" s="49"/>
      <c r="Q184" s="3"/>
      <c r="R184" s="3"/>
      <c r="S184" s="3"/>
      <c r="T184" s="3"/>
      <c r="U184" s="3"/>
    </row>
    <row r="185" customFormat="false" ht="15.75" hidden="false" customHeight="false" outlineLevel="0" collapsed="false">
      <c r="F185" s="34" t="n">
        <f aca="false">IFERROR(INDEX(PalData,MATCH(H185,PalNames,0)+1,MATCH("Image",PalData_Header,0)),)</f>
        <v>0</v>
      </c>
      <c r="G185" s="35" t="n">
        <f aca="false">IFERROR(INDEX(PalData,MATCH(H185,PalNames,0)+1,MATCH("ZukanIndex",PalData_Header,0)),)</f>
        <v>0</v>
      </c>
      <c r="H185" s="35"/>
      <c r="I185" s="36" t="n">
        <f aca="false">IFERROR(INDEX(PalData,MATCH(K185,PalNames,0)+1,MATCH("Image",PalData_Header,0)),)</f>
        <v>0</v>
      </c>
      <c r="J185" s="35" t="n">
        <f aca="false">IFERROR(INDEX(PalData,MATCH(K185,PalNames,0)+1,MATCH("ZukanIndex",PalData_Header,0)),)</f>
        <v>0</v>
      </c>
      <c r="K185" s="37"/>
      <c r="M185" s="44" t="n">
        <f aca="false">IFERROR(INDEX(PalData,MATCH(O185,PalNames,0)+1,MATCH("Image",PalData_Header,0)),)</f>
        <v>0</v>
      </c>
      <c r="N185" s="45" t="n">
        <f aca="false">IFERROR(INDEX(PalData,MATCH(O185,PalNames,0)+1,MATCH("ZukanIndex",PalData_Header,0)),)</f>
        <v>0</v>
      </c>
      <c r="O185" s="46"/>
      <c r="Q185" s="3"/>
      <c r="R185" s="3"/>
      <c r="S185" s="3"/>
      <c r="T185" s="3"/>
      <c r="U185" s="3"/>
    </row>
    <row r="186" customFormat="false" ht="15.75" hidden="false" customHeight="false" outlineLevel="0" collapsed="false">
      <c r="F186" s="39" t="n">
        <f aca="false">IFERROR(INDEX(PalData,MATCH(H186,PalNames,0)+1,MATCH("Image",PalData_Header,0)),)</f>
        <v>0</v>
      </c>
      <c r="G186" s="40" t="n">
        <f aca="false">IFERROR(INDEX(PalData,MATCH(H186,PalNames,0)+1,MATCH("ZukanIndex",PalData_Header,0)),)</f>
        <v>0</v>
      </c>
      <c r="H186" s="40"/>
      <c r="I186" s="41" t="n">
        <f aca="false">IFERROR(INDEX(PalData,MATCH(K186,PalNames,0)+1,MATCH("Image",PalData_Header,0)),)</f>
        <v>0</v>
      </c>
      <c r="J186" s="40" t="n">
        <f aca="false">IFERROR(INDEX(PalData,MATCH(K186,PalNames,0)+1,MATCH("ZukanIndex",PalData_Header,0)),)</f>
        <v>0</v>
      </c>
      <c r="K186" s="42"/>
      <c r="M186" s="47" t="n">
        <f aca="false">IFERROR(INDEX(PalData,MATCH(O186,PalNames,0)+1,MATCH("Image",PalData_Header,0)),)</f>
        <v>0</v>
      </c>
      <c r="N186" s="48" t="n">
        <f aca="false">IFERROR(INDEX(PalData,MATCH(O186,PalNames,0)+1,MATCH("ZukanIndex",PalData_Header,0)),)</f>
        <v>0</v>
      </c>
      <c r="O186" s="49"/>
      <c r="Q186" s="3"/>
      <c r="R186" s="3"/>
      <c r="S186" s="3"/>
      <c r="T186" s="3"/>
      <c r="U186" s="3"/>
    </row>
    <row r="187" customFormat="false" ht="15.75" hidden="false" customHeight="false" outlineLevel="0" collapsed="false">
      <c r="F187" s="34" t="n">
        <f aca="false">IFERROR(INDEX(PalData,MATCH(H187,PalNames,0)+1,MATCH("Image",PalData_Header,0)),)</f>
        <v>0</v>
      </c>
      <c r="G187" s="35" t="n">
        <f aca="false">IFERROR(INDEX(PalData,MATCH(H187,PalNames,0)+1,MATCH("ZukanIndex",PalData_Header,0)),)</f>
        <v>0</v>
      </c>
      <c r="H187" s="35"/>
      <c r="I187" s="36" t="n">
        <f aca="false">IFERROR(INDEX(PalData,MATCH(K187,PalNames,0)+1,MATCH("Image",PalData_Header,0)),)</f>
        <v>0</v>
      </c>
      <c r="J187" s="35" t="n">
        <f aca="false">IFERROR(INDEX(PalData,MATCH(K187,PalNames,0)+1,MATCH("ZukanIndex",PalData_Header,0)),)</f>
        <v>0</v>
      </c>
      <c r="K187" s="37"/>
      <c r="M187" s="44" t="n">
        <f aca="false">IFERROR(INDEX(PalData,MATCH(O187,PalNames,0)+1,MATCH("Image",PalData_Header,0)),)</f>
        <v>0</v>
      </c>
      <c r="N187" s="45" t="n">
        <f aca="false">IFERROR(INDEX(PalData,MATCH(O187,PalNames,0)+1,MATCH("ZukanIndex",PalData_Header,0)),)</f>
        <v>0</v>
      </c>
      <c r="O187" s="46"/>
      <c r="Q187" s="3"/>
      <c r="R187" s="3"/>
      <c r="S187" s="3"/>
      <c r="T187" s="3"/>
      <c r="U187" s="3"/>
    </row>
    <row r="188" customFormat="false" ht="15.75" hidden="false" customHeight="false" outlineLevel="0" collapsed="false">
      <c r="F188" s="39" t="n">
        <f aca="false">IFERROR(INDEX(PalData,MATCH(H188,PalNames,0)+1,MATCH("Image",PalData_Header,0)),)</f>
        <v>0</v>
      </c>
      <c r="G188" s="40" t="n">
        <f aca="false">IFERROR(INDEX(PalData,MATCH(H188,PalNames,0)+1,MATCH("ZukanIndex",PalData_Header,0)),)</f>
        <v>0</v>
      </c>
      <c r="H188" s="40"/>
      <c r="I188" s="41" t="n">
        <f aca="false">IFERROR(INDEX(PalData,MATCH(K188,PalNames,0)+1,MATCH("Image",PalData_Header,0)),)</f>
        <v>0</v>
      </c>
      <c r="J188" s="40" t="n">
        <f aca="false">IFERROR(INDEX(PalData,MATCH(K188,PalNames,0)+1,MATCH("ZukanIndex",PalData_Header,0)),)</f>
        <v>0</v>
      </c>
      <c r="K188" s="42"/>
      <c r="M188" s="47" t="n">
        <f aca="false">IFERROR(INDEX(PalData,MATCH(O188,PalNames,0)+1,MATCH("Image",PalData_Header,0)),)</f>
        <v>0</v>
      </c>
      <c r="N188" s="48" t="n">
        <f aca="false">IFERROR(INDEX(PalData,MATCH(O188,PalNames,0)+1,MATCH("ZukanIndex",PalData_Header,0)),)</f>
        <v>0</v>
      </c>
      <c r="O188" s="49"/>
      <c r="Q188" s="3"/>
      <c r="R188" s="3"/>
      <c r="S188" s="3"/>
      <c r="T188" s="3"/>
      <c r="U188" s="3"/>
    </row>
    <row r="189" customFormat="false" ht="15.75" hidden="false" customHeight="false" outlineLevel="0" collapsed="false">
      <c r="F189" s="34" t="n">
        <f aca="false">IFERROR(INDEX(PalData,MATCH(H189,PalNames,0)+1,MATCH("Image",PalData_Header,0)),)</f>
        <v>0</v>
      </c>
      <c r="G189" s="35" t="n">
        <f aca="false">IFERROR(INDEX(PalData,MATCH(H189,PalNames,0)+1,MATCH("ZukanIndex",PalData_Header,0)),)</f>
        <v>0</v>
      </c>
      <c r="H189" s="35"/>
      <c r="I189" s="36" t="n">
        <f aca="false">IFERROR(INDEX(PalData,MATCH(K189,PalNames,0)+1,MATCH("Image",PalData_Header,0)),)</f>
        <v>0</v>
      </c>
      <c r="J189" s="35" t="n">
        <f aca="false">IFERROR(INDEX(PalData,MATCH(K189,PalNames,0)+1,MATCH("ZukanIndex",PalData_Header,0)),)</f>
        <v>0</v>
      </c>
      <c r="K189" s="37"/>
      <c r="M189" s="44" t="n">
        <f aca="false">IFERROR(INDEX(PalData,MATCH(O189,PalNames,0)+1,MATCH("Image",PalData_Header,0)),)</f>
        <v>0</v>
      </c>
      <c r="N189" s="45" t="n">
        <f aca="false">IFERROR(INDEX(PalData,MATCH(O189,PalNames,0)+1,MATCH("ZukanIndex",PalData_Header,0)),)</f>
        <v>0</v>
      </c>
      <c r="O189" s="46"/>
      <c r="Q189" s="3"/>
      <c r="R189" s="3"/>
      <c r="S189" s="3"/>
      <c r="T189" s="3"/>
      <c r="U189" s="3"/>
    </row>
    <row r="190" customFormat="false" ht="15.75" hidden="false" customHeight="false" outlineLevel="0" collapsed="false">
      <c r="F190" s="39" t="n">
        <f aca="false">IFERROR(INDEX(PalData,MATCH(H190,PalNames,0)+1,MATCH("Image",PalData_Header,0)),)</f>
        <v>0</v>
      </c>
      <c r="G190" s="40" t="n">
        <f aca="false">IFERROR(INDEX(PalData,MATCH(H190,PalNames,0)+1,MATCH("ZukanIndex",PalData_Header,0)),)</f>
        <v>0</v>
      </c>
      <c r="H190" s="40"/>
      <c r="I190" s="41" t="n">
        <f aca="false">IFERROR(INDEX(PalData,MATCH(K190,PalNames,0)+1,MATCH("Image",PalData_Header,0)),)</f>
        <v>0</v>
      </c>
      <c r="J190" s="40" t="n">
        <f aca="false">IFERROR(INDEX(PalData,MATCH(K190,PalNames,0)+1,MATCH("ZukanIndex",PalData_Header,0)),)</f>
        <v>0</v>
      </c>
      <c r="K190" s="42"/>
      <c r="M190" s="47" t="n">
        <f aca="false">IFERROR(INDEX(PalData,MATCH(O190,PalNames,0)+1,MATCH("Image",PalData_Header,0)),)</f>
        <v>0</v>
      </c>
      <c r="N190" s="48" t="n">
        <f aca="false">IFERROR(INDEX(PalData,MATCH(O190,PalNames,0)+1,MATCH("ZukanIndex",PalData_Header,0)),)</f>
        <v>0</v>
      </c>
      <c r="O190" s="49"/>
      <c r="Q190" s="3"/>
      <c r="R190" s="3"/>
      <c r="S190" s="3"/>
      <c r="T190" s="3"/>
      <c r="U190" s="3"/>
    </row>
    <row r="191" customFormat="false" ht="15.75" hidden="false" customHeight="false" outlineLevel="0" collapsed="false">
      <c r="F191" s="34" t="n">
        <f aca="false">IFERROR(INDEX(PalData,MATCH(H191,PalNames,0)+1,MATCH("Image",PalData_Header,0)),)</f>
        <v>0</v>
      </c>
      <c r="G191" s="35" t="n">
        <f aca="false">IFERROR(INDEX(PalData,MATCH(H191,PalNames,0)+1,MATCH("ZukanIndex",PalData_Header,0)),)</f>
        <v>0</v>
      </c>
      <c r="H191" s="35"/>
      <c r="I191" s="36" t="n">
        <f aca="false">IFERROR(INDEX(PalData,MATCH(K191,PalNames,0)+1,MATCH("Image",PalData_Header,0)),)</f>
        <v>0</v>
      </c>
      <c r="J191" s="35" t="n">
        <f aca="false">IFERROR(INDEX(PalData,MATCH(K191,PalNames,0)+1,MATCH("ZukanIndex",PalData_Header,0)),)</f>
        <v>0</v>
      </c>
      <c r="K191" s="37"/>
      <c r="M191" s="44" t="n">
        <f aca="false">IFERROR(INDEX(PalData,MATCH(O191,PalNames,0)+1,MATCH("Image",PalData_Header,0)),)</f>
        <v>0</v>
      </c>
      <c r="N191" s="45" t="n">
        <f aca="false">IFERROR(INDEX(PalData,MATCH(O191,PalNames,0)+1,MATCH("ZukanIndex",PalData_Header,0)),)</f>
        <v>0</v>
      </c>
      <c r="O191" s="46"/>
      <c r="Q191" s="3"/>
      <c r="R191" s="3"/>
      <c r="S191" s="3"/>
      <c r="T191" s="3"/>
      <c r="U191" s="3"/>
    </row>
    <row r="192" customFormat="false" ht="15.75" hidden="false" customHeight="false" outlineLevel="0" collapsed="false">
      <c r="F192" s="39" t="n">
        <f aca="false">IFERROR(INDEX(PalData,MATCH(H192,PalNames,0)+1,MATCH("Image",PalData_Header,0)),)</f>
        <v>0</v>
      </c>
      <c r="G192" s="40" t="n">
        <f aca="false">IFERROR(INDEX(PalData,MATCH(H192,PalNames,0)+1,MATCH("ZukanIndex",PalData_Header,0)),)</f>
        <v>0</v>
      </c>
      <c r="H192" s="40"/>
      <c r="I192" s="41" t="n">
        <f aca="false">IFERROR(INDEX(PalData,MATCH(K192,PalNames,0)+1,MATCH("Image",PalData_Header,0)),)</f>
        <v>0</v>
      </c>
      <c r="J192" s="40" t="n">
        <f aca="false">IFERROR(INDEX(PalData,MATCH(K192,PalNames,0)+1,MATCH("ZukanIndex",PalData_Header,0)),)</f>
        <v>0</v>
      </c>
      <c r="K192" s="42"/>
      <c r="M192" s="47" t="n">
        <f aca="false">IFERROR(INDEX(PalData,MATCH(O192,PalNames,0)+1,MATCH("Image",PalData_Header,0)),)</f>
        <v>0</v>
      </c>
      <c r="N192" s="48" t="n">
        <f aca="false">IFERROR(INDEX(PalData,MATCH(O192,PalNames,0)+1,MATCH("ZukanIndex",PalData_Header,0)),)</f>
        <v>0</v>
      </c>
      <c r="O192" s="49"/>
      <c r="Q192" s="3"/>
      <c r="R192" s="3"/>
      <c r="S192" s="3"/>
      <c r="T192" s="3"/>
      <c r="U192" s="3"/>
    </row>
    <row r="193" customFormat="false" ht="15.75" hidden="false" customHeight="false" outlineLevel="0" collapsed="false">
      <c r="F193" s="34" t="n">
        <f aca="false">IFERROR(INDEX(PalData,MATCH(H193,PalNames,0)+1,MATCH("Image",PalData_Header,0)),)</f>
        <v>0</v>
      </c>
      <c r="G193" s="35" t="n">
        <f aca="false">IFERROR(INDEX(PalData,MATCH(H193,PalNames,0)+1,MATCH("ZukanIndex",PalData_Header,0)),)</f>
        <v>0</v>
      </c>
      <c r="H193" s="35"/>
      <c r="I193" s="36" t="n">
        <f aca="false">IFERROR(INDEX(PalData,MATCH(K193,PalNames,0)+1,MATCH("Image",PalData_Header,0)),)</f>
        <v>0</v>
      </c>
      <c r="J193" s="35" t="n">
        <f aca="false">IFERROR(INDEX(PalData,MATCH(K193,PalNames,0)+1,MATCH("ZukanIndex",PalData_Header,0)),)</f>
        <v>0</v>
      </c>
      <c r="K193" s="37"/>
      <c r="M193" s="44" t="n">
        <f aca="false">IFERROR(INDEX(PalData,MATCH(O193,PalNames,0)+1,MATCH("Image",PalData_Header,0)),)</f>
        <v>0</v>
      </c>
      <c r="N193" s="45" t="n">
        <f aca="false">IFERROR(INDEX(PalData,MATCH(O193,PalNames,0)+1,MATCH("ZukanIndex",PalData_Header,0)),)</f>
        <v>0</v>
      </c>
      <c r="O193" s="46"/>
      <c r="Q193" s="3"/>
      <c r="R193" s="3"/>
      <c r="S193" s="3"/>
      <c r="T193" s="3"/>
      <c r="U193" s="3"/>
    </row>
    <row r="194" customFormat="false" ht="15.75" hidden="false" customHeight="false" outlineLevel="0" collapsed="false">
      <c r="F194" s="39" t="n">
        <f aca="false">IFERROR(INDEX(PalData,MATCH(H194,PalNames,0)+1,MATCH("Image",PalData_Header,0)),)</f>
        <v>0</v>
      </c>
      <c r="G194" s="40" t="n">
        <f aca="false">IFERROR(INDEX(PalData,MATCH(H194,PalNames,0)+1,MATCH("ZukanIndex",PalData_Header,0)),)</f>
        <v>0</v>
      </c>
      <c r="H194" s="40"/>
      <c r="I194" s="41" t="n">
        <f aca="false">IFERROR(INDEX(PalData,MATCH(K194,PalNames,0)+1,MATCH("Image",PalData_Header,0)),)</f>
        <v>0</v>
      </c>
      <c r="J194" s="40" t="n">
        <f aca="false">IFERROR(INDEX(PalData,MATCH(K194,PalNames,0)+1,MATCH("ZukanIndex",PalData_Header,0)),)</f>
        <v>0</v>
      </c>
      <c r="K194" s="42"/>
      <c r="M194" s="47" t="n">
        <f aca="false">IFERROR(INDEX(PalData,MATCH(O194,PalNames,0)+1,MATCH("Image",PalData_Header,0)),)</f>
        <v>0</v>
      </c>
      <c r="N194" s="48" t="n">
        <f aca="false">IFERROR(INDEX(PalData,MATCH(O194,PalNames,0)+1,MATCH("ZukanIndex",PalData_Header,0)),)</f>
        <v>0</v>
      </c>
      <c r="O194" s="49"/>
      <c r="Q194" s="3"/>
      <c r="R194" s="3"/>
      <c r="S194" s="3"/>
      <c r="T194" s="3"/>
      <c r="U194" s="3"/>
    </row>
    <row r="195" customFormat="false" ht="15.75" hidden="false" customHeight="false" outlineLevel="0" collapsed="false">
      <c r="F195" s="34" t="n">
        <f aca="false">IFERROR(INDEX(PalData,MATCH(H195,PalNames,0)+1,MATCH("Image",PalData_Header,0)),)</f>
        <v>0</v>
      </c>
      <c r="G195" s="35" t="n">
        <f aca="false">IFERROR(INDEX(PalData,MATCH(H195,PalNames,0)+1,MATCH("ZukanIndex",PalData_Header,0)),)</f>
        <v>0</v>
      </c>
      <c r="H195" s="35"/>
      <c r="I195" s="36" t="n">
        <f aca="false">IFERROR(INDEX(PalData,MATCH(K195,PalNames,0)+1,MATCH("Image",PalData_Header,0)),)</f>
        <v>0</v>
      </c>
      <c r="J195" s="35" t="n">
        <f aca="false">IFERROR(INDEX(PalData,MATCH(K195,PalNames,0)+1,MATCH("ZukanIndex",PalData_Header,0)),)</f>
        <v>0</v>
      </c>
      <c r="K195" s="37"/>
      <c r="M195" s="44" t="n">
        <f aca="false">IFERROR(INDEX(PalData,MATCH(O195,PalNames,0)+1,MATCH("Image",PalData_Header,0)),)</f>
        <v>0</v>
      </c>
      <c r="N195" s="45" t="n">
        <f aca="false">IFERROR(INDEX(PalData,MATCH(O195,PalNames,0)+1,MATCH("ZukanIndex",PalData_Header,0)),)</f>
        <v>0</v>
      </c>
      <c r="O195" s="46"/>
      <c r="Q195" s="3"/>
      <c r="R195" s="3"/>
      <c r="S195" s="3"/>
      <c r="T195" s="3"/>
      <c r="U195" s="3"/>
    </row>
    <row r="196" customFormat="false" ht="15.75" hidden="false" customHeight="false" outlineLevel="0" collapsed="false">
      <c r="F196" s="39" t="n">
        <f aca="false">IFERROR(INDEX(PalData,MATCH(H196,PalNames,0)+1,MATCH("Image",PalData_Header,0)),)</f>
        <v>0</v>
      </c>
      <c r="G196" s="40" t="n">
        <f aca="false">IFERROR(INDEX(PalData,MATCH(H196,PalNames,0)+1,MATCH("ZukanIndex",PalData_Header,0)),)</f>
        <v>0</v>
      </c>
      <c r="H196" s="40"/>
      <c r="I196" s="41" t="n">
        <f aca="false">IFERROR(INDEX(PalData,MATCH(K196,PalNames,0)+1,MATCH("Image",PalData_Header,0)),)</f>
        <v>0</v>
      </c>
      <c r="J196" s="40" t="n">
        <f aca="false">IFERROR(INDEX(PalData,MATCH(K196,PalNames,0)+1,MATCH("ZukanIndex",PalData_Header,0)),)</f>
        <v>0</v>
      </c>
      <c r="K196" s="42"/>
      <c r="M196" s="47" t="n">
        <f aca="false">IFERROR(INDEX(PalData,MATCH(O196,PalNames,0)+1,MATCH("Image",PalData_Header,0)),)</f>
        <v>0</v>
      </c>
      <c r="N196" s="48" t="n">
        <f aca="false">IFERROR(INDEX(PalData,MATCH(O196,PalNames,0)+1,MATCH("ZukanIndex",PalData_Header,0)),)</f>
        <v>0</v>
      </c>
      <c r="O196" s="49"/>
      <c r="Q196" s="3"/>
      <c r="R196" s="3"/>
      <c r="S196" s="3"/>
      <c r="T196" s="3"/>
      <c r="U196" s="3"/>
    </row>
    <row r="197" customFormat="false" ht="15.75" hidden="false" customHeight="false" outlineLevel="0" collapsed="false">
      <c r="F197" s="34" t="n">
        <f aca="false">IFERROR(INDEX(PalData,MATCH(H197,PalNames,0)+1,MATCH("Image",PalData_Header,0)),)</f>
        <v>0</v>
      </c>
      <c r="G197" s="35" t="n">
        <f aca="false">IFERROR(INDEX(PalData,MATCH(H197,PalNames,0)+1,MATCH("ZukanIndex",PalData_Header,0)),)</f>
        <v>0</v>
      </c>
      <c r="H197" s="35"/>
      <c r="I197" s="36" t="n">
        <f aca="false">IFERROR(INDEX(PalData,MATCH(K197,PalNames,0)+1,MATCH("Image",PalData_Header,0)),)</f>
        <v>0</v>
      </c>
      <c r="J197" s="35" t="n">
        <f aca="false">IFERROR(INDEX(PalData,MATCH(K197,PalNames,0)+1,MATCH("ZukanIndex",PalData_Header,0)),)</f>
        <v>0</v>
      </c>
      <c r="K197" s="37"/>
      <c r="M197" s="44" t="n">
        <f aca="false">IFERROR(INDEX(PalData,MATCH(O197,PalNames,0)+1,MATCH("Image",PalData_Header,0)),)</f>
        <v>0</v>
      </c>
      <c r="N197" s="45" t="n">
        <f aca="false">IFERROR(INDEX(PalData,MATCH(O197,PalNames,0)+1,MATCH("ZukanIndex",PalData_Header,0)),)</f>
        <v>0</v>
      </c>
      <c r="O197" s="46"/>
      <c r="Q197" s="3"/>
      <c r="R197" s="3"/>
      <c r="S197" s="3"/>
      <c r="T197" s="3"/>
      <c r="U197" s="3"/>
    </row>
    <row r="198" customFormat="false" ht="15.75" hidden="false" customHeight="false" outlineLevel="0" collapsed="false">
      <c r="F198" s="39" t="n">
        <f aca="false">IFERROR(INDEX(PalData,MATCH(H198,PalNames,0)+1,MATCH("Image",PalData_Header,0)),)</f>
        <v>0</v>
      </c>
      <c r="G198" s="40" t="n">
        <f aca="false">IFERROR(INDEX(PalData,MATCH(H198,PalNames,0)+1,MATCH("ZukanIndex",PalData_Header,0)),)</f>
        <v>0</v>
      </c>
      <c r="H198" s="40"/>
      <c r="I198" s="41" t="n">
        <f aca="false">IFERROR(INDEX(PalData,MATCH(K198,PalNames,0)+1,MATCH("Image",PalData_Header,0)),)</f>
        <v>0</v>
      </c>
      <c r="J198" s="40" t="n">
        <f aca="false">IFERROR(INDEX(PalData,MATCH(K198,PalNames,0)+1,MATCH("ZukanIndex",PalData_Header,0)),)</f>
        <v>0</v>
      </c>
      <c r="K198" s="42"/>
      <c r="M198" s="47" t="n">
        <f aca="false">IFERROR(INDEX(PalData,MATCH(O198,PalNames,0)+1,MATCH("Image",PalData_Header,0)),)</f>
        <v>0</v>
      </c>
      <c r="N198" s="48" t="n">
        <f aca="false">IFERROR(INDEX(PalData,MATCH(O198,PalNames,0)+1,MATCH("ZukanIndex",PalData_Header,0)),)</f>
        <v>0</v>
      </c>
      <c r="O198" s="49"/>
      <c r="Q198" s="3"/>
      <c r="R198" s="3"/>
      <c r="S198" s="3"/>
      <c r="T198" s="3"/>
      <c r="U198" s="3"/>
    </row>
    <row r="199" customFormat="false" ht="15.75" hidden="false" customHeight="false" outlineLevel="0" collapsed="false">
      <c r="F199" s="34" t="n">
        <f aca="false">IFERROR(INDEX(PalData,MATCH(H199,PalNames,0)+1,MATCH("Image",PalData_Header,0)),)</f>
        <v>0</v>
      </c>
      <c r="G199" s="35" t="n">
        <f aca="false">IFERROR(INDEX(PalData,MATCH(H199,PalNames,0)+1,MATCH("ZukanIndex",PalData_Header,0)),)</f>
        <v>0</v>
      </c>
      <c r="H199" s="35"/>
      <c r="I199" s="36" t="n">
        <f aca="false">IFERROR(INDEX(PalData,MATCH(K199,PalNames,0)+1,MATCH("Image",PalData_Header,0)),)</f>
        <v>0</v>
      </c>
      <c r="J199" s="35" t="n">
        <f aca="false">IFERROR(INDEX(PalData,MATCH(K199,PalNames,0)+1,MATCH("ZukanIndex",PalData_Header,0)),)</f>
        <v>0</v>
      </c>
      <c r="K199" s="37"/>
      <c r="M199" s="44" t="n">
        <f aca="false">IFERROR(INDEX(PalData,MATCH(O199,PalNames,0)+1,MATCH("Image",PalData_Header,0)),)</f>
        <v>0</v>
      </c>
      <c r="N199" s="45" t="n">
        <f aca="false">IFERROR(INDEX(PalData,MATCH(O199,PalNames,0)+1,MATCH("ZukanIndex",PalData_Header,0)),)</f>
        <v>0</v>
      </c>
      <c r="O199" s="46"/>
      <c r="Q199" s="3"/>
      <c r="R199" s="3"/>
      <c r="S199" s="3"/>
      <c r="T199" s="3"/>
      <c r="U199" s="3"/>
    </row>
    <row r="200" customFormat="false" ht="15.75" hidden="false" customHeight="false" outlineLevel="0" collapsed="false">
      <c r="F200" s="39" t="n">
        <f aca="false">IFERROR(INDEX(PalData,MATCH(H200,PalNames,0)+1,MATCH("Image",PalData_Header,0)),)</f>
        <v>0</v>
      </c>
      <c r="G200" s="40" t="n">
        <f aca="false">IFERROR(INDEX(PalData,MATCH(H200,PalNames,0)+1,MATCH("ZukanIndex",PalData_Header,0)),)</f>
        <v>0</v>
      </c>
      <c r="H200" s="40"/>
      <c r="I200" s="41" t="n">
        <f aca="false">IFERROR(INDEX(PalData,MATCH(K200,PalNames,0)+1,MATCH("Image",PalData_Header,0)),)</f>
        <v>0</v>
      </c>
      <c r="J200" s="40" t="n">
        <f aca="false">IFERROR(INDEX(PalData,MATCH(K200,PalNames,0)+1,MATCH("ZukanIndex",PalData_Header,0)),)</f>
        <v>0</v>
      </c>
      <c r="K200" s="42"/>
      <c r="M200" s="47" t="n">
        <f aca="false">IFERROR(INDEX(PalData,MATCH(O200,PalNames,0)+1,MATCH("Image",PalData_Header,0)),)</f>
        <v>0</v>
      </c>
      <c r="N200" s="48" t="n">
        <f aca="false">IFERROR(INDEX(PalData,MATCH(O200,PalNames,0)+1,MATCH("ZukanIndex",PalData_Header,0)),)</f>
        <v>0</v>
      </c>
      <c r="O200" s="49"/>
      <c r="Q200" s="3"/>
      <c r="R200" s="3"/>
      <c r="S200" s="3"/>
      <c r="T200" s="3"/>
      <c r="U200" s="3"/>
    </row>
    <row r="201" customFormat="false" ht="15.75" hidden="false" customHeight="false" outlineLevel="0" collapsed="false">
      <c r="F201" s="34" t="n">
        <f aca="false">IFERROR(INDEX(PalData,MATCH(H201,PalNames,0)+1,MATCH("Image",PalData_Header,0)),)</f>
        <v>0</v>
      </c>
      <c r="G201" s="35" t="n">
        <f aca="false">IFERROR(INDEX(PalData,MATCH(H201,PalNames,0)+1,MATCH("ZukanIndex",PalData_Header,0)),)</f>
        <v>0</v>
      </c>
      <c r="H201" s="35"/>
      <c r="I201" s="36" t="n">
        <f aca="false">IFERROR(INDEX(PalData,MATCH(K201,PalNames,0)+1,MATCH("Image",PalData_Header,0)),)</f>
        <v>0</v>
      </c>
      <c r="J201" s="35" t="n">
        <f aca="false">IFERROR(INDEX(PalData,MATCH(K201,PalNames,0)+1,MATCH("ZukanIndex",PalData_Header,0)),)</f>
        <v>0</v>
      </c>
      <c r="K201" s="37"/>
      <c r="M201" s="44" t="n">
        <f aca="false">IFERROR(INDEX(PalData,MATCH(O201,PalNames,0)+1,MATCH("Image",PalData_Header,0)),)</f>
        <v>0</v>
      </c>
      <c r="N201" s="45" t="n">
        <f aca="false">IFERROR(INDEX(PalData,MATCH(O201,PalNames,0)+1,MATCH("ZukanIndex",PalData_Header,0)),)</f>
        <v>0</v>
      </c>
      <c r="O201" s="46"/>
      <c r="Q201" s="3"/>
      <c r="R201" s="3"/>
      <c r="S201" s="3"/>
      <c r="T201" s="3"/>
      <c r="U201" s="3"/>
    </row>
    <row r="202" customFormat="false" ht="15.75" hidden="false" customHeight="false" outlineLevel="0" collapsed="false">
      <c r="F202" s="39" t="n">
        <f aca="false">IFERROR(INDEX(PalData,MATCH(H202,PalNames,0)+1,MATCH("Image",PalData_Header,0)),)</f>
        <v>0</v>
      </c>
      <c r="G202" s="40" t="n">
        <f aca="false">IFERROR(INDEX(PalData,MATCH(H202,PalNames,0)+1,MATCH("ZukanIndex",PalData_Header,0)),)</f>
        <v>0</v>
      </c>
      <c r="H202" s="40"/>
      <c r="I202" s="41" t="n">
        <f aca="false">IFERROR(INDEX(PalData,MATCH(K202,PalNames,0)+1,MATCH("Image",PalData_Header,0)),)</f>
        <v>0</v>
      </c>
      <c r="J202" s="40" t="n">
        <f aca="false">IFERROR(INDEX(PalData,MATCH(K202,PalNames,0)+1,MATCH("ZukanIndex",PalData_Header,0)),)</f>
        <v>0</v>
      </c>
      <c r="K202" s="42"/>
      <c r="M202" s="47" t="n">
        <f aca="false">IFERROR(INDEX(PalData,MATCH(O202,PalNames,0)+1,MATCH("Image",PalData_Header,0)),)</f>
        <v>0</v>
      </c>
      <c r="N202" s="48" t="n">
        <f aca="false">IFERROR(INDEX(PalData,MATCH(O202,PalNames,0)+1,MATCH("ZukanIndex",PalData_Header,0)),)</f>
        <v>0</v>
      </c>
      <c r="O202" s="49"/>
      <c r="Q202" s="3"/>
      <c r="R202" s="3"/>
      <c r="S202" s="3"/>
      <c r="T202" s="3"/>
      <c r="U202" s="3"/>
    </row>
    <row r="203" customFormat="false" ht="15.75" hidden="false" customHeight="false" outlineLevel="0" collapsed="false">
      <c r="F203" s="34" t="n">
        <f aca="false">IFERROR(INDEX(PalData,MATCH(H203,PalNames,0)+1,MATCH("Image",PalData_Header,0)),)</f>
        <v>0</v>
      </c>
      <c r="G203" s="35" t="n">
        <f aca="false">IFERROR(INDEX(PalData,MATCH(H203,PalNames,0)+1,MATCH("ZukanIndex",PalData_Header,0)),)</f>
        <v>0</v>
      </c>
      <c r="H203" s="35"/>
      <c r="I203" s="36" t="n">
        <f aca="false">IFERROR(INDEX(PalData,MATCH(K203,PalNames,0)+1,MATCH("Image",PalData_Header,0)),)</f>
        <v>0</v>
      </c>
      <c r="J203" s="35" t="n">
        <f aca="false">IFERROR(INDEX(PalData,MATCH(K203,PalNames,0)+1,MATCH("ZukanIndex",PalData_Header,0)),)</f>
        <v>0</v>
      </c>
      <c r="K203" s="37"/>
      <c r="M203" s="44" t="n">
        <f aca="false">IFERROR(INDEX(PalData,MATCH(O203,PalNames,0)+1,MATCH("Image",PalData_Header,0)),)</f>
        <v>0</v>
      </c>
      <c r="N203" s="45" t="n">
        <f aca="false">IFERROR(INDEX(PalData,MATCH(O203,PalNames,0)+1,MATCH("ZukanIndex",PalData_Header,0)),)</f>
        <v>0</v>
      </c>
      <c r="O203" s="46"/>
      <c r="Q203" s="3"/>
      <c r="R203" s="3"/>
      <c r="S203" s="3"/>
      <c r="T203" s="3"/>
      <c r="U203" s="3"/>
    </row>
    <row r="204" customFormat="false" ht="15.75" hidden="false" customHeight="false" outlineLevel="0" collapsed="false">
      <c r="F204" s="39" t="n">
        <f aca="false">IFERROR(INDEX(PalData,MATCH(H204,PalNames,0)+1,MATCH("Image",PalData_Header,0)),)</f>
        <v>0</v>
      </c>
      <c r="G204" s="40" t="n">
        <f aca="false">IFERROR(INDEX(PalData,MATCH(H204,PalNames,0)+1,MATCH("ZukanIndex",PalData_Header,0)),)</f>
        <v>0</v>
      </c>
      <c r="H204" s="40"/>
      <c r="I204" s="41" t="n">
        <f aca="false">IFERROR(INDEX(PalData,MATCH(K204,PalNames,0)+1,MATCH("Image",PalData_Header,0)),)</f>
        <v>0</v>
      </c>
      <c r="J204" s="40" t="n">
        <f aca="false">IFERROR(INDEX(PalData,MATCH(K204,PalNames,0)+1,MATCH("ZukanIndex",PalData_Header,0)),)</f>
        <v>0</v>
      </c>
      <c r="K204" s="42"/>
      <c r="M204" s="47" t="n">
        <f aca="false">IFERROR(INDEX(PalData,MATCH(O204,PalNames,0)+1,MATCH("Image",PalData_Header,0)),)</f>
        <v>0</v>
      </c>
      <c r="N204" s="48" t="n">
        <f aca="false">IFERROR(INDEX(PalData,MATCH(O204,PalNames,0)+1,MATCH("ZukanIndex",PalData_Header,0)),)</f>
        <v>0</v>
      </c>
      <c r="O204" s="49"/>
      <c r="Q204" s="3"/>
      <c r="R204" s="3"/>
      <c r="S204" s="3"/>
      <c r="T204" s="3"/>
      <c r="U204" s="3"/>
    </row>
    <row r="205" customFormat="false" ht="15.75" hidden="false" customHeight="false" outlineLevel="0" collapsed="false">
      <c r="F205" s="34" t="n">
        <f aca="false">IFERROR(INDEX(PalData,MATCH(H205,PalNames,0)+1,MATCH("Image",PalData_Header,0)),)</f>
        <v>0</v>
      </c>
      <c r="G205" s="35" t="n">
        <f aca="false">IFERROR(INDEX(PalData,MATCH(H205,PalNames,0)+1,MATCH("ZukanIndex",PalData_Header,0)),)</f>
        <v>0</v>
      </c>
      <c r="H205" s="35"/>
      <c r="I205" s="36" t="n">
        <f aca="false">IFERROR(INDEX(PalData,MATCH(K205,PalNames,0)+1,MATCH("Image",PalData_Header,0)),)</f>
        <v>0</v>
      </c>
      <c r="J205" s="35" t="n">
        <f aca="false">IFERROR(INDEX(PalData,MATCH(K205,PalNames,0)+1,MATCH("ZukanIndex",PalData_Header,0)),)</f>
        <v>0</v>
      </c>
      <c r="K205" s="37"/>
      <c r="M205" s="44" t="n">
        <f aca="false">IFERROR(INDEX(PalData,MATCH(O205,PalNames,0)+1,MATCH("Image",PalData_Header,0)),)</f>
        <v>0</v>
      </c>
      <c r="N205" s="45" t="n">
        <f aca="false">IFERROR(INDEX(PalData,MATCH(O205,PalNames,0)+1,MATCH("ZukanIndex",PalData_Header,0)),)</f>
        <v>0</v>
      </c>
      <c r="O205" s="46"/>
      <c r="Q205" s="3"/>
      <c r="R205" s="3"/>
      <c r="S205" s="3"/>
      <c r="T205" s="3"/>
      <c r="U205" s="3"/>
    </row>
    <row r="206" customFormat="false" ht="15.75" hidden="false" customHeight="false" outlineLevel="0" collapsed="false">
      <c r="F206" s="39" t="n">
        <f aca="false">IFERROR(INDEX(PalData,MATCH(H206,PalNames,0)+1,MATCH("Image",PalData_Header,0)),)</f>
        <v>0</v>
      </c>
      <c r="G206" s="40" t="n">
        <f aca="false">IFERROR(INDEX(PalData,MATCH(H206,PalNames,0)+1,MATCH("ZukanIndex",PalData_Header,0)),)</f>
        <v>0</v>
      </c>
      <c r="H206" s="40"/>
      <c r="I206" s="41" t="n">
        <f aca="false">IFERROR(INDEX(PalData,MATCH(K206,PalNames,0)+1,MATCH("Image",PalData_Header,0)),)</f>
        <v>0</v>
      </c>
      <c r="J206" s="40" t="n">
        <f aca="false">IFERROR(INDEX(PalData,MATCH(K206,PalNames,0)+1,MATCH("ZukanIndex",PalData_Header,0)),)</f>
        <v>0</v>
      </c>
      <c r="K206" s="42"/>
      <c r="M206" s="47" t="n">
        <f aca="false">IFERROR(INDEX(PalData,MATCH(O206,PalNames,0)+1,MATCH("Image",PalData_Header,0)),)</f>
        <v>0</v>
      </c>
      <c r="N206" s="48" t="n">
        <f aca="false">IFERROR(INDEX(PalData,MATCH(O206,PalNames,0)+1,MATCH("ZukanIndex",PalData_Header,0)),)</f>
        <v>0</v>
      </c>
      <c r="O206" s="49"/>
      <c r="Q206" s="3"/>
      <c r="R206" s="3"/>
      <c r="S206" s="3"/>
      <c r="T206" s="3"/>
      <c r="U206" s="3"/>
    </row>
    <row r="207" customFormat="false" ht="15.75" hidden="false" customHeight="false" outlineLevel="0" collapsed="false">
      <c r="F207" s="34" t="n">
        <f aca="false">IFERROR(INDEX(PalData,MATCH(H207,PalNames,0)+1,MATCH("Image",PalData_Header,0)),)</f>
        <v>0</v>
      </c>
      <c r="G207" s="35" t="n">
        <f aca="false">IFERROR(INDEX(PalData,MATCH(H207,PalNames,0)+1,MATCH("ZukanIndex",PalData_Header,0)),)</f>
        <v>0</v>
      </c>
      <c r="H207" s="35"/>
      <c r="I207" s="36" t="n">
        <f aca="false">IFERROR(INDEX(PalData,MATCH(K207,PalNames,0)+1,MATCH("Image",PalData_Header,0)),)</f>
        <v>0</v>
      </c>
      <c r="J207" s="35" t="n">
        <f aca="false">IFERROR(INDEX(PalData,MATCH(K207,PalNames,0)+1,MATCH("ZukanIndex",PalData_Header,0)),)</f>
        <v>0</v>
      </c>
      <c r="K207" s="37"/>
      <c r="M207" s="44" t="n">
        <f aca="false">IFERROR(INDEX(PalData,MATCH(O207,PalNames,0)+1,MATCH("Image",PalData_Header,0)),)</f>
        <v>0</v>
      </c>
      <c r="N207" s="45" t="n">
        <f aca="false">IFERROR(INDEX(PalData,MATCH(O207,PalNames,0)+1,MATCH("ZukanIndex",PalData_Header,0)),)</f>
        <v>0</v>
      </c>
      <c r="O207" s="46"/>
      <c r="Q207" s="3"/>
      <c r="R207" s="3"/>
      <c r="S207" s="3"/>
      <c r="T207" s="3"/>
      <c r="U207" s="3"/>
    </row>
    <row r="208" customFormat="false" ht="15.75" hidden="false" customHeight="false" outlineLevel="0" collapsed="false">
      <c r="F208" s="39" t="n">
        <f aca="false">IFERROR(INDEX(PalData,MATCH(H208,PalNames,0)+1,MATCH("Image",PalData_Header,0)),)</f>
        <v>0</v>
      </c>
      <c r="G208" s="40" t="n">
        <f aca="false">IFERROR(INDEX(PalData,MATCH(H208,PalNames,0)+1,MATCH("ZukanIndex",PalData_Header,0)),)</f>
        <v>0</v>
      </c>
      <c r="H208" s="40"/>
      <c r="I208" s="41" t="n">
        <f aca="false">IFERROR(INDEX(PalData,MATCH(K208,PalNames,0)+1,MATCH("Image",PalData_Header,0)),)</f>
        <v>0</v>
      </c>
      <c r="J208" s="40" t="n">
        <f aca="false">IFERROR(INDEX(PalData,MATCH(K208,PalNames,0)+1,MATCH("ZukanIndex",PalData_Header,0)),)</f>
        <v>0</v>
      </c>
      <c r="K208" s="42"/>
      <c r="M208" s="47" t="n">
        <f aca="false">IFERROR(INDEX(PalData,MATCH(O208,PalNames,0)+1,MATCH("Image",PalData_Header,0)),)</f>
        <v>0</v>
      </c>
      <c r="N208" s="48" t="n">
        <f aca="false">IFERROR(INDEX(PalData,MATCH(O208,PalNames,0)+1,MATCH("ZukanIndex",PalData_Header,0)),)</f>
        <v>0</v>
      </c>
      <c r="O208" s="49"/>
      <c r="Q208" s="3"/>
      <c r="R208" s="3"/>
      <c r="S208" s="3"/>
      <c r="T208" s="3"/>
      <c r="U208" s="3"/>
    </row>
    <row r="209" customFormat="false" ht="15.75" hidden="false" customHeight="false" outlineLevel="0" collapsed="false">
      <c r="F209" s="34" t="n">
        <f aca="false">IFERROR(INDEX(PalData,MATCH(H209,PalNames,0)+1,MATCH("Image",PalData_Header,0)),)</f>
        <v>0</v>
      </c>
      <c r="G209" s="35" t="n">
        <f aca="false">IFERROR(INDEX(PalData,MATCH(H209,PalNames,0)+1,MATCH("ZukanIndex",PalData_Header,0)),)</f>
        <v>0</v>
      </c>
      <c r="H209" s="35"/>
      <c r="I209" s="36" t="n">
        <f aca="false">IFERROR(INDEX(PalData,MATCH(K209,PalNames,0)+1,MATCH("Image",PalData_Header,0)),)</f>
        <v>0</v>
      </c>
      <c r="J209" s="35" t="n">
        <f aca="false">IFERROR(INDEX(PalData,MATCH(K209,PalNames,0)+1,MATCH("ZukanIndex",PalData_Header,0)),)</f>
        <v>0</v>
      </c>
      <c r="K209" s="37"/>
      <c r="M209" s="44" t="n">
        <f aca="false">IFERROR(INDEX(PalData,MATCH(O209,PalNames,0)+1,MATCH("Image",PalData_Header,0)),)</f>
        <v>0</v>
      </c>
      <c r="N209" s="45" t="n">
        <f aca="false">IFERROR(INDEX(PalData,MATCH(O209,PalNames,0)+1,MATCH("ZukanIndex",PalData_Header,0)),)</f>
        <v>0</v>
      </c>
      <c r="O209" s="46"/>
      <c r="Q209" s="3"/>
      <c r="R209" s="3"/>
      <c r="S209" s="3"/>
      <c r="T209" s="3"/>
      <c r="U209" s="3"/>
    </row>
    <row r="210" customFormat="false" ht="15.75" hidden="false" customHeight="false" outlineLevel="0" collapsed="false">
      <c r="F210" s="39" t="n">
        <f aca="false">IFERROR(INDEX(PalData,MATCH(H210,PalNames,0)+1,MATCH("Image",PalData_Header,0)),)</f>
        <v>0</v>
      </c>
      <c r="G210" s="40" t="n">
        <f aca="false">IFERROR(INDEX(PalData,MATCH(H210,PalNames,0)+1,MATCH("ZukanIndex",PalData_Header,0)),)</f>
        <v>0</v>
      </c>
      <c r="H210" s="40"/>
      <c r="I210" s="41" t="n">
        <f aca="false">IFERROR(INDEX(PalData,MATCH(K210,PalNames,0)+1,MATCH("Image",PalData_Header,0)),)</f>
        <v>0</v>
      </c>
      <c r="J210" s="40" t="n">
        <f aca="false">IFERROR(INDEX(PalData,MATCH(K210,PalNames,0)+1,MATCH("ZukanIndex",PalData_Header,0)),)</f>
        <v>0</v>
      </c>
      <c r="K210" s="42"/>
      <c r="M210" s="47" t="n">
        <f aca="false">IFERROR(INDEX(PalData,MATCH(O210,PalNames,0)+1,MATCH("Image",PalData_Header,0)),)</f>
        <v>0</v>
      </c>
      <c r="N210" s="48" t="n">
        <f aca="false">IFERROR(INDEX(PalData,MATCH(O210,PalNames,0)+1,MATCH("ZukanIndex",PalData_Header,0)),)</f>
        <v>0</v>
      </c>
      <c r="O210" s="49"/>
      <c r="Q210" s="3"/>
      <c r="R210" s="3"/>
      <c r="S210" s="3"/>
      <c r="T210" s="3"/>
      <c r="U210" s="3"/>
    </row>
    <row r="211" customFormat="false" ht="15.75" hidden="false" customHeight="false" outlineLevel="0" collapsed="false">
      <c r="F211" s="34" t="n">
        <f aca="false">IFERROR(INDEX(PalData,MATCH(H211,PalNames,0)+1,MATCH("Image",PalData_Header,0)),)</f>
        <v>0</v>
      </c>
      <c r="G211" s="35" t="n">
        <f aca="false">IFERROR(INDEX(PalData,MATCH(H211,PalNames,0)+1,MATCH("ZukanIndex",PalData_Header,0)),)</f>
        <v>0</v>
      </c>
      <c r="H211" s="35"/>
      <c r="I211" s="36" t="n">
        <f aca="false">IFERROR(INDEX(PalData,MATCH(K211,PalNames,0)+1,MATCH("Image",PalData_Header,0)),)</f>
        <v>0</v>
      </c>
      <c r="J211" s="35" t="n">
        <f aca="false">IFERROR(INDEX(PalData,MATCH(K211,PalNames,0)+1,MATCH("ZukanIndex",PalData_Header,0)),)</f>
        <v>0</v>
      </c>
      <c r="K211" s="37"/>
      <c r="M211" s="44" t="n">
        <f aca="false">IFERROR(INDEX(PalData,MATCH(O211,PalNames,0)+1,MATCH("Image",PalData_Header,0)),)</f>
        <v>0</v>
      </c>
      <c r="N211" s="45" t="n">
        <f aca="false">IFERROR(INDEX(PalData,MATCH(O211,PalNames,0)+1,MATCH("ZukanIndex",PalData_Header,0)),)</f>
        <v>0</v>
      </c>
      <c r="O211" s="46"/>
      <c r="Q211" s="3"/>
      <c r="R211" s="3"/>
      <c r="S211" s="3"/>
      <c r="T211" s="3"/>
      <c r="U211" s="3"/>
    </row>
    <row r="212" customFormat="false" ht="15.75" hidden="false" customHeight="false" outlineLevel="0" collapsed="false">
      <c r="F212" s="39" t="n">
        <f aca="false">IFERROR(INDEX(PalData,MATCH(H212,PalNames,0)+1,MATCH("Image",PalData_Header,0)),)</f>
        <v>0</v>
      </c>
      <c r="G212" s="40" t="n">
        <f aca="false">IFERROR(INDEX(PalData,MATCH(H212,PalNames,0)+1,MATCH("ZukanIndex",PalData_Header,0)),)</f>
        <v>0</v>
      </c>
      <c r="H212" s="40"/>
      <c r="I212" s="41" t="n">
        <f aca="false">IFERROR(INDEX(PalData,MATCH(K212,PalNames,0)+1,MATCH("Image",PalData_Header,0)),)</f>
        <v>0</v>
      </c>
      <c r="J212" s="40" t="n">
        <f aca="false">IFERROR(INDEX(PalData,MATCH(K212,PalNames,0)+1,MATCH("ZukanIndex",PalData_Header,0)),)</f>
        <v>0</v>
      </c>
      <c r="K212" s="42"/>
      <c r="M212" s="47" t="n">
        <f aca="false">IFERROR(INDEX(PalData,MATCH(O212,PalNames,0)+1,MATCH("Image",PalData_Header,0)),)</f>
        <v>0</v>
      </c>
      <c r="N212" s="48" t="n">
        <f aca="false">IFERROR(INDEX(PalData,MATCH(O212,PalNames,0)+1,MATCH("ZukanIndex",PalData_Header,0)),)</f>
        <v>0</v>
      </c>
      <c r="O212" s="49"/>
      <c r="Q212" s="3"/>
      <c r="R212" s="3"/>
      <c r="S212" s="3"/>
      <c r="T212" s="3"/>
      <c r="U212" s="3"/>
    </row>
    <row r="213" customFormat="false" ht="15.75" hidden="false" customHeight="false" outlineLevel="0" collapsed="false">
      <c r="F213" s="34" t="n">
        <f aca="false">IFERROR(INDEX(PalData,MATCH(H213,PalNames,0)+1,MATCH("Image",PalData_Header,0)),)</f>
        <v>0</v>
      </c>
      <c r="G213" s="35" t="n">
        <f aca="false">IFERROR(INDEX(PalData,MATCH(H213,PalNames,0)+1,MATCH("ZukanIndex",PalData_Header,0)),)</f>
        <v>0</v>
      </c>
      <c r="H213" s="35"/>
      <c r="I213" s="36" t="n">
        <f aca="false">IFERROR(INDEX(PalData,MATCH(K213,PalNames,0)+1,MATCH("Image",PalData_Header,0)),)</f>
        <v>0</v>
      </c>
      <c r="J213" s="35" t="n">
        <f aca="false">IFERROR(INDEX(PalData,MATCH(K213,PalNames,0)+1,MATCH("ZukanIndex",PalData_Header,0)),)</f>
        <v>0</v>
      </c>
      <c r="K213" s="37"/>
      <c r="M213" s="44" t="n">
        <f aca="false">IFERROR(INDEX(PalData,MATCH(O213,PalNames,0)+1,MATCH("Image",PalData_Header,0)),)</f>
        <v>0</v>
      </c>
      <c r="N213" s="45" t="n">
        <f aca="false">IFERROR(INDEX(PalData,MATCH(O213,PalNames,0)+1,MATCH("ZukanIndex",PalData_Header,0)),)</f>
        <v>0</v>
      </c>
      <c r="O213" s="46"/>
      <c r="Q213" s="3"/>
      <c r="R213" s="3"/>
      <c r="S213" s="3"/>
      <c r="T213" s="3"/>
      <c r="U213" s="3"/>
    </row>
    <row r="214" customFormat="false" ht="15.75" hidden="false" customHeight="false" outlineLevel="0" collapsed="false">
      <c r="F214" s="39" t="n">
        <f aca="false">IFERROR(INDEX(PalData,MATCH(H214,PalNames,0)+1,MATCH("Image",PalData_Header,0)),)</f>
        <v>0</v>
      </c>
      <c r="G214" s="40" t="n">
        <f aca="false">IFERROR(INDEX(PalData,MATCH(H214,PalNames,0)+1,MATCH("ZukanIndex",PalData_Header,0)),)</f>
        <v>0</v>
      </c>
      <c r="H214" s="40"/>
      <c r="I214" s="41" t="n">
        <f aca="false">IFERROR(INDEX(PalData,MATCH(K214,PalNames,0)+1,MATCH("Image",PalData_Header,0)),)</f>
        <v>0</v>
      </c>
      <c r="J214" s="40" t="n">
        <f aca="false">IFERROR(INDEX(PalData,MATCH(K214,PalNames,0)+1,MATCH("ZukanIndex",PalData_Header,0)),)</f>
        <v>0</v>
      </c>
      <c r="K214" s="42"/>
      <c r="M214" s="47" t="n">
        <f aca="false">IFERROR(INDEX(PalData,MATCH(O214,PalNames,0)+1,MATCH("Image",PalData_Header,0)),)</f>
        <v>0</v>
      </c>
      <c r="N214" s="48" t="n">
        <f aca="false">IFERROR(INDEX(PalData,MATCH(O214,PalNames,0)+1,MATCH("ZukanIndex",PalData_Header,0)),)</f>
        <v>0</v>
      </c>
      <c r="O214" s="49"/>
      <c r="Q214" s="3"/>
      <c r="R214" s="3"/>
      <c r="S214" s="3"/>
      <c r="T214" s="3"/>
      <c r="U214" s="3"/>
    </row>
    <row r="215" customFormat="false" ht="15.75" hidden="false" customHeight="false" outlineLevel="0" collapsed="false">
      <c r="F215" s="34" t="n">
        <f aca="false">IFERROR(INDEX(PalData,MATCH(H215,PalNames,0)+1,MATCH("Image",PalData_Header,0)),)</f>
        <v>0</v>
      </c>
      <c r="G215" s="35" t="n">
        <f aca="false">IFERROR(INDEX(PalData,MATCH(H215,PalNames,0)+1,MATCH("ZukanIndex",PalData_Header,0)),)</f>
        <v>0</v>
      </c>
      <c r="H215" s="35"/>
      <c r="I215" s="36" t="n">
        <f aca="false">IFERROR(INDEX(PalData,MATCH(K215,PalNames,0)+1,MATCH("Image",PalData_Header,0)),)</f>
        <v>0</v>
      </c>
      <c r="J215" s="35" t="n">
        <f aca="false">IFERROR(INDEX(PalData,MATCH(K215,PalNames,0)+1,MATCH("ZukanIndex",PalData_Header,0)),)</f>
        <v>0</v>
      </c>
      <c r="K215" s="37"/>
      <c r="M215" s="44" t="n">
        <f aca="false">IFERROR(INDEX(PalData,MATCH(O215,PalNames,0)+1,MATCH("Image",PalData_Header,0)),)</f>
        <v>0</v>
      </c>
      <c r="N215" s="45" t="n">
        <f aca="false">IFERROR(INDEX(PalData,MATCH(O215,PalNames,0)+1,MATCH("ZukanIndex",PalData_Header,0)),)</f>
        <v>0</v>
      </c>
      <c r="O215" s="46"/>
      <c r="Q215" s="3"/>
      <c r="R215" s="3"/>
      <c r="S215" s="3"/>
      <c r="T215" s="3"/>
      <c r="U215" s="3"/>
    </row>
    <row r="216" customFormat="false" ht="15.75" hidden="false" customHeight="false" outlineLevel="0" collapsed="false">
      <c r="F216" s="39" t="n">
        <f aca="false">IFERROR(INDEX(PalData,MATCH(H216,PalNames,0)+1,MATCH("Image",PalData_Header,0)),)</f>
        <v>0</v>
      </c>
      <c r="G216" s="40" t="n">
        <f aca="false">IFERROR(INDEX(PalData,MATCH(H216,PalNames,0)+1,MATCH("ZukanIndex",PalData_Header,0)),)</f>
        <v>0</v>
      </c>
      <c r="H216" s="40"/>
      <c r="I216" s="41" t="n">
        <f aca="false">IFERROR(INDEX(PalData,MATCH(K216,PalNames,0)+1,MATCH("Image",PalData_Header,0)),)</f>
        <v>0</v>
      </c>
      <c r="J216" s="40" t="n">
        <f aca="false">IFERROR(INDEX(PalData,MATCH(K216,PalNames,0)+1,MATCH("ZukanIndex",PalData_Header,0)),)</f>
        <v>0</v>
      </c>
      <c r="K216" s="42"/>
      <c r="M216" s="47" t="n">
        <f aca="false">IFERROR(INDEX(PalData,MATCH(O216,PalNames,0)+1,MATCH("Image",PalData_Header,0)),)</f>
        <v>0</v>
      </c>
      <c r="N216" s="48" t="n">
        <f aca="false">IFERROR(INDEX(PalData,MATCH(O216,PalNames,0)+1,MATCH("ZukanIndex",PalData_Header,0)),)</f>
        <v>0</v>
      </c>
      <c r="O216" s="49"/>
      <c r="Q216" s="3"/>
      <c r="R216" s="3"/>
      <c r="S216" s="3"/>
      <c r="T216" s="3"/>
      <c r="U216" s="3"/>
    </row>
    <row r="217" customFormat="false" ht="15.75" hidden="false" customHeight="false" outlineLevel="0" collapsed="false">
      <c r="F217" s="34" t="n">
        <f aca="false">IFERROR(INDEX(PalData,MATCH(H217,PalNames,0)+1,MATCH("Image",PalData_Header,0)),)</f>
        <v>0</v>
      </c>
      <c r="G217" s="35" t="n">
        <f aca="false">IFERROR(INDEX(PalData,MATCH(H217,PalNames,0)+1,MATCH("ZukanIndex",PalData_Header,0)),)</f>
        <v>0</v>
      </c>
      <c r="H217" s="35"/>
      <c r="I217" s="36" t="n">
        <f aca="false">IFERROR(INDEX(PalData,MATCH(K217,PalNames,0)+1,MATCH("Image",PalData_Header,0)),)</f>
        <v>0</v>
      </c>
      <c r="J217" s="35" t="n">
        <f aca="false">IFERROR(INDEX(PalData,MATCH(K217,PalNames,0)+1,MATCH("ZukanIndex",PalData_Header,0)),)</f>
        <v>0</v>
      </c>
      <c r="K217" s="37"/>
      <c r="M217" s="44" t="n">
        <f aca="false">IFERROR(INDEX(PalData,MATCH(O217,PalNames,0)+1,MATCH("Image",PalData_Header,0)),)</f>
        <v>0</v>
      </c>
      <c r="N217" s="45" t="n">
        <f aca="false">IFERROR(INDEX(PalData,MATCH(O217,PalNames,0)+1,MATCH("ZukanIndex",PalData_Header,0)),)</f>
        <v>0</v>
      </c>
      <c r="O217" s="46"/>
      <c r="Q217" s="3"/>
      <c r="R217" s="3"/>
      <c r="S217" s="3"/>
      <c r="T217" s="3"/>
      <c r="U217" s="3"/>
    </row>
    <row r="218" customFormat="false" ht="15.75" hidden="false" customHeight="false" outlineLevel="0" collapsed="false">
      <c r="F218" s="39" t="n">
        <f aca="false">IFERROR(INDEX(PalData,MATCH(H218,PalNames,0)+1,MATCH("Image",PalData_Header,0)),)</f>
        <v>0</v>
      </c>
      <c r="G218" s="40" t="n">
        <f aca="false">IFERROR(INDEX(PalData,MATCH(H218,PalNames,0)+1,MATCH("ZukanIndex",PalData_Header,0)),)</f>
        <v>0</v>
      </c>
      <c r="H218" s="40"/>
      <c r="I218" s="41" t="n">
        <f aca="false">IFERROR(INDEX(PalData,MATCH(K218,PalNames,0)+1,MATCH("Image",PalData_Header,0)),)</f>
        <v>0</v>
      </c>
      <c r="J218" s="40" t="n">
        <f aca="false">IFERROR(INDEX(PalData,MATCH(K218,PalNames,0)+1,MATCH("ZukanIndex",PalData_Header,0)),)</f>
        <v>0</v>
      </c>
      <c r="K218" s="42"/>
      <c r="M218" s="47" t="n">
        <f aca="false">IFERROR(INDEX(PalData,MATCH(O218,PalNames,0)+1,MATCH("Image",PalData_Header,0)),)</f>
        <v>0</v>
      </c>
      <c r="N218" s="48" t="n">
        <f aca="false">IFERROR(INDEX(PalData,MATCH(O218,PalNames,0)+1,MATCH("ZukanIndex",PalData_Header,0)),)</f>
        <v>0</v>
      </c>
      <c r="O218" s="49"/>
      <c r="Q218" s="3"/>
      <c r="R218" s="3"/>
      <c r="S218" s="3"/>
      <c r="T218" s="3"/>
      <c r="U218" s="3"/>
    </row>
    <row r="219" customFormat="false" ht="15.75" hidden="false" customHeight="false" outlineLevel="0" collapsed="false">
      <c r="F219" s="34" t="n">
        <f aca="false">IFERROR(INDEX(PalData,MATCH(H219,PalNames,0)+1,MATCH("Image",PalData_Header,0)),)</f>
        <v>0</v>
      </c>
      <c r="G219" s="35" t="n">
        <f aca="false">IFERROR(INDEX(PalData,MATCH(H219,PalNames,0)+1,MATCH("ZukanIndex",PalData_Header,0)),)</f>
        <v>0</v>
      </c>
      <c r="H219" s="35"/>
      <c r="I219" s="36" t="n">
        <f aca="false">IFERROR(INDEX(PalData,MATCH(K219,PalNames,0)+1,MATCH("Image",PalData_Header,0)),)</f>
        <v>0</v>
      </c>
      <c r="J219" s="35" t="n">
        <f aca="false">IFERROR(INDEX(PalData,MATCH(K219,PalNames,0)+1,MATCH("ZukanIndex",PalData_Header,0)),)</f>
        <v>0</v>
      </c>
      <c r="K219" s="37"/>
      <c r="M219" s="44" t="n">
        <f aca="false">IFERROR(INDEX(PalData,MATCH(O219,PalNames,0)+1,MATCH("Image",PalData_Header,0)),)</f>
        <v>0</v>
      </c>
      <c r="N219" s="45" t="n">
        <f aca="false">IFERROR(INDEX(PalData,MATCH(O219,PalNames,0)+1,MATCH("ZukanIndex",PalData_Header,0)),)</f>
        <v>0</v>
      </c>
      <c r="O219" s="46"/>
      <c r="Q219" s="3"/>
      <c r="R219" s="3"/>
      <c r="S219" s="3"/>
      <c r="T219" s="3"/>
      <c r="U219" s="3"/>
    </row>
    <row r="220" customFormat="false" ht="15.75" hidden="false" customHeight="false" outlineLevel="0" collapsed="false">
      <c r="F220" s="39" t="n">
        <f aca="false">IFERROR(INDEX(PalData,MATCH(H220,PalNames,0)+1,MATCH("Image",PalData_Header,0)),)</f>
        <v>0</v>
      </c>
      <c r="G220" s="40" t="n">
        <f aca="false">IFERROR(INDEX(PalData,MATCH(H220,PalNames,0)+1,MATCH("ZukanIndex",PalData_Header,0)),)</f>
        <v>0</v>
      </c>
      <c r="H220" s="40"/>
      <c r="I220" s="41" t="n">
        <f aca="false">IFERROR(INDEX(PalData,MATCH(K220,PalNames,0)+1,MATCH("Image",PalData_Header,0)),)</f>
        <v>0</v>
      </c>
      <c r="J220" s="40" t="n">
        <f aca="false">IFERROR(INDEX(PalData,MATCH(K220,PalNames,0)+1,MATCH("ZukanIndex",PalData_Header,0)),)</f>
        <v>0</v>
      </c>
      <c r="K220" s="42"/>
      <c r="M220" s="47" t="n">
        <f aca="false">IFERROR(INDEX(PalData,MATCH(O220,PalNames,0)+1,MATCH("Image",PalData_Header,0)),)</f>
        <v>0</v>
      </c>
      <c r="N220" s="48" t="n">
        <f aca="false">IFERROR(INDEX(PalData,MATCH(O220,PalNames,0)+1,MATCH("ZukanIndex",PalData_Header,0)),)</f>
        <v>0</v>
      </c>
      <c r="O220" s="49"/>
      <c r="Q220" s="3"/>
      <c r="R220" s="3"/>
      <c r="S220" s="3"/>
      <c r="T220" s="3"/>
      <c r="U220" s="3"/>
    </row>
    <row r="221" customFormat="false" ht="15.75" hidden="false" customHeight="false" outlineLevel="0" collapsed="false">
      <c r="F221" s="34" t="n">
        <f aca="false">IFERROR(INDEX(PalData,MATCH(H221,PalNames,0)+1,MATCH("Image",PalData_Header,0)),)</f>
        <v>0</v>
      </c>
      <c r="G221" s="35" t="n">
        <f aca="false">IFERROR(INDEX(PalData,MATCH(H221,PalNames,0)+1,MATCH("ZukanIndex",PalData_Header,0)),)</f>
        <v>0</v>
      </c>
      <c r="H221" s="35"/>
      <c r="I221" s="36" t="n">
        <f aca="false">IFERROR(INDEX(PalData,MATCH(K221,PalNames,0)+1,MATCH("Image",PalData_Header,0)),)</f>
        <v>0</v>
      </c>
      <c r="J221" s="35" t="n">
        <f aca="false">IFERROR(INDEX(PalData,MATCH(K221,PalNames,0)+1,MATCH("ZukanIndex",PalData_Header,0)),)</f>
        <v>0</v>
      </c>
      <c r="K221" s="37"/>
      <c r="M221" s="44" t="n">
        <f aca="false">IFERROR(INDEX(PalData,MATCH(O221,PalNames,0)+1,MATCH("Image",PalData_Header,0)),)</f>
        <v>0</v>
      </c>
      <c r="N221" s="45" t="n">
        <f aca="false">IFERROR(INDEX(PalData,MATCH(O221,PalNames,0)+1,MATCH("ZukanIndex",PalData_Header,0)),)</f>
        <v>0</v>
      </c>
      <c r="O221" s="46"/>
      <c r="Q221" s="3"/>
      <c r="R221" s="3"/>
      <c r="S221" s="3"/>
      <c r="T221" s="3"/>
      <c r="U221" s="3"/>
    </row>
    <row r="222" customFormat="false" ht="15.75" hidden="false" customHeight="false" outlineLevel="0" collapsed="false">
      <c r="F222" s="39" t="n">
        <f aca="false">IFERROR(INDEX(PalData,MATCH(H222,PalNames,0)+1,MATCH("Image",PalData_Header,0)),)</f>
        <v>0</v>
      </c>
      <c r="G222" s="40" t="n">
        <f aca="false">IFERROR(INDEX(PalData,MATCH(H222,PalNames,0)+1,MATCH("ZukanIndex",PalData_Header,0)),)</f>
        <v>0</v>
      </c>
      <c r="H222" s="40"/>
      <c r="I222" s="41" t="n">
        <f aca="false">IFERROR(INDEX(PalData,MATCH(K222,PalNames,0)+1,MATCH("Image",PalData_Header,0)),)</f>
        <v>0</v>
      </c>
      <c r="J222" s="40" t="n">
        <f aca="false">IFERROR(INDEX(PalData,MATCH(K222,PalNames,0)+1,MATCH("ZukanIndex",PalData_Header,0)),)</f>
        <v>0</v>
      </c>
      <c r="K222" s="42"/>
      <c r="M222" s="47" t="n">
        <f aca="false">IFERROR(INDEX(PalData,MATCH(O222,PalNames,0)+1,MATCH("Image",PalData_Header,0)),)</f>
        <v>0</v>
      </c>
      <c r="N222" s="48" t="n">
        <f aca="false">IFERROR(INDEX(PalData,MATCH(O222,PalNames,0)+1,MATCH("ZukanIndex",PalData_Header,0)),)</f>
        <v>0</v>
      </c>
      <c r="O222" s="49"/>
      <c r="Q222" s="3"/>
      <c r="R222" s="3"/>
      <c r="S222" s="3"/>
      <c r="T222" s="3"/>
      <c r="U222" s="3"/>
    </row>
    <row r="223" customFormat="false" ht="15.75" hidden="false" customHeight="false" outlineLevel="0" collapsed="false">
      <c r="F223" s="34" t="n">
        <f aca="false">IFERROR(INDEX(PalData,MATCH(H223,PalNames,0)+1,MATCH("Image",PalData_Header,0)),)</f>
        <v>0</v>
      </c>
      <c r="G223" s="35" t="n">
        <f aca="false">IFERROR(INDEX(PalData,MATCH(H223,PalNames,0)+1,MATCH("ZukanIndex",PalData_Header,0)),)</f>
        <v>0</v>
      </c>
      <c r="H223" s="35"/>
      <c r="I223" s="36" t="n">
        <f aca="false">IFERROR(INDEX(PalData,MATCH(K223,PalNames,0)+1,MATCH("Image",PalData_Header,0)),)</f>
        <v>0</v>
      </c>
      <c r="J223" s="35" t="n">
        <f aca="false">IFERROR(INDEX(PalData,MATCH(K223,PalNames,0)+1,MATCH("ZukanIndex",PalData_Header,0)),)</f>
        <v>0</v>
      </c>
      <c r="K223" s="37"/>
      <c r="M223" s="44" t="n">
        <f aca="false">IFERROR(INDEX(PalData,MATCH(O223,PalNames,0)+1,MATCH("Image",PalData_Header,0)),)</f>
        <v>0</v>
      </c>
      <c r="N223" s="45" t="n">
        <f aca="false">IFERROR(INDEX(PalData,MATCH(O223,PalNames,0)+1,MATCH("ZukanIndex",PalData_Header,0)),)</f>
        <v>0</v>
      </c>
      <c r="O223" s="46"/>
      <c r="Q223" s="3"/>
      <c r="R223" s="3"/>
      <c r="S223" s="3"/>
      <c r="T223" s="3"/>
      <c r="U223" s="3"/>
    </row>
    <row r="224" customFormat="false" ht="15.75" hidden="false" customHeight="false" outlineLevel="0" collapsed="false">
      <c r="F224" s="39" t="n">
        <f aca="false">IFERROR(INDEX(PalData,MATCH(H224,PalNames,0)+1,MATCH("Image",PalData_Header,0)),)</f>
        <v>0</v>
      </c>
      <c r="G224" s="40" t="n">
        <f aca="false">IFERROR(INDEX(PalData,MATCH(H224,PalNames,0)+1,MATCH("ZukanIndex",PalData_Header,0)),)</f>
        <v>0</v>
      </c>
      <c r="H224" s="40"/>
      <c r="I224" s="41" t="n">
        <f aca="false">IFERROR(INDEX(PalData,MATCH(K224,PalNames,0)+1,MATCH("Image",PalData_Header,0)),)</f>
        <v>0</v>
      </c>
      <c r="J224" s="40" t="n">
        <f aca="false">IFERROR(INDEX(PalData,MATCH(K224,PalNames,0)+1,MATCH("ZukanIndex",PalData_Header,0)),)</f>
        <v>0</v>
      </c>
      <c r="K224" s="42"/>
      <c r="M224" s="47" t="n">
        <f aca="false">IFERROR(INDEX(PalData,MATCH(O224,PalNames,0)+1,MATCH("Image",PalData_Header,0)),)</f>
        <v>0</v>
      </c>
      <c r="N224" s="48" t="n">
        <f aca="false">IFERROR(INDEX(PalData,MATCH(O224,PalNames,0)+1,MATCH("ZukanIndex",PalData_Header,0)),)</f>
        <v>0</v>
      </c>
      <c r="O224" s="49"/>
      <c r="Q224" s="3"/>
      <c r="R224" s="3"/>
      <c r="S224" s="3"/>
      <c r="T224" s="3"/>
      <c r="U224" s="3"/>
    </row>
    <row r="225" customFormat="false" ht="15.75" hidden="false" customHeight="false" outlineLevel="0" collapsed="false">
      <c r="F225" s="34" t="n">
        <f aca="false">IFERROR(INDEX(PalData,MATCH(H225,PalNames,0)+1,MATCH("Image",PalData_Header,0)),)</f>
        <v>0</v>
      </c>
      <c r="G225" s="35" t="n">
        <f aca="false">IFERROR(INDEX(PalData,MATCH(H225,PalNames,0)+1,MATCH("ZukanIndex",PalData_Header,0)),)</f>
        <v>0</v>
      </c>
      <c r="H225" s="35"/>
      <c r="I225" s="36" t="n">
        <f aca="false">IFERROR(INDEX(PalData,MATCH(K225,PalNames,0)+1,MATCH("Image",PalData_Header,0)),)</f>
        <v>0</v>
      </c>
      <c r="J225" s="35" t="n">
        <f aca="false">IFERROR(INDEX(PalData,MATCH(K225,PalNames,0)+1,MATCH("ZukanIndex",PalData_Header,0)),)</f>
        <v>0</v>
      </c>
      <c r="K225" s="37"/>
      <c r="M225" s="44" t="n">
        <f aca="false">IFERROR(INDEX(PalData,MATCH(O225,PalNames,0)+1,MATCH("Image",PalData_Header,0)),)</f>
        <v>0</v>
      </c>
      <c r="N225" s="45" t="n">
        <f aca="false">IFERROR(INDEX(PalData,MATCH(O225,PalNames,0)+1,MATCH("ZukanIndex",PalData_Header,0)),)</f>
        <v>0</v>
      </c>
      <c r="O225" s="46"/>
      <c r="Q225" s="3"/>
      <c r="R225" s="3"/>
      <c r="S225" s="3"/>
      <c r="T225" s="3"/>
      <c r="U225" s="3"/>
    </row>
    <row r="226" customFormat="false" ht="15.75" hidden="false" customHeight="false" outlineLevel="0" collapsed="false">
      <c r="F226" s="39" t="n">
        <f aca="false">IFERROR(INDEX(PalData,MATCH(H226,PalNames,0)+1,MATCH("Image",PalData_Header,0)),)</f>
        <v>0</v>
      </c>
      <c r="G226" s="40" t="n">
        <f aca="false">IFERROR(INDEX(PalData,MATCH(H226,PalNames,0)+1,MATCH("ZukanIndex",PalData_Header,0)),)</f>
        <v>0</v>
      </c>
      <c r="H226" s="40"/>
      <c r="I226" s="41" t="n">
        <f aca="false">IFERROR(INDEX(PalData,MATCH(K226,PalNames,0)+1,MATCH("Image",PalData_Header,0)),)</f>
        <v>0</v>
      </c>
      <c r="J226" s="40" t="n">
        <f aca="false">IFERROR(INDEX(PalData,MATCH(K226,PalNames,0)+1,MATCH("ZukanIndex",PalData_Header,0)),)</f>
        <v>0</v>
      </c>
      <c r="K226" s="42"/>
      <c r="M226" s="47" t="n">
        <f aca="false">IFERROR(INDEX(PalData,MATCH(O226,PalNames,0)+1,MATCH("Image",PalData_Header,0)),)</f>
        <v>0</v>
      </c>
      <c r="N226" s="48" t="n">
        <f aca="false">IFERROR(INDEX(PalData,MATCH(O226,PalNames,0)+1,MATCH("ZukanIndex",PalData_Header,0)),)</f>
        <v>0</v>
      </c>
      <c r="O226" s="49"/>
      <c r="Q226" s="3"/>
      <c r="R226" s="3"/>
      <c r="S226" s="3"/>
      <c r="T226" s="3"/>
      <c r="U226" s="3"/>
    </row>
    <row r="227" customFormat="false" ht="15.75" hidden="false" customHeight="false" outlineLevel="0" collapsed="false">
      <c r="F227" s="34" t="n">
        <f aca="false">IFERROR(INDEX(PalData,MATCH(H227,PalNames,0)+1,MATCH("Image",PalData_Header,0)),)</f>
        <v>0</v>
      </c>
      <c r="G227" s="35" t="n">
        <f aca="false">IFERROR(INDEX(PalData,MATCH(H227,PalNames,0)+1,MATCH("ZukanIndex",PalData_Header,0)),)</f>
        <v>0</v>
      </c>
      <c r="H227" s="35"/>
      <c r="I227" s="36" t="n">
        <f aca="false">IFERROR(INDEX(PalData,MATCH(K227,PalNames,0)+1,MATCH("Image",PalData_Header,0)),)</f>
        <v>0</v>
      </c>
      <c r="J227" s="35" t="n">
        <f aca="false">IFERROR(INDEX(PalData,MATCH(K227,PalNames,0)+1,MATCH("ZukanIndex",PalData_Header,0)),)</f>
        <v>0</v>
      </c>
      <c r="K227" s="37"/>
      <c r="M227" s="44" t="n">
        <f aca="false">IFERROR(INDEX(PalData,MATCH(O227,PalNames,0)+1,MATCH("Image",PalData_Header,0)),)</f>
        <v>0</v>
      </c>
      <c r="N227" s="45" t="n">
        <f aca="false">IFERROR(INDEX(PalData,MATCH(O227,PalNames,0)+1,MATCH("ZukanIndex",PalData_Header,0)),)</f>
        <v>0</v>
      </c>
      <c r="O227" s="46"/>
      <c r="Q227" s="3"/>
      <c r="R227" s="3"/>
      <c r="S227" s="3"/>
      <c r="T227" s="3"/>
      <c r="U227" s="3"/>
    </row>
    <row r="228" customFormat="false" ht="15.75" hidden="false" customHeight="false" outlineLevel="0" collapsed="false">
      <c r="F228" s="39" t="n">
        <f aca="false">IFERROR(INDEX(PalData,MATCH(H228,PalNames,0)+1,MATCH("Image",PalData_Header,0)),)</f>
        <v>0</v>
      </c>
      <c r="G228" s="40" t="n">
        <f aca="false">IFERROR(INDEX(PalData,MATCH(H228,PalNames,0)+1,MATCH("ZukanIndex",PalData_Header,0)),)</f>
        <v>0</v>
      </c>
      <c r="H228" s="40"/>
      <c r="I228" s="41" t="n">
        <f aca="false">IFERROR(INDEX(PalData,MATCH(K228,PalNames,0)+1,MATCH("Image",PalData_Header,0)),)</f>
        <v>0</v>
      </c>
      <c r="J228" s="40" t="n">
        <f aca="false">IFERROR(INDEX(PalData,MATCH(K228,PalNames,0)+1,MATCH("ZukanIndex",PalData_Header,0)),)</f>
        <v>0</v>
      </c>
      <c r="K228" s="42"/>
      <c r="M228" s="47" t="n">
        <f aca="false">IFERROR(INDEX(PalData,MATCH(O228,PalNames,0)+1,MATCH("Image",PalData_Header,0)),)</f>
        <v>0</v>
      </c>
      <c r="N228" s="48" t="n">
        <f aca="false">IFERROR(INDEX(PalData,MATCH(O228,PalNames,0)+1,MATCH("ZukanIndex",PalData_Header,0)),)</f>
        <v>0</v>
      </c>
      <c r="O228" s="49"/>
      <c r="Q228" s="3"/>
      <c r="R228" s="3"/>
      <c r="S228" s="3"/>
      <c r="T228" s="3"/>
      <c r="U228" s="3"/>
    </row>
    <row r="229" customFormat="false" ht="15.75" hidden="false" customHeight="false" outlineLevel="0" collapsed="false">
      <c r="F229" s="34" t="n">
        <f aca="false">IFERROR(INDEX(PalData,MATCH(H229,PalNames,0)+1,MATCH("Image",PalData_Header,0)),)</f>
        <v>0</v>
      </c>
      <c r="G229" s="35" t="n">
        <f aca="false">IFERROR(INDEX(PalData,MATCH(H229,PalNames,0)+1,MATCH("ZukanIndex",PalData_Header,0)),)</f>
        <v>0</v>
      </c>
      <c r="H229" s="35"/>
      <c r="I229" s="36" t="n">
        <f aca="false">IFERROR(INDEX(PalData,MATCH(K229,PalNames,0)+1,MATCH("Image",PalData_Header,0)),)</f>
        <v>0</v>
      </c>
      <c r="J229" s="35" t="n">
        <f aca="false">IFERROR(INDEX(PalData,MATCH(K229,PalNames,0)+1,MATCH("ZukanIndex",PalData_Header,0)),)</f>
        <v>0</v>
      </c>
      <c r="K229" s="37"/>
      <c r="M229" s="44" t="n">
        <f aca="false">IFERROR(INDEX(PalData,MATCH(O229,PalNames,0)+1,MATCH("Image",PalData_Header,0)),)</f>
        <v>0</v>
      </c>
      <c r="N229" s="45" t="n">
        <f aca="false">IFERROR(INDEX(PalData,MATCH(O229,PalNames,0)+1,MATCH("ZukanIndex",PalData_Header,0)),)</f>
        <v>0</v>
      </c>
      <c r="O229" s="46"/>
      <c r="Q229" s="3"/>
      <c r="R229" s="3"/>
      <c r="S229" s="3"/>
      <c r="T229" s="3"/>
      <c r="U229" s="3"/>
    </row>
    <row r="230" customFormat="false" ht="15.75" hidden="false" customHeight="false" outlineLevel="0" collapsed="false">
      <c r="F230" s="39" t="n">
        <f aca="false">IFERROR(INDEX(PalData,MATCH(H230,PalNames,0)+1,MATCH("Image",PalData_Header,0)),)</f>
        <v>0</v>
      </c>
      <c r="G230" s="40" t="n">
        <f aca="false">IFERROR(INDEX(PalData,MATCH(H230,PalNames,0)+1,MATCH("ZukanIndex",PalData_Header,0)),)</f>
        <v>0</v>
      </c>
      <c r="H230" s="40"/>
      <c r="I230" s="41" t="n">
        <f aca="false">IFERROR(INDEX(PalData,MATCH(K230,PalNames,0)+1,MATCH("Image",PalData_Header,0)),)</f>
        <v>0</v>
      </c>
      <c r="J230" s="40" t="n">
        <f aca="false">IFERROR(INDEX(PalData,MATCH(K230,PalNames,0)+1,MATCH("ZukanIndex",PalData_Header,0)),)</f>
        <v>0</v>
      </c>
      <c r="K230" s="42"/>
      <c r="M230" s="47" t="n">
        <f aca="false">IFERROR(INDEX(PalData,MATCH(O230,PalNames,0)+1,MATCH("Image",PalData_Header,0)),)</f>
        <v>0</v>
      </c>
      <c r="N230" s="48" t="n">
        <f aca="false">IFERROR(INDEX(PalData,MATCH(O230,PalNames,0)+1,MATCH("ZukanIndex",PalData_Header,0)),)</f>
        <v>0</v>
      </c>
      <c r="O230" s="49"/>
      <c r="Q230" s="3"/>
      <c r="R230" s="3"/>
      <c r="S230" s="3"/>
      <c r="T230" s="3"/>
      <c r="U230" s="3"/>
    </row>
    <row r="231" customFormat="false" ht="15.75" hidden="false" customHeight="false" outlineLevel="0" collapsed="false">
      <c r="F231" s="34" t="n">
        <f aca="false">IFERROR(INDEX(PalData,MATCH(H231,PalNames,0)+1,MATCH("Image",PalData_Header,0)),)</f>
        <v>0</v>
      </c>
      <c r="G231" s="35" t="n">
        <f aca="false">IFERROR(INDEX(PalData,MATCH(H231,PalNames,0)+1,MATCH("ZukanIndex",PalData_Header,0)),)</f>
        <v>0</v>
      </c>
      <c r="H231" s="35"/>
      <c r="I231" s="36" t="n">
        <f aca="false">IFERROR(INDEX(PalData,MATCH(K231,PalNames,0)+1,MATCH("Image",PalData_Header,0)),)</f>
        <v>0</v>
      </c>
      <c r="J231" s="35" t="n">
        <f aca="false">IFERROR(INDEX(PalData,MATCH(K231,PalNames,0)+1,MATCH("ZukanIndex",PalData_Header,0)),)</f>
        <v>0</v>
      </c>
      <c r="K231" s="37"/>
      <c r="M231" s="44" t="n">
        <f aca="false">IFERROR(INDEX(PalData,MATCH(O231,PalNames,0)+1,MATCH("Image",PalData_Header,0)),)</f>
        <v>0</v>
      </c>
      <c r="N231" s="45" t="n">
        <f aca="false">IFERROR(INDEX(PalData,MATCH(O231,PalNames,0)+1,MATCH("ZukanIndex",PalData_Header,0)),)</f>
        <v>0</v>
      </c>
      <c r="O231" s="46"/>
      <c r="Q231" s="3"/>
      <c r="R231" s="3"/>
      <c r="S231" s="3"/>
      <c r="T231" s="3"/>
      <c r="U231" s="3"/>
    </row>
    <row r="232" customFormat="false" ht="15.75" hidden="false" customHeight="false" outlineLevel="0" collapsed="false">
      <c r="F232" s="39" t="n">
        <f aca="false">IFERROR(INDEX(PalData,MATCH(H232,PalNames,0)+1,MATCH("Image",PalData_Header,0)),)</f>
        <v>0</v>
      </c>
      <c r="G232" s="40" t="n">
        <f aca="false">IFERROR(INDEX(PalData,MATCH(H232,PalNames,0)+1,MATCH("ZukanIndex",PalData_Header,0)),)</f>
        <v>0</v>
      </c>
      <c r="H232" s="40"/>
      <c r="I232" s="41" t="n">
        <f aca="false">IFERROR(INDEX(PalData,MATCH(K232,PalNames,0)+1,MATCH("Image",PalData_Header,0)),)</f>
        <v>0</v>
      </c>
      <c r="J232" s="40" t="n">
        <f aca="false">IFERROR(INDEX(PalData,MATCH(K232,PalNames,0)+1,MATCH("ZukanIndex",PalData_Header,0)),)</f>
        <v>0</v>
      </c>
      <c r="K232" s="42"/>
      <c r="M232" s="47" t="n">
        <f aca="false">IFERROR(INDEX(PalData,MATCH(O232,PalNames,0)+1,MATCH("Image",PalData_Header,0)),)</f>
        <v>0</v>
      </c>
      <c r="N232" s="48" t="n">
        <f aca="false">IFERROR(INDEX(PalData,MATCH(O232,PalNames,0)+1,MATCH("ZukanIndex",PalData_Header,0)),)</f>
        <v>0</v>
      </c>
      <c r="O232" s="49"/>
      <c r="Q232" s="3"/>
      <c r="R232" s="3"/>
      <c r="S232" s="3"/>
      <c r="T232" s="3"/>
      <c r="U232" s="3"/>
    </row>
    <row r="233" customFormat="false" ht="15.75" hidden="false" customHeight="false" outlineLevel="0" collapsed="false">
      <c r="F233" s="34" t="n">
        <f aca="false">IFERROR(INDEX(PalData,MATCH(H233,PalNames,0)+1,MATCH("Image",PalData_Header,0)),)</f>
        <v>0</v>
      </c>
      <c r="G233" s="35" t="n">
        <f aca="false">IFERROR(INDEX(PalData,MATCH(H233,PalNames,0)+1,MATCH("ZukanIndex",PalData_Header,0)),)</f>
        <v>0</v>
      </c>
      <c r="H233" s="35"/>
      <c r="I233" s="36" t="n">
        <f aca="false">IFERROR(INDEX(PalData,MATCH(K233,PalNames,0)+1,MATCH("Image",PalData_Header,0)),)</f>
        <v>0</v>
      </c>
      <c r="J233" s="35" t="n">
        <f aca="false">IFERROR(INDEX(PalData,MATCH(K233,PalNames,0)+1,MATCH("ZukanIndex",PalData_Header,0)),)</f>
        <v>0</v>
      </c>
      <c r="K233" s="37"/>
      <c r="M233" s="44" t="n">
        <f aca="false">IFERROR(INDEX(PalData,MATCH(O233,PalNames,0)+1,MATCH("Image",PalData_Header,0)),)</f>
        <v>0</v>
      </c>
      <c r="N233" s="45" t="n">
        <f aca="false">IFERROR(INDEX(PalData,MATCH(O233,PalNames,0)+1,MATCH("ZukanIndex",PalData_Header,0)),)</f>
        <v>0</v>
      </c>
      <c r="O233" s="46"/>
      <c r="Q233" s="3"/>
      <c r="R233" s="3"/>
      <c r="S233" s="3"/>
      <c r="T233" s="3"/>
      <c r="U233" s="3"/>
    </row>
    <row r="234" customFormat="false" ht="15.75" hidden="false" customHeight="false" outlineLevel="0" collapsed="false">
      <c r="F234" s="39" t="n">
        <f aca="false">IFERROR(INDEX(PalData,MATCH(H234,PalNames,0)+1,MATCH("Image",PalData_Header,0)),)</f>
        <v>0</v>
      </c>
      <c r="G234" s="40" t="n">
        <f aca="false">IFERROR(INDEX(PalData,MATCH(H234,PalNames,0)+1,MATCH("ZukanIndex",PalData_Header,0)),)</f>
        <v>0</v>
      </c>
      <c r="H234" s="40"/>
      <c r="I234" s="41" t="n">
        <f aca="false">IFERROR(INDEX(PalData,MATCH(K234,PalNames,0)+1,MATCH("Image",PalData_Header,0)),)</f>
        <v>0</v>
      </c>
      <c r="J234" s="40" t="n">
        <f aca="false">IFERROR(INDEX(PalData,MATCH(K234,PalNames,0)+1,MATCH("ZukanIndex",PalData_Header,0)),)</f>
        <v>0</v>
      </c>
      <c r="K234" s="42"/>
      <c r="M234" s="47" t="n">
        <f aca="false">IFERROR(INDEX(PalData,MATCH(O234,PalNames,0)+1,MATCH("Image",PalData_Header,0)),)</f>
        <v>0</v>
      </c>
      <c r="N234" s="48" t="n">
        <f aca="false">IFERROR(INDEX(PalData,MATCH(O234,PalNames,0)+1,MATCH("ZukanIndex",PalData_Header,0)),)</f>
        <v>0</v>
      </c>
      <c r="O234" s="49"/>
      <c r="Q234" s="3"/>
      <c r="R234" s="3"/>
      <c r="S234" s="3"/>
      <c r="T234" s="3"/>
      <c r="U234" s="3"/>
    </row>
    <row r="235" customFormat="false" ht="15.75" hidden="false" customHeight="false" outlineLevel="0" collapsed="false">
      <c r="F235" s="34" t="n">
        <f aca="false">IFERROR(INDEX(PalData,MATCH(H235,PalNames,0)+1,MATCH("Image",PalData_Header,0)),)</f>
        <v>0</v>
      </c>
      <c r="G235" s="35" t="n">
        <f aca="false">IFERROR(INDEX(PalData,MATCH(H235,PalNames,0)+1,MATCH("ZukanIndex",PalData_Header,0)),)</f>
        <v>0</v>
      </c>
      <c r="H235" s="35"/>
      <c r="I235" s="36" t="n">
        <f aca="false">IFERROR(INDEX(PalData,MATCH(K235,PalNames,0)+1,MATCH("Image",PalData_Header,0)),)</f>
        <v>0</v>
      </c>
      <c r="J235" s="35" t="n">
        <f aca="false">IFERROR(INDEX(PalData,MATCH(K235,PalNames,0)+1,MATCH("ZukanIndex",PalData_Header,0)),)</f>
        <v>0</v>
      </c>
      <c r="K235" s="37"/>
      <c r="M235" s="44" t="n">
        <f aca="false">IFERROR(INDEX(PalData,MATCH(O235,PalNames,0)+1,MATCH("Image",PalData_Header,0)),)</f>
        <v>0</v>
      </c>
      <c r="N235" s="45" t="n">
        <f aca="false">IFERROR(INDEX(PalData,MATCH(O235,PalNames,0)+1,MATCH("ZukanIndex",PalData_Header,0)),)</f>
        <v>0</v>
      </c>
      <c r="O235" s="46"/>
      <c r="Q235" s="3"/>
      <c r="R235" s="3"/>
      <c r="S235" s="3"/>
      <c r="T235" s="3"/>
      <c r="U235" s="3"/>
    </row>
    <row r="236" customFormat="false" ht="15.75" hidden="false" customHeight="false" outlineLevel="0" collapsed="false">
      <c r="F236" s="39" t="n">
        <f aca="false">IFERROR(INDEX(PalData,MATCH(H236,PalNames,0)+1,MATCH("Image",PalData_Header,0)),)</f>
        <v>0</v>
      </c>
      <c r="G236" s="40" t="n">
        <f aca="false">IFERROR(INDEX(PalData,MATCH(H236,PalNames,0)+1,MATCH("ZukanIndex",PalData_Header,0)),)</f>
        <v>0</v>
      </c>
      <c r="H236" s="40"/>
      <c r="I236" s="41" t="n">
        <f aca="false">IFERROR(INDEX(PalData,MATCH(K236,PalNames,0)+1,MATCH("Image",PalData_Header,0)),)</f>
        <v>0</v>
      </c>
      <c r="J236" s="40" t="n">
        <f aca="false">IFERROR(INDEX(PalData,MATCH(K236,PalNames,0)+1,MATCH("ZukanIndex",PalData_Header,0)),)</f>
        <v>0</v>
      </c>
      <c r="K236" s="42"/>
      <c r="M236" s="47" t="n">
        <f aca="false">IFERROR(INDEX(PalData,MATCH(O236,PalNames,0)+1,MATCH("Image",PalData_Header,0)),)</f>
        <v>0</v>
      </c>
      <c r="N236" s="48" t="n">
        <f aca="false">IFERROR(INDEX(PalData,MATCH(O236,PalNames,0)+1,MATCH("ZukanIndex",PalData_Header,0)),)</f>
        <v>0</v>
      </c>
      <c r="O236" s="49"/>
      <c r="Q236" s="3"/>
      <c r="R236" s="3"/>
      <c r="S236" s="3"/>
      <c r="T236" s="3"/>
      <c r="U236" s="3"/>
    </row>
    <row r="237" customFormat="false" ht="15.75" hidden="false" customHeight="false" outlineLevel="0" collapsed="false">
      <c r="F237" s="34" t="n">
        <f aca="false">IFERROR(INDEX(PalData,MATCH(H237,PalNames,0)+1,MATCH("Image",PalData_Header,0)),)</f>
        <v>0</v>
      </c>
      <c r="G237" s="35" t="n">
        <f aca="false">IFERROR(INDEX(PalData,MATCH(H237,PalNames,0)+1,MATCH("ZukanIndex",PalData_Header,0)),)</f>
        <v>0</v>
      </c>
      <c r="H237" s="35"/>
      <c r="I237" s="36" t="n">
        <f aca="false">IFERROR(INDEX(PalData,MATCH(K237,PalNames,0)+1,MATCH("Image",PalData_Header,0)),)</f>
        <v>0</v>
      </c>
      <c r="J237" s="35" t="n">
        <f aca="false">IFERROR(INDEX(PalData,MATCH(K237,PalNames,0)+1,MATCH("ZukanIndex",PalData_Header,0)),)</f>
        <v>0</v>
      </c>
      <c r="K237" s="37"/>
      <c r="M237" s="44" t="n">
        <f aca="false">IFERROR(INDEX(PalData,MATCH(O237,PalNames,0)+1,MATCH("Image",PalData_Header,0)),)</f>
        <v>0</v>
      </c>
      <c r="N237" s="45" t="n">
        <f aca="false">IFERROR(INDEX(PalData,MATCH(O237,PalNames,0)+1,MATCH("ZukanIndex",PalData_Header,0)),)</f>
        <v>0</v>
      </c>
      <c r="O237" s="46"/>
      <c r="Q237" s="3"/>
      <c r="R237" s="3"/>
      <c r="S237" s="3"/>
      <c r="T237" s="3"/>
      <c r="U237" s="3"/>
    </row>
    <row r="238" customFormat="false" ht="15.75" hidden="false" customHeight="false" outlineLevel="0" collapsed="false">
      <c r="F238" s="39" t="n">
        <f aca="false">IFERROR(INDEX(PalData,MATCH(H238,PalNames,0)+1,MATCH("Image",PalData_Header,0)),)</f>
        <v>0</v>
      </c>
      <c r="G238" s="40" t="n">
        <f aca="false">IFERROR(INDEX(PalData,MATCH(H238,PalNames,0)+1,MATCH("ZukanIndex",PalData_Header,0)),)</f>
        <v>0</v>
      </c>
      <c r="H238" s="40"/>
      <c r="I238" s="41" t="n">
        <f aca="false">IFERROR(INDEX(PalData,MATCH(K238,PalNames,0)+1,MATCH("Image",PalData_Header,0)),)</f>
        <v>0</v>
      </c>
      <c r="J238" s="40" t="n">
        <f aca="false">IFERROR(INDEX(PalData,MATCH(K238,PalNames,0)+1,MATCH("ZukanIndex",PalData_Header,0)),)</f>
        <v>0</v>
      </c>
      <c r="K238" s="42"/>
      <c r="M238" s="47" t="n">
        <f aca="false">IFERROR(INDEX(PalData,MATCH(O238,PalNames,0)+1,MATCH("Image",PalData_Header,0)),)</f>
        <v>0</v>
      </c>
      <c r="N238" s="48" t="n">
        <f aca="false">IFERROR(INDEX(PalData,MATCH(O238,PalNames,0)+1,MATCH("ZukanIndex",PalData_Header,0)),)</f>
        <v>0</v>
      </c>
      <c r="O238" s="49"/>
      <c r="Q238" s="3"/>
      <c r="R238" s="3"/>
      <c r="S238" s="3"/>
      <c r="T238" s="3"/>
      <c r="U238" s="3"/>
    </row>
    <row r="239" customFormat="false" ht="15.75" hidden="false" customHeight="false" outlineLevel="0" collapsed="false">
      <c r="F239" s="34" t="n">
        <f aca="false">IFERROR(INDEX(PalData,MATCH(H239,PalNames,0)+1,MATCH("Image",PalData_Header,0)),)</f>
        <v>0</v>
      </c>
      <c r="G239" s="35" t="n">
        <f aca="false">IFERROR(INDEX(PalData,MATCH(H239,PalNames,0)+1,MATCH("ZukanIndex",PalData_Header,0)),)</f>
        <v>0</v>
      </c>
      <c r="H239" s="35"/>
      <c r="I239" s="36" t="n">
        <f aca="false">IFERROR(INDEX(PalData,MATCH(K239,PalNames,0)+1,MATCH("Image",PalData_Header,0)),)</f>
        <v>0</v>
      </c>
      <c r="J239" s="35" t="n">
        <f aca="false">IFERROR(INDEX(PalData,MATCH(K239,PalNames,0)+1,MATCH("ZukanIndex",PalData_Header,0)),)</f>
        <v>0</v>
      </c>
      <c r="K239" s="37"/>
      <c r="M239" s="44" t="n">
        <f aca="false">IFERROR(INDEX(PalData,MATCH(O239,PalNames,0)+1,MATCH("Image",PalData_Header,0)),)</f>
        <v>0</v>
      </c>
      <c r="N239" s="45" t="n">
        <f aca="false">IFERROR(INDEX(PalData,MATCH(O239,PalNames,0)+1,MATCH("ZukanIndex",PalData_Header,0)),)</f>
        <v>0</v>
      </c>
      <c r="O239" s="46"/>
      <c r="Q239" s="3"/>
      <c r="R239" s="3"/>
      <c r="S239" s="3"/>
      <c r="T239" s="3"/>
      <c r="U239" s="3"/>
    </row>
    <row r="240" customFormat="false" ht="15.75" hidden="false" customHeight="false" outlineLevel="0" collapsed="false">
      <c r="F240" s="39" t="n">
        <f aca="false">IFERROR(INDEX(PalData,MATCH(H240,PalNames,0)+1,MATCH("Image",PalData_Header,0)),)</f>
        <v>0</v>
      </c>
      <c r="G240" s="40" t="n">
        <f aca="false">IFERROR(INDEX(PalData,MATCH(H240,PalNames,0)+1,MATCH("ZukanIndex",PalData_Header,0)),)</f>
        <v>0</v>
      </c>
      <c r="H240" s="40"/>
      <c r="I240" s="41" t="n">
        <f aca="false">IFERROR(INDEX(PalData,MATCH(K240,PalNames,0)+1,MATCH("Image",PalData_Header,0)),)</f>
        <v>0</v>
      </c>
      <c r="J240" s="40" t="n">
        <f aca="false">IFERROR(INDEX(PalData,MATCH(K240,PalNames,0)+1,MATCH("ZukanIndex",PalData_Header,0)),)</f>
        <v>0</v>
      </c>
      <c r="K240" s="42"/>
      <c r="M240" s="47" t="n">
        <f aca="false">IFERROR(INDEX(PalData,MATCH(O240,PalNames,0)+1,MATCH("Image",PalData_Header,0)),)</f>
        <v>0</v>
      </c>
      <c r="N240" s="48" t="n">
        <f aca="false">IFERROR(INDEX(PalData,MATCH(O240,PalNames,0)+1,MATCH("ZukanIndex",PalData_Header,0)),)</f>
        <v>0</v>
      </c>
      <c r="O240" s="49"/>
      <c r="Q240" s="3"/>
      <c r="R240" s="3"/>
      <c r="S240" s="3"/>
      <c r="T240" s="3"/>
      <c r="U240" s="3"/>
    </row>
    <row r="241" customFormat="false" ht="15.75" hidden="false" customHeight="false" outlineLevel="0" collapsed="false">
      <c r="F241" s="34" t="n">
        <f aca="false">IFERROR(INDEX(PalData,MATCH(H241,PalNames,0)+1,MATCH("Image",PalData_Header,0)),)</f>
        <v>0</v>
      </c>
      <c r="G241" s="35" t="n">
        <f aca="false">IFERROR(INDEX(PalData,MATCH(H241,PalNames,0)+1,MATCH("ZukanIndex",PalData_Header,0)),)</f>
        <v>0</v>
      </c>
      <c r="H241" s="35"/>
      <c r="I241" s="36" t="n">
        <f aca="false">IFERROR(INDEX(PalData,MATCH(K241,PalNames,0)+1,MATCH("Image",PalData_Header,0)),)</f>
        <v>0</v>
      </c>
      <c r="J241" s="35" t="n">
        <f aca="false">IFERROR(INDEX(PalData,MATCH(K241,PalNames,0)+1,MATCH("ZukanIndex",PalData_Header,0)),)</f>
        <v>0</v>
      </c>
      <c r="K241" s="37"/>
      <c r="M241" s="44" t="n">
        <f aca="false">IFERROR(INDEX(PalData,MATCH(O241,PalNames,0)+1,MATCH("Image",PalData_Header,0)),)</f>
        <v>0</v>
      </c>
      <c r="N241" s="45" t="n">
        <f aca="false">IFERROR(INDEX(PalData,MATCH(O241,PalNames,0)+1,MATCH("ZukanIndex",PalData_Header,0)),)</f>
        <v>0</v>
      </c>
      <c r="O241" s="46"/>
      <c r="Q241" s="3"/>
      <c r="R241" s="3"/>
      <c r="S241" s="3"/>
      <c r="T241" s="3"/>
      <c r="U241" s="3"/>
    </row>
    <row r="242" customFormat="false" ht="15.75" hidden="false" customHeight="false" outlineLevel="0" collapsed="false">
      <c r="F242" s="39" t="n">
        <f aca="false">IFERROR(INDEX(PalData,MATCH(H242,PalNames,0)+1,MATCH("Image",PalData_Header,0)),)</f>
        <v>0</v>
      </c>
      <c r="G242" s="40" t="n">
        <f aca="false">IFERROR(INDEX(PalData,MATCH(H242,PalNames,0)+1,MATCH("ZukanIndex",PalData_Header,0)),)</f>
        <v>0</v>
      </c>
      <c r="H242" s="40"/>
      <c r="I242" s="41" t="n">
        <f aca="false">IFERROR(INDEX(PalData,MATCH(K242,PalNames,0)+1,MATCH("Image",PalData_Header,0)),)</f>
        <v>0</v>
      </c>
      <c r="J242" s="40" t="n">
        <f aca="false">IFERROR(INDEX(PalData,MATCH(K242,PalNames,0)+1,MATCH("ZukanIndex",PalData_Header,0)),)</f>
        <v>0</v>
      </c>
      <c r="K242" s="42"/>
      <c r="M242" s="47" t="n">
        <f aca="false">IFERROR(INDEX(PalData,MATCH(O242,PalNames,0)+1,MATCH("Image",PalData_Header,0)),)</f>
        <v>0</v>
      </c>
      <c r="N242" s="48" t="n">
        <f aca="false">IFERROR(INDEX(PalData,MATCH(O242,PalNames,0)+1,MATCH("ZukanIndex",PalData_Header,0)),)</f>
        <v>0</v>
      </c>
      <c r="O242" s="49"/>
      <c r="Q242" s="3"/>
      <c r="R242" s="3"/>
      <c r="S242" s="3"/>
      <c r="T242" s="3"/>
      <c r="U242" s="3"/>
    </row>
    <row r="243" customFormat="false" ht="15.75" hidden="false" customHeight="false" outlineLevel="0" collapsed="false">
      <c r="F243" s="34" t="n">
        <f aca="false">IFERROR(INDEX(PalData,MATCH(H243,PalNames,0)+1,MATCH("Image",PalData_Header,0)),)</f>
        <v>0</v>
      </c>
      <c r="G243" s="35" t="n">
        <f aca="false">IFERROR(INDEX(PalData,MATCH(H243,PalNames,0)+1,MATCH("ZukanIndex",PalData_Header,0)),)</f>
        <v>0</v>
      </c>
      <c r="H243" s="35"/>
      <c r="I243" s="36" t="n">
        <f aca="false">IFERROR(INDEX(PalData,MATCH(K243,PalNames,0)+1,MATCH("Image",PalData_Header,0)),)</f>
        <v>0</v>
      </c>
      <c r="J243" s="35" t="n">
        <f aca="false">IFERROR(INDEX(PalData,MATCH(K243,PalNames,0)+1,MATCH("ZukanIndex",PalData_Header,0)),)</f>
        <v>0</v>
      </c>
      <c r="K243" s="37"/>
      <c r="M243" s="44" t="n">
        <f aca="false">IFERROR(INDEX(PalData,MATCH(O243,PalNames,0)+1,MATCH("Image",PalData_Header,0)),)</f>
        <v>0</v>
      </c>
      <c r="N243" s="45" t="n">
        <f aca="false">IFERROR(INDEX(PalData,MATCH(O243,PalNames,0)+1,MATCH("ZukanIndex",PalData_Header,0)),)</f>
        <v>0</v>
      </c>
      <c r="O243" s="46"/>
      <c r="Q243" s="3"/>
      <c r="R243" s="3"/>
      <c r="S243" s="3"/>
      <c r="T243" s="3"/>
      <c r="U243" s="3"/>
    </row>
    <row r="244" customFormat="false" ht="15.75" hidden="false" customHeight="false" outlineLevel="0" collapsed="false">
      <c r="F244" s="39" t="n">
        <f aca="false">IFERROR(INDEX(PalData,MATCH(H244,PalNames,0)+1,MATCH("Image",PalData_Header,0)),)</f>
        <v>0</v>
      </c>
      <c r="G244" s="40" t="n">
        <f aca="false">IFERROR(INDEX(PalData,MATCH(H244,PalNames,0)+1,MATCH("ZukanIndex",PalData_Header,0)),)</f>
        <v>0</v>
      </c>
      <c r="H244" s="40"/>
      <c r="I244" s="41" t="n">
        <f aca="false">IFERROR(INDEX(PalData,MATCH(K244,PalNames,0)+1,MATCH("Image",PalData_Header,0)),)</f>
        <v>0</v>
      </c>
      <c r="J244" s="40" t="n">
        <f aca="false">IFERROR(INDEX(PalData,MATCH(K244,PalNames,0)+1,MATCH("ZukanIndex",PalData_Header,0)),)</f>
        <v>0</v>
      </c>
      <c r="K244" s="42"/>
      <c r="M244" s="47" t="n">
        <f aca="false">IFERROR(INDEX(PalData,MATCH(O244,PalNames,0)+1,MATCH("Image",PalData_Header,0)),)</f>
        <v>0</v>
      </c>
      <c r="N244" s="48" t="n">
        <f aca="false">IFERROR(INDEX(PalData,MATCH(O244,PalNames,0)+1,MATCH("ZukanIndex",PalData_Header,0)),)</f>
        <v>0</v>
      </c>
      <c r="O244" s="49"/>
      <c r="Q244" s="3"/>
      <c r="R244" s="3"/>
      <c r="S244" s="3"/>
      <c r="T244" s="3"/>
      <c r="U244" s="3"/>
    </row>
    <row r="245" customFormat="false" ht="15.75" hidden="false" customHeight="false" outlineLevel="0" collapsed="false">
      <c r="F245" s="34" t="n">
        <f aca="false">IFERROR(INDEX(PalData,MATCH(H245,PalNames,0)+1,MATCH("Image",PalData_Header,0)),)</f>
        <v>0</v>
      </c>
      <c r="G245" s="35" t="n">
        <f aca="false">IFERROR(INDEX(PalData,MATCH(H245,PalNames,0)+1,MATCH("ZukanIndex",PalData_Header,0)),)</f>
        <v>0</v>
      </c>
      <c r="H245" s="35"/>
      <c r="I245" s="36" t="n">
        <f aca="false">IFERROR(INDEX(PalData,MATCH(K245,PalNames,0)+1,MATCH("Image",PalData_Header,0)),)</f>
        <v>0</v>
      </c>
      <c r="J245" s="35" t="n">
        <f aca="false">IFERROR(INDEX(PalData,MATCH(K245,PalNames,0)+1,MATCH("ZukanIndex",PalData_Header,0)),)</f>
        <v>0</v>
      </c>
      <c r="K245" s="37"/>
      <c r="M245" s="44" t="n">
        <f aca="false">IFERROR(INDEX(PalData,MATCH(O245,PalNames,0)+1,MATCH("Image",PalData_Header,0)),)</f>
        <v>0</v>
      </c>
      <c r="N245" s="45" t="n">
        <f aca="false">IFERROR(INDEX(PalData,MATCH(O245,PalNames,0)+1,MATCH("ZukanIndex",PalData_Header,0)),)</f>
        <v>0</v>
      </c>
      <c r="O245" s="46"/>
      <c r="Q245" s="3"/>
      <c r="R245" s="3"/>
      <c r="S245" s="3"/>
      <c r="T245" s="3"/>
      <c r="U245" s="3"/>
    </row>
    <row r="246" customFormat="false" ht="15.75" hidden="false" customHeight="false" outlineLevel="0" collapsed="false">
      <c r="F246" s="39" t="n">
        <f aca="false">IFERROR(INDEX(PalData,MATCH(H246,PalNames,0)+1,MATCH("Image",PalData_Header,0)),)</f>
        <v>0</v>
      </c>
      <c r="G246" s="40" t="n">
        <f aca="false">IFERROR(INDEX(PalData,MATCH(H246,PalNames,0)+1,MATCH("ZukanIndex",PalData_Header,0)),)</f>
        <v>0</v>
      </c>
      <c r="H246" s="40"/>
      <c r="I246" s="41" t="n">
        <f aca="false">IFERROR(INDEX(PalData,MATCH(K246,PalNames,0)+1,MATCH("Image",PalData_Header,0)),)</f>
        <v>0</v>
      </c>
      <c r="J246" s="40" t="n">
        <f aca="false">IFERROR(INDEX(PalData,MATCH(K246,PalNames,0)+1,MATCH("ZukanIndex",PalData_Header,0)),)</f>
        <v>0</v>
      </c>
      <c r="K246" s="42"/>
      <c r="M246" s="47" t="n">
        <f aca="false">IFERROR(INDEX(PalData,MATCH(O246,PalNames,0)+1,MATCH("Image",PalData_Header,0)),)</f>
        <v>0</v>
      </c>
      <c r="N246" s="48" t="n">
        <f aca="false">IFERROR(INDEX(PalData,MATCH(O246,PalNames,0)+1,MATCH("ZukanIndex",PalData_Header,0)),)</f>
        <v>0</v>
      </c>
      <c r="O246" s="49"/>
      <c r="Q246" s="3"/>
      <c r="R246" s="3"/>
      <c r="S246" s="3"/>
      <c r="T246" s="3"/>
      <c r="U246" s="3"/>
    </row>
    <row r="247" customFormat="false" ht="15.75" hidden="false" customHeight="false" outlineLevel="0" collapsed="false">
      <c r="F247" s="34" t="n">
        <f aca="false">IFERROR(INDEX(PalData,MATCH(H247,PalNames,0)+1,MATCH("Image",PalData_Header,0)),)</f>
        <v>0</v>
      </c>
      <c r="G247" s="35" t="n">
        <f aca="false">IFERROR(INDEX(PalData,MATCH(H247,PalNames,0)+1,MATCH("ZukanIndex",PalData_Header,0)),)</f>
        <v>0</v>
      </c>
      <c r="H247" s="35"/>
      <c r="I247" s="36" t="n">
        <f aca="false">IFERROR(INDEX(PalData,MATCH(K247,PalNames,0)+1,MATCH("Image",PalData_Header,0)),)</f>
        <v>0</v>
      </c>
      <c r="J247" s="35" t="n">
        <f aca="false">IFERROR(INDEX(PalData,MATCH(K247,PalNames,0)+1,MATCH("ZukanIndex",PalData_Header,0)),)</f>
        <v>0</v>
      </c>
      <c r="K247" s="37"/>
      <c r="M247" s="44" t="n">
        <f aca="false">IFERROR(INDEX(PalData,MATCH(O247,PalNames,0)+1,MATCH("Image",PalData_Header,0)),)</f>
        <v>0</v>
      </c>
      <c r="N247" s="45" t="n">
        <f aca="false">IFERROR(INDEX(PalData,MATCH(O247,PalNames,0)+1,MATCH("ZukanIndex",PalData_Header,0)),)</f>
        <v>0</v>
      </c>
      <c r="O247" s="46"/>
      <c r="Q247" s="3"/>
      <c r="R247" s="3"/>
      <c r="S247" s="3"/>
      <c r="T247" s="3"/>
      <c r="U247" s="3"/>
    </row>
    <row r="248" customFormat="false" ht="15.75" hidden="false" customHeight="false" outlineLevel="0" collapsed="false">
      <c r="F248" s="39" t="n">
        <f aca="false">IFERROR(INDEX(PalData,MATCH(H248,PalNames,0)+1,MATCH("Image",PalData_Header,0)),)</f>
        <v>0</v>
      </c>
      <c r="G248" s="40" t="n">
        <f aca="false">IFERROR(INDEX(PalData,MATCH(H248,PalNames,0)+1,MATCH("ZukanIndex",PalData_Header,0)),)</f>
        <v>0</v>
      </c>
      <c r="H248" s="40"/>
      <c r="I248" s="41" t="n">
        <f aca="false">IFERROR(INDEX(PalData,MATCH(K248,PalNames,0)+1,MATCH("Image",PalData_Header,0)),)</f>
        <v>0</v>
      </c>
      <c r="J248" s="40" t="n">
        <f aca="false">IFERROR(INDEX(PalData,MATCH(K248,PalNames,0)+1,MATCH("ZukanIndex",PalData_Header,0)),)</f>
        <v>0</v>
      </c>
      <c r="K248" s="42"/>
      <c r="M248" s="47" t="n">
        <f aca="false">IFERROR(INDEX(PalData,MATCH(O248,PalNames,0)+1,MATCH("Image",PalData_Header,0)),)</f>
        <v>0</v>
      </c>
      <c r="N248" s="48" t="n">
        <f aca="false">IFERROR(INDEX(PalData,MATCH(O248,PalNames,0)+1,MATCH("ZukanIndex",PalData_Header,0)),)</f>
        <v>0</v>
      </c>
      <c r="O248" s="49"/>
      <c r="Q248" s="3"/>
      <c r="R248" s="3"/>
      <c r="S248" s="3"/>
      <c r="T248" s="3"/>
      <c r="U248" s="3"/>
    </row>
    <row r="249" customFormat="false" ht="15.75" hidden="false" customHeight="false" outlineLevel="0" collapsed="false">
      <c r="F249" s="34" t="n">
        <f aca="false">IFERROR(INDEX(PalData,MATCH(H249,PalNames,0)+1,MATCH("Image",PalData_Header,0)),)</f>
        <v>0</v>
      </c>
      <c r="G249" s="35" t="n">
        <f aca="false">IFERROR(INDEX(PalData,MATCH(H249,PalNames,0)+1,MATCH("ZukanIndex",PalData_Header,0)),)</f>
        <v>0</v>
      </c>
      <c r="H249" s="35"/>
      <c r="I249" s="36" t="n">
        <f aca="false">IFERROR(INDEX(PalData,MATCH(K249,PalNames,0)+1,MATCH("Image",PalData_Header,0)),)</f>
        <v>0</v>
      </c>
      <c r="J249" s="35" t="n">
        <f aca="false">IFERROR(INDEX(PalData,MATCH(K249,PalNames,0)+1,MATCH("ZukanIndex",PalData_Header,0)),)</f>
        <v>0</v>
      </c>
      <c r="K249" s="37"/>
      <c r="M249" s="44" t="n">
        <f aca="false">IFERROR(INDEX(PalData,MATCH(O249,PalNames,0)+1,MATCH("Image",PalData_Header,0)),)</f>
        <v>0</v>
      </c>
      <c r="N249" s="45" t="n">
        <f aca="false">IFERROR(INDEX(PalData,MATCH(O249,PalNames,0)+1,MATCH("ZukanIndex",PalData_Header,0)),)</f>
        <v>0</v>
      </c>
      <c r="O249" s="46"/>
      <c r="Q249" s="3"/>
      <c r="R249" s="3"/>
      <c r="S249" s="3"/>
      <c r="T249" s="3"/>
      <c r="U249" s="3"/>
    </row>
    <row r="250" customFormat="false" ht="15.75" hidden="false" customHeight="false" outlineLevel="0" collapsed="false">
      <c r="F250" s="39" t="n">
        <f aca="false">IFERROR(INDEX(PalData,MATCH(H250,PalNames,0)+1,MATCH("Image",PalData_Header,0)),)</f>
        <v>0</v>
      </c>
      <c r="G250" s="40" t="n">
        <f aca="false">IFERROR(INDEX(PalData,MATCH(H250,PalNames,0)+1,MATCH("ZukanIndex",PalData_Header,0)),)</f>
        <v>0</v>
      </c>
      <c r="H250" s="40"/>
      <c r="I250" s="41" t="n">
        <f aca="false">IFERROR(INDEX(PalData,MATCH(K250,PalNames,0)+1,MATCH("Image",PalData_Header,0)),)</f>
        <v>0</v>
      </c>
      <c r="J250" s="40" t="n">
        <f aca="false">IFERROR(INDEX(PalData,MATCH(K250,PalNames,0)+1,MATCH("ZukanIndex",PalData_Header,0)),)</f>
        <v>0</v>
      </c>
      <c r="K250" s="42"/>
      <c r="M250" s="47" t="n">
        <f aca="false">IFERROR(INDEX(PalData,MATCH(O250,PalNames,0)+1,MATCH("Image",PalData_Header,0)),)</f>
        <v>0</v>
      </c>
      <c r="N250" s="48" t="n">
        <f aca="false">IFERROR(INDEX(PalData,MATCH(O250,PalNames,0)+1,MATCH("ZukanIndex",PalData_Header,0)),)</f>
        <v>0</v>
      </c>
      <c r="O250" s="49"/>
      <c r="Q250" s="3"/>
      <c r="R250" s="3"/>
      <c r="S250" s="3"/>
      <c r="T250" s="3"/>
      <c r="U250" s="3"/>
    </row>
    <row r="251" customFormat="false" ht="15.75" hidden="false" customHeight="false" outlineLevel="0" collapsed="false">
      <c r="F251" s="34" t="n">
        <f aca="false">IFERROR(INDEX(PalData,MATCH(H251,PalNames,0)+1,MATCH("Image",PalData_Header,0)),)</f>
        <v>0</v>
      </c>
      <c r="G251" s="35" t="n">
        <f aca="false">IFERROR(INDEX(PalData,MATCH(H251,PalNames,0)+1,MATCH("ZukanIndex",PalData_Header,0)),)</f>
        <v>0</v>
      </c>
      <c r="H251" s="35"/>
      <c r="I251" s="36" t="n">
        <f aca="false">IFERROR(INDEX(PalData,MATCH(K251,PalNames,0)+1,MATCH("Image",PalData_Header,0)),)</f>
        <v>0</v>
      </c>
      <c r="J251" s="35" t="n">
        <f aca="false">IFERROR(INDEX(PalData,MATCH(K251,PalNames,0)+1,MATCH("ZukanIndex",PalData_Header,0)),)</f>
        <v>0</v>
      </c>
      <c r="K251" s="37"/>
      <c r="M251" s="44" t="n">
        <f aca="false">IFERROR(INDEX(PalData,MATCH(O251,PalNames,0)+1,MATCH("Image",PalData_Header,0)),)</f>
        <v>0</v>
      </c>
      <c r="N251" s="45" t="n">
        <f aca="false">IFERROR(INDEX(PalData,MATCH(O251,PalNames,0)+1,MATCH("ZukanIndex",PalData_Header,0)),)</f>
        <v>0</v>
      </c>
      <c r="O251" s="46"/>
      <c r="Q251" s="3"/>
      <c r="R251" s="3"/>
      <c r="S251" s="3"/>
      <c r="T251" s="3"/>
      <c r="U251" s="3"/>
    </row>
    <row r="252" customFormat="false" ht="15.75" hidden="false" customHeight="false" outlineLevel="0" collapsed="false">
      <c r="F252" s="39" t="n">
        <f aca="false">IFERROR(INDEX(PalData,MATCH(H252,PalNames,0)+1,MATCH("Image",PalData_Header,0)),)</f>
        <v>0</v>
      </c>
      <c r="G252" s="40" t="n">
        <f aca="false">IFERROR(INDEX(PalData,MATCH(H252,PalNames,0)+1,MATCH("ZukanIndex",PalData_Header,0)),)</f>
        <v>0</v>
      </c>
      <c r="H252" s="40"/>
      <c r="I252" s="41" t="n">
        <f aca="false">IFERROR(INDEX(PalData,MATCH(K252,PalNames,0)+1,MATCH("Image",PalData_Header,0)),)</f>
        <v>0</v>
      </c>
      <c r="J252" s="40" t="n">
        <f aca="false">IFERROR(INDEX(PalData,MATCH(K252,PalNames,0)+1,MATCH("ZukanIndex",PalData_Header,0)),)</f>
        <v>0</v>
      </c>
      <c r="K252" s="42"/>
      <c r="M252" s="47" t="n">
        <f aca="false">IFERROR(INDEX(PalData,MATCH(O252,PalNames,0)+1,MATCH("Image",PalData_Header,0)),)</f>
        <v>0</v>
      </c>
      <c r="N252" s="48" t="n">
        <f aca="false">IFERROR(INDEX(PalData,MATCH(O252,PalNames,0)+1,MATCH("ZukanIndex",PalData_Header,0)),)</f>
        <v>0</v>
      </c>
      <c r="O252" s="49"/>
      <c r="Q252" s="3"/>
      <c r="R252" s="3"/>
      <c r="S252" s="3"/>
      <c r="T252" s="3"/>
      <c r="U252" s="3"/>
    </row>
    <row r="253" customFormat="false" ht="15.75" hidden="false" customHeight="false" outlineLevel="0" collapsed="false">
      <c r="F253" s="34" t="n">
        <f aca="false">IFERROR(INDEX(PalData,MATCH(H253,PalNames,0)+1,MATCH("Image",PalData_Header,0)),)</f>
        <v>0</v>
      </c>
      <c r="G253" s="35" t="n">
        <f aca="false">IFERROR(INDEX(PalData,MATCH(H253,PalNames,0)+1,MATCH("ZukanIndex",PalData_Header,0)),)</f>
        <v>0</v>
      </c>
      <c r="H253" s="35"/>
      <c r="I253" s="36" t="n">
        <f aca="false">IFERROR(INDEX(PalData,MATCH(K253,PalNames,0)+1,MATCH("Image",PalData_Header,0)),)</f>
        <v>0</v>
      </c>
      <c r="J253" s="35" t="n">
        <f aca="false">IFERROR(INDEX(PalData,MATCH(K253,PalNames,0)+1,MATCH("ZukanIndex",PalData_Header,0)),)</f>
        <v>0</v>
      </c>
      <c r="K253" s="37"/>
      <c r="M253" s="44" t="n">
        <f aca="false">IFERROR(INDEX(PalData,MATCH(O253,PalNames,0)+1,MATCH("Image",PalData_Header,0)),)</f>
        <v>0</v>
      </c>
      <c r="N253" s="45" t="n">
        <f aca="false">IFERROR(INDEX(PalData,MATCH(O253,PalNames,0)+1,MATCH("ZukanIndex",PalData_Header,0)),)</f>
        <v>0</v>
      </c>
      <c r="O253" s="46"/>
      <c r="Q253" s="3"/>
      <c r="R253" s="3"/>
      <c r="S253" s="3"/>
      <c r="T253" s="3"/>
      <c r="U253" s="3"/>
    </row>
    <row r="254" customFormat="false" ht="15.75" hidden="false" customHeight="false" outlineLevel="0" collapsed="false">
      <c r="F254" s="39" t="n">
        <f aca="false">IFERROR(INDEX(PalData,MATCH(H254,PalNames,0)+1,MATCH("Image",PalData_Header,0)),)</f>
        <v>0</v>
      </c>
      <c r="G254" s="40" t="n">
        <f aca="false">IFERROR(INDEX(PalData,MATCH(H254,PalNames,0)+1,MATCH("ZukanIndex",PalData_Header,0)),)</f>
        <v>0</v>
      </c>
      <c r="H254" s="40"/>
      <c r="I254" s="41" t="n">
        <f aca="false">IFERROR(INDEX(PalData,MATCH(K254,PalNames,0)+1,MATCH("Image",PalData_Header,0)),)</f>
        <v>0</v>
      </c>
      <c r="J254" s="40" t="n">
        <f aca="false">IFERROR(INDEX(PalData,MATCH(K254,PalNames,0)+1,MATCH("ZukanIndex",PalData_Header,0)),)</f>
        <v>0</v>
      </c>
      <c r="K254" s="42"/>
      <c r="M254" s="47" t="n">
        <f aca="false">IFERROR(INDEX(PalData,MATCH(O254,PalNames,0)+1,MATCH("Image",PalData_Header,0)),)</f>
        <v>0</v>
      </c>
      <c r="N254" s="48" t="n">
        <f aca="false">IFERROR(INDEX(PalData,MATCH(O254,PalNames,0)+1,MATCH("ZukanIndex",PalData_Header,0)),)</f>
        <v>0</v>
      </c>
      <c r="O254" s="49"/>
      <c r="Q254" s="3"/>
      <c r="R254" s="3"/>
      <c r="S254" s="3"/>
      <c r="T254" s="3"/>
      <c r="U254" s="3"/>
    </row>
    <row r="255" customFormat="false" ht="15.75" hidden="false" customHeight="false" outlineLevel="0" collapsed="false">
      <c r="F255" s="34" t="n">
        <f aca="false">IFERROR(INDEX(PalData,MATCH(H255,PalNames,0)+1,MATCH("Image",PalData_Header,0)),)</f>
        <v>0</v>
      </c>
      <c r="G255" s="35" t="n">
        <f aca="false">IFERROR(INDEX(PalData,MATCH(H255,PalNames,0)+1,MATCH("ZukanIndex",PalData_Header,0)),)</f>
        <v>0</v>
      </c>
      <c r="H255" s="35"/>
      <c r="I255" s="36" t="n">
        <f aca="false">IFERROR(INDEX(PalData,MATCH(K255,PalNames,0)+1,MATCH("Image",PalData_Header,0)),)</f>
        <v>0</v>
      </c>
      <c r="J255" s="35" t="n">
        <f aca="false">IFERROR(INDEX(PalData,MATCH(K255,PalNames,0)+1,MATCH("ZukanIndex",PalData_Header,0)),)</f>
        <v>0</v>
      </c>
      <c r="K255" s="37"/>
      <c r="M255" s="44" t="n">
        <f aca="false">IFERROR(INDEX(PalData,MATCH(O255,PalNames,0)+1,MATCH("Image",PalData_Header,0)),)</f>
        <v>0</v>
      </c>
      <c r="N255" s="45" t="n">
        <f aca="false">IFERROR(INDEX(PalData,MATCH(O255,PalNames,0)+1,MATCH("ZukanIndex",PalData_Header,0)),)</f>
        <v>0</v>
      </c>
      <c r="O255" s="46"/>
      <c r="Q255" s="3"/>
      <c r="R255" s="3"/>
      <c r="S255" s="3"/>
      <c r="T255" s="3"/>
      <c r="U255" s="3"/>
    </row>
    <row r="256" customFormat="false" ht="15.75" hidden="false" customHeight="false" outlineLevel="0" collapsed="false">
      <c r="F256" s="39" t="n">
        <f aca="false">IFERROR(INDEX(PalData,MATCH(H256,PalNames,0)+1,MATCH("Image",PalData_Header,0)),)</f>
        <v>0</v>
      </c>
      <c r="G256" s="40" t="n">
        <f aca="false">IFERROR(INDEX(PalData,MATCH(H256,PalNames,0)+1,MATCH("ZukanIndex",PalData_Header,0)),)</f>
        <v>0</v>
      </c>
      <c r="H256" s="40"/>
      <c r="I256" s="41" t="n">
        <f aca="false">IFERROR(INDEX(PalData,MATCH(K256,PalNames,0)+1,MATCH("Image",PalData_Header,0)),)</f>
        <v>0</v>
      </c>
      <c r="J256" s="40" t="n">
        <f aca="false">IFERROR(INDEX(PalData,MATCH(K256,PalNames,0)+1,MATCH("ZukanIndex",PalData_Header,0)),)</f>
        <v>0</v>
      </c>
      <c r="K256" s="42"/>
      <c r="M256" s="47" t="n">
        <f aca="false">IFERROR(INDEX(PalData,MATCH(O256,PalNames,0)+1,MATCH("Image",PalData_Header,0)),)</f>
        <v>0</v>
      </c>
      <c r="N256" s="48" t="n">
        <f aca="false">IFERROR(INDEX(PalData,MATCH(O256,PalNames,0)+1,MATCH("ZukanIndex",PalData_Header,0)),)</f>
        <v>0</v>
      </c>
      <c r="O256" s="49"/>
      <c r="Q256" s="3"/>
      <c r="R256" s="3"/>
      <c r="S256" s="3"/>
      <c r="T256" s="3"/>
      <c r="U256" s="3"/>
    </row>
    <row r="257" customFormat="false" ht="15.75" hidden="false" customHeight="false" outlineLevel="0" collapsed="false">
      <c r="F257" s="34" t="n">
        <f aca="false">IFERROR(INDEX(PalData,MATCH(H257,PalNames,0)+1,MATCH("Image",PalData_Header,0)),)</f>
        <v>0</v>
      </c>
      <c r="G257" s="35" t="n">
        <f aca="false">IFERROR(INDEX(PalData,MATCH(H257,PalNames,0)+1,MATCH("ZukanIndex",PalData_Header,0)),)</f>
        <v>0</v>
      </c>
      <c r="H257" s="35"/>
      <c r="I257" s="36" t="n">
        <f aca="false">IFERROR(INDEX(PalData,MATCH(K257,PalNames,0)+1,MATCH("Image",PalData_Header,0)),)</f>
        <v>0</v>
      </c>
      <c r="J257" s="35" t="n">
        <f aca="false">IFERROR(INDEX(PalData,MATCH(K257,PalNames,0)+1,MATCH("ZukanIndex",PalData_Header,0)),)</f>
        <v>0</v>
      </c>
      <c r="K257" s="37"/>
      <c r="M257" s="44" t="n">
        <f aca="false">IFERROR(INDEX(PalData,MATCH(O257,PalNames,0)+1,MATCH("Image",PalData_Header,0)),)</f>
        <v>0</v>
      </c>
      <c r="N257" s="45" t="n">
        <f aca="false">IFERROR(INDEX(PalData,MATCH(O257,PalNames,0)+1,MATCH("ZukanIndex",PalData_Header,0)),)</f>
        <v>0</v>
      </c>
      <c r="O257" s="46"/>
      <c r="Q257" s="3"/>
      <c r="R257" s="3"/>
      <c r="S257" s="3"/>
      <c r="T257" s="3"/>
      <c r="U257" s="3"/>
    </row>
    <row r="258" customFormat="false" ht="15.75" hidden="false" customHeight="false" outlineLevel="0" collapsed="false">
      <c r="F258" s="39" t="n">
        <f aca="false">IFERROR(INDEX(PalData,MATCH(H258,PalNames,0)+1,MATCH("Image",PalData_Header,0)),)</f>
        <v>0</v>
      </c>
      <c r="G258" s="40" t="n">
        <f aca="false">IFERROR(INDEX(PalData,MATCH(H258,PalNames,0)+1,MATCH("ZukanIndex",PalData_Header,0)),)</f>
        <v>0</v>
      </c>
      <c r="H258" s="40"/>
      <c r="I258" s="41" t="n">
        <f aca="false">IFERROR(INDEX(PalData,MATCH(K258,PalNames,0)+1,MATCH("Image",PalData_Header,0)),)</f>
        <v>0</v>
      </c>
      <c r="J258" s="40" t="n">
        <f aca="false">IFERROR(INDEX(PalData,MATCH(K258,PalNames,0)+1,MATCH("ZukanIndex",PalData_Header,0)),)</f>
        <v>0</v>
      </c>
      <c r="K258" s="42"/>
      <c r="M258" s="47" t="n">
        <f aca="false">IFERROR(INDEX(PalData,MATCH(O258,PalNames,0)+1,MATCH("Image",PalData_Header,0)),)</f>
        <v>0</v>
      </c>
      <c r="N258" s="48" t="n">
        <f aca="false">IFERROR(INDEX(PalData,MATCH(O258,PalNames,0)+1,MATCH("ZukanIndex",PalData_Header,0)),)</f>
        <v>0</v>
      </c>
      <c r="O258" s="49"/>
      <c r="Q258" s="3"/>
      <c r="R258" s="3"/>
      <c r="S258" s="3"/>
      <c r="T258" s="3"/>
      <c r="U258" s="3"/>
    </row>
    <row r="259" customFormat="false" ht="15.75" hidden="false" customHeight="false" outlineLevel="0" collapsed="false">
      <c r="F259" s="34" t="n">
        <f aca="false">IFERROR(INDEX(PalData,MATCH(H259,PalNames,0)+1,MATCH("Image",PalData_Header,0)),)</f>
        <v>0</v>
      </c>
      <c r="G259" s="35" t="n">
        <f aca="false">IFERROR(INDEX(PalData,MATCH(H259,PalNames,0)+1,MATCH("ZukanIndex",PalData_Header,0)),)</f>
        <v>0</v>
      </c>
      <c r="H259" s="35"/>
      <c r="I259" s="36" t="n">
        <f aca="false">IFERROR(INDEX(PalData,MATCH(K259,PalNames,0)+1,MATCH("Image",PalData_Header,0)),)</f>
        <v>0</v>
      </c>
      <c r="J259" s="35" t="n">
        <f aca="false">IFERROR(INDEX(PalData,MATCH(K259,PalNames,0)+1,MATCH("ZukanIndex",PalData_Header,0)),)</f>
        <v>0</v>
      </c>
      <c r="K259" s="37"/>
      <c r="M259" s="44" t="n">
        <f aca="false">IFERROR(INDEX(PalData,MATCH(O259,PalNames,0)+1,MATCH("Image",PalData_Header,0)),)</f>
        <v>0</v>
      </c>
      <c r="N259" s="45" t="n">
        <f aca="false">IFERROR(INDEX(PalData,MATCH(O259,PalNames,0)+1,MATCH("ZukanIndex",PalData_Header,0)),)</f>
        <v>0</v>
      </c>
      <c r="O259" s="46"/>
      <c r="Q259" s="3"/>
      <c r="R259" s="3"/>
      <c r="S259" s="3"/>
      <c r="T259" s="3"/>
      <c r="U259" s="3"/>
    </row>
    <row r="260" customFormat="false" ht="15.75" hidden="false" customHeight="false" outlineLevel="0" collapsed="false">
      <c r="F260" s="39" t="n">
        <f aca="false">IFERROR(INDEX(PalData,MATCH(H260,PalNames,0)+1,MATCH("Image",PalData_Header,0)),)</f>
        <v>0</v>
      </c>
      <c r="G260" s="40" t="n">
        <f aca="false">IFERROR(INDEX(PalData,MATCH(H260,PalNames,0)+1,MATCH("ZukanIndex",PalData_Header,0)),)</f>
        <v>0</v>
      </c>
      <c r="H260" s="40"/>
      <c r="I260" s="41" t="n">
        <f aca="false">IFERROR(INDEX(PalData,MATCH(K260,PalNames,0)+1,MATCH("Image",PalData_Header,0)),)</f>
        <v>0</v>
      </c>
      <c r="J260" s="40" t="n">
        <f aca="false">IFERROR(INDEX(PalData,MATCH(K260,PalNames,0)+1,MATCH("ZukanIndex",PalData_Header,0)),)</f>
        <v>0</v>
      </c>
      <c r="K260" s="42"/>
      <c r="M260" s="47" t="n">
        <f aca="false">IFERROR(INDEX(PalData,MATCH(O260,PalNames,0)+1,MATCH("Image",PalData_Header,0)),)</f>
        <v>0</v>
      </c>
      <c r="N260" s="48" t="n">
        <f aca="false">IFERROR(INDEX(PalData,MATCH(O260,PalNames,0)+1,MATCH("ZukanIndex",PalData_Header,0)),)</f>
        <v>0</v>
      </c>
      <c r="O260" s="49"/>
      <c r="Q260" s="3"/>
      <c r="R260" s="3"/>
      <c r="S260" s="3"/>
      <c r="T260" s="3"/>
      <c r="U260" s="3"/>
    </row>
    <row r="261" customFormat="false" ht="15.75" hidden="false" customHeight="false" outlineLevel="0" collapsed="false">
      <c r="F261" s="34" t="n">
        <f aca="false">IFERROR(INDEX(PalData,MATCH(H261,PalNames,0)+1,MATCH("Image",PalData_Header,0)),)</f>
        <v>0</v>
      </c>
      <c r="G261" s="35" t="n">
        <f aca="false">IFERROR(INDEX(PalData,MATCH(H261,PalNames,0)+1,MATCH("ZukanIndex",PalData_Header,0)),)</f>
        <v>0</v>
      </c>
      <c r="H261" s="35"/>
      <c r="I261" s="36" t="n">
        <f aca="false">IFERROR(INDEX(PalData,MATCH(K261,PalNames,0)+1,MATCH("Image",PalData_Header,0)),)</f>
        <v>0</v>
      </c>
      <c r="J261" s="35" t="n">
        <f aca="false">IFERROR(INDEX(PalData,MATCH(K261,PalNames,0)+1,MATCH("ZukanIndex",PalData_Header,0)),)</f>
        <v>0</v>
      </c>
      <c r="K261" s="37"/>
      <c r="M261" s="44" t="n">
        <f aca="false">IFERROR(INDEX(PalData,MATCH(O261,PalNames,0)+1,MATCH("Image",PalData_Header,0)),)</f>
        <v>0</v>
      </c>
      <c r="N261" s="45" t="n">
        <f aca="false">IFERROR(INDEX(PalData,MATCH(O261,PalNames,0)+1,MATCH("ZukanIndex",PalData_Header,0)),)</f>
        <v>0</v>
      </c>
      <c r="O261" s="46"/>
      <c r="Q261" s="3"/>
      <c r="R261" s="3"/>
      <c r="S261" s="3"/>
      <c r="T261" s="3"/>
      <c r="U261" s="3"/>
    </row>
    <row r="262" customFormat="false" ht="15.75" hidden="false" customHeight="false" outlineLevel="0" collapsed="false">
      <c r="F262" s="39" t="n">
        <f aca="false">IFERROR(INDEX(PalData,MATCH(H262,PalNames,0)+1,MATCH("Image",PalData_Header,0)),)</f>
        <v>0</v>
      </c>
      <c r="G262" s="40" t="n">
        <f aca="false">IFERROR(INDEX(PalData,MATCH(H262,PalNames,0)+1,MATCH("ZukanIndex",PalData_Header,0)),)</f>
        <v>0</v>
      </c>
      <c r="H262" s="40"/>
      <c r="I262" s="41" t="n">
        <f aca="false">IFERROR(INDEX(PalData,MATCH(K262,PalNames,0)+1,MATCH("Image",PalData_Header,0)),)</f>
        <v>0</v>
      </c>
      <c r="J262" s="40" t="n">
        <f aca="false">IFERROR(INDEX(PalData,MATCH(K262,PalNames,0)+1,MATCH("ZukanIndex",PalData_Header,0)),)</f>
        <v>0</v>
      </c>
      <c r="K262" s="42"/>
      <c r="M262" s="47" t="n">
        <f aca="false">IFERROR(INDEX(PalData,MATCH(O262,PalNames,0)+1,MATCH("Image",PalData_Header,0)),)</f>
        <v>0</v>
      </c>
      <c r="N262" s="48" t="n">
        <f aca="false">IFERROR(INDEX(PalData,MATCH(O262,PalNames,0)+1,MATCH("ZukanIndex",PalData_Header,0)),)</f>
        <v>0</v>
      </c>
      <c r="O262" s="49"/>
      <c r="Q262" s="3"/>
      <c r="R262" s="3"/>
      <c r="S262" s="3"/>
      <c r="T262" s="3"/>
      <c r="U262" s="3"/>
    </row>
    <row r="263" customFormat="false" ht="15.75" hidden="false" customHeight="false" outlineLevel="0" collapsed="false">
      <c r="F263" s="34" t="n">
        <f aca="false">IFERROR(INDEX(PalData,MATCH(H263,PalNames,0)+1,MATCH("Image",PalData_Header,0)),)</f>
        <v>0</v>
      </c>
      <c r="G263" s="35" t="n">
        <f aca="false">IFERROR(INDEX(PalData,MATCH(H263,PalNames,0)+1,MATCH("ZukanIndex",PalData_Header,0)),)</f>
        <v>0</v>
      </c>
      <c r="H263" s="35"/>
      <c r="I263" s="36" t="n">
        <f aca="false">IFERROR(INDEX(PalData,MATCH(K263,PalNames,0)+1,MATCH("Image",PalData_Header,0)),)</f>
        <v>0</v>
      </c>
      <c r="J263" s="35" t="n">
        <f aca="false">IFERROR(INDEX(PalData,MATCH(K263,PalNames,0)+1,MATCH("ZukanIndex",PalData_Header,0)),)</f>
        <v>0</v>
      </c>
      <c r="K263" s="37"/>
      <c r="M263" s="44" t="n">
        <f aca="false">IFERROR(INDEX(PalData,MATCH(O263,PalNames,0)+1,MATCH("Image",PalData_Header,0)),)</f>
        <v>0</v>
      </c>
      <c r="N263" s="45" t="n">
        <f aca="false">IFERROR(INDEX(PalData,MATCH(O263,PalNames,0)+1,MATCH("ZukanIndex",PalData_Header,0)),)</f>
        <v>0</v>
      </c>
      <c r="O263" s="46"/>
      <c r="Q263" s="3"/>
      <c r="R263" s="3"/>
      <c r="S263" s="3"/>
      <c r="T263" s="3"/>
      <c r="U263" s="3"/>
    </row>
    <row r="264" customFormat="false" ht="15.75" hidden="false" customHeight="false" outlineLevel="0" collapsed="false">
      <c r="F264" s="39" t="n">
        <f aca="false">IFERROR(INDEX(PalData,MATCH(H264,PalNames,0)+1,MATCH("Image",PalData_Header,0)),)</f>
        <v>0</v>
      </c>
      <c r="G264" s="40" t="n">
        <f aca="false">IFERROR(INDEX(PalData,MATCH(H264,PalNames,0)+1,MATCH("ZukanIndex",PalData_Header,0)),)</f>
        <v>0</v>
      </c>
      <c r="H264" s="40"/>
      <c r="I264" s="41" t="n">
        <f aca="false">IFERROR(INDEX(PalData,MATCH(K264,PalNames,0)+1,MATCH("Image",PalData_Header,0)),)</f>
        <v>0</v>
      </c>
      <c r="J264" s="40" t="n">
        <f aca="false">IFERROR(INDEX(PalData,MATCH(K264,PalNames,0)+1,MATCH("ZukanIndex",PalData_Header,0)),)</f>
        <v>0</v>
      </c>
      <c r="K264" s="42"/>
      <c r="M264" s="47" t="n">
        <f aca="false">IFERROR(INDEX(PalData,MATCH(O264,PalNames,0)+1,MATCH("Image",PalData_Header,0)),)</f>
        <v>0</v>
      </c>
      <c r="N264" s="48" t="n">
        <f aca="false">IFERROR(INDEX(PalData,MATCH(O264,PalNames,0)+1,MATCH("ZukanIndex",PalData_Header,0)),)</f>
        <v>0</v>
      </c>
      <c r="O264" s="49"/>
      <c r="Q264" s="3"/>
      <c r="R264" s="3"/>
      <c r="S264" s="3"/>
      <c r="T264" s="3"/>
      <c r="U264" s="3"/>
    </row>
    <row r="265" customFormat="false" ht="15.75" hidden="false" customHeight="false" outlineLevel="0" collapsed="false">
      <c r="F265" s="34" t="n">
        <f aca="false">IFERROR(INDEX(PalData,MATCH(H265,PalNames,0)+1,MATCH("Image",PalData_Header,0)),)</f>
        <v>0</v>
      </c>
      <c r="G265" s="35" t="n">
        <f aca="false">IFERROR(INDEX(PalData,MATCH(H265,PalNames,0)+1,MATCH("ZukanIndex",PalData_Header,0)),)</f>
        <v>0</v>
      </c>
      <c r="H265" s="35"/>
      <c r="I265" s="36" t="n">
        <f aca="false">IFERROR(INDEX(PalData,MATCH(K265,PalNames,0)+1,MATCH("Image",PalData_Header,0)),)</f>
        <v>0</v>
      </c>
      <c r="J265" s="35" t="n">
        <f aca="false">IFERROR(INDEX(PalData,MATCH(K265,PalNames,0)+1,MATCH("ZukanIndex",PalData_Header,0)),)</f>
        <v>0</v>
      </c>
      <c r="K265" s="37"/>
      <c r="M265" s="44" t="n">
        <f aca="false">IFERROR(INDEX(PalData,MATCH(O265,PalNames,0)+1,MATCH("Image",PalData_Header,0)),)</f>
        <v>0</v>
      </c>
      <c r="N265" s="45" t="n">
        <f aca="false">IFERROR(INDEX(PalData,MATCH(O265,PalNames,0)+1,MATCH("ZukanIndex",PalData_Header,0)),)</f>
        <v>0</v>
      </c>
      <c r="O265" s="46"/>
      <c r="Q265" s="3"/>
      <c r="R265" s="3"/>
      <c r="S265" s="3"/>
      <c r="T265" s="3"/>
      <c r="U265" s="3"/>
    </row>
    <row r="266" customFormat="false" ht="15.75" hidden="false" customHeight="false" outlineLevel="0" collapsed="false">
      <c r="F266" s="39" t="n">
        <f aca="false">IFERROR(INDEX(PalData,MATCH(H266,PalNames,0)+1,MATCH("Image",PalData_Header,0)),)</f>
        <v>0</v>
      </c>
      <c r="G266" s="40" t="n">
        <f aca="false">IFERROR(INDEX(PalData,MATCH(H266,PalNames,0)+1,MATCH("ZukanIndex",PalData_Header,0)),)</f>
        <v>0</v>
      </c>
      <c r="H266" s="40"/>
      <c r="I266" s="41" t="n">
        <f aca="false">IFERROR(INDEX(PalData,MATCH(K266,PalNames,0)+1,MATCH("Image",PalData_Header,0)),)</f>
        <v>0</v>
      </c>
      <c r="J266" s="40" t="n">
        <f aca="false">IFERROR(INDEX(PalData,MATCH(K266,PalNames,0)+1,MATCH("ZukanIndex",PalData_Header,0)),)</f>
        <v>0</v>
      </c>
      <c r="K266" s="42"/>
      <c r="M266" s="47" t="n">
        <f aca="false">IFERROR(INDEX(PalData,MATCH(O266,PalNames,0)+1,MATCH("Image",PalData_Header,0)),)</f>
        <v>0</v>
      </c>
      <c r="N266" s="48" t="n">
        <f aca="false">IFERROR(INDEX(PalData,MATCH(O266,PalNames,0)+1,MATCH("ZukanIndex",PalData_Header,0)),)</f>
        <v>0</v>
      </c>
      <c r="O266" s="49"/>
      <c r="Q266" s="3"/>
      <c r="R266" s="3"/>
      <c r="S266" s="3"/>
      <c r="T266" s="3"/>
      <c r="U266" s="3"/>
    </row>
    <row r="267" customFormat="false" ht="15.75" hidden="false" customHeight="false" outlineLevel="0" collapsed="false">
      <c r="F267" s="34" t="n">
        <f aca="false">IFERROR(INDEX(PalData,MATCH(H267,PalNames,0)+1,MATCH("Image",PalData_Header,0)),)</f>
        <v>0</v>
      </c>
      <c r="G267" s="35" t="n">
        <f aca="false">IFERROR(INDEX(PalData,MATCH(H267,PalNames,0)+1,MATCH("ZukanIndex",PalData_Header,0)),)</f>
        <v>0</v>
      </c>
      <c r="H267" s="35"/>
      <c r="I267" s="36" t="n">
        <f aca="false">IFERROR(INDEX(PalData,MATCH(K267,PalNames,0)+1,MATCH("Image",PalData_Header,0)),)</f>
        <v>0</v>
      </c>
      <c r="J267" s="35" t="n">
        <f aca="false">IFERROR(INDEX(PalData,MATCH(K267,PalNames,0)+1,MATCH("ZukanIndex",PalData_Header,0)),)</f>
        <v>0</v>
      </c>
      <c r="K267" s="37"/>
      <c r="M267" s="44" t="n">
        <f aca="false">IFERROR(INDEX(PalData,MATCH(O267,PalNames,0)+1,MATCH("Image",PalData_Header,0)),)</f>
        <v>0</v>
      </c>
      <c r="N267" s="45" t="n">
        <f aca="false">IFERROR(INDEX(PalData,MATCH(O267,PalNames,0)+1,MATCH("ZukanIndex",PalData_Header,0)),)</f>
        <v>0</v>
      </c>
      <c r="O267" s="46"/>
      <c r="Q267" s="3"/>
      <c r="R267" s="3"/>
      <c r="S267" s="3"/>
      <c r="T267" s="3"/>
      <c r="U267" s="3"/>
    </row>
    <row r="268" customFormat="false" ht="15.75" hidden="false" customHeight="false" outlineLevel="0" collapsed="false">
      <c r="F268" s="39" t="n">
        <f aca="false">IFERROR(INDEX(PalData,MATCH(H268,PalNames,0)+1,MATCH("Image",PalData_Header,0)),)</f>
        <v>0</v>
      </c>
      <c r="G268" s="40" t="n">
        <f aca="false">IFERROR(INDEX(PalData,MATCH(H268,PalNames,0)+1,MATCH("ZukanIndex",PalData_Header,0)),)</f>
        <v>0</v>
      </c>
      <c r="H268" s="40"/>
      <c r="I268" s="41" t="n">
        <f aca="false">IFERROR(INDEX(PalData,MATCH(K268,PalNames,0)+1,MATCH("Image",PalData_Header,0)),)</f>
        <v>0</v>
      </c>
      <c r="J268" s="40" t="n">
        <f aca="false">IFERROR(INDEX(PalData,MATCH(K268,PalNames,0)+1,MATCH("ZukanIndex",PalData_Header,0)),)</f>
        <v>0</v>
      </c>
      <c r="K268" s="42"/>
      <c r="M268" s="47" t="n">
        <f aca="false">IFERROR(INDEX(PalData,MATCH(O268,PalNames,0)+1,MATCH("Image",PalData_Header,0)),)</f>
        <v>0</v>
      </c>
      <c r="N268" s="48" t="n">
        <f aca="false">IFERROR(INDEX(PalData,MATCH(O268,PalNames,0)+1,MATCH("ZukanIndex",PalData_Header,0)),)</f>
        <v>0</v>
      </c>
      <c r="O268" s="49"/>
      <c r="Q268" s="3"/>
      <c r="R268" s="3"/>
      <c r="S268" s="3"/>
      <c r="T268" s="3"/>
      <c r="U268" s="3"/>
    </row>
    <row r="269" customFormat="false" ht="15.75" hidden="false" customHeight="false" outlineLevel="0" collapsed="false">
      <c r="F269" s="34" t="n">
        <f aca="false">IFERROR(INDEX(PalData,MATCH(H269,PalNames,0)+1,MATCH("Image",PalData_Header,0)),)</f>
        <v>0</v>
      </c>
      <c r="G269" s="35" t="n">
        <f aca="false">IFERROR(INDEX(PalData,MATCH(H269,PalNames,0)+1,MATCH("ZukanIndex",PalData_Header,0)),)</f>
        <v>0</v>
      </c>
      <c r="H269" s="35"/>
      <c r="I269" s="36" t="n">
        <f aca="false">IFERROR(INDEX(PalData,MATCH(K269,PalNames,0)+1,MATCH("Image",PalData_Header,0)),)</f>
        <v>0</v>
      </c>
      <c r="J269" s="35" t="n">
        <f aca="false">IFERROR(INDEX(PalData,MATCH(K269,PalNames,0)+1,MATCH("ZukanIndex",PalData_Header,0)),)</f>
        <v>0</v>
      </c>
      <c r="K269" s="37"/>
      <c r="M269" s="44" t="n">
        <f aca="false">IFERROR(INDEX(PalData,MATCH(O269,PalNames,0)+1,MATCH("Image",PalData_Header,0)),)</f>
        <v>0</v>
      </c>
      <c r="N269" s="45" t="n">
        <f aca="false">IFERROR(INDEX(PalData,MATCH(O269,PalNames,0)+1,MATCH("ZukanIndex",PalData_Header,0)),)</f>
        <v>0</v>
      </c>
      <c r="O269" s="46"/>
      <c r="Q269" s="3"/>
      <c r="R269" s="3"/>
      <c r="S269" s="3"/>
      <c r="T269" s="3"/>
      <c r="U269" s="3"/>
    </row>
    <row r="270" customFormat="false" ht="15.75" hidden="false" customHeight="false" outlineLevel="0" collapsed="false">
      <c r="F270" s="39" t="n">
        <f aca="false">IFERROR(INDEX(PalData,MATCH(H270,PalNames,0)+1,MATCH("Image",PalData_Header,0)),)</f>
        <v>0</v>
      </c>
      <c r="G270" s="40" t="n">
        <f aca="false">IFERROR(INDEX(PalData,MATCH(H270,PalNames,0)+1,MATCH("ZukanIndex",PalData_Header,0)),)</f>
        <v>0</v>
      </c>
      <c r="H270" s="40"/>
      <c r="I270" s="41" t="n">
        <f aca="false">IFERROR(INDEX(PalData,MATCH(K270,PalNames,0)+1,MATCH("Image",PalData_Header,0)),)</f>
        <v>0</v>
      </c>
      <c r="J270" s="40" t="n">
        <f aca="false">IFERROR(INDEX(PalData,MATCH(K270,PalNames,0)+1,MATCH("ZukanIndex",PalData_Header,0)),)</f>
        <v>0</v>
      </c>
      <c r="K270" s="42"/>
      <c r="M270" s="47" t="n">
        <f aca="false">IFERROR(INDEX(PalData,MATCH(O270,PalNames,0)+1,MATCH("Image",PalData_Header,0)),)</f>
        <v>0</v>
      </c>
      <c r="N270" s="48" t="n">
        <f aca="false">IFERROR(INDEX(PalData,MATCH(O270,PalNames,0)+1,MATCH("ZukanIndex",PalData_Header,0)),)</f>
        <v>0</v>
      </c>
      <c r="O270" s="49"/>
      <c r="Q270" s="3"/>
      <c r="R270" s="3"/>
      <c r="S270" s="3"/>
      <c r="T270" s="3"/>
      <c r="U270" s="3"/>
    </row>
    <row r="271" customFormat="false" ht="15.75" hidden="false" customHeight="false" outlineLevel="0" collapsed="false">
      <c r="F271" s="34" t="n">
        <f aca="false">IFERROR(INDEX(PalData,MATCH(H271,PalNames,0)+1,MATCH("Image",PalData_Header,0)),)</f>
        <v>0</v>
      </c>
      <c r="G271" s="35" t="n">
        <f aca="false">IFERROR(INDEX(PalData,MATCH(H271,PalNames,0)+1,MATCH("ZukanIndex",PalData_Header,0)),)</f>
        <v>0</v>
      </c>
      <c r="H271" s="35"/>
      <c r="I271" s="36" t="n">
        <f aca="false">IFERROR(INDEX(PalData,MATCH(K271,PalNames,0)+1,MATCH("Image",PalData_Header,0)),)</f>
        <v>0</v>
      </c>
      <c r="J271" s="35" t="n">
        <f aca="false">IFERROR(INDEX(PalData,MATCH(K271,PalNames,0)+1,MATCH("ZukanIndex",PalData_Header,0)),)</f>
        <v>0</v>
      </c>
      <c r="K271" s="37"/>
      <c r="M271" s="44" t="n">
        <f aca="false">IFERROR(INDEX(PalData,MATCH(O271,PalNames,0)+1,MATCH("Image",PalData_Header,0)),)</f>
        <v>0</v>
      </c>
      <c r="N271" s="45" t="n">
        <f aca="false">IFERROR(INDEX(PalData,MATCH(O271,PalNames,0)+1,MATCH("ZukanIndex",PalData_Header,0)),)</f>
        <v>0</v>
      </c>
      <c r="O271" s="46"/>
      <c r="Q271" s="3"/>
      <c r="R271" s="3"/>
      <c r="S271" s="3"/>
      <c r="T271" s="3"/>
      <c r="U271" s="3"/>
    </row>
    <row r="272" customFormat="false" ht="15.75" hidden="false" customHeight="false" outlineLevel="0" collapsed="false">
      <c r="F272" s="39" t="n">
        <f aca="false">IFERROR(INDEX(PalData,MATCH(H272,PalNames,0)+1,MATCH("Image",PalData_Header,0)),)</f>
        <v>0</v>
      </c>
      <c r="G272" s="40" t="n">
        <f aca="false">IFERROR(INDEX(PalData,MATCH(H272,PalNames,0)+1,MATCH("ZukanIndex",PalData_Header,0)),)</f>
        <v>0</v>
      </c>
      <c r="H272" s="40"/>
      <c r="I272" s="41" t="n">
        <f aca="false">IFERROR(INDEX(PalData,MATCH(K272,PalNames,0)+1,MATCH("Image",PalData_Header,0)),)</f>
        <v>0</v>
      </c>
      <c r="J272" s="40" t="n">
        <f aca="false">IFERROR(INDEX(PalData,MATCH(K272,PalNames,0)+1,MATCH("ZukanIndex",PalData_Header,0)),)</f>
        <v>0</v>
      </c>
      <c r="K272" s="42"/>
      <c r="M272" s="47" t="n">
        <f aca="false">IFERROR(INDEX(PalData,MATCH(O272,PalNames,0)+1,MATCH("Image",PalData_Header,0)),)</f>
        <v>0</v>
      </c>
      <c r="N272" s="48" t="n">
        <f aca="false">IFERROR(INDEX(PalData,MATCH(O272,PalNames,0)+1,MATCH("ZukanIndex",PalData_Header,0)),)</f>
        <v>0</v>
      </c>
      <c r="O272" s="49"/>
      <c r="Q272" s="3"/>
      <c r="R272" s="3"/>
      <c r="S272" s="3"/>
      <c r="T272" s="3"/>
      <c r="U272" s="3"/>
    </row>
    <row r="273" customFormat="false" ht="15.75" hidden="false" customHeight="false" outlineLevel="0" collapsed="false">
      <c r="F273" s="34" t="n">
        <f aca="false">IFERROR(INDEX(PalData,MATCH(H273,PalNames,0)+1,MATCH("Image",PalData_Header,0)),)</f>
        <v>0</v>
      </c>
      <c r="G273" s="35" t="n">
        <f aca="false">IFERROR(INDEX(PalData,MATCH(H273,PalNames,0)+1,MATCH("ZukanIndex",PalData_Header,0)),)</f>
        <v>0</v>
      </c>
      <c r="H273" s="35"/>
      <c r="I273" s="36" t="n">
        <f aca="false">IFERROR(INDEX(PalData,MATCH(K273,PalNames,0)+1,MATCH("Image",PalData_Header,0)),)</f>
        <v>0</v>
      </c>
      <c r="J273" s="35" t="n">
        <f aca="false">IFERROR(INDEX(PalData,MATCH(K273,PalNames,0)+1,MATCH("ZukanIndex",PalData_Header,0)),)</f>
        <v>0</v>
      </c>
      <c r="K273" s="37"/>
      <c r="M273" s="44" t="n">
        <f aca="false">IFERROR(INDEX(PalData,MATCH(O273,PalNames,0)+1,MATCH("Image",PalData_Header,0)),)</f>
        <v>0</v>
      </c>
      <c r="N273" s="45" t="n">
        <f aca="false">IFERROR(INDEX(PalData,MATCH(O273,PalNames,0)+1,MATCH("ZukanIndex",PalData_Header,0)),)</f>
        <v>0</v>
      </c>
      <c r="O273" s="46"/>
      <c r="Q273" s="3"/>
      <c r="R273" s="3"/>
      <c r="S273" s="3"/>
      <c r="T273" s="3"/>
      <c r="U273" s="3"/>
    </row>
    <row r="274" customFormat="false" ht="15.75" hidden="false" customHeight="false" outlineLevel="0" collapsed="false">
      <c r="F274" s="39" t="n">
        <f aca="false">IFERROR(INDEX(PalData,MATCH(H274,PalNames,0)+1,MATCH("Image",PalData_Header,0)),)</f>
        <v>0</v>
      </c>
      <c r="G274" s="40" t="n">
        <f aca="false">IFERROR(INDEX(PalData,MATCH(H274,PalNames,0)+1,MATCH("ZukanIndex",PalData_Header,0)),)</f>
        <v>0</v>
      </c>
      <c r="H274" s="40"/>
      <c r="I274" s="41" t="n">
        <f aca="false">IFERROR(INDEX(PalData,MATCH(K274,PalNames,0)+1,MATCH("Image",PalData_Header,0)),)</f>
        <v>0</v>
      </c>
      <c r="J274" s="40" t="n">
        <f aca="false">IFERROR(INDEX(PalData,MATCH(K274,PalNames,0)+1,MATCH("ZukanIndex",PalData_Header,0)),)</f>
        <v>0</v>
      </c>
      <c r="K274" s="42"/>
      <c r="M274" s="47" t="n">
        <f aca="false">IFERROR(INDEX(PalData,MATCH(O274,PalNames,0)+1,MATCH("Image",PalData_Header,0)),)</f>
        <v>0</v>
      </c>
      <c r="N274" s="48" t="n">
        <f aca="false">IFERROR(INDEX(PalData,MATCH(O274,PalNames,0)+1,MATCH("ZukanIndex",PalData_Header,0)),)</f>
        <v>0</v>
      </c>
      <c r="O274" s="49"/>
      <c r="Q274" s="3"/>
      <c r="R274" s="3"/>
      <c r="S274" s="3"/>
      <c r="T274" s="3"/>
      <c r="U274" s="3"/>
    </row>
    <row r="275" customFormat="false" ht="15.75" hidden="false" customHeight="false" outlineLevel="0" collapsed="false">
      <c r="F275" s="34" t="n">
        <f aca="false">IFERROR(INDEX(PalData,MATCH(H275,PalNames,0)+1,MATCH("Image",PalData_Header,0)),)</f>
        <v>0</v>
      </c>
      <c r="G275" s="35" t="n">
        <f aca="false">IFERROR(INDEX(PalData,MATCH(H275,PalNames,0)+1,MATCH("ZukanIndex",PalData_Header,0)),)</f>
        <v>0</v>
      </c>
      <c r="H275" s="35"/>
      <c r="I275" s="36" t="n">
        <f aca="false">IFERROR(INDEX(PalData,MATCH(K275,PalNames,0)+1,MATCH("Image",PalData_Header,0)),)</f>
        <v>0</v>
      </c>
      <c r="J275" s="35" t="n">
        <f aca="false">IFERROR(INDEX(PalData,MATCH(K275,PalNames,0)+1,MATCH("ZukanIndex",PalData_Header,0)),)</f>
        <v>0</v>
      </c>
      <c r="K275" s="37"/>
      <c r="M275" s="44" t="n">
        <f aca="false">IFERROR(INDEX(PalData,MATCH(O275,PalNames,0)+1,MATCH("Image",PalData_Header,0)),)</f>
        <v>0</v>
      </c>
      <c r="N275" s="45" t="n">
        <f aca="false">IFERROR(INDEX(PalData,MATCH(O275,PalNames,0)+1,MATCH("ZukanIndex",PalData_Header,0)),)</f>
        <v>0</v>
      </c>
      <c r="O275" s="46"/>
      <c r="Q275" s="3"/>
      <c r="R275" s="3"/>
      <c r="S275" s="3"/>
      <c r="T275" s="3"/>
      <c r="U275" s="3"/>
    </row>
    <row r="276" customFormat="false" ht="15.75" hidden="false" customHeight="false" outlineLevel="0" collapsed="false">
      <c r="F276" s="39" t="n">
        <f aca="false">IFERROR(INDEX(PalData,MATCH(H276,PalNames,0)+1,MATCH("Image",PalData_Header,0)),)</f>
        <v>0</v>
      </c>
      <c r="G276" s="40" t="n">
        <f aca="false">IFERROR(INDEX(PalData,MATCH(H276,PalNames,0)+1,MATCH("ZukanIndex",PalData_Header,0)),)</f>
        <v>0</v>
      </c>
      <c r="H276" s="40"/>
      <c r="I276" s="41" t="n">
        <f aca="false">IFERROR(INDEX(PalData,MATCH(K276,PalNames,0)+1,MATCH("Image",PalData_Header,0)),)</f>
        <v>0</v>
      </c>
      <c r="J276" s="40" t="n">
        <f aca="false">IFERROR(INDEX(PalData,MATCH(K276,PalNames,0)+1,MATCH("ZukanIndex",PalData_Header,0)),)</f>
        <v>0</v>
      </c>
      <c r="K276" s="42"/>
      <c r="M276" s="47" t="n">
        <f aca="false">IFERROR(INDEX(PalData,MATCH(O276,PalNames,0)+1,MATCH("Image",PalData_Header,0)),)</f>
        <v>0</v>
      </c>
      <c r="N276" s="48" t="n">
        <f aca="false">IFERROR(INDEX(PalData,MATCH(O276,PalNames,0)+1,MATCH("ZukanIndex",PalData_Header,0)),)</f>
        <v>0</v>
      </c>
      <c r="O276" s="49"/>
      <c r="Q276" s="3"/>
      <c r="R276" s="3"/>
      <c r="S276" s="3"/>
      <c r="T276" s="3"/>
      <c r="U276" s="3"/>
    </row>
    <row r="277" customFormat="false" ht="15.75" hidden="false" customHeight="false" outlineLevel="0" collapsed="false">
      <c r="F277" s="34" t="n">
        <f aca="false">IFERROR(INDEX(PalData,MATCH(H277,PalNames,0)+1,MATCH("Image",PalData_Header,0)),)</f>
        <v>0</v>
      </c>
      <c r="G277" s="35" t="n">
        <f aca="false">IFERROR(INDEX(PalData,MATCH(H277,PalNames,0)+1,MATCH("ZukanIndex",PalData_Header,0)),)</f>
        <v>0</v>
      </c>
      <c r="H277" s="35"/>
      <c r="I277" s="36" t="n">
        <f aca="false">IFERROR(INDEX(PalData,MATCH(K277,PalNames,0)+1,MATCH("Image",PalData_Header,0)),)</f>
        <v>0</v>
      </c>
      <c r="J277" s="35" t="n">
        <f aca="false">IFERROR(INDEX(PalData,MATCH(K277,PalNames,0)+1,MATCH("ZukanIndex",PalData_Header,0)),)</f>
        <v>0</v>
      </c>
      <c r="K277" s="37"/>
      <c r="M277" s="44" t="n">
        <f aca="false">IFERROR(INDEX(PalData,MATCH(O277,PalNames,0)+1,MATCH("Image",PalData_Header,0)),)</f>
        <v>0</v>
      </c>
      <c r="N277" s="45" t="n">
        <f aca="false">IFERROR(INDEX(PalData,MATCH(O277,PalNames,0)+1,MATCH("ZukanIndex",PalData_Header,0)),)</f>
        <v>0</v>
      </c>
      <c r="O277" s="46"/>
      <c r="Q277" s="3"/>
      <c r="R277" s="3"/>
      <c r="S277" s="3"/>
      <c r="T277" s="3"/>
      <c r="U277" s="3"/>
    </row>
    <row r="278" customFormat="false" ht="15.75" hidden="false" customHeight="false" outlineLevel="0" collapsed="false">
      <c r="F278" s="39" t="n">
        <f aca="false">IFERROR(INDEX(PalData,MATCH(H278,PalNames,0)+1,MATCH("Image",PalData_Header,0)),)</f>
        <v>0</v>
      </c>
      <c r="G278" s="40" t="n">
        <f aca="false">IFERROR(INDEX(PalData,MATCH(H278,PalNames,0)+1,MATCH("ZukanIndex",PalData_Header,0)),)</f>
        <v>0</v>
      </c>
      <c r="H278" s="40"/>
      <c r="I278" s="41" t="n">
        <f aca="false">IFERROR(INDEX(PalData,MATCH(K278,PalNames,0)+1,MATCH("Image",PalData_Header,0)),)</f>
        <v>0</v>
      </c>
      <c r="J278" s="40" t="n">
        <f aca="false">IFERROR(INDEX(PalData,MATCH(K278,PalNames,0)+1,MATCH("ZukanIndex",PalData_Header,0)),)</f>
        <v>0</v>
      </c>
      <c r="K278" s="42"/>
      <c r="M278" s="47" t="n">
        <f aca="false">IFERROR(INDEX(PalData,MATCH(O278,PalNames,0)+1,MATCH("Image",PalData_Header,0)),)</f>
        <v>0</v>
      </c>
      <c r="N278" s="48" t="n">
        <f aca="false">IFERROR(INDEX(PalData,MATCH(O278,PalNames,0)+1,MATCH("ZukanIndex",PalData_Header,0)),)</f>
        <v>0</v>
      </c>
      <c r="O278" s="49"/>
      <c r="Q278" s="3"/>
      <c r="R278" s="3"/>
      <c r="S278" s="3"/>
      <c r="T278" s="3"/>
      <c r="U278" s="3"/>
    </row>
    <row r="279" customFormat="false" ht="15.75" hidden="false" customHeight="false" outlineLevel="0" collapsed="false">
      <c r="F279" s="34" t="n">
        <f aca="false">IFERROR(INDEX(PalData,MATCH(H279,PalNames,0)+1,MATCH("Image",PalData_Header,0)),)</f>
        <v>0</v>
      </c>
      <c r="G279" s="35" t="n">
        <f aca="false">IFERROR(INDEX(PalData,MATCH(H279,PalNames,0)+1,MATCH("ZukanIndex",PalData_Header,0)),)</f>
        <v>0</v>
      </c>
      <c r="H279" s="35"/>
      <c r="I279" s="36" t="n">
        <f aca="false">IFERROR(INDEX(PalData,MATCH(K279,PalNames,0)+1,MATCH("Image",PalData_Header,0)),)</f>
        <v>0</v>
      </c>
      <c r="J279" s="35" t="n">
        <f aca="false">IFERROR(INDEX(PalData,MATCH(K279,PalNames,0)+1,MATCH("ZukanIndex",PalData_Header,0)),)</f>
        <v>0</v>
      </c>
      <c r="K279" s="37"/>
      <c r="M279" s="44" t="n">
        <f aca="false">IFERROR(INDEX(PalData,MATCH(O279,PalNames,0)+1,MATCH("Image",PalData_Header,0)),)</f>
        <v>0</v>
      </c>
      <c r="N279" s="45" t="n">
        <f aca="false">IFERROR(INDEX(PalData,MATCH(O279,PalNames,0)+1,MATCH("ZukanIndex",PalData_Header,0)),)</f>
        <v>0</v>
      </c>
      <c r="O279" s="46"/>
      <c r="Q279" s="3"/>
      <c r="R279" s="3"/>
      <c r="S279" s="3"/>
      <c r="T279" s="3"/>
      <c r="U279" s="3"/>
    </row>
    <row r="280" customFormat="false" ht="15.75" hidden="false" customHeight="false" outlineLevel="0" collapsed="false">
      <c r="F280" s="39" t="n">
        <f aca="false">IFERROR(INDEX(PalData,MATCH(H280,PalNames,0)+1,MATCH("Image",PalData_Header,0)),)</f>
        <v>0</v>
      </c>
      <c r="G280" s="40" t="n">
        <f aca="false">IFERROR(INDEX(PalData,MATCH(H280,PalNames,0)+1,MATCH("ZukanIndex",PalData_Header,0)),)</f>
        <v>0</v>
      </c>
      <c r="H280" s="40"/>
      <c r="I280" s="41" t="n">
        <f aca="false">IFERROR(INDEX(PalData,MATCH(K280,PalNames,0)+1,MATCH("Image",PalData_Header,0)),)</f>
        <v>0</v>
      </c>
      <c r="J280" s="40" t="n">
        <f aca="false">IFERROR(INDEX(PalData,MATCH(K280,PalNames,0)+1,MATCH("ZukanIndex",PalData_Header,0)),)</f>
        <v>0</v>
      </c>
      <c r="K280" s="42"/>
      <c r="M280" s="47" t="n">
        <f aca="false">IFERROR(INDEX(PalData,MATCH(O280,PalNames,0)+1,MATCH("Image",PalData_Header,0)),)</f>
        <v>0</v>
      </c>
      <c r="N280" s="48" t="n">
        <f aca="false">IFERROR(INDEX(PalData,MATCH(O280,PalNames,0)+1,MATCH("ZukanIndex",PalData_Header,0)),)</f>
        <v>0</v>
      </c>
      <c r="O280" s="49"/>
      <c r="Q280" s="3"/>
      <c r="R280" s="3"/>
      <c r="S280" s="3"/>
      <c r="T280" s="3"/>
      <c r="U280" s="3"/>
    </row>
    <row r="281" customFormat="false" ht="15.75" hidden="false" customHeight="false" outlineLevel="0" collapsed="false">
      <c r="F281" s="34" t="n">
        <f aca="false">IFERROR(INDEX(PalData,MATCH(H281,PalNames,0)+1,MATCH("Image",PalData_Header,0)),)</f>
        <v>0</v>
      </c>
      <c r="G281" s="35" t="n">
        <f aca="false">IFERROR(INDEX(PalData,MATCH(H281,PalNames,0)+1,MATCH("ZukanIndex",PalData_Header,0)),)</f>
        <v>0</v>
      </c>
      <c r="H281" s="35"/>
      <c r="I281" s="36" t="n">
        <f aca="false">IFERROR(INDEX(PalData,MATCH(K281,PalNames,0)+1,MATCH("Image",PalData_Header,0)),)</f>
        <v>0</v>
      </c>
      <c r="J281" s="35" t="n">
        <f aca="false">IFERROR(INDEX(PalData,MATCH(K281,PalNames,0)+1,MATCH("ZukanIndex",PalData_Header,0)),)</f>
        <v>0</v>
      </c>
      <c r="K281" s="37"/>
      <c r="M281" s="44" t="n">
        <f aca="false">IFERROR(INDEX(PalData,MATCH(O281,PalNames,0)+1,MATCH("Image",PalData_Header,0)),)</f>
        <v>0</v>
      </c>
      <c r="N281" s="45" t="n">
        <f aca="false">IFERROR(INDEX(PalData,MATCH(O281,PalNames,0)+1,MATCH("ZukanIndex",PalData_Header,0)),)</f>
        <v>0</v>
      </c>
      <c r="O281" s="46"/>
      <c r="Q281" s="3"/>
      <c r="R281" s="3"/>
      <c r="S281" s="3"/>
      <c r="T281" s="3"/>
      <c r="U281" s="3"/>
    </row>
    <row r="282" customFormat="false" ht="15.75" hidden="false" customHeight="false" outlineLevel="0" collapsed="false">
      <c r="F282" s="39" t="n">
        <f aca="false">IFERROR(INDEX(PalData,MATCH(H282,PalNames,0)+1,MATCH("Image",PalData_Header,0)),)</f>
        <v>0</v>
      </c>
      <c r="G282" s="40" t="n">
        <f aca="false">IFERROR(INDEX(PalData,MATCH(H282,PalNames,0)+1,MATCH("ZukanIndex",PalData_Header,0)),)</f>
        <v>0</v>
      </c>
      <c r="H282" s="40"/>
      <c r="I282" s="41" t="n">
        <f aca="false">IFERROR(INDEX(PalData,MATCH(K282,PalNames,0)+1,MATCH("Image",PalData_Header,0)),)</f>
        <v>0</v>
      </c>
      <c r="J282" s="40" t="n">
        <f aca="false">IFERROR(INDEX(PalData,MATCH(K282,PalNames,0)+1,MATCH("ZukanIndex",PalData_Header,0)),)</f>
        <v>0</v>
      </c>
      <c r="K282" s="42"/>
      <c r="M282" s="47" t="n">
        <f aca="false">IFERROR(INDEX(PalData,MATCH(O282,PalNames,0)+1,MATCH("Image",PalData_Header,0)),)</f>
        <v>0</v>
      </c>
      <c r="N282" s="48" t="n">
        <f aca="false">IFERROR(INDEX(PalData,MATCH(O282,PalNames,0)+1,MATCH("ZukanIndex",PalData_Header,0)),)</f>
        <v>0</v>
      </c>
      <c r="O282" s="49"/>
      <c r="Q282" s="3"/>
      <c r="R282" s="3"/>
      <c r="S282" s="3"/>
      <c r="T282" s="3"/>
      <c r="U282" s="3"/>
    </row>
    <row r="283" customFormat="false" ht="15.75" hidden="false" customHeight="false" outlineLevel="0" collapsed="false">
      <c r="F283" s="34" t="n">
        <f aca="false">IFERROR(INDEX(PalData,MATCH(H283,PalNames,0)+1,MATCH("Image",PalData_Header,0)),)</f>
        <v>0</v>
      </c>
      <c r="G283" s="35" t="n">
        <f aca="false">IFERROR(INDEX(PalData,MATCH(H283,PalNames,0)+1,MATCH("ZukanIndex",PalData_Header,0)),)</f>
        <v>0</v>
      </c>
      <c r="H283" s="35"/>
      <c r="I283" s="36" t="n">
        <f aca="false">IFERROR(INDEX(PalData,MATCH(K283,PalNames,0)+1,MATCH("Image",PalData_Header,0)),)</f>
        <v>0</v>
      </c>
      <c r="J283" s="35" t="n">
        <f aca="false">IFERROR(INDEX(PalData,MATCH(K283,PalNames,0)+1,MATCH("ZukanIndex",PalData_Header,0)),)</f>
        <v>0</v>
      </c>
      <c r="K283" s="37"/>
      <c r="M283" s="44" t="n">
        <f aca="false">IFERROR(INDEX(PalData,MATCH(O283,PalNames,0)+1,MATCH("Image",PalData_Header,0)),)</f>
        <v>0</v>
      </c>
      <c r="N283" s="45" t="n">
        <f aca="false">IFERROR(INDEX(PalData,MATCH(O283,PalNames,0)+1,MATCH("ZukanIndex",PalData_Header,0)),)</f>
        <v>0</v>
      </c>
      <c r="O283" s="46"/>
      <c r="Q283" s="3"/>
      <c r="R283" s="3"/>
      <c r="S283" s="3"/>
      <c r="T283" s="3"/>
      <c r="U283" s="3"/>
    </row>
    <row r="284" customFormat="false" ht="15.75" hidden="false" customHeight="false" outlineLevel="0" collapsed="false">
      <c r="F284" s="39" t="n">
        <f aca="false">IFERROR(INDEX(PalData,MATCH(H284,PalNames,0)+1,MATCH("Image",PalData_Header,0)),)</f>
        <v>0</v>
      </c>
      <c r="G284" s="40" t="n">
        <f aca="false">IFERROR(INDEX(PalData,MATCH(H284,PalNames,0)+1,MATCH("ZukanIndex",PalData_Header,0)),)</f>
        <v>0</v>
      </c>
      <c r="H284" s="40"/>
      <c r="I284" s="41" t="n">
        <f aca="false">IFERROR(INDEX(PalData,MATCH(K284,PalNames,0)+1,MATCH("Image",PalData_Header,0)),)</f>
        <v>0</v>
      </c>
      <c r="J284" s="40" t="n">
        <f aca="false">IFERROR(INDEX(PalData,MATCH(K284,PalNames,0)+1,MATCH("ZukanIndex",PalData_Header,0)),)</f>
        <v>0</v>
      </c>
      <c r="K284" s="42"/>
      <c r="M284" s="47" t="n">
        <f aca="false">IFERROR(INDEX(PalData,MATCH(O284,PalNames,0)+1,MATCH("Image",PalData_Header,0)),)</f>
        <v>0</v>
      </c>
      <c r="N284" s="48" t="n">
        <f aca="false">IFERROR(INDEX(PalData,MATCH(O284,PalNames,0)+1,MATCH("ZukanIndex",PalData_Header,0)),)</f>
        <v>0</v>
      </c>
      <c r="O284" s="49"/>
      <c r="Q284" s="3"/>
      <c r="R284" s="3"/>
      <c r="S284" s="3"/>
      <c r="T284" s="3"/>
      <c r="U284" s="3"/>
    </row>
    <row r="285" customFormat="false" ht="15.75" hidden="false" customHeight="false" outlineLevel="0" collapsed="false">
      <c r="F285" s="34" t="n">
        <f aca="false">IFERROR(INDEX(PalData,MATCH(H285,PalNames,0)+1,MATCH("Image",PalData_Header,0)),)</f>
        <v>0</v>
      </c>
      <c r="G285" s="35" t="n">
        <f aca="false">IFERROR(INDEX(PalData,MATCH(H285,PalNames,0)+1,MATCH("ZukanIndex",PalData_Header,0)),)</f>
        <v>0</v>
      </c>
      <c r="H285" s="35"/>
      <c r="I285" s="36" t="n">
        <f aca="false">IFERROR(INDEX(PalData,MATCH(K285,PalNames,0)+1,MATCH("Image",PalData_Header,0)),)</f>
        <v>0</v>
      </c>
      <c r="J285" s="35" t="n">
        <f aca="false">IFERROR(INDEX(PalData,MATCH(K285,PalNames,0)+1,MATCH("ZukanIndex",PalData_Header,0)),)</f>
        <v>0</v>
      </c>
      <c r="K285" s="37"/>
      <c r="M285" s="44" t="n">
        <f aca="false">IFERROR(INDEX(PalData,MATCH(O285,PalNames,0)+1,MATCH("Image",PalData_Header,0)),)</f>
        <v>0</v>
      </c>
      <c r="N285" s="45" t="n">
        <f aca="false">IFERROR(INDEX(PalData,MATCH(O285,PalNames,0)+1,MATCH("ZukanIndex",PalData_Header,0)),)</f>
        <v>0</v>
      </c>
      <c r="O285" s="46"/>
      <c r="Q285" s="3"/>
      <c r="R285" s="3"/>
      <c r="S285" s="3"/>
      <c r="T285" s="3"/>
      <c r="U285" s="3"/>
    </row>
    <row r="286" customFormat="false" ht="15.75" hidden="false" customHeight="false" outlineLevel="0" collapsed="false">
      <c r="F286" s="39" t="n">
        <f aca="false">IFERROR(INDEX(PalData,MATCH(H286,PalNames,0)+1,MATCH("Image",PalData_Header,0)),)</f>
        <v>0</v>
      </c>
      <c r="G286" s="40" t="n">
        <f aca="false">IFERROR(INDEX(PalData,MATCH(H286,PalNames,0)+1,MATCH("ZukanIndex",PalData_Header,0)),)</f>
        <v>0</v>
      </c>
      <c r="H286" s="40"/>
      <c r="I286" s="41" t="n">
        <f aca="false">IFERROR(INDEX(PalData,MATCH(K286,PalNames,0)+1,MATCH("Image",PalData_Header,0)),)</f>
        <v>0</v>
      </c>
      <c r="J286" s="40" t="n">
        <f aca="false">IFERROR(INDEX(PalData,MATCH(K286,PalNames,0)+1,MATCH("ZukanIndex",PalData_Header,0)),)</f>
        <v>0</v>
      </c>
      <c r="K286" s="42"/>
      <c r="M286" s="47" t="n">
        <f aca="false">IFERROR(INDEX(PalData,MATCH(O286,PalNames,0)+1,MATCH("Image",PalData_Header,0)),)</f>
        <v>0</v>
      </c>
      <c r="N286" s="48" t="n">
        <f aca="false">IFERROR(INDEX(PalData,MATCH(O286,PalNames,0)+1,MATCH("ZukanIndex",PalData_Header,0)),)</f>
        <v>0</v>
      </c>
      <c r="O286" s="49"/>
      <c r="Q286" s="3"/>
      <c r="R286" s="3"/>
      <c r="S286" s="3"/>
      <c r="T286" s="3"/>
      <c r="U286" s="3"/>
    </row>
    <row r="287" customFormat="false" ht="15.75" hidden="false" customHeight="false" outlineLevel="0" collapsed="false">
      <c r="F287" s="34" t="n">
        <f aca="false">IFERROR(INDEX(PalData,MATCH(H287,PalNames,0)+1,MATCH("Image",PalData_Header,0)),)</f>
        <v>0</v>
      </c>
      <c r="G287" s="35" t="n">
        <f aca="false">IFERROR(INDEX(PalData,MATCH(H287,PalNames,0)+1,MATCH("ZukanIndex",PalData_Header,0)),)</f>
        <v>0</v>
      </c>
      <c r="H287" s="35"/>
      <c r="I287" s="36" t="n">
        <f aca="false">IFERROR(INDEX(PalData,MATCH(K287,PalNames,0)+1,MATCH("Image",PalData_Header,0)),)</f>
        <v>0</v>
      </c>
      <c r="J287" s="35" t="n">
        <f aca="false">IFERROR(INDEX(PalData,MATCH(K287,PalNames,0)+1,MATCH("ZukanIndex",PalData_Header,0)),)</f>
        <v>0</v>
      </c>
      <c r="K287" s="37"/>
      <c r="M287" s="44" t="n">
        <f aca="false">IFERROR(INDEX(PalData,MATCH(O287,PalNames,0)+1,MATCH("Image",PalData_Header,0)),)</f>
        <v>0</v>
      </c>
      <c r="N287" s="45" t="n">
        <f aca="false">IFERROR(INDEX(PalData,MATCH(O287,PalNames,0)+1,MATCH("ZukanIndex",PalData_Header,0)),)</f>
        <v>0</v>
      </c>
      <c r="O287" s="46"/>
      <c r="Q287" s="3"/>
      <c r="R287" s="3"/>
      <c r="S287" s="3"/>
      <c r="T287" s="3"/>
      <c r="U287" s="3"/>
    </row>
    <row r="288" customFormat="false" ht="15.75" hidden="false" customHeight="false" outlineLevel="0" collapsed="false">
      <c r="F288" s="39" t="n">
        <f aca="false">IFERROR(INDEX(PalData,MATCH(H288,PalNames,0)+1,MATCH("Image",PalData_Header,0)),)</f>
        <v>0</v>
      </c>
      <c r="G288" s="40" t="n">
        <f aca="false">IFERROR(INDEX(PalData,MATCH(H288,PalNames,0)+1,MATCH("ZukanIndex",PalData_Header,0)),)</f>
        <v>0</v>
      </c>
      <c r="H288" s="40"/>
      <c r="I288" s="41" t="n">
        <f aca="false">IFERROR(INDEX(PalData,MATCH(K288,PalNames,0)+1,MATCH("Image",PalData_Header,0)),)</f>
        <v>0</v>
      </c>
      <c r="J288" s="40" t="n">
        <f aca="false">IFERROR(INDEX(PalData,MATCH(K288,PalNames,0)+1,MATCH("ZukanIndex",PalData_Header,0)),)</f>
        <v>0</v>
      </c>
      <c r="K288" s="42"/>
      <c r="M288" s="47" t="n">
        <f aca="false">IFERROR(INDEX(PalData,MATCH(O288,PalNames,0)+1,MATCH("Image",PalData_Header,0)),)</f>
        <v>0</v>
      </c>
      <c r="N288" s="48" t="n">
        <f aca="false">IFERROR(INDEX(PalData,MATCH(O288,PalNames,0)+1,MATCH("ZukanIndex",PalData_Header,0)),)</f>
        <v>0</v>
      </c>
      <c r="O288" s="49"/>
      <c r="Q288" s="3"/>
      <c r="R288" s="3"/>
      <c r="S288" s="3"/>
      <c r="T288" s="3"/>
      <c r="U288" s="3"/>
    </row>
    <row r="289" customFormat="false" ht="15.75" hidden="false" customHeight="false" outlineLevel="0" collapsed="false">
      <c r="F289" s="34" t="n">
        <f aca="false">IFERROR(INDEX(PalData,MATCH(H289,PalNames,0)+1,MATCH("Image",PalData_Header,0)),)</f>
        <v>0</v>
      </c>
      <c r="G289" s="35" t="n">
        <f aca="false">IFERROR(INDEX(PalData,MATCH(H289,PalNames,0)+1,MATCH("ZukanIndex",PalData_Header,0)),)</f>
        <v>0</v>
      </c>
      <c r="H289" s="35"/>
      <c r="I289" s="36" t="n">
        <f aca="false">IFERROR(INDEX(PalData,MATCH(K289,PalNames,0)+1,MATCH("Image",PalData_Header,0)),)</f>
        <v>0</v>
      </c>
      <c r="J289" s="35" t="n">
        <f aca="false">IFERROR(INDEX(PalData,MATCH(K289,PalNames,0)+1,MATCH("ZukanIndex",PalData_Header,0)),)</f>
        <v>0</v>
      </c>
      <c r="K289" s="37"/>
      <c r="M289" s="44" t="n">
        <f aca="false">IFERROR(INDEX(PalData,MATCH(O289,PalNames,0)+1,MATCH("Image",PalData_Header,0)),)</f>
        <v>0</v>
      </c>
      <c r="N289" s="45" t="n">
        <f aca="false">IFERROR(INDEX(PalData,MATCH(O289,PalNames,0)+1,MATCH("ZukanIndex",PalData_Header,0)),)</f>
        <v>0</v>
      </c>
      <c r="O289" s="46"/>
      <c r="Q289" s="3"/>
      <c r="R289" s="3"/>
      <c r="S289" s="3"/>
      <c r="T289" s="3"/>
      <c r="U289" s="3"/>
    </row>
    <row r="290" customFormat="false" ht="15.75" hidden="false" customHeight="false" outlineLevel="0" collapsed="false">
      <c r="F290" s="39" t="n">
        <f aca="false">IFERROR(INDEX(PalData,MATCH(H290,PalNames,0)+1,MATCH("Image",PalData_Header,0)),)</f>
        <v>0</v>
      </c>
      <c r="G290" s="40" t="n">
        <f aca="false">IFERROR(INDEX(PalData,MATCH(H290,PalNames,0)+1,MATCH("ZukanIndex",PalData_Header,0)),)</f>
        <v>0</v>
      </c>
      <c r="H290" s="40"/>
      <c r="I290" s="41" t="n">
        <f aca="false">IFERROR(INDEX(PalData,MATCH(K290,PalNames,0)+1,MATCH("Image",PalData_Header,0)),)</f>
        <v>0</v>
      </c>
      <c r="J290" s="40" t="n">
        <f aca="false">IFERROR(INDEX(PalData,MATCH(K290,PalNames,0)+1,MATCH("ZukanIndex",PalData_Header,0)),)</f>
        <v>0</v>
      </c>
      <c r="K290" s="42"/>
      <c r="M290" s="47" t="n">
        <f aca="false">IFERROR(INDEX(PalData,MATCH(O290,PalNames,0)+1,MATCH("Image",PalData_Header,0)),)</f>
        <v>0</v>
      </c>
      <c r="N290" s="48" t="n">
        <f aca="false">IFERROR(INDEX(PalData,MATCH(O290,PalNames,0)+1,MATCH("ZukanIndex",PalData_Header,0)),)</f>
        <v>0</v>
      </c>
      <c r="O290" s="49"/>
      <c r="Q290" s="3"/>
      <c r="R290" s="3"/>
      <c r="S290" s="3"/>
      <c r="T290" s="3"/>
      <c r="U290" s="3"/>
    </row>
    <row r="291" customFormat="false" ht="15.75" hidden="false" customHeight="false" outlineLevel="0" collapsed="false">
      <c r="F291" s="34" t="n">
        <f aca="false">IFERROR(INDEX(PalData,MATCH(H291,PalNames,0)+1,MATCH("Image",PalData_Header,0)),)</f>
        <v>0</v>
      </c>
      <c r="G291" s="35" t="n">
        <f aca="false">IFERROR(INDEX(PalData,MATCH(H291,PalNames,0)+1,MATCH("ZukanIndex",PalData_Header,0)),)</f>
        <v>0</v>
      </c>
      <c r="H291" s="35"/>
      <c r="I291" s="36" t="n">
        <f aca="false">IFERROR(INDEX(PalData,MATCH(K291,PalNames,0)+1,MATCH("Image",PalData_Header,0)),)</f>
        <v>0</v>
      </c>
      <c r="J291" s="35" t="n">
        <f aca="false">IFERROR(INDEX(PalData,MATCH(K291,PalNames,0)+1,MATCH("ZukanIndex",PalData_Header,0)),)</f>
        <v>0</v>
      </c>
      <c r="K291" s="37"/>
      <c r="M291" s="44" t="n">
        <f aca="false">IFERROR(INDEX(PalData,MATCH(O291,PalNames,0)+1,MATCH("Image",PalData_Header,0)),)</f>
        <v>0</v>
      </c>
      <c r="N291" s="45" t="n">
        <f aca="false">IFERROR(INDEX(PalData,MATCH(O291,PalNames,0)+1,MATCH("ZukanIndex",PalData_Header,0)),)</f>
        <v>0</v>
      </c>
      <c r="O291" s="46"/>
      <c r="Q291" s="3"/>
      <c r="R291" s="3"/>
      <c r="S291" s="3"/>
      <c r="T291" s="3"/>
      <c r="U291" s="3"/>
    </row>
    <row r="292" customFormat="false" ht="15.75" hidden="false" customHeight="false" outlineLevel="0" collapsed="false">
      <c r="F292" s="39" t="n">
        <f aca="false">IFERROR(INDEX(PalData,MATCH(H292,PalNames,0)+1,MATCH("Image",PalData_Header,0)),)</f>
        <v>0</v>
      </c>
      <c r="G292" s="40" t="n">
        <f aca="false">IFERROR(INDEX(PalData,MATCH(H292,PalNames,0)+1,MATCH("ZukanIndex",PalData_Header,0)),)</f>
        <v>0</v>
      </c>
      <c r="H292" s="40"/>
      <c r="I292" s="41" t="n">
        <f aca="false">IFERROR(INDEX(PalData,MATCH(K292,PalNames,0)+1,MATCH("Image",PalData_Header,0)),)</f>
        <v>0</v>
      </c>
      <c r="J292" s="40" t="n">
        <f aca="false">IFERROR(INDEX(PalData,MATCH(K292,PalNames,0)+1,MATCH("ZukanIndex",PalData_Header,0)),)</f>
        <v>0</v>
      </c>
      <c r="K292" s="42"/>
      <c r="M292" s="47" t="n">
        <f aca="false">IFERROR(INDEX(PalData,MATCH(O292,PalNames,0)+1,MATCH("Image",PalData_Header,0)),)</f>
        <v>0</v>
      </c>
      <c r="N292" s="48" t="n">
        <f aca="false">IFERROR(INDEX(PalData,MATCH(O292,PalNames,0)+1,MATCH("ZukanIndex",PalData_Header,0)),)</f>
        <v>0</v>
      </c>
      <c r="O292" s="49"/>
      <c r="Q292" s="3"/>
      <c r="R292" s="3"/>
      <c r="S292" s="3"/>
      <c r="T292" s="3"/>
      <c r="U292" s="3"/>
    </row>
    <row r="293" customFormat="false" ht="15.75" hidden="false" customHeight="false" outlineLevel="0" collapsed="false">
      <c r="F293" s="34" t="n">
        <f aca="false">IFERROR(INDEX(PalData,MATCH(H293,PalNames,0)+1,MATCH("Image",PalData_Header,0)),)</f>
        <v>0</v>
      </c>
      <c r="G293" s="35" t="n">
        <f aca="false">IFERROR(INDEX(PalData,MATCH(H293,PalNames,0)+1,MATCH("ZukanIndex",PalData_Header,0)),)</f>
        <v>0</v>
      </c>
      <c r="H293" s="35"/>
      <c r="I293" s="36" t="n">
        <f aca="false">IFERROR(INDEX(PalData,MATCH(K293,PalNames,0)+1,MATCH("Image",PalData_Header,0)),)</f>
        <v>0</v>
      </c>
      <c r="J293" s="35" t="n">
        <f aca="false">IFERROR(INDEX(PalData,MATCH(K293,PalNames,0)+1,MATCH("ZukanIndex",PalData_Header,0)),)</f>
        <v>0</v>
      </c>
      <c r="K293" s="37"/>
      <c r="M293" s="44" t="n">
        <f aca="false">IFERROR(INDEX(PalData,MATCH(O293,PalNames,0)+1,MATCH("Image",PalData_Header,0)),)</f>
        <v>0</v>
      </c>
      <c r="N293" s="45" t="n">
        <f aca="false">IFERROR(INDEX(PalData,MATCH(O293,PalNames,0)+1,MATCH("ZukanIndex",PalData_Header,0)),)</f>
        <v>0</v>
      </c>
      <c r="O293" s="46"/>
      <c r="Q293" s="3"/>
      <c r="R293" s="3"/>
      <c r="S293" s="3"/>
      <c r="T293" s="3"/>
      <c r="U293" s="3"/>
    </row>
    <row r="294" customFormat="false" ht="15.75" hidden="false" customHeight="false" outlineLevel="0" collapsed="false">
      <c r="F294" s="39" t="n">
        <f aca="false">IFERROR(INDEX(PalData,MATCH(H294,PalNames,0)+1,MATCH("Image",PalData_Header,0)),)</f>
        <v>0</v>
      </c>
      <c r="G294" s="40" t="n">
        <f aca="false">IFERROR(INDEX(PalData,MATCH(H294,PalNames,0)+1,MATCH("ZukanIndex",PalData_Header,0)),)</f>
        <v>0</v>
      </c>
      <c r="H294" s="40"/>
      <c r="I294" s="41" t="n">
        <f aca="false">IFERROR(INDEX(PalData,MATCH(K294,PalNames,0)+1,MATCH("Image",PalData_Header,0)),)</f>
        <v>0</v>
      </c>
      <c r="J294" s="40" t="n">
        <f aca="false">IFERROR(INDEX(PalData,MATCH(K294,PalNames,0)+1,MATCH("ZukanIndex",PalData_Header,0)),)</f>
        <v>0</v>
      </c>
      <c r="K294" s="42"/>
      <c r="M294" s="47" t="n">
        <f aca="false">IFERROR(INDEX(PalData,MATCH(O294,PalNames,0)+1,MATCH("Image",PalData_Header,0)),)</f>
        <v>0</v>
      </c>
      <c r="N294" s="48" t="n">
        <f aca="false">IFERROR(INDEX(PalData,MATCH(O294,PalNames,0)+1,MATCH("ZukanIndex",PalData_Header,0)),)</f>
        <v>0</v>
      </c>
      <c r="O294" s="49"/>
      <c r="Q294" s="3"/>
      <c r="R294" s="3"/>
      <c r="S294" s="3"/>
      <c r="T294" s="3"/>
      <c r="U294" s="3"/>
    </row>
    <row r="295" customFormat="false" ht="15.75" hidden="false" customHeight="false" outlineLevel="0" collapsed="false">
      <c r="F295" s="34" t="n">
        <f aca="false">IFERROR(INDEX(PalData,MATCH(H295,PalNames,0)+1,MATCH("Image",PalData_Header,0)),)</f>
        <v>0</v>
      </c>
      <c r="G295" s="35" t="n">
        <f aca="false">IFERROR(INDEX(PalData,MATCH(H295,PalNames,0)+1,MATCH("ZukanIndex",PalData_Header,0)),)</f>
        <v>0</v>
      </c>
      <c r="H295" s="35"/>
      <c r="I295" s="36" t="n">
        <f aca="false">IFERROR(INDEX(PalData,MATCH(K295,PalNames,0)+1,MATCH("Image",PalData_Header,0)),)</f>
        <v>0</v>
      </c>
      <c r="J295" s="35" t="n">
        <f aca="false">IFERROR(INDEX(PalData,MATCH(K295,PalNames,0)+1,MATCH("ZukanIndex",PalData_Header,0)),)</f>
        <v>0</v>
      </c>
      <c r="K295" s="37"/>
      <c r="M295" s="44" t="n">
        <f aca="false">IFERROR(INDEX(PalData,MATCH(O295,PalNames,0)+1,MATCH("Image",PalData_Header,0)),)</f>
        <v>0</v>
      </c>
      <c r="N295" s="45" t="n">
        <f aca="false">IFERROR(INDEX(PalData,MATCH(O295,PalNames,0)+1,MATCH("ZukanIndex",PalData_Header,0)),)</f>
        <v>0</v>
      </c>
      <c r="O295" s="46"/>
      <c r="Q295" s="3"/>
      <c r="R295" s="3"/>
      <c r="S295" s="3"/>
      <c r="T295" s="3"/>
      <c r="U295" s="3"/>
    </row>
    <row r="296" customFormat="false" ht="15.75" hidden="false" customHeight="false" outlineLevel="0" collapsed="false">
      <c r="F296" s="39" t="n">
        <f aca="false">IFERROR(INDEX(PalData,MATCH(H296,PalNames,0)+1,MATCH("Image",PalData_Header,0)),)</f>
        <v>0</v>
      </c>
      <c r="G296" s="40" t="n">
        <f aca="false">IFERROR(INDEX(PalData,MATCH(H296,PalNames,0)+1,MATCH("ZukanIndex",PalData_Header,0)),)</f>
        <v>0</v>
      </c>
      <c r="H296" s="40"/>
      <c r="I296" s="41" t="n">
        <f aca="false">IFERROR(INDEX(PalData,MATCH(K296,PalNames,0)+1,MATCH("Image",PalData_Header,0)),)</f>
        <v>0</v>
      </c>
      <c r="J296" s="40" t="n">
        <f aca="false">IFERROR(INDEX(PalData,MATCH(K296,PalNames,0)+1,MATCH("ZukanIndex",PalData_Header,0)),)</f>
        <v>0</v>
      </c>
      <c r="K296" s="42"/>
      <c r="M296" s="47" t="n">
        <f aca="false">IFERROR(INDEX(PalData,MATCH(O296,PalNames,0)+1,MATCH("Image",PalData_Header,0)),)</f>
        <v>0</v>
      </c>
      <c r="N296" s="48" t="n">
        <f aca="false">IFERROR(INDEX(PalData,MATCH(O296,PalNames,0)+1,MATCH("ZukanIndex",PalData_Header,0)),)</f>
        <v>0</v>
      </c>
      <c r="O296" s="49"/>
      <c r="Q296" s="3"/>
      <c r="R296" s="3"/>
      <c r="S296" s="3"/>
      <c r="T296" s="3"/>
      <c r="U296" s="3"/>
    </row>
    <row r="297" customFormat="false" ht="15.75" hidden="false" customHeight="false" outlineLevel="0" collapsed="false">
      <c r="F297" s="34" t="n">
        <f aca="false">IFERROR(INDEX(PalData,MATCH(H297,PalNames,0)+1,MATCH("Image",PalData_Header,0)),)</f>
        <v>0</v>
      </c>
      <c r="G297" s="35" t="n">
        <f aca="false">IFERROR(INDEX(PalData,MATCH(H297,PalNames,0)+1,MATCH("ZukanIndex",PalData_Header,0)),)</f>
        <v>0</v>
      </c>
      <c r="H297" s="35"/>
      <c r="I297" s="36" t="n">
        <f aca="false">IFERROR(INDEX(PalData,MATCH(K297,PalNames,0)+1,MATCH("Image",PalData_Header,0)),)</f>
        <v>0</v>
      </c>
      <c r="J297" s="35" t="n">
        <f aca="false">IFERROR(INDEX(PalData,MATCH(K297,PalNames,0)+1,MATCH("ZukanIndex",PalData_Header,0)),)</f>
        <v>0</v>
      </c>
      <c r="K297" s="37"/>
      <c r="M297" s="44" t="n">
        <f aca="false">IFERROR(INDEX(PalData,MATCH(O297,PalNames,0)+1,MATCH("Image",PalData_Header,0)),)</f>
        <v>0</v>
      </c>
      <c r="N297" s="45" t="n">
        <f aca="false">IFERROR(INDEX(PalData,MATCH(O297,PalNames,0)+1,MATCH("ZukanIndex",PalData_Header,0)),)</f>
        <v>0</v>
      </c>
      <c r="O297" s="46"/>
      <c r="Q297" s="3"/>
      <c r="R297" s="3"/>
      <c r="S297" s="3"/>
      <c r="T297" s="3"/>
      <c r="U297" s="3"/>
    </row>
    <row r="298" customFormat="false" ht="15.75" hidden="false" customHeight="false" outlineLevel="0" collapsed="false">
      <c r="F298" s="39" t="n">
        <f aca="false">IFERROR(INDEX(PalData,MATCH(H298,PalNames,0)+1,MATCH("Image",PalData_Header,0)),)</f>
        <v>0</v>
      </c>
      <c r="G298" s="40" t="n">
        <f aca="false">IFERROR(INDEX(PalData,MATCH(H298,PalNames,0)+1,MATCH("ZukanIndex",PalData_Header,0)),)</f>
        <v>0</v>
      </c>
      <c r="H298" s="40"/>
      <c r="I298" s="41" t="n">
        <f aca="false">IFERROR(INDEX(PalData,MATCH(K298,PalNames,0)+1,MATCH("Image",PalData_Header,0)),)</f>
        <v>0</v>
      </c>
      <c r="J298" s="40" t="n">
        <f aca="false">IFERROR(INDEX(PalData,MATCH(K298,PalNames,0)+1,MATCH("ZukanIndex",PalData_Header,0)),)</f>
        <v>0</v>
      </c>
      <c r="K298" s="42"/>
      <c r="M298" s="47" t="n">
        <f aca="false">IFERROR(INDEX(PalData,MATCH(O298,PalNames,0)+1,MATCH("Image",PalData_Header,0)),)</f>
        <v>0</v>
      </c>
      <c r="N298" s="48" t="n">
        <f aca="false">IFERROR(INDEX(PalData,MATCH(O298,PalNames,0)+1,MATCH("ZukanIndex",PalData_Header,0)),)</f>
        <v>0</v>
      </c>
      <c r="O298" s="49"/>
      <c r="Q298" s="3"/>
      <c r="R298" s="3"/>
      <c r="S298" s="3"/>
      <c r="T298" s="3"/>
      <c r="U298" s="3"/>
    </row>
    <row r="299" customFormat="false" ht="15.75" hidden="false" customHeight="false" outlineLevel="0" collapsed="false">
      <c r="F299" s="34" t="n">
        <f aca="false">IFERROR(INDEX(PalData,MATCH(H299,PalNames,0)+1,MATCH("Image",PalData_Header,0)),)</f>
        <v>0</v>
      </c>
      <c r="G299" s="35" t="n">
        <f aca="false">IFERROR(INDEX(PalData,MATCH(H299,PalNames,0)+1,MATCH("ZukanIndex",PalData_Header,0)),)</f>
        <v>0</v>
      </c>
      <c r="H299" s="35"/>
      <c r="I299" s="36" t="n">
        <f aca="false">IFERROR(INDEX(PalData,MATCH(K299,PalNames,0)+1,MATCH("Image",PalData_Header,0)),)</f>
        <v>0</v>
      </c>
      <c r="J299" s="35" t="n">
        <f aca="false">IFERROR(INDEX(PalData,MATCH(K299,PalNames,0)+1,MATCH("ZukanIndex",PalData_Header,0)),)</f>
        <v>0</v>
      </c>
      <c r="K299" s="37"/>
      <c r="M299" s="44" t="n">
        <f aca="false">IFERROR(INDEX(PalData,MATCH(O299,PalNames,0)+1,MATCH("Image",PalData_Header,0)),)</f>
        <v>0</v>
      </c>
      <c r="N299" s="45" t="n">
        <f aca="false">IFERROR(INDEX(PalData,MATCH(O299,PalNames,0)+1,MATCH("ZukanIndex",PalData_Header,0)),)</f>
        <v>0</v>
      </c>
      <c r="O299" s="46"/>
      <c r="Q299" s="3"/>
      <c r="R299" s="3"/>
      <c r="S299" s="3"/>
      <c r="T299" s="3"/>
      <c r="U299" s="3"/>
    </row>
    <row r="300" customFormat="false" ht="15.75" hidden="false" customHeight="false" outlineLevel="0" collapsed="false">
      <c r="F300" s="39" t="n">
        <f aca="false">IFERROR(INDEX(PalData,MATCH(H300,PalNames,0)+1,MATCH("Image",PalData_Header,0)),)</f>
        <v>0</v>
      </c>
      <c r="G300" s="40" t="n">
        <f aca="false">IFERROR(INDEX(PalData,MATCH(H300,PalNames,0)+1,MATCH("ZukanIndex",PalData_Header,0)),)</f>
        <v>0</v>
      </c>
      <c r="H300" s="40"/>
      <c r="I300" s="41" t="n">
        <f aca="false">IFERROR(INDEX(PalData,MATCH(K300,PalNames,0)+1,MATCH("Image",PalData_Header,0)),)</f>
        <v>0</v>
      </c>
      <c r="J300" s="40" t="n">
        <f aca="false">IFERROR(INDEX(PalData,MATCH(K300,PalNames,0)+1,MATCH("ZukanIndex",PalData_Header,0)),)</f>
        <v>0</v>
      </c>
      <c r="K300" s="42"/>
      <c r="M300" s="47" t="n">
        <f aca="false">IFERROR(INDEX(PalData,MATCH(O300,PalNames,0)+1,MATCH("Image",PalData_Header,0)),)</f>
        <v>0</v>
      </c>
      <c r="N300" s="48" t="n">
        <f aca="false">IFERROR(INDEX(PalData,MATCH(O300,PalNames,0)+1,MATCH("ZukanIndex",PalData_Header,0)),)</f>
        <v>0</v>
      </c>
      <c r="O300" s="49"/>
      <c r="Q300" s="3"/>
      <c r="R300" s="3"/>
      <c r="S300" s="3"/>
      <c r="T300" s="3"/>
      <c r="U300" s="3"/>
    </row>
    <row r="301" customFormat="false" ht="15.75" hidden="false" customHeight="false" outlineLevel="0" collapsed="false">
      <c r="F301" s="34" t="n">
        <f aca="false">IFERROR(INDEX(PalData,MATCH(H301,PalNames,0)+1,MATCH("Image",PalData_Header,0)),)</f>
        <v>0</v>
      </c>
      <c r="G301" s="35" t="n">
        <f aca="false">IFERROR(INDEX(PalData,MATCH(H301,PalNames,0)+1,MATCH("ZukanIndex",PalData_Header,0)),)</f>
        <v>0</v>
      </c>
      <c r="H301" s="35"/>
      <c r="I301" s="36" t="n">
        <f aca="false">IFERROR(INDEX(PalData,MATCH(K301,PalNames,0)+1,MATCH("Image",PalData_Header,0)),)</f>
        <v>0</v>
      </c>
      <c r="J301" s="35" t="n">
        <f aca="false">IFERROR(INDEX(PalData,MATCH(K301,PalNames,0)+1,MATCH("ZukanIndex",PalData_Header,0)),)</f>
        <v>0</v>
      </c>
      <c r="K301" s="37"/>
      <c r="M301" s="44" t="n">
        <f aca="false">IFERROR(INDEX(PalData,MATCH(O301,PalNames,0)+1,MATCH("Image",PalData_Header,0)),)</f>
        <v>0</v>
      </c>
      <c r="N301" s="45" t="n">
        <f aca="false">IFERROR(INDEX(PalData,MATCH(O301,PalNames,0)+1,MATCH("ZukanIndex",PalData_Header,0)),)</f>
        <v>0</v>
      </c>
      <c r="O301" s="46"/>
      <c r="Q301" s="3"/>
      <c r="R301" s="3"/>
      <c r="S301" s="3"/>
      <c r="T301" s="3"/>
      <c r="U301" s="3"/>
    </row>
    <row r="302" customFormat="false" ht="15.75" hidden="false" customHeight="false" outlineLevel="0" collapsed="false">
      <c r="F302" s="39" t="n">
        <f aca="false">IFERROR(INDEX(PalData,MATCH(H302,PalNames,0)+1,MATCH("Image",PalData_Header,0)),)</f>
        <v>0</v>
      </c>
      <c r="G302" s="40" t="n">
        <f aca="false">IFERROR(INDEX(PalData,MATCH(H302,PalNames,0)+1,MATCH("ZukanIndex",PalData_Header,0)),)</f>
        <v>0</v>
      </c>
      <c r="H302" s="40"/>
      <c r="I302" s="41" t="n">
        <f aca="false">IFERROR(INDEX(PalData,MATCH(K302,PalNames,0)+1,MATCH("Image",PalData_Header,0)),)</f>
        <v>0</v>
      </c>
      <c r="J302" s="40" t="n">
        <f aca="false">IFERROR(INDEX(PalData,MATCH(K302,PalNames,0)+1,MATCH("ZukanIndex",PalData_Header,0)),)</f>
        <v>0</v>
      </c>
      <c r="K302" s="42"/>
      <c r="M302" s="47" t="n">
        <f aca="false">IFERROR(INDEX(PalData,MATCH(O302,PalNames,0)+1,MATCH("Image",PalData_Header,0)),)</f>
        <v>0</v>
      </c>
      <c r="N302" s="48" t="n">
        <f aca="false">IFERROR(INDEX(PalData,MATCH(O302,PalNames,0)+1,MATCH("ZukanIndex",PalData_Header,0)),)</f>
        <v>0</v>
      </c>
      <c r="O302" s="49"/>
      <c r="Q302" s="3"/>
      <c r="R302" s="3"/>
      <c r="S302" s="3"/>
      <c r="T302" s="3"/>
      <c r="U302" s="3"/>
    </row>
    <row r="303" customFormat="false" ht="15.75" hidden="false" customHeight="false" outlineLevel="0" collapsed="false">
      <c r="F303" s="34" t="n">
        <f aca="false">IFERROR(INDEX(PalData,MATCH(H303,PalNames,0)+1,MATCH("Image",PalData_Header,0)),)</f>
        <v>0</v>
      </c>
      <c r="G303" s="35" t="n">
        <f aca="false">IFERROR(INDEX(PalData,MATCH(H303,PalNames,0)+1,MATCH("ZukanIndex",PalData_Header,0)),)</f>
        <v>0</v>
      </c>
      <c r="H303" s="35"/>
      <c r="I303" s="36" t="n">
        <f aca="false">IFERROR(INDEX(PalData,MATCH(K303,PalNames,0)+1,MATCH("Image",PalData_Header,0)),)</f>
        <v>0</v>
      </c>
      <c r="J303" s="35" t="n">
        <f aca="false">IFERROR(INDEX(PalData,MATCH(K303,PalNames,0)+1,MATCH("ZukanIndex",PalData_Header,0)),)</f>
        <v>0</v>
      </c>
      <c r="K303" s="37"/>
      <c r="M303" s="44" t="n">
        <f aca="false">IFERROR(INDEX(PalData,MATCH(O303,PalNames,0)+1,MATCH("Image",PalData_Header,0)),)</f>
        <v>0</v>
      </c>
      <c r="N303" s="45" t="n">
        <f aca="false">IFERROR(INDEX(PalData,MATCH(O303,PalNames,0)+1,MATCH("ZukanIndex",PalData_Header,0)),)</f>
        <v>0</v>
      </c>
      <c r="O303" s="46"/>
      <c r="Q303" s="3"/>
      <c r="R303" s="3"/>
      <c r="S303" s="3"/>
      <c r="T303" s="3"/>
      <c r="U303" s="3"/>
    </row>
    <row r="304" customFormat="false" ht="15.75" hidden="false" customHeight="false" outlineLevel="0" collapsed="false">
      <c r="F304" s="39" t="n">
        <f aca="false">IFERROR(INDEX(PalData,MATCH(H304,PalNames,0)+1,MATCH("Image",PalData_Header,0)),)</f>
        <v>0</v>
      </c>
      <c r="G304" s="40" t="n">
        <f aca="false">IFERROR(INDEX(PalData,MATCH(H304,PalNames,0)+1,MATCH("ZukanIndex",PalData_Header,0)),)</f>
        <v>0</v>
      </c>
      <c r="H304" s="40"/>
      <c r="I304" s="41" t="n">
        <f aca="false">IFERROR(INDEX(PalData,MATCH(K304,PalNames,0)+1,MATCH("Image",PalData_Header,0)),)</f>
        <v>0</v>
      </c>
      <c r="J304" s="40" t="n">
        <f aca="false">IFERROR(INDEX(PalData,MATCH(K304,PalNames,0)+1,MATCH("ZukanIndex",PalData_Header,0)),)</f>
        <v>0</v>
      </c>
      <c r="K304" s="42"/>
      <c r="M304" s="47" t="n">
        <f aca="false">IFERROR(INDEX(PalData,MATCH(O304,PalNames,0)+1,MATCH("Image",PalData_Header,0)),)</f>
        <v>0</v>
      </c>
      <c r="N304" s="48" t="n">
        <f aca="false">IFERROR(INDEX(PalData,MATCH(O304,PalNames,0)+1,MATCH("ZukanIndex",PalData_Header,0)),)</f>
        <v>0</v>
      </c>
      <c r="O304" s="49"/>
      <c r="Q304" s="3"/>
      <c r="R304" s="3"/>
      <c r="S304" s="3"/>
      <c r="T304" s="3"/>
      <c r="U304" s="3"/>
    </row>
    <row r="305" customFormat="false" ht="15.75" hidden="false" customHeight="false" outlineLevel="0" collapsed="false">
      <c r="F305" s="34" t="n">
        <f aca="false">IFERROR(INDEX(PalData,MATCH(H305,PalNames,0)+1,MATCH("Image",PalData_Header,0)),)</f>
        <v>0</v>
      </c>
      <c r="G305" s="35" t="n">
        <f aca="false">IFERROR(INDEX(PalData,MATCH(H305,PalNames,0)+1,MATCH("ZukanIndex",PalData_Header,0)),)</f>
        <v>0</v>
      </c>
      <c r="H305" s="35"/>
      <c r="I305" s="36" t="n">
        <f aca="false">IFERROR(INDEX(PalData,MATCH(K305,PalNames,0)+1,MATCH("Image",PalData_Header,0)),)</f>
        <v>0</v>
      </c>
      <c r="J305" s="35" t="n">
        <f aca="false">IFERROR(INDEX(PalData,MATCH(K305,PalNames,0)+1,MATCH("ZukanIndex",PalData_Header,0)),)</f>
        <v>0</v>
      </c>
      <c r="K305" s="37"/>
      <c r="M305" s="44" t="n">
        <f aca="false">IFERROR(INDEX(PalData,MATCH(O305,PalNames,0)+1,MATCH("Image",PalData_Header,0)),)</f>
        <v>0</v>
      </c>
      <c r="N305" s="45" t="n">
        <f aca="false">IFERROR(INDEX(PalData,MATCH(O305,PalNames,0)+1,MATCH("ZukanIndex",PalData_Header,0)),)</f>
        <v>0</v>
      </c>
      <c r="O305" s="46"/>
      <c r="Q305" s="3"/>
      <c r="R305" s="3"/>
      <c r="S305" s="3"/>
      <c r="T305" s="3"/>
      <c r="U305" s="3"/>
    </row>
    <row r="306" customFormat="false" ht="15.75" hidden="false" customHeight="false" outlineLevel="0" collapsed="false">
      <c r="F306" s="39" t="n">
        <f aca="false">IFERROR(INDEX(PalData,MATCH(H306,PalNames,0)+1,MATCH("Image",PalData_Header,0)),)</f>
        <v>0</v>
      </c>
      <c r="G306" s="40" t="n">
        <f aca="false">IFERROR(INDEX(PalData,MATCH(H306,PalNames,0)+1,MATCH("ZukanIndex",PalData_Header,0)),)</f>
        <v>0</v>
      </c>
      <c r="H306" s="40"/>
      <c r="I306" s="41" t="n">
        <f aca="false">IFERROR(INDEX(PalData,MATCH(K306,PalNames,0)+1,MATCH("Image",PalData_Header,0)),)</f>
        <v>0</v>
      </c>
      <c r="J306" s="40" t="n">
        <f aca="false">IFERROR(INDEX(PalData,MATCH(K306,PalNames,0)+1,MATCH("ZukanIndex",PalData_Header,0)),)</f>
        <v>0</v>
      </c>
      <c r="K306" s="42"/>
      <c r="M306" s="47" t="n">
        <f aca="false">IFERROR(INDEX(PalData,MATCH(O306,PalNames,0)+1,MATCH("Image",PalData_Header,0)),)</f>
        <v>0</v>
      </c>
      <c r="N306" s="48" t="n">
        <f aca="false">IFERROR(INDEX(PalData,MATCH(O306,PalNames,0)+1,MATCH("ZukanIndex",PalData_Header,0)),)</f>
        <v>0</v>
      </c>
      <c r="O306" s="49"/>
      <c r="Q306" s="3"/>
      <c r="R306" s="3"/>
      <c r="S306" s="3"/>
      <c r="T306" s="3"/>
      <c r="U306" s="3"/>
    </row>
    <row r="307" customFormat="false" ht="15.75" hidden="false" customHeight="false" outlineLevel="0" collapsed="false">
      <c r="F307" s="34" t="n">
        <f aca="false">IFERROR(INDEX(PalData,MATCH(H307,PalNames,0)+1,MATCH("Image",PalData_Header,0)),)</f>
        <v>0</v>
      </c>
      <c r="G307" s="35" t="n">
        <f aca="false">IFERROR(INDEX(PalData,MATCH(H307,PalNames,0)+1,MATCH("ZukanIndex",PalData_Header,0)),)</f>
        <v>0</v>
      </c>
      <c r="H307" s="35"/>
      <c r="I307" s="36" t="n">
        <f aca="false">IFERROR(INDEX(PalData,MATCH(K307,PalNames,0)+1,MATCH("Image",PalData_Header,0)),)</f>
        <v>0</v>
      </c>
      <c r="J307" s="35" t="n">
        <f aca="false">IFERROR(INDEX(PalData,MATCH(K307,PalNames,0)+1,MATCH("ZukanIndex",PalData_Header,0)),)</f>
        <v>0</v>
      </c>
      <c r="K307" s="37"/>
      <c r="M307" s="44" t="n">
        <f aca="false">IFERROR(INDEX(PalData,MATCH(O307,PalNames,0)+1,MATCH("Image",PalData_Header,0)),)</f>
        <v>0</v>
      </c>
      <c r="N307" s="45" t="n">
        <f aca="false">IFERROR(INDEX(PalData,MATCH(O307,PalNames,0)+1,MATCH("ZukanIndex",PalData_Header,0)),)</f>
        <v>0</v>
      </c>
      <c r="O307" s="46"/>
      <c r="Q307" s="3"/>
      <c r="R307" s="3"/>
      <c r="S307" s="3"/>
      <c r="T307" s="3"/>
      <c r="U307" s="3"/>
    </row>
    <row r="308" customFormat="false" ht="15.75" hidden="false" customHeight="false" outlineLevel="0" collapsed="false">
      <c r="F308" s="39" t="n">
        <f aca="false">IFERROR(INDEX(PalData,MATCH(H308,PalNames,0)+1,MATCH("Image",PalData_Header,0)),)</f>
        <v>0</v>
      </c>
      <c r="G308" s="40" t="n">
        <f aca="false">IFERROR(INDEX(PalData,MATCH(H308,PalNames,0)+1,MATCH("ZukanIndex",PalData_Header,0)),)</f>
        <v>0</v>
      </c>
      <c r="H308" s="40"/>
      <c r="I308" s="41" t="n">
        <f aca="false">IFERROR(INDEX(PalData,MATCH(K308,PalNames,0)+1,MATCH("Image",PalData_Header,0)),)</f>
        <v>0</v>
      </c>
      <c r="J308" s="40" t="n">
        <f aca="false">IFERROR(INDEX(PalData,MATCH(K308,PalNames,0)+1,MATCH("ZukanIndex",PalData_Header,0)),)</f>
        <v>0</v>
      </c>
      <c r="K308" s="42"/>
      <c r="M308" s="47" t="n">
        <f aca="false">IFERROR(INDEX(PalData,MATCH(O308,PalNames,0)+1,MATCH("Image",PalData_Header,0)),)</f>
        <v>0</v>
      </c>
      <c r="N308" s="48" t="n">
        <f aca="false">IFERROR(INDEX(PalData,MATCH(O308,PalNames,0)+1,MATCH("ZukanIndex",PalData_Header,0)),)</f>
        <v>0</v>
      </c>
      <c r="O308" s="49"/>
      <c r="Q308" s="3"/>
      <c r="R308" s="3"/>
      <c r="S308" s="3"/>
      <c r="T308" s="3"/>
      <c r="U308" s="3"/>
    </row>
    <row r="309" customFormat="false" ht="15.75" hidden="false" customHeight="false" outlineLevel="0" collapsed="false">
      <c r="F309" s="34" t="n">
        <f aca="false">IFERROR(INDEX(PalData,MATCH(H309,PalNames,0)+1,MATCH("Image",PalData_Header,0)),)</f>
        <v>0</v>
      </c>
      <c r="G309" s="35" t="n">
        <f aca="false">IFERROR(INDEX(PalData,MATCH(H309,PalNames,0)+1,MATCH("ZukanIndex",PalData_Header,0)),)</f>
        <v>0</v>
      </c>
      <c r="H309" s="35"/>
      <c r="I309" s="36" t="n">
        <f aca="false">IFERROR(INDEX(PalData,MATCH(K309,PalNames,0)+1,MATCH("Image",PalData_Header,0)),)</f>
        <v>0</v>
      </c>
      <c r="J309" s="35" t="n">
        <f aca="false">IFERROR(INDEX(PalData,MATCH(K309,PalNames,0)+1,MATCH("ZukanIndex",PalData_Header,0)),)</f>
        <v>0</v>
      </c>
      <c r="K309" s="37"/>
      <c r="M309" s="44" t="n">
        <f aca="false">IFERROR(INDEX(PalData,MATCH(O309,PalNames,0)+1,MATCH("Image",PalData_Header,0)),)</f>
        <v>0</v>
      </c>
      <c r="N309" s="45" t="n">
        <f aca="false">IFERROR(INDEX(PalData,MATCH(O309,PalNames,0)+1,MATCH("ZukanIndex",PalData_Header,0)),)</f>
        <v>0</v>
      </c>
      <c r="O309" s="46"/>
      <c r="Q309" s="3"/>
      <c r="R309" s="3"/>
      <c r="S309" s="3"/>
      <c r="T309" s="3"/>
      <c r="U309" s="3"/>
    </row>
    <row r="310" customFormat="false" ht="15.75" hidden="false" customHeight="false" outlineLevel="0" collapsed="false">
      <c r="F310" s="39" t="n">
        <f aca="false">IFERROR(INDEX(PalData,MATCH(H310,PalNames,0)+1,MATCH("Image",PalData_Header,0)),)</f>
        <v>0</v>
      </c>
      <c r="G310" s="40" t="n">
        <f aca="false">IFERROR(INDEX(PalData,MATCH(H310,PalNames,0)+1,MATCH("ZukanIndex",PalData_Header,0)),)</f>
        <v>0</v>
      </c>
      <c r="H310" s="40"/>
      <c r="I310" s="41" t="n">
        <f aca="false">IFERROR(INDEX(PalData,MATCH(K310,PalNames,0)+1,MATCH("Image",PalData_Header,0)),)</f>
        <v>0</v>
      </c>
      <c r="J310" s="40" t="n">
        <f aca="false">IFERROR(INDEX(PalData,MATCH(K310,PalNames,0)+1,MATCH("ZukanIndex",PalData_Header,0)),)</f>
        <v>0</v>
      </c>
      <c r="K310" s="42"/>
      <c r="M310" s="47" t="n">
        <f aca="false">IFERROR(INDEX(PalData,MATCH(O310,PalNames,0)+1,MATCH("Image",PalData_Header,0)),)</f>
        <v>0</v>
      </c>
      <c r="N310" s="48" t="n">
        <f aca="false">IFERROR(INDEX(PalData,MATCH(O310,PalNames,0)+1,MATCH("ZukanIndex",PalData_Header,0)),)</f>
        <v>0</v>
      </c>
      <c r="O310" s="49"/>
      <c r="Q310" s="3"/>
      <c r="R310" s="3"/>
      <c r="S310" s="3"/>
      <c r="T310" s="3"/>
      <c r="U310" s="3"/>
    </row>
    <row r="311" customFormat="false" ht="15.75" hidden="false" customHeight="false" outlineLevel="0" collapsed="false">
      <c r="F311" s="34" t="n">
        <f aca="false">IFERROR(INDEX(PalData,MATCH(H311,PalNames,0)+1,MATCH("Image",PalData_Header,0)),)</f>
        <v>0</v>
      </c>
      <c r="G311" s="35" t="n">
        <f aca="false">IFERROR(INDEX(PalData,MATCH(H311,PalNames,0)+1,MATCH("ZukanIndex",PalData_Header,0)),)</f>
        <v>0</v>
      </c>
      <c r="H311" s="35"/>
      <c r="I311" s="36" t="n">
        <f aca="false">IFERROR(INDEX(PalData,MATCH(K311,PalNames,0)+1,MATCH("Image",PalData_Header,0)),)</f>
        <v>0</v>
      </c>
      <c r="J311" s="35" t="n">
        <f aca="false">IFERROR(INDEX(PalData,MATCH(K311,PalNames,0)+1,MATCH("ZukanIndex",PalData_Header,0)),)</f>
        <v>0</v>
      </c>
      <c r="K311" s="37"/>
      <c r="M311" s="44" t="n">
        <f aca="false">IFERROR(INDEX(PalData,MATCH(O311,PalNames,0)+1,MATCH("Image",PalData_Header,0)),)</f>
        <v>0</v>
      </c>
      <c r="N311" s="45" t="n">
        <f aca="false">IFERROR(INDEX(PalData,MATCH(O311,PalNames,0)+1,MATCH("ZukanIndex",PalData_Header,0)),)</f>
        <v>0</v>
      </c>
      <c r="O311" s="46"/>
      <c r="Q311" s="3"/>
      <c r="R311" s="3"/>
      <c r="S311" s="3"/>
      <c r="T311" s="3"/>
      <c r="U311" s="3"/>
    </row>
    <row r="312" customFormat="false" ht="15.75" hidden="false" customHeight="false" outlineLevel="0" collapsed="false">
      <c r="F312" s="39" t="n">
        <f aca="false">IFERROR(INDEX(PalData,MATCH(H312,PalNames,0)+1,MATCH("Image",PalData_Header,0)),)</f>
        <v>0</v>
      </c>
      <c r="G312" s="40" t="n">
        <f aca="false">IFERROR(INDEX(PalData,MATCH(H312,PalNames,0)+1,MATCH("ZukanIndex",PalData_Header,0)),)</f>
        <v>0</v>
      </c>
      <c r="H312" s="40"/>
      <c r="I312" s="41" t="n">
        <f aca="false">IFERROR(INDEX(PalData,MATCH(K312,PalNames,0)+1,MATCH("Image",PalData_Header,0)),)</f>
        <v>0</v>
      </c>
      <c r="J312" s="40" t="n">
        <f aca="false">IFERROR(INDEX(PalData,MATCH(K312,PalNames,0)+1,MATCH("ZukanIndex",PalData_Header,0)),)</f>
        <v>0</v>
      </c>
      <c r="K312" s="42"/>
      <c r="M312" s="47" t="n">
        <f aca="false">IFERROR(INDEX(PalData,MATCH(O312,PalNames,0)+1,MATCH("Image",PalData_Header,0)),)</f>
        <v>0</v>
      </c>
      <c r="N312" s="48" t="n">
        <f aca="false">IFERROR(INDEX(PalData,MATCH(O312,PalNames,0)+1,MATCH("ZukanIndex",PalData_Header,0)),)</f>
        <v>0</v>
      </c>
      <c r="O312" s="49"/>
      <c r="Q312" s="3"/>
      <c r="R312" s="3"/>
      <c r="S312" s="3"/>
      <c r="T312" s="3"/>
      <c r="U312" s="3"/>
    </row>
    <row r="313" customFormat="false" ht="15.75" hidden="false" customHeight="false" outlineLevel="0" collapsed="false">
      <c r="F313" s="34" t="n">
        <f aca="false">IFERROR(INDEX(PalData,MATCH(H313,PalNames,0)+1,MATCH("Image",PalData_Header,0)),)</f>
        <v>0</v>
      </c>
      <c r="G313" s="35" t="n">
        <f aca="false">IFERROR(INDEX(PalData,MATCH(H313,PalNames,0)+1,MATCH("ZukanIndex",PalData_Header,0)),)</f>
        <v>0</v>
      </c>
      <c r="H313" s="35"/>
      <c r="I313" s="36" t="n">
        <f aca="false">IFERROR(INDEX(PalData,MATCH(K313,PalNames,0)+1,MATCH("Image",PalData_Header,0)),)</f>
        <v>0</v>
      </c>
      <c r="J313" s="35" t="n">
        <f aca="false">IFERROR(INDEX(PalData,MATCH(K313,PalNames,0)+1,MATCH("ZukanIndex",PalData_Header,0)),)</f>
        <v>0</v>
      </c>
      <c r="K313" s="37"/>
      <c r="M313" s="44" t="n">
        <f aca="false">IFERROR(INDEX(PalData,MATCH(O313,PalNames,0)+1,MATCH("Image",PalData_Header,0)),)</f>
        <v>0</v>
      </c>
      <c r="N313" s="45" t="n">
        <f aca="false">IFERROR(INDEX(PalData,MATCH(O313,PalNames,0)+1,MATCH("ZukanIndex",PalData_Header,0)),)</f>
        <v>0</v>
      </c>
      <c r="O313" s="46"/>
      <c r="Q313" s="3"/>
      <c r="R313" s="3"/>
      <c r="S313" s="3"/>
      <c r="T313" s="3"/>
      <c r="U313" s="3"/>
    </row>
    <row r="314" customFormat="false" ht="15.75" hidden="false" customHeight="false" outlineLevel="0" collapsed="false">
      <c r="F314" s="39" t="n">
        <f aca="false">IFERROR(INDEX(PalData,MATCH(H314,PalNames,0)+1,MATCH("Image",PalData_Header,0)),)</f>
        <v>0</v>
      </c>
      <c r="G314" s="40" t="n">
        <f aca="false">IFERROR(INDEX(PalData,MATCH(H314,PalNames,0)+1,MATCH("ZukanIndex",PalData_Header,0)),)</f>
        <v>0</v>
      </c>
      <c r="H314" s="40"/>
      <c r="I314" s="41" t="n">
        <f aca="false">IFERROR(INDEX(PalData,MATCH(K314,PalNames,0)+1,MATCH("Image",PalData_Header,0)),)</f>
        <v>0</v>
      </c>
      <c r="J314" s="40" t="n">
        <f aca="false">IFERROR(INDEX(PalData,MATCH(K314,PalNames,0)+1,MATCH("ZukanIndex",PalData_Header,0)),)</f>
        <v>0</v>
      </c>
      <c r="K314" s="42"/>
      <c r="M314" s="47" t="n">
        <f aca="false">IFERROR(INDEX(PalData,MATCH(O314,PalNames,0)+1,MATCH("Image",PalData_Header,0)),)</f>
        <v>0</v>
      </c>
      <c r="N314" s="48" t="n">
        <f aca="false">IFERROR(INDEX(PalData,MATCH(O314,PalNames,0)+1,MATCH("ZukanIndex",PalData_Header,0)),)</f>
        <v>0</v>
      </c>
      <c r="O314" s="49"/>
      <c r="Q314" s="3"/>
      <c r="R314" s="3"/>
      <c r="S314" s="3"/>
      <c r="T314" s="3"/>
      <c r="U314" s="3"/>
    </row>
    <row r="315" customFormat="false" ht="15.75" hidden="false" customHeight="false" outlineLevel="0" collapsed="false">
      <c r="F315" s="34" t="n">
        <f aca="false">IFERROR(INDEX(PalData,MATCH(H315,PalNames,0)+1,MATCH("Image",PalData_Header,0)),)</f>
        <v>0</v>
      </c>
      <c r="G315" s="35" t="n">
        <f aca="false">IFERROR(INDEX(PalData,MATCH(H315,PalNames,0)+1,MATCH("ZukanIndex",PalData_Header,0)),)</f>
        <v>0</v>
      </c>
      <c r="H315" s="35"/>
      <c r="I315" s="36" t="n">
        <f aca="false">IFERROR(INDEX(PalData,MATCH(K315,PalNames,0)+1,MATCH("Image",PalData_Header,0)),)</f>
        <v>0</v>
      </c>
      <c r="J315" s="35" t="n">
        <f aca="false">IFERROR(INDEX(PalData,MATCH(K315,PalNames,0)+1,MATCH("ZukanIndex",PalData_Header,0)),)</f>
        <v>0</v>
      </c>
      <c r="K315" s="37"/>
      <c r="M315" s="44" t="n">
        <f aca="false">IFERROR(INDEX(PalData,MATCH(O315,PalNames,0)+1,MATCH("Image",PalData_Header,0)),)</f>
        <v>0</v>
      </c>
      <c r="N315" s="45" t="n">
        <f aca="false">IFERROR(INDEX(PalData,MATCH(O315,PalNames,0)+1,MATCH("ZukanIndex",PalData_Header,0)),)</f>
        <v>0</v>
      </c>
      <c r="O315" s="46"/>
      <c r="Q315" s="3"/>
      <c r="R315" s="3"/>
      <c r="S315" s="3"/>
      <c r="T315" s="3"/>
      <c r="U315" s="3"/>
    </row>
    <row r="316" customFormat="false" ht="15.75" hidden="false" customHeight="false" outlineLevel="0" collapsed="false">
      <c r="F316" s="39" t="n">
        <f aca="false">IFERROR(INDEX(PalData,MATCH(H316,PalNames,0)+1,MATCH("Image",PalData_Header,0)),)</f>
        <v>0</v>
      </c>
      <c r="G316" s="40" t="n">
        <f aca="false">IFERROR(INDEX(PalData,MATCH(H316,PalNames,0)+1,MATCH("ZukanIndex",PalData_Header,0)),)</f>
        <v>0</v>
      </c>
      <c r="H316" s="40"/>
      <c r="I316" s="41" t="n">
        <f aca="false">IFERROR(INDEX(PalData,MATCH(K316,PalNames,0)+1,MATCH("Image",PalData_Header,0)),)</f>
        <v>0</v>
      </c>
      <c r="J316" s="40" t="n">
        <f aca="false">IFERROR(INDEX(PalData,MATCH(K316,PalNames,0)+1,MATCH("ZukanIndex",PalData_Header,0)),)</f>
        <v>0</v>
      </c>
      <c r="K316" s="42"/>
      <c r="M316" s="47" t="n">
        <f aca="false">IFERROR(INDEX(PalData,MATCH(O316,PalNames,0)+1,MATCH("Image",PalData_Header,0)),)</f>
        <v>0</v>
      </c>
      <c r="N316" s="48" t="n">
        <f aca="false">IFERROR(INDEX(PalData,MATCH(O316,PalNames,0)+1,MATCH("ZukanIndex",PalData_Header,0)),)</f>
        <v>0</v>
      </c>
      <c r="O316" s="49"/>
      <c r="Q316" s="3"/>
      <c r="R316" s="3"/>
      <c r="S316" s="3"/>
      <c r="T316" s="3"/>
      <c r="U316" s="3"/>
    </row>
    <row r="317" customFormat="false" ht="15.75" hidden="false" customHeight="false" outlineLevel="0" collapsed="false">
      <c r="F317" s="34" t="n">
        <f aca="false">IFERROR(INDEX(PalData,MATCH(H317,PalNames,0)+1,MATCH("Image",PalData_Header,0)),)</f>
        <v>0</v>
      </c>
      <c r="G317" s="35" t="n">
        <f aca="false">IFERROR(INDEX(PalData,MATCH(H317,PalNames,0)+1,MATCH("ZukanIndex",PalData_Header,0)),)</f>
        <v>0</v>
      </c>
      <c r="H317" s="35"/>
      <c r="I317" s="36" t="n">
        <f aca="false">IFERROR(INDEX(PalData,MATCH(K317,PalNames,0)+1,MATCH("Image",PalData_Header,0)),)</f>
        <v>0</v>
      </c>
      <c r="J317" s="35" t="n">
        <f aca="false">IFERROR(INDEX(PalData,MATCH(K317,PalNames,0)+1,MATCH("ZukanIndex",PalData_Header,0)),)</f>
        <v>0</v>
      </c>
      <c r="K317" s="37"/>
      <c r="M317" s="44" t="n">
        <f aca="false">IFERROR(INDEX(PalData,MATCH(O317,PalNames,0)+1,MATCH("Image",PalData_Header,0)),)</f>
        <v>0</v>
      </c>
      <c r="N317" s="45" t="n">
        <f aca="false">IFERROR(INDEX(PalData,MATCH(O317,PalNames,0)+1,MATCH("ZukanIndex",PalData_Header,0)),)</f>
        <v>0</v>
      </c>
      <c r="O317" s="46"/>
      <c r="Q317" s="3"/>
      <c r="R317" s="3"/>
      <c r="S317" s="3"/>
      <c r="T317" s="3"/>
      <c r="U317" s="3"/>
    </row>
    <row r="318" customFormat="false" ht="15.75" hidden="false" customHeight="false" outlineLevel="0" collapsed="false">
      <c r="F318" s="39" t="n">
        <f aca="false">IFERROR(INDEX(PalData,MATCH(H318,PalNames,0)+1,MATCH("Image",PalData_Header,0)),)</f>
        <v>0</v>
      </c>
      <c r="G318" s="40" t="n">
        <f aca="false">IFERROR(INDEX(PalData,MATCH(H318,PalNames,0)+1,MATCH("ZukanIndex",PalData_Header,0)),)</f>
        <v>0</v>
      </c>
      <c r="H318" s="40"/>
      <c r="I318" s="41" t="n">
        <f aca="false">IFERROR(INDEX(PalData,MATCH(K318,PalNames,0)+1,MATCH("Image",PalData_Header,0)),)</f>
        <v>0</v>
      </c>
      <c r="J318" s="40" t="n">
        <f aca="false">IFERROR(INDEX(PalData,MATCH(K318,PalNames,0)+1,MATCH("ZukanIndex",PalData_Header,0)),)</f>
        <v>0</v>
      </c>
      <c r="K318" s="42"/>
      <c r="M318" s="47" t="n">
        <f aca="false">IFERROR(INDEX(PalData,MATCH(O318,PalNames,0)+1,MATCH("Image",PalData_Header,0)),)</f>
        <v>0</v>
      </c>
      <c r="N318" s="48" t="n">
        <f aca="false">IFERROR(INDEX(PalData,MATCH(O318,PalNames,0)+1,MATCH("ZukanIndex",PalData_Header,0)),)</f>
        <v>0</v>
      </c>
      <c r="O318" s="49"/>
      <c r="Q318" s="3"/>
      <c r="R318" s="3"/>
      <c r="S318" s="3"/>
      <c r="T318" s="3"/>
      <c r="U318" s="3"/>
    </row>
    <row r="319" customFormat="false" ht="15.75" hidden="false" customHeight="false" outlineLevel="0" collapsed="false">
      <c r="F319" s="34" t="n">
        <f aca="false">IFERROR(INDEX(PalData,MATCH(H319,PalNames,0)+1,MATCH("Image",PalData_Header,0)),)</f>
        <v>0</v>
      </c>
      <c r="G319" s="35" t="n">
        <f aca="false">IFERROR(INDEX(PalData,MATCH(H319,PalNames,0)+1,MATCH("ZukanIndex",PalData_Header,0)),)</f>
        <v>0</v>
      </c>
      <c r="H319" s="35"/>
      <c r="I319" s="36" t="n">
        <f aca="false">IFERROR(INDEX(PalData,MATCH(K319,PalNames,0)+1,MATCH("Image",PalData_Header,0)),)</f>
        <v>0</v>
      </c>
      <c r="J319" s="35" t="n">
        <f aca="false">IFERROR(INDEX(PalData,MATCH(K319,PalNames,0)+1,MATCH("ZukanIndex",PalData_Header,0)),)</f>
        <v>0</v>
      </c>
      <c r="K319" s="37"/>
      <c r="M319" s="44" t="n">
        <f aca="false">IFERROR(INDEX(PalData,MATCH(O319,PalNames,0)+1,MATCH("Image",PalData_Header,0)),)</f>
        <v>0</v>
      </c>
      <c r="N319" s="45" t="n">
        <f aca="false">IFERROR(INDEX(PalData,MATCH(O319,PalNames,0)+1,MATCH("ZukanIndex",PalData_Header,0)),)</f>
        <v>0</v>
      </c>
      <c r="O319" s="46"/>
      <c r="Q319" s="3"/>
      <c r="R319" s="3"/>
      <c r="S319" s="3"/>
      <c r="T319" s="3"/>
      <c r="U319" s="3"/>
    </row>
    <row r="320" customFormat="false" ht="15.75" hidden="false" customHeight="false" outlineLevel="0" collapsed="false">
      <c r="F320" s="39" t="n">
        <f aca="false">IFERROR(INDEX(PalData,MATCH(H320,PalNames,0)+1,MATCH("Image",PalData_Header,0)),)</f>
        <v>0</v>
      </c>
      <c r="G320" s="40" t="n">
        <f aca="false">IFERROR(INDEX(PalData,MATCH(H320,PalNames,0)+1,MATCH("ZukanIndex",PalData_Header,0)),)</f>
        <v>0</v>
      </c>
      <c r="H320" s="40"/>
      <c r="I320" s="41" t="n">
        <f aca="false">IFERROR(INDEX(PalData,MATCH(K320,PalNames,0)+1,MATCH("Image",PalData_Header,0)),)</f>
        <v>0</v>
      </c>
      <c r="J320" s="40" t="n">
        <f aca="false">IFERROR(INDEX(PalData,MATCH(K320,PalNames,0)+1,MATCH("ZukanIndex",PalData_Header,0)),)</f>
        <v>0</v>
      </c>
      <c r="K320" s="42"/>
      <c r="M320" s="47" t="n">
        <f aca="false">IFERROR(INDEX(PalData,MATCH(O320,PalNames,0)+1,MATCH("Image",PalData_Header,0)),)</f>
        <v>0</v>
      </c>
      <c r="N320" s="48" t="n">
        <f aca="false">IFERROR(INDEX(PalData,MATCH(O320,PalNames,0)+1,MATCH("ZukanIndex",PalData_Header,0)),)</f>
        <v>0</v>
      </c>
      <c r="O320" s="49"/>
      <c r="Q320" s="3"/>
      <c r="R320" s="3"/>
      <c r="S320" s="3"/>
      <c r="T320" s="3"/>
      <c r="U320" s="3"/>
    </row>
    <row r="321" customFormat="false" ht="15.75" hidden="false" customHeight="false" outlineLevel="0" collapsed="false">
      <c r="F321" s="34" t="n">
        <f aca="false">IFERROR(INDEX(PalData,MATCH(H321,PalNames,0)+1,MATCH("Image",PalData_Header,0)),)</f>
        <v>0</v>
      </c>
      <c r="G321" s="35" t="n">
        <f aca="false">IFERROR(INDEX(PalData,MATCH(H321,PalNames,0)+1,MATCH("ZukanIndex",PalData_Header,0)),)</f>
        <v>0</v>
      </c>
      <c r="H321" s="35"/>
      <c r="I321" s="36" t="n">
        <f aca="false">IFERROR(INDEX(PalData,MATCH(K321,PalNames,0)+1,MATCH("Image",PalData_Header,0)),)</f>
        <v>0</v>
      </c>
      <c r="J321" s="35" t="n">
        <f aca="false">IFERROR(INDEX(PalData,MATCH(K321,PalNames,0)+1,MATCH("ZukanIndex",PalData_Header,0)),)</f>
        <v>0</v>
      </c>
      <c r="K321" s="37"/>
      <c r="M321" s="44" t="n">
        <f aca="false">IFERROR(INDEX(PalData,MATCH(O321,PalNames,0)+1,MATCH("Image",PalData_Header,0)),)</f>
        <v>0</v>
      </c>
      <c r="N321" s="45" t="n">
        <f aca="false">IFERROR(INDEX(PalData,MATCH(O321,PalNames,0)+1,MATCH("ZukanIndex",PalData_Header,0)),)</f>
        <v>0</v>
      </c>
      <c r="O321" s="46"/>
      <c r="Q321" s="3"/>
      <c r="R321" s="3"/>
      <c r="S321" s="3"/>
      <c r="T321" s="3"/>
      <c r="U321" s="3"/>
    </row>
    <row r="322" customFormat="false" ht="15.75" hidden="false" customHeight="false" outlineLevel="0" collapsed="false">
      <c r="F322" s="39" t="n">
        <f aca="false">IFERROR(INDEX(PalData,MATCH(H322,PalNames,0)+1,MATCH("Image",PalData_Header,0)),)</f>
        <v>0</v>
      </c>
      <c r="G322" s="40" t="n">
        <f aca="false">IFERROR(INDEX(PalData,MATCH(H322,PalNames,0)+1,MATCH("ZukanIndex",PalData_Header,0)),)</f>
        <v>0</v>
      </c>
      <c r="H322" s="40"/>
      <c r="I322" s="41" t="n">
        <f aca="false">IFERROR(INDEX(PalData,MATCH(K322,PalNames,0)+1,MATCH("Image",PalData_Header,0)),)</f>
        <v>0</v>
      </c>
      <c r="J322" s="40" t="n">
        <f aca="false">IFERROR(INDEX(PalData,MATCH(K322,PalNames,0)+1,MATCH("ZukanIndex",PalData_Header,0)),)</f>
        <v>0</v>
      </c>
      <c r="K322" s="42"/>
      <c r="M322" s="47" t="n">
        <f aca="false">IFERROR(INDEX(PalData,MATCH(O322,PalNames,0)+1,MATCH("Image",PalData_Header,0)),)</f>
        <v>0</v>
      </c>
      <c r="N322" s="48" t="n">
        <f aca="false">IFERROR(INDEX(PalData,MATCH(O322,PalNames,0)+1,MATCH("ZukanIndex",PalData_Header,0)),)</f>
        <v>0</v>
      </c>
      <c r="O322" s="49"/>
      <c r="Q322" s="3"/>
      <c r="R322" s="3"/>
      <c r="S322" s="3"/>
      <c r="T322" s="3"/>
      <c r="U322" s="3"/>
    </row>
    <row r="323" customFormat="false" ht="15.75" hidden="false" customHeight="false" outlineLevel="0" collapsed="false">
      <c r="F323" s="34" t="n">
        <f aca="false">IFERROR(INDEX(PalData,MATCH(H323,PalNames,0)+1,MATCH("Image",PalData_Header,0)),)</f>
        <v>0</v>
      </c>
      <c r="G323" s="35" t="n">
        <f aca="false">IFERROR(INDEX(PalData,MATCH(H323,PalNames,0)+1,MATCH("ZukanIndex",PalData_Header,0)),)</f>
        <v>0</v>
      </c>
      <c r="H323" s="35"/>
      <c r="I323" s="36" t="n">
        <f aca="false">IFERROR(INDEX(PalData,MATCH(K323,PalNames,0)+1,MATCH("Image",PalData_Header,0)),)</f>
        <v>0</v>
      </c>
      <c r="J323" s="35" t="n">
        <f aca="false">IFERROR(INDEX(PalData,MATCH(K323,PalNames,0)+1,MATCH("ZukanIndex",PalData_Header,0)),)</f>
        <v>0</v>
      </c>
      <c r="K323" s="37"/>
      <c r="M323" s="44" t="n">
        <f aca="false">IFERROR(INDEX(PalData,MATCH(O323,PalNames,0)+1,MATCH("Image",PalData_Header,0)),)</f>
        <v>0</v>
      </c>
      <c r="N323" s="45" t="n">
        <f aca="false">IFERROR(INDEX(PalData,MATCH(O323,PalNames,0)+1,MATCH("ZukanIndex",PalData_Header,0)),)</f>
        <v>0</v>
      </c>
      <c r="O323" s="46"/>
      <c r="Q323" s="3"/>
      <c r="R323" s="3"/>
      <c r="S323" s="3"/>
      <c r="T323" s="3"/>
      <c r="U323" s="3"/>
    </row>
    <row r="324" customFormat="false" ht="15.75" hidden="false" customHeight="false" outlineLevel="0" collapsed="false">
      <c r="F324" s="39" t="n">
        <f aca="false">IFERROR(INDEX(PalData,MATCH(H324,PalNames,0)+1,MATCH("Image",PalData_Header,0)),)</f>
        <v>0</v>
      </c>
      <c r="G324" s="40" t="n">
        <f aca="false">IFERROR(INDEX(PalData,MATCH(H324,PalNames,0)+1,MATCH("ZukanIndex",PalData_Header,0)),)</f>
        <v>0</v>
      </c>
      <c r="H324" s="40"/>
      <c r="I324" s="41" t="n">
        <f aca="false">IFERROR(INDEX(PalData,MATCH(K324,PalNames,0)+1,MATCH("Image",PalData_Header,0)),)</f>
        <v>0</v>
      </c>
      <c r="J324" s="40" t="n">
        <f aca="false">IFERROR(INDEX(PalData,MATCH(K324,PalNames,0)+1,MATCH("ZukanIndex",PalData_Header,0)),)</f>
        <v>0</v>
      </c>
      <c r="K324" s="42"/>
      <c r="M324" s="47" t="n">
        <f aca="false">IFERROR(INDEX(PalData,MATCH(O324,PalNames,0)+1,MATCH("Image",PalData_Header,0)),)</f>
        <v>0</v>
      </c>
      <c r="N324" s="48" t="n">
        <f aca="false">IFERROR(INDEX(PalData,MATCH(O324,PalNames,0)+1,MATCH("ZukanIndex",PalData_Header,0)),)</f>
        <v>0</v>
      </c>
      <c r="O324" s="49"/>
      <c r="Q324" s="3"/>
      <c r="R324" s="3"/>
      <c r="S324" s="3"/>
      <c r="T324" s="3"/>
      <c r="U324" s="3"/>
    </row>
    <row r="325" customFormat="false" ht="15.75" hidden="false" customHeight="false" outlineLevel="0" collapsed="false">
      <c r="F325" s="34" t="n">
        <f aca="false">IFERROR(INDEX(PalData,MATCH(H325,PalNames,0)+1,MATCH("Image",PalData_Header,0)),)</f>
        <v>0</v>
      </c>
      <c r="G325" s="35" t="n">
        <f aca="false">IFERROR(INDEX(PalData,MATCH(H325,PalNames,0)+1,MATCH("ZukanIndex",PalData_Header,0)),)</f>
        <v>0</v>
      </c>
      <c r="H325" s="35"/>
      <c r="I325" s="36" t="n">
        <f aca="false">IFERROR(INDEX(PalData,MATCH(K325,PalNames,0)+1,MATCH("Image",PalData_Header,0)),)</f>
        <v>0</v>
      </c>
      <c r="J325" s="35" t="n">
        <f aca="false">IFERROR(INDEX(PalData,MATCH(K325,PalNames,0)+1,MATCH("ZukanIndex",PalData_Header,0)),)</f>
        <v>0</v>
      </c>
      <c r="K325" s="37"/>
      <c r="M325" s="44" t="n">
        <f aca="false">IFERROR(INDEX(PalData,MATCH(O325,PalNames,0)+1,MATCH("Image",PalData_Header,0)),)</f>
        <v>0</v>
      </c>
      <c r="N325" s="45" t="n">
        <f aca="false">IFERROR(INDEX(PalData,MATCH(O325,PalNames,0)+1,MATCH("ZukanIndex",PalData_Header,0)),)</f>
        <v>0</v>
      </c>
      <c r="O325" s="46"/>
      <c r="Q325" s="3"/>
      <c r="R325" s="3"/>
      <c r="S325" s="3"/>
      <c r="T325" s="3"/>
      <c r="U325" s="3"/>
    </row>
    <row r="326" customFormat="false" ht="15.75" hidden="false" customHeight="false" outlineLevel="0" collapsed="false">
      <c r="F326" s="39" t="n">
        <f aca="false">IFERROR(INDEX(PalData,MATCH(H326,PalNames,0)+1,MATCH("Image",PalData_Header,0)),)</f>
        <v>0</v>
      </c>
      <c r="G326" s="40" t="n">
        <f aca="false">IFERROR(INDEX(PalData,MATCH(H326,PalNames,0)+1,MATCH("ZukanIndex",PalData_Header,0)),)</f>
        <v>0</v>
      </c>
      <c r="H326" s="40"/>
      <c r="I326" s="41" t="n">
        <f aca="false">IFERROR(INDEX(PalData,MATCH(K326,PalNames,0)+1,MATCH("Image",PalData_Header,0)),)</f>
        <v>0</v>
      </c>
      <c r="J326" s="40" t="n">
        <f aca="false">IFERROR(INDEX(PalData,MATCH(K326,PalNames,0)+1,MATCH("ZukanIndex",PalData_Header,0)),)</f>
        <v>0</v>
      </c>
      <c r="K326" s="42"/>
      <c r="M326" s="47" t="n">
        <f aca="false">IFERROR(INDEX(PalData,MATCH(O326,PalNames,0)+1,MATCH("Image",PalData_Header,0)),)</f>
        <v>0</v>
      </c>
      <c r="N326" s="48" t="n">
        <f aca="false">IFERROR(INDEX(PalData,MATCH(O326,PalNames,0)+1,MATCH("ZukanIndex",PalData_Header,0)),)</f>
        <v>0</v>
      </c>
      <c r="O326" s="49"/>
      <c r="Q326" s="3"/>
      <c r="R326" s="3"/>
      <c r="S326" s="3"/>
      <c r="T326" s="3"/>
      <c r="U326" s="3"/>
    </row>
    <row r="327" customFormat="false" ht="15.75" hidden="false" customHeight="false" outlineLevel="0" collapsed="false">
      <c r="F327" s="34" t="n">
        <f aca="false">IFERROR(INDEX(PalData,MATCH(H327,PalNames,0)+1,MATCH("Image",PalData_Header,0)),)</f>
        <v>0</v>
      </c>
      <c r="G327" s="35" t="n">
        <f aca="false">IFERROR(INDEX(PalData,MATCH(H327,PalNames,0)+1,MATCH("ZukanIndex",PalData_Header,0)),)</f>
        <v>0</v>
      </c>
      <c r="H327" s="35"/>
      <c r="I327" s="36" t="n">
        <f aca="false">IFERROR(INDEX(PalData,MATCH(K327,PalNames,0)+1,MATCH("Image",PalData_Header,0)),)</f>
        <v>0</v>
      </c>
      <c r="J327" s="35" t="n">
        <f aca="false">IFERROR(INDEX(PalData,MATCH(K327,PalNames,0)+1,MATCH("ZukanIndex",PalData_Header,0)),)</f>
        <v>0</v>
      </c>
      <c r="K327" s="37"/>
      <c r="M327" s="44" t="n">
        <f aca="false">IFERROR(INDEX(PalData,MATCH(O327,PalNames,0)+1,MATCH("Image",PalData_Header,0)),)</f>
        <v>0</v>
      </c>
      <c r="N327" s="45" t="n">
        <f aca="false">IFERROR(INDEX(PalData,MATCH(O327,PalNames,0)+1,MATCH("ZukanIndex",PalData_Header,0)),)</f>
        <v>0</v>
      </c>
      <c r="O327" s="46"/>
      <c r="Q327" s="3"/>
      <c r="R327" s="3"/>
      <c r="S327" s="3"/>
      <c r="T327" s="3"/>
      <c r="U327" s="3"/>
    </row>
    <row r="328" customFormat="false" ht="15.75" hidden="false" customHeight="false" outlineLevel="0" collapsed="false">
      <c r="F328" s="39" t="n">
        <f aca="false">IFERROR(INDEX(PalData,MATCH(H328,PalNames,0)+1,MATCH("Image",PalData_Header,0)),)</f>
        <v>0</v>
      </c>
      <c r="G328" s="40" t="n">
        <f aca="false">IFERROR(INDEX(PalData,MATCH(H328,PalNames,0)+1,MATCH("ZukanIndex",PalData_Header,0)),)</f>
        <v>0</v>
      </c>
      <c r="H328" s="40"/>
      <c r="I328" s="41" t="n">
        <f aca="false">IFERROR(INDEX(PalData,MATCH(K328,PalNames,0)+1,MATCH("Image",PalData_Header,0)),)</f>
        <v>0</v>
      </c>
      <c r="J328" s="40" t="n">
        <f aca="false">IFERROR(INDEX(PalData,MATCH(K328,PalNames,0)+1,MATCH("ZukanIndex",PalData_Header,0)),)</f>
        <v>0</v>
      </c>
      <c r="K328" s="42"/>
      <c r="M328" s="47" t="n">
        <f aca="false">IFERROR(INDEX(PalData,MATCH(O328,PalNames,0)+1,MATCH("Image",PalData_Header,0)),)</f>
        <v>0</v>
      </c>
      <c r="N328" s="48" t="n">
        <f aca="false">IFERROR(INDEX(PalData,MATCH(O328,PalNames,0)+1,MATCH("ZukanIndex",PalData_Header,0)),)</f>
        <v>0</v>
      </c>
      <c r="O328" s="49"/>
      <c r="Q328" s="3"/>
      <c r="R328" s="3"/>
      <c r="S328" s="3"/>
      <c r="T328" s="3"/>
      <c r="U328" s="3"/>
    </row>
    <row r="329" customFormat="false" ht="15.75" hidden="false" customHeight="false" outlineLevel="0" collapsed="false">
      <c r="F329" s="34" t="n">
        <f aca="false">IFERROR(INDEX(PalData,MATCH(H329,PalNames,0)+1,MATCH("Image",PalData_Header,0)),)</f>
        <v>0</v>
      </c>
      <c r="G329" s="35" t="n">
        <f aca="false">IFERROR(INDEX(PalData,MATCH(H329,PalNames,0)+1,MATCH("ZukanIndex",PalData_Header,0)),)</f>
        <v>0</v>
      </c>
      <c r="H329" s="35"/>
      <c r="I329" s="36" t="n">
        <f aca="false">IFERROR(INDEX(PalData,MATCH(K329,PalNames,0)+1,MATCH("Image",PalData_Header,0)),)</f>
        <v>0</v>
      </c>
      <c r="J329" s="35" t="n">
        <f aca="false">IFERROR(INDEX(PalData,MATCH(K329,PalNames,0)+1,MATCH("ZukanIndex",PalData_Header,0)),)</f>
        <v>0</v>
      </c>
      <c r="K329" s="37"/>
      <c r="M329" s="44" t="n">
        <f aca="false">IFERROR(INDEX(PalData,MATCH(O329,PalNames,0)+1,MATCH("Image",PalData_Header,0)),)</f>
        <v>0</v>
      </c>
      <c r="N329" s="45" t="n">
        <f aca="false">IFERROR(INDEX(PalData,MATCH(O329,PalNames,0)+1,MATCH("ZukanIndex",PalData_Header,0)),)</f>
        <v>0</v>
      </c>
      <c r="O329" s="46"/>
      <c r="Q329" s="3"/>
      <c r="R329" s="3"/>
      <c r="S329" s="3"/>
      <c r="T329" s="3"/>
      <c r="U329" s="3"/>
    </row>
    <row r="330" customFormat="false" ht="15.75" hidden="false" customHeight="false" outlineLevel="0" collapsed="false">
      <c r="F330" s="39" t="n">
        <f aca="false">IFERROR(INDEX(PalData,MATCH(H330,PalNames,0)+1,MATCH("Image",PalData_Header,0)),)</f>
        <v>0</v>
      </c>
      <c r="G330" s="40" t="n">
        <f aca="false">IFERROR(INDEX(PalData,MATCH(H330,PalNames,0)+1,MATCH("ZukanIndex",PalData_Header,0)),)</f>
        <v>0</v>
      </c>
      <c r="H330" s="40"/>
      <c r="I330" s="41" t="n">
        <f aca="false">IFERROR(INDEX(PalData,MATCH(K330,PalNames,0)+1,MATCH("Image",PalData_Header,0)),)</f>
        <v>0</v>
      </c>
      <c r="J330" s="40" t="n">
        <f aca="false">IFERROR(INDEX(PalData,MATCH(K330,PalNames,0)+1,MATCH("ZukanIndex",PalData_Header,0)),)</f>
        <v>0</v>
      </c>
      <c r="K330" s="42"/>
      <c r="M330" s="47" t="n">
        <f aca="false">IFERROR(INDEX(PalData,MATCH(O330,PalNames,0)+1,MATCH("Image",PalData_Header,0)),)</f>
        <v>0</v>
      </c>
      <c r="N330" s="48" t="n">
        <f aca="false">IFERROR(INDEX(PalData,MATCH(O330,PalNames,0)+1,MATCH("ZukanIndex",PalData_Header,0)),)</f>
        <v>0</v>
      </c>
      <c r="O330" s="49"/>
      <c r="Q330" s="3"/>
      <c r="R330" s="3"/>
      <c r="S330" s="3"/>
      <c r="T330" s="3"/>
      <c r="U330" s="3"/>
    </row>
    <row r="331" customFormat="false" ht="15.75" hidden="false" customHeight="false" outlineLevel="0" collapsed="false">
      <c r="F331" s="34" t="n">
        <f aca="false">IFERROR(INDEX(PalData,MATCH(H331,PalNames,0)+1,MATCH("Image",PalData_Header,0)),)</f>
        <v>0</v>
      </c>
      <c r="G331" s="35" t="n">
        <f aca="false">IFERROR(INDEX(PalData,MATCH(H331,PalNames,0)+1,MATCH("ZukanIndex",PalData_Header,0)),)</f>
        <v>0</v>
      </c>
      <c r="H331" s="35"/>
      <c r="I331" s="36" t="n">
        <f aca="false">IFERROR(INDEX(PalData,MATCH(K331,PalNames,0)+1,MATCH("Image",PalData_Header,0)),)</f>
        <v>0</v>
      </c>
      <c r="J331" s="35" t="n">
        <f aca="false">IFERROR(INDEX(PalData,MATCH(K331,PalNames,0)+1,MATCH("ZukanIndex",PalData_Header,0)),)</f>
        <v>0</v>
      </c>
      <c r="K331" s="37"/>
      <c r="M331" s="44" t="n">
        <f aca="false">IFERROR(INDEX(PalData,MATCH(O331,PalNames,0)+1,MATCH("Image",PalData_Header,0)),)</f>
        <v>0</v>
      </c>
      <c r="N331" s="45" t="n">
        <f aca="false">IFERROR(INDEX(PalData,MATCH(O331,PalNames,0)+1,MATCH("ZukanIndex",PalData_Header,0)),)</f>
        <v>0</v>
      </c>
      <c r="O331" s="46"/>
      <c r="Q331" s="3"/>
      <c r="R331" s="3"/>
      <c r="S331" s="3"/>
      <c r="T331" s="3"/>
      <c r="U331" s="3"/>
    </row>
    <row r="332" customFormat="false" ht="15.75" hidden="false" customHeight="false" outlineLevel="0" collapsed="false">
      <c r="F332" s="39" t="n">
        <f aca="false">IFERROR(INDEX(PalData,MATCH(H332,PalNames,0)+1,MATCH("Image",PalData_Header,0)),)</f>
        <v>0</v>
      </c>
      <c r="G332" s="40" t="n">
        <f aca="false">IFERROR(INDEX(PalData,MATCH(H332,PalNames,0)+1,MATCH("ZukanIndex",PalData_Header,0)),)</f>
        <v>0</v>
      </c>
      <c r="H332" s="40"/>
      <c r="I332" s="41" t="n">
        <f aca="false">IFERROR(INDEX(PalData,MATCH(K332,PalNames,0)+1,MATCH("Image",PalData_Header,0)),)</f>
        <v>0</v>
      </c>
      <c r="J332" s="40" t="n">
        <f aca="false">IFERROR(INDEX(PalData,MATCH(K332,PalNames,0)+1,MATCH("ZukanIndex",PalData_Header,0)),)</f>
        <v>0</v>
      </c>
      <c r="K332" s="42"/>
      <c r="M332" s="47" t="n">
        <f aca="false">IFERROR(INDEX(PalData,MATCH(O332,PalNames,0)+1,MATCH("Image",PalData_Header,0)),)</f>
        <v>0</v>
      </c>
      <c r="N332" s="48" t="n">
        <f aca="false">IFERROR(INDEX(PalData,MATCH(O332,PalNames,0)+1,MATCH("ZukanIndex",PalData_Header,0)),)</f>
        <v>0</v>
      </c>
      <c r="O332" s="49"/>
      <c r="Q332" s="3"/>
      <c r="R332" s="3"/>
      <c r="S332" s="3"/>
      <c r="T332" s="3"/>
      <c r="U332" s="3"/>
    </row>
    <row r="333" customFormat="false" ht="15.75" hidden="false" customHeight="false" outlineLevel="0" collapsed="false">
      <c r="F333" s="34" t="n">
        <f aca="false">IFERROR(INDEX(PalData,MATCH(H333,PalNames,0)+1,MATCH("Image",PalData_Header,0)),)</f>
        <v>0</v>
      </c>
      <c r="G333" s="35" t="n">
        <f aca="false">IFERROR(INDEX(PalData,MATCH(H333,PalNames,0)+1,MATCH("ZukanIndex",PalData_Header,0)),)</f>
        <v>0</v>
      </c>
      <c r="H333" s="35"/>
      <c r="I333" s="36" t="n">
        <f aca="false">IFERROR(INDEX(PalData,MATCH(K333,PalNames,0)+1,MATCH("Image",PalData_Header,0)),)</f>
        <v>0</v>
      </c>
      <c r="J333" s="35" t="n">
        <f aca="false">IFERROR(INDEX(PalData,MATCH(K333,PalNames,0)+1,MATCH("ZukanIndex",PalData_Header,0)),)</f>
        <v>0</v>
      </c>
      <c r="K333" s="37"/>
      <c r="M333" s="44" t="n">
        <f aca="false">IFERROR(INDEX(PalData,MATCH(O333,PalNames,0)+1,MATCH("Image",PalData_Header,0)),)</f>
        <v>0</v>
      </c>
      <c r="N333" s="45" t="n">
        <f aca="false">IFERROR(INDEX(PalData,MATCH(O333,PalNames,0)+1,MATCH("ZukanIndex",PalData_Header,0)),)</f>
        <v>0</v>
      </c>
      <c r="O333" s="46"/>
      <c r="Q333" s="3"/>
      <c r="R333" s="3"/>
      <c r="S333" s="3"/>
      <c r="T333" s="3"/>
      <c r="U333" s="3"/>
    </row>
    <row r="334" customFormat="false" ht="15.75" hidden="false" customHeight="false" outlineLevel="0" collapsed="false">
      <c r="F334" s="39" t="n">
        <f aca="false">IFERROR(INDEX(PalData,MATCH(H334,PalNames,0)+1,MATCH("Image",PalData_Header,0)),)</f>
        <v>0</v>
      </c>
      <c r="G334" s="40" t="n">
        <f aca="false">IFERROR(INDEX(PalData,MATCH(H334,PalNames,0)+1,MATCH("ZukanIndex",PalData_Header,0)),)</f>
        <v>0</v>
      </c>
      <c r="H334" s="40"/>
      <c r="I334" s="41" t="n">
        <f aca="false">IFERROR(INDEX(PalData,MATCH(K334,PalNames,0)+1,MATCH("ZukanIndex",PalData_Header,0)),)</f>
        <v>0</v>
      </c>
      <c r="J334" s="40"/>
      <c r="K334" s="42"/>
      <c r="M334" s="47" t="n">
        <f aca="false">IFERROR(INDEX(PalData,MATCH(O334,PalNames,0)+1,MATCH("Image",PalData_Header,0)),)</f>
        <v>0</v>
      </c>
      <c r="N334" s="48" t="n">
        <f aca="false">IFERROR(INDEX(PalData,MATCH(O334,PalNames,0)+1,MATCH("ZukanIndex",PalData_Header,0)),)</f>
        <v>0</v>
      </c>
      <c r="O334" s="49"/>
      <c r="Q334" s="3"/>
      <c r="R334" s="3"/>
      <c r="S334" s="3"/>
      <c r="T334" s="3"/>
      <c r="U334" s="3"/>
    </row>
    <row r="335" customFormat="false" ht="15.75" hidden="false" customHeight="false" outlineLevel="0" collapsed="false">
      <c r="F335" s="34" t="n">
        <f aca="false">IFERROR(INDEX(PalData,MATCH(H335,PalNames,0)+1,MATCH("Image",PalData_Header,0)),)</f>
        <v>0</v>
      </c>
      <c r="G335" s="35" t="n">
        <f aca="false">IFERROR(INDEX(PalData,MATCH(H335,PalNames,0)+1,MATCH("ZukanIndex",PalData_Header,0)),)</f>
        <v>0</v>
      </c>
      <c r="H335" s="35"/>
      <c r="I335" s="36" t="n">
        <f aca="false">IFERROR(INDEX(PalData,MATCH(K335,PalNames,0)+1,MATCH("ZukanIndex",PalData_Header,0)),)</f>
        <v>0</v>
      </c>
      <c r="J335" s="35"/>
      <c r="K335" s="37"/>
      <c r="M335" s="44" t="n">
        <f aca="false">IFERROR(INDEX(PalData,MATCH(O335,PalNames,0)+1,MATCH("Image",PalData_Header,0)),)</f>
        <v>0</v>
      </c>
      <c r="N335" s="45" t="n">
        <f aca="false">IFERROR(INDEX(PalData,MATCH(O335,PalNames,0)+1,MATCH("ZukanIndex",PalData_Header,0)),)</f>
        <v>0</v>
      </c>
      <c r="O335" s="46"/>
      <c r="Q335" s="3"/>
      <c r="R335" s="3"/>
      <c r="S335" s="3"/>
      <c r="T335" s="3"/>
      <c r="U335" s="3"/>
    </row>
    <row r="336" customFormat="false" ht="15.75" hidden="false" customHeight="false" outlineLevel="0" collapsed="false">
      <c r="F336" s="39" t="n">
        <f aca="false">IFERROR(INDEX(PalData,MATCH(H336,PalNames,0)+1,MATCH("Image",PalData_Header,0)),)</f>
        <v>0</v>
      </c>
      <c r="G336" s="40" t="n">
        <f aca="false">IFERROR(INDEX(PalData,MATCH(H336,PalNames,0)+1,MATCH("ZukanIndex",PalData_Header,0)),)</f>
        <v>0</v>
      </c>
      <c r="H336" s="40"/>
      <c r="I336" s="41" t="n">
        <f aca="false">IFERROR(INDEX(PalData,MATCH(K336,PalNames,0)+1,MATCH("ZukanIndex",PalData_Header,0)),)</f>
        <v>0</v>
      </c>
      <c r="J336" s="40"/>
      <c r="K336" s="42"/>
      <c r="M336" s="47" t="n">
        <f aca="false">IFERROR(INDEX(PalData,MATCH(O336,PalNames,0)+1,MATCH("Image",PalData_Header,0)),)</f>
        <v>0</v>
      </c>
      <c r="N336" s="48" t="n">
        <f aca="false">IFERROR(INDEX(PalData,MATCH(O336,PalNames,0)+1,MATCH("ZukanIndex",PalData_Header,0)),)</f>
        <v>0</v>
      </c>
      <c r="O336" s="49"/>
      <c r="Q336" s="3"/>
      <c r="R336" s="3"/>
      <c r="S336" s="3"/>
      <c r="T336" s="3"/>
      <c r="U336" s="3"/>
    </row>
    <row r="337" customFormat="false" ht="15.75" hidden="false" customHeight="false" outlineLevel="0" collapsed="false">
      <c r="F337" s="34" t="n">
        <f aca="false">IFERROR(INDEX(PalData,MATCH(H337,PalNames,0)+1,MATCH("Image",PalData_Header,0)),)</f>
        <v>0</v>
      </c>
      <c r="G337" s="35" t="n">
        <f aca="false">IFERROR(INDEX(PalData,MATCH(H337,PalNames,0)+1,MATCH("ZukanIndex",PalData_Header,0)),)</f>
        <v>0</v>
      </c>
      <c r="H337" s="35"/>
      <c r="I337" s="36" t="n">
        <f aca="false">IFERROR(INDEX(PalData,MATCH(K337,PalNames,0)+1,MATCH("ZukanIndex",PalData_Header,0)),)</f>
        <v>0</v>
      </c>
      <c r="J337" s="35"/>
      <c r="K337" s="37"/>
      <c r="M337" s="44" t="n">
        <f aca="false">IFERROR(INDEX(PalData,MATCH(O337,PalNames,0)+1,MATCH("Image",PalData_Header,0)),)</f>
        <v>0</v>
      </c>
      <c r="N337" s="45" t="n">
        <f aca="false">IFERROR(INDEX(PalData,MATCH(O337,PalNames,0)+1,MATCH("ZukanIndex",PalData_Header,0)),)</f>
        <v>0</v>
      </c>
      <c r="O337" s="46"/>
      <c r="Q337" s="3"/>
      <c r="R337" s="3"/>
      <c r="S337" s="3"/>
      <c r="T337" s="3"/>
      <c r="U337" s="3"/>
    </row>
    <row r="338" customFormat="false" ht="15.75" hidden="false" customHeight="false" outlineLevel="0" collapsed="false">
      <c r="F338" s="39" t="n">
        <f aca="false">IFERROR(INDEX(PalData,MATCH(H338,PalNames,0)+1,MATCH("Image",PalData_Header,0)),)</f>
        <v>0</v>
      </c>
      <c r="G338" s="40" t="n">
        <f aca="false">IFERROR(INDEX(PalData,MATCH(H338,PalNames,0)+1,MATCH("ZukanIndex",PalData_Header,0)),)</f>
        <v>0</v>
      </c>
      <c r="H338" s="40"/>
      <c r="I338" s="41" t="n">
        <f aca="false">IFERROR(INDEX(PalData,MATCH(K338,PalNames,0)+1,MATCH("ZukanIndex",PalData_Header,0)),)</f>
        <v>0</v>
      </c>
      <c r="J338" s="40"/>
      <c r="K338" s="42"/>
      <c r="M338" s="47" t="n">
        <f aca="false">IFERROR(INDEX(PalData,MATCH(O338,PalNames,0)+1,MATCH("Image",PalData_Header,0)),)</f>
        <v>0</v>
      </c>
      <c r="N338" s="48" t="n">
        <f aca="false">IFERROR(INDEX(PalData,MATCH(O338,PalNames,0)+1,MATCH("ZukanIndex",PalData_Header,0)),)</f>
        <v>0</v>
      </c>
      <c r="O338" s="49"/>
      <c r="Q338" s="3"/>
      <c r="R338" s="3"/>
      <c r="S338" s="3"/>
      <c r="T338" s="3"/>
      <c r="U338" s="3"/>
    </row>
    <row r="339" customFormat="false" ht="15.75" hidden="false" customHeight="false" outlineLevel="0" collapsed="false">
      <c r="F339" s="34" t="n">
        <f aca="false">IFERROR(INDEX(PalData,MATCH(H339,PalNames,0)+1,MATCH("Image",PalData_Header,0)),)</f>
        <v>0</v>
      </c>
      <c r="G339" s="35" t="n">
        <f aca="false">IFERROR(INDEX(PalData,MATCH(H339,PalNames,0)+1,MATCH("ZukanIndex",PalData_Header,0)),)</f>
        <v>0</v>
      </c>
      <c r="H339" s="35"/>
      <c r="I339" s="36" t="n">
        <f aca="false">IFERROR(INDEX(PalData,MATCH(K339,PalNames,0)+1,MATCH("ZukanIndex",PalData_Header,0)),)</f>
        <v>0</v>
      </c>
      <c r="J339" s="35"/>
      <c r="K339" s="37"/>
      <c r="M339" s="44" t="n">
        <f aca="false">IFERROR(INDEX(PalData,MATCH(O339,PalNames,0)+1,MATCH("Image",PalData_Header,0)),)</f>
        <v>0</v>
      </c>
      <c r="N339" s="45" t="n">
        <f aca="false">IFERROR(INDEX(PalData,MATCH(O339,PalNames,0)+1,MATCH("ZukanIndex",PalData_Header,0)),)</f>
        <v>0</v>
      </c>
      <c r="O339" s="46"/>
      <c r="Q339" s="3"/>
      <c r="R339" s="3"/>
      <c r="S339" s="3"/>
      <c r="T339" s="3"/>
      <c r="U339" s="3"/>
    </row>
    <row r="340" customFormat="false" ht="15.75" hidden="false" customHeight="false" outlineLevel="0" collapsed="false">
      <c r="F340" s="39" t="n">
        <f aca="false">IFERROR(INDEX(PalData,MATCH(H340,PalNames,0)+1,MATCH("Image",PalData_Header,0)),)</f>
        <v>0</v>
      </c>
      <c r="G340" s="40" t="n">
        <f aca="false">IFERROR(INDEX(PalData,MATCH(H340,PalNames,0)+1,MATCH("ZukanIndex",PalData_Header,0)),)</f>
        <v>0</v>
      </c>
      <c r="H340" s="40"/>
      <c r="I340" s="41" t="n">
        <f aca="false">IFERROR(INDEX(PalData,MATCH(K340,PalNames,0)+1,MATCH("ZukanIndex",PalData_Header,0)),)</f>
        <v>0</v>
      </c>
      <c r="J340" s="40"/>
      <c r="K340" s="42"/>
      <c r="M340" s="47" t="n">
        <f aca="false">IFERROR(INDEX(PalData,MATCH(O340,PalNames,0)+1,MATCH("Image",PalData_Header,0)),)</f>
        <v>0</v>
      </c>
      <c r="N340" s="48" t="n">
        <f aca="false">IFERROR(INDEX(PalData,MATCH(O340,PalNames,0)+1,MATCH("ZukanIndex",PalData_Header,0)),)</f>
        <v>0</v>
      </c>
      <c r="O340" s="49"/>
      <c r="Q340" s="3"/>
      <c r="R340" s="3"/>
      <c r="S340" s="3"/>
      <c r="T340" s="3"/>
      <c r="U340" s="3"/>
    </row>
    <row r="341" customFormat="false" ht="15.75" hidden="false" customHeight="false" outlineLevel="0" collapsed="false">
      <c r="F341" s="34" t="n">
        <f aca="false">IFERROR(INDEX(PalData,MATCH(H341,PalNames,0)+1,MATCH("Image",PalData_Header,0)),)</f>
        <v>0</v>
      </c>
      <c r="G341" s="35" t="n">
        <f aca="false">IFERROR(INDEX(PalData,MATCH(H341,PalNames,0)+1,MATCH("ZukanIndex",PalData_Header,0)),)</f>
        <v>0</v>
      </c>
      <c r="H341" s="35"/>
      <c r="I341" s="36" t="n">
        <f aca="false">IFERROR(INDEX(PalData,MATCH(K341,PalNames,0)+1,MATCH("ZukanIndex",PalData_Header,0)),)</f>
        <v>0</v>
      </c>
      <c r="J341" s="35"/>
      <c r="K341" s="37"/>
      <c r="M341" s="44" t="n">
        <f aca="false">IFERROR(INDEX(PalData,MATCH(O341,PalNames,0)+1,MATCH("Image",PalData_Header,0)),)</f>
        <v>0</v>
      </c>
      <c r="N341" s="45" t="n">
        <f aca="false">IFERROR(INDEX(PalData,MATCH(O341,PalNames,0)+1,MATCH("ZukanIndex",PalData_Header,0)),)</f>
        <v>0</v>
      </c>
      <c r="O341" s="46"/>
      <c r="Q341" s="3"/>
      <c r="R341" s="3"/>
      <c r="S341" s="3"/>
      <c r="T341" s="3"/>
      <c r="U341" s="3"/>
    </row>
    <row r="342" customFormat="false" ht="15.75" hidden="false" customHeight="false" outlineLevel="0" collapsed="false">
      <c r="F342" s="39" t="n">
        <f aca="false">IFERROR(INDEX(PalData,MATCH(H342,PalNames,0)+1,MATCH("Image",PalData_Header,0)),)</f>
        <v>0</v>
      </c>
      <c r="G342" s="40" t="n">
        <f aca="false">IFERROR(INDEX(PalData,MATCH(H342,PalNames,0)+1,MATCH("ZukanIndex",PalData_Header,0)),)</f>
        <v>0</v>
      </c>
      <c r="H342" s="40"/>
      <c r="I342" s="41" t="n">
        <f aca="false">IFERROR(INDEX(PalData,MATCH(K342,PalNames,0)+1,MATCH("ZukanIndex",PalData_Header,0)),)</f>
        <v>0</v>
      </c>
      <c r="J342" s="40"/>
      <c r="K342" s="42"/>
      <c r="M342" s="47" t="n">
        <f aca="false">IFERROR(INDEX(PalData,MATCH(O342,PalNames,0)+1,MATCH("Image",PalData_Header,0)),)</f>
        <v>0</v>
      </c>
      <c r="N342" s="48" t="n">
        <f aca="false">IFERROR(INDEX(PalData,MATCH(O342,PalNames,0)+1,MATCH("ZukanIndex",PalData_Header,0)),)</f>
        <v>0</v>
      </c>
      <c r="O342" s="49"/>
      <c r="Q342" s="3"/>
      <c r="R342" s="3"/>
      <c r="S342" s="3"/>
      <c r="T342" s="3"/>
      <c r="U342" s="3"/>
    </row>
    <row r="343" customFormat="false" ht="15.75" hidden="false" customHeight="false" outlineLevel="0" collapsed="false">
      <c r="F343" s="34" t="n">
        <f aca="false">IFERROR(INDEX(PalData,MATCH(H343,PalNames,0)+1,MATCH("Image",PalData_Header,0)),)</f>
        <v>0</v>
      </c>
      <c r="G343" s="35" t="n">
        <f aca="false">IFERROR(INDEX(PalData,MATCH(H343,PalNames,0)+1,MATCH("ZukanIndex",PalData_Header,0)),)</f>
        <v>0</v>
      </c>
      <c r="H343" s="35"/>
      <c r="I343" s="36" t="n">
        <f aca="false">IFERROR(INDEX(PalData,MATCH(K343,PalNames,0)+1,MATCH("ZukanIndex",PalData_Header,0)),)</f>
        <v>0</v>
      </c>
      <c r="J343" s="35"/>
      <c r="K343" s="37"/>
      <c r="M343" s="44" t="n">
        <f aca="false">IFERROR(INDEX(PalData,MATCH(O343,PalNames,0)+1,MATCH("Image",PalData_Header,0)),)</f>
        <v>0</v>
      </c>
      <c r="N343" s="45" t="n">
        <f aca="false">IFERROR(INDEX(PalData,MATCH(O343,PalNames,0)+1,MATCH("ZukanIndex",PalData_Header,0)),)</f>
        <v>0</v>
      </c>
      <c r="O343" s="46"/>
      <c r="Q343" s="3"/>
      <c r="R343" s="3"/>
      <c r="S343" s="3"/>
      <c r="T343" s="3"/>
      <c r="U343" s="3"/>
    </row>
    <row r="344" customFormat="false" ht="15.75" hidden="false" customHeight="false" outlineLevel="0" collapsed="false">
      <c r="F344" s="39" t="n">
        <f aca="false">IFERROR(INDEX(PalData,MATCH(H344,PalNames,0)+1,MATCH("Image",PalData_Header,0)),)</f>
        <v>0</v>
      </c>
      <c r="G344" s="40" t="n">
        <f aca="false">IFERROR(INDEX(PalData,MATCH(H344,PalNames,0)+1,MATCH("ZukanIndex",PalData_Header,0)),)</f>
        <v>0</v>
      </c>
      <c r="H344" s="40"/>
      <c r="I344" s="41" t="n">
        <f aca="false">IFERROR(INDEX(PalData,MATCH(K344,PalNames,0)+1,MATCH("ZukanIndex",PalData_Header,0)),)</f>
        <v>0</v>
      </c>
      <c r="J344" s="40"/>
      <c r="K344" s="42"/>
      <c r="M344" s="47" t="n">
        <f aca="false">IFERROR(INDEX(PalData,MATCH(O344,PalNames,0)+1,MATCH("Image",PalData_Header,0)),)</f>
        <v>0</v>
      </c>
      <c r="N344" s="48" t="n">
        <f aca="false">IFERROR(INDEX(PalData,MATCH(O344,PalNames,0)+1,MATCH("ZukanIndex",PalData_Header,0)),)</f>
        <v>0</v>
      </c>
      <c r="O344" s="49"/>
      <c r="Q344" s="3"/>
      <c r="R344" s="3"/>
      <c r="S344" s="3"/>
      <c r="T344" s="3"/>
      <c r="U344" s="3"/>
    </row>
    <row r="345" customFormat="false" ht="15.75" hidden="false" customHeight="false" outlineLevel="0" collapsed="false">
      <c r="F345" s="34"/>
      <c r="G345" s="35"/>
      <c r="H345" s="35"/>
      <c r="I345" s="36" t="n">
        <f aca="false">IFERROR(INDEX(PalData,MATCH(K345,PalNames,0)+1,MATCH("ZukanIndex",PalData_Header,0)),)</f>
        <v>0</v>
      </c>
      <c r="J345" s="35"/>
      <c r="K345" s="37"/>
      <c r="M345" s="44" t="n">
        <f aca="false">IFERROR(INDEX(PalData,MATCH(O345,PalNames,0)+1,MATCH("Image",PalData_Header,0)),)</f>
        <v>0</v>
      </c>
      <c r="N345" s="45" t="n">
        <f aca="false">IFERROR(INDEX(PalData,MATCH(O345,PalNames,0)+1,MATCH("ZukanIndex",PalData_Header,0)),)</f>
        <v>0</v>
      </c>
      <c r="O345" s="46"/>
      <c r="Q345" s="3"/>
      <c r="R345" s="3"/>
      <c r="S345" s="3"/>
      <c r="T345" s="3"/>
      <c r="U345" s="3"/>
    </row>
    <row r="346" customFormat="false" ht="15.75" hidden="false" customHeight="false" outlineLevel="0" collapsed="false">
      <c r="F346" s="39"/>
      <c r="G346" s="40"/>
      <c r="H346" s="40"/>
      <c r="I346" s="41" t="n">
        <f aca="false">IFERROR(INDEX(PalData,MATCH(K346,PalNames,0)+1,MATCH("ZukanIndex",PalData_Header,0)),)</f>
        <v>0</v>
      </c>
      <c r="J346" s="40"/>
      <c r="K346" s="42"/>
      <c r="M346" s="47" t="n">
        <f aca="false">IFERROR(INDEX(PalData,MATCH(O346,PalNames,0)+1,MATCH("Image",PalData_Header,0)),)</f>
        <v>0</v>
      </c>
      <c r="N346" s="48" t="n">
        <f aca="false">IFERROR(INDEX(PalData,MATCH(O346,PalNames,0)+1,MATCH("ZukanIndex",PalData_Header,0)),)</f>
        <v>0</v>
      </c>
      <c r="O346" s="49"/>
      <c r="Q346" s="3"/>
      <c r="R346" s="3"/>
      <c r="S346" s="3"/>
      <c r="T346" s="3"/>
      <c r="U346" s="3"/>
    </row>
    <row r="347" customFormat="false" ht="15.75" hidden="false" customHeight="false" outlineLevel="0" collapsed="false">
      <c r="F347" s="34"/>
      <c r="G347" s="35"/>
      <c r="H347" s="35"/>
      <c r="I347" s="36" t="n">
        <f aca="false">IFERROR(INDEX(PalData,MATCH(K347,PalNames,0)+1,MATCH("ZukanIndex",PalData_Header,0)),)</f>
        <v>0</v>
      </c>
      <c r="J347" s="35"/>
      <c r="K347" s="37"/>
      <c r="M347" s="44" t="n">
        <f aca="false">IFERROR(INDEX(PalData,MATCH(O347,PalNames,0)+1,MATCH("Image",PalData_Header,0)),)</f>
        <v>0</v>
      </c>
      <c r="N347" s="45" t="n">
        <f aca="false">IFERROR(INDEX(PalData,MATCH(O347,PalNames,0)+1,MATCH("ZukanIndex",PalData_Header,0)),)</f>
        <v>0</v>
      </c>
      <c r="O347" s="46"/>
      <c r="Q347" s="3"/>
      <c r="R347" s="3"/>
      <c r="S347" s="3"/>
      <c r="T347" s="3"/>
      <c r="U347" s="3"/>
    </row>
    <row r="348" customFormat="false" ht="15.75" hidden="false" customHeight="false" outlineLevel="0" collapsed="false">
      <c r="F348" s="39"/>
      <c r="G348" s="40"/>
      <c r="H348" s="40"/>
      <c r="I348" s="41" t="n">
        <f aca="false">IFERROR(INDEX(PalData,MATCH(K348,PalNames,0)+1,MATCH("ZukanIndex",PalData_Header,0)),)</f>
        <v>0</v>
      </c>
      <c r="J348" s="40"/>
      <c r="K348" s="42"/>
      <c r="M348" s="47" t="n">
        <f aca="false">IFERROR(INDEX(PalData,MATCH(O348,PalNames,0)+1,MATCH("Image",PalData_Header,0)),)</f>
        <v>0</v>
      </c>
      <c r="N348" s="48" t="n">
        <f aca="false">IFERROR(INDEX(PalData,MATCH(O348,PalNames,0)+1,MATCH("ZukanIndex",PalData_Header,0)),)</f>
        <v>0</v>
      </c>
      <c r="O348" s="49"/>
      <c r="Q348" s="3"/>
      <c r="R348" s="3"/>
      <c r="S348" s="3"/>
      <c r="T348" s="3"/>
      <c r="U348" s="3"/>
    </row>
    <row r="349" customFormat="false" ht="15.75" hidden="false" customHeight="false" outlineLevel="0" collapsed="false">
      <c r="F349" s="34"/>
      <c r="G349" s="35"/>
      <c r="H349" s="35"/>
      <c r="I349" s="36" t="n">
        <f aca="false">IFERROR(INDEX(PalData,MATCH(K349,PalNames,0)+1,MATCH("ZukanIndex",PalData_Header,0)),)</f>
        <v>0</v>
      </c>
      <c r="J349" s="35"/>
      <c r="K349" s="37"/>
      <c r="M349" s="44" t="n">
        <f aca="false">IFERROR(INDEX(PalData,MATCH(O349,PalNames,0)+1,MATCH("Image",PalData_Header,0)),)</f>
        <v>0</v>
      </c>
      <c r="N349" s="45" t="n">
        <f aca="false">IFERROR(INDEX(PalData,MATCH(O349,PalNames,0)+1,MATCH("ZukanIndex",PalData_Header,0)),)</f>
        <v>0</v>
      </c>
      <c r="O349" s="46"/>
      <c r="Q349" s="3"/>
      <c r="R349" s="3"/>
      <c r="S349" s="3"/>
      <c r="T349" s="3"/>
      <c r="U349" s="3"/>
    </row>
    <row r="350" customFormat="false" ht="15.75" hidden="false" customHeight="false" outlineLevel="0" collapsed="false">
      <c r="F350" s="39"/>
      <c r="G350" s="40"/>
      <c r="H350" s="40"/>
      <c r="I350" s="41" t="n">
        <f aca="false">IFERROR(INDEX(PalData,MATCH(K350,PalNames,0)+1,MATCH("ZukanIndex",PalData_Header,0)),)</f>
        <v>0</v>
      </c>
      <c r="J350" s="40"/>
      <c r="K350" s="42"/>
      <c r="M350" s="47" t="n">
        <f aca="false">IFERROR(INDEX(PalData,MATCH(O350,PalNames,0)+1,MATCH("Image",PalData_Header,0)),)</f>
        <v>0</v>
      </c>
      <c r="N350" s="48" t="n">
        <f aca="false">IFERROR(INDEX(PalData,MATCH(O350,PalNames,0)+1,MATCH("ZukanIndex",PalData_Header,0)),)</f>
        <v>0</v>
      </c>
      <c r="O350" s="49"/>
      <c r="Q350" s="3"/>
      <c r="R350" s="3"/>
      <c r="S350" s="3"/>
      <c r="T350" s="3"/>
      <c r="U350" s="3"/>
    </row>
    <row r="351" customFormat="false" ht="15.75" hidden="false" customHeight="false" outlineLevel="0" collapsed="false">
      <c r="F351" s="34"/>
      <c r="G351" s="35"/>
      <c r="H351" s="35"/>
      <c r="I351" s="36" t="n">
        <f aca="false">IFERROR(INDEX(PalData,MATCH(K351,PalNames,0)+1,MATCH("ZukanIndex",PalData_Header,0)),)</f>
        <v>0</v>
      </c>
      <c r="J351" s="35"/>
      <c r="K351" s="37"/>
      <c r="M351" s="44" t="n">
        <f aca="false">IFERROR(INDEX(PalData,MATCH(O351,PalNames,0)+1,MATCH("Image",PalData_Header,0)),)</f>
        <v>0</v>
      </c>
      <c r="N351" s="45" t="n">
        <f aca="false">IFERROR(INDEX(PalData,MATCH(O351,PalNames,0)+1,MATCH("ZukanIndex",PalData_Header,0)),)</f>
        <v>0</v>
      </c>
      <c r="O351" s="46"/>
      <c r="Q351" s="3"/>
      <c r="R351" s="3"/>
      <c r="S351" s="3"/>
      <c r="T351" s="3"/>
      <c r="U351" s="3"/>
    </row>
    <row r="352" customFormat="false" ht="15.75" hidden="false" customHeight="false" outlineLevel="0" collapsed="false">
      <c r="F352" s="39"/>
      <c r="G352" s="40"/>
      <c r="H352" s="40"/>
      <c r="I352" s="41" t="n">
        <f aca="false">IFERROR(INDEX(PalData,MATCH(K352,PalNames,0)+1,MATCH("ZukanIndex",PalData_Header,0)),)</f>
        <v>0</v>
      </c>
      <c r="J352" s="40"/>
      <c r="K352" s="42"/>
      <c r="M352" s="47" t="n">
        <f aca="false">IFERROR(INDEX(PalData,MATCH(O352,PalNames,0)+1,MATCH("Image",PalData_Header,0)),)</f>
        <v>0</v>
      </c>
      <c r="N352" s="48" t="n">
        <f aca="false">IFERROR(INDEX(PalData,MATCH(O352,PalNames,0)+1,MATCH("ZukanIndex",PalData_Header,0)),)</f>
        <v>0</v>
      </c>
      <c r="O352" s="49"/>
      <c r="Q352" s="3"/>
      <c r="R352" s="3"/>
      <c r="S352" s="3"/>
      <c r="T352" s="3"/>
      <c r="U352" s="3"/>
    </row>
    <row r="353" customFormat="false" ht="15.75" hidden="false" customHeight="false" outlineLevel="0" collapsed="false">
      <c r="F353" s="34"/>
      <c r="G353" s="35"/>
      <c r="H353" s="35"/>
      <c r="I353" s="36" t="n">
        <f aca="false">IFERROR(INDEX(PalData,MATCH(K353,PalNames,0)+1,MATCH("ZukanIndex",PalData_Header,0)),)</f>
        <v>0</v>
      </c>
      <c r="J353" s="35"/>
      <c r="K353" s="37"/>
      <c r="M353" s="44" t="n">
        <f aca="false">IFERROR(INDEX(PalData,MATCH(O353,PalNames,0)+1,MATCH("Image",PalData_Header,0)),)</f>
        <v>0</v>
      </c>
      <c r="N353" s="45" t="n">
        <f aca="false">IFERROR(INDEX(PalData,MATCH(O353,PalNames,0)+1,MATCH("ZukanIndex",PalData_Header,0)),)</f>
        <v>0</v>
      </c>
      <c r="O353" s="46"/>
      <c r="Q353" s="3"/>
      <c r="R353" s="3"/>
      <c r="S353" s="3"/>
      <c r="T353" s="3"/>
      <c r="U353" s="3"/>
    </row>
    <row r="354" customFormat="false" ht="15.75" hidden="false" customHeight="false" outlineLevel="0" collapsed="false">
      <c r="F354" s="39"/>
      <c r="G354" s="40"/>
      <c r="H354" s="40"/>
      <c r="I354" s="41" t="n">
        <f aca="false">IFERROR(INDEX(PalData,MATCH(K354,PalNames,0)+1,MATCH("ZukanIndex",PalData_Header,0)),)</f>
        <v>0</v>
      </c>
      <c r="J354" s="40"/>
      <c r="K354" s="42"/>
      <c r="M354" s="47" t="n">
        <f aca="false">IFERROR(INDEX(PalData,MATCH(O354,PalNames,0)+1,MATCH("Image",PalData_Header,0)),)</f>
        <v>0</v>
      </c>
      <c r="N354" s="48" t="n">
        <f aca="false">IFERROR(INDEX(PalData,MATCH(O354,PalNames,0)+1,MATCH("ZukanIndex",PalData_Header,0)),)</f>
        <v>0</v>
      </c>
      <c r="O354" s="49"/>
      <c r="Q354" s="3"/>
      <c r="R354" s="3"/>
      <c r="S354" s="3"/>
      <c r="T354" s="3"/>
      <c r="U354" s="3"/>
    </row>
    <row r="355" customFormat="false" ht="15.75" hidden="false" customHeight="false" outlineLevel="0" collapsed="false">
      <c r="F355" s="34"/>
      <c r="G355" s="35"/>
      <c r="H355" s="35"/>
      <c r="I355" s="36" t="n">
        <f aca="false">IFERROR(INDEX(PalData,MATCH(K355,PalNames,0)+1,MATCH("ZukanIndex",PalData_Header,0)),)</f>
        <v>0</v>
      </c>
      <c r="J355" s="35"/>
      <c r="K355" s="37"/>
      <c r="M355" s="44" t="n">
        <f aca="false">IFERROR(INDEX(PalData,MATCH(O355,PalNames,0)+1,MATCH("Image",PalData_Header,0)),)</f>
        <v>0</v>
      </c>
      <c r="N355" s="45" t="n">
        <f aca="false">IFERROR(INDEX(PalData,MATCH(O355,PalNames,0)+1,MATCH("ZukanIndex",PalData_Header,0)),)</f>
        <v>0</v>
      </c>
      <c r="O355" s="46"/>
      <c r="Q355" s="3"/>
      <c r="R355" s="3"/>
      <c r="S355" s="3"/>
      <c r="T355" s="3"/>
      <c r="U355" s="3"/>
    </row>
    <row r="356" customFormat="false" ht="15.75" hidden="false" customHeight="false" outlineLevel="0" collapsed="false">
      <c r="F356" s="39"/>
      <c r="G356" s="40"/>
      <c r="H356" s="40"/>
      <c r="I356" s="41" t="n">
        <f aca="false">IFERROR(INDEX(PalData,MATCH(K356,PalNames,0)+1,MATCH("ZukanIndex",PalData_Header,0)),)</f>
        <v>0</v>
      </c>
      <c r="J356" s="40"/>
      <c r="K356" s="42"/>
      <c r="M356" s="47" t="n">
        <f aca="false">IFERROR(INDEX(PalData,MATCH(O356,PalNames,0)+1,MATCH("Image",PalData_Header,0)),)</f>
        <v>0</v>
      </c>
      <c r="N356" s="48" t="n">
        <f aca="false">IFERROR(INDEX(PalData,MATCH(O356,PalNames,0)+1,MATCH("ZukanIndex",PalData_Header,0)),)</f>
        <v>0</v>
      </c>
      <c r="O356" s="49"/>
      <c r="Q356" s="3"/>
      <c r="R356" s="3"/>
      <c r="S356" s="3"/>
      <c r="T356" s="3"/>
      <c r="U356" s="3"/>
    </row>
    <row r="357" customFormat="false" ht="15.75" hidden="false" customHeight="false" outlineLevel="0" collapsed="false">
      <c r="F357" s="34"/>
      <c r="G357" s="35"/>
      <c r="H357" s="35"/>
      <c r="I357" s="36" t="n">
        <f aca="false">IFERROR(INDEX(PalData,MATCH(K357,PalNames,0)+1,MATCH("ZukanIndex",PalData_Header,0)),)</f>
        <v>0</v>
      </c>
      <c r="J357" s="35"/>
      <c r="K357" s="37"/>
      <c r="M357" s="44" t="n">
        <f aca="false">IFERROR(INDEX(PalData,MATCH(O357,PalNames,0)+1,MATCH("Image",PalData_Header,0)),)</f>
        <v>0</v>
      </c>
      <c r="N357" s="45" t="n">
        <f aca="false">IFERROR(INDEX(PalData,MATCH(O357,PalNames,0)+1,MATCH("ZukanIndex",PalData_Header,0)),)</f>
        <v>0</v>
      </c>
      <c r="O357" s="46"/>
      <c r="Q357" s="3"/>
      <c r="R357" s="3"/>
      <c r="S357" s="3"/>
      <c r="T357" s="3"/>
      <c r="U357" s="3"/>
    </row>
    <row r="358" customFormat="false" ht="15.75" hidden="false" customHeight="false" outlineLevel="0" collapsed="false">
      <c r="F358" s="39"/>
      <c r="G358" s="40"/>
      <c r="H358" s="40"/>
      <c r="I358" s="41" t="n">
        <f aca="false">IFERROR(INDEX(PalData,MATCH(K358,PalNames,0)+1,MATCH("ZukanIndex",PalData_Header,0)),)</f>
        <v>0</v>
      </c>
      <c r="J358" s="40"/>
      <c r="K358" s="42"/>
      <c r="M358" s="47" t="n">
        <f aca="false">IFERROR(INDEX(PalData,MATCH(O358,PalNames,0)+1,MATCH("Image",PalData_Header,0)),)</f>
        <v>0</v>
      </c>
      <c r="N358" s="48" t="n">
        <f aca="false">IFERROR(INDEX(PalData,MATCH(O358,PalNames,0)+1,MATCH("ZukanIndex",PalData_Header,0)),)</f>
        <v>0</v>
      </c>
      <c r="O358" s="49"/>
      <c r="Q358" s="3"/>
      <c r="R358" s="3"/>
      <c r="S358" s="3"/>
      <c r="T358" s="3"/>
      <c r="U358" s="3"/>
    </row>
    <row r="359" customFormat="false" ht="15.75" hidden="false" customHeight="false" outlineLevel="0" collapsed="false">
      <c r="F359" s="34"/>
      <c r="G359" s="35"/>
      <c r="H359" s="35"/>
      <c r="I359" s="36" t="n">
        <f aca="false">IFERROR(INDEX(PalData,MATCH(K359,PalNames,0)+1,MATCH("ZukanIndex",PalData_Header,0)),)</f>
        <v>0</v>
      </c>
      <c r="J359" s="35"/>
      <c r="K359" s="37"/>
      <c r="M359" s="44" t="n">
        <f aca="false">IFERROR(INDEX(PalData,MATCH(O359,PalNames,0)+1,MATCH("Image",PalData_Header,0)),)</f>
        <v>0</v>
      </c>
      <c r="N359" s="45" t="n">
        <f aca="false">IFERROR(INDEX(PalData,MATCH(O359,PalNames,0)+1,MATCH("ZukanIndex",PalData_Header,0)),)</f>
        <v>0</v>
      </c>
      <c r="O359" s="46"/>
      <c r="Q359" s="3"/>
      <c r="R359" s="3"/>
      <c r="S359" s="3"/>
      <c r="T359" s="3"/>
      <c r="U359" s="3"/>
    </row>
    <row r="360" customFormat="false" ht="15.75" hidden="false" customHeight="false" outlineLevel="0" collapsed="false">
      <c r="F360" s="39"/>
      <c r="G360" s="40"/>
      <c r="H360" s="40"/>
      <c r="I360" s="41" t="n">
        <f aca="false">IFERROR(INDEX(PalData,MATCH(K360,PalNames,0)+1,MATCH("ZukanIndex",PalData_Header,0)),)</f>
        <v>0</v>
      </c>
      <c r="J360" s="40"/>
      <c r="K360" s="42"/>
      <c r="M360" s="47" t="n">
        <f aca="false">IFERROR(INDEX(PalData,MATCH(O360,PalNames,0)+1,MATCH("Image",PalData_Header,0)),)</f>
        <v>0</v>
      </c>
      <c r="N360" s="48" t="n">
        <f aca="false">IFERROR(INDEX(PalData,MATCH(O360,PalNames,0)+1,MATCH("ZukanIndex",PalData_Header,0)),)</f>
        <v>0</v>
      </c>
      <c r="O360" s="49"/>
      <c r="Q360" s="3"/>
      <c r="R360" s="3"/>
      <c r="S360" s="3"/>
      <c r="T360" s="3"/>
      <c r="U360" s="3"/>
    </row>
    <row r="361" customFormat="false" ht="15.75" hidden="false" customHeight="false" outlineLevel="0" collapsed="false">
      <c r="F361" s="34"/>
      <c r="G361" s="35"/>
      <c r="H361" s="35"/>
      <c r="I361" s="36" t="n">
        <f aca="false">IFERROR(INDEX(PalData,MATCH(K361,PalNames,0)+1,MATCH("ZukanIndex",PalData_Header,0)),)</f>
        <v>0</v>
      </c>
      <c r="J361" s="35"/>
      <c r="K361" s="37"/>
      <c r="M361" s="44" t="n">
        <f aca="false">IFERROR(INDEX(PalData,MATCH(O361,PalNames,0)+1,MATCH("Image",PalData_Header,0)),)</f>
        <v>0</v>
      </c>
      <c r="N361" s="45" t="n">
        <f aca="false">IFERROR(INDEX(PalData,MATCH(O361,PalNames,0)+1,MATCH("ZukanIndex",PalData_Header,0)),)</f>
        <v>0</v>
      </c>
      <c r="O361" s="46"/>
      <c r="Q361" s="3"/>
      <c r="R361" s="3"/>
      <c r="S361" s="3"/>
      <c r="T361" s="3"/>
      <c r="U361" s="3"/>
    </row>
    <row r="362" customFormat="false" ht="15.75" hidden="false" customHeight="false" outlineLevel="0" collapsed="false">
      <c r="F362" s="39"/>
      <c r="G362" s="40"/>
      <c r="H362" s="40"/>
      <c r="I362" s="41" t="n">
        <f aca="false">IFERROR(INDEX(PalData,MATCH(K362,PalNames,0)+1,MATCH("ZukanIndex",PalData_Header,0)),)</f>
        <v>0</v>
      </c>
      <c r="J362" s="40"/>
      <c r="K362" s="42"/>
      <c r="M362" s="47" t="n">
        <f aca="false">IFERROR(INDEX(PalData,MATCH(O362,PalNames,0)+1,MATCH("Image",PalData_Header,0)),)</f>
        <v>0</v>
      </c>
      <c r="N362" s="48" t="n">
        <f aca="false">IFERROR(INDEX(PalData,MATCH(O362,PalNames,0)+1,MATCH("ZukanIndex",PalData_Header,0)),)</f>
        <v>0</v>
      </c>
      <c r="O362" s="49"/>
      <c r="Q362" s="3"/>
      <c r="R362" s="3"/>
      <c r="S362" s="3"/>
      <c r="T362" s="3"/>
      <c r="U362" s="3"/>
    </row>
    <row r="363" customFormat="false" ht="15.75" hidden="false" customHeight="false" outlineLevel="0" collapsed="false">
      <c r="F363" s="34"/>
      <c r="G363" s="35"/>
      <c r="H363" s="35"/>
      <c r="I363" s="36" t="n">
        <f aca="false">IFERROR(INDEX(PalData,MATCH(K363,PalNames,0)+1,MATCH("ZukanIndex",PalData_Header,0)),)</f>
        <v>0</v>
      </c>
      <c r="J363" s="35"/>
      <c r="K363" s="37"/>
      <c r="M363" s="44" t="n">
        <f aca="false">IFERROR(INDEX(PalData,MATCH(O363,PalNames,0)+1,MATCH("Image",PalData_Header,0)),)</f>
        <v>0</v>
      </c>
      <c r="N363" s="45" t="n">
        <f aca="false">IFERROR(INDEX(PalData,MATCH(O363,PalNames,0)+1,MATCH("ZukanIndex",PalData_Header,0)),)</f>
        <v>0</v>
      </c>
      <c r="O363" s="46"/>
      <c r="Q363" s="3"/>
      <c r="R363" s="3"/>
      <c r="S363" s="3"/>
      <c r="T363" s="3"/>
      <c r="U363" s="3"/>
    </row>
    <row r="364" customFormat="false" ht="15.75" hidden="false" customHeight="false" outlineLevel="0" collapsed="false">
      <c r="F364" s="39"/>
      <c r="G364" s="40"/>
      <c r="H364" s="40"/>
      <c r="I364" s="41" t="n">
        <f aca="false">IFERROR(INDEX(PalData,MATCH(K364,PalNames,0)+1,MATCH("ZukanIndex",PalData_Header,0)),)</f>
        <v>0</v>
      </c>
      <c r="J364" s="40"/>
      <c r="K364" s="42"/>
      <c r="M364" s="47" t="n">
        <f aca="false">IFERROR(INDEX(PalData,MATCH(O364,PalNames,0)+1,MATCH("Image",PalData_Header,0)),)</f>
        <v>0</v>
      </c>
      <c r="N364" s="48" t="n">
        <f aca="false">IFERROR(INDEX(PalData,MATCH(O364,PalNames,0)+1,MATCH("ZukanIndex",PalData_Header,0)),)</f>
        <v>0</v>
      </c>
      <c r="O364" s="49"/>
      <c r="Q364" s="3"/>
      <c r="R364" s="3"/>
      <c r="S364" s="3"/>
      <c r="T364" s="3"/>
      <c r="U364" s="3"/>
    </row>
    <row r="365" customFormat="false" ht="15.75" hidden="false" customHeight="false" outlineLevel="0" collapsed="false">
      <c r="F365" s="34"/>
      <c r="G365" s="35"/>
      <c r="H365" s="35"/>
      <c r="I365" s="36" t="n">
        <f aca="false">IFERROR(INDEX(PalData,MATCH(K365,PalNames,0)+1,MATCH("ZukanIndex",PalData_Header,0)),)</f>
        <v>0</v>
      </c>
      <c r="J365" s="35"/>
      <c r="K365" s="37"/>
      <c r="M365" s="44" t="n">
        <f aca="false">IFERROR(INDEX(PalData,MATCH(O365,PalNames,0)+1,MATCH("Image",PalData_Header,0)),)</f>
        <v>0</v>
      </c>
      <c r="N365" s="45" t="n">
        <f aca="false">IFERROR(INDEX(PalData,MATCH(O365,PalNames,0)+1,MATCH("ZukanIndex",PalData_Header,0)),)</f>
        <v>0</v>
      </c>
      <c r="O365" s="46"/>
      <c r="Q365" s="3"/>
      <c r="R365" s="3"/>
      <c r="S365" s="3"/>
      <c r="T365" s="3"/>
      <c r="U365" s="3"/>
    </row>
    <row r="366" customFormat="false" ht="15.75" hidden="false" customHeight="false" outlineLevel="0" collapsed="false">
      <c r="F366" s="39"/>
      <c r="G366" s="40"/>
      <c r="H366" s="40"/>
      <c r="I366" s="41" t="n">
        <f aca="false">IFERROR(INDEX(PalData,MATCH(K366,PalNames,0)+1,MATCH("ZukanIndex",PalData_Header,0)),)</f>
        <v>0</v>
      </c>
      <c r="J366" s="40"/>
      <c r="K366" s="42"/>
      <c r="M366" s="47" t="n">
        <f aca="false">IFERROR(INDEX(PalData,MATCH(O366,PalNames,0)+1,MATCH("Image",PalData_Header,0)),)</f>
        <v>0</v>
      </c>
      <c r="N366" s="48" t="n">
        <f aca="false">IFERROR(INDEX(PalData,MATCH(O366,PalNames,0)+1,MATCH("ZukanIndex",PalData_Header,0)),)</f>
        <v>0</v>
      </c>
      <c r="O366" s="49"/>
      <c r="Q366" s="3"/>
      <c r="R366" s="3"/>
      <c r="S366" s="3"/>
      <c r="T366" s="3"/>
      <c r="U366" s="3"/>
    </row>
    <row r="367" customFormat="false" ht="15.75" hidden="false" customHeight="false" outlineLevel="0" collapsed="false">
      <c r="F367" s="34"/>
      <c r="G367" s="35"/>
      <c r="H367" s="35"/>
      <c r="I367" s="36" t="n">
        <f aca="false">IFERROR(INDEX(PalData,MATCH(K367,PalNames,0)+1,MATCH("ZukanIndex",PalData_Header,0)),)</f>
        <v>0</v>
      </c>
      <c r="J367" s="35"/>
      <c r="K367" s="37"/>
      <c r="M367" s="44" t="n">
        <f aca="false">IFERROR(INDEX(PalData,MATCH(O367,PalNames,0)+1,MATCH("Image",PalData_Header,0)),)</f>
        <v>0</v>
      </c>
      <c r="N367" s="45" t="n">
        <f aca="false">IFERROR(INDEX(PalData,MATCH(O367,PalNames,0)+1,MATCH("ZukanIndex",PalData_Header,0)),)</f>
        <v>0</v>
      </c>
      <c r="O367" s="46"/>
      <c r="Q367" s="3"/>
      <c r="R367" s="3"/>
      <c r="S367" s="3"/>
      <c r="T367" s="3"/>
      <c r="U367" s="3"/>
    </row>
    <row r="368" customFormat="false" ht="15.75" hidden="false" customHeight="false" outlineLevel="0" collapsed="false">
      <c r="F368" s="39"/>
      <c r="G368" s="40"/>
      <c r="H368" s="40"/>
      <c r="I368" s="41" t="n">
        <f aca="false">IFERROR(INDEX(PalData,MATCH(K368,PalNames,0)+1,MATCH("ZukanIndex",PalData_Header,0)),)</f>
        <v>0</v>
      </c>
      <c r="J368" s="40"/>
      <c r="K368" s="42"/>
      <c r="M368" s="47" t="n">
        <f aca="false">IFERROR(INDEX(PalData,MATCH(O368,PalNames,0)+1,MATCH("Image",PalData_Header,0)),)</f>
        <v>0</v>
      </c>
      <c r="N368" s="48" t="n">
        <f aca="false">IFERROR(INDEX(PalData,MATCH(O368,PalNames,0)+1,MATCH("ZukanIndex",PalData_Header,0)),)</f>
        <v>0</v>
      </c>
      <c r="O368" s="49"/>
      <c r="Q368" s="3"/>
      <c r="R368" s="3"/>
      <c r="S368" s="3"/>
      <c r="T368" s="3"/>
      <c r="U368" s="3"/>
    </row>
    <row r="369" customFormat="false" ht="15.75" hidden="false" customHeight="false" outlineLevel="0" collapsed="false">
      <c r="F369" s="34"/>
      <c r="G369" s="35"/>
      <c r="H369" s="35"/>
      <c r="I369" s="36" t="n">
        <f aca="false">IFERROR(INDEX(PalData,MATCH(K369,PalNames,0)+1,MATCH("ZukanIndex",PalData_Header,0)),)</f>
        <v>0</v>
      </c>
      <c r="J369" s="35"/>
      <c r="K369" s="37"/>
      <c r="M369" s="44" t="n">
        <f aca="false">IFERROR(INDEX(PalData,MATCH(O369,PalNames,0)+1,MATCH("Image",PalData_Header,0)),)</f>
        <v>0</v>
      </c>
      <c r="N369" s="45" t="n">
        <f aca="false">IFERROR(INDEX(PalData,MATCH(O369,PalNames,0)+1,MATCH("ZukanIndex",PalData_Header,0)),)</f>
        <v>0</v>
      </c>
      <c r="O369" s="46"/>
      <c r="Q369" s="3"/>
      <c r="R369" s="3"/>
      <c r="S369" s="3"/>
      <c r="T369" s="3"/>
      <c r="U369" s="3"/>
    </row>
    <row r="370" customFormat="false" ht="15.75" hidden="false" customHeight="false" outlineLevel="0" collapsed="false">
      <c r="F370" s="39"/>
      <c r="G370" s="40"/>
      <c r="H370" s="40"/>
      <c r="I370" s="41"/>
      <c r="J370" s="40"/>
      <c r="K370" s="42"/>
      <c r="M370" s="47" t="n">
        <f aca="false">IFERROR(INDEX(PalData,MATCH(O370,PalNames,0)+1,MATCH("Image",PalData_Header,0)),)</f>
        <v>0</v>
      </c>
      <c r="N370" s="48" t="n">
        <f aca="false">IFERROR(INDEX(PalData,MATCH(O370,PalNames,0)+1,MATCH("ZukanIndex",PalData_Header,0)),)</f>
        <v>0</v>
      </c>
      <c r="O370" s="49"/>
      <c r="Q370" s="3"/>
      <c r="R370" s="3"/>
      <c r="S370" s="3"/>
      <c r="T370" s="3"/>
      <c r="U370" s="3"/>
    </row>
    <row r="371" customFormat="false" ht="15.75" hidden="false" customHeight="false" outlineLevel="0" collapsed="false">
      <c r="F371" s="34"/>
      <c r="G371" s="35"/>
      <c r="H371" s="35"/>
      <c r="I371" s="36"/>
      <c r="J371" s="35"/>
      <c r="K371" s="37"/>
      <c r="M371" s="44" t="n">
        <f aca="false">IFERROR(INDEX(PalData,MATCH(O371,PalNames,0)+1,MATCH("Image",PalData_Header,0)),)</f>
        <v>0</v>
      </c>
      <c r="N371" s="45" t="n">
        <f aca="false">IFERROR(INDEX(PalData,MATCH(O371,PalNames,0)+1,MATCH("ZukanIndex",PalData_Header,0)),)</f>
        <v>0</v>
      </c>
      <c r="O371" s="46"/>
      <c r="Q371" s="3"/>
      <c r="R371" s="3"/>
      <c r="S371" s="3"/>
      <c r="T371" s="3"/>
      <c r="U371" s="3"/>
    </row>
    <row r="372" customFormat="false" ht="15.75" hidden="false" customHeight="false" outlineLevel="0" collapsed="false">
      <c r="F372" s="39"/>
      <c r="G372" s="40"/>
      <c r="H372" s="40"/>
      <c r="I372" s="41"/>
      <c r="J372" s="40"/>
      <c r="K372" s="42"/>
      <c r="M372" s="47" t="n">
        <f aca="false">IFERROR(INDEX(PalData,MATCH(O372,PalNames,0)+1,MATCH("Image",PalData_Header,0)),)</f>
        <v>0</v>
      </c>
      <c r="N372" s="48" t="n">
        <f aca="false">IFERROR(INDEX(PalData,MATCH(O372,PalNames,0)+1,MATCH("ZukanIndex",PalData_Header,0)),)</f>
        <v>0</v>
      </c>
      <c r="O372" s="49"/>
      <c r="Q372" s="3"/>
      <c r="R372" s="3"/>
      <c r="S372" s="3"/>
      <c r="T372" s="3"/>
      <c r="U372" s="3"/>
    </row>
    <row r="373" customFormat="false" ht="15.75" hidden="false" customHeight="false" outlineLevel="0" collapsed="false">
      <c r="F373" s="34"/>
      <c r="G373" s="35"/>
      <c r="H373" s="35"/>
      <c r="I373" s="36"/>
      <c r="J373" s="35"/>
      <c r="K373" s="37"/>
      <c r="M373" s="44" t="n">
        <f aca="false">IFERROR(INDEX(PalData,MATCH(O373,PalNames,0)+1,MATCH("Image",PalData_Header,0)),)</f>
        <v>0</v>
      </c>
      <c r="N373" s="45" t="n">
        <f aca="false">IFERROR(INDEX(PalData,MATCH(O373,PalNames,0)+1,MATCH("ZukanIndex",PalData_Header,0)),)</f>
        <v>0</v>
      </c>
      <c r="O373" s="46"/>
      <c r="Q373" s="3"/>
      <c r="R373" s="3"/>
      <c r="S373" s="3"/>
      <c r="T373" s="3"/>
      <c r="U373" s="3"/>
    </row>
    <row r="374" customFormat="false" ht="15.75" hidden="false" customHeight="false" outlineLevel="0" collapsed="false">
      <c r="F374" s="39"/>
      <c r="G374" s="40"/>
      <c r="H374" s="40"/>
      <c r="I374" s="41"/>
      <c r="J374" s="40"/>
      <c r="K374" s="42"/>
      <c r="M374" s="47" t="n">
        <f aca="false">IFERROR(INDEX(PalData,MATCH(O374,PalNames,0)+1,MATCH("Image",PalData_Header,0)),)</f>
        <v>0</v>
      </c>
      <c r="N374" s="48" t="n">
        <f aca="false">IFERROR(INDEX(PalData,MATCH(O374,PalNames,0)+1,MATCH("ZukanIndex",PalData_Header,0)),)</f>
        <v>0</v>
      </c>
      <c r="O374" s="49"/>
      <c r="Q374" s="3"/>
      <c r="R374" s="3"/>
      <c r="S374" s="3"/>
      <c r="T374" s="3"/>
      <c r="U374" s="3"/>
    </row>
    <row r="375" customFormat="false" ht="15.75" hidden="false" customHeight="false" outlineLevel="0" collapsed="false">
      <c r="F375" s="34"/>
      <c r="G375" s="35"/>
      <c r="H375" s="35"/>
      <c r="I375" s="36"/>
      <c r="J375" s="35"/>
      <c r="K375" s="37"/>
      <c r="M375" s="44" t="n">
        <f aca="false">IFERROR(INDEX(PalData,MATCH(O375,PalNames,0)+1,MATCH("Image",PalData_Header,0)),)</f>
        <v>0</v>
      </c>
      <c r="N375" s="45" t="n">
        <f aca="false">IFERROR(INDEX(PalData,MATCH(O375,PalNames,0)+1,MATCH("ZukanIndex",PalData_Header,0)),)</f>
        <v>0</v>
      </c>
      <c r="O375" s="46"/>
      <c r="Q375" s="3"/>
      <c r="R375" s="3"/>
      <c r="S375" s="3"/>
      <c r="T375" s="3"/>
      <c r="U375" s="3"/>
    </row>
    <row r="376" customFormat="false" ht="15.75" hidden="false" customHeight="false" outlineLevel="0" collapsed="false">
      <c r="F376" s="39"/>
      <c r="G376" s="40"/>
      <c r="H376" s="40"/>
      <c r="I376" s="41"/>
      <c r="J376" s="40"/>
      <c r="K376" s="42"/>
      <c r="M376" s="47" t="n">
        <f aca="false">IFERROR(INDEX(PalData,MATCH(O376,PalNames,0)+1,MATCH("Image",PalData_Header,0)),)</f>
        <v>0</v>
      </c>
      <c r="N376" s="48" t="n">
        <f aca="false">IFERROR(INDEX(PalData,MATCH(O376,PalNames,0)+1,MATCH("ZukanIndex",PalData_Header,0)),)</f>
        <v>0</v>
      </c>
      <c r="O376" s="49"/>
      <c r="Q376" s="3"/>
      <c r="R376" s="3"/>
      <c r="S376" s="3"/>
      <c r="T376" s="3"/>
      <c r="U376" s="3"/>
    </row>
    <row r="377" customFormat="false" ht="15.75" hidden="false" customHeight="false" outlineLevel="0" collapsed="false">
      <c r="F377" s="34"/>
      <c r="G377" s="35"/>
      <c r="H377" s="35"/>
      <c r="I377" s="36"/>
      <c r="J377" s="35"/>
      <c r="K377" s="37"/>
      <c r="M377" s="44" t="n">
        <f aca="false">IFERROR(INDEX(PalData,MATCH(O377,PalNames,0)+1,MATCH("Image",PalData_Header,0)),)</f>
        <v>0</v>
      </c>
      <c r="N377" s="45" t="n">
        <f aca="false">IFERROR(INDEX(PalData,MATCH(O377,PalNames,0)+1,MATCH("ZukanIndex",PalData_Header,0)),)</f>
        <v>0</v>
      </c>
      <c r="O377" s="46"/>
      <c r="Q377" s="3"/>
      <c r="R377" s="3"/>
      <c r="S377" s="3"/>
      <c r="T377" s="3"/>
      <c r="U377" s="3"/>
    </row>
    <row r="378" customFormat="false" ht="15.75" hidden="false" customHeight="false" outlineLevel="0" collapsed="false">
      <c r="F378" s="39"/>
      <c r="G378" s="40"/>
      <c r="H378" s="40"/>
      <c r="I378" s="41"/>
      <c r="J378" s="40"/>
      <c r="K378" s="42"/>
      <c r="M378" s="47" t="n">
        <f aca="false">IFERROR(INDEX(PalData,MATCH(O378,PalNames,0)+1,MATCH("Image",PalData_Header,0)),)</f>
        <v>0</v>
      </c>
      <c r="N378" s="48" t="n">
        <f aca="false">IFERROR(INDEX(PalData,MATCH(O378,PalNames,0)+1,MATCH("ZukanIndex",PalData_Header,0)),)</f>
        <v>0</v>
      </c>
      <c r="O378" s="49"/>
      <c r="Q378" s="3"/>
      <c r="R378" s="3"/>
      <c r="S378" s="3"/>
      <c r="T378" s="3"/>
      <c r="U378" s="3"/>
    </row>
    <row r="379" customFormat="false" ht="15.75" hidden="false" customHeight="false" outlineLevel="0" collapsed="false">
      <c r="F379" s="34"/>
      <c r="G379" s="35"/>
      <c r="H379" s="35"/>
      <c r="I379" s="36"/>
      <c r="J379" s="35"/>
      <c r="K379" s="37"/>
      <c r="M379" s="44" t="n">
        <f aca="false">IFERROR(INDEX(PalData,MATCH(O379,PalNames,0)+1,MATCH("Image",PalData_Header,0)),)</f>
        <v>0</v>
      </c>
      <c r="N379" s="45" t="n">
        <f aca="false">IFERROR(INDEX(PalData,MATCH(O379,PalNames,0)+1,MATCH("ZukanIndex",PalData_Header,0)),)</f>
        <v>0</v>
      </c>
      <c r="O379" s="46"/>
      <c r="Q379" s="3"/>
      <c r="R379" s="3"/>
      <c r="S379" s="3"/>
      <c r="T379" s="3"/>
      <c r="U379" s="3"/>
    </row>
    <row r="380" customFormat="false" ht="15.75" hidden="false" customHeight="false" outlineLevel="0" collapsed="false">
      <c r="F380" s="39"/>
      <c r="G380" s="40"/>
      <c r="H380" s="40"/>
      <c r="I380" s="41"/>
      <c r="J380" s="40"/>
      <c r="K380" s="42"/>
      <c r="M380" s="47" t="n">
        <f aca="false">IFERROR(INDEX(PalData,MATCH(O380,PalNames,0)+1,MATCH("Image",PalData_Header,0)),)</f>
        <v>0</v>
      </c>
      <c r="N380" s="48" t="n">
        <f aca="false">IFERROR(INDEX(PalData,MATCH(O380,PalNames,0)+1,MATCH("ZukanIndex",PalData_Header,0)),)</f>
        <v>0</v>
      </c>
      <c r="O380" s="49"/>
      <c r="Q380" s="3"/>
      <c r="R380" s="3"/>
      <c r="S380" s="3"/>
      <c r="T380" s="3"/>
      <c r="U380" s="3"/>
    </row>
    <row r="381" customFormat="false" ht="15.75" hidden="false" customHeight="false" outlineLevel="0" collapsed="false">
      <c r="F381" s="34"/>
      <c r="G381" s="35"/>
      <c r="H381" s="35"/>
      <c r="I381" s="36"/>
      <c r="J381" s="35"/>
      <c r="K381" s="37"/>
      <c r="M381" s="44"/>
      <c r="N381" s="45"/>
      <c r="O381" s="46"/>
      <c r="Q381" s="3"/>
      <c r="R381" s="3"/>
      <c r="S381" s="3"/>
      <c r="T381" s="3"/>
      <c r="U381" s="3"/>
    </row>
    <row r="382" customFormat="false" ht="15.75" hidden="false" customHeight="false" outlineLevel="0" collapsed="false">
      <c r="F382" s="39"/>
      <c r="G382" s="40"/>
      <c r="H382" s="40"/>
      <c r="I382" s="41"/>
      <c r="J382" s="40"/>
      <c r="K382" s="42"/>
      <c r="M382" s="47"/>
      <c r="N382" s="48"/>
      <c r="O382" s="49"/>
      <c r="Q382" s="3"/>
      <c r="R382" s="3"/>
      <c r="S382" s="3"/>
      <c r="T382" s="3"/>
      <c r="U382" s="3"/>
    </row>
    <row r="383" customFormat="false" ht="15.75" hidden="false" customHeight="false" outlineLevel="0" collapsed="false">
      <c r="F383" s="34"/>
      <c r="G383" s="35"/>
      <c r="H383" s="35"/>
      <c r="I383" s="36"/>
      <c r="J383" s="35"/>
      <c r="K383" s="37"/>
      <c r="M383" s="44"/>
      <c r="N383" s="45"/>
      <c r="O383" s="46"/>
      <c r="Q383" s="3"/>
      <c r="R383" s="3"/>
      <c r="S383" s="3"/>
      <c r="T383" s="3"/>
      <c r="U383" s="3"/>
    </row>
    <row r="384" customFormat="false" ht="15.75" hidden="false" customHeight="false" outlineLevel="0" collapsed="false">
      <c r="F384" s="39"/>
      <c r="G384" s="40"/>
      <c r="H384" s="40"/>
      <c r="I384" s="41"/>
      <c r="J384" s="40"/>
      <c r="K384" s="42"/>
      <c r="M384" s="47"/>
      <c r="N384" s="48"/>
      <c r="O384" s="49"/>
      <c r="Q384" s="3"/>
      <c r="R384" s="3"/>
      <c r="S384" s="3"/>
      <c r="T384" s="3"/>
      <c r="U384" s="3"/>
    </row>
    <row r="385" customFormat="false" ht="15.75" hidden="false" customHeight="false" outlineLevel="0" collapsed="false">
      <c r="F385" s="34"/>
      <c r="G385" s="35"/>
      <c r="H385" s="35"/>
      <c r="I385" s="36"/>
      <c r="J385" s="35"/>
      <c r="K385" s="37"/>
      <c r="M385" s="44"/>
      <c r="N385" s="45"/>
      <c r="O385" s="46"/>
      <c r="Q385" s="3"/>
      <c r="R385" s="3"/>
      <c r="S385" s="3"/>
      <c r="T385" s="3"/>
      <c r="U385" s="3"/>
    </row>
    <row r="386" customFormat="false" ht="15.75" hidden="false" customHeight="false" outlineLevel="0" collapsed="false">
      <c r="F386" s="39"/>
      <c r="G386" s="40"/>
      <c r="H386" s="40"/>
      <c r="I386" s="41"/>
      <c r="J386" s="40"/>
      <c r="K386" s="42"/>
      <c r="M386" s="47"/>
      <c r="N386" s="48"/>
      <c r="O386" s="49"/>
      <c r="Q386" s="3"/>
      <c r="R386" s="3"/>
      <c r="S386" s="3"/>
      <c r="T386" s="3"/>
      <c r="U386" s="3"/>
    </row>
    <row r="387" customFormat="false" ht="15.75" hidden="false" customHeight="false" outlineLevel="0" collapsed="false">
      <c r="F387" s="34"/>
      <c r="G387" s="35"/>
      <c r="H387" s="35"/>
      <c r="I387" s="36"/>
      <c r="J387" s="35"/>
      <c r="K387" s="37"/>
      <c r="M387" s="44"/>
      <c r="N387" s="45"/>
      <c r="O387" s="46"/>
      <c r="Q387" s="3"/>
      <c r="R387" s="3"/>
      <c r="S387" s="3"/>
      <c r="T387" s="3"/>
      <c r="U387" s="3"/>
    </row>
    <row r="388" customFormat="false" ht="15.75" hidden="false" customHeight="false" outlineLevel="0" collapsed="false">
      <c r="F388" s="39"/>
      <c r="G388" s="40"/>
      <c r="H388" s="40"/>
      <c r="I388" s="41"/>
      <c r="J388" s="40"/>
      <c r="K388" s="42"/>
      <c r="M388" s="47"/>
      <c r="N388" s="48"/>
      <c r="O388" s="49"/>
      <c r="Q388" s="3"/>
      <c r="R388" s="3"/>
      <c r="S388" s="3"/>
      <c r="T388" s="3"/>
      <c r="U388" s="3"/>
    </row>
    <row r="389" customFormat="false" ht="15.75" hidden="false" customHeight="false" outlineLevel="0" collapsed="false">
      <c r="F389" s="34"/>
      <c r="G389" s="35"/>
      <c r="H389" s="35"/>
      <c r="I389" s="36"/>
      <c r="J389" s="35"/>
      <c r="K389" s="37"/>
      <c r="M389" s="44"/>
      <c r="N389" s="45"/>
      <c r="O389" s="46"/>
      <c r="Q389" s="3"/>
      <c r="R389" s="3"/>
      <c r="S389" s="3"/>
      <c r="T389" s="3"/>
      <c r="U389" s="3"/>
    </row>
    <row r="390" customFormat="false" ht="15.75" hidden="false" customHeight="false" outlineLevel="0" collapsed="false">
      <c r="F390" s="39"/>
      <c r="G390" s="40"/>
      <c r="H390" s="40"/>
      <c r="I390" s="41"/>
      <c r="J390" s="40"/>
      <c r="K390" s="42"/>
      <c r="M390" s="47"/>
      <c r="N390" s="48"/>
      <c r="O390" s="49"/>
      <c r="Q390" s="3"/>
      <c r="R390" s="3"/>
      <c r="S390" s="3"/>
      <c r="T390" s="3"/>
      <c r="U390" s="3"/>
    </row>
    <row r="391" customFormat="false" ht="15.75" hidden="false" customHeight="false" outlineLevel="0" collapsed="false">
      <c r="F391" s="34"/>
      <c r="G391" s="35"/>
      <c r="H391" s="35"/>
      <c r="I391" s="36"/>
      <c r="J391" s="35"/>
      <c r="K391" s="37"/>
      <c r="M391" s="44"/>
      <c r="N391" s="45"/>
      <c r="O391" s="46"/>
      <c r="Q391" s="3"/>
      <c r="R391" s="3"/>
      <c r="S391" s="3"/>
      <c r="T391" s="3"/>
      <c r="U391" s="3"/>
    </row>
    <row r="392" customFormat="false" ht="15.75" hidden="false" customHeight="false" outlineLevel="0" collapsed="false">
      <c r="F392" s="39"/>
      <c r="G392" s="40"/>
      <c r="H392" s="40"/>
      <c r="I392" s="41"/>
      <c r="J392" s="40"/>
      <c r="K392" s="42"/>
      <c r="M392" s="47"/>
      <c r="N392" s="48"/>
      <c r="O392" s="49"/>
      <c r="Q392" s="3"/>
      <c r="R392" s="3"/>
      <c r="S392" s="3"/>
      <c r="T392" s="3"/>
      <c r="U392" s="3"/>
    </row>
    <row r="393" customFormat="false" ht="15.75" hidden="false" customHeight="false" outlineLevel="0" collapsed="false">
      <c r="F393" s="34"/>
      <c r="G393" s="35"/>
      <c r="H393" s="35"/>
      <c r="I393" s="36"/>
      <c r="J393" s="35"/>
      <c r="K393" s="37"/>
      <c r="M393" s="44"/>
      <c r="N393" s="45"/>
      <c r="O393" s="46"/>
      <c r="Q393" s="3"/>
      <c r="R393" s="3"/>
      <c r="S393" s="3"/>
      <c r="T393" s="3"/>
      <c r="U393" s="3"/>
    </row>
    <row r="394" customFormat="false" ht="15.75" hidden="false" customHeight="false" outlineLevel="0" collapsed="false">
      <c r="F394" s="39"/>
      <c r="G394" s="40"/>
      <c r="H394" s="40"/>
      <c r="I394" s="41"/>
      <c r="J394" s="40"/>
      <c r="K394" s="42"/>
      <c r="M394" s="47"/>
      <c r="N394" s="48"/>
      <c r="O394" s="49"/>
      <c r="Q394" s="3"/>
      <c r="R394" s="3"/>
      <c r="S394" s="3"/>
      <c r="T394" s="3"/>
      <c r="U394" s="3"/>
    </row>
    <row r="395" customFormat="false" ht="15.75" hidden="false" customHeight="false" outlineLevel="0" collapsed="false">
      <c r="F395" s="34"/>
      <c r="G395" s="35"/>
      <c r="H395" s="35"/>
      <c r="I395" s="36"/>
      <c r="J395" s="35"/>
      <c r="K395" s="37"/>
      <c r="M395" s="44"/>
      <c r="N395" s="45"/>
      <c r="O395" s="46"/>
      <c r="Q395" s="3"/>
      <c r="R395" s="3"/>
      <c r="S395" s="3"/>
      <c r="T395" s="3"/>
      <c r="U395" s="3"/>
    </row>
    <row r="396" customFormat="false" ht="15.75" hidden="false" customHeight="false" outlineLevel="0" collapsed="false">
      <c r="F396" s="39"/>
      <c r="G396" s="40"/>
      <c r="H396" s="40"/>
      <c r="I396" s="41"/>
      <c r="J396" s="40"/>
      <c r="K396" s="42"/>
      <c r="M396" s="47"/>
      <c r="N396" s="48"/>
      <c r="O396" s="49"/>
      <c r="Q396" s="3"/>
      <c r="R396" s="3"/>
      <c r="S396" s="3"/>
      <c r="T396" s="3"/>
      <c r="U396" s="3"/>
    </row>
    <row r="397" customFormat="false" ht="15.75" hidden="false" customHeight="false" outlineLevel="0" collapsed="false">
      <c r="F397" s="34"/>
      <c r="G397" s="35"/>
      <c r="H397" s="35"/>
      <c r="I397" s="36"/>
      <c r="J397" s="35"/>
      <c r="K397" s="37"/>
      <c r="M397" s="44"/>
      <c r="N397" s="45"/>
      <c r="O397" s="46"/>
      <c r="Q397" s="3"/>
      <c r="R397" s="3"/>
      <c r="S397" s="3"/>
      <c r="T397" s="3"/>
      <c r="U397" s="3"/>
    </row>
    <row r="398" customFormat="false" ht="15.75" hidden="false" customHeight="false" outlineLevel="0" collapsed="false">
      <c r="F398" s="39"/>
      <c r="G398" s="40"/>
      <c r="H398" s="40"/>
      <c r="I398" s="41"/>
      <c r="J398" s="40"/>
      <c r="K398" s="42"/>
      <c r="M398" s="47"/>
      <c r="N398" s="48"/>
      <c r="O398" s="49"/>
      <c r="Q398" s="3"/>
      <c r="R398" s="3"/>
      <c r="S398" s="3"/>
      <c r="T398" s="3"/>
      <c r="U398" s="3"/>
    </row>
    <row r="399" customFormat="false" ht="15.75" hidden="false" customHeight="false" outlineLevel="0" collapsed="false">
      <c r="F399" s="34"/>
      <c r="G399" s="35"/>
      <c r="H399" s="35"/>
      <c r="I399" s="36"/>
      <c r="J399" s="35"/>
      <c r="K399" s="37"/>
      <c r="M399" s="44"/>
      <c r="N399" s="45"/>
      <c r="O399" s="46"/>
      <c r="Q399" s="3"/>
      <c r="R399" s="3"/>
      <c r="S399" s="3"/>
      <c r="T399" s="3"/>
      <c r="U399" s="3"/>
    </row>
    <row r="400" customFormat="false" ht="15.75" hidden="false" customHeight="false" outlineLevel="0" collapsed="false">
      <c r="F400" s="39"/>
      <c r="G400" s="40"/>
      <c r="H400" s="40"/>
      <c r="I400" s="41"/>
      <c r="J400" s="40"/>
      <c r="K400" s="42"/>
      <c r="M400" s="47"/>
      <c r="N400" s="48"/>
      <c r="O400" s="49"/>
      <c r="Q400" s="3"/>
      <c r="R400" s="3"/>
      <c r="S400" s="3"/>
      <c r="T400" s="3"/>
      <c r="U400" s="3"/>
    </row>
    <row r="401" customFormat="false" ht="15.75" hidden="false" customHeight="false" outlineLevel="0" collapsed="false">
      <c r="F401" s="34"/>
      <c r="G401" s="35"/>
      <c r="H401" s="35"/>
      <c r="I401" s="36"/>
      <c r="J401" s="35"/>
      <c r="K401" s="37"/>
      <c r="M401" s="44"/>
      <c r="N401" s="45"/>
      <c r="O401" s="46"/>
      <c r="Q401" s="3"/>
      <c r="R401" s="3"/>
      <c r="S401" s="3"/>
      <c r="T401" s="3"/>
      <c r="U401" s="3"/>
    </row>
    <row r="402" customFormat="false" ht="15.75" hidden="false" customHeight="false" outlineLevel="0" collapsed="false">
      <c r="F402" s="39"/>
      <c r="G402" s="40"/>
      <c r="H402" s="40"/>
      <c r="I402" s="41"/>
      <c r="J402" s="40"/>
      <c r="K402" s="42"/>
      <c r="M402" s="47"/>
      <c r="N402" s="48"/>
      <c r="O402" s="49"/>
      <c r="Q402" s="3"/>
      <c r="R402" s="3"/>
      <c r="S402" s="3"/>
      <c r="T402" s="3"/>
      <c r="U402" s="3"/>
    </row>
    <row r="403" customFormat="false" ht="15.75" hidden="false" customHeight="false" outlineLevel="0" collapsed="false">
      <c r="F403" s="34"/>
      <c r="G403" s="35"/>
      <c r="H403" s="35"/>
      <c r="I403" s="36"/>
      <c r="J403" s="35"/>
      <c r="K403" s="37"/>
      <c r="M403" s="44"/>
      <c r="N403" s="45"/>
      <c r="O403" s="46"/>
      <c r="Q403" s="3"/>
      <c r="R403" s="3"/>
      <c r="S403" s="3"/>
      <c r="T403" s="3"/>
      <c r="U403" s="3"/>
    </row>
    <row r="404" customFormat="false" ht="15.75" hidden="false" customHeight="false" outlineLevel="0" collapsed="false">
      <c r="F404" s="39"/>
      <c r="G404" s="40"/>
      <c r="H404" s="40"/>
      <c r="I404" s="41"/>
      <c r="J404" s="40"/>
      <c r="K404" s="42"/>
      <c r="M404" s="47"/>
      <c r="N404" s="48"/>
      <c r="O404" s="49"/>
      <c r="Q404" s="3"/>
      <c r="R404" s="3"/>
      <c r="S404" s="3"/>
      <c r="T404" s="3"/>
      <c r="U404" s="3"/>
    </row>
    <row r="405" customFormat="false" ht="15.75" hidden="false" customHeight="false" outlineLevel="0" collapsed="false">
      <c r="F405" s="34"/>
      <c r="G405" s="35"/>
      <c r="H405" s="35"/>
      <c r="I405" s="36"/>
      <c r="J405" s="35"/>
      <c r="K405" s="37"/>
      <c r="M405" s="44"/>
      <c r="N405" s="45"/>
      <c r="O405" s="46"/>
      <c r="Q405" s="3"/>
      <c r="R405" s="3"/>
      <c r="S405" s="3"/>
      <c r="T405" s="3"/>
      <c r="U405" s="3"/>
    </row>
    <row r="406" customFormat="false" ht="15.75" hidden="false" customHeight="false" outlineLevel="0" collapsed="false">
      <c r="F406" s="39"/>
      <c r="G406" s="40"/>
      <c r="H406" s="40"/>
      <c r="I406" s="41"/>
      <c r="J406" s="40"/>
      <c r="K406" s="42"/>
      <c r="M406" s="47"/>
      <c r="N406" s="48"/>
      <c r="O406" s="49"/>
      <c r="Q406" s="3"/>
      <c r="R406" s="3"/>
      <c r="S406" s="3"/>
      <c r="T406" s="3"/>
      <c r="U406" s="3"/>
    </row>
    <row r="407" customFormat="false" ht="15.75" hidden="false" customHeight="false" outlineLevel="0" collapsed="false">
      <c r="F407" s="34"/>
      <c r="G407" s="35"/>
      <c r="H407" s="35"/>
      <c r="I407" s="36"/>
      <c r="J407" s="35"/>
      <c r="K407" s="37"/>
      <c r="M407" s="44"/>
      <c r="N407" s="45"/>
      <c r="O407" s="46"/>
      <c r="Q407" s="3"/>
      <c r="R407" s="3"/>
      <c r="S407" s="3"/>
      <c r="T407" s="3"/>
      <c r="U407" s="3"/>
    </row>
    <row r="408" customFormat="false" ht="15.75" hidden="false" customHeight="false" outlineLevel="0" collapsed="false">
      <c r="F408" s="39"/>
      <c r="G408" s="40"/>
      <c r="H408" s="40"/>
      <c r="I408" s="41"/>
      <c r="J408" s="40"/>
      <c r="K408" s="42"/>
      <c r="M408" s="47"/>
      <c r="N408" s="48"/>
      <c r="O408" s="49"/>
      <c r="Q408" s="3"/>
      <c r="R408" s="3"/>
      <c r="S408" s="3"/>
      <c r="T408" s="3"/>
      <c r="U408" s="3"/>
    </row>
    <row r="409" customFormat="false" ht="15.75" hidden="false" customHeight="false" outlineLevel="0" collapsed="false">
      <c r="F409" s="34"/>
      <c r="G409" s="35"/>
      <c r="H409" s="35"/>
      <c r="I409" s="36"/>
      <c r="J409" s="35"/>
      <c r="K409" s="37"/>
      <c r="M409" s="44"/>
      <c r="N409" s="45"/>
      <c r="O409" s="46"/>
      <c r="Q409" s="3"/>
      <c r="R409" s="3"/>
      <c r="S409" s="3"/>
      <c r="T409" s="3"/>
      <c r="U409" s="3"/>
    </row>
    <row r="410" customFormat="false" ht="15.75" hidden="false" customHeight="false" outlineLevel="0" collapsed="false">
      <c r="F410" s="39"/>
      <c r="G410" s="40"/>
      <c r="H410" s="40"/>
      <c r="I410" s="41"/>
      <c r="J410" s="40"/>
      <c r="K410" s="42"/>
      <c r="M410" s="47"/>
      <c r="N410" s="48"/>
      <c r="O410" s="49"/>
      <c r="Q410" s="3"/>
      <c r="R410" s="3"/>
      <c r="S410" s="3"/>
      <c r="T410" s="3"/>
      <c r="U410" s="3"/>
    </row>
    <row r="411" customFormat="false" ht="15.75" hidden="false" customHeight="false" outlineLevel="0" collapsed="false">
      <c r="F411" s="34"/>
      <c r="G411" s="35"/>
      <c r="H411" s="35"/>
      <c r="I411" s="36"/>
      <c r="J411" s="35"/>
      <c r="K411" s="37"/>
      <c r="M411" s="44"/>
      <c r="N411" s="45"/>
      <c r="O411" s="46"/>
      <c r="Q411" s="3"/>
      <c r="R411" s="3"/>
      <c r="S411" s="3"/>
      <c r="T411" s="3"/>
      <c r="U411" s="3"/>
    </row>
    <row r="412" customFormat="false" ht="15.75" hidden="false" customHeight="false" outlineLevel="0" collapsed="false">
      <c r="F412" s="39"/>
      <c r="G412" s="40"/>
      <c r="H412" s="40"/>
      <c r="I412" s="41"/>
      <c r="J412" s="40"/>
      <c r="K412" s="42"/>
      <c r="M412" s="47"/>
      <c r="N412" s="48"/>
      <c r="O412" s="49"/>
      <c r="Q412" s="3"/>
      <c r="R412" s="3"/>
      <c r="S412" s="3"/>
      <c r="T412" s="3"/>
      <c r="U412" s="3"/>
    </row>
    <row r="413" customFormat="false" ht="15.75" hidden="false" customHeight="false" outlineLevel="0" collapsed="false">
      <c r="F413" s="34"/>
      <c r="G413" s="35"/>
      <c r="H413" s="35"/>
      <c r="I413" s="36"/>
      <c r="J413" s="35"/>
      <c r="K413" s="37"/>
      <c r="M413" s="44"/>
      <c r="N413" s="45"/>
      <c r="O413" s="46"/>
      <c r="Q413" s="3"/>
      <c r="R413" s="3"/>
      <c r="S413" s="3"/>
      <c r="T413" s="3"/>
      <c r="U413" s="3"/>
    </row>
    <row r="414" customFormat="false" ht="15.75" hidden="false" customHeight="false" outlineLevel="0" collapsed="false">
      <c r="F414" s="39"/>
      <c r="G414" s="40"/>
      <c r="H414" s="40"/>
      <c r="I414" s="41"/>
      <c r="J414" s="40"/>
      <c r="K414" s="42"/>
      <c r="M414" s="47"/>
      <c r="N414" s="48"/>
      <c r="O414" s="49"/>
      <c r="Q414" s="3"/>
      <c r="R414" s="3"/>
      <c r="S414" s="3"/>
      <c r="T414" s="3"/>
      <c r="U414" s="3"/>
    </row>
    <row r="415" customFormat="false" ht="15.75" hidden="false" customHeight="false" outlineLevel="0" collapsed="false">
      <c r="F415" s="34"/>
      <c r="G415" s="35"/>
      <c r="H415" s="35"/>
      <c r="I415" s="36"/>
      <c r="J415" s="35"/>
      <c r="K415" s="37"/>
      <c r="M415" s="44"/>
      <c r="N415" s="45"/>
      <c r="O415" s="46"/>
      <c r="Q415" s="3"/>
      <c r="R415" s="3"/>
      <c r="S415" s="3"/>
      <c r="T415" s="3"/>
      <c r="U415" s="3"/>
    </row>
    <row r="416" customFormat="false" ht="15.75" hidden="false" customHeight="false" outlineLevel="0" collapsed="false">
      <c r="F416" s="39"/>
      <c r="G416" s="40"/>
      <c r="H416" s="40"/>
      <c r="I416" s="41"/>
      <c r="J416" s="40"/>
      <c r="K416" s="42"/>
      <c r="M416" s="47"/>
      <c r="N416" s="48"/>
      <c r="O416" s="49"/>
      <c r="Q416" s="3"/>
      <c r="R416" s="3"/>
      <c r="S416" s="3"/>
      <c r="T416" s="3"/>
      <c r="U416" s="3"/>
    </row>
    <row r="417" customFormat="false" ht="15.75" hidden="false" customHeight="false" outlineLevel="0" collapsed="false">
      <c r="F417" s="34"/>
      <c r="G417" s="35"/>
      <c r="H417" s="35"/>
      <c r="I417" s="36"/>
      <c r="J417" s="35"/>
      <c r="K417" s="37"/>
      <c r="M417" s="44"/>
      <c r="N417" s="45"/>
      <c r="O417" s="46"/>
      <c r="Q417" s="3"/>
      <c r="R417" s="3"/>
      <c r="S417" s="3"/>
      <c r="T417" s="3"/>
      <c r="U417" s="3"/>
    </row>
    <row r="418" customFormat="false" ht="15.75" hidden="false" customHeight="false" outlineLevel="0" collapsed="false">
      <c r="F418" s="39"/>
      <c r="G418" s="40"/>
      <c r="H418" s="40"/>
      <c r="I418" s="41"/>
      <c r="J418" s="40"/>
      <c r="K418" s="42"/>
      <c r="M418" s="47"/>
      <c r="N418" s="48"/>
      <c r="O418" s="49"/>
      <c r="Q418" s="3"/>
      <c r="R418" s="3"/>
      <c r="S418" s="3"/>
      <c r="T418" s="3"/>
      <c r="U418" s="3"/>
    </row>
    <row r="419" customFormat="false" ht="15.75" hidden="false" customHeight="false" outlineLevel="0" collapsed="false">
      <c r="F419" s="34"/>
      <c r="G419" s="35"/>
      <c r="H419" s="35"/>
      <c r="I419" s="36"/>
      <c r="J419" s="35"/>
      <c r="K419" s="37"/>
      <c r="M419" s="44"/>
      <c r="N419" s="45"/>
      <c r="O419" s="46"/>
      <c r="Q419" s="3"/>
      <c r="R419" s="3"/>
      <c r="S419" s="3"/>
      <c r="T419" s="3"/>
      <c r="U419" s="3"/>
    </row>
    <row r="420" customFormat="false" ht="15.75" hidden="false" customHeight="false" outlineLevel="0" collapsed="false">
      <c r="F420" s="39"/>
      <c r="G420" s="40"/>
      <c r="H420" s="40"/>
      <c r="I420" s="41"/>
      <c r="J420" s="40"/>
      <c r="K420" s="42"/>
      <c r="M420" s="47"/>
      <c r="N420" s="48"/>
      <c r="O420" s="49"/>
      <c r="Q420" s="3"/>
      <c r="R420" s="3"/>
      <c r="S420" s="3"/>
      <c r="T420" s="3"/>
      <c r="U420" s="3"/>
    </row>
    <row r="421" customFormat="false" ht="15.75" hidden="false" customHeight="false" outlineLevel="0" collapsed="false">
      <c r="F421" s="34"/>
      <c r="G421" s="35"/>
      <c r="H421" s="35"/>
      <c r="I421" s="36"/>
      <c r="J421" s="35"/>
      <c r="K421" s="37"/>
      <c r="M421" s="44"/>
      <c r="N421" s="45"/>
      <c r="O421" s="46"/>
      <c r="Q421" s="3"/>
      <c r="R421" s="3"/>
      <c r="S421" s="3"/>
      <c r="T421" s="3"/>
      <c r="U421" s="3"/>
    </row>
    <row r="422" customFormat="false" ht="15.75" hidden="false" customHeight="false" outlineLevel="0" collapsed="false">
      <c r="F422" s="39"/>
      <c r="G422" s="40"/>
      <c r="H422" s="40"/>
      <c r="I422" s="41"/>
      <c r="J422" s="40"/>
      <c r="K422" s="42"/>
      <c r="M422" s="47"/>
      <c r="N422" s="48"/>
      <c r="O422" s="49"/>
      <c r="Q422" s="3"/>
      <c r="R422" s="3"/>
      <c r="S422" s="3"/>
      <c r="T422" s="3"/>
      <c r="U422" s="3"/>
    </row>
    <row r="423" customFormat="false" ht="15.75" hidden="false" customHeight="false" outlineLevel="0" collapsed="false">
      <c r="F423" s="34"/>
      <c r="G423" s="35"/>
      <c r="H423" s="35"/>
      <c r="I423" s="36"/>
      <c r="J423" s="35"/>
      <c r="K423" s="37"/>
      <c r="M423" s="44"/>
      <c r="N423" s="45"/>
      <c r="O423" s="46"/>
      <c r="Q423" s="3"/>
      <c r="R423" s="3"/>
      <c r="S423" s="3"/>
      <c r="T423" s="3"/>
      <c r="U423" s="3"/>
    </row>
    <row r="424" customFormat="false" ht="15.75" hidden="false" customHeight="false" outlineLevel="0" collapsed="false">
      <c r="F424" s="39"/>
      <c r="G424" s="40"/>
      <c r="H424" s="40"/>
      <c r="I424" s="41"/>
      <c r="J424" s="40"/>
      <c r="K424" s="42"/>
      <c r="M424" s="47"/>
      <c r="N424" s="48"/>
      <c r="O424" s="49"/>
      <c r="Q424" s="3"/>
      <c r="R424" s="3"/>
      <c r="S424" s="3"/>
      <c r="T424" s="3"/>
      <c r="U424" s="3"/>
    </row>
    <row r="425" customFormat="false" ht="15.75" hidden="false" customHeight="false" outlineLevel="0" collapsed="false">
      <c r="F425" s="34"/>
      <c r="G425" s="35"/>
      <c r="H425" s="35"/>
      <c r="I425" s="36"/>
      <c r="J425" s="35"/>
      <c r="K425" s="37"/>
      <c r="M425" s="44"/>
      <c r="N425" s="45"/>
      <c r="O425" s="46"/>
      <c r="Q425" s="3"/>
      <c r="R425" s="3"/>
      <c r="S425" s="3"/>
      <c r="T425" s="3"/>
      <c r="U425" s="3"/>
    </row>
    <row r="426" customFormat="false" ht="15.75" hidden="false" customHeight="false" outlineLevel="0" collapsed="false">
      <c r="F426" s="39"/>
      <c r="G426" s="40"/>
      <c r="H426" s="40"/>
      <c r="I426" s="41"/>
      <c r="J426" s="40"/>
      <c r="K426" s="42"/>
      <c r="M426" s="47"/>
      <c r="N426" s="48"/>
      <c r="O426" s="49"/>
      <c r="Q426" s="3"/>
      <c r="R426" s="3"/>
      <c r="S426" s="3"/>
      <c r="T426" s="3"/>
      <c r="U426" s="3"/>
    </row>
    <row r="427" customFormat="false" ht="15.75" hidden="false" customHeight="false" outlineLevel="0" collapsed="false">
      <c r="F427" s="34"/>
      <c r="G427" s="35"/>
      <c r="H427" s="35"/>
      <c r="I427" s="36"/>
      <c r="J427" s="35"/>
      <c r="K427" s="37"/>
      <c r="M427" s="44"/>
      <c r="N427" s="45"/>
      <c r="O427" s="46"/>
      <c r="Q427" s="3"/>
      <c r="R427" s="3"/>
      <c r="S427" s="3"/>
      <c r="T427" s="3"/>
      <c r="U427" s="3"/>
    </row>
    <row r="428" customFormat="false" ht="15.75" hidden="false" customHeight="false" outlineLevel="0" collapsed="false">
      <c r="F428" s="39"/>
      <c r="G428" s="40"/>
      <c r="H428" s="40"/>
      <c r="I428" s="41"/>
      <c r="J428" s="40"/>
      <c r="K428" s="42"/>
      <c r="M428" s="47"/>
      <c r="N428" s="48"/>
      <c r="O428" s="49"/>
      <c r="Q428" s="3"/>
      <c r="R428" s="3"/>
      <c r="S428" s="3"/>
      <c r="T428" s="3"/>
      <c r="U428" s="3"/>
    </row>
    <row r="429" customFormat="false" ht="15.75" hidden="false" customHeight="false" outlineLevel="0" collapsed="false">
      <c r="F429" s="34"/>
      <c r="G429" s="35"/>
      <c r="H429" s="35"/>
      <c r="I429" s="36"/>
      <c r="J429" s="35"/>
      <c r="K429" s="37"/>
      <c r="M429" s="44"/>
      <c r="N429" s="45"/>
      <c r="O429" s="46"/>
      <c r="Q429" s="3"/>
      <c r="R429" s="3"/>
      <c r="S429" s="3"/>
      <c r="T429" s="3"/>
      <c r="U429" s="3"/>
    </row>
    <row r="430" customFormat="false" ht="15.75" hidden="false" customHeight="false" outlineLevel="0" collapsed="false">
      <c r="F430" s="39"/>
      <c r="G430" s="40"/>
      <c r="H430" s="40"/>
      <c r="I430" s="41"/>
      <c r="J430" s="40"/>
      <c r="K430" s="42"/>
      <c r="M430" s="47"/>
      <c r="N430" s="48"/>
      <c r="O430" s="49"/>
      <c r="Q430" s="3"/>
      <c r="R430" s="3"/>
      <c r="S430" s="3"/>
      <c r="T430" s="3"/>
      <c r="U430" s="3"/>
    </row>
    <row r="431" customFormat="false" ht="15.75" hidden="false" customHeight="false" outlineLevel="0" collapsed="false">
      <c r="F431" s="34"/>
      <c r="G431" s="35"/>
      <c r="H431" s="35"/>
      <c r="I431" s="36"/>
      <c r="J431" s="35"/>
      <c r="K431" s="37"/>
      <c r="M431" s="44"/>
      <c r="N431" s="45"/>
      <c r="O431" s="46"/>
      <c r="Q431" s="3"/>
      <c r="R431" s="3"/>
      <c r="S431" s="3"/>
      <c r="T431" s="3"/>
      <c r="U431" s="3"/>
    </row>
    <row r="432" customFormat="false" ht="15.75" hidden="false" customHeight="false" outlineLevel="0" collapsed="false">
      <c r="F432" s="39"/>
      <c r="G432" s="40"/>
      <c r="H432" s="40"/>
      <c r="I432" s="41"/>
      <c r="J432" s="40"/>
      <c r="K432" s="42"/>
      <c r="M432" s="47"/>
      <c r="N432" s="48"/>
      <c r="O432" s="49"/>
      <c r="Q432" s="3"/>
      <c r="R432" s="3"/>
      <c r="S432" s="3"/>
      <c r="T432" s="3"/>
      <c r="U432" s="3"/>
    </row>
    <row r="433" customFormat="false" ht="15.75" hidden="false" customHeight="false" outlineLevel="0" collapsed="false">
      <c r="F433" s="34"/>
      <c r="G433" s="35"/>
      <c r="H433" s="35"/>
      <c r="I433" s="36"/>
      <c r="J433" s="35"/>
      <c r="K433" s="37"/>
      <c r="M433" s="44"/>
      <c r="N433" s="45"/>
      <c r="O433" s="46"/>
      <c r="Q433" s="3"/>
      <c r="R433" s="3"/>
      <c r="S433" s="3"/>
      <c r="T433" s="3"/>
      <c r="U433" s="3"/>
    </row>
    <row r="434" customFormat="false" ht="15.75" hidden="false" customHeight="false" outlineLevel="0" collapsed="false">
      <c r="F434" s="39"/>
      <c r="G434" s="40"/>
      <c r="H434" s="40"/>
      <c r="I434" s="41"/>
      <c r="J434" s="40"/>
      <c r="K434" s="42"/>
      <c r="M434" s="47"/>
      <c r="N434" s="48"/>
      <c r="O434" s="49"/>
      <c r="Q434" s="3"/>
      <c r="R434" s="3"/>
      <c r="S434" s="3"/>
      <c r="T434" s="3"/>
      <c r="U434" s="3"/>
    </row>
    <row r="435" customFormat="false" ht="15.75" hidden="false" customHeight="false" outlineLevel="0" collapsed="false">
      <c r="F435" s="34"/>
      <c r="G435" s="35"/>
      <c r="H435" s="35"/>
      <c r="I435" s="36"/>
      <c r="J435" s="35"/>
      <c r="K435" s="37"/>
      <c r="M435" s="44"/>
      <c r="N435" s="45"/>
      <c r="O435" s="46"/>
      <c r="Q435" s="3"/>
      <c r="R435" s="3"/>
      <c r="S435" s="3"/>
      <c r="T435" s="3"/>
      <c r="U435" s="3"/>
    </row>
    <row r="436" customFormat="false" ht="15.75" hidden="false" customHeight="false" outlineLevel="0" collapsed="false">
      <c r="F436" s="39"/>
      <c r="G436" s="40"/>
      <c r="H436" s="40"/>
      <c r="I436" s="41"/>
      <c r="J436" s="40"/>
      <c r="K436" s="42"/>
      <c r="M436" s="47"/>
      <c r="N436" s="48"/>
      <c r="O436" s="49"/>
      <c r="Q436" s="3"/>
      <c r="R436" s="3"/>
      <c r="S436" s="3"/>
      <c r="T436" s="3"/>
      <c r="U436" s="3"/>
    </row>
    <row r="437" customFormat="false" ht="15.75" hidden="false" customHeight="false" outlineLevel="0" collapsed="false">
      <c r="F437" s="34"/>
      <c r="G437" s="35"/>
      <c r="H437" s="35"/>
      <c r="I437" s="36"/>
      <c r="J437" s="35"/>
      <c r="K437" s="37"/>
      <c r="M437" s="44"/>
      <c r="N437" s="45"/>
      <c r="O437" s="46"/>
      <c r="Q437" s="3"/>
      <c r="R437" s="3"/>
      <c r="S437" s="3"/>
      <c r="T437" s="3"/>
      <c r="U437" s="3"/>
    </row>
    <row r="438" customFormat="false" ht="15.75" hidden="false" customHeight="false" outlineLevel="0" collapsed="false">
      <c r="F438" s="39"/>
      <c r="G438" s="40"/>
      <c r="H438" s="40"/>
      <c r="I438" s="41"/>
      <c r="J438" s="40"/>
      <c r="K438" s="42"/>
      <c r="M438" s="47"/>
      <c r="N438" s="48"/>
      <c r="O438" s="49"/>
      <c r="Q438" s="3"/>
      <c r="R438" s="3"/>
      <c r="S438" s="3"/>
      <c r="T438" s="3"/>
      <c r="U438" s="3"/>
    </row>
    <row r="439" customFormat="false" ht="15.75" hidden="false" customHeight="false" outlineLevel="0" collapsed="false">
      <c r="F439" s="34"/>
      <c r="G439" s="35"/>
      <c r="H439" s="35"/>
      <c r="I439" s="36"/>
      <c r="J439" s="35"/>
      <c r="K439" s="37"/>
      <c r="M439" s="44"/>
      <c r="N439" s="45"/>
      <c r="O439" s="46"/>
      <c r="Q439" s="3"/>
      <c r="R439" s="3"/>
      <c r="S439" s="3"/>
      <c r="T439" s="3"/>
      <c r="U439" s="3"/>
    </row>
    <row r="440" customFormat="false" ht="15.75" hidden="false" customHeight="false" outlineLevel="0" collapsed="false">
      <c r="F440" s="39"/>
      <c r="G440" s="40"/>
      <c r="H440" s="40"/>
      <c r="I440" s="41"/>
      <c r="J440" s="40"/>
      <c r="K440" s="42"/>
      <c r="M440" s="47"/>
      <c r="N440" s="48"/>
      <c r="O440" s="49"/>
      <c r="Q440" s="3"/>
      <c r="R440" s="3"/>
      <c r="S440" s="3"/>
      <c r="T440" s="3"/>
      <c r="U440" s="3"/>
    </row>
    <row r="441" customFormat="false" ht="15.75" hidden="false" customHeight="false" outlineLevel="0" collapsed="false">
      <c r="F441" s="34"/>
      <c r="G441" s="35"/>
      <c r="H441" s="35"/>
      <c r="I441" s="36"/>
      <c r="J441" s="35"/>
      <c r="K441" s="37"/>
      <c r="M441" s="44"/>
      <c r="N441" s="45"/>
      <c r="O441" s="46"/>
      <c r="Q441" s="3"/>
      <c r="R441" s="3"/>
      <c r="S441" s="3"/>
      <c r="T441" s="3"/>
      <c r="U441" s="3"/>
    </row>
    <row r="442" customFormat="false" ht="15.75" hidden="false" customHeight="false" outlineLevel="0" collapsed="false">
      <c r="F442" s="39"/>
      <c r="G442" s="40"/>
      <c r="H442" s="40"/>
      <c r="I442" s="41"/>
      <c r="J442" s="40"/>
      <c r="K442" s="42"/>
      <c r="M442" s="47"/>
      <c r="N442" s="48"/>
      <c r="O442" s="49"/>
      <c r="Q442" s="3"/>
      <c r="R442" s="3"/>
      <c r="S442" s="3"/>
      <c r="T442" s="3"/>
      <c r="U442" s="3"/>
    </row>
    <row r="443" customFormat="false" ht="15.75" hidden="false" customHeight="false" outlineLevel="0" collapsed="false">
      <c r="F443" s="34"/>
      <c r="G443" s="35"/>
      <c r="H443" s="35"/>
      <c r="I443" s="36"/>
      <c r="J443" s="35"/>
      <c r="K443" s="37"/>
      <c r="M443" s="44"/>
      <c r="N443" s="45"/>
      <c r="O443" s="46"/>
      <c r="Q443" s="3"/>
      <c r="R443" s="3"/>
      <c r="S443" s="3"/>
      <c r="T443" s="3"/>
      <c r="U443" s="3"/>
    </row>
    <row r="444" customFormat="false" ht="15.75" hidden="false" customHeight="false" outlineLevel="0" collapsed="false">
      <c r="F444" s="39"/>
      <c r="G444" s="40"/>
      <c r="H444" s="40"/>
      <c r="I444" s="41"/>
      <c r="J444" s="40"/>
      <c r="K444" s="42"/>
      <c r="M444" s="47"/>
      <c r="N444" s="48"/>
      <c r="O444" s="49"/>
      <c r="Q444" s="3"/>
      <c r="R444" s="3"/>
      <c r="S444" s="3"/>
      <c r="T444" s="3"/>
      <c r="U444" s="3"/>
    </row>
    <row r="445" customFormat="false" ht="15.75" hidden="false" customHeight="false" outlineLevel="0" collapsed="false">
      <c r="F445" s="34"/>
      <c r="G445" s="35"/>
      <c r="H445" s="35"/>
      <c r="I445" s="36"/>
      <c r="J445" s="35"/>
      <c r="K445" s="37"/>
      <c r="M445" s="44"/>
      <c r="N445" s="45"/>
      <c r="O445" s="46"/>
      <c r="Q445" s="3"/>
      <c r="R445" s="3"/>
      <c r="S445" s="3"/>
      <c r="T445" s="3"/>
      <c r="U445" s="3"/>
    </row>
    <row r="446" customFormat="false" ht="15.75" hidden="false" customHeight="false" outlineLevel="0" collapsed="false">
      <c r="F446" s="39"/>
      <c r="G446" s="40"/>
      <c r="H446" s="40"/>
      <c r="I446" s="41"/>
      <c r="J446" s="40"/>
      <c r="K446" s="42"/>
      <c r="M446" s="47"/>
      <c r="N446" s="48"/>
      <c r="O446" s="49"/>
      <c r="Q446" s="3"/>
      <c r="R446" s="3"/>
      <c r="S446" s="3"/>
      <c r="T446" s="3"/>
      <c r="U446" s="3"/>
    </row>
    <row r="447" customFormat="false" ht="15.75" hidden="false" customHeight="false" outlineLevel="0" collapsed="false">
      <c r="F447" s="34"/>
      <c r="G447" s="35"/>
      <c r="H447" s="35"/>
      <c r="I447" s="36"/>
      <c r="J447" s="35"/>
      <c r="K447" s="37"/>
      <c r="M447" s="44"/>
      <c r="N447" s="45"/>
      <c r="O447" s="46"/>
      <c r="Q447" s="3"/>
      <c r="R447" s="3"/>
      <c r="S447" s="3"/>
      <c r="T447" s="3"/>
      <c r="U447" s="3"/>
    </row>
    <row r="448" customFormat="false" ht="15.75" hidden="false" customHeight="false" outlineLevel="0" collapsed="false">
      <c r="F448" s="39"/>
      <c r="G448" s="40"/>
      <c r="H448" s="40"/>
      <c r="I448" s="41"/>
      <c r="J448" s="40"/>
      <c r="K448" s="42"/>
      <c r="M448" s="47"/>
      <c r="N448" s="48"/>
      <c r="O448" s="49"/>
      <c r="Q448" s="3"/>
      <c r="R448" s="3"/>
      <c r="S448" s="3"/>
      <c r="T448" s="3"/>
      <c r="U448" s="3"/>
    </row>
    <row r="449" customFormat="false" ht="15.75" hidden="false" customHeight="false" outlineLevel="0" collapsed="false">
      <c r="F449" s="34"/>
      <c r="G449" s="35"/>
      <c r="H449" s="35"/>
      <c r="I449" s="36"/>
      <c r="J449" s="35"/>
      <c r="K449" s="37"/>
      <c r="M449" s="44"/>
      <c r="N449" s="45"/>
      <c r="O449" s="46"/>
      <c r="Q449" s="3"/>
      <c r="R449" s="3"/>
      <c r="S449" s="3"/>
      <c r="T449" s="3"/>
      <c r="U449" s="3"/>
    </row>
    <row r="450" customFormat="false" ht="15.75" hidden="false" customHeight="false" outlineLevel="0" collapsed="false">
      <c r="F450" s="39"/>
      <c r="G450" s="40"/>
      <c r="H450" s="40"/>
      <c r="I450" s="41"/>
      <c r="J450" s="40"/>
      <c r="K450" s="42"/>
      <c r="M450" s="47"/>
      <c r="N450" s="48"/>
      <c r="O450" s="49"/>
      <c r="Q450" s="3"/>
      <c r="R450" s="3"/>
      <c r="S450" s="3"/>
      <c r="T450" s="3"/>
      <c r="U450" s="3"/>
    </row>
    <row r="451" customFormat="false" ht="15.75" hidden="false" customHeight="false" outlineLevel="0" collapsed="false">
      <c r="F451" s="34"/>
      <c r="G451" s="35"/>
      <c r="H451" s="35"/>
      <c r="I451" s="36"/>
      <c r="J451" s="35"/>
      <c r="K451" s="37"/>
      <c r="M451" s="44"/>
      <c r="N451" s="45"/>
      <c r="O451" s="46"/>
      <c r="Q451" s="3"/>
      <c r="R451" s="3"/>
      <c r="S451" s="3"/>
      <c r="T451" s="3"/>
      <c r="U451" s="3"/>
    </row>
    <row r="452" customFormat="false" ht="15.75" hidden="false" customHeight="false" outlineLevel="0" collapsed="false">
      <c r="F452" s="39"/>
      <c r="G452" s="40"/>
      <c r="H452" s="40"/>
      <c r="I452" s="41"/>
      <c r="J452" s="40"/>
      <c r="K452" s="42"/>
      <c r="M452" s="47"/>
      <c r="N452" s="48"/>
      <c r="O452" s="49"/>
      <c r="Q452" s="3"/>
      <c r="R452" s="3"/>
      <c r="S452" s="3"/>
      <c r="T452" s="3"/>
      <c r="U452" s="3"/>
    </row>
    <row r="453" customFormat="false" ht="15.75" hidden="false" customHeight="false" outlineLevel="0" collapsed="false">
      <c r="F453" s="34"/>
      <c r="G453" s="35"/>
      <c r="H453" s="35"/>
      <c r="I453" s="36"/>
      <c r="J453" s="35"/>
      <c r="K453" s="37"/>
      <c r="M453" s="44"/>
      <c r="N453" s="45"/>
      <c r="O453" s="46"/>
      <c r="Q453" s="3"/>
      <c r="R453" s="3"/>
      <c r="S453" s="3"/>
      <c r="T453" s="3"/>
      <c r="U453" s="3"/>
    </row>
    <row r="454" customFormat="false" ht="15.75" hidden="false" customHeight="false" outlineLevel="0" collapsed="false">
      <c r="F454" s="39"/>
      <c r="G454" s="40"/>
      <c r="H454" s="40"/>
      <c r="I454" s="41"/>
      <c r="J454" s="40"/>
      <c r="K454" s="42"/>
      <c r="M454" s="47"/>
      <c r="N454" s="48"/>
      <c r="O454" s="49"/>
      <c r="Q454" s="3"/>
      <c r="R454" s="3"/>
      <c r="S454" s="3"/>
      <c r="T454" s="3"/>
      <c r="U454" s="3"/>
    </row>
    <row r="455" customFormat="false" ht="15.75" hidden="false" customHeight="false" outlineLevel="0" collapsed="false">
      <c r="F455" s="34"/>
      <c r="G455" s="35"/>
      <c r="H455" s="35"/>
      <c r="I455" s="36"/>
      <c r="J455" s="35"/>
      <c r="K455" s="37"/>
      <c r="M455" s="44"/>
      <c r="N455" s="45"/>
      <c r="O455" s="46"/>
      <c r="Q455" s="3"/>
      <c r="R455" s="3"/>
      <c r="S455" s="3"/>
      <c r="T455" s="3"/>
      <c r="U455" s="3"/>
    </row>
    <row r="456" customFormat="false" ht="15.75" hidden="false" customHeight="false" outlineLevel="0" collapsed="false">
      <c r="F456" s="39"/>
      <c r="G456" s="40"/>
      <c r="H456" s="40"/>
      <c r="I456" s="41"/>
      <c r="J456" s="40"/>
      <c r="K456" s="42"/>
      <c r="M456" s="47"/>
      <c r="N456" s="48"/>
      <c r="O456" s="49"/>
      <c r="Q456" s="3"/>
      <c r="R456" s="3"/>
      <c r="S456" s="3"/>
      <c r="T456" s="3"/>
      <c r="U456" s="3"/>
    </row>
    <row r="457" customFormat="false" ht="15.75" hidden="false" customHeight="false" outlineLevel="0" collapsed="false">
      <c r="F457" s="34"/>
      <c r="G457" s="35"/>
      <c r="H457" s="35"/>
      <c r="I457" s="36"/>
      <c r="J457" s="35"/>
      <c r="K457" s="37"/>
      <c r="M457" s="44"/>
      <c r="N457" s="45"/>
      <c r="O457" s="46"/>
      <c r="Q457" s="3"/>
      <c r="R457" s="3"/>
      <c r="S457" s="3"/>
      <c r="T457" s="3"/>
      <c r="U457" s="3"/>
    </row>
    <row r="458" customFormat="false" ht="15.75" hidden="false" customHeight="false" outlineLevel="0" collapsed="false">
      <c r="F458" s="39"/>
      <c r="G458" s="40"/>
      <c r="H458" s="40"/>
      <c r="I458" s="41"/>
      <c r="J458" s="40"/>
      <c r="K458" s="42"/>
      <c r="M458" s="47"/>
      <c r="N458" s="48"/>
      <c r="O458" s="49"/>
      <c r="Q458" s="3"/>
      <c r="R458" s="3"/>
      <c r="S458" s="3"/>
      <c r="T458" s="3"/>
      <c r="U458" s="3"/>
    </row>
    <row r="459" customFormat="false" ht="15.75" hidden="false" customHeight="false" outlineLevel="0" collapsed="false">
      <c r="F459" s="34"/>
      <c r="G459" s="35"/>
      <c r="H459" s="35"/>
      <c r="I459" s="36"/>
      <c r="J459" s="35"/>
      <c r="K459" s="37"/>
      <c r="M459" s="44"/>
      <c r="N459" s="45"/>
      <c r="O459" s="46"/>
      <c r="Q459" s="3"/>
      <c r="R459" s="3"/>
      <c r="S459" s="3"/>
      <c r="T459" s="3"/>
      <c r="U459" s="3"/>
    </row>
    <row r="460" customFormat="false" ht="15.75" hidden="false" customHeight="false" outlineLevel="0" collapsed="false">
      <c r="F460" s="39"/>
      <c r="G460" s="40"/>
      <c r="H460" s="40"/>
      <c r="I460" s="41"/>
      <c r="J460" s="40"/>
      <c r="K460" s="42"/>
      <c r="M460" s="47"/>
      <c r="N460" s="48"/>
      <c r="O460" s="49"/>
      <c r="Q460" s="3"/>
      <c r="R460" s="3"/>
      <c r="S460" s="3"/>
      <c r="T460" s="3"/>
      <c r="U460" s="3"/>
    </row>
    <row r="461" customFormat="false" ht="15.75" hidden="false" customHeight="false" outlineLevel="0" collapsed="false">
      <c r="F461" s="34"/>
      <c r="G461" s="35"/>
      <c r="H461" s="35"/>
      <c r="I461" s="36"/>
      <c r="J461" s="35"/>
      <c r="K461" s="37"/>
      <c r="M461" s="44"/>
      <c r="N461" s="45"/>
      <c r="O461" s="46"/>
      <c r="Q461" s="3"/>
      <c r="R461" s="3"/>
      <c r="S461" s="3"/>
      <c r="T461" s="3"/>
      <c r="U461" s="3"/>
    </row>
    <row r="462" customFormat="false" ht="15.75" hidden="false" customHeight="false" outlineLevel="0" collapsed="false">
      <c r="F462" s="39"/>
      <c r="G462" s="40"/>
      <c r="H462" s="40"/>
      <c r="I462" s="41"/>
      <c r="J462" s="40"/>
      <c r="K462" s="42"/>
      <c r="M462" s="47"/>
      <c r="N462" s="48"/>
      <c r="O462" s="49"/>
      <c r="Q462" s="3"/>
      <c r="R462" s="3"/>
      <c r="S462" s="3"/>
      <c r="T462" s="3"/>
      <c r="U462" s="3"/>
    </row>
    <row r="463" customFormat="false" ht="15.75" hidden="false" customHeight="false" outlineLevel="0" collapsed="false">
      <c r="F463" s="34"/>
      <c r="G463" s="35"/>
      <c r="H463" s="35"/>
      <c r="I463" s="36"/>
      <c r="J463" s="35"/>
      <c r="K463" s="37"/>
      <c r="M463" s="44"/>
      <c r="N463" s="45"/>
      <c r="O463" s="46"/>
      <c r="Q463" s="3"/>
      <c r="R463" s="3"/>
      <c r="S463" s="3"/>
      <c r="T463" s="3"/>
      <c r="U463" s="3"/>
    </row>
    <row r="464" customFormat="false" ht="15.75" hidden="false" customHeight="false" outlineLevel="0" collapsed="false">
      <c r="F464" s="39"/>
      <c r="G464" s="40"/>
      <c r="H464" s="40"/>
      <c r="I464" s="41"/>
      <c r="J464" s="40"/>
      <c r="K464" s="42"/>
      <c r="M464" s="47"/>
      <c r="N464" s="48"/>
      <c r="O464" s="49"/>
      <c r="Q464" s="3"/>
      <c r="R464" s="3"/>
      <c r="S464" s="3"/>
      <c r="T464" s="3"/>
      <c r="U464" s="3"/>
    </row>
    <row r="465" customFormat="false" ht="15.75" hidden="false" customHeight="false" outlineLevel="0" collapsed="false">
      <c r="F465" s="34"/>
      <c r="G465" s="35"/>
      <c r="H465" s="35"/>
      <c r="I465" s="36"/>
      <c r="J465" s="35"/>
      <c r="K465" s="37"/>
      <c r="M465" s="44"/>
      <c r="N465" s="45"/>
      <c r="O465" s="46"/>
      <c r="Q465" s="3"/>
      <c r="R465" s="3"/>
      <c r="S465" s="3"/>
      <c r="T465" s="3"/>
      <c r="U465" s="3"/>
    </row>
    <row r="466" customFormat="false" ht="15.75" hidden="false" customHeight="false" outlineLevel="0" collapsed="false">
      <c r="F466" s="39"/>
      <c r="G466" s="40"/>
      <c r="H466" s="40"/>
      <c r="I466" s="41"/>
      <c r="J466" s="40"/>
      <c r="K466" s="42"/>
      <c r="M466" s="47"/>
      <c r="N466" s="48"/>
      <c r="O466" s="49"/>
      <c r="Q466" s="3"/>
      <c r="R466" s="3"/>
      <c r="S466" s="3"/>
      <c r="T466" s="3"/>
      <c r="U466" s="3"/>
    </row>
    <row r="467" customFormat="false" ht="15.75" hidden="false" customHeight="false" outlineLevel="0" collapsed="false">
      <c r="F467" s="34"/>
      <c r="G467" s="35"/>
      <c r="H467" s="35"/>
      <c r="I467" s="36"/>
      <c r="J467" s="35"/>
      <c r="K467" s="37"/>
      <c r="M467" s="44"/>
      <c r="N467" s="45"/>
      <c r="O467" s="46"/>
      <c r="Q467" s="3"/>
      <c r="R467" s="3"/>
      <c r="S467" s="3"/>
      <c r="T467" s="3"/>
      <c r="U467" s="3"/>
    </row>
    <row r="468" customFormat="false" ht="15.75" hidden="false" customHeight="false" outlineLevel="0" collapsed="false">
      <c r="F468" s="39"/>
      <c r="G468" s="40"/>
      <c r="H468" s="40"/>
      <c r="I468" s="41"/>
      <c r="J468" s="40"/>
      <c r="K468" s="42"/>
      <c r="M468" s="47"/>
      <c r="N468" s="48"/>
      <c r="O468" s="49"/>
      <c r="Q468" s="3"/>
      <c r="R468" s="3"/>
      <c r="S468" s="3"/>
      <c r="T468" s="3"/>
      <c r="U468" s="3"/>
    </row>
    <row r="469" customFormat="false" ht="15.75" hidden="false" customHeight="false" outlineLevel="0" collapsed="false">
      <c r="F469" s="34"/>
      <c r="G469" s="35"/>
      <c r="H469" s="35"/>
      <c r="I469" s="36"/>
      <c r="J469" s="35"/>
      <c r="K469" s="37"/>
      <c r="M469" s="44"/>
      <c r="N469" s="45"/>
      <c r="O469" s="46"/>
      <c r="Q469" s="3"/>
      <c r="R469" s="3"/>
      <c r="S469" s="3"/>
      <c r="T469" s="3"/>
      <c r="U469" s="3"/>
    </row>
    <row r="470" customFormat="false" ht="15.75" hidden="false" customHeight="false" outlineLevel="0" collapsed="false">
      <c r="F470" s="39"/>
      <c r="G470" s="40"/>
      <c r="H470" s="40"/>
      <c r="I470" s="41"/>
      <c r="J470" s="40"/>
      <c r="K470" s="42"/>
      <c r="M470" s="47"/>
      <c r="N470" s="48"/>
      <c r="O470" s="49"/>
      <c r="Q470" s="3"/>
      <c r="R470" s="3"/>
      <c r="S470" s="3"/>
      <c r="T470" s="3"/>
      <c r="U470" s="3"/>
    </row>
    <row r="471" customFormat="false" ht="15.75" hidden="false" customHeight="false" outlineLevel="0" collapsed="false">
      <c r="F471" s="34"/>
      <c r="G471" s="35"/>
      <c r="H471" s="35"/>
      <c r="I471" s="36"/>
      <c r="J471" s="35"/>
      <c r="K471" s="37"/>
      <c r="M471" s="44"/>
      <c r="N471" s="45"/>
      <c r="O471" s="46"/>
      <c r="Q471" s="3"/>
      <c r="R471" s="3"/>
      <c r="S471" s="3"/>
      <c r="T471" s="3"/>
      <c r="U471" s="3"/>
    </row>
    <row r="472" customFormat="false" ht="15.75" hidden="false" customHeight="false" outlineLevel="0" collapsed="false">
      <c r="F472" s="39"/>
      <c r="G472" s="40"/>
      <c r="H472" s="40"/>
      <c r="I472" s="41"/>
      <c r="J472" s="40"/>
      <c r="K472" s="42"/>
      <c r="M472" s="47"/>
      <c r="N472" s="48"/>
      <c r="O472" s="49"/>
      <c r="Q472" s="3"/>
      <c r="R472" s="3"/>
      <c r="S472" s="3"/>
      <c r="T472" s="3"/>
      <c r="U472" s="3"/>
    </row>
    <row r="473" customFormat="false" ht="15.75" hidden="false" customHeight="false" outlineLevel="0" collapsed="false">
      <c r="F473" s="34"/>
      <c r="G473" s="35"/>
      <c r="H473" s="35"/>
      <c r="I473" s="36"/>
      <c r="J473" s="35"/>
      <c r="K473" s="37"/>
      <c r="M473" s="44"/>
      <c r="N473" s="45"/>
      <c r="O473" s="46"/>
      <c r="Q473" s="3"/>
      <c r="R473" s="3"/>
      <c r="S473" s="3"/>
      <c r="T473" s="3"/>
      <c r="U473" s="3"/>
    </row>
    <row r="474" customFormat="false" ht="15.75" hidden="false" customHeight="false" outlineLevel="0" collapsed="false">
      <c r="F474" s="39"/>
      <c r="G474" s="40"/>
      <c r="H474" s="40"/>
      <c r="I474" s="41"/>
      <c r="J474" s="40"/>
      <c r="K474" s="42"/>
      <c r="M474" s="47"/>
      <c r="N474" s="48"/>
      <c r="O474" s="49"/>
      <c r="Q474" s="3"/>
      <c r="R474" s="3"/>
      <c r="S474" s="3"/>
      <c r="T474" s="3"/>
      <c r="U474" s="3"/>
    </row>
    <row r="475" customFormat="false" ht="15.75" hidden="false" customHeight="false" outlineLevel="0" collapsed="false">
      <c r="F475" s="34"/>
      <c r="G475" s="35"/>
      <c r="H475" s="35"/>
      <c r="I475" s="36"/>
      <c r="J475" s="35"/>
      <c r="K475" s="37"/>
      <c r="M475" s="44"/>
      <c r="N475" s="45"/>
      <c r="O475" s="46"/>
      <c r="Q475" s="3"/>
      <c r="R475" s="3"/>
      <c r="S475" s="3"/>
      <c r="T475" s="3"/>
      <c r="U475" s="3"/>
    </row>
    <row r="476" customFormat="false" ht="15.75" hidden="false" customHeight="false" outlineLevel="0" collapsed="false">
      <c r="F476" s="39"/>
      <c r="G476" s="40"/>
      <c r="H476" s="40"/>
      <c r="I476" s="41"/>
      <c r="J476" s="40"/>
      <c r="K476" s="42"/>
      <c r="M476" s="47"/>
      <c r="N476" s="48"/>
      <c r="O476" s="49"/>
      <c r="Q476" s="3"/>
      <c r="R476" s="3"/>
      <c r="S476" s="3"/>
      <c r="T476" s="3"/>
      <c r="U476" s="3"/>
    </row>
    <row r="477" customFormat="false" ht="15.75" hidden="false" customHeight="false" outlineLevel="0" collapsed="false">
      <c r="F477" s="34"/>
      <c r="G477" s="35"/>
      <c r="H477" s="35"/>
      <c r="I477" s="36"/>
      <c r="J477" s="35"/>
      <c r="K477" s="37"/>
      <c r="M477" s="44"/>
      <c r="N477" s="45"/>
      <c r="O477" s="46"/>
      <c r="Q477" s="3"/>
      <c r="R477" s="3"/>
      <c r="S477" s="3"/>
      <c r="T477" s="3"/>
      <c r="U477" s="3"/>
    </row>
    <row r="478" customFormat="false" ht="15.75" hidden="false" customHeight="false" outlineLevel="0" collapsed="false">
      <c r="F478" s="39"/>
      <c r="G478" s="40"/>
      <c r="H478" s="40"/>
      <c r="I478" s="41"/>
      <c r="J478" s="40"/>
      <c r="K478" s="42"/>
      <c r="M478" s="47"/>
      <c r="N478" s="48"/>
      <c r="O478" s="49"/>
      <c r="Q478" s="3"/>
      <c r="R478" s="3"/>
      <c r="S478" s="3"/>
      <c r="T478" s="3"/>
      <c r="U478" s="3"/>
    </row>
    <row r="479" customFormat="false" ht="15.75" hidden="false" customHeight="false" outlineLevel="0" collapsed="false">
      <c r="F479" s="34"/>
      <c r="G479" s="35"/>
      <c r="H479" s="35"/>
      <c r="I479" s="36"/>
      <c r="J479" s="35"/>
      <c r="K479" s="37"/>
      <c r="M479" s="44"/>
      <c r="N479" s="45"/>
      <c r="O479" s="46"/>
      <c r="Q479" s="3"/>
      <c r="R479" s="3"/>
      <c r="S479" s="3"/>
      <c r="T479" s="3"/>
      <c r="U479" s="3"/>
    </row>
    <row r="480" customFormat="false" ht="15.75" hidden="false" customHeight="false" outlineLevel="0" collapsed="false">
      <c r="F480" s="39"/>
      <c r="G480" s="40"/>
      <c r="H480" s="40"/>
      <c r="I480" s="41"/>
      <c r="J480" s="40"/>
      <c r="K480" s="42"/>
      <c r="M480" s="47"/>
      <c r="N480" s="48"/>
      <c r="O480" s="49"/>
      <c r="Q480" s="3"/>
      <c r="R480" s="3"/>
      <c r="S480" s="3"/>
      <c r="T480" s="3"/>
      <c r="U480" s="3"/>
    </row>
    <row r="481" customFormat="false" ht="15.75" hidden="false" customHeight="false" outlineLevel="0" collapsed="false">
      <c r="F481" s="34"/>
      <c r="G481" s="35"/>
      <c r="H481" s="35"/>
      <c r="I481" s="36"/>
      <c r="J481" s="35"/>
      <c r="K481" s="37"/>
      <c r="M481" s="44"/>
      <c r="N481" s="45"/>
      <c r="O481" s="46"/>
      <c r="Q481" s="3"/>
      <c r="R481" s="3"/>
      <c r="S481" s="3"/>
      <c r="T481" s="3"/>
      <c r="U481" s="3"/>
    </row>
    <row r="482" customFormat="false" ht="15.75" hidden="false" customHeight="false" outlineLevel="0" collapsed="false">
      <c r="F482" s="39"/>
      <c r="G482" s="40"/>
      <c r="H482" s="40"/>
      <c r="I482" s="41"/>
      <c r="J482" s="40"/>
      <c r="K482" s="42"/>
      <c r="M482" s="47"/>
      <c r="N482" s="48"/>
      <c r="O482" s="49"/>
      <c r="Q482" s="3"/>
      <c r="R482" s="3"/>
      <c r="S482" s="3"/>
      <c r="T482" s="3"/>
      <c r="U482" s="3"/>
    </row>
    <row r="483" customFormat="false" ht="15.75" hidden="false" customHeight="false" outlineLevel="0" collapsed="false">
      <c r="F483" s="34"/>
      <c r="G483" s="35"/>
      <c r="H483" s="35"/>
      <c r="I483" s="36"/>
      <c r="J483" s="35"/>
      <c r="K483" s="37"/>
      <c r="M483" s="44"/>
      <c r="N483" s="45"/>
      <c r="O483" s="46"/>
      <c r="Q483" s="3"/>
      <c r="R483" s="3"/>
      <c r="S483" s="3"/>
      <c r="T483" s="3"/>
      <c r="U483" s="3"/>
    </row>
    <row r="484" customFormat="false" ht="15.75" hidden="false" customHeight="false" outlineLevel="0" collapsed="false">
      <c r="F484" s="39"/>
      <c r="G484" s="40"/>
      <c r="H484" s="40"/>
      <c r="I484" s="41"/>
      <c r="J484" s="40"/>
      <c r="K484" s="42"/>
      <c r="M484" s="47"/>
      <c r="N484" s="48"/>
      <c r="O484" s="49"/>
      <c r="Q484" s="3"/>
      <c r="R484" s="3"/>
      <c r="S484" s="3"/>
      <c r="T484" s="3"/>
      <c r="U484" s="3"/>
    </row>
    <row r="485" customFormat="false" ht="15.75" hidden="false" customHeight="false" outlineLevel="0" collapsed="false">
      <c r="F485" s="34"/>
      <c r="G485" s="35"/>
      <c r="H485" s="35"/>
      <c r="I485" s="36"/>
      <c r="J485" s="35"/>
      <c r="K485" s="37"/>
      <c r="M485" s="44"/>
      <c r="N485" s="45"/>
      <c r="O485" s="46"/>
      <c r="Q485" s="3"/>
      <c r="R485" s="3"/>
      <c r="S485" s="3"/>
      <c r="T485" s="3"/>
      <c r="U485" s="3"/>
    </row>
    <row r="486" customFormat="false" ht="15.75" hidden="false" customHeight="false" outlineLevel="0" collapsed="false">
      <c r="F486" s="39"/>
      <c r="G486" s="40"/>
      <c r="H486" s="40"/>
      <c r="I486" s="41"/>
      <c r="J486" s="40"/>
      <c r="K486" s="42"/>
      <c r="M486" s="47"/>
      <c r="N486" s="48"/>
      <c r="O486" s="49"/>
      <c r="Q486" s="3"/>
      <c r="R486" s="3"/>
      <c r="S486" s="3"/>
      <c r="T486" s="3"/>
      <c r="U486" s="3"/>
    </row>
    <row r="487" customFormat="false" ht="15.75" hidden="false" customHeight="false" outlineLevel="0" collapsed="false">
      <c r="F487" s="34"/>
      <c r="G487" s="35"/>
      <c r="H487" s="35"/>
      <c r="I487" s="36"/>
      <c r="J487" s="35"/>
      <c r="K487" s="37"/>
      <c r="M487" s="44"/>
      <c r="N487" s="45"/>
      <c r="O487" s="46"/>
      <c r="Q487" s="3"/>
      <c r="R487" s="3"/>
      <c r="S487" s="3"/>
      <c r="T487" s="3"/>
      <c r="U487" s="3"/>
    </row>
    <row r="488" customFormat="false" ht="15.75" hidden="false" customHeight="false" outlineLevel="0" collapsed="false">
      <c r="F488" s="39"/>
      <c r="G488" s="40"/>
      <c r="H488" s="40"/>
      <c r="I488" s="41"/>
      <c r="J488" s="40"/>
      <c r="K488" s="42"/>
      <c r="M488" s="47"/>
      <c r="N488" s="48"/>
      <c r="O488" s="49"/>
      <c r="Q488" s="3"/>
      <c r="R488" s="3"/>
      <c r="S488" s="3"/>
      <c r="T488" s="3"/>
      <c r="U488" s="3"/>
    </row>
    <row r="489" customFormat="false" ht="15.75" hidden="false" customHeight="false" outlineLevel="0" collapsed="false">
      <c r="F489" s="34"/>
      <c r="G489" s="35"/>
      <c r="H489" s="35"/>
      <c r="I489" s="36"/>
      <c r="J489" s="35"/>
      <c r="K489" s="37"/>
      <c r="M489" s="44"/>
      <c r="N489" s="45"/>
      <c r="O489" s="46"/>
      <c r="Q489" s="3"/>
      <c r="R489" s="3"/>
      <c r="S489" s="3"/>
      <c r="T489" s="3"/>
      <c r="U489" s="3"/>
    </row>
    <row r="490" customFormat="false" ht="15.75" hidden="false" customHeight="false" outlineLevel="0" collapsed="false">
      <c r="F490" s="39"/>
      <c r="G490" s="40"/>
      <c r="H490" s="40"/>
      <c r="I490" s="41"/>
      <c r="J490" s="40"/>
      <c r="K490" s="42"/>
      <c r="M490" s="47"/>
      <c r="N490" s="48"/>
      <c r="O490" s="49"/>
      <c r="Q490" s="3"/>
      <c r="R490" s="3"/>
      <c r="S490" s="3"/>
      <c r="T490" s="3"/>
      <c r="U490" s="3"/>
    </row>
    <row r="491" customFormat="false" ht="15.75" hidden="false" customHeight="false" outlineLevel="0" collapsed="false">
      <c r="F491" s="34"/>
      <c r="G491" s="35"/>
      <c r="H491" s="35"/>
      <c r="I491" s="36"/>
      <c r="J491" s="35"/>
      <c r="K491" s="37"/>
      <c r="M491" s="44"/>
      <c r="N491" s="45"/>
      <c r="O491" s="46"/>
      <c r="Q491" s="3"/>
      <c r="R491" s="3"/>
      <c r="S491" s="3"/>
      <c r="T491" s="3"/>
      <c r="U491" s="3"/>
    </row>
    <row r="492" customFormat="false" ht="15.75" hidden="false" customHeight="false" outlineLevel="0" collapsed="false">
      <c r="F492" s="39"/>
      <c r="G492" s="40"/>
      <c r="H492" s="40"/>
      <c r="I492" s="41"/>
      <c r="J492" s="40"/>
      <c r="K492" s="42"/>
      <c r="M492" s="47"/>
      <c r="N492" s="48"/>
      <c r="O492" s="49"/>
      <c r="Q492" s="3"/>
      <c r="R492" s="3"/>
      <c r="S492" s="3"/>
      <c r="T492" s="3"/>
      <c r="U492" s="3"/>
    </row>
    <row r="493" customFormat="false" ht="15.75" hidden="false" customHeight="false" outlineLevel="0" collapsed="false">
      <c r="F493" s="34"/>
      <c r="G493" s="35"/>
      <c r="H493" s="35"/>
      <c r="I493" s="36"/>
      <c r="J493" s="35"/>
      <c r="K493" s="37"/>
      <c r="M493" s="44"/>
      <c r="N493" s="45"/>
      <c r="O493" s="46"/>
      <c r="Q493" s="3"/>
      <c r="R493" s="3"/>
      <c r="S493" s="3"/>
      <c r="T493" s="3"/>
      <c r="U493" s="3"/>
    </row>
    <row r="494" customFormat="false" ht="15.75" hidden="false" customHeight="false" outlineLevel="0" collapsed="false">
      <c r="F494" s="39"/>
      <c r="G494" s="40"/>
      <c r="H494" s="40"/>
      <c r="I494" s="41"/>
      <c r="J494" s="40"/>
      <c r="K494" s="42"/>
      <c r="M494" s="47"/>
      <c r="N494" s="48"/>
      <c r="O494" s="49"/>
      <c r="Q494" s="3"/>
      <c r="R494" s="3"/>
      <c r="S494" s="3"/>
      <c r="T494" s="3"/>
      <c r="U494" s="3"/>
    </row>
    <row r="495" customFormat="false" ht="15.75" hidden="false" customHeight="false" outlineLevel="0" collapsed="false">
      <c r="F495" s="34"/>
      <c r="G495" s="35"/>
      <c r="H495" s="35"/>
      <c r="I495" s="36"/>
      <c r="J495" s="35"/>
      <c r="K495" s="37"/>
      <c r="M495" s="44"/>
      <c r="N495" s="45"/>
      <c r="O495" s="46"/>
      <c r="Q495" s="3"/>
      <c r="R495" s="3"/>
      <c r="S495" s="3"/>
      <c r="T495" s="3"/>
      <c r="U495" s="3"/>
    </row>
    <row r="496" customFormat="false" ht="15.75" hidden="false" customHeight="false" outlineLevel="0" collapsed="false">
      <c r="F496" s="39"/>
      <c r="G496" s="40"/>
      <c r="H496" s="40"/>
      <c r="I496" s="41"/>
      <c r="J496" s="40"/>
      <c r="K496" s="42"/>
      <c r="M496" s="47"/>
      <c r="N496" s="48"/>
      <c r="O496" s="49"/>
      <c r="Q496" s="3"/>
      <c r="R496" s="3"/>
      <c r="S496" s="3"/>
      <c r="T496" s="3"/>
      <c r="U496" s="3"/>
    </row>
    <row r="497" customFormat="false" ht="15.75" hidden="false" customHeight="false" outlineLevel="0" collapsed="false">
      <c r="F497" s="34"/>
      <c r="G497" s="35"/>
      <c r="H497" s="35"/>
      <c r="I497" s="36"/>
      <c r="J497" s="35"/>
      <c r="K497" s="37"/>
      <c r="M497" s="44"/>
      <c r="N497" s="45"/>
      <c r="O497" s="46"/>
      <c r="Q497" s="3"/>
      <c r="R497" s="3"/>
      <c r="S497" s="3"/>
      <c r="T497" s="3"/>
      <c r="U497" s="3"/>
    </row>
    <row r="498" customFormat="false" ht="15.75" hidden="false" customHeight="false" outlineLevel="0" collapsed="false">
      <c r="F498" s="39"/>
      <c r="G498" s="40"/>
      <c r="H498" s="40"/>
      <c r="I498" s="41"/>
      <c r="J498" s="40"/>
      <c r="K498" s="42"/>
      <c r="M498" s="47"/>
      <c r="N498" s="48"/>
      <c r="O498" s="49"/>
      <c r="Q498" s="3"/>
      <c r="R498" s="3"/>
      <c r="S498" s="3"/>
      <c r="T498" s="3"/>
      <c r="U498" s="3"/>
    </row>
    <row r="499" customFormat="false" ht="15.75" hidden="false" customHeight="false" outlineLevel="0" collapsed="false">
      <c r="F499" s="34"/>
      <c r="G499" s="35"/>
      <c r="H499" s="35"/>
      <c r="I499" s="36"/>
      <c r="J499" s="35"/>
      <c r="K499" s="37"/>
      <c r="M499" s="44"/>
      <c r="N499" s="45"/>
      <c r="O499" s="46"/>
      <c r="Q499" s="3"/>
      <c r="R499" s="3"/>
      <c r="S499" s="3"/>
      <c r="T499" s="3"/>
      <c r="U499" s="3"/>
    </row>
    <row r="500" customFormat="false" ht="15.75" hidden="false" customHeight="false" outlineLevel="0" collapsed="false">
      <c r="F500" s="39"/>
      <c r="G500" s="40"/>
      <c r="H500" s="40"/>
      <c r="I500" s="41"/>
      <c r="J500" s="40"/>
      <c r="K500" s="42"/>
      <c r="M500" s="47"/>
      <c r="N500" s="48"/>
      <c r="O500" s="49"/>
      <c r="Q500" s="3"/>
      <c r="R500" s="3"/>
      <c r="S500" s="3"/>
      <c r="T500" s="3"/>
      <c r="U500" s="3"/>
    </row>
    <row r="501" customFormat="false" ht="15.75" hidden="false" customHeight="false" outlineLevel="0" collapsed="false">
      <c r="F501" s="34"/>
      <c r="G501" s="35"/>
      <c r="H501" s="35"/>
      <c r="I501" s="36"/>
      <c r="J501" s="35"/>
      <c r="K501" s="37"/>
      <c r="M501" s="44"/>
      <c r="N501" s="45"/>
      <c r="O501" s="46"/>
      <c r="Q501" s="3"/>
      <c r="R501" s="3"/>
      <c r="S501" s="3"/>
      <c r="T501" s="3"/>
      <c r="U501" s="3"/>
    </row>
    <row r="502" customFormat="false" ht="15.75" hidden="false" customHeight="false" outlineLevel="0" collapsed="false">
      <c r="F502" s="39"/>
      <c r="G502" s="40"/>
      <c r="H502" s="40"/>
      <c r="I502" s="41"/>
      <c r="J502" s="40"/>
      <c r="K502" s="42"/>
      <c r="M502" s="47"/>
      <c r="N502" s="48"/>
      <c r="O502" s="49"/>
      <c r="Q502" s="3"/>
      <c r="R502" s="3"/>
      <c r="S502" s="3"/>
      <c r="T502" s="3"/>
      <c r="U502" s="3"/>
    </row>
    <row r="503" customFormat="false" ht="15.75" hidden="false" customHeight="false" outlineLevel="0" collapsed="false">
      <c r="F503" s="34"/>
      <c r="G503" s="35"/>
      <c r="H503" s="35"/>
      <c r="I503" s="36"/>
      <c r="J503" s="35"/>
      <c r="K503" s="37"/>
      <c r="M503" s="44"/>
      <c r="N503" s="45"/>
      <c r="O503" s="46"/>
      <c r="Q503" s="3"/>
      <c r="R503" s="3"/>
      <c r="S503" s="3"/>
      <c r="T503" s="3"/>
      <c r="U503" s="3"/>
    </row>
    <row r="504" customFormat="false" ht="15.75" hidden="false" customHeight="false" outlineLevel="0" collapsed="false">
      <c r="F504" s="39"/>
      <c r="G504" s="40"/>
      <c r="H504" s="40"/>
      <c r="I504" s="41"/>
      <c r="J504" s="40"/>
      <c r="K504" s="42"/>
      <c r="M504" s="47"/>
      <c r="N504" s="48"/>
      <c r="O504" s="49"/>
      <c r="Q504" s="3"/>
      <c r="R504" s="3"/>
      <c r="S504" s="3"/>
      <c r="T504" s="3"/>
      <c r="U504" s="3"/>
    </row>
    <row r="505" customFormat="false" ht="15.75" hidden="false" customHeight="false" outlineLevel="0" collapsed="false">
      <c r="F505" s="34"/>
      <c r="G505" s="35"/>
      <c r="H505" s="35"/>
      <c r="I505" s="36"/>
      <c r="J505" s="35"/>
      <c r="K505" s="37"/>
      <c r="M505" s="44"/>
      <c r="N505" s="45"/>
      <c r="O505" s="46"/>
      <c r="Q505" s="3"/>
      <c r="R505" s="3"/>
      <c r="S505" s="3"/>
      <c r="T505" s="3"/>
      <c r="U505" s="3"/>
    </row>
    <row r="506" customFormat="false" ht="15.75" hidden="false" customHeight="false" outlineLevel="0" collapsed="false">
      <c r="F506" s="39"/>
      <c r="G506" s="40"/>
      <c r="H506" s="40"/>
      <c r="I506" s="41"/>
      <c r="J506" s="40"/>
      <c r="K506" s="42"/>
      <c r="M506" s="47"/>
      <c r="N506" s="48"/>
      <c r="O506" s="49"/>
      <c r="Q506" s="3"/>
      <c r="R506" s="3"/>
      <c r="S506" s="3"/>
      <c r="T506" s="3"/>
      <c r="U506" s="3"/>
    </row>
    <row r="507" customFormat="false" ht="15.75" hidden="false" customHeight="false" outlineLevel="0" collapsed="false">
      <c r="F507" s="34"/>
      <c r="G507" s="35"/>
      <c r="H507" s="35"/>
      <c r="I507" s="36"/>
      <c r="J507" s="35"/>
      <c r="K507" s="37"/>
      <c r="M507" s="44"/>
      <c r="N507" s="45"/>
      <c r="O507" s="46"/>
      <c r="Q507" s="3"/>
      <c r="R507" s="3"/>
      <c r="S507" s="3"/>
      <c r="T507" s="3"/>
      <c r="U507" s="3"/>
    </row>
    <row r="508" customFormat="false" ht="15.75" hidden="false" customHeight="false" outlineLevel="0" collapsed="false">
      <c r="F508" s="39"/>
      <c r="G508" s="40"/>
      <c r="H508" s="40"/>
      <c r="I508" s="41"/>
      <c r="J508" s="40"/>
      <c r="K508" s="42"/>
      <c r="M508" s="47"/>
      <c r="N508" s="48"/>
      <c r="O508" s="49"/>
      <c r="Q508" s="3"/>
      <c r="R508" s="3"/>
      <c r="S508" s="3"/>
      <c r="T508" s="3"/>
      <c r="U508" s="3"/>
    </row>
    <row r="509" customFormat="false" ht="15.75" hidden="false" customHeight="false" outlineLevel="0" collapsed="false">
      <c r="F509" s="34"/>
      <c r="G509" s="35"/>
      <c r="H509" s="35"/>
      <c r="I509" s="36"/>
      <c r="J509" s="35"/>
      <c r="K509" s="37"/>
      <c r="M509" s="44"/>
      <c r="N509" s="45"/>
      <c r="O509" s="46"/>
      <c r="Q509" s="3"/>
      <c r="R509" s="3"/>
      <c r="S509" s="3"/>
      <c r="T509" s="3"/>
      <c r="U509" s="3"/>
    </row>
    <row r="510" customFormat="false" ht="15.75" hidden="false" customHeight="false" outlineLevel="0" collapsed="false">
      <c r="F510" s="39"/>
      <c r="G510" s="40"/>
      <c r="H510" s="40"/>
      <c r="I510" s="41"/>
      <c r="J510" s="40"/>
      <c r="K510" s="42"/>
      <c r="M510" s="47"/>
      <c r="N510" s="48"/>
      <c r="O510" s="49"/>
      <c r="Q510" s="3"/>
      <c r="R510" s="3"/>
      <c r="S510" s="3"/>
      <c r="T510" s="3"/>
      <c r="U510" s="3"/>
    </row>
    <row r="511" customFormat="false" ht="15.75" hidden="false" customHeight="false" outlineLevel="0" collapsed="false">
      <c r="F511" s="34"/>
      <c r="G511" s="35"/>
      <c r="H511" s="35"/>
      <c r="I511" s="36"/>
      <c r="J511" s="35"/>
      <c r="K511" s="37"/>
      <c r="M511" s="44"/>
      <c r="N511" s="45"/>
      <c r="O511" s="46"/>
      <c r="Q511" s="3"/>
      <c r="R511" s="3"/>
      <c r="S511" s="3"/>
      <c r="T511" s="3"/>
      <c r="U511" s="3"/>
    </row>
    <row r="512" customFormat="false" ht="15.75" hidden="false" customHeight="false" outlineLevel="0" collapsed="false">
      <c r="F512" s="39"/>
      <c r="G512" s="40"/>
      <c r="H512" s="40"/>
      <c r="I512" s="41"/>
      <c r="J512" s="40"/>
      <c r="K512" s="42"/>
      <c r="M512" s="47"/>
      <c r="N512" s="48"/>
      <c r="O512" s="49"/>
      <c r="Q512" s="3"/>
      <c r="R512" s="3"/>
      <c r="S512" s="3"/>
      <c r="T512" s="3"/>
      <c r="U512" s="3"/>
    </row>
    <row r="513" customFormat="false" ht="15.75" hidden="false" customHeight="false" outlineLevel="0" collapsed="false">
      <c r="F513" s="34"/>
      <c r="G513" s="35"/>
      <c r="H513" s="35"/>
      <c r="I513" s="36"/>
      <c r="J513" s="35"/>
      <c r="K513" s="37"/>
      <c r="M513" s="44"/>
      <c r="N513" s="45"/>
      <c r="O513" s="46"/>
      <c r="Q513" s="3"/>
      <c r="R513" s="3"/>
      <c r="S513" s="3"/>
      <c r="T513" s="3"/>
      <c r="U513" s="3"/>
    </row>
    <row r="514" customFormat="false" ht="15.75" hidden="false" customHeight="false" outlineLevel="0" collapsed="false">
      <c r="F514" s="39"/>
      <c r="G514" s="40"/>
      <c r="H514" s="40"/>
      <c r="I514" s="41"/>
      <c r="J514" s="40"/>
      <c r="K514" s="42"/>
      <c r="M514" s="47"/>
      <c r="N514" s="48"/>
      <c r="O514" s="49"/>
      <c r="Q514" s="3"/>
      <c r="R514" s="3"/>
      <c r="S514" s="3"/>
      <c r="T514" s="3"/>
      <c r="U514" s="3"/>
    </row>
    <row r="515" customFormat="false" ht="15.75" hidden="false" customHeight="false" outlineLevel="0" collapsed="false">
      <c r="F515" s="34"/>
      <c r="G515" s="35"/>
      <c r="H515" s="35"/>
      <c r="I515" s="36"/>
      <c r="J515" s="35"/>
      <c r="K515" s="37"/>
      <c r="M515" s="44"/>
      <c r="N515" s="45"/>
      <c r="O515" s="46"/>
      <c r="Q515" s="3"/>
      <c r="R515" s="3"/>
      <c r="S515" s="3"/>
      <c r="T515" s="3"/>
      <c r="U515" s="3"/>
    </row>
    <row r="516" customFormat="false" ht="15.75" hidden="false" customHeight="false" outlineLevel="0" collapsed="false">
      <c r="F516" s="39"/>
      <c r="G516" s="40"/>
      <c r="H516" s="40"/>
      <c r="I516" s="41"/>
      <c r="J516" s="40"/>
      <c r="K516" s="42"/>
      <c r="M516" s="47"/>
      <c r="N516" s="48"/>
      <c r="O516" s="49"/>
      <c r="Q516" s="3"/>
      <c r="R516" s="3"/>
      <c r="S516" s="3"/>
      <c r="T516" s="3"/>
      <c r="U516" s="3"/>
    </row>
    <row r="517" customFormat="false" ht="15.75" hidden="false" customHeight="false" outlineLevel="0" collapsed="false">
      <c r="F517" s="34"/>
      <c r="G517" s="35"/>
      <c r="H517" s="35"/>
      <c r="I517" s="36"/>
      <c r="J517" s="35"/>
      <c r="K517" s="37"/>
      <c r="M517" s="44"/>
      <c r="N517" s="45"/>
      <c r="O517" s="46"/>
      <c r="Q517" s="3"/>
      <c r="R517" s="3"/>
      <c r="S517" s="3"/>
      <c r="T517" s="3"/>
      <c r="U517" s="3"/>
    </row>
    <row r="518" customFormat="false" ht="15.75" hidden="false" customHeight="false" outlineLevel="0" collapsed="false">
      <c r="F518" s="39"/>
      <c r="G518" s="40"/>
      <c r="H518" s="40"/>
      <c r="I518" s="41"/>
      <c r="J518" s="40"/>
      <c r="K518" s="42"/>
      <c r="M518" s="47"/>
      <c r="N518" s="48"/>
      <c r="O518" s="49"/>
      <c r="Q518" s="3"/>
      <c r="R518" s="3"/>
      <c r="S518" s="3"/>
      <c r="T518" s="3"/>
      <c r="U518" s="3"/>
    </row>
    <row r="519" customFormat="false" ht="15.75" hidden="false" customHeight="false" outlineLevel="0" collapsed="false">
      <c r="F519" s="34"/>
      <c r="G519" s="35"/>
      <c r="H519" s="35"/>
      <c r="I519" s="36"/>
      <c r="J519" s="35"/>
      <c r="K519" s="37"/>
      <c r="M519" s="44"/>
      <c r="N519" s="45"/>
      <c r="O519" s="46"/>
      <c r="Q519" s="3"/>
      <c r="R519" s="3"/>
      <c r="S519" s="3"/>
      <c r="T519" s="3"/>
      <c r="U519" s="3"/>
    </row>
    <row r="520" customFormat="false" ht="15.75" hidden="false" customHeight="false" outlineLevel="0" collapsed="false">
      <c r="F520" s="39"/>
      <c r="G520" s="40"/>
      <c r="H520" s="40"/>
      <c r="I520" s="41"/>
      <c r="J520" s="40"/>
      <c r="K520" s="42"/>
      <c r="M520" s="47"/>
      <c r="N520" s="48"/>
      <c r="O520" s="49"/>
      <c r="Q520" s="3"/>
      <c r="R520" s="3"/>
      <c r="S520" s="3"/>
      <c r="T520" s="3"/>
      <c r="U520" s="3"/>
    </row>
    <row r="521" customFormat="false" ht="15.75" hidden="false" customHeight="false" outlineLevel="0" collapsed="false">
      <c r="F521" s="34"/>
      <c r="G521" s="35"/>
      <c r="H521" s="35"/>
      <c r="I521" s="36"/>
      <c r="J521" s="35"/>
      <c r="K521" s="37"/>
      <c r="M521" s="44"/>
      <c r="N521" s="45"/>
      <c r="O521" s="46"/>
      <c r="Q521" s="3"/>
      <c r="R521" s="3"/>
      <c r="S521" s="3"/>
      <c r="T521" s="3"/>
      <c r="U521" s="3"/>
    </row>
    <row r="522" customFormat="false" ht="15.75" hidden="false" customHeight="false" outlineLevel="0" collapsed="false">
      <c r="F522" s="39"/>
      <c r="G522" s="40"/>
      <c r="H522" s="40"/>
      <c r="I522" s="41"/>
      <c r="J522" s="40"/>
      <c r="K522" s="42"/>
      <c r="M522" s="47"/>
      <c r="N522" s="48"/>
      <c r="O522" s="49"/>
      <c r="Q522" s="3"/>
      <c r="R522" s="3"/>
      <c r="S522" s="3"/>
      <c r="T522" s="3"/>
      <c r="U522" s="3"/>
    </row>
    <row r="523" customFormat="false" ht="15.75" hidden="false" customHeight="false" outlineLevel="0" collapsed="false">
      <c r="F523" s="34"/>
      <c r="G523" s="35"/>
      <c r="H523" s="35"/>
      <c r="I523" s="36"/>
      <c r="J523" s="35"/>
      <c r="K523" s="37"/>
      <c r="M523" s="44"/>
      <c r="N523" s="45"/>
      <c r="O523" s="46"/>
      <c r="Q523" s="3"/>
      <c r="R523" s="3"/>
      <c r="S523" s="3"/>
      <c r="T523" s="3"/>
      <c r="U523" s="3"/>
    </row>
    <row r="524" customFormat="false" ht="15.75" hidden="false" customHeight="false" outlineLevel="0" collapsed="false">
      <c r="F524" s="39"/>
      <c r="G524" s="40"/>
      <c r="H524" s="40"/>
      <c r="I524" s="41"/>
      <c r="J524" s="40"/>
      <c r="K524" s="42"/>
      <c r="M524" s="47"/>
      <c r="N524" s="48"/>
      <c r="O524" s="49"/>
      <c r="Q524" s="3"/>
      <c r="R524" s="3"/>
      <c r="S524" s="3"/>
      <c r="T524" s="3"/>
      <c r="U524" s="3"/>
    </row>
    <row r="525" customFormat="false" ht="15.75" hidden="false" customHeight="false" outlineLevel="0" collapsed="false">
      <c r="F525" s="34"/>
      <c r="G525" s="35"/>
      <c r="H525" s="35"/>
      <c r="I525" s="36"/>
      <c r="J525" s="35"/>
      <c r="K525" s="37"/>
      <c r="M525" s="44"/>
      <c r="N525" s="45"/>
      <c r="O525" s="46"/>
      <c r="Q525" s="3"/>
      <c r="R525" s="3"/>
      <c r="S525" s="3"/>
      <c r="T525" s="3"/>
      <c r="U525" s="3"/>
    </row>
    <row r="526" customFormat="false" ht="15.75" hidden="false" customHeight="false" outlineLevel="0" collapsed="false">
      <c r="F526" s="39"/>
      <c r="G526" s="40"/>
      <c r="H526" s="40"/>
      <c r="I526" s="41"/>
      <c r="J526" s="40"/>
      <c r="K526" s="42"/>
      <c r="M526" s="47"/>
      <c r="N526" s="48"/>
      <c r="O526" s="49"/>
      <c r="Q526" s="3"/>
      <c r="R526" s="3"/>
      <c r="S526" s="3"/>
      <c r="T526" s="3"/>
      <c r="U526" s="3"/>
    </row>
    <row r="527" customFormat="false" ht="15.75" hidden="false" customHeight="false" outlineLevel="0" collapsed="false">
      <c r="F527" s="34"/>
      <c r="G527" s="35"/>
      <c r="H527" s="35"/>
      <c r="I527" s="36"/>
      <c r="J527" s="35"/>
      <c r="K527" s="37"/>
      <c r="M527" s="44"/>
      <c r="N527" s="45"/>
      <c r="O527" s="46"/>
      <c r="Q527" s="3"/>
      <c r="R527" s="3"/>
      <c r="S527" s="3"/>
      <c r="T527" s="3"/>
      <c r="U527" s="3"/>
    </row>
    <row r="528" customFormat="false" ht="15.75" hidden="false" customHeight="false" outlineLevel="0" collapsed="false">
      <c r="F528" s="39"/>
      <c r="G528" s="40"/>
      <c r="H528" s="40"/>
      <c r="I528" s="41"/>
      <c r="J528" s="40"/>
      <c r="K528" s="42"/>
      <c r="M528" s="47"/>
      <c r="N528" s="48"/>
      <c r="O528" s="49"/>
      <c r="Q528" s="3"/>
      <c r="R528" s="3"/>
      <c r="S528" s="3"/>
      <c r="T528" s="3"/>
      <c r="U528" s="3"/>
    </row>
    <row r="529" customFormat="false" ht="15.75" hidden="false" customHeight="false" outlineLevel="0" collapsed="false">
      <c r="F529" s="34"/>
      <c r="G529" s="35"/>
      <c r="H529" s="35"/>
      <c r="I529" s="36"/>
      <c r="J529" s="35"/>
      <c r="K529" s="37"/>
      <c r="M529" s="44"/>
      <c r="N529" s="45"/>
      <c r="O529" s="46"/>
      <c r="Q529" s="3"/>
      <c r="R529" s="3"/>
      <c r="S529" s="3"/>
      <c r="T529" s="3"/>
      <c r="U529" s="3"/>
    </row>
    <row r="530" customFormat="false" ht="15.75" hidden="false" customHeight="false" outlineLevel="0" collapsed="false">
      <c r="F530" s="39"/>
      <c r="G530" s="40"/>
      <c r="H530" s="40"/>
      <c r="I530" s="41"/>
      <c r="J530" s="40"/>
      <c r="K530" s="42"/>
      <c r="M530" s="47"/>
      <c r="N530" s="48"/>
      <c r="O530" s="49"/>
      <c r="Q530" s="3"/>
      <c r="R530" s="3"/>
      <c r="S530" s="3"/>
      <c r="T530" s="3"/>
      <c r="U530" s="3"/>
    </row>
    <row r="531" customFormat="false" ht="15.75" hidden="false" customHeight="false" outlineLevel="0" collapsed="false">
      <c r="F531" s="34"/>
      <c r="G531" s="35"/>
      <c r="H531" s="35"/>
      <c r="I531" s="36"/>
      <c r="J531" s="35"/>
      <c r="K531" s="37"/>
      <c r="M531" s="44"/>
      <c r="N531" s="45"/>
      <c r="O531" s="46"/>
      <c r="Q531" s="3"/>
      <c r="R531" s="3"/>
      <c r="S531" s="3"/>
      <c r="T531" s="3"/>
      <c r="U531" s="3"/>
    </row>
    <row r="532" customFormat="false" ht="15.75" hidden="false" customHeight="false" outlineLevel="0" collapsed="false">
      <c r="F532" s="39"/>
      <c r="G532" s="40"/>
      <c r="H532" s="40"/>
      <c r="I532" s="41"/>
      <c r="J532" s="40"/>
      <c r="K532" s="42"/>
      <c r="M532" s="47"/>
      <c r="N532" s="48"/>
      <c r="O532" s="49"/>
      <c r="Q532" s="3"/>
      <c r="R532" s="3"/>
      <c r="S532" s="3"/>
      <c r="T532" s="3"/>
      <c r="U532" s="3"/>
    </row>
    <row r="533" customFormat="false" ht="15.75" hidden="false" customHeight="false" outlineLevel="0" collapsed="false">
      <c r="F533" s="34"/>
      <c r="G533" s="35"/>
      <c r="H533" s="35"/>
      <c r="I533" s="36"/>
      <c r="J533" s="35"/>
      <c r="K533" s="37"/>
      <c r="M533" s="44"/>
      <c r="N533" s="45"/>
      <c r="O533" s="46"/>
      <c r="Q533" s="3"/>
      <c r="R533" s="3"/>
      <c r="S533" s="3"/>
      <c r="T533" s="3"/>
      <c r="U533" s="3"/>
    </row>
    <row r="534" customFormat="false" ht="15.75" hidden="false" customHeight="false" outlineLevel="0" collapsed="false">
      <c r="F534" s="39"/>
      <c r="G534" s="40"/>
      <c r="H534" s="40"/>
      <c r="I534" s="41"/>
      <c r="J534" s="40"/>
      <c r="K534" s="42"/>
      <c r="M534" s="47"/>
      <c r="N534" s="48"/>
      <c r="O534" s="49"/>
      <c r="Q534" s="3"/>
      <c r="R534" s="3"/>
      <c r="S534" s="3"/>
      <c r="T534" s="3"/>
      <c r="U534" s="3"/>
    </row>
    <row r="535" customFormat="false" ht="15.75" hidden="false" customHeight="false" outlineLevel="0" collapsed="false">
      <c r="F535" s="34"/>
      <c r="G535" s="35"/>
      <c r="H535" s="35"/>
      <c r="I535" s="36"/>
      <c r="J535" s="35"/>
      <c r="K535" s="37"/>
      <c r="M535" s="44"/>
      <c r="N535" s="45"/>
      <c r="O535" s="46"/>
      <c r="Q535" s="3"/>
      <c r="R535" s="3"/>
      <c r="S535" s="3"/>
      <c r="T535" s="3"/>
      <c r="U535" s="3"/>
    </row>
    <row r="536" customFormat="false" ht="15.75" hidden="false" customHeight="false" outlineLevel="0" collapsed="false">
      <c r="F536" s="39"/>
      <c r="G536" s="40"/>
      <c r="H536" s="40"/>
      <c r="I536" s="41"/>
      <c r="J536" s="40"/>
      <c r="K536" s="42"/>
      <c r="M536" s="47"/>
      <c r="N536" s="48"/>
      <c r="O536" s="49"/>
      <c r="Q536" s="3"/>
      <c r="R536" s="3"/>
      <c r="S536" s="3"/>
      <c r="T536" s="3"/>
      <c r="U536" s="3"/>
    </row>
    <row r="537" customFormat="false" ht="15.75" hidden="false" customHeight="false" outlineLevel="0" collapsed="false">
      <c r="F537" s="34"/>
      <c r="G537" s="35"/>
      <c r="H537" s="35"/>
      <c r="I537" s="36"/>
      <c r="J537" s="35"/>
      <c r="K537" s="37"/>
      <c r="M537" s="44"/>
      <c r="N537" s="45"/>
      <c r="O537" s="46"/>
      <c r="Q537" s="3"/>
      <c r="R537" s="3"/>
      <c r="S537" s="3"/>
      <c r="T537" s="3"/>
      <c r="U537" s="3"/>
    </row>
    <row r="538" customFormat="false" ht="15.75" hidden="false" customHeight="false" outlineLevel="0" collapsed="false">
      <c r="F538" s="39"/>
      <c r="G538" s="40"/>
      <c r="H538" s="40"/>
      <c r="I538" s="41"/>
      <c r="J538" s="40"/>
      <c r="K538" s="42"/>
      <c r="M538" s="47"/>
      <c r="N538" s="48"/>
      <c r="O538" s="49"/>
      <c r="Q538" s="3"/>
      <c r="R538" s="3"/>
      <c r="S538" s="3"/>
      <c r="T538" s="3"/>
      <c r="U538" s="3"/>
    </row>
    <row r="539" customFormat="false" ht="15.75" hidden="false" customHeight="false" outlineLevel="0" collapsed="false">
      <c r="F539" s="34"/>
      <c r="G539" s="35"/>
      <c r="H539" s="35"/>
      <c r="I539" s="36"/>
      <c r="J539" s="35"/>
      <c r="K539" s="37"/>
      <c r="M539" s="44"/>
      <c r="N539" s="45"/>
      <c r="O539" s="46"/>
      <c r="Q539" s="3"/>
      <c r="R539" s="3"/>
      <c r="S539" s="3"/>
      <c r="T539" s="3"/>
      <c r="U539" s="3"/>
    </row>
    <row r="540" customFormat="false" ht="15.75" hidden="false" customHeight="false" outlineLevel="0" collapsed="false">
      <c r="F540" s="39"/>
      <c r="G540" s="40"/>
      <c r="H540" s="40"/>
      <c r="I540" s="41"/>
      <c r="J540" s="40"/>
      <c r="K540" s="42"/>
      <c r="M540" s="47"/>
      <c r="N540" s="48"/>
      <c r="O540" s="49"/>
      <c r="Q540" s="3"/>
      <c r="R540" s="3"/>
      <c r="S540" s="3"/>
      <c r="T540" s="3"/>
      <c r="U540" s="3"/>
    </row>
    <row r="541" customFormat="false" ht="15.75" hidden="false" customHeight="false" outlineLevel="0" collapsed="false">
      <c r="F541" s="34"/>
      <c r="G541" s="35"/>
      <c r="H541" s="35"/>
      <c r="I541" s="36"/>
      <c r="J541" s="35"/>
      <c r="K541" s="37"/>
      <c r="M541" s="44"/>
      <c r="N541" s="45"/>
      <c r="O541" s="46"/>
      <c r="Q541" s="3"/>
      <c r="R541" s="3"/>
      <c r="S541" s="3"/>
      <c r="T541" s="3"/>
      <c r="U541" s="3"/>
    </row>
    <row r="542" customFormat="false" ht="15.75" hidden="false" customHeight="false" outlineLevel="0" collapsed="false">
      <c r="F542" s="39"/>
      <c r="G542" s="40"/>
      <c r="H542" s="40"/>
      <c r="I542" s="41"/>
      <c r="J542" s="40"/>
      <c r="K542" s="42"/>
      <c r="M542" s="47"/>
      <c r="N542" s="48"/>
      <c r="O542" s="49"/>
      <c r="Q542" s="3"/>
      <c r="R542" s="3"/>
      <c r="S542" s="3"/>
      <c r="T542" s="3"/>
      <c r="U542" s="3"/>
    </row>
    <row r="543" customFormat="false" ht="15.75" hidden="false" customHeight="false" outlineLevel="0" collapsed="false">
      <c r="F543" s="34"/>
      <c r="G543" s="35"/>
      <c r="H543" s="35"/>
      <c r="I543" s="36"/>
      <c r="J543" s="35"/>
      <c r="K543" s="37"/>
      <c r="M543" s="44"/>
      <c r="N543" s="45"/>
      <c r="O543" s="46"/>
      <c r="Q543" s="3"/>
      <c r="R543" s="3"/>
      <c r="S543" s="3"/>
      <c r="T543" s="3"/>
      <c r="U543" s="3"/>
    </row>
    <row r="544" customFormat="false" ht="15.75" hidden="false" customHeight="false" outlineLevel="0" collapsed="false">
      <c r="F544" s="39"/>
      <c r="G544" s="40"/>
      <c r="H544" s="40"/>
      <c r="I544" s="41"/>
      <c r="J544" s="40"/>
      <c r="K544" s="42"/>
      <c r="M544" s="47"/>
      <c r="N544" s="48"/>
      <c r="O544" s="49"/>
      <c r="Q544" s="3"/>
      <c r="R544" s="3"/>
      <c r="S544" s="3"/>
      <c r="T544" s="3"/>
      <c r="U544" s="3"/>
    </row>
    <row r="545" customFormat="false" ht="15.75" hidden="false" customHeight="false" outlineLevel="0" collapsed="false">
      <c r="F545" s="34"/>
      <c r="G545" s="35"/>
      <c r="H545" s="35"/>
      <c r="I545" s="36"/>
      <c r="J545" s="35"/>
      <c r="K545" s="37"/>
      <c r="M545" s="44"/>
      <c r="N545" s="45"/>
      <c r="O545" s="46"/>
      <c r="Q545" s="3"/>
      <c r="R545" s="3"/>
      <c r="S545" s="3"/>
      <c r="T545" s="3"/>
      <c r="U545" s="3"/>
    </row>
    <row r="546" customFormat="false" ht="15.75" hidden="false" customHeight="false" outlineLevel="0" collapsed="false">
      <c r="F546" s="39"/>
      <c r="G546" s="40"/>
      <c r="H546" s="40"/>
      <c r="I546" s="41"/>
      <c r="J546" s="40"/>
      <c r="K546" s="42"/>
      <c r="M546" s="47"/>
      <c r="N546" s="48"/>
      <c r="O546" s="49"/>
      <c r="Q546" s="3"/>
      <c r="R546" s="3"/>
      <c r="S546" s="3"/>
      <c r="T546" s="3"/>
      <c r="U546" s="3"/>
    </row>
    <row r="547" customFormat="false" ht="15.75" hidden="false" customHeight="false" outlineLevel="0" collapsed="false">
      <c r="F547" s="34"/>
      <c r="G547" s="35"/>
      <c r="H547" s="35"/>
      <c r="I547" s="36"/>
      <c r="J547" s="35"/>
      <c r="K547" s="37"/>
      <c r="M547" s="44"/>
      <c r="N547" s="45"/>
      <c r="O547" s="46"/>
      <c r="Q547" s="3"/>
      <c r="R547" s="3"/>
      <c r="S547" s="3"/>
      <c r="T547" s="3"/>
      <c r="U547" s="3"/>
    </row>
    <row r="548" customFormat="false" ht="15.75" hidden="false" customHeight="false" outlineLevel="0" collapsed="false">
      <c r="F548" s="39"/>
      <c r="G548" s="40"/>
      <c r="H548" s="40"/>
      <c r="I548" s="41"/>
      <c r="J548" s="40"/>
      <c r="K548" s="42"/>
      <c r="M548" s="47"/>
      <c r="N548" s="48"/>
      <c r="O548" s="49"/>
      <c r="Q548" s="3"/>
      <c r="R548" s="3"/>
      <c r="S548" s="3"/>
      <c r="T548" s="3"/>
      <c r="U548" s="3"/>
    </row>
    <row r="549" customFormat="false" ht="15.75" hidden="false" customHeight="false" outlineLevel="0" collapsed="false">
      <c r="F549" s="34"/>
      <c r="G549" s="35"/>
      <c r="H549" s="35"/>
      <c r="I549" s="36"/>
      <c r="J549" s="35"/>
      <c r="K549" s="37"/>
      <c r="M549" s="44"/>
      <c r="N549" s="45"/>
      <c r="O549" s="46"/>
      <c r="Q549" s="3"/>
      <c r="R549" s="3"/>
      <c r="S549" s="3"/>
      <c r="T549" s="3"/>
      <c r="U549" s="3"/>
    </row>
    <row r="550" customFormat="false" ht="15.75" hidden="false" customHeight="false" outlineLevel="0" collapsed="false">
      <c r="F550" s="39"/>
      <c r="G550" s="40"/>
      <c r="H550" s="40"/>
      <c r="I550" s="41"/>
      <c r="J550" s="40"/>
      <c r="K550" s="42"/>
      <c r="M550" s="47"/>
      <c r="N550" s="48"/>
      <c r="O550" s="49"/>
      <c r="Q550" s="3"/>
      <c r="R550" s="3"/>
      <c r="S550" s="3"/>
      <c r="T550" s="3"/>
      <c r="U550" s="3"/>
    </row>
    <row r="551" customFormat="false" ht="15.75" hidden="false" customHeight="false" outlineLevel="0" collapsed="false">
      <c r="F551" s="34"/>
      <c r="G551" s="35"/>
      <c r="H551" s="35"/>
      <c r="I551" s="36"/>
      <c r="J551" s="35"/>
      <c r="K551" s="37"/>
      <c r="M551" s="44"/>
      <c r="N551" s="45"/>
      <c r="O551" s="46"/>
      <c r="Q551" s="3"/>
      <c r="R551" s="3"/>
      <c r="S551" s="3"/>
      <c r="T551" s="3"/>
      <c r="U551" s="3"/>
    </row>
    <row r="552" customFormat="false" ht="15.75" hidden="false" customHeight="false" outlineLevel="0" collapsed="false">
      <c r="F552" s="39"/>
      <c r="G552" s="40"/>
      <c r="H552" s="40"/>
      <c r="I552" s="41"/>
      <c r="J552" s="40"/>
      <c r="K552" s="42"/>
      <c r="M552" s="47"/>
      <c r="N552" s="48"/>
      <c r="O552" s="49"/>
      <c r="Q552" s="3"/>
      <c r="R552" s="3"/>
      <c r="S552" s="3"/>
      <c r="T552" s="3"/>
      <c r="U552" s="3"/>
    </row>
    <row r="553" customFormat="false" ht="15.75" hidden="false" customHeight="false" outlineLevel="0" collapsed="false">
      <c r="F553" s="34"/>
      <c r="G553" s="35"/>
      <c r="H553" s="35"/>
      <c r="I553" s="36"/>
      <c r="J553" s="35"/>
      <c r="K553" s="37"/>
      <c r="M553" s="44"/>
      <c r="N553" s="45"/>
      <c r="O553" s="46"/>
      <c r="Q553" s="3"/>
      <c r="R553" s="3"/>
      <c r="S553" s="3"/>
      <c r="T553" s="3"/>
      <c r="U553" s="3"/>
    </row>
    <row r="554" customFormat="false" ht="15.75" hidden="false" customHeight="false" outlineLevel="0" collapsed="false">
      <c r="F554" s="39"/>
      <c r="G554" s="40"/>
      <c r="H554" s="40"/>
      <c r="I554" s="41"/>
      <c r="J554" s="40"/>
      <c r="K554" s="42"/>
      <c r="M554" s="47"/>
      <c r="N554" s="48"/>
      <c r="O554" s="49"/>
      <c r="Q554" s="3"/>
      <c r="R554" s="3"/>
      <c r="S554" s="3"/>
      <c r="T554" s="3"/>
      <c r="U554" s="3"/>
    </row>
    <row r="555" customFormat="false" ht="15.75" hidden="false" customHeight="false" outlineLevel="0" collapsed="false">
      <c r="F555" s="34"/>
      <c r="G555" s="35"/>
      <c r="H555" s="35"/>
      <c r="I555" s="36"/>
      <c r="J555" s="35"/>
      <c r="K555" s="37"/>
      <c r="M555" s="44"/>
      <c r="N555" s="45"/>
      <c r="O555" s="46"/>
      <c r="Q555" s="3"/>
      <c r="R555" s="3"/>
      <c r="S555" s="3"/>
      <c r="T555" s="3"/>
      <c r="U555" s="3"/>
    </row>
    <row r="556" customFormat="false" ht="15.75" hidden="false" customHeight="false" outlineLevel="0" collapsed="false">
      <c r="F556" s="39"/>
      <c r="G556" s="40"/>
      <c r="H556" s="40"/>
      <c r="I556" s="41"/>
      <c r="J556" s="40"/>
      <c r="K556" s="42"/>
      <c r="M556" s="47"/>
      <c r="N556" s="48"/>
      <c r="O556" s="49"/>
      <c r="Q556" s="3"/>
      <c r="R556" s="3"/>
      <c r="S556" s="3"/>
      <c r="T556" s="3"/>
      <c r="U556" s="3"/>
    </row>
    <row r="557" customFormat="false" ht="15.75" hidden="false" customHeight="false" outlineLevel="0" collapsed="false">
      <c r="F557" s="34"/>
      <c r="G557" s="35"/>
      <c r="H557" s="35"/>
      <c r="I557" s="36"/>
      <c r="J557" s="35"/>
      <c r="K557" s="37"/>
      <c r="M557" s="44"/>
      <c r="N557" s="45"/>
      <c r="O557" s="46"/>
      <c r="Q557" s="3"/>
      <c r="R557" s="3"/>
      <c r="S557" s="3"/>
      <c r="T557" s="3"/>
      <c r="U557" s="3"/>
    </row>
    <row r="558" customFormat="false" ht="15.75" hidden="false" customHeight="false" outlineLevel="0" collapsed="false">
      <c r="F558" s="39"/>
      <c r="G558" s="40"/>
      <c r="H558" s="40"/>
      <c r="I558" s="41"/>
      <c r="J558" s="40"/>
      <c r="K558" s="42"/>
      <c r="M558" s="47"/>
      <c r="N558" s="48"/>
      <c r="O558" s="49"/>
      <c r="Q558" s="3"/>
      <c r="R558" s="3"/>
      <c r="S558" s="3"/>
      <c r="T558" s="3"/>
      <c r="U558" s="3"/>
    </row>
    <row r="559" customFormat="false" ht="15.75" hidden="false" customHeight="false" outlineLevel="0" collapsed="false">
      <c r="F559" s="34"/>
      <c r="G559" s="35"/>
      <c r="H559" s="35"/>
      <c r="I559" s="36"/>
      <c r="J559" s="35"/>
      <c r="K559" s="37"/>
      <c r="M559" s="44"/>
      <c r="N559" s="45"/>
      <c r="O559" s="46"/>
      <c r="Q559" s="3"/>
      <c r="R559" s="3"/>
      <c r="S559" s="3"/>
      <c r="T559" s="3"/>
      <c r="U559" s="3"/>
    </row>
    <row r="560" customFormat="false" ht="15.75" hidden="false" customHeight="false" outlineLevel="0" collapsed="false">
      <c r="F560" s="39"/>
      <c r="G560" s="40"/>
      <c r="H560" s="40"/>
      <c r="I560" s="41"/>
      <c r="J560" s="40"/>
      <c r="K560" s="42"/>
      <c r="M560" s="47"/>
      <c r="N560" s="48"/>
      <c r="O560" s="49"/>
      <c r="Q560" s="3"/>
      <c r="R560" s="3"/>
      <c r="S560" s="3"/>
      <c r="T560" s="3"/>
      <c r="U560" s="3"/>
    </row>
    <row r="561" customFormat="false" ht="15.75" hidden="false" customHeight="false" outlineLevel="0" collapsed="false">
      <c r="F561" s="34"/>
      <c r="G561" s="35"/>
      <c r="H561" s="35"/>
      <c r="I561" s="36"/>
      <c r="J561" s="35"/>
      <c r="K561" s="37"/>
      <c r="M561" s="44"/>
      <c r="N561" s="45"/>
      <c r="O561" s="46"/>
      <c r="Q561" s="3"/>
      <c r="R561" s="3"/>
      <c r="S561" s="3"/>
      <c r="T561" s="3"/>
      <c r="U561" s="3"/>
    </row>
    <row r="562" customFormat="false" ht="15.75" hidden="false" customHeight="false" outlineLevel="0" collapsed="false">
      <c r="F562" s="39"/>
      <c r="G562" s="40"/>
      <c r="H562" s="40"/>
      <c r="I562" s="41"/>
      <c r="J562" s="40"/>
      <c r="K562" s="42"/>
      <c r="M562" s="47"/>
      <c r="N562" s="48"/>
      <c r="O562" s="49"/>
      <c r="Q562" s="3"/>
      <c r="R562" s="3"/>
      <c r="S562" s="3"/>
      <c r="T562" s="3"/>
      <c r="U562" s="3"/>
    </row>
    <row r="563" customFormat="false" ht="15.75" hidden="false" customHeight="false" outlineLevel="0" collapsed="false">
      <c r="F563" s="34"/>
      <c r="G563" s="35"/>
      <c r="H563" s="35"/>
      <c r="I563" s="36"/>
      <c r="J563" s="35"/>
      <c r="K563" s="37"/>
      <c r="M563" s="44"/>
      <c r="N563" s="45"/>
      <c r="O563" s="46"/>
      <c r="Q563" s="3"/>
      <c r="R563" s="3"/>
      <c r="S563" s="3"/>
      <c r="T563" s="3"/>
      <c r="U563" s="3"/>
    </row>
    <row r="564" customFormat="false" ht="15.75" hidden="false" customHeight="false" outlineLevel="0" collapsed="false">
      <c r="F564" s="39"/>
      <c r="G564" s="40"/>
      <c r="H564" s="40"/>
      <c r="I564" s="41"/>
      <c r="J564" s="40"/>
      <c r="K564" s="42"/>
      <c r="M564" s="47"/>
      <c r="N564" s="48"/>
      <c r="O564" s="49"/>
      <c r="Q564" s="3"/>
      <c r="R564" s="3"/>
      <c r="S564" s="3"/>
      <c r="T564" s="3"/>
      <c r="U564" s="3"/>
    </row>
    <row r="565" customFormat="false" ht="15.75" hidden="false" customHeight="false" outlineLevel="0" collapsed="false">
      <c r="F565" s="34"/>
      <c r="G565" s="35"/>
      <c r="H565" s="35"/>
      <c r="I565" s="36"/>
      <c r="J565" s="35"/>
      <c r="K565" s="37"/>
      <c r="M565" s="44"/>
      <c r="N565" s="45"/>
      <c r="O565" s="46"/>
      <c r="Q565" s="3"/>
      <c r="R565" s="3"/>
      <c r="S565" s="3"/>
      <c r="T565" s="3"/>
      <c r="U565" s="3"/>
    </row>
    <row r="566" customFormat="false" ht="15.75" hidden="false" customHeight="false" outlineLevel="0" collapsed="false">
      <c r="F566" s="39"/>
      <c r="G566" s="40"/>
      <c r="H566" s="40"/>
      <c r="I566" s="41"/>
      <c r="J566" s="40"/>
      <c r="K566" s="42"/>
      <c r="M566" s="47"/>
      <c r="N566" s="48"/>
      <c r="O566" s="49"/>
      <c r="Q566" s="3"/>
      <c r="R566" s="3"/>
      <c r="S566" s="3"/>
      <c r="T566" s="3"/>
      <c r="U566" s="3"/>
    </row>
    <row r="567" customFormat="false" ht="15.75" hidden="false" customHeight="false" outlineLevel="0" collapsed="false">
      <c r="F567" s="34"/>
      <c r="G567" s="35"/>
      <c r="H567" s="35"/>
      <c r="I567" s="36"/>
      <c r="J567" s="35"/>
      <c r="K567" s="37"/>
      <c r="M567" s="44"/>
      <c r="N567" s="45"/>
      <c r="O567" s="46"/>
      <c r="Q567" s="3"/>
      <c r="R567" s="3"/>
      <c r="S567" s="3"/>
      <c r="T567" s="3"/>
      <c r="U567" s="3"/>
    </row>
    <row r="568" customFormat="false" ht="15.75" hidden="false" customHeight="false" outlineLevel="0" collapsed="false">
      <c r="F568" s="39"/>
      <c r="G568" s="40"/>
      <c r="H568" s="40"/>
      <c r="I568" s="41"/>
      <c r="J568" s="40"/>
      <c r="K568" s="42"/>
      <c r="M568" s="47"/>
      <c r="N568" s="48"/>
      <c r="O568" s="49"/>
      <c r="Q568" s="3"/>
      <c r="R568" s="3"/>
      <c r="S568" s="3"/>
      <c r="T568" s="3"/>
      <c r="U568" s="3"/>
    </row>
    <row r="569" customFormat="false" ht="15.75" hidden="false" customHeight="false" outlineLevel="0" collapsed="false">
      <c r="F569" s="34"/>
      <c r="G569" s="35"/>
      <c r="H569" s="35"/>
      <c r="I569" s="36"/>
      <c r="J569" s="35"/>
      <c r="K569" s="37"/>
      <c r="M569" s="44"/>
      <c r="N569" s="45"/>
      <c r="O569" s="46"/>
      <c r="Q569" s="3"/>
      <c r="R569" s="3"/>
      <c r="S569" s="3"/>
      <c r="T569" s="3"/>
      <c r="U569" s="3"/>
    </row>
    <row r="570" customFormat="false" ht="15.75" hidden="false" customHeight="false" outlineLevel="0" collapsed="false">
      <c r="F570" s="39"/>
      <c r="G570" s="40"/>
      <c r="H570" s="40"/>
      <c r="I570" s="41"/>
      <c r="J570" s="40"/>
      <c r="K570" s="42"/>
      <c r="M570" s="47"/>
      <c r="N570" s="48"/>
      <c r="O570" s="49"/>
      <c r="Q570" s="3"/>
      <c r="R570" s="3"/>
      <c r="S570" s="3"/>
      <c r="T570" s="3"/>
      <c r="U570" s="3"/>
    </row>
    <row r="571" customFormat="false" ht="15.75" hidden="false" customHeight="false" outlineLevel="0" collapsed="false">
      <c r="F571" s="34"/>
      <c r="G571" s="35"/>
      <c r="H571" s="35"/>
      <c r="I571" s="36"/>
      <c r="J571" s="35"/>
      <c r="K571" s="37"/>
      <c r="M571" s="44"/>
      <c r="N571" s="45"/>
      <c r="O571" s="46"/>
      <c r="Q571" s="3"/>
      <c r="R571" s="3"/>
      <c r="S571" s="3"/>
      <c r="T571" s="3"/>
      <c r="U571" s="3"/>
    </row>
    <row r="572" customFormat="false" ht="15.75" hidden="false" customHeight="false" outlineLevel="0" collapsed="false">
      <c r="F572" s="39"/>
      <c r="G572" s="40"/>
      <c r="H572" s="40"/>
      <c r="I572" s="41"/>
      <c r="J572" s="40"/>
      <c r="K572" s="42"/>
      <c r="M572" s="47"/>
      <c r="N572" s="48"/>
      <c r="O572" s="49"/>
      <c r="Q572" s="3"/>
      <c r="R572" s="3"/>
      <c r="S572" s="3"/>
      <c r="T572" s="3"/>
      <c r="U572" s="3"/>
    </row>
    <row r="573" customFormat="false" ht="15.75" hidden="false" customHeight="false" outlineLevel="0" collapsed="false">
      <c r="F573" s="34"/>
      <c r="G573" s="35"/>
      <c r="H573" s="35"/>
      <c r="I573" s="36"/>
      <c r="J573" s="35"/>
      <c r="K573" s="37"/>
      <c r="M573" s="44"/>
      <c r="N573" s="45"/>
      <c r="O573" s="46"/>
      <c r="Q573" s="3"/>
      <c r="R573" s="3"/>
      <c r="S573" s="3"/>
      <c r="T573" s="3"/>
      <c r="U573" s="3"/>
    </row>
    <row r="574" customFormat="false" ht="15.75" hidden="false" customHeight="false" outlineLevel="0" collapsed="false">
      <c r="F574" s="39"/>
      <c r="G574" s="40"/>
      <c r="H574" s="40"/>
      <c r="I574" s="41"/>
      <c r="J574" s="40"/>
      <c r="K574" s="42"/>
      <c r="M574" s="47"/>
      <c r="N574" s="48"/>
      <c r="O574" s="49"/>
      <c r="Q574" s="3"/>
      <c r="R574" s="3"/>
      <c r="S574" s="3"/>
      <c r="T574" s="3"/>
      <c r="U574" s="3"/>
    </row>
    <row r="575" customFormat="false" ht="15.75" hidden="false" customHeight="false" outlineLevel="0" collapsed="false">
      <c r="F575" s="34"/>
      <c r="G575" s="35"/>
      <c r="H575" s="35"/>
      <c r="I575" s="36"/>
      <c r="J575" s="35"/>
      <c r="K575" s="37"/>
      <c r="M575" s="44"/>
      <c r="N575" s="45"/>
      <c r="O575" s="46"/>
      <c r="Q575" s="3"/>
      <c r="R575" s="3"/>
      <c r="S575" s="3"/>
      <c r="T575" s="3"/>
      <c r="U575" s="3"/>
    </row>
    <row r="576" customFormat="false" ht="15.75" hidden="false" customHeight="false" outlineLevel="0" collapsed="false">
      <c r="F576" s="39"/>
      <c r="G576" s="40"/>
      <c r="H576" s="40"/>
      <c r="I576" s="41"/>
      <c r="J576" s="40"/>
      <c r="K576" s="42"/>
      <c r="M576" s="47"/>
      <c r="N576" s="48"/>
      <c r="O576" s="49"/>
      <c r="Q576" s="3"/>
      <c r="R576" s="3"/>
      <c r="S576" s="3"/>
      <c r="T576" s="3"/>
      <c r="U576" s="3"/>
    </row>
    <row r="577" customFormat="false" ht="15.75" hidden="false" customHeight="false" outlineLevel="0" collapsed="false">
      <c r="F577" s="34"/>
      <c r="G577" s="35"/>
      <c r="H577" s="35"/>
      <c r="I577" s="36"/>
      <c r="J577" s="35"/>
      <c r="K577" s="37"/>
      <c r="M577" s="44"/>
      <c r="N577" s="45"/>
      <c r="O577" s="46"/>
      <c r="Q577" s="3"/>
      <c r="R577" s="3"/>
      <c r="S577" s="3"/>
      <c r="T577" s="3"/>
      <c r="U577" s="3"/>
    </row>
    <row r="578" customFormat="false" ht="15.75" hidden="false" customHeight="false" outlineLevel="0" collapsed="false">
      <c r="F578" s="39"/>
      <c r="G578" s="40"/>
      <c r="H578" s="40"/>
      <c r="I578" s="41"/>
      <c r="J578" s="40"/>
      <c r="K578" s="42"/>
      <c r="M578" s="47"/>
      <c r="N578" s="48"/>
      <c r="O578" s="49"/>
      <c r="Q578" s="3"/>
      <c r="R578" s="3"/>
      <c r="S578" s="3"/>
      <c r="T578" s="3"/>
      <c r="U578" s="3"/>
    </row>
    <row r="579" customFormat="false" ht="15.75" hidden="false" customHeight="false" outlineLevel="0" collapsed="false">
      <c r="F579" s="34"/>
      <c r="G579" s="35"/>
      <c r="H579" s="35"/>
      <c r="I579" s="36"/>
      <c r="J579" s="35"/>
      <c r="K579" s="37"/>
      <c r="M579" s="44"/>
      <c r="N579" s="45"/>
      <c r="O579" s="46"/>
      <c r="Q579" s="3"/>
      <c r="R579" s="3"/>
      <c r="S579" s="3"/>
      <c r="T579" s="3"/>
      <c r="U579" s="3"/>
    </row>
    <row r="580" customFormat="false" ht="15.75" hidden="false" customHeight="false" outlineLevel="0" collapsed="false">
      <c r="F580" s="39"/>
      <c r="G580" s="40"/>
      <c r="H580" s="40"/>
      <c r="I580" s="41"/>
      <c r="J580" s="40"/>
      <c r="K580" s="42"/>
      <c r="M580" s="47"/>
      <c r="N580" s="48"/>
      <c r="O580" s="49"/>
      <c r="Q580" s="3"/>
      <c r="R580" s="3"/>
      <c r="S580" s="3"/>
      <c r="T580" s="3"/>
      <c r="U580" s="3"/>
    </row>
    <row r="581" customFormat="false" ht="15.75" hidden="false" customHeight="false" outlineLevel="0" collapsed="false">
      <c r="F581" s="34"/>
      <c r="G581" s="35"/>
      <c r="H581" s="35"/>
      <c r="I581" s="36"/>
      <c r="J581" s="35"/>
      <c r="K581" s="37"/>
      <c r="M581" s="44"/>
      <c r="N581" s="45"/>
      <c r="O581" s="46"/>
      <c r="Q581" s="3"/>
      <c r="R581" s="3"/>
      <c r="S581" s="3"/>
      <c r="T581" s="3"/>
      <c r="U581" s="3"/>
    </row>
    <row r="582" customFormat="false" ht="15.75" hidden="false" customHeight="false" outlineLevel="0" collapsed="false">
      <c r="F582" s="39"/>
      <c r="G582" s="40"/>
      <c r="H582" s="40"/>
      <c r="I582" s="41"/>
      <c r="J582" s="40"/>
      <c r="K582" s="42"/>
      <c r="M582" s="47"/>
      <c r="N582" s="48"/>
      <c r="O582" s="49"/>
      <c r="Q582" s="3"/>
      <c r="R582" s="3"/>
      <c r="S582" s="3"/>
      <c r="T582" s="3"/>
      <c r="U582" s="3"/>
    </row>
    <row r="583" customFormat="false" ht="15.75" hidden="false" customHeight="false" outlineLevel="0" collapsed="false">
      <c r="F583" s="34"/>
      <c r="G583" s="35"/>
      <c r="H583" s="35"/>
      <c r="I583" s="36"/>
      <c r="J583" s="35"/>
      <c r="K583" s="37"/>
      <c r="M583" s="44"/>
      <c r="N583" s="45"/>
      <c r="O583" s="46"/>
      <c r="Q583" s="3"/>
      <c r="R583" s="3"/>
      <c r="S583" s="3"/>
      <c r="T583" s="3"/>
      <c r="U583" s="3"/>
    </row>
    <row r="584" customFormat="false" ht="15.75" hidden="false" customHeight="false" outlineLevel="0" collapsed="false">
      <c r="F584" s="39"/>
      <c r="G584" s="40"/>
      <c r="H584" s="40"/>
      <c r="I584" s="41"/>
      <c r="J584" s="40"/>
      <c r="K584" s="42"/>
      <c r="M584" s="47"/>
      <c r="N584" s="48"/>
      <c r="O584" s="49"/>
      <c r="Q584" s="3"/>
      <c r="R584" s="3"/>
      <c r="S584" s="3"/>
      <c r="T584" s="3"/>
      <c r="U584" s="3"/>
    </row>
    <row r="585" customFormat="false" ht="15.75" hidden="false" customHeight="false" outlineLevel="0" collapsed="false">
      <c r="F585" s="34"/>
      <c r="G585" s="35"/>
      <c r="H585" s="35"/>
      <c r="I585" s="36"/>
      <c r="J585" s="35"/>
      <c r="K585" s="37"/>
      <c r="M585" s="44"/>
      <c r="N585" s="45"/>
      <c r="O585" s="46"/>
      <c r="Q585" s="3"/>
      <c r="R585" s="3"/>
      <c r="S585" s="3"/>
      <c r="T585" s="3"/>
      <c r="U585" s="3"/>
    </row>
    <row r="586" customFormat="false" ht="15.75" hidden="false" customHeight="false" outlineLevel="0" collapsed="false">
      <c r="F586" s="39"/>
      <c r="G586" s="40"/>
      <c r="H586" s="40"/>
      <c r="I586" s="41"/>
      <c r="J586" s="40"/>
      <c r="K586" s="42"/>
      <c r="M586" s="47"/>
      <c r="N586" s="48"/>
      <c r="O586" s="49"/>
      <c r="Q586" s="3"/>
      <c r="R586" s="3"/>
      <c r="S586" s="3"/>
      <c r="T586" s="3"/>
      <c r="U586" s="3"/>
    </row>
    <row r="587" customFormat="false" ht="15.75" hidden="false" customHeight="false" outlineLevel="0" collapsed="false">
      <c r="F587" s="34"/>
      <c r="G587" s="35"/>
      <c r="H587" s="35"/>
      <c r="I587" s="36"/>
      <c r="J587" s="35"/>
      <c r="K587" s="37"/>
      <c r="M587" s="44"/>
      <c r="N587" s="45"/>
      <c r="O587" s="46"/>
      <c r="Q587" s="3"/>
      <c r="R587" s="3"/>
      <c r="S587" s="3"/>
      <c r="T587" s="3"/>
      <c r="U587" s="3"/>
    </row>
    <row r="588" customFormat="false" ht="15.75" hidden="false" customHeight="false" outlineLevel="0" collapsed="false">
      <c r="F588" s="39"/>
      <c r="G588" s="40"/>
      <c r="H588" s="40"/>
      <c r="I588" s="41"/>
      <c r="J588" s="40"/>
      <c r="K588" s="42"/>
      <c r="M588" s="47"/>
      <c r="N588" s="48"/>
      <c r="O588" s="49"/>
      <c r="Q588" s="3"/>
      <c r="R588" s="3"/>
      <c r="S588" s="3"/>
      <c r="T588" s="3"/>
      <c r="U588" s="3"/>
    </row>
    <row r="589" customFormat="false" ht="15.75" hidden="false" customHeight="false" outlineLevel="0" collapsed="false">
      <c r="F589" s="34"/>
      <c r="G589" s="35"/>
      <c r="H589" s="35"/>
      <c r="I589" s="36"/>
      <c r="J589" s="35"/>
      <c r="K589" s="37"/>
      <c r="M589" s="44"/>
      <c r="N589" s="45"/>
      <c r="O589" s="46"/>
      <c r="Q589" s="3"/>
      <c r="R589" s="3"/>
      <c r="S589" s="3"/>
      <c r="T589" s="3"/>
      <c r="U589" s="3"/>
    </row>
    <row r="590" customFormat="false" ht="15.75" hidden="false" customHeight="false" outlineLevel="0" collapsed="false">
      <c r="F590" s="39"/>
      <c r="G590" s="40"/>
      <c r="H590" s="40"/>
      <c r="I590" s="41"/>
      <c r="J590" s="40"/>
      <c r="K590" s="42"/>
      <c r="M590" s="47"/>
      <c r="N590" s="48"/>
      <c r="O590" s="49"/>
      <c r="Q590" s="3"/>
      <c r="R590" s="3"/>
      <c r="S590" s="3"/>
      <c r="T590" s="3"/>
      <c r="U590" s="3"/>
    </row>
    <row r="591" customFormat="false" ht="15.75" hidden="false" customHeight="false" outlineLevel="0" collapsed="false">
      <c r="F591" s="34"/>
      <c r="G591" s="35"/>
      <c r="H591" s="35"/>
      <c r="I591" s="36"/>
      <c r="J591" s="35"/>
      <c r="K591" s="37"/>
      <c r="M591" s="44"/>
      <c r="N591" s="45"/>
      <c r="O591" s="46"/>
      <c r="Q591" s="3"/>
      <c r="R591" s="3"/>
      <c r="S591" s="3"/>
      <c r="T591" s="3"/>
      <c r="U591" s="3"/>
    </row>
    <row r="592" customFormat="false" ht="15.75" hidden="false" customHeight="false" outlineLevel="0" collapsed="false">
      <c r="F592" s="39"/>
      <c r="G592" s="40"/>
      <c r="H592" s="40"/>
      <c r="I592" s="41"/>
      <c r="J592" s="40"/>
      <c r="K592" s="42"/>
      <c r="M592" s="47"/>
      <c r="N592" s="48"/>
      <c r="O592" s="49"/>
      <c r="Q592" s="3"/>
      <c r="R592" s="3"/>
      <c r="S592" s="3"/>
      <c r="T592" s="3"/>
      <c r="U592" s="3"/>
    </row>
    <row r="593" customFormat="false" ht="15.75" hidden="false" customHeight="false" outlineLevel="0" collapsed="false">
      <c r="F593" s="34"/>
      <c r="G593" s="35"/>
      <c r="H593" s="35"/>
      <c r="I593" s="36"/>
      <c r="J593" s="35"/>
      <c r="K593" s="37"/>
      <c r="M593" s="44"/>
      <c r="N593" s="45"/>
      <c r="O593" s="46"/>
      <c r="Q593" s="3"/>
      <c r="R593" s="3"/>
      <c r="S593" s="3"/>
      <c r="T593" s="3"/>
      <c r="U593" s="3"/>
    </row>
    <row r="594" customFormat="false" ht="15.75" hidden="false" customHeight="false" outlineLevel="0" collapsed="false">
      <c r="F594" s="39"/>
      <c r="G594" s="40"/>
      <c r="H594" s="40"/>
      <c r="I594" s="41"/>
      <c r="J594" s="40"/>
      <c r="K594" s="42"/>
      <c r="M594" s="47"/>
      <c r="N594" s="48"/>
      <c r="O594" s="49"/>
      <c r="Q594" s="3"/>
      <c r="R594" s="3"/>
      <c r="S594" s="3"/>
      <c r="T594" s="3"/>
      <c r="U594" s="3"/>
    </row>
    <row r="595" customFormat="false" ht="15.75" hidden="false" customHeight="false" outlineLevel="0" collapsed="false">
      <c r="F595" s="34"/>
      <c r="G595" s="35"/>
      <c r="H595" s="35"/>
      <c r="I595" s="36"/>
      <c r="J595" s="35"/>
      <c r="K595" s="37"/>
      <c r="M595" s="44"/>
      <c r="N595" s="45"/>
      <c r="O595" s="46"/>
      <c r="Q595" s="3"/>
      <c r="R595" s="3"/>
      <c r="S595" s="3"/>
      <c r="T595" s="3"/>
      <c r="U595" s="3"/>
    </row>
    <row r="596" customFormat="false" ht="15.75" hidden="false" customHeight="false" outlineLevel="0" collapsed="false">
      <c r="F596" s="39"/>
      <c r="G596" s="40"/>
      <c r="H596" s="40"/>
      <c r="I596" s="41"/>
      <c r="J596" s="40"/>
      <c r="K596" s="42"/>
      <c r="M596" s="47"/>
      <c r="N596" s="48"/>
      <c r="O596" s="49"/>
      <c r="Q596" s="3"/>
      <c r="R596" s="3"/>
      <c r="S596" s="3"/>
      <c r="T596" s="3"/>
      <c r="U596" s="3"/>
    </row>
    <row r="597" customFormat="false" ht="15.75" hidden="false" customHeight="false" outlineLevel="0" collapsed="false">
      <c r="F597" s="34"/>
      <c r="G597" s="35"/>
      <c r="H597" s="35"/>
      <c r="I597" s="36"/>
      <c r="J597" s="35"/>
      <c r="K597" s="37"/>
      <c r="M597" s="44"/>
      <c r="N597" s="45"/>
      <c r="O597" s="46"/>
      <c r="Q597" s="3"/>
      <c r="R597" s="3"/>
      <c r="S597" s="3"/>
      <c r="T597" s="3"/>
      <c r="U597" s="3"/>
    </row>
    <row r="598" customFormat="false" ht="15.75" hidden="false" customHeight="false" outlineLevel="0" collapsed="false">
      <c r="F598" s="39"/>
      <c r="G598" s="40"/>
      <c r="H598" s="40"/>
      <c r="I598" s="41"/>
      <c r="J598" s="40"/>
      <c r="K598" s="42"/>
      <c r="M598" s="47"/>
      <c r="N598" s="48"/>
      <c r="O598" s="49"/>
      <c r="Q598" s="3"/>
      <c r="R598" s="3"/>
      <c r="S598" s="3"/>
      <c r="T598" s="3"/>
      <c r="U598" s="3"/>
    </row>
    <row r="599" customFormat="false" ht="15.75" hidden="false" customHeight="false" outlineLevel="0" collapsed="false">
      <c r="F599" s="34"/>
      <c r="G599" s="35"/>
      <c r="H599" s="35"/>
      <c r="I599" s="36"/>
      <c r="J599" s="35"/>
      <c r="K599" s="37"/>
      <c r="M599" s="44"/>
      <c r="N599" s="45"/>
      <c r="O599" s="46"/>
      <c r="Q599" s="3"/>
      <c r="R599" s="3"/>
      <c r="S599" s="3"/>
      <c r="T599" s="3"/>
      <c r="U599" s="3"/>
    </row>
    <row r="600" customFormat="false" ht="15.75" hidden="false" customHeight="false" outlineLevel="0" collapsed="false">
      <c r="F600" s="39"/>
      <c r="G600" s="40"/>
      <c r="H600" s="40"/>
      <c r="I600" s="41"/>
      <c r="J600" s="40"/>
      <c r="K600" s="42"/>
      <c r="M600" s="47"/>
      <c r="N600" s="48"/>
      <c r="O600" s="49"/>
      <c r="Q600" s="3"/>
      <c r="R600" s="3"/>
      <c r="S600" s="3"/>
      <c r="T600" s="3"/>
      <c r="U600" s="3"/>
    </row>
    <row r="601" customFormat="false" ht="15.75" hidden="false" customHeight="false" outlineLevel="0" collapsed="false">
      <c r="F601" s="34"/>
      <c r="G601" s="35"/>
      <c r="H601" s="35"/>
      <c r="I601" s="36"/>
      <c r="J601" s="35"/>
      <c r="K601" s="37"/>
      <c r="M601" s="44"/>
      <c r="N601" s="45"/>
      <c r="O601" s="46"/>
      <c r="Q601" s="3"/>
      <c r="R601" s="3"/>
      <c r="S601" s="3"/>
      <c r="T601" s="3"/>
      <c r="U601" s="3"/>
    </row>
    <row r="602" customFormat="false" ht="15.75" hidden="false" customHeight="false" outlineLevel="0" collapsed="false">
      <c r="F602" s="39"/>
      <c r="G602" s="40"/>
      <c r="H602" s="40"/>
      <c r="I602" s="41"/>
      <c r="J602" s="40"/>
      <c r="K602" s="42"/>
      <c r="M602" s="47"/>
      <c r="N602" s="48"/>
      <c r="O602" s="49"/>
      <c r="Q602" s="3"/>
      <c r="R602" s="3"/>
      <c r="S602" s="3"/>
      <c r="T602" s="3"/>
      <c r="U602" s="3"/>
    </row>
    <row r="603" customFormat="false" ht="15.75" hidden="false" customHeight="false" outlineLevel="0" collapsed="false">
      <c r="F603" s="34"/>
      <c r="G603" s="35"/>
      <c r="H603" s="35"/>
      <c r="I603" s="36"/>
      <c r="J603" s="35"/>
      <c r="K603" s="37"/>
      <c r="M603" s="44"/>
      <c r="N603" s="45"/>
      <c r="O603" s="46"/>
      <c r="Q603" s="3"/>
      <c r="R603" s="3"/>
      <c r="S603" s="3"/>
      <c r="T603" s="3"/>
      <c r="U603" s="3"/>
    </row>
    <row r="604" customFormat="false" ht="15.75" hidden="false" customHeight="false" outlineLevel="0" collapsed="false">
      <c r="F604" s="39"/>
      <c r="G604" s="40"/>
      <c r="H604" s="40"/>
      <c r="I604" s="41"/>
      <c r="J604" s="40"/>
      <c r="K604" s="42"/>
      <c r="M604" s="47"/>
      <c r="N604" s="48"/>
      <c r="O604" s="49"/>
      <c r="Q604" s="3"/>
      <c r="R604" s="3"/>
      <c r="S604" s="3"/>
      <c r="T604" s="3"/>
      <c r="U604" s="3"/>
    </row>
    <row r="605" customFormat="false" ht="15.75" hidden="false" customHeight="false" outlineLevel="0" collapsed="false">
      <c r="F605" s="34"/>
      <c r="G605" s="35"/>
      <c r="H605" s="35"/>
      <c r="I605" s="36"/>
      <c r="J605" s="35"/>
      <c r="K605" s="37"/>
      <c r="M605" s="44"/>
      <c r="N605" s="45"/>
      <c r="O605" s="46"/>
      <c r="Q605" s="3"/>
      <c r="R605" s="3"/>
      <c r="S605" s="3"/>
      <c r="T605" s="3"/>
      <c r="U605" s="3"/>
    </row>
    <row r="606" customFormat="false" ht="15.75" hidden="false" customHeight="false" outlineLevel="0" collapsed="false">
      <c r="F606" s="39"/>
      <c r="G606" s="40"/>
      <c r="H606" s="40"/>
      <c r="I606" s="41"/>
      <c r="J606" s="40"/>
      <c r="K606" s="42"/>
      <c r="M606" s="47"/>
      <c r="N606" s="48"/>
      <c r="O606" s="49"/>
      <c r="Q606" s="3"/>
      <c r="R606" s="3"/>
      <c r="S606" s="3"/>
      <c r="T606" s="3"/>
      <c r="U606" s="3"/>
    </row>
    <row r="607" customFormat="false" ht="15.75" hidden="false" customHeight="false" outlineLevel="0" collapsed="false">
      <c r="F607" s="34"/>
      <c r="G607" s="35"/>
      <c r="H607" s="35"/>
      <c r="I607" s="36"/>
      <c r="J607" s="35"/>
      <c r="K607" s="37"/>
      <c r="M607" s="44"/>
      <c r="N607" s="45"/>
      <c r="O607" s="46"/>
      <c r="Q607" s="3"/>
      <c r="R607" s="3"/>
      <c r="S607" s="3"/>
      <c r="T607" s="3"/>
      <c r="U607" s="3"/>
    </row>
    <row r="608" customFormat="false" ht="15.75" hidden="false" customHeight="false" outlineLevel="0" collapsed="false">
      <c r="F608" s="39"/>
      <c r="G608" s="40"/>
      <c r="H608" s="40"/>
      <c r="I608" s="41"/>
      <c r="J608" s="40"/>
      <c r="K608" s="42"/>
      <c r="M608" s="47"/>
      <c r="N608" s="48"/>
      <c r="O608" s="49"/>
      <c r="Q608" s="3"/>
      <c r="R608" s="3"/>
      <c r="S608" s="3"/>
      <c r="T608" s="3"/>
      <c r="U608" s="3"/>
    </row>
    <row r="609" customFormat="false" ht="15.75" hidden="false" customHeight="false" outlineLevel="0" collapsed="false">
      <c r="F609" s="34"/>
      <c r="G609" s="35"/>
      <c r="H609" s="35"/>
      <c r="I609" s="36"/>
      <c r="J609" s="35"/>
      <c r="K609" s="37"/>
      <c r="M609" s="44"/>
      <c r="N609" s="45"/>
      <c r="O609" s="46"/>
      <c r="Q609" s="3"/>
      <c r="R609" s="3"/>
      <c r="S609" s="3"/>
      <c r="T609" s="3"/>
      <c r="U609" s="3"/>
    </row>
    <row r="610" customFormat="false" ht="15.75" hidden="false" customHeight="false" outlineLevel="0" collapsed="false">
      <c r="F610" s="39"/>
      <c r="G610" s="40"/>
      <c r="H610" s="40"/>
      <c r="I610" s="41"/>
      <c r="J610" s="40"/>
      <c r="K610" s="42"/>
      <c r="M610" s="47"/>
      <c r="N610" s="48"/>
      <c r="O610" s="49"/>
      <c r="Q610" s="3"/>
      <c r="R610" s="3"/>
      <c r="S610" s="3"/>
      <c r="T610" s="3"/>
      <c r="U610" s="3"/>
    </row>
    <row r="611" customFormat="false" ht="15.75" hidden="false" customHeight="false" outlineLevel="0" collapsed="false">
      <c r="F611" s="34"/>
      <c r="G611" s="35"/>
      <c r="H611" s="35"/>
      <c r="I611" s="36"/>
      <c r="J611" s="35"/>
      <c r="K611" s="37"/>
      <c r="M611" s="44"/>
      <c r="N611" s="45"/>
      <c r="O611" s="46"/>
      <c r="Q611" s="3"/>
      <c r="R611" s="3"/>
      <c r="S611" s="3"/>
      <c r="T611" s="3"/>
      <c r="U611" s="3"/>
    </row>
    <row r="612" customFormat="false" ht="15.75" hidden="false" customHeight="false" outlineLevel="0" collapsed="false">
      <c r="F612" s="39"/>
      <c r="G612" s="40"/>
      <c r="H612" s="40"/>
      <c r="I612" s="41"/>
      <c r="J612" s="40"/>
      <c r="K612" s="42"/>
      <c r="M612" s="47"/>
      <c r="N612" s="48"/>
      <c r="O612" s="49"/>
      <c r="Q612" s="3"/>
      <c r="R612" s="3"/>
      <c r="S612" s="3"/>
      <c r="T612" s="3"/>
      <c r="U612" s="3"/>
    </row>
    <row r="613" customFormat="false" ht="15.75" hidden="false" customHeight="false" outlineLevel="0" collapsed="false">
      <c r="F613" s="34"/>
      <c r="G613" s="35"/>
      <c r="H613" s="35"/>
      <c r="I613" s="36"/>
      <c r="J613" s="35"/>
      <c r="K613" s="37"/>
      <c r="M613" s="44"/>
      <c r="N613" s="45"/>
      <c r="O613" s="46"/>
      <c r="Q613" s="3"/>
      <c r="R613" s="3"/>
      <c r="S613" s="3"/>
      <c r="T613" s="3"/>
      <c r="U613" s="3"/>
    </row>
    <row r="614" customFormat="false" ht="15.75" hidden="false" customHeight="false" outlineLevel="0" collapsed="false">
      <c r="F614" s="39"/>
      <c r="G614" s="40"/>
      <c r="H614" s="40"/>
      <c r="I614" s="41"/>
      <c r="J614" s="40"/>
      <c r="K614" s="42"/>
      <c r="M614" s="47"/>
      <c r="N614" s="48"/>
      <c r="O614" s="49"/>
      <c r="Q614" s="3"/>
      <c r="R614" s="3"/>
      <c r="S614" s="3"/>
      <c r="T614" s="3"/>
      <c r="U614" s="3"/>
    </row>
    <row r="615" customFormat="false" ht="15.75" hidden="false" customHeight="false" outlineLevel="0" collapsed="false">
      <c r="F615" s="34"/>
      <c r="G615" s="35"/>
      <c r="H615" s="35"/>
      <c r="I615" s="36"/>
      <c r="J615" s="35"/>
      <c r="K615" s="37"/>
      <c r="M615" s="44"/>
      <c r="N615" s="45"/>
      <c r="O615" s="46"/>
      <c r="Q615" s="3"/>
      <c r="R615" s="3"/>
      <c r="S615" s="3"/>
      <c r="T615" s="3"/>
      <c r="U615" s="3"/>
    </row>
    <row r="616" customFormat="false" ht="15.75" hidden="false" customHeight="false" outlineLevel="0" collapsed="false">
      <c r="F616" s="39"/>
      <c r="G616" s="40"/>
      <c r="H616" s="40"/>
      <c r="I616" s="41"/>
      <c r="J616" s="40"/>
      <c r="K616" s="42"/>
      <c r="M616" s="47"/>
      <c r="N616" s="48"/>
      <c r="O616" s="49"/>
      <c r="Q616" s="3"/>
      <c r="R616" s="3"/>
      <c r="S616" s="3"/>
      <c r="T616" s="3"/>
      <c r="U616" s="3"/>
    </row>
    <row r="617" customFormat="false" ht="15.75" hidden="false" customHeight="false" outlineLevel="0" collapsed="false">
      <c r="F617" s="34"/>
      <c r="G617" s="35"/>
      <c r="H617" s="35"/>
      <c r="I617" s="36"/>
      <c r="J617" s="35"/>
      <c r="K617" s="37"/>
      <c r="M617" s="44"/>
      <c r="N617" s="45"/>
      <c r="O617" s="46"/>
      <c r="Q617" s="3"/>
      <c r="R617" s="3"/>
      <c r="S617" s="3"/>
      <c r="T617" s="3"/>
      <c r="U617" s="3"/>
    </row>
    <row r="618" customFormat="false" ht="15.75" hidden="false" customHeight="false" outlineLevel="0" collapsed="false">
      <c r="F618" s="39"/>
      <c r="G618" s="40"/>
      <c r="H618" s="40"/>
      <c r="I618" s="41"/>
      <c r="J618" s="40"/>
      <c r="K618" s="42"/>
      <c r="M618" s="47"/>
      <c r="N618" s="48"/>
      <c r="O618" s="49"/>
      <c r="Q618" s="3"/>
      <c r="R618" s="3"/>
      <c r="S618" s="3"/>
      <c r="T618" s="3"/>
      <c r="U618" s="3"/>
    </row>
    <row r="619" customFormat="false" ht="15.75" hidden="false" customHeight="false" outlineLevel="0" collapsed="false">
      <c r="F619" s="34"/>
      <c r="G619" s="35"/>
      <c r="H619" s="35"/>
      <c r="I619" s="36"/>
      <c r="J619" s="35"/>
      <c r="K619" s="37"/>
      <c r="M619" s="44"/>
      <c r="N619" s="45"/>
      <c r="O619" s="46"/>
      <c r="Q619" s="3"/>
      <c r="R619" s="3"/>
      <c r="S619" s="3"/>
      <c r="T619" s="3"/>
      <c r="U619" s="3"/>
    </row>
    <row r="620" customFormat="false" ht="15.75" hidden="false" customHeight="false" outlineLevel="0" collapsed="false">
      <c r="F620" s="39"/>
      <c r="G620" s="40"/>
      <c r="H620" s="40"/>
      <c r="I620" s="41"/>
      <c r="J620" s="40"/>
      <c r="K620" s="42"/>
      <c r="M620" s="47"/>
      <c r="N620" s="48"/>
      <c r="O620" s="49"/>
      <c r="Q620" s="3"/>
      <c r="R620" s="3"/>
      <c r="S620" s="3"/>
      <c r="T620" s="3"/>
      <c r="U620" s="3"/>
    </row>
    <row r="621" customFormat="false" ht="15.75" hidden="false" customHeight="false" outlineLevel="0" collapsed="false">
      <c r="F621" s="34"/>
      <c r="G621" s="35"/>
      <c r="H621" s="35"/>
      <c r="I621" s="36"/>
      <c r="J621" s="35"/>
      <c r="K621" s="37"/>
      <c r="M621" s="44"/>
      <c r="N621" s="45"/>
      <c r="O621" s="46"/>
      <c r="Q621" s="3"/>
      <c r="R621" s="3"/>
      <c r="S621" s="3"/>
      <c r="T621" s="3"/>
      <c r="U621" s="3"/>
    </row>
    <row r="622" customFormat="false" ht="15.75" hidden="false" customHeight="false" outlineLevel="0" collapsed="false">
      <c r="F622" s="39"/>
      <c r="G622" s="40"/>
      <c r="H622" s="40"/>
      <c r="I622" s="41"/>
      <c r="J622" s="40"/>
      <c r="K622" s="42"/>
      <c r="M622" s="47"/>
      <c r="N622" s="48"/>
      <c r="O622" s="49"/>
      <c r="Q622" s="3"/>
      <c r="R622" s="3"/>
      <c r="S622" s="3"/>
      <c r="T622" s="3"/>
      <c r="U622" s="3"/>
    </row>
    <row r="623" customFormat="false" ht="15.75" hidden="false" customHeight="false" outlineLevel="0" collapsed="false">
      <c r="F623" s="34"/>
      <c r="G623" s="35"/>
      <c r="H623" s="35"/>
      <c r="I623" s="36"/>
      <c r="J623" s="35"/>
      <c r="K623" s="37"/>
      <c r="M623" s="44"/>
      <c r="N623" s="45"/>
      <c r="O623" s="46"/>
      <c r="Q623" s="3"/>
      <c r="R623" s="3"/>
      <c r="S623" s="3"/>
      <c r="T623" s="3"/>
      <c r="U623" s="3"/>
    </row>
    <row r="624" customFormat="false" ht="15.75" hidden="false" customHeight="false" outlineLevel="0" collapsed="false">
      <c r="F624" s="39"/>
      <c r="G624" s="40"/>
      <c r="H624" s="40"/>
      <c r="I624" s="41"/>
      <c r="J624" s="40"/>
      <c r="K624" s="42"/>
      <c r="M624" s="47"/>
      <c r="N624" s="48"/>
      <c r="O624" s="49"/>
      <c r="Q624" s="3"/>
      <c r="R624" s="3"/>
      <c r="S624" s="3"/>
      <c r="T624" s="3"/>
      <c r="U624" s="3"/>
    </row>
    <row r="625" customFormat="false" ht="15.75" hidden="false" customHeight="false" outlineLevel="0" collapsed="false">
      <c r="F625" s="34"/>
      <c r="G625" s="35"/>
      <c r="H625" s="35"/>
      <c r="I625" s="36"/>
      <c r="J625" s="35"/>
      <c r="K625" s="37"/>
      <c r="M625" s="44"/>
      <c r="N625" s="45"/>
      <c r="O625" s="46"/>
      <c r="Q625" s="3"/>
      <c r="R625" s="3"/>
      <c r="S625" s="3"/>
      <c r="T625" s="3"/>
      <c r="U625" s="3"/>
    </row>
    <row r="626" customFormat="false" ht="15.75" hidden="false" customHeight="false" outlineLevel="0" collapsed="false">
      <c r="F626" s="39"/>
      <c r="G626" s="40"/>
      <c r="H626" s="40"/>
      <c r="I626" s="41"/>
      <c r="J626" s="40"/>
      <c r="K626" s="42"/>
      <c r="M626" s="47"/>
      <c r="N626" s="48"/>
      <c r="O626" s="49"/>
      <c r="Q626" s="3"/>
      <c r="R626" s="3"/>
      <c r="S626" s="3"/>
      <c r="T626" s="3"/>
      <c r="U626" s="3"/>
    </row>
    <row r="627" customFormat="false" ht="15.75" hidden="false" customHeight="false" outlineLevel="0" collapsed="false">
      <c r="F627" s="34"/>
      <c r="G627" s="35"/>
      <c r="H627" s="35"/>
      <c r="I627" s="36"/>
      <c r="J627" s="35"/>
      <c r="K627" s="37"/>
      <c r="M627" s="44"/>
      <c r="N627" s="45"/>
      <c r="O627" s="46"/>
      <c r="Q627" s="3"/>
      <c r="R627" s="3"/>
      <c r="S627" s="3"/>
      <c r="T627" s="3"/>
      <c r="U627" s="3"/>
    </row>
    <row r="628" customFormat="false" ht="15.75" hidden="false" customHeight="false" outlineLevel="0" collapsed="false">
      <c r="F628" s="39"/>
      <c r="G628" s="40"/>
      <c r="H628" s="40"/>
      <c r="I628" s="41"/>
      <c r="J628" s="40"/>
      <c r="K628" s="42"/>
      <c r="M628" s="47"/>
      <c r="N628" s="48"/>
      <c r="O628" s="49"/>
      <c r="Q628" s="3"/>
      <c r="R628" s="3"/>
      <c r="S628" s="3"/>
      <c r="T628" s="3"/>
      <c r="U628" s="3"/>
    </row>
    <row r="629" customFormat="false" ht="15.75" hidden="false" customHeight="false" outlineLevel="0" collapsed="false">
      <c r="F629" s="34"/>
      <c r="G629" s="35"/>
      <c r="H629" s="35"/>
      <c r="I629" s="36"/>
      <c r="J629" s="35"/>
      <c r="K629" s="37"/>
      <c r="M629" s="44"/>
      <c r="N629" s="45"/>
      <c r="O629" s="46"/>
      <c r="Q629" s="3"/>
      <c r="R629" s="3"/>
      <c r="S629" s="3"/>
      <c r="T629" s="3"/>
      <c r="U629" s="3"/>
    </row>
    <row r="630" customFormat="false" ht="15.75" hidden="false" customHeight="false" outlineLevel="0" collapsed="false">
      <c r="F630" s="39"/>
      <c r="G630" s="40"/>
      <c r="H630" s="40"/>
      <c r="I630" s="41"/>
      <c r="J630" s="40"/>
      <c r="K630" s="42"/>
      <c r="M630" s="47"/>
      <c r="N630" s="48"/>
      <c r="O630" s="49"/>
      <c r="Q630" s="3"/>
      <c r="R630" s="3"/>
      <c r="S630" s="3"/>
      <c r="T630" s="3"/>
      <c r="U630" s="3"/>
    </row>
    <row r="631" customFormat="false" ht="15.75" hidden="false" customHeight="false" outlineLevel="0" collapsed="false">
      <c r="F631" s="34"/>
      <c r="G631" s="35"/>
      <c r="H631" s="35"/>
      <c r="I631" s="36"/>
      <c r="J631" s="35"/>
      <c r="K631" s="37"/>
      <c r="M631" s="44"/>
      <c r="N631" s="45"/>
      <c r="O631" s="46"/>
      <c r="Q631" s="3"/>
      <c r="R631" s="3"/>
      <c r="S631" s="3"/>
      <c r="T631" s="3"/>
      <c r="U631" s="3"/>
    </row>
    <row r="632" customFormat="false" ht="15.75" hidden="false" customHeight="false" outlineLevel="0" collapsed="false">
      <c r="F632" s="39"/>
      <c r="G632" s="40"/>
      <c r="H632" s="40"/>
      <c r="I632" s="41"/>
      <c r="J632" s="40"/>
      <c r="K632" s="42"/>
      <c r="M632" s="47"/>
      <c r="N632" s="48"/>
      <c r="O632" s="49"/>
      <c r="Q632" s="3"/>
      <c r="R632" s="3"/>
      <c r="S632" s="3"/>
      <c r="T632" s="3"/>
      <c r="U632" s="3"/>
    </row>
    <row r="633" customFormat="false" ht="15.75" hidden="false" customHeight="false" outlineLevel="0" collapsed="false">
      <c r="F633" s="34"/>
      <c r="G633" s="35"/>
      <c r="H633" s="35"/>
      <c r="I633" s="36"/>
      <c r="J633" s="35"/>
      <c r="K633" s="37"/>
      <c r="M633" s="44"/>
      <c r="N633" s="45"/>
      <c r="O633" s="46"/>
      <c r="Q633" s="3"/>
      <c r="R633" s="3"/>
      <c r="S633" s="3"/>
      <c r="T633" s="3"/>
      <c r="U633" s="3"/>
    </row>
    <row r="634" customFormat="false" ht="15.75" hidden="false" customHeight="false" outlineLevel="0" collapsed="false">
      <c r="F634" s="39"/>
      <c r="G634" s="40"/>
      <c r="H634" s="40"/>
      <c r="I634" s="41"/>
      <c r="J634" s="40"/>
      <c r="K634" s="42"/>
      <c r="M634" s="47"/>
      <c r="N634" s="48"/>
      <c r="O634" s="49"/>
      <c r="Q634" s="3"/>
      <c r="R634" s="3"/>
      <c r="S634" s="3"/>
      <c r="T634" s="3"/>
      <c r="U634" s="3"/>
    </row>
    <row r="635" customFormat="false" ht="15.75" hidden="false" customHeight="false" outlineLevel="0" collapsed="false">
      <c r="F635" s="34"/>
      <c r="G635" s="35"/>
      <c r="H635" s="35"/>
      <c r="I635" s="36"/>
      <c r="J635" s="35"/>
      <c r="K635" s="37"/>
      <c r="M635" s="44"/>
      <c r="N635" s="45"/>
      <c r="O635" s="46"/>
      <c r="Q635" s="3"/>
      <c r="R635" s="3"/>
      <c r="S635" s="3"/>
      <c r="T635" s="3"/>
      <c r="U635" s="3"/>
    </row>
    <row r="636" customFormat="false" ht="15.75" hidden="false" customHeight="false" outlineLevel="0" collapsed="false">
      <c r="F636" s="39"/>
      <c r="G636" s="40"/>
      <c r="H636" s="40"/>
      <c r="I636" s="41"/>
      <c r="J636" s="40"/>
      <c r="K636" s="42"/>
      <c r="M636" s="47"/>
      <c r="N636" s="48"/>
      <c r="O636" s="49"/>
      <c r="Q636" s="3"/>
      <c r="R636" s="3"/>
      <c r="S636" s="3"/>
      <c r="T636" s="3"/>
      <c r="U636" s="3"/>
    </row>
    <row r="637" customFormat="false" ht="15.75" hidden="false" customHeight="false" outlineLevel="0" collapsed="false">
      <c r="F637" s="34"/>
      <c r="G637" s="35"/>
      <c r="H637" s="35"/>
      <c r="I637" s="36"/>
      <c r="J637" s="35"/>
      <c r="K637" s="37"/>
      <c r="M637" s="44"/>
      <c r="N637" s="45"/>
      <c r="O637" s="46"/>
      <c r="Q637" s="3"/>
      <c r="R637" s="3"/>
      <c r="S637" s="3"/>
      <c r="T637" s="3"/>
      <c r="U637" s="3"/>
    </row>
    <row r="638" customFormat="false" ht="15.75" hidden="false" customHeight="false" outlineLevel="0" collapsed="false">
      <c r="F638" s="39"/>
      <c r="G638" s="40"/>
      <c r="H638" s="40"/>
      <c r="I638" s="41"/>
      <c r="J638" s="40"/>
      <c r="K638" s="42"/>
      <c r="M638" s="47"/>
      <c r="N638" s="48"/>
      <c r="O638" s="49"/>
      <c r="Q638" s="3"/>
      <c r="R638" s="3"/>
      <c r="S638" s="3"/>
      <c r="T638" s="3"/>
      <c r="U638" s="3"/>
    </row>
    <row r="639" customFormat="false" ht="15.75" hidden="false" customHeight="false" outlineLevel="0" collapsed="false">
      <c r="F639" s="34"/>
      <c r="G639" s="35"/>
      <c r="H639" s="35"/>
      <c r="I639" s="36"/>
      <c r="J639" s="35"/>
      <c r="K639" s="37"/>
      <c r="M639" s="44"/>
      <c r="N639" s="45"/>
      <c r="O639" s="46"/>
      <c r="Q639" s="3"/>
      <c r="R639" s="3"/>
      <c r="S639" s="3"/>
      <c r="T639" s="3"/>
      <c r="U639" s="3"/>
    </row>
    <row r="640" customFormat="false" ht="15.75" hidden="false" customHeight="false" outlineLevel="0" collapsed="false">
      <c r="F640" s="39"/>
      <c r="G640" s="40"/>
      <c r="H640" s="40"/>
      <c r="I640" s="41"/>
      <c r="J640" s="40"/>
      <c r="K640" s="42"/>
      <c r="M640" s="47"/>
      <c r="N640" s="48"/>
      <c r="O640" s="49"/>
      <c r="Q640" s="3"/>
      <c r="R640" s="3"/>
      <c r="S640" s="3"/>
      <c r="T640" s="3"/>
      <c r="U640" s="3"/>
    </row>
    <row r="641" customFormat="false" ht="15.75" hidden="false" customHeight="false" outlineLevel="0" collapsed="false">
      <c r="F641" s="34"/>
      <c r="G641" s="35"/>
      <c r="H641" s="35"/>
      <c r="I641" s="36"/>
      <c r="J641" s="35"/>
      <c r="K641" s="37"/>
      <c r="M641" s="44"/>
      <c r="N641" s="45"/>
      <c r="O641" s="46"/>
      <c r="Q641" s="3"/>
      <c r="R641" s="3"/>
      <c r="S641" s="3"/>
      <c r="T641" s="3"/>
      <c r="U641" s="3"/>
    </row>
    <row r="642" customFormat="false" ht="15.75" hidden="false" customHeight="false" outlineLevel="0" collapsed="false">
      <c r="F642" s="39"/>
      <c r="G642" s="40"/>
      <c r="H642" s="40"/>
      <c r="I642" s="41"/>
      <c r="J642" s="40"/>
      <c r="K642" s="42"/>
      <c r="M642" s="47"/>
      <c r="N642" s="48"/>
      <c r="O642" s="49"/>
      <c r="Q642" s="3"/>
      <c r="R642" s="3"/>
      <c r="S642" s="3"/>
      <c r="T642" s="3"/>
      <c r="U642" s="3"/>
    </row>
    <row r="643" customFormat="false" ht="15.75" hidden="false" customHeight="false" outlineLevel="0" collapsed="false">
      <c r="F643" s="34"/>
      <c r="G643" s="35"/>
      <c r="H643" s="35"/>
      <c r="I643" s="36"/>
      <c r="J643" s="35"/>
      <c r="K643" s="37"/>
      <c r="M643" s="44"/>
      <c r="N643" s="45"/>
      <c r="O643" s="46"/>
      <c r="Q643" s="3"/>
      <c r="R643" s="3"/>
      <c r="S643" s="3"/>
      <c r="T643" s="3"/>
      <c r="U643" s="3"/>
    </row>
    <row r="644" customFormat="false" ht="15.75" hidden="false" customHeight="false" outlineLevel="0" collapsed="false">
      <c r="F644" s="39"/>
      <c r="G644" s="40"/>
      <c r="H644" s="40"/>
      <c r="I644" s="41"/>
      <c r="J644" s="40"/>
      <c r="K644" s="42"/>
      <c r="M644" s="47"/>
      <c r="N644" s="48"/>
      <c r="O644" s="49"/>
      <c r="Q644" s="3"/>
      <c r="R644" s="3"/>
      <c r="S644" s="3"/>
      <c r="T644" s="3"/>
      <c r="U644" s="3"/>
    </row>
    <row r="645" customFormat="false" ht="15.75" hidden="false" customHeight="false" outlineLevel="0" collapsed="false">
      <c r="F645" s="34"/>
      <c r="G645" s="35"/>
      <c r="H645" s="35"/>
      <c r="I645" s="36"/>
      <c r="J645" s="35"/>
      <c r="K645" s="37"/>
      <c r="M645" s="44"/>
      <c r="N645" s="45"/>
      <c r="O645" s="46"/>
      <c r="Q645" s="3"/>
      <c r="R645" s="3"/>
      <c r="S645" s="3"/>
      <c r="T645" s="3"/>
      <c r="U645" s="3"/>
    </row>
    <row r="646" customFormat="false" ht="15.75" hidden="false" customHeight="false" outlineLevel="0" collapsed="false">
      <c r="F646" s="39"/>
      <c r="G646" s="40"/>
      <c r="H646" s="40"/>
      <c r="I646" s="41"/>
      <c r="J646" s="40"/>
      <c r="K646" s="42"/>
      <c r="M646" s="47"/>
      <c r="N646" s="48"/>
      <c r="O646" s="49"/>
      <c r="Q646" s="3"/>
      <c r="R646" s="3"/>
      <c r="S646" s="3"/>
      <c r="T646" s="3"/>
      <c r="U646" s="3"/>
    </row>
    <row r="647" customFormat="false" ht="15.75" hidden="false" customHeight="false" outlineLevel="0" collapsed="false">
      <c r="F647" s="34"/>
      <c r="G647" s="35"/>
      <c r="H647" s="35"/>
      <c r="I647" s="36"/>
      <c r="J647" s="35"/>
      <c r="K647" s="37"/>
      <c r="M647" s="44"/>
      <c r="N647" s="45"/>
      <c r="O647" s="46"/>
      <c r="Q647" s="3"/>
      <c r="R647" s="3"/>
      <c r="S647" s="3"/>
      <c r="T647" s="3"/>
      <c r="U647" s="3"/>
    </row>
    <row r="648" customFormat="false" ht="15.75" hidden="false" customHeight="false" outlineLevel="0" collapsed="false">
      <c r="F648" s="39"/>
      <c r="G648" s="40"/>
      <c r="H648" s="40"/>
      <c r="I648" s="41"/>
      <c r="J648" s="40"/>
      <c r="K648" s="42"/>
      <c r="M648" s="47"/>
      <c r="N648" s="48"/>
      <c r="O648" s="49"/>
      <c r="Q648" s="3"/>
      <c r="R648" s="3"/>
      <c r="S648" s="3"/>
      <c r="T648" s="3"/>
      <c r="U648" s="3"/>
    </row>
    <row r="649" customFormat="false" ht="15.75" hidden="false" customHeight="false" outlineLevel="0" collapsed="false">
      <c r="F649" s="34"/>
      <c r="G649" s="35"/>
      <c r="H649" s="35"/>
      <c r="I649" s="36"/>
      <c r="J649" s="35"/>
      <c r="K649" s="37"/>
      <c r="M649" s="44"/>
      <c r="N649" s="45"/>
      <c r="O649" s="46"/>
      <c r="Q649" s="3"/>
      <c r="R649" s="3"/>
      <c r="S649" s="3"/>
      <c r="T649" s="3"/>
      <c r="U649" s="3"/>
    </row>
    <row r="650" customFormat="false" ht="15.75" hidden="false" customHeight="false" outlineLevel="0" collapsed="false">
      <c r="F650" s="39"/>
      <c r="G650" s="40"/>
      <c r="H650" s="40"/>
      <c r="I650" s="41"/>
      <c r="J650" s="40"/>
      <c r="K650" s="42"/>
      <c r="M650" s="47"/>
      <c r="N650" s="48"/>
      <c r="O650" s="49"/>
      <c r="Q650" s="3"/>
      <c r="R650" s="3"/>
      <c r="S650" s="3"/>
      <c r="T650" s="3"/>
      <c r="U650" s="3"/>
    </row>
    <row r="651" customFormat="false" ht="15.75" hidden="false" customHeight="false" outlineLevel="0" collapsed="false">
      <c r="F651" s="34"/>
      <c r="G651" s="35"/>
      <c r="H651" s="35"/>
      <c r="I651" s="36"/>
      <c r="J651" s="35"/>
      <c r="K651" s="37"/>
      <c r="M651" s="44"/>
      <c r="N651" s="45"/>
      <c r="O651" s="46"/>
      <c r="Q651" s="3"/>
      <c r="R651" s="3"/>
      <c r="S651" s="3"/>
      <c r="T651" s="3"/>
      <c r="U651" s="3"/>
    </row>
    <row r="652" customFormat="false" ht="15.75" hidden="false" customHeight="false" outlineLevel="0" collapsed="false">
      <c r="F652" s="39"/>
      <c r="G652" s="40"/>
      <c r="H652" s="40"/>
      <c r="I652" s="41"/>
      <c r="J652" s="40"/>
      <c r="K652" s="42"/>
      <c r="M652" s="47"/>
      <c r="N652" s="48"/>
      <c r="O652" s="49"/>
      <c r="Q652" s="3"/>
      <c r="R652" s="3"/>
      <c r="S652" s="3"/>
      <c r="T652" s="3"/>
      <c r="U652" s="3"/>
    </row>
    <row r="653" customFormat="false" ht="15.75" hidden="false" customHeight="false" outlineLevel="0" collapsed="false">
      <c r="F653" s="34"/>
      <c r="G653" s="35"/>
      <c r="H653" s="35"/>
      <c r="I653" s="36"/>
      <c r="J653" s="35"/>
      <c r="K653" s="37"/>
      <c r="M653" s="44"/>
      <c r="N653" s="45"/>
      <c r="O653" s="46"/>
      <c r="Q653" s="3"/>
      <c r="R653" s="3"/>
      <c r="S653" s="3"/>
      <c r="T653" s="3"/>
      <c r="U653" s="3"/>
    </row>
    <row r="654" customFormat="false" ht="15.75" hidden="false" customHeight="false" outlineLevel="0" collapsed="false">
      <c r="F654" s="39"/>
      <c r="G654" s="40"/>
      <c r="H654" s="40"/>
      <c r="I654" s="41"/>
      <c r="J654" s="40"/>
      <c r="K654" s="42"/>
      <c r="M654" s="47"/>
      <c r="N654" s="48"/>
      <c r="O654" s="49"/>
      <c r="Q654" s="3"/>
      <c r="R654" s="3"/>
      <c r="S654" s="3"/>
      <c r="T654" s="3"/>
      <c r="U654" s="3"/>
    </row>
    <row r="655" customFormat="false" ht="15.75" hidden="false" customHeight="false" outlineLevel="0" collapsed="false">
      <c r="F655" s="34"/>
      <c r="G655" s="35"/>
      <c r="H655" s="35"/>
      <c r="I655" s="36"/>
      <c r="J655" s="35"/>
      <c r="K655" s="37"/>
      <c r="M655" s="44"/>
      <c r="N655" s="45"/>
      <c r="O655" s="46"/>
      <c r="Q655" s="3"/>
      <c r="R655" s="3"/>
      <c r="S655" s="3"/>
      <c r="T655" s="3"/>
      <c r="U655" s="3"/>
    </row>
    <row r="656" customFormat="false" ht="15.75" hidden="false" customHeight="false" outlineLevel="0" collapsed="false">
      <c r="F656" s="39"/>
      <c r="G656" s="40"/>
      <c r="H656" s="40"/>
      <c r="I656" s="41"/>
      <c r="J656" s="40"/>
      <c r="K656" s="42"/>
      <c r="M656" s="47"/>
      <c r="N656" s="48"/>
      <c r="O656" s="49"/>
      <c r="Q656" s="3"/>
      <c r="R656" s="3"/>
      <c r="S656" s="3"/>
      <c r="T656" s="3"/>
      <c r="U656" s="3"/>
    </row>
    <row r="657" customFormat="false" ht="15.75" hidden="false" customHeight="false" outlineLevel="0" collapsed="false">
      <c r="F657" s="34"/>
      <c r="G657" s="35"/>
      <c r="H657" s="35"/>
      <c r="I657" s="36"/>
      <c r="J657" s="35"/>
      <c r="K657" s="37"/>
      <c r="M657" s="44"/>
      <c r="N657" s="45"/>
      <c r="O657" s="46"/>
      <c r="Q657" s="3"/>
      <c r="R657" s="3"/>
      <c r="S657" s="3"/>
      <c r="T657" s="3"/>
      <c r="U657" s="3"/>
    </row>
    <row r="658" customFormat="false" ht="15.75" hidden="false" customHeight="false" outlineLevel="0" collapsed="false">
      <c r="F658" s="39"/>
      <c r="G658" s="40"/>
      <c r="H658" s="40"/>
      <c r="I658" s="41"/>
      <c r="J658" s="40"/>
      <c r="K658" s="42"/>
      <c r="M658" s="47"/>
      <c r="N658" s="48"/>
      <c r="O658" s="49"/>
      <c r="Q658" s="3"/>
      <c r="R658" s="3"/>
      <c r="S658" s="3"/>
      <c r="T658" s="3"/>
      <c r="U658" s="3"/>
    </row>
    <row r="659" customFormat="false" ht="15.75" hidden="false" customHeight="false" outlineLevel="0" collapsed="false">
      <c r="F659" s="34"/>
      <c r="G659" s="35"/>
      <c r="H659" s="35"/>
      <c r="I659" s="36"/>
      <c r="J659" s="35"/>
      <c r="K659" s="37"/>
      <c r="M659" s="44"/>
      <c r="N659" s="45"/>
      <c r="O659" s="46"/>
      <c r="Q659" s="3"/>
      <c r="R659" s="3"/>
      <c r="S659" s="3"/>
      <c r="T659" s="3"/>
      <c r="U659" s="3"/>
    </row>
    <row r="660" customFormat="false" ht="15.75" hidden="false" customHeight="false" outlineLevel="0" collapsed="false">
      <c r="F660" s="39"/>
      <c r="G660" s="40"/>
      <c r="H660" s="40"/>
      <c r="I660" s="41"/>
      <c r="J660" s="40"/>
      <c r="K660" s="42"/>
      <c r="M660" s="47"/>
      <c r="N660" s="48"/>
      <c r="O660" s="49"/>
      <c r="Q660" s="3"/>
      <c r="R660" s="3"/>
      <c r="S660" s="3"/>
      <c r="T660" s="3"/>
      <c r="U660" s="3"/>
    </row>
    <row r="661" customFormat="false" ht="15.75" hidden="false" customHeight="false" outlineLevel="0" collapsed="false">
      <c r="F661" s="34"/>
      <c r="G661" s="35"/>
      <c r="H661" s="35"/>
      <c r="I661" s="36"/>
      <c r="J661" s="35"/>
      <c r="K661" s="37"/>
      <c r="M661" s="44"/>
      <c r="N661" s="45"/>
      <c r="O661" s="46"/>
      <c r="Q661" s="3"/>
      <c r="R661" s="3"/>
      <c r="S661" s="3"/>
      <c r="T661" s="3"/>
      <c r="U661" s="3"/>
    </row>
    <row r="662" customFormat="false" ht="15.75" hidden="false" customHeight="false" outlineLevel="0" collapsed="false">
      <c r="F662" s="39"/>
      <c r="G662" s="40"/>
      <c r="H662" s="40"/>
      <c r="I662" s="41"/>
      <c r="J662" s="40"/>
      <c r="K662" s="42"/>
      <c r="M662" s="47"/>
      <c r="N662" s="48"/>
      <c r="O662" s="49"/>
      <c r="Q662" s="3"/>
      <c r="R662" s="3"/>
      <c r="S662" s="3"/>
      <c r="T662" s="3"/>
      <c r="U662" s="3"/>
    </row>
    <row r="663" customFormat="false" ht="15.75" hidden="false" customHeight="false" outlineLevel="0" collapsed="false">
      <c r="F663" s="34"/>
      <c r="G663" s="35"/>
      <c r="H663" s="35"/>
      <c r="I663" s="36"/>
      <c r="J663" s="35"/>
      <c r="K663" s="37"/>
      <c r="M663" s="44"/>
      <c r="N663" s="45"/>
      <c r="O663" s="46"/>
      <c r="Q663" s="3"/>
      <c r="R663" s="3"/>
      <c r="S663" s="3"/>
      <c r="T663" s="3"/>
      <c r="U663" s="3"/>
    </row>
    <row r="664" customFormat="false" ht="15.75" hidden="false" customHeight="false" outlineLevel="0" collapsed="false">
      <c r="F664" s="39"/>
      <c r="G664" s="40"/>
      <c r="H664" s="40"/>
      <c r="I664" s="41"/>
      <c r="J664" s="40"/>
      <c r="K664" s="42"/>
      <c r="M664" s="47"/>
      <c r="N664" s="48"/>
      <c r="O664" s="49"/>
      <c r="Q664" s="3"/>
      <c r="R664" s="3"/>
      <c r="S664" s="3"/>
      <c r="T664" s="3"/>
      <c r="U664" s="3"/>
    </row>
    <row r="665" customFormat="false" ht="15.75" hidden="false" customHeight="false" outlineLevel="0" collapsed="false">
      <c r="F665" s="34"/>
      <c r="G665" s="35"/>
      <c r="H665" s="35"/>
      <c r="I665" s="36"/>
      <c r="J665" s="35"/>
      <c r="K665" s="37"/>
      <c r="M665" s="44"/>
      <c r="N665" s="45"/>
      <c r="O665" s="46"/>
      <c r="Q665" s="3"/>
      <c r="R665" s="3"/>
      <c r="S665" s="3"/>
      <c r="T665" s="3"/>
      <c r="U665" s="3"/>
    </row>
    <row r="666" customFormat="false" ht="15.75" hidden="false" customHeight="false" outlineLevel="0" collapsed="false">
      <c r="F666" s="39"/>
      <c r="G666" s="40"/>
      <c r="H666" s="40"/>
      <c r="I666" s="41"/>
      <c r="J666" s="40"/>
      <c r="K666" s="42"/>
      <c r="M666" s="47"/>
      <c r="N666" s="48"/>
      <c r="O666" s="49"/>
      <c r="Q666" s="3"/>
      <c r="R666" s="3"/>
      <c r="S666" s="3"/>
      <c r="T666" s="3"/>
      <c r="U666" s="3"/>
    </row>
    <row r="667" customFormat="false" ht="15.75" hidden="false" customHeight="false" outlineLevel="0" collapsed="false">
      <c r="F667" s="34"/>
      <c r="G667" s="35"/>
      <c r="H667" s="35"/>
      <c r="I667" s="36"/>
      <c r="J667" s="35"/>
      <c r="K667" s="37"/>
      <c r="M667" s="44"/>
      <c r="N667" s="45"/>
      <c r="O667" s="46"/>
      <c r="Q667" s="3"/>
      <c r="R667" s="3"/>
      <c r="S667" s="3"/>
      <c r="T667" s="3"/>
      <c r="U667" s="3"/>
    </row>
    <row r="668" customFormat="false" ht="15.75" hidden="false" customHeight="false" outlineLevel="0" collapsed="false">
      <c r="F668" s="39"/>
      <c r="G668" s="40"/>
      <c r="H668" s="40"/>
      <c r="I668" s="41"/>
      <c r="J668" s="40"/>
      <c r="K668" s="42"/>
      <c r="M668" s="47"/>
      <c r="N668" s="48"/>
      <c r="O668" s="49"/>
      <c r="Q668" s="3"/>
      <c r="R668" s="3"/>
      <c r="S668" s="3"/>
      <c r="T668" s="3"/>
      <c r="U668" s="3"/>
    </row>
    <row r="669" customFormat="false" ht="15.75" hidden="false" customHeight="false" outlineLevel="0" collapsed="false">
      <c r="F669" s="34"/>
      <c r="G669" s="35"/>
      <c r="H669" s="35"/>
      <c r="I669" s="36"/>
      <c r="J669" s="35"/>
      <c r="K669" s="37"/>
      <c r="M669" s="44"/>
      <c r="N669" s="45"/>
      <c r="O669" s="46"/>
      <c r="Q669" s="3"/>
      <c r="R669" s="3"/>
      <c r="S669" s="3"/>
      <c r="T669" s="3"/>
      <c r="U669" s="3"/>
    </row>
    <row r="670" customFormat="false" ht="15.75" hidden="false" customHeight="false" outlineLevel="0" collapsed="false">
      <c r="F670" s="39"/>
      <c r="G670" s="40"/>
      <c r="H670" s="40"/>
      <c r="I670" s="41"/>
      <c r="J670" s="40"/>
      <c r="K670" s="42"/>
      <c r="M670" s="47"/>
      <c r="N670" s="48"/>
      <c r="O670" s="49"/>
      <c r="Q670" s="3"/>
      <c r="R670" s="3"/>
      <c r="S670" s="3"/>
      <c r="T670" s="3"/>
      <c r="U670" s="3"/>
    </row>
    <row r="671" customFormat="false" ht="15.75" hidden="false" customHeight="false" outlineLevel="0" collapsed="false">
      <c r="F671" s="34"/>
      <c r="G671" s="35"/>
      <c r="H671" s="35"/>
      <c r="I671" s="36"/>
      <c r="J671" s="35"/>
      <c r="K671" s="37"/>
      <c r="M671" s="44"/>
      <c r="N671" s="45"/>
      <c r="O671" s="46"/>
      <c r="Q671" s="3"/>
      <c r="R671" s="3"/>
      <c r="S671" s="3"/>
      <c r="T671" s="3"/>
      <c r="U671" s="3"/>
    </row>
    <row r="672" customFormat="false" ht="15.75" hidden="false" customHeight="false" outlineLevel="0" collapsed="false">
      <c r="F672" s="39"/>
      <c r="G672" s="40"/>
      <c r="H672" s="40"/>
      <c r="I672" s="41"/>
      <c r="J672" s="40"/>
      <c r="K672" s="42"/>
      <c r="M672" s="47"/>
      <c r="N672" s="48"/>
      <c r="O672" s="49"/>
      <c r="Q672" s="3"/>
      <c r="R672" s="3"/>
      <c r="S672" s="3"/>
      <c r="T672" s="3"/>
      <c r="U672" s="3"/>
    </row>
    <row r="673" customFormat="false" ht="15.75" hidden="false" customHeight="false" outlineLevel="0" collapsed="false">
      <c r="F673" s="34"/>
      <c r="G673" s="35"/>
      <c r="H673" s="35"/>
      <c r="I673" s="36"/>
      <c r="J673" s="35"/>
      <c r="K673" s="37"/>
      <c r="M673" s="44"/>
      <c r="N673" s="45"/>
      <c r="O673" s="46"/>
      <c r="Q673" s="3"/>
      <c r="R673" s="3"/>
      <c r="S673" s="3"/>
      <c r="T673" s="3"/>
      <c r="U673" s="3"/>
    </row>
    <row r="674" customFormat="false" ht="15.75" hidden="false" customHeight="false" outlineLevel="0" collapsed="false">
      <c r="F674" s="39"/>
      <c r="G674" s="40"/>
      <c r="H674" s="40"/>
      <c r="I674" s="41"/>
      <c r="J674" s="40"/>
      <c r="K674" s="42"/>
      <c r="M674" s="47"/>
      <c r="N674" s="48"/>
      <c r="O674" s="49"/>
      <c r="Q674" s="3"/>
      <c r="R674" s="3"/>
      <c r="S674" s="3"/>
      <c r="T674" s="3"/>
      <c r="U674" s="3"/>
    </row>
    <row r="675" customFormat="false" ht="15.75" hidden="false" customHeight="false" outlineLevel="0" collapsed="false">
      <c r="F675" s="34"/>
      <c r="G675" s="35"/>
      <c r="H675" s="35"/>
      <c r="I675" s="36"/>
      <c r="J675" s="35"/>
      <c r="K675" s="37"/>
      <c r="M675" s="44"/>
      <c r="N675" s="45"/>
      <c r="O675" s="46"/>
      <c r="Q675" s="3"/>
      <c r="R675" s="3"/>
      <c r="S675" s="3"/>
      <c r="T675" s="3"/>
      <c r="U675" s="3"/>
    </row>
    <row r="676" customFormat="false" ht="15.75" hidden="false" customHeight="false" outlineLevel="0" collapsed="false">
      <c r="F676" s="39"/>
      <c r="G676" s="40"/>
      <c r="H676" s="40"/>
      <c r="I676" s="41"/>
      <c r="J676" s="40"/>
      <c r="K676" s="42"/>
      <c r="M676" s="47"/>
      <c r="N676" s="48"/>
      <c r="O676" s="49"/>
      <c r="Q676" s="3"/>
      <c r="R676" s="3"/>
      <c r="S676" s="3"/>
      <c r="T676" s="3"/>
      <c r="U676" s="3"/>
    </row>
    <row r="677" customFormat="false" ht="15.75" hidden="false" customHeight="false" outlineLevel="0" collapsed="false">
      <c r="F677" s="34"/>
      <c r="G677" s="35"/>
      <c r="H677" s="35"/>
      <c r="I677" s="36"/>
      <c r="J677" s="35"/>
      <c r="K677" s="37"/>
      <c r="M677" s="44"/>
      <c r="N677" s="45"/>
      <c r="O677" s="46"/>
      <c r="Q677" s="3"/>
      <c r="R677" s="3"/>
      <c r="S677" s="3"/>
      <c r="T677" s="3"/>
      <c r="U677" s="3"/>
    </row>
    <row r="678" customFormat="false" ht="15.75" hidden="false" customHeight="false" outlineLevel="0" collapsed="false">
      <c r="F678" s="39"/>
      <c r="G678" s="40"/>
      <c r="H678" s="40"/>
      <c r="I678" s="41"/>
      <c r="J678" s="40"/>
      <c r="K678" s="42"/>
      <c r="M678" s="47"/>
      <c r="N678" s="48"/>
      <c r="O678" s="49"/>
      <c r="Q678" s="3"/>
      <c r="R678" s="3"/>
      <c r="S678" s="3"/>
      <c r="T678" s="3"/>
      <c r="U678" s="3"/>
    </row>
    <row r="679" customFormat="false" ht="15.75" hidden="false" customHeight="false" outlineLevel="0" collapsed="false">
      <c r="F679" s="34"/>
      <c r="G679" s="35"/>
      <c r="H679" s="35"/>
      <c r="I679" s="36"/>
      <c r="J679" s="35"/>
      <c r="K679" s="37"/>
      <c r="M679" s="44"/>
      <c r="N679" s="45"/>
      <c r="O679" s="46"/>
      <c r="Q679" s="3"/>
      <c r="R679" s="3"/>
      <c r="S679" s="3"/>
      <c r="T679" s="3"/>
      <c r="U679" s="3"/>
    </row>
    <row r="680" customFormat="false" ht="15.75" hidden="false" customHeight="false" outlineLevel="0" collapsed="false">
      <c r="F680" s="39"/>
      <c r="G680" s="40"/>
      <c r="H680" s="40"/>
      <c r="I680" s="41"/>
      <c r="J680" s="40"/>
      <c r="K680" s="42"/>
      <c r="M680" s="47"/>
      <c r="N680" s="48"/>
      <c r="O680" s="49"/>
      <c r="Q680" s="3"/>
      <c r="R680" s="3"/>
      <c r="S680" s="3"/>
      <c r="T680" s="3"/>
      <c r="U680" s="3"/>
    </row>
    <row r="681" customFormat="false" ht="15.75" hidden="false" customHeight="false" outlineLevel="0" collapsed="false">
      <c r="F681" s="34"/>
      <c r="G681" s="35"/>
      <c r="H681" s="35"/>
      <c r="I681" s="36"/>
      <c r="J681" s="35"/>
      <c r="K681" s="37"/>
      <c r="M681" s="44"/>
      <c r="N681" s="45"/>
      <c r="O681" s="46"/>
      <c r="Q681" s="3"/>
      <c r="R681" s="3"/>
      <c r="S681" s="3"/>
      <c r="T681" s="3"/>
      <c r="U681" s="3"/>
    </row>
    <row r="682" customFormat="false" ht="15.75" hidden="false" customHeight="false" outlineLevel="0" collapsed="false">
      <c r="F682" s="39"/>
      <c r="G682" s="40"/>
      <c r="H682" s="40"/>
      <c r="I682" s="41"/>
      <c r="J682" s="40"/>
      <c r="K682" s="42"/>
      <c r="M682" s="47"/>
      <c r="N682" s="48"/>
      <c r="O682" s="49"/>
      <c r="Q682" s="3"/>
      <c r="R682" s="3"/>
      <c r="S682" s="3"/>
      <c r="T682" s="3"/>
      <c r="U682" s="3"/>
    </row>
    <row r="683" customFormat="false" ht="15.75" hidden="false" customHeight="false" outlineLevel="0" collapsed="false">
      <c r="F683" s="34"/>
      <c r="G683" s="35"/>
      <c r="H683" s="35"/>
      <c r="I683" s="36"/>
      <c r="J683" s="35"/>
      <c r="K683" s="37"/>
      <c r="M683" s="44"/>
      <c r="N683" s="45"/>
      <c r="O683" s="46"/>
      <c r="Q683" s="3"/>
      <c r="R683" s="3"/>
      <c r="S683" s="3"/>
      <c r="T683" s="3"/>
      <c r="U683" s="3"/>
    </row>
    <row r="684" customFormat="false" ht="15.75" hidden="false" customHeight="false" outlineLevel="0" collapsed="false">
      <c r="F684" s="39"/>
      <c r="G684" s="40"/>
      <c r="H684" s="40"/>
      <c r="I684" s="41"/>
      <c r="J684" s="40"/>
      <c r="K684" s="42"/>
      <c r="M684" s="47"/>
      <c r="N684" s="48"/>
      <c r="O684" s="49"/>
      <c r="Q684" s="3"/>
      <c r="R684" s="3"/>
      <c r="S684" s="3"/>
      <c r="T684" s="3"/>
      <c r="U684" s="3"/>
    </row>
    <row r="685" customFormat="false" ht="15.75" hidden="false" customHeight="false" outlineLevel="0" collapsed="false">
      <c r="F685" s="34"/>
      <c r="G685" s="35"/>
      <c r="H685" s="35"/>
      <c r="I685" s="36"/>
      <c r="J685" s="35"/>
      <c r="K685" s="37"/>
      <c r="M685" s="44"/>
      <c r="N685" s="45"/>
      <c r="O685" s="46"/>
      <c r="Q685" s="3"/>
      <c r="R685" s="3"/>
      <c r="S685" s="3"/>
      <c r="T685" s="3"/>
      <c r="U685" s="3"/>
    </row>
    <row r="686" customFormat="false" ht="15.75" hidden="false" customHeight="false" outlineLevel="0" collapsed="false">
      <c r="F686" s="39"/>
      <c r="G686" s="40"/>
      <c r="H686" s="40"/>
      <c r="I686" s="41"/>
      <c r="J686" s="40"/>
      <c r="K686" s="42"/>
      <c r="M686" s="47"/>
      <c r="N686" s="48"/>
      <c r="O686" s="49"/>
      <c r="Q686" s="3"/>
      <c r="R686" s="3"/>
      <c r="S686" s="3"/>
      <c r="T686" s="3"/>
      <c r="U686" s="3"/>
    </row>
    <row r="687" customFormat="false" ht="15.75" hidden="false" customHeight="false" outlineLevel="0" collapsed="false">
      <c r="F687" s="34"/>
      <c r="G687" s="35"/>
      <c r="H687" s="35"/>
      <c r="I687" s="36"/>
      <c r="J687" s="35"/>
      <c r="K687" s="37"/>
      <c r="M687" s="44"/>
      <c r="N687" s="45"/>
      <c r="O687" s="46"/>
      <c r="Q687" s="3"/>
      <c r="R687" s="3"/>
      <c r="S687" s="3"/>
      <c r="T687" s="3"/>
      <c r="U687" s="3"/>
    </row>
    <row r="688" customFormat="false" ht="15.75" hidden="false" customHeight="false" outlineLevel="0" collapsed="false">
      <c r="F688" s="39"/>
      <c r="G688" s="40"/>
      <c r="H688" s="40"/>
      <c r="I688" s="41"/>
      <c r="J688" s="40"/>
      <c r="K688" s="42"/>
      <c r="M688" s="47"/>
      <c r="N688" s="48"/>
      <c r="O688" s="49"/>
      <c r="Q688" s="3"/>
      <c r="R688" s="3"/>
      <c r="S688" s="3"/>
      <c r="T688" s="3"/>
      <c r="U688" s="3"/>
    </row>
    <row r="689" customFormat="false" ht="15.75" hidden="false" customHeight="false" outlineLevel="0" collapsed="false">
      <c r="F689" s="34"/>
      <c r="G689" s="35"/>
      <c r="H689" s="35"/>
      <c r="I689" s="36"/>
      <c r="J689" s="35"/>
      <c r="K689" s="37"/>
      <c r="M689" s="44"/>
      <c r="N689" s="45"/>
      <c r="O689" s="46"/>
      <c r="Q689" s="3"/>
      <c r="R689" s="3"/>
      <c r="S689" s="3"/>
      <c r="T689" s="3"/>
      <c r="U689" s="3"/>
    </row>
    <row r="690" customFormat="false" ht="15.75" hidden="false" customHeight="false" outlineLevel="0" collapsed="false">
      <c r="F690" s="39"/>
      <c r="G690" s="40"/>
      <c r="H690" s="40"/>
      <c r="I690" s="41"/>
      <c r="J690" s="40"/>
      <c r="K690" s="42"/>
      <c r="M690" s="47"/>
      <c r="N690" s="48"/>
      <c r="O690" s="49"/>
      <c r="Q690" s="3"/>
      <c r="R690" s="3"/>
      <c r="S690" s="3"/>
      <c r="T690" s="3"/>
      <c r="U690" s="3"/>
    </row>
    <row r="691" customFormat="false" ht="15.75" hidden="false" customHeight="false" outlineLevel="0" collapsed="false">
      <c r="F691" s="34"/>
      <c r="G691" s="35"/>
      <c r="H691" s="35"/>
      <c r="I691" s="36"/>
      <c r="J691" s="35"/>
      <c r="K691" s="37"/>
      <c r="M691" s="44"/>
      <c r="N691" s="45"/>
      <c r="O691" s="46"/>
      <c r="Q691" s="3"/>
      <c r="R691" s="3"/>
      <c r="S691" s="3"/>
      <c r="T691" s="3"/>
      <c r="U691" s="3"/>
    </row>
    <row r="692" customFormat="false" ht="15.75" hidden="false" customHeight="false" outlineLevel="0" collapsed="false">
      <c r="F692" s="39"/>
      <c r="G692" s="40"/>
      <c r="H692" s="40"/>
      <c r="I692" s="41"/>
      <c r="J692" s="40"/>
      <c r="K692" s="42"/>
      <c r="M692" s="47"/>
      <c r="N692" s="48"/>
      <c r="O692" s="49"/>
      <c r="Q692" s="3"/>
      <c r="R692" s="3"/>
      <c r="S692" s="3"/>
      <c r="T692" s="3"/>
      <c r="U692" s="3"/>
    </row>
    <row r="693" customFormat="false" ht="15.75" hidden="false" customHeight="false" outlineLevel="0" collapsed="false">
      <c r="F693" s="34"/>
      <c r="G693" s="35"/>
      <c r="H693" s="35"/>
      <c r="I693" s="36"/>
      <c r="J693" s="35"/>
      <c r="K693" s="37"/>
      <c r="M693" s="44"/>
      <c r="N693" s="45"/>
      <c r="O693" s="46"/>
      <c r="Q693" s="3"/>
      <c r="R693" s="3"/>
      <c r="S693" s="3"/>
      <c r="T693" s="3"/>
      <c r="U693" s="3"/>
    </row>
    <row r="694" customFormat="false" ht="15.75" hidden="false" customHeight="false" outlineLevel="0" collapsed="false">
      <c r="F694" s="39"/>
      <c r="G694" s="40"/>
      <c r="H694" s="40"/>
      <c r="I694" s="41"/>
      <c r="J694" s="40"/>
      <c r="K694" s="42"/>
      <c r="M694" s="47"/>
      <c r="N694" s="48"/>
      <c r="O694" s="49"/>
      <c r="Q694" s="3"/>
      <c r="R694" s="3"/>
      <c r="S694" s="3"/>
      <c r="T694" s="3"/>
      <c r="U694" s="3"/>
    </row>
    <row r="695" customFormat="false" ht="15.75" hidden="false" customHeight="false" outlineLevel="0" collapsed="false">
      <c r="F695" s="34"/>
      <c r="G695" s="35"/>
      <c r="H695" s="35"/>
      <c r="I695" s="36"/>
      <c r="J695" s="35"/>
      <c r="K695" s="37"/>
      <c r="M695" s="44"/>
      <c r="N695" s="45"/>
      <c r="O695" s="46"/>
      <c r="Q695" s="3"/>
      <c r="R695" s="3"/>
      <c r="S695" s="3"/>
      <c r="T695" s="3"/>
      <c r="U695" s="3"/>
    </row>
    <row r="696" customFormat="false" ht="15.75" hidden="false" customHeight="false" outlineLevel="0" collapsed="false">
      <c r="F696" s="39"/>
      <c r="G696" s="40"/>
      <c r="H696" s="40"/>
      <c r="I696" s="41"/>
      <c r="J696" s="40"/>
      <c r="K696" s="42"/>
      <c r="M696" s="47"/>
      <c r="N696" s="48"/>
      <c r="O696" s="49"/>
      <c r="Q696" s="3"/>
      <c r="R696" s="3"/>
      <c r="S696" s="3"/>
      <c r="T696" s="3"/>
      <c r="U696" s="3"/>
    </row>
    <row r="697" customFormat="false" ht="15.75" hidden="false" customHeight="false" outlineLevel="0" collapsed="false">
      <c r="F697" s="34"/>
      <c r="G697" s="35"/>
      <c r="H697" s="35"/>
      <c r="I697" s="36"/>
      <c r="J697" s="35"/>
      <c r="K697" s="37"/>
      <c r="M697" s="44"/>
      <c r="N697" s="45"/>
      <c r="O697" s="46"/>
      <c r="Q697" s="3"/>
      <c r="R697" s="3"/>
      <c r="S697" s="3"/>
      <c r="T697" s="3"/>
      <c r="U697" s="3"/>
    </row>
    <row r="698" customFormat="false" ht="15.75" hidden="false" customHeight="false" outlineLevel="0" collapsed="false">
      <c r="F698" s="39"/>
      <c r="G698" s="40"/>
      <c r="H698" s="40"/>
      <c r="I698" s="41"/>
      <c r="J698" s="40"/>
      <c r="K698" s="42"/>
      <c r="M698" s="47"/>
      <c r="N698" s="48"/>
      <c r="O698" s="49"/>
      <c r="Q698" s="3"/>
      <c r="R698" s="3"/>
      <c r="S698" s="3"/>
      <c r="T698" s="3"/>
      <c r="U698" s="3"/>
    </row>
    <row r="699" customFormat="false" ht="15.75" hidden="false" customHeight="false" outlineLevel="0" collapsed="false">
      <c r="F699" s="34"/>
      <c r="G699" s="35"/>
      <c r="H699" s="35"/>
      <c r="I699" s="36"/>
      <c r="J699" s="35"/>
      <c r="K699" s="37"/>
      <c r="M699" s="44"/>
      <c r="N699" s="45"/>
      <c r="O699" s="46"/>
      <c r="Q699" s="3"/>
      <c r="R699" s="3"/>
      <c r="S699" s="3"/>
      <c r="T699" s="3"/>
      <c r="U699" s="3"/>
    </row>
    <row r="700" customFormat="false" ht="15.75" hidden="false" customHeight="false" outlineLevel="0" collapsed="false">
      <c r="F700" s="39"/>
      <c r="G700" s="40"/>
      <c r="H700" s="40"/>
      <c r="I700" s="41"/>
      <c r="J700" s="40"/>
      <c r="K700" s="42"/>
      <c r="M700" s="47"/>
      <c r="N700" s="48"/>
      <c r="O700" s="49"/>
      <c r="Q700" s="3"/>
      <c r="R700" s="3"/>
      <c r="S700" s="3"/>
      <c r="T700" s="3"/>
      <c r="U700" s="3"/>
    </row>
    <row r="701" customFormat="false" ht="15.75" hidden="false" customHeight="false" outlineLevel="0" collapsed="false">
      <c r="F701" s="34"/>
      <c r="G701" s="35"/>
      <c r="H701" s="35"/>
      <c r="I701" s="36"/>
      <c r="J701" s="35"/>
      <c r="K701" s="37"/>
      <c r="M701" s="44"/>
      <c r="N701" s="45"/>
      <c r="O701" s="46"/>
      <c r="Q701" s="3"/>
      <c r="R701" s="3"/>
      <c r="S701" s="3"/>
      <c r="T701" s="3"/>
      <c r="U701" s="3"/>
    </row>
    <row r="702" customFormat="false" ht="15.75" hidden="false" customHeight="false" outlineLevel="0" collapsed="false">
      <c r="F702" s="39"/>
      <c r="G702" s="40"/>
      <c r="H702" s="40"/>
      <c r="I702" s="41"/>
      <c r="J702" s="40"/>
      <c r="K702" s="42"/>
      <c r="M702" s="47"/>
      <c r="N702" s="48"/>
      <c r="O702" s="49"/>
      <c r="Q702" s="3"/>
      <c r="R702" s="3"/>
      <c r="S702" s="3"/>
      <c r="T702" s="3"/>
      <c r="U702" s="3"/>
    </row>
    <row r="703" customFormat="false" ht="15.75" hidden="false" customHeight="false" outlineLevel="0" collapsed="false">
      <c r="F703" s="34"/>
      <c r="G703" s="35"/>
      <c r="H703" s="35"/>
      <c r="I703" s="36"/>
      <c r="J703" s="35"/>
      <c r="K703" s="37"/>
      <c r="M703" s="44"/>
      <c r="N703" s="45"/>
      <c r="O703" s="46"/>
      <c r="Q703" s="3"/>
      <c r="R703" s="3"/>
      <c r="S703" s="3"/>
      <c r="T703" s="3"/>
      <c r="U703" s="3"/>
    </row>
    <row r="704" customFormat="false" ht="15.75" hidden="false" customHeight="false" outlineLevel="0" collapsed="false">
      <c r="F704" s="39"/>
      <c r="G704" s="40"/>
      <c r="H704" s="40"/>
      <c r="I704" s="41"/>
      <c r="J704" s="40"/>
      <c r="K704" s="42"/>
      <c r="M704" s="47"/>
      <c r="N704" s="48"/>
      <c r="O704" s="49"/>
      <c r="Q704" s="3"/>
      <c r="R704" s="3"/>
      <c r="S704" s="3"/>
      <c r="T704" s="3"/>
      <c r="U704" s="3"/>
    </row>
    <row r="705" customFormat="false" ht="15.75" hidden="false" customHeight="false" outlineLevel="0" collapsed="false">
      <c r="F705" s="34"/>
      <c r="G705" s="35"/>
      <c r="H705" s="35"/>
      <c r="I705" s="36"/>
      <c r="J705" s="35"/>
      <c r="K705" s="37"/>
      <c r="M705" s="44"/>
      <c r="N705" s="45"/>
      <c r="O705" s="46"/>
      <c r="Q705" s="3"/>
      <c r="R705" s="3"/>
      <c r="S705" s="3"/>
      <c r="T705" s="3"/>
      <c r="U705" s="3"/>
    </row>
    <row r="706" customFormat="false" ht="15.75" hidden="false" customHeight="false" outlineLevel="0" collapsed="false">
      <c r="F706" s="39"/>
      <c r="G706" s="40"/>
      <c r="H706" s="40"/>
      <c r="I706" s="41"/>
      <c r="J706" s="40"/>
      <c r="K706" s="42"/>
      <c r="M706" s="47"/>
      <c r="N706" s="48"/>
      <c r="O706" s="49"/>
      <c r="Q706" s="3"/>
      <c r="R706" s="3"/>
      <c r="S706" s="3"/>
      <c r="T706" s="3"/>
      <c r="U706" s="3"/>
    </row>
    <row r="707" customFormat="false" ht="15.75" hidden="false" customHeight="false" outlineLevel="0" collapsed="false">
      <c r="F707" s="34"/>
      <c r="G707" s="35"/>
      <c r="H707" s="35"/>
      <c r="I707" s="36"/>
      <c r="J707" s="35"/>
      <c r="K707" s="37"/>
      <c r="M707" s="44"/>
      <c r="N707" s="45"/>
      <c r="O707" s="46"/>
      <c r="Q707" s="3"/>
      <c r="R707" s="3"/>
      <c r="S707" s="3"/>
      <c r="T707" s="3"/>
      <c r="U707" s="3"/>
    </row>
    <row r="708" customFormat="false" ht="15.75" hidden="false" customHeight="false" outlineLevel="0" collapsed="false">
      <c r="F708" s="39"/>
      <c r="G708" s="40"/>
      <c r="H708" s="40"/>
      <c r="I708" s="41"/>
      <c r="J708" s="40"/>
      <c r="K708" s="42"/>
      <c r="M708" s="47"/>
      <c r="N708" s="48"/>
      <c r="O708" s="49"/>
      <c r="Q708" s="3"/>
      <c r="R708" s="3"/>
      <c r="S708" s="3"/>
      <c r="T708" s="3"/>
      <c r="U708" s="3"/>
    </row>
    <row r="709" customFormat="false" ht="15.75" hidden="false" customHeight="false" outlineLevel="0" collapsed="false">
      <c r="F709" s="34"/>
      <c r="G709" s="35"/>
      <c r="H709" s="35"/>
      <c r="I709" s="36"/>
      <c r="J709" s="35"/>
      <c r="K709" s="37"/>
      <c r="M709" s="44"/>
      <c r="N709" s="45"/>
      <c r="O709" s="46"/>
      <c r="Q709" s="3"/>
      <c r="R709" s="3"/>
      <c r="S709" s="3"/>
      <c r="T709" s="3"/>
      <c r="U709" s="3"/>
    </row>
    <row r="710" customFormat="false" ht="15.75" hidden="false" customHeight="false" outlineLevel="0" collapsed="false">
      <c r="F710" s="39"/>
      <c r="G710" s="40"/>
      <c r="H710" s="40"/>
      <c r="I710" s="41"/>
      <c r="J710" s="40"/>
      <c r="K710" s="42"/>
      <c r="M710" s="47"/>
      <c r="N710" s="48"/>
      <c r="O710" s="49"/>
      <c r="Q710" s="3"/>
      <c r="R710" s="3"/>
      <c r="S710" s="3"/>
      <c r="T710" s="3"/>
      <c r="U710" s="3"/>
    </row>
    <row r="711" customFormat="false" ht="15.75" hidden="false" customHeight="false" outlineLevel="0" collapsed="false">
      <c r="F711" s="34"/>
      <c r="G711" s="35"/>
      <c r="H711" s="35"/>
      <c r="I711" s="36"/>
      <c r="J711" s="35"/>
      <c r="K711" s="37"/>
      <c r="M711" s="44"/>
      <c r="N711" s="45"/>
      <c r="O711" s="46"/>
      <c r="Q711" s="3"/>
      <c r="R711" s="3"/>
      <c r="S711" s="3"/>
      <c r="T711" s="3"/>
      <c r="U711" s="3"/>
    </row>
    <row r="712" customFormat="false" ht="15.75" hidden="false" customHeight="false" outlineLevel="0" collapsed="false">
      <c r="F712" s="39"/>
      <c r="G712" s="40"/>
      <c r="H712" s="40"/>
      <c r="I712" s="41"/>
      <c r="J712" s="40"/>
      <c r="K712" s="42"/>
      <c r="M712" s="47"/>
      <c r="N712" s="48"/>
      <c r="O712" s="49"/>
      <c r="Q712" s="3"/>
      <c r="R712" s="3"/>
      <c r="S712" s="3"/>
      <c r="T712" s="3"/>
      <c r="U712" s="3"/>
    </row>
    <row r="713" customFormat="false" ht="15.75" hidden="false" customHeight="false" outlineLevel="0" collapsed="false">
      <c r="F713" s="34"/>
      <c r="G713" s="35"/>
      <c r="H713" s="35"/>
      <c r="I713" s="36"/>
      <c r="J713" s="35"/>
      <c r="K713" s="37"/>
      <c r="M713" s="44"/>
      <c r="N713" s="45"/>
      <c r="O713" s="46"/>
      <c r="Q713" s="3"/>
      <c r="R713" s="3"/>
      <c r="S713" s="3"/>
      <c r="T713" s="3"/>
      <c r="U713" s="3"/>
    </row>
    <row r="714" customFormat="false" ht="15.75" hidden="false" customHeight="false" outlineLevel="0" collapsed="false">
      <c r="F714" s="39"/>
      <c r="G714" s="40"/>
      <c r="H714" s="40"/>
      <c r="I714" s="41"/>
      <c r="J714" s="40"/>
      <c r="K714" s="42"/>
      <c r="M714" s="47"/>
      <c r="N714" s="48"/>
      <c r="O714" s="49"/>
      <c r="Q714" s="3"/>
      <c r="R714" s="3"/>
      <c r="S714" s="3"/>
      <c r="T714" s="3"/>
      <c r="U714" s="3"/>
    </row>
    <row r="715" customFormat="false" ht="15.75" hidden="false" customHeight="false" outlineLevel="0" collapsed="false">
      <c r="F715" s="34"/>
      <c r="G715" s="35"/>
      <c r="H715" s="35"/>
      <c r="I715" s="36"/>
      <c r="J715" s="35"/>
      <c r="K715" s="37"/>
      <c r="M715" s="44"/>
      <c r="N715" s="45"/>
      <c r="O715" s="46"/>
      <c r="Q715" s="3"/>
      <c r="R715" s="3"/>
      <c r="S715" s="3"/>
      <c r="T715" s="3"/>
      <c r="U715" s="3"/>
    </row>
    <row r="716" customFormat="false" ht="15.75" hidden="false" customHeight="false" outlineLevel="0" collapsed="false">
      <c r="F716" s="39"/>
      <c r="G716" s="40"/>
      <c r="H716" s="40"/>
      <c r="I716" s="41"/>
      <c r="J716" s="40"/>
      <c r="K716" s="42"/>
      <c r="M716" s="47"/>
      <c r="N716" s="48"/>
      <c r="O716" s="49"/>
      <c r="Q716" s="3"/>
      <c r="R716" s="3"/>
      <c r="S716" s="3"/>
      <c r="T716" s="3"/>
      <c r="U716" s="3"/>
    </row>
    <row r="717" customFormat="false" ht="15.75" hidden="false" customHeight="false" outlineLevel="0" collapsed="false">
      <c r="F717" s="34"/>
      <c r="G717" s="35"/>
      <c r="H717" s="35"/>
      <c r="I717" s="36"/>
      <c r="J717" s="35"/>
      <c r="K717" s="37"/>
      <c r="M717" s="44"/>
      <c r="N717" s="45"/>
      <c r="O717" s="46"/>
      <c r="Q717" s="3"/>
      <c r="R717" s="3"/>
      <c r="S717" s="3"/>
      <c r="T717" s="3"/>
      <c r="U717" s="3"/>
    </row>
    <row r="718" customFormat="false" ht="15.75" hidden="false" customHeight="false" outlineLevel="0" collapsed="false">
      <c r="F718" s="39"/>
      <c r="G718" s="40"/>
      <c r="H718" s="40"/>
      <c r="I718" s="41"/>
      <c r="J718" s="40"/>
      <c r="K718" s="42"/>
      <c r="M718" s="47"/>
      <c r="N718" s="48"/>
      <c r="O718" s="49"/>
      <c r="Q718" s="3"/>
      <c r="R718" s="3"/>
      <c r="S718" s="3"/>
      <c r="T718" s="3"/>
      <c r="U718" s="3"/>
    </row>
    <row r="719" customFormat="false" ht="15.75" hidden="false" customHeight="false" outlineLevel="0" collapsed="false">
      <c r="F719" s="34"/>
      <c r="G719" s="35"/>
      <c r="H719" s="35"/>
      <c r="I719" s="36"/>
      <c r="J719" s="35"/>
      <c r="K719" s="37"/>
      <c r="M719" s="44"/>
      <c r="N719" s="45"/>
      <c r="O719" s="46"/>
      <c r="Q719" s="3"/>
      <c r="R719" s="3"/>
      <c r="S719" s="3"/>
      <c r="T719" s="3"/>
      <c r="U719" s="3"/>
    </row>
    <row r="720" customFormat="false" ht="15.75" hidden="false" customHeight="false" outlineLevel="0" collapsed="false">
      <c r="F720" s="39"/>
      <c r="G720" s="40"/>
      <c r="H720" s="40"/>
      <c r="I720" s="41"/>
      <c r="J720" s="40"/>
      <c r="K720" s="42"/>
      <c r="M720" s="47"/>
      <c r="N720" s="48"/>
      <c r="O720" s="49"/>
      <c r="Q720" s="3"/>
      <c r="R720" s="3"/>
      <c r="S720" s="3"/>
      <c r="T720" s="3"/>
      <c r="U720" s="3"/>
    </row>
    <row r="721" customFormat="false" ht="15.75" hidden="false" customHeight="false" outlineLevel="0" collapsed="false">
      <c r="F721" s="34"/>
      <c r="G721" s="35"/>
      <c r="H721" s="35"/>
      <c r="I721" s="36"/>
      <c r="J721" s="35"/>
      <c r="K721" s="37"/>
      <c r="M721" s="44"/>
      <c r="N721" s="45"/>
      <c r="O721" s="46"/>
      <c r="Q721" s="3"/>
      <c r="R721" s="3"/>
      <c r="S721" s="3"/>
      <c r="T721" s="3"/>
      <c r="U721" s="3"/>
    </row>
    <row r="722" customFormat="false" ht="15.75" hidden="false" customHeight="false" outlineLevel="0" collapsed="false">
      <c r="F722" s="39"/>
      <c r="G722" s="40"/>
      <c r="H722" s="40"/>
      <c r="I722" s="41"/>
      <c r="J722" s="40"/>
      <c r="K722" s="42"/>
      <c r="M722" s="47"/>
      <c r="N722" s="48"/>
      <c r="O722" s="49"/>
      <c r="Q722" s="3"/>
      <c r="R722" s="3"/>
      <c r="S722" s="3"/>
      <c r="T722" s="3"/>
      <c r="U722" s="3"/>
    </row>
    <row r="723" customFormat="false" ht="15.75" hidden="false" customHeight="false" outlineLevel="0" collapsed="false">
      <c r="F723" s="34"/>
      <c r="G723" s="35"/>
      <c r="H723" s="35"/>
      <c r="I723" s="36"/>
      <c r="J723" s="35"/>
      <c r="K723" s="37"/>
      <c r="M723" s="44"/>
      <c r="N723" s="45"/>
      <c r="O723" s="46"/>
      <c r="Q723" s="3"/>
      <c r="R723" s="3"/>
      <c r="S723" s="3"/>
      <c r="T723" s="3"/>
      <c r="U723" s="3"/>
    </row>
    <row r="724" customFormat="false" ht="15.75" hidden="false" customHeight="false" outlineLevel="0" collapsed="false">
      <c r="F724" s="39"/>
      <c r="G724" s="40"/>
      <c r="H724" s="40"/>
      <c r="I724" s="41"/>
      <c r="J724" s="40"/>
      <c r="K724" s="42"/>
      <c r="M724" s="47"/>
      <c r="N724" s="48"/>
      <c r="O724" s="49"/>
      <c r="Q724" s="3"/>
      <c r="R724" s="3"/>
      <c r="S724" s="3"/>
      <c r="T724" s="3"/>
      <c r="U724" s="3"/>
    </row>
    <row r="725" customFormat="false" ht="15.75" hidden="false" customHeight="false" outlineLevel="0" collapsed="false">
      <c r="F725" s="34"/>
      <c r="G725" s="35"/>
      <c r="H725" s="35"/>
      <c r="I725" s="36"/>
      <c r="J725" s="35"/>
      <c r="K725" s="37"/>
      <c r="M725" s="44"/>
      <c r="N725" s="45"/>
      <c r="O725" s="46"/>
      <c r="Q725" s="3"/>
      <c r="R725" s="3"/>
      <c r="S725" s="3"/>
      <c r="T725" s="3"/>
      <c r="U725" s="3"/>
    </row>
    <row r="726" customFormat="false" ht="15.75" hidden="false" customHeight="false" outlineLevel="0" collapsed="false">
      <c r="F726" s="39"/>
      <c r="G726" s="40"/>
      <c r="H726" s="40"/>
      <c r="I726" s="41"/>
      <c r="J726" s="40"/>
      <c r="K726" s="42"/>
      <c r="M726" s="47"/>
      <c r="N726" s="48"/>
      <c r="O726" s="49"/>
      <c r="Q726" s="3"/>
      <c r="R726" s="3"/>
      <c r="S726" s="3"/>
      <c r="T726" s="3"/>
      <c r="U726" s="3"/>
    </row>
    <row r="727" customFormat="false" ht="15.75" hidden="false" customHeight="false" outlineLevel="0" collapsed="false">
      <c r="F727" s="34"/>
      <c r="G727" s="35"/>
      <c r="H727" s="35"/>
      <c r="I727" s="36"/>
      <c r="J727" s="35"/>
      <c r="K727" s="37"/>
      <c r="M727" s="44"/>
      <c r="N727" s="45"/>
      <c r="O727" s="46"/>
      <c r="Q727" s="3"/>
      <c r="R727" s="3"/>
      <c r="S727" s="3"/>
      <c r="T727" s="3"/>
      <c r="U727" s="3"/>
    </row>
    <row r="728" customFormat="false" ht="15.75" hidden="false" customHeight="false" outlineLevel="0" collapsed="false">
      <c r="F728" s="39"/>
      <c r="G728" s="40"/>
      <c r="H728" s="40"/>
      <c r="I728" s="41"/>
      <c r="J728" s="40"/>
      <c r="K728" s="42"/>
      <c r="M728" s="47"/>
      <c r="N728" s="48"/>
      <c r="O728" s="49"/>
      <c r="Q728" s="3"/>
      <c r="R728" s="3"/>
      <c r="S728" s="3"/>
      <c r="T728" s="3"/>
      <c r="U728" s="3"/>
    </row>
    <row r="729" customFormat="false" ht="15.75" hidden="false" customHeight="false" outlineLevel="0" collapsed="false">
      <c r="F729" s="34"/>
      <c r="G729" s="35"/>
      <c r="H729" s="35"/>
      <c r="I729" s="36"/>
      <c r="J729" s="35"/>
      <c r="K729" s="37"/>
      <c r="M729" s="44"/>
      <c r="N729" s="45"/>
      <c r="O729" s="46"/>
      <c r="Q729" s="3"/>
      <c r="R729" s="3"/>
      <c r="S729" s="3"/>
      <c r="T729" s="3"/>
      <c r="U729" s="3"/>
    </row>
    <row r="730" customFormat="false" ht="15.75" hidden="false" customHeight="false" outlineLevel="0" collapsed="false">
      <c r="F730" s="39"/>
      <c r="G730" s="40"/>
      <c r="H730" s="40"/>
      <c r="I730" s="41"/>
      <c r="J730" s="40"/>
      <c r="K730" s="42"/>
      <c r="M730" s="47"/>
      <c r="N730" s="48"/>
      <c r="O730" s="49"/>
      <c r="Q730" s="3"/>
      <c r="R730" s="3"/>
      <c r="S730" s="3"/>
      <c r="T730" s="3"/>
      <c r="U730" s="3"/>
    </row>
    <row r="731" customFormat="false" ht="15.75" hidden="false" customHeight="false" outlineLevel="0" collapsed="false">
      <c r="F731" s="34"/>
      <c r="G731" s="35"/>
      <c r="H731" s="35"/>
      <c r="I731" s="36"/>
      <c r="J731" s="35"/>
      <c r="K731" s="37"/>
      <c r="M731" s="44"/>
      <c r="N731" s="45"/>
      <c r="O731" s="46"/>
      <c r="Q731" s="3"/>
      <c r="R731" s="3"/>
      <c r="S731" s="3"/>
      <c r="T731" s="3"/>
      <c r="U731" s="3"/>
    </row>
    <row r="732" customFormat="false" ht="15.75" hidden="false" customHeight="false" outlineLevel="0" collapsed="false">
      <c r="F732" s="39"/>
      <c r="G732" s="40"/>
      <c r="H732" s="40"/>
      <c r="I732" s="41"/>
      <c r="J732" s="40"/>
      <c r="K732" s="42"/>
      <c r="M732" s="47"/>
      <c r="N732" s="48"/>
      <c r="O732" s="49"/>
      <c r="Q732" s="3"/>
      <c r="R732" s="3"/>
      <c r="S732" s="3"/>
      <c r="T732" s="3"/>
      <c r="U732" s="3"/>
    </row>
    <row r="733" customFormat="false" ht="15.75" hidden="false" customHeight="false" outlineLevel="0" collapsed="false">
      <c r="F733" s="34"/>
      <c r="G733" s="35"/>
      <c r="H733" s="35"/>
      <c r="I733" s="36"/>
      <c r="J733" s="35"/>
      <c r="K733" s="37"/>
      <c r="M733" s="44"/>
      <c r="N733" s="45"/>
      <c r="O733" s="46"/>
      <c r="Q733" s="3"/>
      <c r="R733" s="3"/>
      <c r="S733" s="3"/>
      <c r="T733" s="3"/>
      <c r="U733" s="3"/>
    </row>
    <row r="734" customFormat="false" ht="15.75" hidden="false" customHeight="false" outlineLevel="0" collapsed="false">
      <c r="F734" s="39"/>
      <c r="G734" s="40"/>
      <c r="H734" s="40"/>
      <c r="I734" s="41"/>
      <c r="J734" s="40"/>
      <c r="K734" s="42"/>
      <c r="M734" s="47"/>
      <c r="N734" s="48"/>
      <c r="O734" s="49"/>
      <c r="Q734" s="3"/>
      <c r="R734" s="3"/>
      <c r="S734" s="3"/>
      <c r="T734" s="3"/>
      <c r="U734" s="3"/>
    </row>
    <row r="735" customFormat="false" ht="15.75" hidden="false" customHeight="false" outlineLevel="0" collapsed="false">
      <c r="F735" s="34"/>
      <c r="G735" s="35"/>
      <c r="H735" s="35"/>
      <c r="I735" s="36"/>
      <c r="J735" s="35"/>
      <c r="K735" s="37"/>
      <c r="M735" s="44"/>
      <c r="N735" s="45"/>
      <c r="O735" s="46"/>
      <c r="Q735" s="3"/>
      <c r="R735" s="3"/>
      <c r="S735" s="3"/>
      <c r="T735" s="3"/>
      <c r="U735" s="3"/>
    </row>
    <row r="736" customFormat="false" ht="15.75" hidden="false" customHeight="false" outlineLevel="0" collapsed="false">
      <c r="F736" s="39"/>
      <c r="G736" s="40"/>
      <c r="H736" s="40"/>
      <c r="I736" s="41"/>
      <c r="J736" s="40"/>
      <c r="K736" s="42"/>
      <c r="M736" s="47"/>
      <c r="N736" s="48"/>
      <c r="O736" s="49"/>
      <c r="Q736" s="3"/>
      <c r="R736" s="3"/>
      <c r="S736" s="3"/>
      <c r="T736" s="3"/>
      <c r="U736" s="3"/>
    </row>
    <row r="737" customFormat="false" ht="15.75" hidden="false" customHeight="false" outlineLevel="0" collapsed="false">
      <c r="F737" s="34"/>
      <c r="G737" s="35"/>
      <c r="H737" s="35"/>
      <c r="I737" s="36"/>
      <c r="J737" s="35"/>
      <c r="K737" s="37"/>
      <c r="M737" s="44"/>
      <c r="N737" s="45"/>
      <c r="O737" s="46"/>
      <c r="Q737" s="3"/>
      <c r="R737" s="3"/>
      <c r="S737" s="3"/>
      <c r="T737" s="3"/>
      <c r="U737" s="3"/>
    </row>
    <row r="738" customFormat="false" ht="15.75" hidden="false" customHeight="false" outlineLevel="0" collapsed="false">
      <c r="F738" s="39"/>
      <c r="G738" s="40"/>
      <c r="H738" s="40"/>
      <c r="I738" s="41"/>
      <c r="J738" s="40"/>
      <c r="K738" s="42"/>
      <c r="M738" s="47"/>
      <c r="N738" s="48"/>
      <c r="O738" s="49"/>
      <c r="Q738" s="3"/>
      <c r="R738" s="3"/>
      <c r="S738" s="3"/>
      <c r="T738" s="3"/>
      <c r="U738" s="3"/>
    </row>
    <row r="739" customFormat="false" ht="15.75" hidden="false" customHeight="false" outlineLevel="0" collapsed="false">
      <c r="F739" s="34"/>
      <c r="G739" s="35"/>
      <c r="H739" s="35"/>
      <c r="I739" s="36"/>
      <c r="J739" s="35"/>
      <c r="K739" s="37"/>
      <c r="M739" s="44"/>
      <c r="N739" s="45"/>
      <c r="O739" s="46"/>
      <c r="Q739" s="3"/>
      <c r="R739" s="3"/>
      <c r="S739" s="3"/>
      <c r="T739" s="3"/>
      <c r="U739" s="3"/>
    </row>
    <row r="740" customFormat="false" ht="15.75" hidden="false" customHeight="false" outlineLevel="0" collapsed="false">
      <c r="F740" s="39"/>
      <c r="G740" s="40"/>
      <c r="H740" s="40"/>
      <c r="I740" s="41"/>
      <c r="J740" s="40"/>
      <c r="K740" s="42"/>
      <c r="M740" s="47"/>
      <c r="N740" s="48"/>
      <c r="O740" s="49"/>
      <c r="Q740" s="3"/>
      <c r="R740" s="3"/>
      <c r="S740" s="3"/>
      <c r="T740" s="3"/>
      <c r="U740" s="3"/>
    </row>
    <row r="741" customFormat="false" ht="15.75" hidden="false" customHeight="false" outlineLevel="0" collapsed="false">
      <c r="F741" s="34"/>
      <c r="G741" s="35"/>
      <c r="H741" s="35"/>
      <c r="I741" s="36"/>
      <c r="J741" s="35"/>
      <c r="K741" s="37"/>
      <c r="M741" s="44"/>
      <c r="N741" s="45"/>
      <c r="O741" s="46"/>
      <c r="Q741" s="3"/>
      <c r="R741" s="3"/>
      <c r="S741" s="3"/>
      <c r="T741" s="3"/>
      <c r="U741" s="3"/>
    </row>
    <row r="742" customFormat="false" ht="15.75" hidden="false" customHeight="false" outlineLevel="0" collapsed="false">
      <c r="F742" s="39"/>
      <c r="G742" s="40"/>
      <c r="H742" s="40"/>
      <c r="I742" s="41"/>
      <c r="J742" s="40"/>
      <c r="K742" s="42"/>
      <c r="M742" s="47"/>
      <c r="N742" s="48"/>
      <c r="O742" s="49"/>
      <c r="Q742" s="3"/>
      <c r="R742" s="3"/>
      <c r="S742" s="3"/>
      <c r="T742" s="3"/>
      <c r="U742" s="3"/>
    </row>
    <row r="743" customFormat="false" ht="15.75" hidden="false" customHeight="false" outlineLevel="0" collapsed="false">
      <c r="F743" s="34"/>
      <c r="G743" s="35"/>
      <c r="H743" s="35"/>
      <c r="I743" s="36"/>
      <c r="J743" s="35"/>
      <c r="K743" s="37"/>
      <c r="M743" s="44"/>
      <c r="N743" s="45"/>
      <c r="O743" s="46"/>
      <c r="Q743" s="3"/>
      <c r="R743" s="3"/>
      <c r="S743" s="3"/>
      <c r="T743" s="3"/>
      <c r="U743" s="3"/>
    </row>
    <row r="744" customFormat="false" ht="15.75" hidden="false" customHeight="false" outlineLevel="0" collapsed="false">
      <c r="F744" s="39"/>
      <c r="G744" s="40"/>
      <c r="H744" s="40"/>
      <c r="I744" s="41"/>
      <c r="J744" s="40"/>
      <c r="K744" s="42"/>
      <c r="M744" s="47"/>
      <c r="N744" s="48"/>
      <c r="O744" s="49"/>
      <c r="Q744" s="3"/>
      <c r="R744" s="3"/>
      <c r="S744" s="3"/>
      <c r="T744" s="3"/>
      <c r="U744" s="3"/>
    </row>
    <row r="745" customFormat="false" ht="15.75" hidden="false" customHeight="false" outlineLevel="0" collapsed="false">
      <c r="F745" s="34"/>
      <c r="G745" s="35"/>
      <c r="H745" s="35"/>
      <c r="I745" s="36"/>
      <c r="J745" s="35"/>
      <c r="K745" s="37"/>
      <c r="M745" s="44"/>
      <c r="N745" s="45"/>
      <c r="O745" s="46"/>
      <c r="Q745" s="3"/>
      <c r="R745" s="3"/>
      <c r="S745" s="3"/>
      <c r="T745" s="3"/>
      <c r="U745" s="3"/>
    </row>
    <row r="746" customFormat="false" ht="15.75" hidden="false" customHeight="false" outlineLevel="0" collapsed="false">
      <c r="F746" s="39"/>
      <c r="G746" s="40"/>
      <c r="H746" s="40"/>
      <c r="I746" s="41"/>
      <c r="J746" s="40"/>
      <c r="K746" s="42"/>
      <c r="M746" s="47"/>
      <c r="N746" s="48"/>
      <c r="O746" s="49"/>
      <c r="Q746" s="3"/>
      <c r="R746" s="3"/>
      <c r="S746" s="3"/>
      <c r="T746" s="3"/>
      <c r="U746" s="3"/>
    </row>
    <row r="747" customFormat="false" ht="15.75" hidden="false" customHeight="false" outlineLevel="0" collapsed="false">
      <c r="F747" s="34"/>
      <c r="G747" s="35"/>
      <c r="H747" s="35"/>
      <c r="I747" s="36"/>
      <c r="J747" s="35"/>
      <c r="K747" s="37"/>
      <c r="M747" s="44"/>
      <c r="N747" s="45"/>
      <c r="O747" s="46"/>
      <c r="Q747" s="3"/>
      <c r="R747" s="3"/>
      <c r="S747" s="3"/>
      <c r="T747" s="3"/>
      <c r="U747" s="3"/>
    </row>
    <row r="748" customFormat="false" ht="15.75" hidden="false" customHeight="false" outlineLevel="0" collapsed="false">
      <c r="F748" s="39"/>
      <c r="G748" s="40"/>
      <c r="H748" s="40"/>
      <c r="I748" s="41"/>
      <c r="J748" s="40"/>
      <c r="K748" s="42"/>
      <c r="M748" s="47"/>
      <c r="N748" s="48"/>
      <c r="O748" s="49"/>
      <c r="Q748" s="3"/>
      <c r="R748" s="3"/>
      <c r="S748" s="3"/>
      <c r="T748" s="3"/>
      <c r="U748" s="3"/>
    </row>
    <row r="749" customFormat="false" ht="15.75" hidden="false" customHeight="false" outlineLevel="0" collapsed="false">
      <c r="F749" s="34"/>
      <c r="G749" s="35"/>
      <c r="H749" s="35"/>
      <c r="I749" s="36"/>
      <c r="J749" s="35"/>
      <c r="K749" s="37"/>
      <c r="M749" s="44"/>
      <c r="N749" s="45"/>
      <c r="O749" s="46"/>
      <c r="Q749" s="3"/>
      <c r="R749" s="3"/>
      <c r="S749" s="3"/>
      <c r="T749" s="3"/>
      <c r="U749" s="3"/>
    </row>
    <row r="750" customFormat="false" ht="15.75" hidden="false" customHeight="false" outlineLevel="0" collapsed="false">
      <c r="F750" s="39"/>
      <c r="G750" s="40"/>
      <c r="H750" s="40"/>
      <c r="I750" s="41"/>
      <c r="J750" s="40"/>
      <c r="K750" s="42"/>
      <c r="M750" s="47"/>
      <c r="N750" s="48"/>
      <c r="O750" s="49"/>
      <c r="Q750" s="3"/>
      <c r="R750" s="3"/>
      <c r="S750" s="3"/>
      <c r="T750" s="3"/>
      <c r="U750" s="3"/>
    </row>
    <row r="751" customFormat="false" ht="15.75" hidden="false" customHeight="false" outlineLevel="0" collapsed="false">
      <c r="F751" s="34"/>
      <c r="G751" s="35"/>
      <c r="H751" s="35"/>
      <c r="I751" s="36"/>
      <c r="J751" s="35"/>
      <c r="K751" s="37"/>
      <c r="M751" s="44"/>
      <c r="N751" s="45"/>
      <c r="O751" s="46"/>
      <c r="Q751" s="3"/>
      <c r="R751" s="3"/>
      <c r="S751" s="3"/>
      <c r="T751" s="3"/>
      <c r="U751" s="3"/>
    </row>
    <row r="752" customFormat="false" ht="15.75" hidden="false" customHeight="false" outlineLevel="0" collapsed="false">
      <c r="F752" s="39"/>
      <c r="G752" s="40"/>
      <c r="H752" s="40"/>
      <c r="I752" s="41"/>
      <c r="J752" s="40"/>
      <c r="K752" s="42"/>
      <c r="M752" s="47"/>
      <c r="N752" s="48"/>
      <c r="O752" s="49"/>
      <c r="Q752" s="3"/>
      <c r="R752" s="3"/>
      <c r="S752" s="3"/>
      <c r="T752" s="3"/>
      <c r="U752" s="3"/>
    </row>
    <row r="753" customFormat="false" ht="15.75" hidden="false" customHeight="false" outlineLevel="0" collapsed="false">
      <c r="F753" s="34"/>
      <c r="G753" s="35"/>
      <c r="H753" s="35"/>
      <c r="I753" s="36"/>
      <c r="J753" s="35"/>
      <c r="K753" s="37"/>
      <c r="M753" s="44"/>
      <c r="N753" s="45"/>
      <c r="O753" s="46"/>
      <c r="Q753" s="3"/>
      <c r="R753" s="3"/>
      <c r="S753" s="3"/>
      <c r="T753" s="3"/>
      <c r="U753" s="3"/>
    </row>
    <row r="754" customFormat="false" ht="15.75" hidden="false" customHeight="false" outlineLevel="0" collapsed="false">
      <c r="F754" s="39"/>
      <c r="G754" s="40"/>
      <c r="H754" s="40"/>
      <c r="I754" s="41"/>
      <c r="J754" s="40"/>
      <c r="K754" s="42"/>
      <c r="M754" s="47"/>
      <c r="N754" s="48"/>
      <c r="O754" s="49"/>
      <c r="Q754" s="3"/>
      <c r="R754" s="3"/>
      <c r="S754" s="3"/>
      <c r="T754" s="3"/>
      <c r="U754" s="3"/>
    </row>
    <row r="755" customFormat="false" ht="15.75" hidden="false" customHeight="false" outlineLevel="0" collapsed="false">
      <c r="F755" s="34"/>
      <c r="G755" s="35"/>
      <c r="H755" s="35"/>
      <c r="I755" s="36"/>
      <c r="J755" s="35"/>
      <c r="K755" s="37"/>
      <c r="M755" s="44"/>
      <c r="N755" s="45"/>
      <c r="O755" s="46"/>
      <c r="Q755" s="3"/>
      <c r="R755" s="3"/>
      <c r="S755" s="3"/>
      <c r="T755" s="3"/>
      <c r="U755" s="3"/>
    </row>
    <row r="756" customFormat="false" ht="15.75" hidden="false" customHeight="false" outlineLevel="0" collapsed="false">
      <c r="F756" s="39"/>
      <c r="G756" s="40"/>
      <c r="H756" s="40"/>
      <c r="I756" s="41"/>
      <c r="J756" s="40"/>
      <c r="K756" s="42"/>
      <c r="M756" s="47"/>
      <c r="N756" s="48"/>
      <c r="O756" s="49"/>
      <c r="Q756" s="3"/>
      <c r="R756" s="3"/>
      <c r="S756" s="3"/>
      <c r="T756" s="3"/>
      <c r="U756" s="3"/>
    </row>
    <row r="757" customFormat="false" ht="15.75" hidden="false" customHeight="false" outlineLevel="0" collapsed="false">
      <c r="F757" s="34"/>
      <c r="G757" s="35"/>
      <c r="H757" s="35"/>
      <c r="I757" s="36"/>
      <c r="J757" s="35"/>
      <c r="K757" s="37"/>
      <c r="M757" s="44"/>
      <c r="N757" s="45"/>
      <c r="O757" s="46"/>
      <c r="Q757" s="3"/>
      <c r="R757" s="3"/>
      <c r="S757" s="3"/>
      <c r="T757" s="3"/>
      <c r="U757" s="3"/>
    </row>
    <row r="758" customFormat="false" ht="15.75" hidden="false" customHeight="false" outlineLevel="0" collapsed="false">
      <c r="F758" s="39"/>
      <c r="G758" s="40"/>
      <c r="H758" s="40"/>
      <c r="I758" s="41"/>
      <c r="J758" s="40"/>
      <c r="K758" s="42"/>
      <c r="M758" s="47"/>
      <c r="N758" s="48"/>
      <c r="O758" s="49"/>
      <c r="Q758" s="3"/>
      <c r="R758" s="3"/>
      <c r="S758" s="3"/>
      <c r="T758" s="3"/>
      <c r="U758" s="3"/>
    </row>
    <row r="759" customFormat="false" ht="15.75" hidden="false" customHeight="false" outlineLevel="0" collapsed="false">
      <c r="F759" s="34"/>
      <c r="G759" s="35"/>
      <c r="H759" s="35"/>
      <c r="I759" s="36"/>
      <c r="J759" s="35"/>
      <c r="K759" s="37"/>
      <c r="M759" s="44"/>
      <c r="N759" s="45"/>
      <c r="O759" s="46"/>
      <c r="Q759" s="3"/>
      <c r="R759" s="3"/>
      <c r="S759" s="3"/>
      <c r="T759" s="3"/>
      <c r="U759" s="3"/>
    </row>
    <row r="760" customFormat="false" ht="15.75" hidden="false" customHeight="false" outlineLevel="0" collapsed="false">
      <c r="F760" s="39"/>
      <c r="G760" s="40"/>
      <c r="H760" s="40"/>
      <c r="I760" s="41"/>
      <c r="J760" s="40"/>
      <c r="K760" s="42"/>
      <c r="M760" s="47"/>
      <c r="N760" s="48"/>
      <c r="O760" s="49"/>
      <c r="Q760" s="3"/>
      <c r="R760" s="3"/>
      <c r="S760" s="3"/>
      <c r="T760" s="3"/>
      <c r="U760" s="3"/>
    </row>
    <row r="761" customFormat="false" ht="15.75" hidden="false" customHeight="false" outlineLevel="0" collapsed="false">
      <c r="F761" s="34"/>
      <c r="G761" s="35"/>
      <c r="H761" s="35"/>
      <c r="I761" s="36"/>
      <c r="J761" s="35"/>
      <c r="K761" s="37"/>
      <c r="M761" s="44"/>
      <c r="N761" s="45"/>
      <c r="O761" s="46"/>
      <c r="Q761" s="3"/>
      <c r="R761" s="3"/>
      <c r="S761" s="3"/>
      <c r="T761" s="3"/>
      <c r="U761" s="3"/>
    </row>
    <row r="762" customFormat="false" ht="15.75" hidden="false" customHeight="false" outlineLevel="0" collapsed="false">
      <c r="F762" s="39"/>
      <c r="G762" s="40"/>
      <c r="H762" s="40"/>
      <c r="I762" s="41"/>
      <c r="J762" s="40"/>
      <c r="K762" s="42"/>
      <c r="M762" s="47"/>
      <c r="N762" s="48"/>
      <c r="O762" s="49"/>
      <c r="Q762" s="3"/>
      <c r="R762" s="3"/>
      <c r="S762" s="3"/>
      <c r="T762" s="3"/>
      <c r="U762" s="3"/>
    </row>
    <row r="763" customFormat="false" ht="15.75" hidden="false" customHeight="false" outlineLevel="0" collapsed="false">
      <c r="F763" s="34"/>
      <c r="G763" s="35"/>
      <c r="H763" s="35"/>
      <c r="I763" s="36"/>
      <c r="J763" s="35"/>
      <c r="K763" s="37"/>
      <c r="M763" s="44"/>
      <c r="N763" s="45"/>
      <c r="O763" s="46"/>
      <c r="Q763" s="3"/>
      <c r="R763" s="3"/>
      <c r="S763" s="3"/>
      <c r="T763" s="3"/>
      <c r="U763" s="3"/>
    </row>
    <row r="764" customFormat="false" ht="15.75" hidden="false" customHeight="false" outlineLevel="0" collapsed="false">
      <c r="F764" s="39"/>
      <c r="G764" s="40"/>
      <c r="H764" s="40"/>
      <c r="I764" s="41"/>
      <c r="J764" s="40"/>
      <c r="K764" s="42"/>
      <c r="M764" s="47"/>
      <c r="N764" s="48"/>
      <c r="O764" s="49"/>
      <c r="Q764" s="3"/>
      <c r="R764" s="3"/>
      <c r="S764" s="3"/>
      <c r="T764" s="3"/>
      <c r="U764" s="3"/>
    </row>
    <row r="765" customFormat="false" ht="15.75" hidden="false" customHeight="false" outlineLevel="0" collapsed="false">
      <c r="F765" s="34"/>
      <c r="G765" s="35"/>
      <c r="H765" s="35"/>
      <c r="I765" s="36"/>
      <c r="J765" s="35"/>
      <c r="K765" s="37"/>
      <c r="M765" s="44"/>
      <c r="N765" s="45"/>
      <c r="O765" s="46"/>
      <c r="Q765" s="3"/>
      <c r="R765" s="3"/>
      <c r="S765" s="3"/>
      <c r="T765" s="3"/>
      <c r="U765" s="3"/>
    </row>
    <row r="766" customFormat="false" ht="15.75" hidden="false" customHeight="false" outlineLevel="0" collapsed="false">
      <c r="F766" s="39"/>
      <c r="G766" s="40"/>
      <c r="H766" s="40"/>
      <c r="I766" s="41"/>
      <c r="J766" s="40"/>
      <c r="K766" s="42"/>
      <c r="M766" s="47"/>
      <c r="N766" s="48"/>
      <c r="O766" s="49"/>
      <c r="Q766" s="3"/>
      <c r="R766" s="3"/>
      <c r="S766" s="3"/>
      <c r="T766" s="3"/>
      <c r="U766" s="3"/>
    </row>
    <row r="767" customFormat="false" ht="15.75" hidden="false" customHeight="false" outlineLevel="0" collapsed="false">
      <c r="F767" s="34"/>
      <c r="G767" s="35"/>
      <c r="H767" s="35"/>
      <c r="I767" s="36"/>
      <c r="J767" s="35"/>
      <c r="K767" s="37"/>
      <c r="M767" s="44"/>
      <c r="N767" s="45"/>
      <c r="O767" s="46"/>
      <c r="Q767" s="3"/>
      <c r="R767" s="3"/>
      <c r="S767" s="3"/>
      <c r="T767" s="3"/>
      <c r="U767" s="3"/>
    </row>
    <row r="768" customFormat="false" ht="15.75" hidden="false" customHeight="false" outlineLevel="0" collapsed="false">
      <c r="F768" s="39"/>
      <c r="G768" s="40"/>
      <c r="H768" s="40"/>
      <c r="I768" s="41"/>
      <c r="J768" s="40"/>
      <c r="K768" s="42"/>
      <c r="M768" s="47"/>
      <c r="N768" s="48"/>
      <c r="O768" s="49"/>
      <c r="Q768" s="3"/>
      <c r="R768" s="3"/>
      <c r="S768" s="3"/>
      <c r="T768" s="3"/>
      <c r="U768" s="3"/>
    </row>
    <row r="769" customFormat="false" ht="15.75" hidden="false" customHeight="false" outlineLevel="0" collapsed="false">
      <c r="F769" s="34"/>
      <c r="G769" s="35"/>
      <c r="H769" s="35"/>
      <c r="I769" s="36"/>
      <c r="J769" s="35"/>
      <c r="K769" s="37"/>
      <c r="M769" s="44"/>
      <c r="N769" s="45"/>
      <c r="O769" s="46"/>
      <c r="Q769" s="3"/>
      <c r="R769" s="3"/>
      <c r="S769" s="3"/>
      <c r="T769" s="3"/>
      <c r="U769" s="3"/>
    </row>
    <row r="770" customFormat="false" ht="15.75" hidden="false" customHeight="false" outlineLevel="0" collapsed="false">
      <c r="F770" s="39"/>
      <c r="G770" s="40"/>
      <c r="H770" s="40"/>
      <c r="I770" s="41"/>
      <c r="J770" s="40"/>
      <c r="K770" s="42"/>
      <c r="M770" s="47"/>
      <c r="N770" s="48"/>
      <c r="O770" s="49"/>
      <c r="Q770" s="3"/>
      <c r="R770" s="3"/>
      <c r="S770" s="3"/>
      <c r="T770" s="3"/>
      <c r="U770" s="3"/>
    </row>
    <row r="771" customFormat="false" ht="15.75" hidden="false" customHeight="false" outlineLevel="0" collapsed="false">
      <c r="F771" s="34"/>
      <c r="G771" s="35"/>
      <c r="H771" s="35"/>
      <c r="I771" s="36"/>
      <c r="J771" s="35"/>
      <c r="K771" s="37"/>
      <c r="M771" s="44"/>
      <c r="N771" s="45"/>
      <c r="O771" s="46"/>
      <c r="Q771" s="3"/>
      <c r="R771" s="3"/>
      <c r="S771" s="3"/>
      <c r="T771" s="3"/>
      <c r="U771" s="3"/>
    </row>
    <row r="772" customFormat="false" ht="15.75" hidden="false" customHeight="false" outlineLevel="0" collapsed="false">
      <c r="F772" s="39"/>
      <c r="G772" s="40"/>
      <c r="H772" s="40"/>
      <c r="I772" s="41"/>
      <c r="J772" s="40"/>
      <c r="K772" s="42"/>
      <c r="M772" s="47"/>
      <c r="N772" s="48"/>
      <c r="O772" s="49"/>
      <c r="Q772" s="3"/>
      <c r="R772" s="3"/>
      <c r="S772" s="3"/>
      <c r="T772" s="3"/>
      <c r="U772" s="3"/>
    </row>
    <row r="773" customFormat="false" ht="15.75" hidden="false" customHeight="false" outlineLevel="0" collapsed="false">
      <c r="F773" s="34"/>
      <c r="G773" s="35"/>
      <c r="H773" s="35"/>
      <c r="I773" s="36"/>
      <c r="J773" s="35"/>
      <c r="K773" s="37"/>
      <c r="M773" s="44"/>
      <c r="N773" s="45"/>
      <c r="O773" s="46"/>
      <c r="Q773" s="3"/>
      <c r="R773" s="3"/>
      <c r="S773" s="3"/>
      <c r="T773" s="3"/>
      <c r="U773" s="3"/>
    </row>
    <row r="774" customFormat="false" ht="15.75" hidden="false" customHeight="false" outlineLevel="0" collapsed="false">
      <c r="F774" s="39"/>
      <c r="G774" s="40"/>
      <c r="H774" s="40"/>
      <c r="I774" s="41"/>
      <c r="J774" s="40"/>
      <c r="K774" s="42"/>
      <c r="M774" s="47"/>
      <c r="N774" s="48"/>
      <c r="O774" s="49"/>
      <c r="Q774" s="3"/>
      <c r="R774" s="3"/>
      <c r="S774" s="3"/>
      <c r="T774" s="3"/>
      <c r="U774" s="3"/>
    </row>
    <row r="775" customFormat="false" ht="15.75" hidden="false" customHeight="false" outlineLevel="0" collapsed="false">
      <c r="F775" s="34"/>
      <c r="G775" s="35"/>
      <c r="H775" s="35"/>
      <c r="I775" s="36"/>
      <c r="J775" s="35"/>
      <c r="K775" s="37"/>
      <c r="M775" s="44"/>
      <c r="N775" s="45"/>
      <c r="O775" s="46"/>
      <c r="Q775" s="3"/>
      <c r="R775" s="3"/>
      <c r="S775" s="3"/>
      <c r="T775" s="3"/>
      <c r="U775" s="3"/>
    </row>
    <row r="776" customFormat="false" ht="15.75" hidden="false" customHeight="false" outlineLevel="0" collapsed="false">
      <c r="F776" s="39"/>
      <c r="G776" s="40"/>
      <c r="H776" s="40"/>
      <c r="I776" s="41"/>
      <c r="J776" s="40"/>
      <c r="K776" s="42"/>
      <c r="M776" s="47"/>
      <c r="N776" s="48"/>
      <c r="O776" s="49"/>
      <c r="Q776" s="3"/>
      <c r="R776" s="3"/>
      <c r="S776" s="3"/>
      <c r="T776" s="3"/>
      <c r="U776" s="3"/>
    </row>
    <row r="777" customFormat="false" ht="15.75" hidden="false" customHeight="false" outlineLevel="0" collapsed="false">
      <c r="F777" s="34"/>
      <c r="G777" s="35"/>
      <c r="H777" s="35"/>
      <c r="I777" s="36"/>
      <c r="J777" s="35"/>
      <c r="K777" s="37"/>
      <c r="M777" s="44"/>
      <c r="N777" s="45"/>
      <c r="O777" s="46"/>
      <c r="Q777" s="3"/>
      <c r="R777" s="3"/>
      <c r="S777" s="3"/>
      <c r="T777" s="3"/>
      <c r="U777" s="3"/>
    </row>
    <row r="778" customFormat="false" ht="15.75" hidden="false" customHeight="false" outlineLevel="0" collapsed="false">
      <c r="F778" s="39"/>
      <c r="G778" s="40"/>
      <c r="H778" s="40"/>
      <c r="I778" s="41"/>
      <c r="J778" s="40"/>
      <c r="K778" s="42"/>
      <c r="M778" s="47"/>
      <c r="N778" s="48"/>
      <c r="O778" s="49"/>
      <c r="Q778" s="3"/>
      <c r="R778" s="3"/>
      <c r="S778" s="3"/>
      <c r="T778" s="3"/>
      <c r="U778" s="3"/>
    </row>
    <row r="779" customFormat="false" ht="15.75" hidden="false" customHeight="false" outlineLevel="0" collapsed="false">
      <c r="F779" s="34"/>
      <c r="G779" s="35"/>
      <c r="H779" s="35"/>
      <c r="I779" s="36"/>
      <c r="J779" s="35"/>
      <c r="K779" s="37"/>
      <c r="M779" s="44"/>
      <c r="N779" s="45"/>
      <c r="O779" s="46"/>
      <c r="Q779" s="3"/>
      <c r="R779" s="3"/>
      <c r="S779" s="3"/>
      <c r="T779" s="3"/>
      <c r="U779" s="3"/>
    </row>
    <row r="780" customFormat="false" ht="15.75" hidden="false" customHeight="false" outlineLevel="0" collapsed="false">
      <c r="F780" s="39"/>
      <c r="G780" s="40"/>
      <c r="H780" s="40"/>
      <c r="I780" s="41"/>
      <c r="J780" s="40"/>
      <c r="K780" s="42"/>
      <c r="M780" s="47"/>
      <c r="N780" s="48"/>
      <c r="O780" s="49"/>
      <c r="Q780" s="3"/>
      <c r="R780" s="3"/>
      <c r="S780" s="3"/>
      <c r="T780" s="3"/>
      <c r="U780" s="3"/>
    </row>
    <row r="781" customFormat="false" ht="15.75" hidden="false" customHeight="false" outlineLevel="0" collapsed="false">
      <c r="F781" s="34"/>
      <c r="G781" s="35"/>
      <c r="H781" s="35"/>
      <c r="I781" s="36"/>
      <c r="J781" s="35"/>
      <c r="K781" s="37"/>
      <c r="M781" s="44"/>
      <c r="N781" s="45"/>
      <c r="O781" s="46"/>
      <c r="Q781" s="3"/>
      <c r="R781" s="3"/>
      <c r="S781" s="3"/>
      <c r="T781" s="3"/>
      <c r="U781" s="3"/>
    </row>
    <row r="782" customFormat="false" ht="15.75" hidden="false" customHeight="false" outlineLevel="0" collapsed="false">
      <c r="F782" s="39"/>
      <c r="G782" s="40"/>
      <c r="H782" s="40"/>
      <c r="I782" s="41"/>
      <c r="J782" s="40"/>
      <c r="K782" s="42"/>
      <c r="M782" s="47"/>
      <c r="N782" s="48"/>
      <c r="O782" s="49"/>
      <c r="Q782" s="3"/>
      <c r="R782" s="3"/>
      <c r="S782" s="3"/>
      <c r="T782" s="3"/>
      <c r="U782" s="3"/>
    </row>
    <row r="783" customFormat="false" ht="15.75" hidden="false" customHeight="false" outlineLevel="0" collapsed="false">
      <c r="F783" s="34"/>
      <c r="G783" s="35"/>
      <c r="H783" s="35"/>
      <c r="I783" s="36"/>
      <c r="J783" s="35"/>
      <c r="K783" s="37"/>
      <c r="M783" s="44"/>
      <c r="N783" s="45"/>
      <c r="O783" s="46"/>
      <c r="Q783" s="3"/>
      <c r="R783" s="3"/>
      <c r="S783" s="3"/>
      <c r="T783" s="3"/>
      <c r="U783" s="3"/>
    </row>
    <row r="784" customFormat="false" ht="15.75" hidden="false" customHeight="false" outlineLevel="0" collapsed="false">
      <c r="F784" s="39"/>
      <c r="G784" s="40"/>
      <c r="H784" s="40"/>
      <c r="I784" s="41"/>
      <c r="J784" s="40"/>
      <c r="K784" s="42"/>
      <c r="M784" s="47"/>
      <c r="N784" s="48"/>
      <c r="O784" s="49"/>
      <c r="Q784" s="3"/>
      <c r="R784" s="3"/>
      <c r="S784" s="3"/>
      <c r="T784" s="3"/>
      <c r="U784" s="3"/>
    </row>
    <row r="785" customFormat="false" ht="15.75" hidden="false" customHeight="false" outlineLevel="0" collapsed="false">
      <c r="F785" s="34"/>
      <c r="G785" s="35"/>
      <c r="H785" s="35"/>
      <c r="I785" s="36"/>
      <c r="J785" s="35"/>
      <c r="K785" s="37"/>
      <c r="M785" s="44"/>
      <c r="N785" s="45"/>
      <c r="O785" s="46"/>
      <c r="Q785" s="3"/>
      <c r="R785" s="3"/>
      <c r="S785" s="3"/>
      <c r="T785" s="3"/>
      <c r="U785" s="3"/>
    </row>
    <row r="786" customFormat="false" ht="15.75" hidden="false" customHeight="false" outlineLevel="0" collapsed="false">
      <c r="F786" s="39"/>
      <c r="G786" s="40"/>
      <c r="H786" s="40"/>
      <c r="I786" s="41"/>
      <c r="J786" s="40"/>
      <c r="K786" s="42"/>
      <c r="M786" s="47"/>
      <c r="N786" s="48"/>
      <c r="O786" s="49"/>
      <c r="Q786" s="3"/>
      <c r="R786" s="3"/>
      <c r="S786" s="3"/>
      <c r="T786" s="3"/>
      <c r="U786" s="3"/>
    </row>
    <row r="787" customFormat="false" ht="15.75" hidden="false" customHeight="false" outlineLevel="0" collapsed="false">
      <c r="F787" s="34"/>
      <c r="G787" s="35"/>
      <c r="H787" s="35"/>
      <c r="I787" s="36"/>
      <c r="J787" s="35"/>
      <c r="K787" s="37"/>
      <c r="M787" s="44"/>
      <c r="N787" s="45"/>
      <c r="O787" s="46"/>
      <c r="Q787" s="3"/>
      <c r="R787" s="3"/>
      <c r="S787" s="3"/>
      <c r="T787" s="3"/>
      <c r="U787" s="3"/>
    </row>
    <row r="788" customFormat="false" ht="15.75" hidden="false" customHeight="false" outlineLevel="0" collapsed="false">
      <c r="F788" s="39"/>
      <c r="G788" s="40"/>
      <c r="H788" s="40"/>
      <c r="I788" s="41"/>
      <c r="J788" s="40"/>
      <c r="K788" s="42"/>
      <c r="M788" s="47"/>
      <c r="N788" s="48"/>
      <c r="O788" s="49"/>
      <c r="Q788" s="3"/>
      <c r="R788" s="3"/>
      <c r="S788" s="3"/>
      <c r="T788" s="3"/>
      <c r="U788" s="3"/>
    </row>
    <row r="789" customFormat="false" ht="15.75" hidden="false" customHeight="false" outlineLevel="0" collapsed="false">
      <c r="F789" s="34"/>
      <c r="G789" s="35"/>
      <c r="H789" s="35"/>
      <c r="I789" s="36"/>
      <c r="J789" s="35"/>
      <c r="K789" s="37"/>
      <c r="M789" s="44"/>
      <c r="N789" s="45"/>
      <c r="O789" s="46"/>
      <c r="Q789" s="3"/>
      <c r="R789" s="3"/>
      <c r="S789" s="3"/>
      <c r="T789" s="3"/>
      <c r="U789" s="3"/>
    </row>
    <row r="790" customFormat="false" ht="15.75" hidden="false" customHeight="false" outlineLevel="0" collapsed="false">
      <c r="F790" s="39"/>
      <c r="G790" s="40"/>
      <c r="H790" s="40"/>
      <c r="I790" s="41"/>
      <c r="J790" s="40"/>
      <c r="K790" s="42"/>
      <c r="M790" s="47"/>
      <c r="N790" s="48"/>
      <c r="O790" s="49"/>
      <c r="Q790" s="3"/>
      <c r="R790" s="3"/>
      <c r="S790" s="3"/>
      <c r="T790" s="3"/>
      <c r="U790" s="3"/>
    </row>
    <row r="791" customFormat="false" ht="15.75" hidden="false" customHeight="false" outlineLevel="0" collapsed="false">
      <c r="F791" s="34"/>
      <c r="G791" s="35"/>
      <c r="H791" s="35"/>
      <c r="I791" s="36"/>
      <c r="J791" s="35"/>
      <c r="K791" s="37"/>
      <c r="M791" s="44"/>
      <c r="N791" s="45"/>
      <c r="O791" s="46"/>
      <c r="Q791" s="3"/>
      <c r="R791" s="3"/>
      <c r="S791" s="3"/>
      <c r="T791" s="3"/>
      <c r="U791" s="3"/>
    </row>
    <row r="792" customFormat="false" ht="15.75" hidden="false" customHeight="false" outlineLevel="0" collapsed="false">
      <c r="F792" s="39"/>
      <c r="G792" s="40"/>
      <c r="H792" s="40"/>
      <c r="I792" s="41"/>
      <c r="J792" s="40"/>
      <c r="K792" s="42"/>
      <c r="M792" s="47"/>
      <c r="N792" s="48"/>
      <c r="O792" s="49"/>
      <c r="Q792" s="3"/>
      <c r="R792" s="3"/>
      <c r="S792" s="3"/>
      <c r="T792" s="3"/>
      <c r="U792" s="3"/>
    </row>
    <row r="793" customFormat="false" ht="15.75" hidden="false" customHeight="false" outlineLevel="0" collapsed="false">
      <c r="F793" s="34"/>
      <c r="G793" s="35"/>
      <c r="H793" s="35"/>
      <c r="I793" s="36"/>
      <c r="J793" s="35"/>
      <c r="K793" s="37"/>
      <c r="M793" s="44"/>
      <c r="N793" s="45"/>
      <c r="O793" s="46"/>
      <c r="Q793" s="3"/>
      <c r="R793" s="3"/>
      <c r="S793" s="3"/>
      <c r="T793" s="3"/>
      <c r="U793" s="3"/>
    </row>
    <row r="794" customFormat="false" ht="15.75" hidden="false" customHeight="false" outlineLevel="0" collapsed="false">
      <c r="F794" s="39"/>
      <c r="G794" s="40"/>
      <c r="H794" s="40"/>
      <c r="I794" s="41"/>
      <c r="J794" s="40"/>
      <c r="K794" s="42"/>
      <c r="M794" s="47"/>
      <c r="N794" s="48"/>
      <c r="O794" s="49"/>
      <c r="Q794" s="3"/>
      <c r="R794" s="3"/>
      <c r="S794" s="3"/>
      <c r="T794" s="3"/>
      <c r="U794" s="3"/>
    </row>
    <row r="795" customFormat="false" ht="15.75" hidden="false" customHeight="false" outlineLevel="0" collapsed="false">
      <c r="F795" s="34"/>
      <c r="G795" s="35"/>
      <c r="H795" s="35"/>
      <c r="I795" s="36"/>
      <c r="J795" s="35"/>
      <c r="K795" s="37"/>
      <c r="M795" s="44"/>
      <c r="N795" s="45"/>
      <c r="O795" s="46"/>
      <c r="Q795" s="3"/>
      <c r="R795" s="3"/>
      <c r="S795" s="3"/>
      <c r="T795" s="3"/>
      <c r="U795" s="3"/>
    </row>
    <row r="796" customFormat="false" ht="15.75" hidden="false" customHeight="false" outlineLevel="0" collapsed="false">
      <c r="F796" s="39"/>
      <c r="G796" s="40"/>
      <c r="H796" s="40"/>
      <c r="I796" s="41"/>
      <c r="J796" s="40"/>
      <c r="K796" s="42"/>
      <c r="M796" s="47"/>
      <c r="N796" s="48"/>
      <c r="O796" s="49"/>
      <c r="Q796" s="3"/>
      <c r="R796" s="3"/>
      <c r="S796" s="3"/>
      <c r="T796" s="3"/>
      <c r="U796" s="3"/>
    </row>
    <row r="797" customFormat="false" ht="15.75" hidden="false" customHeight="false" outlineLevel="0" collapsed="false">
      <c r="F797" s="34"/>
      <c r="G797" s="35"/>
      <c r="H797" s="35"/>
      <c r="I797" s="36"/>
      <c r="J797" s="35"/>
      <c r="K797" s="37"/>
      <c r="M797" s="44"/>
      <c r="N797" s="45"/>
      <c r="O797" s="46"/>
      <c r="Q797" s="3"/>
      <c r="R797" s="3"/>
      <c r="S797" s="3"/>
      <c r="T797" s="3"/>
      <c r="U797" s="3"/>
    </row>
    <row r="798" customFormat="false" ht="15.75" hidden="false" customHeight="false" outlineLevel="0" collapsed="false">
      <c r="F798" s="39"/>
      <c r="G798" s="40"/>
      <c r="H798" s="40"/>
      <c r="I798" s="41"/>
      <c r="J798" s="40"/>
      <c r="K798" s="42"/>
      <c r="M798" s="47"/>
      <c r="N798" s="48"/>
      <c r="O798" s="49"/>
      <c r="Q798" s="3"/>
      <c r="R798" s="3"/>
      <c r="S798" s="3"/>
      <c r="T798" s="3"/>
      <c r="U798" s="3"/>
    </row>
    <row r="799" customFormat="false" ht="15.75" hidden="false" customHeight="false" outlineLevel="0" collapsed="false">
      <c r="F799" s="34"/>
      <c r="G799" s="35"/>
      <c r="H799" s="35"/>
      <c r="I799" s="36"/>
      <c r="J799" s="35"/>
      <c r="K799" s="37"/>
      <c r="M799" s="44"/>
      <c r="N799" s="45"/>
      <c r="O799" s="46"/>
      <c r="Q799" s="3"/>
      <c r="R799" s="3"/>
      <c r="S799" s="3"/>
      <c r="T799" s="3"/>
      <c r="U799" s="3"/>
    </row>
    <row r="800" customFormat="false" ht="15.75" hidden="false" customHeight="false" outlineLevel="0" collapsed="false">
      <c r="F800" s="39"/>
      <c r="G800" s="40"/>
      <c r="H800" s="40"/>
      <c r="I800" s="41"/>
      <c r="J800" s="40"/>
      <c r="K800" s="42"/>
      <c r="M800" s="47"/>
      <c r="N800" s="48"/>
      <c r="O800" s="49"/>
      <c r="Q800" s="3"/>
      <c r="R800" s="3"/>
      <c r="S800" s="3"/>
      <c r="T800" s="3"/>
      <c r="U800" s="3"/>
    </row>
    <row r="801" customFormat="false" ht="15.75" hidden="false" customHeight="false" outlineLevel="0" collapsed="false">
      <c r="F801" s="34"/>
      <c r="G801" s="35"/>
      <c r="H801" s="35"/>
      <c r="I801" s="36"/>
      <c r="J801" s="35"/>
      <c r="K801" s="37"/>
      <c r="M801" s="44"/>
      <c r="N801" s="45"/>
      <c r="O801" s="46"/>
      <c r="Q801" s="3"/>
      <c r="R801" s="3"/>
      <c r="S801" s="3"/>
      <c r="T801" s="3"/>
      <c r="U801" s="3"/>
    </row>
    <row r="802" customFormat="false" ht="15.75" hidden="false" customHeight="false" outlineLevel="0" collapsed="false">
      <c r="F802" s="39"/>
      <c r="G802" s="40"/>
      <c r="H802" s="40"/>
      <c r="I802" s="41"/>
      <c r="J802" s="40"/>
      <c r="K802" s="42"/>
      <c r="M802" s="47"/>
      <c r="N802" s="48"/>
      <c r="O802" s="49"/>
      <c r="Q802" s="3"/>
      <c r="R802" s="3"/>
      <c r="S802" s="3"/>
      <c r="T802" s="3"/>
      <c r="U802" s="3"/>
    </row>
    <row r="803" customFormat="false" ht="15.75" hidden="false" customHeight="false" outlineLevel="0" collapsed="false">
      <c r="F803" s="34"/>
      <c r="G803" s="35"/>
      <c r="H803" s="35"/>
      <c r="I803" s="36"/>
      <c r="J803" s="35"/>
      <c r="K803" s="37"/>
      <c r="M803" s="44"/>
      <c r="N803" s="45"/>
      <c r="O803" s="46"/>
      <c r="Q803" s="3"/>
      <c r="R803" s="3"/>
      <c r="S803" s="3"/>
      <c r="T803" s="3"/>
      <c r="U803" s="3"/>
    </row>
    <row r="804" customFormat="false" ht="15.75" hidden="false" customHeight="false" outlineLevel="0" collapsed="false">
      <c r="F804" s="39"/>
      <c r="G804" s="40"/>
      <c r="H804" s="40"/>
      <c r="I804" s="41"/>
      <c r="J804" s="40"/>
      <c r="K804" s="42"/>
      <c r="M804" s="47"/>
      <c r="N804" s="48"/>
      <c r="O804" s="49"/>
      <c r="Q804" s="3"/>
      <c r="R804" s="3"/>
      <c r="S804" s="3"/>
      <c r="T804" s="3"/>
      <c r="U804" s="3"/>
    </row>
    <row r="805" customFormat="false" ht="15.75" hidden="false" customHeight="false" outlineLevel="0" collapsed="false">
      <c r="F805" s="34"/>
      <c r="G805" s="35"/>
      <c r="H805" s="35"/>
      <c r="I805" s="36"/>
      <c r="J805" s="35"/>
      <c r="K805" s="37"/>
      <c r="M805" s="44"/>
      <c r="N805" s="45"/>
      <c r="O805" s="46"/>
      <c r="Q805" s="3"/>
      <c r="R805" s="3"/>
      <c r="S805" s="3"/>
      <c r="T805" s="3"/>
      <c r="U805" s="3"/>
    </row>
    <row r="806" customFormat="false" ht="15.75" hidden="false" customHeight="false" outlineLevel="0" collapsed="false">
      <c r="F806" s="39"/>
      <c r="G806" s="40"/>
      <c r="H806" s="40"/>
      <c r="I806" s="41"/>
      <c r="J806" s="40"/>
      <c r="K806" s="42"/>
      <c r="M806" s="47"/>
      <c r="N806" s="48"/>
      <c r="O806" s="49"/>
      <c r="Q806" s="3"/>
      <c r="R806" s="3"/>
      <c r="S806" s="3"/>
      <c r="T806" s="3"/>
      <c r="U806" s="3"/>
    </row>
    <row r="807" customFormat="false" ht="15.75" hidden="false" customHeight="false" outlineLevel="0" collapsed="false">
      <c r="F807" s="34"/>
      <c r="G807" s="35"/>
      <c r="H807" s="35"/>
      <c r="I807" s="36"/>
      <c r="J807" s="35"/>
      <c r="K807" s="37"/>
      <c r="M807" s="44"/>
      <c r="N807" s="45"/>
      <c r="O807" s="46"/>
      <c r="Q807" s="3"/>
      <c r="R807" s="3"/>
      <c r="S807" s="3"/>
      <c r="T807" s="3"/>
      <c r="U807" s="3"/>
    </row>
    <row r="808" customFormat="false" ht="15.75" hidden="false" customHeight="false" outlineLevel="0" collapsed="false">
      <c r="F808" s="39"/>
      <c r="G808" s="40"/>
      <c r="H808" s="40"/>
      <c r="I808" s="41"/>
      <c r="J808" s="40"/>
      <c r="K808" s="42"/>
      <c r="M808" s="47"/>
      <c r="N808" s="48"/>
      <c r="O808" s="49"/>
      <c r="Q808" s="3"/>
      <c r="R808" s="3"/>
      <c r="S808" s="3"/>
      <c r="T808" s="3"/>
      <c r="U808" s="3"/>
    </row>
    <row r="809" customFormat="false" ht="15.75" hidden="false" customHeight="false" outlineLevel="0" collapsed="false">
      <c r="F809" s="34"/>
      <c r="G809" s="35"/>
      <c r="H809" s="35"/>
      <c r="I809" s="36"/>
      <c r="J809" s="35"/>
      <c r="K809" s="37"/>
      <c r="M809" s="44"/>
      <c r="N809" s="45"/>
      <c r="O809" s="46"/>
      <c r="Q809" s="3"/>
      <c r="R809" s="3"/>
      <c r="S809" s="3"/>
      <c r="T809" s="3"/>
      <c r="U809" s="3"/>
    </row>
    <row r="810" customFormat="false" ht="15.75" hidden="false" customHeight="false" outlineLevel="0" collapsed="false">
      <c r="F810" s="39"/>
      <c r="G810" s="40"/>
      <c r="H810" s="40"/>
      <c r="I810" s="41"/>
      <c r="J810" s="40"/>
      <c r="K810" s="42"/>
      <c r="M810" s="47"/>
      <c r="N810" s="48"/>
      <c r="O810" s="49"/>
      <c r="Q810" s="3"/>
      <c r="R810" s="3"/>
      <c r="S810" s="3"/>
      <c r="T810" s="3"/>
      <c r="U810" s="3"/>
    </row>
    <row r="811" customFormat="false" ht="15.75" hidden="false" customHeight="false" outlineLevel="0" collapsed="false">
      <c r="F811" s="34"/>
      <c r="G811" s="35"/>
      <c r="H811" s="35"/>
      <c r="I811" s="36"/>
      <c r="J811" s="35"/>
      <c r="K811" s="37"/>
      <c r="M811" s="44"/>
      <c r="N811" s="45"/>
      <c r="O811" s="46"/>
      <c r="Q811" s="3"/>
      <c r="R811" s="3"/>
      <c r="S811" s="3"/>
      <c r="T811" s="3"/>
      <c r="U811" s="3"/>
    </row>
    <row r="812" customFormat="false" ht="15.75" hidden="false" customHeight="false" outlineLevel="0" collapsed="false">
      <c r="F812" s="39"/>
      <c r="G812" s="40"/>
      <c r="H812" s="40"/>
      <c r="I812" s="41"/>
      <c r="J812" s="40"/>
      <c r="K812" s="42"/>
      <c r="M812" s="47"/>
      <c r="N812" s="48"/>
      <c r="O812" s="49"/>
      <c r="Q812" s="3"/>
      <c r="R812" s="3"/>
      <c r="S812" s="3"/>
      <c r="T812" s="3"/>
      <c r="U812" s="3"/>
    </row>
    <row r="813" customFormat="false" ht="15.75" hidden="false" customHeight="false" outlineLevel="0" collapsed="false">
      <c r="F813" s="34"/>
      <c r="G813" s="35"/>
      <c r="H813" s="35"/>
      <c r="I813" s="36"/>
      <c r="J813" s="35"/>
      <c r="K813" s="37"/>
      <c r="M813" s="44"/>
      <c r="N813" s="45"/>
      <c r="O813" s="46"/>
      <c r="Q813" s="3"/>
      <c r="R813" s="3"/>
      <c r="S813" s="3"/>
      <c r="T813" s="3"/>
      <c r="U813" s="3"/>
    </row>
    <row r="814" customFormat="false" ht="15.75" hidden="false" customHeight="false" outlineLevel="0" collapsed="false">
      <c r="F814" s="39"/>
      <c r="G814" s="40"/>
      <c r="H814" s="40"/>
      <c r="I814" s="41"/>
      <c r="J814" s="40"/>
      <c r="K814" s="42"/>
      <c r="M814" s="47"/>
      <c r="N814" s="48"/>
      <c r="O814" s="49"/>
      <c r="Q814" s="3"/>
      <c r="R814" s="3"/>
      <c r="S814" s="3"/>
      <c r="T814" s="3"/>
      <c r="U814" s="3"/>
    </row>
    <row r="815" customFormat="false" ht="15.75" hidden="false" customHeight="false" outlineLevel="0" collapsed="false">
      <c r="F815" s="34"/>
      <c r="G815" s="35"/>
      <c r="H815" s="35"/>
      <c r="I815" s="36"/>
      <c r="J815" s="35"/>
      <c r="K815" s="37"/>
      <c r="M815" s="44"/>
      <c r="N815" s="45"/>
      <c r="O815" s="46"/>
      <c r="Q815" s="3"/>
      <c r="R815" s="3"/>
      <c r="S815" s="3"/>
      <c r="T815" s="3"/>
      <c r="U815" s="3"/>
    </row>
    <row r="816" customFormat="false" ht="15.75" hidden="false" customHeight="false" outlineLevel="0" collapsed="false">
      <c r="F816" s="39"/>
      <c r="G816" s="40"/>
      <c r="H816" s="40"/>
      <c r="I816" s="41"/>
      <c r="J816" s="40"/>
      <c r="K816" s="42"/>
      <c r="M816" s="47"/>
      <c r="N816" s="48"/>
      <c r="O816" s="49"/>
      <c r="Q816" s="3"/>
      <c r="R816" s="3"/>
      <c r="S816" s="3"/>
      <c r="T816" s="3"/>
      <c r="U816" s="3"/>
    </row>
    <row r="817" customFormat="false" ht="15.75" hidden="false" customHeight="false" outlineLevel="0" collapsed="false">
      <c r="F817" s="34"/>
      <c r="G817" s="35"/>
      <c r="H817" s="35"/>
      <c r="I817" s="36"/>
      <c r="J817" s="35"/>
      <c r="K817" s="37"/>
      <c r="M817" s="44"/>
      <c r="N817" s="45"/>
      <c r="O817" s="46"/>
      <c r="Q817" s="3"/>
      <c r="R817" s="3"/>
      <c r="S817" s="3"/>
      <c r="T817" s="3"/>
      <c r="U817" s="3"/>
    </row>
    <row r="818" customFormat="false" ht="15.75" hidden="false" customHeight="false" outlineLevel="0" collapsed="false">
      <c r="F818" s="39"/>
      <c r="G818" s="40"/>
      <c r="H818" s="40"/>
      <c r="I818" s="41"/>
      <c r="J818" s="40"/>
      <c r="K818" s="42"/>
      <c r="M818" s="47"/>
      <c r="N818" s="48"/>
      <c r="O818" s="49"/>
      <c r="Q818" s="3"/>
      <c r="R818" s="3"/>
      <c r="S818" s="3"/>
      <c r="T818" s="3"/>
      <c r="U818" s="3"/>
    </row>
    <row r="819" customFormat="false" ht="15.75" hidden="false" customHeight="false" outlineLevel="0" collapsed="false">
      <c r="F819" s="34"/>
      <c r="G819" s="35"/>
      <c r="H819" s="35"/>
      <c r="I819" s="36"/>
      <c r="J819" s="35"/>
      <c r="K819" s="37"/>
      <c r="M819" s="44"/>
      <c r="N819" s="45"/>
      <c r="O819" s="46"/>
      <c r="Q819" s="3"/>
      <c r="R819" s="3"/>
      <c r="S819" s="3"/>
      <c r="T819" s="3"/>
      <c r="U819" s="3"/>
    </row>
    <row r="820" customFormat="false" ht="15.75" hidden="false" customHeight="false" outlineLevel="0" collapsed="false">
      <c r="F820" s="39"/>
      <c r="G820" s="40"/>
      <c r="H820" s="40"/>
      <c r="I820" s="41"/>
      <c r="J820" s="40"/>
      <c r="K820" s="42"/>
      <c r="M820" s="47"/>
      <c r="N820" s="48"/>
      <c r="O820" s="49"/>
      <c r="Q820" s="3"/>
      <c r="R820" s="3"/>
      <c r="S820" s="3"/>
      <c r="T820" s="3"/>
      <c r="U820" s="3"/>
    </row>
    <row r="821" customFormat="false" ht="15.75" hidden="false" customHeight="false" outlineLevel="0" collapsed="false">
      <c r="F821" s="34"/>
      <c r="G821" s="35"/>
      <c r="H821" s="35"/>
      <c r="I821" s="36"/>
      <c r="J821" s="35"/>
      <c r="K821" s="37"/>
      <c r="M821" s="44"/>
      <c r="N821" s="45"/>
      <c r="O821" s="46"/>
      <c r="Q821" s="3"/>
      <c r="R821" s="3"/>
      <c r="S821" s="3"/>
      <c r="T821" s="3"/>
      <c r="U821" s="3"/>
    </row>
    <row r="822" customFormat="false" ht="15.75" hidden="false" customHeight="false" outlineLevel="0" collapsed="false">
      <c r="F822" s="39"/>
      <c r="G822" s="40"/>
      <c r="H822" s="40"/>
      <c r="I822" s="41"/>
      <c r="J822" s="40"/>
      <c r="K822" s="42"/>
      <c r="M822" s="47"/>
      <c r="N822" s="48"/>
      <c r="O822" s="49"/>
      <c r="Q822" s="3"/>
      <c r="R822" s="3"/>
      <c r="S822" s="3"/>
      <c r="T822" s="3"/>
      <c r="U822" s="3"/>
    </row>
    <row r="823" customFormat="false" ht="15.75" hidden="false" customHeight="false" outlineLevel="0" collapsed="false">
      <c r="F823" s="34"/>
      <c r="G823" s="35"/>
      <c r="H823" s="35"/>
      <c r="I823" s="36"/>
      <c r="J823" s="35"/>
      <c r="K823" s="37"/>
      <c r="M823" s="44"/>
      <c r="N823" s="45"/>
      <c r="O823" s="46"/>
      <c r="Q823" s="3"/>
      <c r="R823" s="3"/>
      <c r="S823" s="3"/>
      <c r="T823" s="3"/>
      <c r="U823" s="3"/>
    </row>
    <row r="824" customFormat="false" ht="15.75" hidden="false" customHeight="false" outlineLevel="0" collapsed="false">
      <c r="F824" s="39"/>
      <c r="G824" s="40"/>
      <c r="H824" s="40"/>
      <c r="I824" s="41"/>
      <c r="J824" s="40"/>
      <c r="K824" s="42"/>
      <c r="M824" s="47"/>
      <c r="N824" s="48"/>
      <c r="O824" s="49"/>
      <c r="Q824" s="3"/>
      <c r="R824" s="3"/>
      <c r="S824" s="3"/>
      <c r="T824" s="3"/>
      <c r="U824" s="3"/>
    </row>
    <row r="825" customFormat="false" ht="15.75" hidden="false" customHeight="false" outlineLevel="0" collapsed="false">
      <c r="F825" s="34"/>
      <c r="G825" s="35"/>
      <c r="H825" s="35"/>
      <c r="I825" s="36"/>
      <c r="J825" s="35"/>
      <c r="K825" s="37"/>
      <c r="M825" s="44"/>
      <c r="N825" s="45"/>
      <c r="O825" s="46"/>
      <c r="Q825" s="3"/>
      <c r="R825" s="3"/>
      <c r="S825" s="3"/>
      <c r="T825" s="3"/>
      <c r="U825" s="3"/>
    </row>
    <row r="826" customFormat="false" ht="15.75" hidden="false" customHeight="false" outlineLevel="0" collapsed="false">
      <c r="F826" s="39"/>
      <c r="G826" s="40"/>
      <c r="H826" s="40"/>
      <c r="I826" s="41"/>
      <c r="J826" s="40"/>
      <c r="K826" s="42"/>
      <c r="M826" s="47"/>
      <c r="N826" s="48"/>
      <c r="O826" s="49"/>
      <c r="Q826" s="3"/>
      <c r="R826" s="3"/>
      <c r="S826" s="3"/>
      <c r="T826" s="3"/>
      <c r="U826" s="3"/>
    </row>
    <row r="827" customFormat="false" ht="15.75" hidden="false" customHeight="false" outlineLevel="0" collapsed="false">
      <c r="F827" s="34"/>
      <c r="G827" s="35"/>
      <c r="H827" s="35"/>
      <c r="I827" s="36"/>
      <c r="J827" s="35"/>
      <c r="K827" s="37"/>
      <c r="M827" s="44"/>
      <c r="N827" s="45"/>
      <c r="O827" s="46"/>
      <c r="Q827" s="3"/>
      <c r="R827" s="3"/>
      <c r="S827" s="3"/>
      <c r="T827" s="3"/>
      <c r="U827" s="3"/>
    </row>
    <row r="828" customFormat="false" ht="15.75" hidden="false" customHeight="false" outlineLevel="0" collapsed="false">
      <c r="F828" s="39"/>
      <c r="G828" s="40"/>
      <c r="H828" s="40"/>
      <c r="I828" s="41"/>
      <c r="J828" s="40"/>
      <c r="K828" s="42"/>
      <c r="M828" s="47"/>
      <c r="N828" s="48"/>
      <c r="O828" s="49"/>
      <c r="Q828" s="3"/>
      <c r="R828" s="3"/>
      <c r="S828" s="3"/>
      <c r="T828" s="3"/>
      <c r="U828" s="3"/>
    </row>
    <row r="829" customFormat="false" ht="15.75" hidden="false" customHeight="false" outlineLevel="0" collapsed="false">
      <c r="F829" s="34"/>
      <c r="G829" s="35"/>
      <c r="H829" s="35"/>
      <c r="I829" s="36"/>
      <c r="J829" s="35"/>
      <c r="K829" s="37"/>
      <c r="M829" s="44"/>
      <c r="N829" s="45"/>
      <c r="O829" s="46"/>
      <c r="Q829" s="3"/>
      <c r="R829" s="3"/>
      <c r="S829" s="3"/>
      <c r="T829" s="3"/>
      <c r="U829" s="3"/>
    </row>
    <row r="830" customFormat="false" ht="15.75" hidden="false" customHeight="false" outlineLevel="0" collapsed="false">
      <c r="F830" s="39"/>
      <c r="G830" s="40"/>
      <c r="H830" s="40"/>
      <c r="I830" s="41"/>
      <c r="J830" s="40"/>
      <c r="K830" s="42"/>
      <c r="M830" s="47"/>
      <c r="N830" s="48"/>
      <c r="O830" s="49"/>
      <c r="Q830" s="3"/>
      <c r="R830" s="3"/>
      <c r="S830" s="3"/>
      <c r="T830" s="3"/>
      <c r="U830" s="3"/>
    </row>
    <row r="831" customFormat="false" ht="15.75" hidden="false" customHeight="false" outlineLevel="0" collapsed="false">
      <c r="F831" s="34"/>
      <c r="G831" s="35"/>
      <c r="H831" s="35"/>
      <c r="I831" s="36"/>
      <c r="J831" s="35"/>
      <c r="K831" s="37"/>
      <c r="M831" s="44"/>
      <c r="N831" s="45"/>
      <c r="O831" s="46"/>
      <c r="Q831" s="3"/>
      <c r="R831" s="3"/>
      <c r="S831" s="3"/>
      <c r="T831" s="3"/>
      <c r="U831" s="3"/>
    </row>
    <row r="832" customFormat="false" ht="15.75" hidden="false" customHeight="false" outlineLevel="0" collapsed="false">
      <c r="F832" s="39"/>
      <c r="G832" s="40"/>
      <c r="H832" s="40"/>
      <c r="I832" s="41"/>
      <c r="J832" s="40"/>
      <c r="K832" s="42"/>
      <c r="M832" s="47"/>
      <c r="N832" s="48"/>
      <c r="O832" s="49"/>
      <c r="Q832" s="3"/>
      <c r="R832" s="3"/>
      <c r="S832" s="3"/>
      <c r="T832" s="3"/>
      <c r="U832" s="3"/>
    </row>
    <row r="833" customFormat="false" ht="15.75" hidden="false" customHeight="false" outlineLevel="0" collapsed="false">
      <c r="F833" s="34"/>
      <c r="G833" s="35"/>
      <c r="H833" s="35"/>
      <c r="I833" s="36"/>
      <c r="J833" s="35"/>
      <c r="K833" s="37"/>
      <c r="M833" s="44"/>
      <c r="N833" s="45"/>
      <c r="O833" s="46"/>
      <c r="Q833" s="3"/>
      <c r="R833" s="3"/>
      <c r="S833" s="3"/>
      <c r="T833" s="3"/>
      <c r="U833" s="3"/>
    </row>
    <row r="834" customFormat="false" ht="15.75" hidden="false" customHeight="false" outlineLevel="0" collapsed="false">
      <c r="F834" s="39"/>
      <c r="G834" s="40"/>
      <c r="H834" s="40"/>
      <c r="I834" s="41"/>
      <c r="J834" s="40"/>
      <c r="K834" s="42"/>
      <c r="M834" s="47"/>
      <c r="N834" s="48"/>
      <c r="O834" s="49"/>
      <c r="Q834" s="3"/>
      <c r="R834" s="3"/>
      <c r="S834" s="3"/>
      <c r="T834" s="3"/>
      <c r="U834" s="3"/>
    </row>
    <row r="835" customFormat="false" ht="15.75" hidden="false" customHeight="false" outlineLevel="0" collapsed="false">
      <c r="F835" s="34"/>
      <c r="G835" s="35"/>
      <c r="H835" s="35"/>
      <c r="I835" s="36"/>
      <c r="J835" s="35"/>
      <c r="K835" s="37"/>
      <c r="M835" s="44"/>
      <c r="N835" s="45"/>
      <c r="O835" s="46"/>
      <c r="Q835" s="3"/>
      <c r="R835" s="3"/>
      <c r="S835" s="3"/>
      <c r="T835" s="3"/>
      <c r="U835" s="3"/>
    </row>
    <row r="836" customFormat="false" ht="15.75" hidden="false" customHeight="false" outlineLevel="0" collapsed="false">
      <c r="F836" s="39"/>
      <c r="G836" s="40"/>
      <c r="H836" s="40"/>
      <c r="I836" s="41"/>
      <c r="J836" s="40"/>
      <c r="K836" s="42"/>
      <c r="M836" s="47"/>
      <c r="N836" s="48"/>
      <c r="O836" s="49"/>
      <c r="Q836" s="3"/>
      <c r="R836" s="3"/>
      <c r="S836" s="3"/>
      <c r="T836" s="3"/>
      <c r="U836" s="3"/>
    </row>
    <row r="837" customFormat="false" ht="15.75" hidden="false" customHeight="false" outlineLevel="0" collapsed="false">
      <c r="F837" s="34"/>
      <c r="G837" s="35"/>
      <c r="H837" s="35"/>
      <c r="I837" s="36"/>
      <c r="J837" s="35"/>
      <c r="K837" s="37"/>
      <c r="M837" s="44"/>
      <c r="N837" s="45"/>
      <c r="O837" s="46"/>
      <c r="Q837" s="3"/>
      <c r="R837" s="3"/>
      <c r="S837" s="3"/>
      <c r="T837" s="3"/>
      <c r="U837" s="3"/>
    </row>
    <row r="838" customFormat="false" ht="15.75" hidden="false" customHeight="false" outlineLevel="0" collapsed="false">
      <c r="F838" s="39"/>
      <c r="G838" s="40"/>
      <c r="H838" s="40"/>
      <c r="I838" s="41"/>
      <c r="J838" s="40"/>
      <c r="K838" s="42"/>
      <c r="M838" s="47"/>
      <c r="N838" s="48"/>
      <c r="O838" s="49"/>
      <c r="Q838" s="3"/>
      <c r="R838" s="3"/>
      <c r="S838" s="3"/>
      <c r="T838" s="3"/>
      <c r="U838" s="3"/>
    </row>
    <row r="839" customFormat="false" ht="15.75" hidden="false" customHeight="false" outlineLevel="0" collapsed="false">
      <c r="F839" s="34"/>
      <c r="G839" s="35"/>
      <c r="H839" s="35"/>
      <c r="I839" s="36"/>
      <c r="J839" s="35"/>
      <c r="K839" s="37"/>
      <c r="M839" s="44"/>
      <c r="N839" s="45"/>
      <c r="O839" s="46"/>
      <c r="Q839" s="3"/>
      <c r="R839" s="3"/>
      <c r="S839" s="3"/>
      <c r="T839" s="3"/>
      <c r="U839" s="3"/>
    </row>
    <row r="840" customFormat="false" ht="15.75" hidden="false" customHeight="false" outlineLevel="0" collapsed="false">
      <c r="F840" s="39"/>
      <c r="G840" s="40"/>
      <c r="H840" s="40"/>
      <c r="I840" s="41"/>
      <c r="J840" s="40"/>
      <c r="K840" s="42"/>
      <c r="M840" s="47"/>
      <c r="N840" s="48"/>
      <c r="O840" s="49"/>
      <c r="Q840" s="3"/>
      <c r="R840" s="3"/>
      <c r="S840" s="3"/>
      <c r="T840" s="3"/>
      <c r="U840" s="3"/>
    </row>
    <row r="841" customFormat="false" ht="15.75" hidden="false" customHeight="false" outlineLevel="0" collapsed="false">
      <c r="F841" s="34"/>
      <c r="G841" s="35"/>
      <c r="H841" s="35"/>
      <c r="I841" s="36"/>
      <c r="J841" s="35"/>
      <c r="K841" s="37"/>
      <c r="M841" s="44"/>
      <c r="N841" s="45"/>
      <c r="O841" s="46"/>
      <c r="Q841" s="3"/>
      <c r="R841" s="3"/>
      <c r="S841" s="3"/>
      <c r="T841" s="3"/>
      <c r="U841" s="3"/>
    </row>
    <row r="842" customFormat="false" ht="15.75" hidden="false" customHeight="false" outlineLevel="0" collapsed="false">
      <c r="F842" s="39"/>
      <c r="G842" s="40"/>
      <c r="H842" s="40"/>
      <c r="I842" s="41"/>
      <c r="J842" s="40"/>
      <c r="K842" s="42"/>
      <c r="M842" s="47"/>
      <c r="N842" s="48"/>
      <c r="O842" s="49"/>
      <c r="Q842" s="3"/>
      <c r="R842" s="3"/>
      <c r="S842" s="3"/>
      <c r="T842" s="3"/>
      <c r="U842" s="3"/>
    </row>
    <row r="843" customFormat="false" ht="15.75" hidden="false" customHeight="false" outlineLevel="0" collapsed="false">
      <c r="F843" s="34"/>
      <c r="G843" s="35"/>
      <c r="H843" s="35"/>
      <c r="I843" s="36"/>
      <c r="J843" s="35"/>
      <c r="K843" s="37"/>
      <c r="M843" s="44"/>
      <c r="N843" s="45"/>
      <c r="O843" s="46"/>
      <c r="Q843" s="3"/>
      <c r="R843" s="3"/>
      <c r="S843" s="3"/>
      <c r="T843" s="3"/>
      <c r="U843" s="3"/>
    </row>
    <row r="844" customFormat="false" ht="15.75" hidden="false" customHeight="false" outlineLevel="0" collapsed="false">
      <c r="F844" s="39"/>
      <c r="G844" s="40"/>
      <c r="H844" s="40"/>
      <c r="I844" s="41"/>
      <c r="J844" s="40"/>
      <c r="K844" s="42"/>
      <c r="M844" s="47"/>
      <c r="N844" s="48"/>
      <c r="O844" s="49"/>
      <c r="Q844" s="3"/>
      <c r="R844" s="3"/>
      <c r="S844" s="3"/>
      <c r="T844" s="3"/>
      <c r="U844" s="3"/>
    </row>
    <row r="845" customFormat="false" ht="15.75" hidden="false" customHeight="false" outlineLevel="0" collapsed="false">
      <c r="F845" s="34"/>
      <c r="G845" s="35"/>
      <c r="H845" s="35"/>
      <c r="I845" s="36"/>
      <c r="J845" s="35"/>
      <c r="K845" s="37"/>
      <c r="M845" s="44"/>
      <c r="N845" s="45"/>
      <c r="O845" s="46"/>
      <c r="Q845" s="3"/>
      <c r="R845" s="3"/>
      <c r="S845" s="3"/>
      <c r="T845" s="3"/>
      <c r="U845" s="3"/>
    </row>
    <row r="846" customFormat="false" ht="15.75" hidden="false" customHeight="false" outlineLevel="0" collapsed="false">
      <c r="F846" s="39"/>
      <c r="G846" s="40"/>
      <c r="H846" s="40"/>
      <c r="I846" s="41"/>
      <c r="J846" s="40"/>
      <c r="K846" s="42"/>
      <c r="M846" s="47"/>
      <c r="N846" s="48"/>
      <c r="O846" s="49"/>
      <c r="Q846" s="3"/>
      <c r="R846" s="3"/>
      <c r="S846" s="3"/>
      <c r="T846" s="3"/>
      <c r="U846" s="3"/>
    </row>
    <row r="847" customFormat="false" ht="15.75" hidden="false" customHeight="false" outlineLevel="0" collapsed="false">
      <c r="F847" s="34"/>
      <c r="G847" s="35"/>
      <c r="H847" s="35"/>
      <c r="I847" s="36"/>
      <c r="J847" s="35"/>
      <c r="K847" s="37"/>
      <c r="M847" s="44"/>
      <c r="N847" s="45"/>
      <c r="O847" s="46"/>
      <c r="Q847" s="3"/>
      <c r="R847" s="3"/>
      <c r="S847" s="3"/>
      <c r="T847" s="3"/>
      <c r="U847" s="3"/>
    </row>
    <row r="848" customFormat="false" ht="15.75" hidden="false" customHeight="false" outlineLevel="0" collapsed="false">
      <c r="F848" s="39"/>
      <c r="G848" s="40"/>
      <c r="H848" s="40"/>
      <c r="I848" s="41"/>
      <c r="J848" s="40"/>
      <c r="K848" s="42"/>
      <c r="M848" s="47"/>
      <c r="N848" s="48"/>
      <c r="O848" s="49"/>
      <c r="Q848" s="3"/>
      <c r="R848" s="3"/>
      <c r="S848" s="3"/>
      <c r="T848" s="3"/>
      <c r="U848" s="3"/>
    </row>
    <row r="849" customFormat="false" ht="15.75" hidden="false" customHeight="false" outlineLevel="0" collapsed="false">
      <c r="F849" s="34"/>
      <c r="G849" s="35"/>
      <c r="H849" s="35"/>
      <c r="I849" s="36"/>
      <c r="J849" s="35"/>
      <c r="K849" s="37"/>
      <c r="M849" s="44"/>
      <c r="N849" s="45"/>
      <c r="O849" s="46"/>
      <c r="Q849" s="3"/>
      <c r="R849" s="3"/>
      <c r="S849" s="3"/>
      <c r="T849" s="3"/>
      <c r="U849" s="3"/>
    </row>
    <row r="850" customFormat="false" ht="15.75" hidden="false" customHeight="false" outlineLevel="0" collapsed="false">
      <c r="F850" s="39"/>
      <c r="G850" s="40"/>
      <c r="H850" s="40"/>
      <c r="I850" s="41"/>
      <c r="J850" s="40"/>
      <c r="K850" s="42"/>
      <c r="M850" s="47"/>
      <c r="N850" s="48"/>
      <c r="O850" s="49"/>
      <c r="Q850" s="3"/>
      <c r="R850" s="3"/>
      <c r="S850" s="3"/>
      <c r="T850" s="3"/>
      <c r="U850" s="3"/>
    </row>
    <row r="851" customFormat="false" ht="15.75" hidden="false" customHeight="false" outlineLevel="0" collapsed="false">
      <c r="F851" s="34"/>
      <c r="G851" s="35"/>
      <c r="H851" s="35"/>
      <c r="I851" s="36"/>
      <c r="J851" s="35"/>
      <c r="K851" s="37"/>
      <c r="M851" s="44"/>
      <c r="N851" s="45"/>
      <c r="O851" s="46"/>
      <c r="Q851" s="3"/>
      <c r="R851" s="3"/>
      <c r="S851" s="3"/>
      <c r="T851" s="3"/>
      <c r="U851" s="3"/>
    </row>
    <row r="852" customFormat="false" ht="15.75" hidden="false" customHeight="false" outlineLevel="0" collapsed="false">
      <c r="F852" s="39"/>
      <c r="G852" s="40"/>
      <c r="H852" s="40"/>
      <c r="I852" s="41"/>
      <c r="J852" s="40"/>
      <c r="K852" s="42"/>
      <c r="M852" s="47"/>
      <c r="N852" s="48"/>
      <c r="O852" s="49"/>
      <c r="Q852" s="3"/>
      <c r="R852" s="3"/>
      <c r="S852" s="3"/>
      <c r="T852" s="3"/>
      <c r="U852" s="3"/>
    </row>
    <row r="853" customFormat="false" ht="15.75" hidden="false" customHeight="false" outlineLevel="0" collapsed="false">
      <c r="F853" s="34"/>
      <c r="G853" s="35"/>
      <c r="H853" s="35"/>
      <c r="I853" s="36"/>
      <c r="J853" s="35"/>
      <c r="K853" s="37"/>
      <c r="M853" s="44"/>
      <c r="N853" s="45"/>
      <c r="O853" s="46"/>
      <c r="Q853" s="3"/>
      <c r="R853" s="3"/>
      <c r="S853" s="3"/>
      <c r="T853" s="3"/>
      <c r="U853" s="3"/>
    </row>
    <row r="854" customFormat="false" ht="15.75" hidden="false" customHeight="false" outlineLevel="0" collapsed="false">
      <c r="F854" s="39"/>
      <c r="G854" s="40"/>
      <c r="H854" s="40"/>
      <c r="I854" s="41"/>
      <c r="J854" s="40"/>
      <c r="K854" s="42"/>
      <c r="M854" s="47"/>
      <c r="N854" s="48"/>
      <c r="O854" s="49"/>
      <c r="Q854" s="3"/>
      <c r="R854" s="3"/>
      <c r="S854" s="3"/>
      <c r="T854" s="3"/>
      <c r="U854" s="3"/>
    </row>
    <row r="855" customFormat="false" ht="15.75" hidden="false" customHeight="false" outlineLevel="0" collapsed="false">
      <c r="F855" s="34"/>
      <c r="G855" s="35"/>
      <c r="H855" s="35"/>
      <c r="I855" s="36"/>
      <c r="J855" s="35"/>
      <c r="K855" s="37"/>
      <c r="M855" s="44"/>
      <c r="N855" s="45"/>
      <c r="O855" s="46"/>
      <c r="Q855" s="3"/>
      <c r="R855" s="3"/>
      <c r="S855" s="3"/>
      <c r="T855" s="3"/>
      <c r="U855" s="3"/>
    </row>
    <row r="856" customFormat="false" ht="15.75" hidden="false" customHeight="false" outlineLevel="0" collapsed="false">
      <c r="F856" s="39"/>
      <c r="G856" s="40"/>
      <c r="H856" s="40"/>
      <c r="I856" s="41"/>
      <c r="J856" s="40"/>
      <c r="K856" s="42"/>
      <c r="M856" s="47"/>
      <c r="N856" s="48"/>
      <c r="O856" s="49"/>
      <c r="Q856" s="3"/>
      <c r="R856" s="3"/>
      <c r="S856" s="3"/>
      <c r="T856" s="3"/>
      <c r="U856" s="3"/>
    </row>
    <row r="857" customFormat="false" ht="15.75" hidden="false" customHeight="false" outlineLevel="0" collapsed="false">
      <c r="F857" s="34"/>
      <c r="G857" s="35"/>
      <c r="H857" s="35"/>
      <c r="I857" s="36"/>
      <c r="J857" s="35"/>
      <c r="K857" s="37"/>
      <c r="M857" s="44"/>
      <c r="N857" s="45"/>
      <c r="O857" s="46"/>
      <c r="Q857" s="3"/>
      <c r="R857" s="3"/>
      <c r="S857" s="3"/>
      <c r="T857" s="3"/>
      <c r="U857" s="3"/>
    </row>
    <row r="858" customFormat="false" ht="15.75" hidden="false" customHeight="false" outlineLevel="0" collapsed="false">
      <c r="F858" s="39"/>
      <c r="G858" s="40"/>
      <c r="H858" s="40"/>
      <c r="I858" s="41"/>
      <c r="J858" s="40"/>
      <c r="K858" s="42"/>
      <c r="M858" s="47"/>
      <c r="N858" s="48"/>
      <c r="O858" s="49"/>
      <c r="Q858" s="3"/>
      <c r="R858" s="3"/>
      <c r="S858" s="3"/>
      <c r="T858" s="3"/>
      <c r="U858" s="3"/>
    </row>
    <row r="859" customFormat="false" ht="15.75" hidden="false" customHeight="false" outlineLevel="0" collapsed="false">
      <c r="F859" s="34"/>
      <c r="G859" s="35"/>
      <c r="H859" s="35"/>
      <c r="I859" s="36"/>
      <c r="J859" s="35"/>
      <c r="K859" s="37"/>
      <c r="M859" s="44"/>
      <c r="N859" s="45"/>
      <c r="O859" s="46"/>
      <c r="Q859" s="3"/>
      <c r="R859" s="3"/>
      <c r="S859" s="3"/>
      <c r="T859" s="3"/>
      <c r="U859" s="3"/>
    </row>
    <row r="860" customFormat="false" ht="15.75" hidden="false" customHeight="false" outlineLevel="0" collapsed="false">
      <c r="F860" s="39"/>
      <c r="G860" s="40"/>
      <c r="H860" s="40"/>
      <c r="I860" s="41"/>
      <c r="J860" s="40"/>
      <c r="K860" s="42"/>
      <c r="M860" s="47"/>
      <c r="N860" s="48"/>
      <c r="O860" s="49"/>
      <c r="Q860" s="3"/>
      <c r="R860" s="3"/>
      <c r="S860" s="3"/>
      <c r="T860" s="3"/>
      <c r="U860" s="3"/>
    </row>
    <row r="861" customFormat="false" ht="15.75" hidden="false" customHeight="false" outlineLevel="0" collapsed="false">
      <c r="F861" s="34"/>
      <c r="G861" s="35"/>
      <c r="H861" s="35"/>
      <c r="I861" s="36"/>
      <c r="J861" s="35"/>
      <c r="K861" s="37"/>
      <c r="M861" s="44"/>
      <c r="N861" s="45"/>
      <c r="O861" s="46"/>
      <c r="Q861" s="3"/>
      <c r="R861" s="3"/>
      <c r="S861" s="3"/>
      <c r="T861" s="3"/>
      <c r="U861" s="3"/>
    </row>
    <row r="862" customFormat="false" ht="15.75" hidden="false" customHeight="false" outlineLevel="0" collapsed="false">
      <c r="F862" s="39"/>
      <c r="G862" s="40"/>
      <c r="H862" s="40"/>
      <c r="I862" s="41"/>
      <c r="J862" s="40"/>
      <c r="K862" s="42"/>
      <c r="M862" s="47"/>
      <c r="N862" s="48"/>
      <c r="O862" s="49"/>
      <c r="Q862" s="3"/>
      <c r="R862" s="3"/>
      <c r="S862" s="3"/>
      <c r="T862" s="3"/>
      <c r="U862" s="3"/>
    </row>
    <row r="863" customFormat="false" ht="15.75" hidden="false" customHeight="false" outlineLevel="0" collapsed="false">
      <c r="F863" s="34"/>
      <c r="G863" s="35"/>
      <c r="H863" s="35"/>
      <c r="I863" s="36"/>
      <c r="J863" s="35"/>
      <c r="K863" s="37"/>
      <c r="M863" s="44"/>
      <c r="N863" s="45"/>
      <c r="O863" s="46"/>
      <c r="Q863" s="3"/>
      <c r="R863" s="3"/>
      <c r="S863" s="3"/>
      <c r="T863" s="3"/>
      <c r="U863" s="3"/>
    </row>
    <row r="864" customFormat="false" ht="15.75" hidden="false" customHeight="false" outlineLevel="0" collapsed="false">
      <c r="F864" s="39"/>
      <c r="G864" s="40"/>
      <c r="H864" s="40"/>
      <c r="I864" s="41"/>
      <c r="J864" s="40"/>
      <c r="K864" s="42"/>
      <c r="M864" s="47"/>
      <c r="N864" s="48"/>
      <c r="O864" s="49"/>
      <c r="Q864" s="3"/>
      <c r="R864" s="3"/>
      <c r="S864" s="3"/>
      <c r="T864" s="3"/>
      <c r="U864" s="3"/>
    </row>
    <row r="865" customFormat="false" ht="15.75" hidden="false" customHeight="false" outlineLevel="0" collapsed="false">
      <c r="F865" s="34"/>
      <c r="G865" s="35"/>
      <c r="H865" s="35"/>
      <c r="I865" s="36"/>
      <c r="J865" s="35"/>
      <c r="K865" s="37"/>
      <c r="M865" s="44"/>
      <c r="N865" s="45"/>
      <c r="O865" s="46"/>
      <c r="Q865" s="3"/>
      <c r="R865" s="3"/>
      <c r="S865" s="3"/>
      <c r="T865" s="3"/>
      <c r="U865" s="3"/>
    </row>
    <row r="866" customFormat="false" ht="15.75" hidden="false" customHeight="false" outlineLevel="0" collapsed="false">
      <c r="F866" s="39"/>
      <c r="G866" s="40"/>
      <c r="H866" s="40"/>
      <c r="I866" s="41"/>
      <c r="J866" s="40"/>
      <c r="K866" s="42"/>
      <c r="M866" s="47"/>
      <c r="N866" s="48"/>
      <c r="O866" s="49"/>
      <c r="Q866" s="3"/>
      <c r="R866" s="3"/>
      <c r="S866" s="3"/>
      <c r="T866" s="3"/>
      <c r="U866" s="3"/>
    </row>
    <row r="867" customFormat="false" ht="15.75" hidden="false" customHeight="false" outlineLevel="0" collapsed="false">
      <c r="F867" s="34"/>
      <c r="G867" s="35"/>
      <c r="H867" s="35"/>
      <c r="I867" s="36"/>
      <c r="J867" s="35"/>
      <c r="K867" s="37"/>
      <c r="M867" s="44"/>
      <c r="N867" s="45"/>
      <c r="O867" s="46"/>
      <c r="Q867" s="3"/>
      <c r="R867" s="3"/>
      <c r="S867" s="3"/>
      <c r="T867" s="3"/>
      <c r="U867" s="3"/>
    </row>
    <row r="868" customFormat="false" ht="15.75" hidden="false" customHeight="false" outlineLevel="0" collapsed="false">
      <c r="F868" s="39"/>
      <c r="G868" s="40"/>
      <c r="H868" s="40"/>
      <c r="I868" s="41"/>
      <c r="J868" s="40"/>
      <c r="K868" s="42"/>
      <c r="M868" s="47"/>
      <c r="N868" s="48"/>
      <c r="O868" s="49"/>
      <c r="Q868" s="3"/>
      <c r="R868" s="3"/>
      <c r="S868" s="3"/>
      <c r="T868" s="3"/>
      <c r="U868" s="3"/>
    </row>
    <row r="869" customFormat="false" ht="15.75" hidden="false" customHeight="false" outlineLevel="0" collapsed="false">
      <c r="F869" s="34"/>
      <c r="G869" s="35"/>
      <c r="H869" s="35"/>
      <c r="I869" s="36"/>
      <c r="J869" s="35"/>
      <c r="K869" s="37"/>
      <c r="M869" s="44"/>
      <c r="N869" s="45"/>
      <c r="O869" s="46"/>
      <c r="Q869" s="3"/>
      <c r="R869" s="3"/>
      <c r="S869" s="3"/>
      <c r="T869" s="3"/>
      <c r="U869" s="3"/>
    </row>
    <row r="870" customFormat="false" ht="15.75" hidden="false" customHeight="false" outlineLevel="0" collapsed="false">
      <c r="F870" s="39"/>
      <c r="G870" s="40"/>
      <c r="H870" s="40"/>
      <c r="I870" s="41"/>
      <c r="J870" s="40"/>
      <c r="K870" s="42"/>
      <c r="M870" s="47"/>
      <c r="N870" s="48"/>
      <c r="O870" s="49"/>
      <c r="Q870" s="3"/>
      <c r="R870" s="3"/>
      <c r="S870" s="3"/>
      <c r="T870" s="3"/>
      <c r="U870" s="3"/>
    </row>
    <row r="871" customFormat="false" ht="15.75" hidden="false" customHeight="false" outlineLevel="0" collapsed="false">
      <c r="F871" s="34"/>
      <c r="G871" s="35"/>
      <c r="H871" s="35"/>
      <c r="I871" s="36"/>
      <c r="J871" s="35"/>
      <c r="K871" s="37"/>
      <c r="M871" s="44"/>
      <c r="N871" s="45"/>
      <c r="O871" s="46"/>
      <c r="Q871" s="3"/>
      <c r="R871" s="3"/>
      <c r="S871" s="3"/>
      <c r="T871" s="3"/>
      <c r="U871" s="3"/>
    </row>
    <row r="872" customFormat="false" ht="15.75" hidden="false" customHeight="false" outlineLevel="0" collapsed="false">
      <c r="F872" s="39"/>
      <c r="G872" s="40"/>
      <c r="H872" s="40"/>
      <c r="I872" s="41"/>
      <c r="J872" s="40"/>
      <c r="K872" s="42"/>
      <c r="M872" s="47"/>
      <c r="N872" s="48"/>
      <c r="O872" s="49"/>
      <c r="Q872" s="3"/>
      <c r="R872" s="3"/>
      <c r="S872" s="3"/>
      <c r="T872" s="3"/>
      <c r="U872" s="3"/>
    </row>
    <row r="873" customFormat="false" ht="15.75" hidden="false" customHeight="false" outlineLevel="0" collapsed="false">
      <c r="F873" s="34"/>
      <c r="G873" s="35"/>
      <c r="H873" s="35"/>
      <c r="I873" s="36"/>
      <c r="J873" s="35"/>
      <c r="K873" s="37"/>
      <c r="M873" s="44"/>
      <c r="N873" s="45"/>
      <c r="O873" s="46"/>
      <c r="Q873" s="3"/>
      <c r="R873" s="3"/>
      <c r="S873" s="3"/>
      <c r="T873" s="3"/>
      <c r="U873" s="3"/>
    </row>
    <row r="874" customFormat="false" ht="15.75" hidden="false" customHeight="false" outlineLevel="0" collapsed="false">
      <c r="F874" s="39"/>
      <c r="G874" s="40"/>
      <c r="H874" s="40"/>
      <c r="I874" s="41"/>
      <c r="J874" s="40"/>
      <c r="K874" s="42"/>
      <c r="M874" s="47"/>
      <c r="N874" s="48"/>
      <c r="O874" s="49"/>
      <c r="Q874" s="3"/>
      <c r="R874" s="3"/>
      <c r="S874" s="3"/>
      <c r="T874" s="3"/>
      <c r="U874" s="3"/>
    </row>
    <row r="875" customFormat="false" ht="15.75" hidden="false" customHeight="false" outlineLevel="0" collapsed="false">
      <c r="F875" s="34"/>
      <c r="G875" s="35"/>
      <c r="H875" s="35"/>
      <c r="I875" s="36"/>
      <c r="J875" s="35"/>
      <c r="K875" s="37"/>
      <c r="M875" s="44"/>
      <c r="N875" s="45"/>
      <c r="O875" s="46"/>
      <c r="Q875" s="3"/>
      <c r="R875" s="3"/>
      <c r="S875" s="3"/>
      <c r="T875" s="3"/>
      <c r="U875" s="3"/>
    </row>
    <row r="876" customFormat="false" ht="15.75" hidden="false" customHeight="false" outlineLevel="0" collapsed="false">
      <c r="F876" s="39"/>
      <c r="G876" s="40"/>
      <c r="H876" s="40"/>
      <c r="I876" s="41"/>
      <c r="J876" s="40"/>
      <c r="K876" s="42"/>
      <c r="M876" s="47"/>
      <c r="N876" s="48"/>
      <c r="O876" s="49"/>
      <c r="Q876" s="3"/>
      <c r="R876" s="3"/>
      <c r="S876" s="3"/>
      <c r="T876" s="3"/>
      <c r="U876" s="3"/>
    </row>
    <row r="877" customFormat="false" ht="15.75" hidden="false" customHeight="false" outlineLevel="0" collapsed="false">
      <c r="F877" s="34"/>
      <c r="G877" s="35"/>
      <c r="H877" s="35"/>
      <c r="I877" s="36"/>
      <c r="J877" s="35"/>
      <c r="K877" s="37"/>
      <c r="M877" s="44"/>
      <c r="N877" s="45"/>
      <c r="O877" s="46"/>
      <c r="Q877" s="3"/>
      <c r="R877" s="3"/>
      <c r="S877" s="3"/>
      <c r="T877" s="3"/>
      <c r="U877" s="3"/>
    </row>
    <row r="878" customFormat="false" ht="15.75" hidden="false" customHeight="false" outlineLevel="0" collapsed="false">
      <c r="F878" s="39"/>
      <c r="G878" s="40"/>
      <c r="H878" s="40"/>
      <c r="I878" s="41"/>
      <c r="J878" s="40"/>
      <c r="K878" s="42"/>
      <c r="M878" s="47"/>
      <c r="N878" s="48"/>
      <c r="O878" s="49"/>
      <c r="Q878" s="3"/>
      <c r="R878" s="3"/>
      <c r="S878" s="3"/>
      <c r="T878" s="3"/>
      <c r="U878" s="3"/>
    </row>
    <row r="879" customFormat="false" ht="15.75" hidden="false" customHeight="false" outlineLevel="0" collapsed="false">
      <c r="F879" s="34"/>
      <c r="G879" s="35"/>
      <c r="H879" s="35"/>
      <c r="I879" s="36"/>
      <c r="J879" s="35"/>
      <c r="K879" s="37"/>
      <c r="M879" s="44"/>
      <c r="N879" s="45"/>
      <c r="O879" s="46"/>
      <c r="Q879" s="3"/>
      <c r="R879" s="3"/>
      <c r="S879" s="3"/>
      <c r="T879" s="3"/>
      <c r="U879" s="3"/>
    </row>
    <row r="880" customFormat="false" ht="15.75" hidden="false" customHeight="false" outlineLevel="0" collapsed="false">
      <c r="F880" s="39"/>
      <c r="G880" s="40"/>
      <c r="H880" s="40"/>
      <c r="I880" s="41"/>
      <c r="J880" s="40"/>
      <c r="K880" s="42"/>
      <c r="M880" s="47"/>
      <c r="N880" s="48"/>
      <c r="O880" s="49"/>
      <c r="Q880" s="3"/>
      <c r="R880" s="3"/>
      <c r="S880" s="3"/>
      <c r="T880" s="3"/>
      <c r="U880" s="3"/>
    </row>
    <row r="881" customFormat="false" ht="15.75" hidden="false" customHeight="false" outlineLevel="0" collapsed="false">
      <c r="F881" s="34"/>
      <c r="G881" s="35"/>
      <c r="H881" s="35"/>
      <c r="I881" s="36"/>
      <c r="J881" s="35"/>
      <c r="K881" s="37"/>
      <c r="M881" s="44"/>
      <c r="N881" s="45"/>
      <c r="O881" s="46"/>
      <c r="Q881" s="3"/>
      <c r="R881" s="3"/>
      <c r="S881" s="3"/>
      <c r="T881" s="3"/>
      <c r="U881" s="3"/>
    </row>
    <row r="882" customFormat="false" ht="15.75" hidden="false" customHeight="false" outlineLevel="0" collapsed="false">
      <c r="F882" s="39"/>
      <c r="G882" s="40"/>
      <c r="H882" s="40"/>
      <c r="I882" s="41"/>
      <c r="J882" s="40"/>
      <c r="K882" s="42"/>
      <c r="M882" s="47"/>
      <c r="N882" s="48"/>
      <c r="O882" s="49"/>
      <c r="Q882" s="3"/>
      <c r="R882" s="3"/>
      <c r="S882" s="3"/>
      <c r="T882" s="3"/>
      <c r="U882" s="3"/>
    </row>
    <row r="883" customFormat="false" ht="15.75" hidden="false" customHeight="false" outlineLevel="0" collapsed="false">
      <c r="F883" s="34"/>
      <c r="G883" s="35"/>
      <c r="H883" s="35"/>
      <c r="I883" s="36"/>
      <c r="J883" s="35"/>
      <c r="K883" s="37"/>
      <c r="M883" s="44"/>
      <c r="N883" s="45"/>
      <c r="O883" s="46"/>
      <c r="Q883" s="3"/>
      <c r="R883" s="3"/>
      <c r="S883" s="3"/>
      <c r="T883" s="3"/>
      <c r="U883" s="3"/>
    </row>
    <row r="884" customFormat="false" ht="15.75" hidden="false" customHeight="false" outlineLevel="0" collapsed="false">
      <c r="F884" s="39"/>
      <c r="G884" s="40"/>
      <c r="H884" s="40"/>
      <c r="I884" s="41"/>
      <c r="J884" s="40"/>
      <c r="K884" s="42"/>
      <c r="M884" s="47"/>
      <c r="N884" s="48"/>
      <c r="O884" s="49"/>
      <c r="Q884" s="3"/>
      <c r="R884" s="3"/>
      <c r="S884" s="3"/>
      <c r="T884" s="3"/>
      <c r="U884" s="3"/>
    </row>
    <row r="885" customFormat="false" ht="15.75" hidden="false" customHeight="false" outlineLevel="0" collapsed="false">
      <c r="F885" s="34"/>
      <c r="G885" s="35"/>
      <c r="H885" s="35"/>
      <c r="I885" s="36"/>
      <c r="J885" s="35"/>
      <c r="K885" s="37"/>
      <c r="M885" s="44"/>
      <c r="N885" s="45"/>
      <c r="O885" s="46"/>
      <c r="Q885" s="3"/>
      <c r="R885" s="3"/>
      <c r="S885" s="3"/>
      <c r="T885" s="3"/>
      <c r="U885" s="3"/>
    </row>
    <row r="886" customFormat="false" ht="15.75" hidden="false" customHeight="false" outlineLevel="0" collapsed="false">
      <c r="F886" s="39"/>
      <c r="G886" s="40"/>
      <c r="H886" s="40"/>
      <c r="I886" s="41"/>
      <c r="J886" s="40"/>
      <c r="K886" s="42"/>
      <c r="M886" s="47"/>
      <c r="N886" s="48"/>
      <c r="O886" s="49"/>
      <c r="Q886" s="3"/>
      <c r="R886" s="3"/>
      <c r="S886" s="3"/>
      <c r="T886" s="3"/>
      <c r="U886" s="3"/>
    </row>
    <row r="887" customFormat="false" ht="15.75" hidden="false" customHeight="false" outlineLevel="0" collapsed="false">
      <c r="F887" s="34"/>
      <c r="G887" s="35"/>
      <c r="H887" s="35"/>
      <c r="I887" s="36"/>
      <c r="J887" s="35"/>
      <c r="K887" s="37"/>
      <c r="M887" s="44"/>
      <c r="N887" s="45"/>
      <c r="O887" s="46"/>
      <c r="Q887" s="3"/>
      <c r="R887" s="3"/>
      <c r="S887" s="3"/>
      <c r="T887" s="3"/>
      <c r="U887" s="3"/>
    </row>
    <row r="888" customFormat="false" ht="15.75" hidden="false" customHeight="false" outlineLevel="0" collapsed="false">
      <c r="F888" s="39"/>
      <c r="G888" s="40"/>
      <c r="H888" s="40"/>
      <c r="I888" s="41"/>
      <c r="J888" s="40"/>
      <c r="K888" s="42"/>
      <c r="M888" s="47"/>
      <c r="N888" s="48"/>
      <c r="O888" s="49"/>
      <c r="Q888" s="3"/>
      <c r="R888" s="3"/>
      <c r="S888" s="3"/>
      <c r="T888" s="3"/>
      <c r="U888" s="3"/>
    </row>
    <row r="889" customFormat="false" ht="15.75" hidden="false" customHeight="false" outlineLevel="0" collapsed="false">
      <c r="F889" s="34"/>
      <c r="G889" s="35"/>
      <c r="H889" s="35"/>
      <c r="I889" s="36"/>
      <c r="J889" s="35"/>
      <c r="K889" s="37"/>
      <c r="M889" s="44"/>
      <c r="N889" s="45"/>
      <c r="O889" s="46"/>
      <c r="Q889" s="3"/>
      <c r="R889" s="3"/>
      <c r="S889" s="3"/>
      <c r="T889" s="3"/>
      <c r="U889" s="3"/>
    </row>
    <row r="890" customFormat="false" ht="15.75" hidden="false" customHeight="false" outlineLevel="0" collapsed="false">
      <c r="F890" s="39"/>
      <c r="G890" s="40"/>
      <c r="H890" s="40"/>
      <c r="I890" s="41"/>
      <c r="J890" s="40"/>
      <c r="K890" s="42"/>
      <c r="M890" s="47"/>
      <c r="N890" s="48"/>
      <c r="O890" s="49"/>
      <c r="Q890" s="3"/>
      <c r="R890" s="3"/>
      <c r="S890" s="3"/>
      <c r="T890" s="3"/>
      <c r="U890" s="3"/>
    </row>
    <row r="891" customFormat="false" ht="15.75" hidden="false" customHeight="false" outlineLevel="0" collapsed="false">
      <c r="F891" s="34"/>
      <c r="G891" s="35"/>
      <c r="H891" s="35"/>
      <c r="I891" s="36"/>
      <c r="J891" s="35"/>
      <c r="K891" s="37"/>
      <c r="M891" s="44"/>
      <c r="N891" s="45"/>
      <c r="O891" s="46"/>
      <c r="Q891" s="3"/>
      <c r="R891" s="3"/>
      <c r="S891" s="3"/>
      <c r="T891" s="3"/>
      <c r="U891" s="3"/>
    </row>
    <row r="892" customFormat="false" ht="15.75" hidden="false" customHeight="false" outlineLevel="0" collapsed="false">
      <c r="F892" s="39"/>
      <c r="G892" s="40"/>
      <c r="H892" s="40"/>
      <c r="I892" s="41"/>
      <c r="J892" s="40"/>
      <c r="K892" s="42"/>
      <c r="M892" s="47"/>
      <c r="N892" s="48"/>
      <c r="O892" s="49"/>
      <c r="Q892" s="3"/>
      <c r="R892" s="3"/>
      <c r="S892" s="3"/>
      <c r="T892" s="3"/>
      <c r="U892" s="3"/>
    </row>
    <row r="893" customFormat="false" ht="15.75" hidden="false" customHeight="false" outlineLevel="0" collapsed="false">
      <c r="F893" s="34"/>
      <c r="G893" s="35"/>
      <c r="H893" s="35"/>
      <c r="I893" s="36"/>
      <c r="J893" s="35"/>
      <c r="K893" s="37"/>
      <c r="M893" s="44"/>
      <c r="N893" s="45"/>
      <c r="O893" s="46"/>
      <c r="Q893" s="3"/>
      <c r="R893" s="3"/>
      <c r="S893" s="3"/>
      <c r="T893" s="3"/>
      <c r="U893" s="3"/>
    </row>
    <row r="894" customFormat="false" ht="15.75" hidden="false" customHeight="false" outlineLevel="0" collapsed="false">
      <c r="F894" s="39"/>
      <c r="G894" s="40"/>
      <c r="H894" s="40"/>
      <c r="I894" s="41"/>
      <c r="J894" s="40"/>
      <c r="K894" s="42"/>
      <c r="M894" s="47"/>
      <c r="N894" s="48"/>
      <c r="O894" s="49"/>
      <c r="Q894" s="3"/>
      <c r="R894" s="3"/>
      <c r="S894" s="3"/>
      <c r="T894" s="3"/>
      <c r="U894" s="3"/>
    </row>
    <row r="895" customFormat="false" ht="15.75" hidden="false" customHeight="false" outlineLevel="0" collapsed="false">
      <c r="F895" s="34"/>
      <c r="G895" s="35"/>
      <c r="H895" s="35"/>
      <c r="I895" s="36"/>
      <c r="J895" s="35"/>
      <c r="K895" s="37"/>
      <c r="M895" s="44"/>
      <c r="N895" s="45"/>
      <c r="O895" s="46"/>
      <c r="Q895" s="3"/>
      <c r="R895" s="3"/>
      <c r="S895" s="3"/>
      <c r="T895" s="3"/>
      <c r="U895" s="3"/>
    </row>
    <row r="896" customFormat="false" ht="15.75" hidden="false" customHeight="false" outlineLevel="0" collapsed="false">
      <c r="F896" s="39"/>
      <c r="G896" s="40"/>
      <c r="H896" s="40"/>
      <c r="I896" s="41"/>
      <c r="J896" s="40"/>
      <c r="K896" s="42"/>
      <c r="M896" s="47"/>
      <c r="N896" s="48"/>
      <c r="O896" s="49"/>
      <c r="Q896" s="3"/>
      <c r="R896" s="3"/>
      <c r="S896" s="3"/>
      <c r="T896" s="3"/>
      <c r="U896" s="3"/>
    </row>
    <row r="897" customFormat="false" ht="15.75" hidden="false" customHeight="false" outlineLevel="0" collapsed="false">
      <c r="F897" s="34"/>
      <c r="G897" s="35"/>
      <c r="H897" s="35"/>
      <c r="I897" s="36"/>
      <c r="J897" s="35"/>
      <c r="K897" s="37"/>
      <c r="M897" s="44"/>
      <c r="N897" s="45"/>
      <c r="O897" s="46"/>
      <c r="Q897" s="3"/>
      <c r="R897" s="3"/>
      <c r="S897" s="3"/>
      <c r="T897" s="3"/>
      <c r="U897" s="3"/>
    </row>
    <row r="898" customFormat="false" ht="15.75" hidden="false" customHeight="false" outlineLevel="0" collapsed="false">
      <c r="F898" s="39"/>
      <c r="G898" s="40"/>
      <c r="H898" s="40"/>
      <c r="I898" s="41"/>
      <c r="J898" s="40"/>
      <c r="K898" s="42"/>
      <c r="M898" s="47"/>
      <c r="N898" s="48"/>
      <c r="O898" s="49"/>
      <c r="Q898" s="3"/>
      <c r="R898" s="3"/>
      <c r="S898" s="3"/>
      <c r="T898" s="3"/>
      <c r="U898" s="3"/>
    </row>
    <row r="899" customFormat="false" ht="15.75" hidden="false" customHeight="false" outlineLevel="0" collapsed="false">
      <c r="F899" s="34"/>
      <c r="G899" s="35"/>
      <c r="H899" s="35"/>
      <c r="I899" s="36"/>
      <c r="J899" s="35"/>
      <c r="K899" s="37"/>
      <c r="M899" s="44"/>
      <c r="N899" s="45"/>
      <c r="O899" s="46"/>
      <c r="Q899" s="3"/>
      <c r="R899" s="3"/>
      <c r="S899" s="3"/>
      <c r="T899" s="3"/>
      <c r="U899" s="3"/>
    </row>
    <row r="900" customFormat="false" ht="15.75" hidden="false" customHeight="false" outlineLevel="0" collapsed="false">
      <c r="F900" s="39"/>
      <c r="G900" s="40"/>
      <c r="H900" s="40"/>
      <c r="I900" s="41"/>
      <c r="J900" s="40"/>
      <c r="K900" s="42"/>
      <c r="M900" s="47"/>
      <c r="N900" s="48"/>
      <c r="O900" s="49"/>
      <c r="Q900" s="3"/>
      <c r="R900" s="3"/>
      <c r="S900" s="3"/>
      <c r="T900" s="3"/>
      <c r="U900" s="3"/>
    </row>
    <row r="901" customFormat="false" ht="15.75" hidden="false" customHeight="false" outlineLevel="0" collapsed="false">
      <c r="F901" s="34"/>
      <c r="G901" s="35"/>
      <c r="H901" s="35"/>
      <c r="I901" s="36"/>
      <c r="J901" s="35"/>
      <c r="K901" s="37"/>
      <c r="M901" s="44"/>
      <c r="N901" s="45"/>
      <c r="O901" s="46"/>
      <c r="Q901" s="3"/>
      <c r="R901" s="3"/>
      <c r="S901" s="3"/>
      <c r="T901" s="3"/>
      <c r="U901" s="3"/>
    </row>
    <row r="902" customFormat="false" ht="15.75" hidden="false" customHeight="false" outlineLevel="0" collapsed="false">
      <c r="F902" s="39"/>
      <c r="G902" s="40"/>
      <c r="H902" s="40"/>
      <c r="I902" s="41"/>
      <c r="J902" s="40"/>
      <c r="K902" s="42"/>
      <c r="M902" s="47"/>
      <c r="N902" s="48"/>
      <c r="O902" s="49"/>
      <c r="Q902" s="3"/>
      <c r="R902" s="3"/>
      <c r="S902" s="3"/>
      <c r="T902" s="3"/>
      <c r="U902" s="3"/>
    </row>
    <row r="903" customFormat="false" ht="15.75" hidden="false" customHeight="false" outlineLevel="0" collapsed="false">
      <c r="F903" s="34"/>
      <c r="G903" s="35"/>
      <c r="H903" s="35"/>
      <c r="I903" s="36"/>
      <c r="J903" s="35"/>
      <c r="K903" s="37"/>
      <c r="M903" s="44"/>
      <c r="N903" s="45"/>
      <c r="O903" s="46"/>
      <c r="Q903" s="3"/>
      <c r="R903" s="3"/>
      <c r="S903" s="3"/>
      <c r="T903" s="3"/>
      <c r="U903" s="3"/>
    </row>
    <row r="904" customFormat="false" ht="15.75" hidden="false" customHeight="false" outlineLevel="0" collapsed="false">
      <c r="F904" s="39"/>
      <c r="G904" s="40"/>
      <c r="H904" s="40"/>
      <c r="I904" s="41"/>
      <c r="J904" s="40"/>
      <c r="K904" s="42"/>
      <c r="M904" s="47"/>
      <c r="N904" s="48"/>
      <c r="O904" s="49"/>
      <c r="Q904" s="3"/>
      <c r="R904" s="3"/>
      <c r="S904" s="3"/>
      <c r="T904" s="3"/>
      <c r="U904" s="3"/>
    </row>
    <row r="905" customFormat="false" ht="15.75" hidden="false" customHeight="false" outlineLevel="0" collapsed="false">
      <c r="F905" s="34"/>
      <c r="G905" s="35"/>
      <c r="H905" s="35"/>
      <c r="I905" s="36"/>
      <c r="J905" s="35"/>
      <c r="K905" s="37"/>
      <c r="M905" s="44"/>
      <c r="N905" s="45"/>
      <c r="O905" s="46"/>
      <c r="Q905" s="3"/>
      <c r="R905" s="3"/>
      <c r="S905" s="3"/>
      <c r="T905" s="3"/>
      <c r="U905" s="3"/>
    </row>
    <row r="906" customFormat="false" ht="15.75" hidden="false" customHeight="false" outlineLevel="0" collapsed="false">
      <c r="F906" s="39"/>
      <c r="G906" s="40"/>
      <c r="H906" s="40"/>
      <c r="I906" s="41"/>
      <c r="J906" s="40"/>
      <c r="K906" s="42"/>
      <c r="M906" s="47"/>
      <c r="N906" s="48"/>
      <c r="O906" s="49"/>
      <c r="Q906" s="3"/>
      <c r="R906" s="3"/>
      <c r="S906" s="3"/>
      <c r="T906" s="3"/>
      <c r="U906" s="3"/>
    </row>
    <row r="907" customFormat="false" ht="15.75" hidden="false" customHeight="false" outlineLevel="0" collapsed="false">
      <c r="F907" s="34"/>
      <c r="G907" s="35"/>
      <c r="H907" s="35"/>
      <c r="I907" s="36"/>
      <c r="J907" s="35"/>
      <c r="K907" s="37"/>
      <c r="M907" s="44"/>
      <c r="N907" s="45"/>
      <c r="O907" s="46"/>
      <c r="Q907" s="3"/>
      <c r="R907" s="3"/>
      <c r="S907" s="3"/>
      <c r="T907" s="3"/>
      <c r="U907" s="3"/>
    </row>
    <row r="908" customFormat="false" ht="15.75" hidden="false" customHeight="false" outlineLevel="0" collapsed="false">
      <c r="F908" s="39"/>
      <c r="G908" s="40"/>
      <c r="H908" s="40"/>
      <c r="I908" s="41"/>
      <c r="J908" s="40"/>
      <c r="K908" s="42"/>
      <c r="M908" s="47"/>
      <c r="N908" s="48"/>
      <c r="O908" s="49"/>
      <c r="Q908" s="3"/>
      <c r="R908" s="3"/>
      <c r="S908" s="3"/>
      <c r="T908" s="3"/>
      <c r="U908" s="3"/>
    </row>
    <row r="909" customFormat="false" ht="15.75" hidden="false" customHeight="false" outlineLevel="0" collapsed="false">
      <c r="F909" s="34"/>
      <c r="G909" s="35"/>
      <c r="H909" s="35"/>
      <c r="I909" s="36"/>
      <c r="J909" s="35"/>
      <c r="K909" s="37"/>
      <c r="M909" s="44"/>
      <c r="N909" s="45"/>
      <c r="O909" s="46"/>
      <c r="Q909" s="3"/>
      <c r="R909" s="3"/>
      <c r="S909" s="3"/>
      <c r="T909" s="3"/>
      <c r="U909" s="3"/>
    </row>
    <row r="910" customFormat="false" ht="15.75" hidden="false" customHeight="false" outlineLevel="0" collapsed="false">
      <c r="F910" s="39"/>
      <c r="G910" s="40"/>
      <c r="H910" s="40"/>
      <c r="I910" s="41"/>
      <c r="J910" s="40"/>
      <c r="K910" s="42"/>
      <c r="M910" s="47"/>
      <c r="N910" s="48"/>
      <c r="O910" s="49"/>
      <c r="Q910" s="3"/>
      <c r="R910" s="3"/>
      <c r="S910" s="3"/>
      <c r="T910" s="3"/>
      <c r="U910" s="3"/>
    </row>
    <row r="911" customFormat="false" ht="15.75" hidden="false" customHeight="false" outlineLevel="0" collapsed="false">
      <c r="F911" s="34"/>
      <c r="G911" s="35"/>
      <c r="H911" s="35"/>
      <c r="I911" s="36"/>
      <c r="J911" s="35"/>
      <c r="K911" s="37"/>
      <c r="M911" s="44"/>
      <c r="N911" s="45"/>
      <c r="O911" s="46"/>
      <c r="Q911" s="3"/>
      <c r="R911" s="3"/>
      <c r="S911" s="3"/>
      <c r="T911" s="3"/>
      <c r="U911" s="3"/>
    </row>
    <row r="912" customFormat="false" ht="15.75" hidden="false" customHeight="false" outlineLevel="0" collapsed="false">
      <c r="F912" s="39"/>
      <c r="G912" s="40"/>
      <c r="H912" s="40"/>
      <c r="I912" s="41"/>
      <c r="J912" s="40"/>
      <c r="K912" s="42"/>
      <c r="M912" s="47"/>
      <c r="N912" s="48"/>
      <c r="O912" s="49"/>
      <c r="Q912" s="3"/>
      <c r="R912" s="3"/>
      <c r="S912" s="3"/>
      <c r="T912" s="3"/>
      <c r="U912" s="3"/>
    </row>
    <row r="913" customFormat="false" ht="15.75" hidden="false" customHeight="false" outlineLevel="0" collapsed="false">
      <c r="F913" s="34"/>
      <c r="G913" s="35"/>
      <c r="H913" s="35"/>
      <c r="I913" s="36"/>
      <c r="J913" s="35"/>
      <c r="K913" s="37"/>
      <c r="M913" s="44"/>
      <c r="N913" s="45"/>
      <c r="O913" s="46"/>
      <c r="Q913" s="3"/>
      <c r="R913" s="3"/>
      <c r="S913" s="3"/>
      <c r="T913" s="3"/>
      <c r="U913" s="3"/>
    </row>
    <row r="914" customFormat="false" ht="15.75" hidden="false" customHeight="false" outlineLevel="0" collapsed="false">
      <c r="F914" s="39"/>
      <c r="G914" s="40"/>
      <c r="H914" s="40"/>
      <c r="I914" s="41"/>
      <c r="J914" s="40"/>
      <c r="K914" s="42"/>
      <c r="M914" s="47"/>
      <c r="N914" s="48"/>
      <c r="O914" s="49"/>
      <c r="Q914" s="3"/>
      <c r="R914" s="3"/>
      <c r="S914" s="3"/>
      <c r="T914" s="3"/>
      <c r="U914" s="3"/>
    </row>
    <row r="915" customFormat="false" ht="15.75" hidden="false" customHeight="false" outlineLevel="0" collapsed="false">
      <c r="F915" s="34"/>
      <c r="G915" s="35"/>
      <c r="H915" s="35"/>
      <c r="I915" s="36"/>
      <c r="J915" s="35"/>
      <c r="K915" s="37"/>
      <c r="M915" s="44"/>
      <c r="N915" s="45"/>
      <c r="O915" s="46"/>
      <c r="Q915" s="3"/>
      <c r="R915" s="3"/>
      <c r="S915" s="3"/>
      <c r="T915" s="3"/>
      <c r="U915" s="3"/>
    </row>
    <row r="916" customFormat="false" ht="15.75" hidden="false" customHeight="false" outlineLevel="0" collapsed="false">
      <c r="F916" s="39"/>
      <c r="G916" s="40"/>
      <c r="H916" s="40"/>
      <c r="I916" s="41"/>
      <c r="J916" s="40"/>
      <c r="K916" s="42"/>
      <c r="M916" s="47"/>
      <c r="N916" s="48"/>
      <c r="O916" s="49"/>
      <c r="Q916" s="3"/>
      <c r="R916" s="3"/>
      <c r="S916" s="3"/>
      <c r="T916" s="3"/>
      <c r="U916" s="3"/>
    </row>
    <row r="917" customFormat="false" ht="15.75" hidden="false" customHeight="false" outlineLevel="0" collapsed="false">
      <c r="F917" s="34"/>
      <c r="G917" s="35"/>
      <c r="H917" s="35"/>
      <c r="I917" s="36"/>
      <c r="J917" s="35"/>
      <c r="K917" s="37"/>
      <c r="M917" s="44"/>
      <c r="N917" s="45"/>
      <c r="O917" s="46"/>
      <c r="Q917" s="3"/>
      <c r="R917" s="3"/>
      <c r="S917" s="3"/>
      <c r="T917" s="3"/>
      <c r="U917" s="3"/>
    </row>
    <row r="918" customFormat="false" ht="15.75" hidden="false" customHeight="false" outlineLevel="0" collapsed="false">
      <c r="F918" s="39"/>
      <c r="G918" s="40"/>
      <c r="H918" s="40"/>
      <c r="I918" s="41"/>
      <c r="J918" s="40"/>
      <c r="K918" s="42"/>
      <c r="M918" s="47"/>
      <c r="N918" s="48"/>
      <c r="O918" s="49"/>
      <c r="Q918" s="3"/>
      <c r="R918" s="3"/>
      <c r="S918" s="3"/>
      <c r="T918" s="3"/>
      <c r="U918" s="3"/>
    </row>
    <row r="919" customFormat="false" ht="15.75" hidden="false" customHeight="false" outlineLevel="0" collapsed="false">
      <c r="F919" s="34"/>
      <c r="G919" s="35"/>
      <c r="H919" s="35"/>
      <c r="I919" s="36"/>
      <c r="J919" s="35"/>
      <c r="K919" s="37"/>
      <c r="M919" s="44"/>
      <c r="N919" s="45"/>
      <c r="O919" s="46"/>
      <c r="Q919" s="3"/>
      <c r="R919" s="3"/>
      <c r="S919" s="3"/>
      <c r="T919" s="3"/>
      <c r="U919" s="3"/>
    </row>
    <row r="920" customFormat="false" ht="15.75" hidden="false" customHeight="false" outlineLevel="0" collapsed="false">
      <c r="F920" s="39"/>
      <c r="G920" s="40"/>
      <c r="H920" s="40"/>
      <c r="I920" s="41"/>
      <c r="J920" s="40"/>
      <c r="K920" s="42"/>
      <c r="M920" s="47"/>
      <c r="N920" s="48"/>
      <c r="O920" s="49"/>
      <c r="Q920" s="3"/>
      <c r="R920" s="3"/>
      <c r="S920" s="3"/>
      <c r="T920" s="3"/>
      <c r="U920" s="3"/>
    </row>
    <row r="921" customFormat="false" ht="15.75" hidden="false" customHeight="false" outlineLevel="0" collapsed="false">
      <c r="F921" s="34"/>
      <c r="G921" s="35"/>
      <c r="H921" s="35"/>
      <c r="I921" s="36"/>
      <c r="J921" s="35"/>
      <c r="K921" s="37"/>
      <c r="M921" s="44"/>
      <c r="N921" s="45"/>
      <c r="O921" s="46"/>
      <c r="Q921" s="3"/>
      <c r="R921" s="3"/>
      <c r="S921" s="3"/>
      <c r="T921" s="3"/>
      <c r="U921" s="3"/>
    </row>
    <row r="922" customFormat="false" ht="15.75" hidden="false" customHeight="false" outlineLevel="0" collapsed="false">
      <c r="F922" s="39"/>
      <c r="G922" s="40"/>
      <c r="H922" s="40"/>
      <c r="I922" s="41"/>
      <c r="J922" s="40"/>
      <c r="K922" s="42"/>
      <c r="M922" s="47"/>
      <c r="N922" s="48"/>
      <c r="O922" s="49"/>
      <c r="Q922" s="3"/>
      <c r="R922" s="3"/>
      <c r="S922" s="3"/>
      <c r="T922" s="3"/>
      <c r="U922" s="3"/>
    </row>
    <row r="923" customFormat="false" ht="15.75" hidden="false" customHeight="false" outlineLevel="0" collapsed="false">
      <c r="F923" s="34"/>
      <c r="G923" s="35"/>
      <c r="H923" s="35"/>
      <c r="I923" s="36"/>
      <c r="J923" s="35"/>
      <c r="K923" s="37"/>
      <c r="M923" s="44"/>
      <c r="N923" s="45"/>
      <c r="O923" s="46"/>
      <c r="Q923" s="3"/>
      <c r="R923" s="3"/>
      <c r="S923" s="3"/>
      <c r="T923" s="3"/>
      <c r="U923" s="3"/>
    </row>
    <row r="924" customFormat="false" ht="15.75" hidden="false" customHeight="false" outlineLevel="0" collapsed="false">
      <c r="F924" s="39"/>
      <c r="G924" s="40"/>
      <c r="H924" s="40"/>
      <c r="I924" s="41"/>
      <c r="J924" s="40"/>
      <c r="K924" s="42"/>
      <c r="M924" s="47"/>
      <c r="N924" s="48"/>
      <c r="O924" s="49"/>
      <c r="Q924" s="3"/>
      <c r="R924" s="3"/>
      <c r="S924" s="3"/>
      <c r="T924" s="3"/>
      <c r="U924" s="3"/>
    </row>
    <row r="925" customFormat="false" ht="15.75" hidden="false" customHeight="false" outlineLevel="0" collapsed="false">
      <c r="F925" s="34"/>
      <c r="G925" s="35"/>
      <c r="H925" s="35"/>
      <c r="I925" s="36"/>
      <c r="J925" s="35"/>
      <c r="K925" s="37"/>
      <c r="M925" s="44"/>
      <c r="N925" s="45"/>
      <c r="O925" s="46"/>
      <c r="Q925" s="3"/>
      <c r="R925" s="3"/>
      <c r="S925" s="3"/>
      <c r="T925" s="3"/>
      <c r="U925" s="3"/>
    </row>
    <row r="926" customFormat="false" ht="15.75" hidden="false" customHeight="false" outlineLevel="0" collapsed="false">
      <c r="F926" s="39"/>
      <c r="G926" s="40"/>
      <c r="H926" s="40"/>
      <c r="I926" s="41"/>
      <c r="J926" s="40"/>
      <c r="K926" s="42"/>
      <c r="M926" s="47"/>
      <c r="N926" s="48"/>
      <c r="O926" s="49"/>
      <c r="Q926" s="3"/>
      <c r="R926" s="3"/>
      <c r="S926" s="3"/>
      <c r="T926" s="3"/>
      <c r="U926" s="3"/>
    </row>
    <row r="927" customFormat="false" ht="15.75" hidden="false" customHeight="false" outlineLevel="0" collapsed="false">
      <c r="F927" s="34"/>
      <c r="G927" s="35"/>
      <c r="H927" s="35"/>
      <c r="I927" s="36"/>
      <c r="J927" s="35"/>
      <c r="K927" s="37"/>
      <c r="M927" s="44"/>
      <c r="N927" s="45"/>
      <c r="O927" s="46"/>
      <c r="Q927" s="3"/>
      <c r="R927" s="3"/>
      <c r="S927" s="3"/>
      <c r="T927" s="3"/>
      <c r="U927" s="3"/>
    </row>
    <row r="928" customFormat="false" ht="15.75" hidden="false" customHeight="false" outlineLevel="0" collapsed="false">
      <c r="F928" s="39"/>
      <c r="G928" s="40"/>
      <c r="H928" s="40"/>
      <c r="I928" s="41"/>
      <c r="J928" s="40"/>
      <c r="K928" s="42"/>
      <c r="M928" s="47"/>
      <c r="N928" s="48"/>
      <c r="O928" s="49"/>
      <c r="Q928" s="3"/>
      <c r="R928" s="3"/>
      <c r="S928" s="3"/>
      <c r="T928" s="3"/>
      <c r="U928" s="3"/>
    </row>
    <row r="929" customFormat="false" ht="15.75" hidden="false" customHeight="false" outlineLevel="0" collapsed="false">
      <c r="F929" s="34"/>
      <c r="G929" s="35"/>
      <c r="H929" s="35"/>
      <c r="I929" s="36"/>
      <c r="J929" s="35"/>
      <c r="K929" s="37"/>
      <c r="M929" s="44"/>
      <c r="N929" s="45"/>
      <c r="O929" s="46"/>
      <c r="Q929" s="3"/>
      <c r="R929" s="3"/>
      <c r="S929" s="3"/>
      <c r="T929" s="3"/>
      <c r="U929" s="3"/>
    </row>
    <row r="930" customFormat="false" ht="15.75" hidden="false" customHeight="false" outlineLevel="0" collapsed="false">
      <c r="F930" s="39"/>
      <c r="G930" s="40"/>
      <c r="H930" s="40"/>
      <c r="I930" s="41"/>
      <c r="J930" s="40"/>
      <c r="K930" s="42"/>
      <c r="M930" s="47"/>
      <c r="N930" s="48"/>
      <c r="O930" s="49"/>
      <c r="Q930" s="3"/>
      <c r="R930" s="3"/>
      <c r="S930" s="3"/>
      <c r="T930" s="3"/>
      <c r="U930" s="3"/>
    </row>
    <row r="931" customFormat="false" ht="15.75" hidden="false" customHeight="false" outlineLevel="0" collapsed="false">
      <c r="F931" s="34"/>
      <c r="G931" s="35"/>
      <c r="H931" s="35"/>
      <c r="I931" s="36"/>
      <c r="J931" s="35"/>
      <c r="K931" s="37"/>
      <c r="M931" s="44"/>
      <c r="N931" s="45"/>
      <c r="O931" s="46"/>
      <c r="Q931" s="3"/>
      <c r="R931" s="3"/>
      <c r="S931" s="3"/>
      <c r="T931" s="3"/>
      <c r="U931" s="3"/>
    </row>
    <row r="932" customFormat="false" ht="15.75" hidden="false" customHeight="false" outlineLevel="0" collapsed="false">
      <c r="F932" s="39"/>
      <c r="G932" s="40"/>
      <c r="H932" s="40"/>
      <c r="I932" s="41"/>
      <c r="J932" s="40"/>
      <c r="K932" s="42"/>
      <c r="M932" s="47"/>
      <c r="N932" s="48"/>
      <c r="O932" s="49"/>
      <c r="Q932" s="3"/>
      <c r="R932" s="3"/>
      <c r="S932" s="3"/>
      <c r="T932" s="3"/>
      <c r="U932" s="3"/>
    </row>
    <row r="933" customFormat="false" ht="15.75" hidden="false" customHeight="false" outlineLevel="0" collapsed="false">
      <c r="F933" s="34"/>
      <c r="G933" s="35"/>
      <c r="H933" s="35"/>
      <c r="I933" s="36"/>
      <c r="J933" s="35"/>
      <c r="K933" s="37"/>
      <c r="M933" s="44"/>
      <c r="N933" s="45"/>
      <c r="O933" s="46"/>
      <c r="Q933" s="3"/>
      <c r="R933" s="3"/>
      <c r="S933" s="3"/>
      <c r="T933" s="3"/>
      <c r="U933" s="3"/>
    </row>
    <row r="934" customFormat="false" ht="15.75" hidden="false" customHeight="false" outlineLevel="0" collapsed="false">
      <c r="F934" s="39"/>
      <c r="G934" s="40"/>
      <c r="H934" s="40"/>
      <c r="I934" s="41"/>
      <c r="J934" s="40"/>
      <c r="K934" s="42"/>
      <c r="M934" s="47"/>
      <c r="N934" s="48"/>
      <c r="O934" s="49"/>
      <c r="Q934" s="3"/>
      <c r="R934" s="3"/>
      <c r="S934" s="3"/>
      <c r="T934" s="3"/>
      <c r="U934" s="3"/>
    </row>
    <row r="935" customFormat="false" ht="15.75" hidden="false" customHeight="false" outlineLevel="0" collapsed="false">
      <c r="F935" s="34"/>
      <c r="G935" s="35"/>
      <c r="H935" s="35"/>
      <c r="I935" s="36"/>
      <c r="J935" s="35"/>
      <c r="K935" s="37"/>
      <c r="M935" s="44"/>
      <c r="N935" s="45"/>
      <c r="O935" s="46"/>
      <c r="Q935" s="3"/>
      <c r="R935" s="3"/>
      <c r="S935" s="3"/>
      <c r="T935" s="3"/>
      <c r="U935" s="3"/>
    </row>
    <row r="936" customFormat="false" ht="15.75" hidden="false" customHeight="false" outlineLevel="0" collapsed="false">
      <c r="F936" s="39"/>
      <c r="G936" s="40"/>
      <c r="H936" s="40"/>
      <c r="I936" s="41"/>
      <c r="J936" s="40"/>
      <c r="K936" s="42"/>
      <c r="M936" s="47"/>
      <c r="N936" s="48"/>
      <c r="O936" s="49"/>
      <c r="Q936" s="3"/>
      <c r="R936" s="3"/>
      <c r="S936" s="3"/>
      <c r="T936" s="3"/>
      <c r="U936" s="3"/>
    </row>
    <row r="937" customFormat="false" ht="15.75" hidden="false" customHeight="false" outlineLevel="0" collapsed="false">
      <c r="F937" s="34"/>
      <c r="G937" s="35"/>
      <c r="H937" s="35"/>
      <c r="I937" s="36"/>
      <c r="J937" s="35"/>
      <c r="K937" s="37"/>
      <c r="M937" s="44"/>
      <c r="N937" s="45"/>
      <c r="O937" s="46"/>
      <c r="Q937" s="3"/>
      <c r="R937" s="3"/>
      <c r="S937" s="3"/>
      <c r="T937" s="3"/>
      <c r="U937" s="3"/>
    </row>
    <row r="938" customFormat="false" ht="15.75" hidden="false" customHeight="false" outlineLevel="0" collapsed="false">
      <c r="F938" s="39"/>
      <c r="G938" s="40"/>
      <c r="H938" s="40"/>
      <c r="I938" s="41"/>
      <c r="J938" s="40"/>
      <c r="K938" s="42"/>
      <c r="M938" s="47"/>
      <c r="N938" s="48"/>
      <c r="O938" s="49"/>
      <c r="Q938" s="3"/>
      <c r="R938" s="3"/>
      <c r="S938" s="3"/>
      <c r="T938" s="3"/>
      <c r="U938" s="3"/>
    </row>
    <row r="939" customFormat="false" ht="15.75" hidden="false" customHeight="false" outlineLevel="0" collapsed="false">
      <c r="F939" s="34"/>
      <c r="G939" s="35"/>
      <c r="H939" s="35"/>
      <c r="I939" s="36"/>
      <c r="J939" s="35"/>
      <c r="K939" s="37"/>
      <c r="M939" s="44"/>
      <c r="N939" s="45"/>
      <c r="O939" s="46"/>
      <c r="Q939" s="3"/>
      <c r="R939" s="3"/>
      <c r="S939" s="3"/>
      <c r="T939" s="3"/>
      <c r="U939" s="3"/>
    </row>
    <row r="940" customFormat="false" ht="15.75" hidden="false" customHeight="false" outlineLevel="0" collapsed="false">
      <c r="F940" s="39"/>
      <c r="G940" s="40"/>
      <c r="H940" s="40"/>
      <c r="I940" s="41"/>
      <c r="J940" s="40"/>
      <c r="K940" s="42"/>
      <c r="M940" s="47"/>
      <c r="N940" s="48"/>
      <c r="O940" s="49"/>
      <c r="Q940" s="3"/>
      <c r="R940" s="3"/>
      <c r="S940" s="3"/>
      <c r="T940" s="3"/>
      <c r="U940" s="3"/>
    </row>
    <row r="941" customFormat="false" ht="15.75" hidden="false" customHeight="false" outlineLevel="0" collapsed="false">
      <c r="F941" s="34"/>
      <c r="G941" s="35"/>
      <c r="H941" s="35"/>
      <c r="I941" s="36"/>
      <c r="J941" s="35"/>
      <c r="K941" s="37"/>
      <c r="M941" s="44"/>
      <c r="N941" s="45"/>
      <c r="O941" s="46"/>
      <c r="Q941" s="3"/>
      <c r="R941" s="3"/>
      <c r="S941" s="3"/>
      <c r="T941" s="3"/>
      <c r="U941" s="3"/>
    </row>
    <row r="942" customFormat="false" ht="15.75" hidden="false" customHeight="false" outlineLevel="0" collapsed="false">
      <c r="F942" s="39"/>
      <c r="G942" s="40"/>
      <c r="H942" s="40"/>
      <c r="I942" s="41"/>
      <c r="J942" s="40"/>
      <c r="K942" s="42"/>
      <c r="M942" s="47"/>
      <c r="N942" s="48"/>
      <c r="O942" s="49"/>
      <c r="Q942" s="3"/>
      <c r="R942" s="3"/>
      <c r="S942" s="3"/>
      <c r="T942" s="3"/>
      <c r="U942" s="3"/>
    </row>
    <row r="943" customFormat="false" ht="15.75" hidden="false" customHeight="false" outlineLevel="0" collapsed="false">
      <c r="F943" s="34"/>
      <c r="G943" s="35"/>
      <c r="H943" s="35"/>
      <c r="I943" s="36"/>
      <c r="J943" s="35"/>
      <c r="K943" s="37"/>
      <c r="M943" s="44"/>
      <c r="N943" s="45"/>
      <c r="O943" s="46"/>
      <c r="Q943" s="3"/>
      <c r="R943" s="3"/>
      <c r="S943" s="3"/>
      <c r="T943" s="3"/>
      <c r="U943" s="3"/>
    </row>
    <row r="944" customFormat="false" ht="15.75" hidden="false" customHeight="false" outlineLevel="0" collapsed="false">
      <c r="F944" s="39"/>
      <c r="G944" s="40"/>
      <c r="H944" s="40"/>
      <c r="I944" s="41"/>
      <c r="J944" s="40"/>
      <c r="K944" s="42"/>
      <c r="M944" s="47"/>
      <c r="N944" s="48"/>
      <c r="O944" s="49"/>
      <c r="Q944" s="3"/>
      <c r="R944" s="3"/>
      <c r="S944" s="3"/>
      <c r="T944" s="3"/>
      <c r="U944" s="3"/>
    </row>
    <row r="945" customFormat="false" ht="15.75" hidden="false" customHeight="false" outlineLevel="0" collapsed="false">
      <c r="F945" s="34"/>
      <c r="G945" s="35"/>
      <c r="H945" s="35"/>
      <c r="I945" s="36"/>
      <c r="J945" s="35"/>
      <c r="K945" s="37"/>
      <c r="M945" s="44"/>
      <c r="N945" s="45"/>
      <c r="O945" s="46"/>
      <c r="Q945" s="3"/>
      <c r="R945" s="3"/>
      <c r="S945" s="3"/>
      <c r="T945" s="3"/>
      <c r="U945" s="3"/>
    </row>
    <row r="946" customFormat="false" ht="15.75" hidden="false" customHeight="false" outlineLevel="0" collapsed="false">
      <c r="F946" s="39"/>
      <c r="G946" s="40"/>
      <c r="H946" s="40"/>
      <c r="I946" s="41"/>
      <c r="J946" s="40"/>
      <c r="K946" s="42"/>
      <c r="M946" s="47"/>
      <c r="N946" s="48"/>
      <c r="O946" s="49"/>
      <c r="Q946" s="3"/>
      <c r="R946" s="3"/>
      <c r="S946" s="3"/>
      <c r="T946" s="3"/>
      <c r="U946" s="3"/>
    </row>
    <row r="947" customFormat="false" ht="15.75" hidden="false" customHeight="false" outlineLevel="0" collapsed="false">
      <c r="F947" s="34"/>
      <c r="G947" s="35"/>
      <c r="H947" s="35"/>
      <c r="I947" s="36"/>
      <c r="J947" s="35"/>
      <c r="K947" s="37"/>
      <c r="M947" s="44"/>
      <c r="N947" s="45"/>
      <c r="O947" s="46"/>
      <c r="Q947" s="3"/>
      <c r="R947" s="3"/>
      <c r="S947" s="3"/>
      <c r="T947" s="3"/>
      <c r="U947" s="3"/>
    </row>
    <row r="948" customFormat="false" ht="15.75" hidden="false" customHeight="false" outlineLevel="0" collapsed="false">
      <c r="F948" s="39"/>
      <c r="G948" s="40"/>
      <c r="H948" s="40"/>
      <c r="I948" s="41"/>
      <c r="J948" s="40"/>
      <c r="K948" s="42"/>
      <c r="M948" s="47"/>
      <c r="N948" s="48"/>
      <c r="O948" s="49"/>
      <c r="Q948" s="3"/>
      <c r="R948" s="3"/>
      <c r="S948" s="3"/>
      <c r="T948" s="3"/>
      <c r="U948" s="3"/>
    </row>
    <row r="949" customFormat="false" ht="15.75" hidden="false" customHeight="false" outlineLevel="0" collapsed="false">
      <c r="F949" s="34"/>
      <c r="G949" s="35"/>
      <c r="H949" s="35"/>
      <c r="I949" s="36"/>
      <c r="J949" s="35"/>
      <c r="K949" s="37"/>
      <c r="M949" s="44"/>
      <c r="N949" s="45"/>
      <c r="O949" s="46"/>
      <c r="Q949" s="3"/>
      <c r="R949" s="3"/>
      <c r="S949" s="3"/>
      <c r="T949" s="3"/>
      <c r="U949" s="3"/>
    </row>
    <row r="950" customFormat="false" ht="15.75" hidden="false" customHeight="false" outlineLevel="0" collapsed="false">
      <c r="F950" s="39"/>
      <c r="G950" s="40"/>
      <c r="H950" s="40"/>
      <c r="I950" s="41"/>
      <c r="J950" s="40"/>
      <c r="K950" s="42"/>
      <c r="M950" s="47"/>
      <c r="N950" s="48"/>
      <c r="O950" s="49"/>
      <c r="Q950" s="3"/>
      <c r="R950" s="3"/>
      <c r="S950" s="3"/>
      <c r="T950" s="3"/>
      <c r="U950" s="3"/>
    </row>
    <row r="951" customFormat="false" ht="15.75" hidden="false" customHeight="false" outlineLevel="0" collapsed="false">
      <c r="F951" s="34"/>
      <c r="G951" s="35"/>
      <c r="H951" s="35"/>
      <c r="I951" s="36"/>
      <c r="J951" s="35"/>
      <c r="K951" s="37"/>
      <c r="M951" s="44"/>
      <c r="N951" s="45"/>
      <c r="O951" s="46"/>
      <c r="Q951" s="3"/>
      <c r="R951" s="3"/>
      <c r="S951" s="3"/>
      <c r="T951" s="3"/>
      <c r="U951" s="3"/>
    </row>
    <row r="952" customFormat="false" ht="15.75" hidden="false" customHeight="false" outlineLevel="0" collapsed="false">
      <c r="F952" s="39"/>
      <c r="G952" s="40"/>
      <c r="H952" s="40"/>
      <c r="I952" s="41"/>
      <c r="J952" s="40"/>
      <c r="K952" s="42"/>
      <c r="M952" s="47"/>
      <c r="N952" s="48"/>
      <c r="O952" s="49"/>
      <c r="Q952" s="3"/>
      <c r="R952" s="3"/>
      <c r="S952" s="3"/>
      <c r="T952" s="3"/>
      <c r="U952" s="3"/>
    </row>
    <row r="953" customFormat="false" ht="15.75" hidden="false" customHeight="false" outlineLevel="0" collapsed="false">
      <c r="F953" s="34"/>
      <c r="G953" s="35"/>
      <c r="H953" s="35"/>
      <c r="I953" s="36"/>
      <c r="J953" s="35"/>
      <c r="K953" s="37"/>
      <c r="M953" s="44"/>
      <c r="N953" s="45"/>
      <c r="O953" s="46"/>
      <c r="Q953" s="3"/>
      <c r="R953" s="3"/>
      <c r="S953" s="3"/>
      <c r="T953" s="3"/>
      <c r="U953" s="3"/>
    </row>
    <row r="954" customFormat="false" ht="15.75" hidden="false" customHeight="false" outlineLevel="0" collapsed="false">
      <c r="F954" s="39"/>
      <c r="G954" s="40"/>
      <c r="H954" s="40"/>
      <c r="I954" s="41"/>
      <c r="J954" s="40"/>
      <c r="K954" s="42"/>
      <c r="M954" s="47"/>
      <c r="N954" s="48"/>
      <c r="O954" s="49"/>
      <c r="Q954" s="3"/>
      <c r="R954" s="3"/>
      <c r="S954" s="3"/>
      <c r="T954" s="3"/>
      <c r="U954" s="3"/>
    </row>
    <row r="955" customFormat="false" ht="15.75" hidden="false" customHeight="false" outlineLevel="0" collapsed="false">
      <c r="F955" s="34"/>
      <c r="G955" s="35"/>
      <c r="H955" s="35"/>
      <c r="I955" s="36"/>
      <c r="J955" s="35"/>
      <c r="K955" s="37"/>
      <c r="M955" s="44"/>
      <c r="N955" s="45"/>
      <c r="O955" s="46"/>
      <c r="Q955" s="3"/>
      <c r="R955" s="3"/>
      <c r="S955" s="3"/>
      <c r="T955" s="3"/>
      <c r="U955" s="3"/>
    </row>
    <row r="956" customFormat="false" ht="15.75" hidden="false" customHeight="false" outlineLevel="0" collapsed="false">
      <c r="F956" s="39"/>
      <c r="G956" s="40"/>
      <c r="H956" s="40"/>
      <c r="I956" s="41"/>
      <c r="J956" s="40"/>
      <c r="K956" s="42"/>
      <c r="M956" s="47"/>
      <c r="N956" s="48"/>
      <c r="O956" s="49"/>
      <c r="Q956" s="3"/>
      <c r="R956" s="3"/>
      <c r="S956" s="3"/>
      <c r="T956" s="3"/>
      <c r="U956" s="3"/>
    </row>
    <row r="957" customFormat="false" ht="15.75" hidden="false" customHeight="false" outlineLevel="0" collapsed="false">
      <c r="F957" s="34"/>
      <c r="G957" s="35"/>
      <c r="H957" s="35"/>
      <c r="I957" s="36"/>
      <c r="J957" s="35"/>
      <c r="K957" s="37"/>
      <c r="M957" s="44"/>
      <c r="N957" s="45"/>
      <c r="O957" s="46"/>
      <c r="Q957" s="3"/>
      <c r="R957" s="3"/>
      <c r="S957" s="3"/>
      <c r="T957" s="3"/>
      <c r="U957" s="3"/>
    </row>
    <row r="958" customFormat="false" ht="15.75" hidden="false" customHeight="false" outlineLevel="0" collapsed="false">
      <c r="F958" s="39"/>
      <c r="G958" s="40"/>
      <c r="H958" s="40"/>
      <c r="I958" s="41"/>
      <c r="J958" s="40"/>
      <c r="K958" s="42"/>
      <c r="M958" s="47"/>
      <c r="N958" s="48"/>
      <c r="O958" s="49"/>
      <c r="Q958" s="3"/>
      <c r="R958" s="3"/>
      <c r="S958" s="3"/>
      <c r="T958" s="3"/>
      <c r="U958" s="3"/>
    </row>
    <row r="959" customFormat="false" ht="15.75" hidden="false" customHeight="false" outlineLevel="0" collapsed="false">
      <c r="F959" s="34"/>
      <c r="G959" s="35"/>
      <c r="H959" s="35"/>
      <c r="I959" s="36"/>
      <c r="J959" s="35"/>
      <c r="K959" s="37"/>
      <c r="M959" s="44"/>
      <c r="N959" s="45"/>
      <c r="O959" s="46"/>
      <c r="Q959" s="3"/>
      <c r="R959" s="3"/>
      <c r="S959" s="3"/>
      <c r="T959" s="3"/>
      <c r="U959" s="3"/>
    </row>
    <row r="960" customFormat="false" ht="15.75" hidden="false" customHeight="false" outlineLevel="0" collapsed="false">
      <c r="F960" s="39"/>
      <c r="G960" s="40"/>
      <c r="H960" s="40"/>
      <c r="I960" s="41"/>
      <c r="J960" s="40"/>
      <c r="K960" s="42"/>
      <c r="M960" s="47"/>
      <c r="N960" s="48"/>
      <c r="O960" s="49"/>
      <c r="Q960" s="3"/>
      <c r="R960" s="3"/>
      <c r="S960" s="3"/>
      <c r="T960" s="3"/>
      <c r="U960" s="3"/>
    </row>
    <row r="961" customFormat="false" ht="15.75" hidden="false" customHeight="false" outlineLevel="0" collapsed="false">
      <c r="F961" s="34"/>
      <c r="G961" s="35"/>
      <c r="H961" s="35"/>
      <c r="I961" s="36"/>
      <c r="J961" s="35"/>
      <c r="K961" s="37"/>
      <c r="M961" s="44"/>
      <c r="N961" s="45"/>
      <c r="O961" s="46"/>
      <c r="Q961" s="3"/>
      <c r="R961" s="3"/>
      <c r="S961" s="3"/>
      <c r="T961" s="3"/>
      <c r="U961" s="3"/>
    </row>
    <row r="962" customFormat="false" ht="15.75" hidden="false" customHeight="false" outlineLevel="0" collapsed="false">
      <c r="F962" s="39"/>
      <c r="G962" s="40"/>
      <c r="H962" s="40"/>
      <c r="I962" s="41"/>
      <c r="J962" s="40"/>
      <c r="K962" s="42"/>
      <c r="M962" s="47"/>
      <c r="N962" s="48"/>
      <c r="O962" s="49"/>
      <c r="Q962" s="3"/>
      <c r="R962" s="3"/>
      <c r="S962" s="3"/>
      <c r="T962" s="3"/>
      <c r="U962" s="3"/>
    </row>
    <row r="963" customFormat="false" ht="15.75" hidden="false" customHeight="false" outlineLevel="0" collapsed="false">
      <c r="F963" s="34"/>
      <c r="G963" s="35"/>
      <c r="H963" s="35"/>
      <c r="I963" s="36"/>
      <c r="J963" s="35"/>
      <c r="K963" s="37"/>
      <c r="M963" s="44"/>
      <c r="N963" s="45"/>
      <c r="O963" s="46"/>
      <c r="Q963" s="3"/>
      <c r="R963" s="3"/>
      <c r="S963" s="3"/>
      <c r="T963" s="3"/>
      <c r="U963" s="3"/>
    </row>
    <row r="964" customFormat="false" ht="15.75" hidden="false" customHeight="false" outlineLevel="0" collapsed="false">
      <c r="F964" s="39"/>
      <c r="G964" s="40"/>
      <c r="H964" s="40"/>
      <c r="I964" s="41"/>
      <c r="J964" s="40"/>
      <c r="K964" s="42"/>
      <c r="M964" s="47"/>
      <c r="N964" s="48"/>
      <c r="O964" s="49"/>
      <c r="Q964" s="3"/>
      <c r="R964" s="3"/>
      <c r="S964" s="3"/>
      <c r="T964" s="3"/>
      <c r="U964" s="3"/>
    </row>
    <row r="965" customFormat="false" ht="15.75" hidden="false" customHeight="false" outlineLevel="0" collapsed="false">
      <c r="F965" s="34"/>
      <c r="G965" s="35"/>
      <c r="H965" s="35"/>
      <c r="I965" s="36"/>
      <c r="J965" s="35"/>
      <c r="K965" s="37"/>
      <c r="M965" s="44"/>
      <c r="N965" s="45"/>
      <c r="O965" s="46"/>
      <c r="Q965" s="3"/>
      <c r="R965" s="3"/>
      <c r="S965" s="3"/>
      <c r="T965" s="3"/>
      <c r="U965" s="3"/>
    </row>
    <row r="966" customFormat="false" ht="15.75" hidden="false" customHeight="false" outlineLevel="0" collapsed="false">
      <c r="F966" s="39"/>
      <c r="G966" s="40"/>
      <c r="H966" s="40"/>
      <c r="I966" s="41"/>
      <c r="J966" s="40"/>
      <c r="K966" s="42"/>
      <c r="M966" s="47"/>
      <c r="N966" s="48"/>
      <c r="O966" s="49"/>
      <c r="Q966" s="3"/>
      <c r="R966" s="3"/>
      <c r="S966" s="3"/>
      <c r="T966" s="3"/>
      <c r="U966" s="3"/>
    </row>
    <row r="967" customFormat="false" ht="15.75" hidden="false" customHeight="false" outlineLevel="0" collapsed="false">
      <c r="F967" s="34"/>
      <c r="G967" s="35"/>
      <c r="H967" s="35"/>
      <c r="I967" s="36"/>
      <c r="J967" s="35"/>
      <c r="K967" s="37"/>
      <c r="M967" s="44"/>
      <c r="N967" s="45"/>
      <c r="O967" s="46"/>
      <c r="Q967" s="3"/>
      <c r="R967" s="3"/>
      <c r="S967" s="3"/>
      <c r="T967" s="3"/>
      <c r="U967" s="3"/>
    </row>
    <row r="968" customFormat="false" ht="15.75" hidden="false" customHeight="false" outlineLevel="0" collapsed="false">
      <c r="F968" s="39"/>
      <c r="G968" s="40"/>
      <c r="H968" s="40"/>
      <c r="I968" s="41"/>
      <c r="J968" s="40"/>
      <c r="K968" s="42"/>
      <c r="M968" s="47"/>
      <c r="N968" s="48"/>
      <c r="O968" s="49"/>
      <c r="Q968" s="3"/>
      <c r="R968" s="3"/>
      <c r="S968" s="3"/>
      <c r="T968" s="3"/>
      <c r="U968" s="3"/>
    </row>
    <row r="969" customFormat="false" ht="15.75" hidden="false" customHeight="false" outlineLevel="0" collapsed="false">
      <c r="F969" s="34"/>
      <c r="G969" s="35"/>
      <c r="H969" s="35"/>
      <c r="I969" s="36"/>
      <c r="J969" s="35"/>
      <c r="K969" s="37"/>
      <c r="M969" s="44"/>
      <c r="N969" s="45"/>
      <c r="O969" s="46"/>
      <c r="Q969" s="3"/>
      <c r="R969" s="3"/>
      <c r="S969" s="3"/>
      <c r="T969" s="3"/>
      <c r="U969" s="3"/>
    </row>
    <row r="970" customFormat="false" ht="15.75" hidden="false" customHeight="false" outlineLevel="0" collapsed="false">
      <c r="F970" s="39"/>
      <c r="G970" s="40"/>
      <c r="H970" s="40"/>
      <c r="I970" s="41"/>
      <c r="J970" s="40"/>
      <c r="K970" s="42"/>
      <c r="M970" s="47"/>
      <c r="N970" s="48"/>
      <c r="O970" s="49"/>
      <c r="Q970" s="3"/>
      <c r="R970" s="3"/>
      <c r="S970" s="3"/>
      <c r="T970" s="3"/>
      <c r="U970" s="3"/>
    </row>
    <row r="971" customFormat="false" ht="15.75" hidden="false" customHeight="false" outlineLevel="0" collapsed="false">
      <c r="F971" s="34"/>
      <c r="G971" s="35"/>
      <c r="H971" s="35"/>
      <c r="I971" s="36"/>
      <c r="J971" s="35"/>
      <c r="K971" s="37"/>
      <c r="M971" s="44"/>
      <c r="N971" s="45"/>
      <c r="O971" s="46"/>
      <c r="Q971" s="3"/>
      <c r="R971" s="3"/>
      <c r="S971" s="3"/>
      <c r="T971" s="3"/>
      <c r="U971" s="3"/>
    </row>
    <row r="972" customFormat="false" ht="15.75" hidden="false" customHeight="false" outlineLevel="0" collapsed="false">
      <c r="F972" s="39"/>
      <c r="G972" s="40"/>
      <c r="H972" s="40"/>
      <c r="I972" s="41"/>
      <c r="J972" s="40"/>
      <c r="K972" s="42"/>
      <c r="M972" s="47"/>
      <c r="N972" s="48"/>
      <c r="O972" s="49"/>
      <c r="Q972" s="3"/>
      <c r="R972" s="3"/>
      <c r="S972" s="3"/>
      <c r="T972" s="3"/>
      <c r="U972" s="3"/>
    </row>
    <row r="973" customFormat="false" ht="15.75" hidden="false" customHeight="false" outlineLevel="0" collapsed="false">
      <c r="F973" s="34"/>
      <c r="G973" s="35"/>
      <c r="H973" s="35"/>
      <c r="I973" s="36"/>
      <c r="J973" s="35"/>
      <c r="K973" s="37"/>
      <c r="M973" s="44"/>
      <c r="N973" s="45"/>
      <c r="O973" s="46"/>
      <c r="Q973" s="3"/>
      <c r="R973" s="3"/>
      <c r="S973" s="3"/>
      <c r="T973" s="3"/>
      <c r="U973" s="3"/>
    </row>
    <row r="974" customFormat="false" ht="15.75" hidden="false" customHeight="false" outlineLevel="0" collapsed="false">
      <c r="F974" s="39"/>
      <c r="G974" s="40"/>
      <c r="H974" s="40"/>
      <c r="I974" s="41"/>
      <c r="J974" s="40"/>
      <c r="K974" s="42"/>
      <c r="M974" s="47"/>
      <c r="N974" s="48"/>
      <c r="O974" s="49"/>
      <c r="Q974" s="3"/>
      <c r="R974" s="3"/>
      <c r="S974" s="3"/>
      <c r="T974" s="3"/>
      <c r="U974" s="3"/>
    </row>
    <row r="975" customFormat="false" ht="15.75" hidden="false" customHeight="false" outlineLevel="0" collapsed="false">
      <c r="F975" s="34"/>
      <c r="G975" s="35"/>
      <c r="H975" s="35"/>
      <c r="I975" s="36"/>
      <c r="J975" s="35"/>
      <c r="K975" s="37"/>
      <c r="M975" s="44"/>
      <c r="N975" s="45"/>
      <c r="O975" s="46"/>
      <c r="Q975" s="3"/>
      <c r="R975" s="3"/>
      <c r="S975" s="3"/>
      <c r="T975" s="3"/>
      <c r="U975" s="3"/>
    </row>
    <row r="976" customFormat="false" ht="15.75" hidden="false" customHeight="false" outlineLevel="0" collapsed="false">
      <c r="F976" s="39"/>
      <c r="G976" s="40"/>
      <c r="H976" s="40"/>
      <c r="I976" s="41"/>
      <c r="J976" s="40"/>
      <c r="K976" s="42"/>
      <c r="M976" s="47"/>
      <c r="N976" s="48"/>
      <c r="O976" s="49"/>
      <c r="Q976" s="3"/>
      <c r="R976" s="3"/>
      <c r="S976" s="3"/>
      <c r="T976" s="3"/>
      <c r="U976" s="3"/>
    </row>
    <row r="977" customFormat="false" ht="15.75" hidden="false" customHeight="false" outlineLevel="0" collapsed="false">
      <c r="F977" s="34"/>
      <c r="G977" s="35"/>
      <c r="H977" s="35"/>
      <c r="I977" s="36"/>
      <c r="J977" s="35"/>
      <c r="K977" s="37"/>
      <c r="M977" s="44"/>
      <c r="N977" s="45"/>
      <c r="O977" s="46"/>
      <c r="Q977" s="3"/>
      <c r="R977" s="3"/>
      <c r="S977" s="3"/>
      <c r="T977" s="3"/>
      <c r="U977" s="3"/>
    </row>
    <row r="978" customFormat="false" ht="15.75" hidden="false" customHeight="false" outlineLevel="0" collapsed="false">
      <c r="F978" s="39"/>
      <c r="G978" s="40"/>
      <c r="H978" s="40"/>
      <c r="I978" s="41"/>
      <c r="J978" s="40"/>
      <c r="K978" s="42"/>
      <c r="M978" s="47"/>
      <c r="N978" s="48"/>
      <c r="O978" s="49"/>
      <c r="Q978" s="3"/>
      <c r="R978" s="3"/>
      <c r="S978" s="3"/>
      <c r="T978" s="3"/>
      <c r="U978" s="3"/>
    </row>
    <row r="979" customFormat="false" ht="15.75" hidden="false" customHeight="false" outlineLevel="0" collapsed="false">
      <c r="F979" s="34"/>
      <c r="G979" s="35"/>
      <c r="H979" s="35"/>
      <c r="I979" s="36"/>
      <c r="J979" s="35"/>
      <c r="K979" s="37"/>
      <c r="M979" s="44"/>
      <c r="N979" s="45"/>
      <c r="O979" s="46"/>
      <c r="Q979" s="3"/>
      <c r="R979" s="3"/>
      <c r="S979" s="3"/>
      <c r="T979" s="3"/>
      <c r="U979" s="3"/>
    </row>
    <row r="980" customFormat="false" ht="15.75" hidden="false" customHeight="false" outlineLevel="0" collapsed="false">
      <c r="F980" s="39"/>
      <c r="G980" s="40"/>
      <c r="H980" s="40"/>
      <c r="I980" s="41"/>
      <c r="J980" s="40"/>
      <c r="K980" s="42"/>
      <c r="M980" s="47"/>
      <c r="N980" s="48"/>
      <c r="O980" s="49"/>
      <c r="Q980" s="3"/>
      <c r="R980" s="3"/>
      <c r="S980" s="3"/>
      <c r="T980" s="3"/>
      <c r="U980" s="3"/>
    </row>
    <row r="981" customFormat="false" ht="15.75" hidden="false" customHeight="false" outlineLevel="0" collapsed="false">
      <c r="F981" s="34"/>
      <c r="G981" s="35"/>
      <c r="H981" s="35"/>
      <c r="I981" s="36"/>
      <c r="J981" s="35"/>
      <c r="K981" s="37"/>
      <c r="M981" s="44"/>
      <c r="N981" s="45"/>
      <c r="O981" s="46"/>
      <c r="Q981" s="3"/>
      <c r="R981" s="3"/>
      <c r="S981" s="3"/>
      <c r="T981" s="3"/>
      <c r="U981" s="3"/>
    </row>
    <row r="982" customFormat="false" ht="15.75" hidden="false" customHeight="false" outlineLevel="0" collapsed="false">
      <c r="F982" s="39"/>
      <c r="G982" s="40"/>
      <c r="H982" s="40"/>
      <c r="I982" s="41"/>
      <c r="J982" s="40"/>
      <c r="K982" s="42"/>
      <c r="M982" s="47"/>
      <c r="N982" s="48"/>
      <c r="O982" s="49"/>
      <c r="Q982" s="3"/>
      <c r="R982" s="3"/>
      <c r="S982" s="3"/>
      <c r="T982" s="3"/>
      <c r="U982" s="3"/>
    </row>
    <row r="983" customFormat="false" ht="15.75" hidden="false" customHeight="false" outlineLevel="0" collapsed="false">
      <c r="F983" s="34"/>
      <c r="G983" s="35"/>
      <c r="H983" s="35"/>
      <c r="I983" s="36"/>
      <c r="J983" s="35"/>
      <c r="K983" s="37"/>
      <c r="M983" s="44"/>
      <c r="N983" s="45"/>
      <c r="O983" s="46"/>
      <c r="Q983" s="3"/>
      <c r="R983" s="3"/>
      <c r="S983" s="3"/>
      <c r="T983" s="3"/>
      <c r="U983" s="3"/>
    </row>
    <row r="984" customFormat="false" ht="15.75" hidden="false" customHeight="false" outlineLevel="0" collapsed="false">
      <c r="F984" s="39"/>
      <c r="G984" s="40"/>
      <c r="H984" s="40"/>
      <c r="I984" s="41"/>
      <c r="J984" s="40"/>
      <c r="K984" s="42"/>
      <c r="M984" s="47"/>
      <c r="N984" s="48"/>
      <c r="O984" s="49"/>
      <c r="Q984" s="3"/>
      <c r="R984" s="3"/>
      <c r="S984" s="3"/>
      <c r="T984" s="3"/>
      <c r="U984" s="3"/>
    </row>
    <row r="985" customFormat="false" ht="15.75" hidden="false" customHeight="false" outlineLevel="0" collapsed="false">
      <c r="F985" s="34"/>
      <c r="G985" s="35"/>
      <c r="H985" s="35"/>
      <c r="I985" s="36"/>
      <c r="J985" s="35"/>
      <c r="K985" s="37"/>
      <c r="M985" s="44"/>
      <c r="N985" s="45"/>
      <c r="O985" s="46"/>
      <c r="Q985" s="3"/>
      <c r="R985" s="3"/>
      <c r="S985" s="3"/>
      <c r="T985" s="3"/>
      <c r="U985" s="3"/>
    </row>
    <row r="986" customFormat="false" ht="15.75" hidden="false" customHeight="false" outlineLevel="0" collapsed="false">
      <c r="F986" s="39"/>
      <c r="G986" s="40"/>
      <c r="H986" s="40"/>
      <c r="I986" s="41"/>
      <c r="J986" s="40"/>
      <c r="K986" s="42"/>
      <c r="M986" s="47"/>
      <c r="N986" s="48"/>
      <c r="O986" s="49"/>
      <c r="Q986" s="3"/>
      <c r="R986" s="3"/>
      <c r="S986" s="3"/>
      <c r="T986" s="3"/>
      <c r="U986" s="3"/>
    </row>
    <row r="987" customFormat="false" ht="15.75" hidden="false" customHeight="false" outlineLevel="0" collapsed="false">
      <c r="F987" s="34"/>
      <c r="G987" s="35"/>
      <c r="H987" s="35"/>
      <c r="I987" s="36"/>
      <c r="J987" s="35"/>
      <c r="K987" s="37"/>
      <c r="M987" s="44"/>
      <c r="N987" s="45"/>
      <c r="O987" s="46"/>
      <c r="Q987" s="3"/>
      <c r="R987" s="3"/>
      <c r="S987" s="3"/>
      <c r="T987" s="3"/>
      <c r="U987" s="3"/>
    </row>
    <row r="988" customFormat="false" ht="15.75" hidden="false" customHeight="false" outlineLevel="0" collapsed="false">
      <c r="F988" s="39"/>
      <c r="G988" s="40"/>
      <c r="H988" s="40"/>
      <c r="I988" s="41"/>
      <c r="J988" s="40"/>
      <c r="K988" s="42"/>
      <c r="M988" s="47"/>
      <c r="N988" s="48"/>
      <c r="O988" s="49"/>
      <c r="Q988" s="3"/>
      <c r="R988" s="3"/>
      <c r="S988" s="3"/>
      <c r="T988" s="3"/>
      <c r="U988" s="3"/>
    </row>
    <row r="989" customFormat="false" ht="15.75" hidden="false" customHeight="false" outlineLevel="0" collapsed="false">
      <c r="F989" s="34"/>
      <c r="G989" s="35"/>
      <c r="H989" s="35"/>
      <c r="I989" s="36"/>
      <c r="J989" s="35"/>
      <c r="K989" s="37"/>
      <c r="M989" s="44"/>
      <c r="N989" s="45"/>
      <c r="O989" s="46"/>
      <c r="Q989" s="3"/>
      <c r="R989" s="3"/>
      <c r="S989" s="3"/>
      <c r="T989" s="3"/>
      <c r="U989" s="3"/>
    </row>
    <row r="990" customFormat="false" ht="15.75" hidden="false" customHeight="false" outlineLevel="0" collapsed="false">
      <c r="F990" s="39"/>
      <c r="G990" s="40"/>
      <c r="H990" s="40"/>
      <c r="I990" s="41"/>
      <c r="J990" s="40"/>
      <c r="K990" s="42"/>
      <c r="M990" s="47"/>
      <c r="N990" s="48"/>
      <c r="O990" s="49"/>
      <c r="Q990" s="3"/>
      <c r="R990" s="3"/>
      <c r="S990" s="3"/>
      <c r="T990" s="3"/>
      <c r="U990" s="3"/>
    </row>
    <row r="991" customFormat="false" ht="15.75" hidden="false" customHeight="false" outlineLevel="0" collapsed="false">
      <c r="F991" s="34"/>
      <c r="G991" s="35"/>
      <c r="H991" s="35"/>
      <c r="I991" s="36"/>
      <c r="J991" s="35"/>
      <c r="K991" s="37"/>
      <c r="M991" s="44"/>
      <c r="N991" s="45"/>
      <c r="O991" s="46"/>
      <c r="Q991" s="3"/>
      <c r="R991" s="3"/>
      <c r="S991" s="3"/>
      <c r="T991" s="3"/>
      <c r="U991" s="3"/>
    </row>
    <row r="992" customFormat="false" ht="15.75" hidden="false" customHeight="false" outlineLevel="0" collapsed="false">
      <c r="F992" s="39"/>
      <c r="G992" s="40"/>
      <c r="H992" s="40"/>
      <c r="I992" s="41"/>
      <c r="J992" s="40"/>
      <c r="K992" s="42"/>
      <c r="M992" s="47"/>
      <c r="N992" s="48"/>
      <c r="O992" s="49"/>
      <c r="Q992" s="3"/>
      <c r="R992" s="3"/>
      <c r="S992" s="3"/>
      <c r="T992" s="3"/>
      <c r="U992" s="3"/>
    </row>
    <row r="993" customFormat="false" ht="15.75" hidden="false" customHeight="false" outlineLevel="0" collapsed="false">
      <c r="F993" s="34"/>
      <c r="G993" s="35"/>
      <c r="H993" s="35"/>
      <c r="I993" s="36"/>
      <c r="J993" s="35"/>
      <c r="K993" s="37"/>
      <c r="M993" s="44"/>
      <c r="N993" s="45"/>
      <c r="O993" s="46"/>
      <c r="Q993" s="3"/>
      <c r="R993" s="3"/>
      <c r="S993" s="3"/>
      <c r="T993" s="3"/>
      <c r="U993" s="3"/>
    </row>
    <row r="994" customFormat="false" ht="15.75" hidden="false" customHeight="false" outlineLevel="0" collapsed="false">
      <c r="F994" s="39"/>
      <c r="G994" s="40"/>
      <c r="H994" s="40"/>
      <c r="I994" s="41"/>
      <c r="J994" s="40"/>
      <c r="K994" s="42"/>
      <c r="M994" s="47"/>
      <c r="N994" s="48"/>
      <c r="O994" s="49"/>
      <c r="Q994" s="3"/>
      <c r="R994" s="3"/>
      <c r="S994" s="3"/>
      <c r="T994" s="3"/>
      <c r="U994" s="3"/>
    </row>
    <row r="995" customFormat="false" ht="15.75" hidden="false" customHeight="false" outlineLevel="0" collapsed="false">
      <c r="F995" s="34"/>
      <c r="G995" s="35"/>
      <c r="H995" s="35"/>
      <c r="I995" s="36"/>
      <c r="J995" s="35"/>
      <c r="K995" s="37"/>
      <c r="M995" s="44"/>
      <c r="N995" s="45"/>
      <c r="O995" s="46"/>
      <c r="Q995" s="3"/>
      <c r="R995" s="3"/>
      <c r="S995" s="3"/>
      <c r="T995" s="3"/>
      <c r="U995" s="3"/>
    </row>
    <row r="996" customFormat="false" ht="15.75" hidden="false" customHeight="false" outlineLevel="0" collapsed="false">
      <c r="F996" s="39"/>
      <c r="G996" s="40"/>
      <c r="H996" s="40"/>
      <c r="I996" s="41"/>
      <c r="J996" s="40"/>
      <c r="K996" s="42"/>
      <c r="M996" s="47"/>
      <c r="N996" s="48"/>
      <c r="O996" s="49"/>
      <c r="Q996" s="3"/>
      <c r="R996" s="3"/>
      <c r="S996" s="3"/>
      <c r="T996" s="3"/>
      <c r="U996" s="3"/>
    </row>
    <row r="997" customFormat="false" ht="15.75" hidden="false" customHeight="false" outlineLevel="0" collapsed="false">
      <c r="F997" s="34"/>
      <c r="G997" s="35"/>
      <c r="H997" s="35"/>
      <c r="I997" s="36"/>
      <c r="J997" s="35"/>
      <c r="K997" s="37"/>
      <c r="M997" s="44"/>
      <c r="N997" s="45"/>
      <c r="O997" s="46"/>
      <c r="Q997" s="3"/>
      <c r="R997" s="3"/>
      <c r="S997" s="3"/>
      <c r="T997" s="3"/>
      <c r="U997" s="3"/>
    </row>
    <row r="998" customFormat="false" ht="15.75" hidden="false" customHeight="false" outlineLevel="0" collapsed="false">
      <c r="F998" s="39"/>
      <c r="G998" s="40"/>
      <c r="H998" s="40"/>
      <c r="I998" s="41"/>
      <c r="J998" s="40"/>
      <c r="K998" s="42"/>
      <c r="M998" s="47"/>
      <c r="N998" s="48"/>
      <c r="O998" s="49"/>
      <c r="Q998" s="3"/>
      <c r="R998" s="3"/>
      <c r="S998" s="3"/>
      <c r="T998" s="3"/>
      <c r="U998" s="3"/>
    </row>
    <row r="999" customFormat="false" ht="15.75" hidden="false" customHeight="false" outlineLevel="0" collapsed="false">
      <c r="F999" s="34"/>
      <c r="G999" s="35"/>
      <c r="H999" s="35"/>
      <c r="I999" s="36"/>
      <c r="J999" s="35"/>
      <c r="K999" s="37"/>
      <c r="M999" s="44"/>
      <c r="N999" s="45"/>
      <c r="O999" s="46"/>
      <c r="Q999" s="3"/>
      <c r="R999" s="3"/>
      <c r="S999" s="3"/>
      <c r="T999" s="3"/>
      <c r="U999" s="3"/>
    </row>
    <row r="1000" customFormat="false" ht="15.75" hidden="false" customHeight="false" outlineLevel="0" collapsed="false">
      <c r="F1000" s="39"/>
      <c r="G1000" s="40"/>
      <c r="H1000" s="40"/>
      <c r="I1000" s="41"/>
      <c r="J1000" s="40"/>
      <c r="K1000" s="42"/>
      <c r="M1000" s="47"/>
      <c r="N1000" s="48"/>
      <c r="O1000" s="49"/>
      <c r="Q1000" s="3"/>
      <c r="R1000" s="3"/>
      <c r="S1000" s="3"/>
      <c r="T1000" s="3"/>
      <c r="U1000" s="3"/>
    </row>
    <row r="1001" customFormat="false" ht="15.75" hidden="false" customHeight="false" outlineLevel="0" collapsed="false">
      <c r="F1001" s="34"/>
      <c r="G1001" s="35"/>
      <c r="H1001" s="35"/>
      <c r="I1001" s="36"/>
      <c r="J1001" s="35"/>
      <c r="K1001" s="37"/>
      <c r="M1001" s="44"/>
      <c r="N1001" s="45"/>
      <c r="O1001" s="46"/>
      <c r="Q1001" s="3"/>
      <c r="R1001" s="3"/>
      <c r="S1001" s="3"/>
      <c r="T1001" s="3"/>
      <c r="U1001" s="3"/>
    </row>
    <row r="1002" customFormat="false" ht="15.75" hidden="false" customHeight="false" outlineLevel="0" collapsed="false">
      <c r="F1002" s="39"/>
      <c r="G1002" s="40"/>
      <c r="H1002" s="40"/>
      <c r="I1002" s="41"/>
      <c r="J1002" s="40"/>
      <c r="K1002" s="42"/>
      <c r="M1002" s="47"/>
      <c r="N1002" s="48"/>
      <c r="O1002" s="49"/>
      <c r="Q1002" s="3"/>
      <c r="R1002" s="3"/>
      <c r="S1002" s="3"/>
      <c r="T1002" s="3"/>
      <c r="U1002" s="3"/>
    </row>
    <row r="1003" customFormat="false" ht="15.75" hidden="false" customHeight="false" outlineLevel="0" collapsed="false">
      <c r="F1003" s="34"/>
      <c r="G1003" s="35"/>
      <c r="H1003" s="35"/>
      <c r="I1003" s="36"/>
      <c r="J1003" s="35"/>
      <c r="K1003" s="37"/>
      <c r="M1003" s="44"/>
      <c r="N1003" s="45"/>
      <c r="O1003" s="46"/>
      <c r="Q1003" s="3"/>
      <c r="R1003" s="3"/>
      <c r="S1003" s="3"/>
      <c r="T1003" s="3"/>
      <c r="U1003" s="3"/>
    </row>
    <row r="1004" customFormat="false" ht="15.75" hidden="false" customHeight="false" outlineLevel="0" collapsed="false">
      <c r="F1004" s="39"/>
      <c r="G1004" s="40"/>
      <c r="H1004" s="40"/>
      <c r="I1004" s="41"/>
      <c r="J1004" s="40"/>
      <c r="K1004" s="42"/>
      <c r="M1004" s="47"/>
      <c r="N1004" s="48"/>
      <c r="O1004" s="49"/>
      <c r="Q1004" s="3"/>
      <c r="R1004" s="3"/>
      <c r="S1004" s="3"/>
      <c r="T1004" s="3"/>
      <c r="U1004" s="3"/>
    </row>
    <row r="1005" customFormat="false" ht="15.75" hidden="false" customHeight="false" outlineLevel="0" collapsed="false">
      <c r="F1005" s="34"/>
      <c r="G1005" s="35"/>
      <c r="H1005" s="35"/>
      <c r="I1005" s="36"/>
      <c r="J1005" s="35"/>
      <c r="K1005" s="37"/>
      <c r="M1005" s="44"/>
      <c r="N1005" s="45"/>
      <c r="O1005" s="46"/>
      <c r="Q1005" s="3"/>
      <c r="R1005" s="3"/>
      <c r="S1005" s="3"/>
      <c r="T1005" s="3"/>
      <c r="U1005" s="3"/>
    </row>
    <row r="1006" customFormat="false" ht="15.75" hidden="false" customHeight="false" outlineLevel="0" collapsed="false">
      <c r="F1006" s="39"/>
      <c r="G1006" s="40"/>
      <c r="H1006" s="40"/>
      <c r="I1006" s="41"/>
      <c r="J1006" s="40"/>
      <c r="K1006" s="42"/>
      <c r="M1006" s="47"/>
      <c r="N1006" s="48"/>
      <c r="O1006" s="49"/>
      <c r="Q1006" s="3"/>
      <c r="R1006" s="3"/>
      <c r="S1006" s="3"/>
      <c r="T1006" s="3"/>
      <c r="U1006" s="3"/>
    </row>
    <row r="1007" customFormat="false" ht="15.75" hidden="false" customHeight="false" outlineLevel="0" collapsed="false">
      <c r="F1007" s="34"/>
      <c r="G1007" s="35"/>
      <c r="H1007" s="35"/>
      <c r="I1007" s="36"/>
      <c r="J1007" s="35"/>
      <c r="K1007" s="37"/>
      <c r="M1007" s="44"/>
      <c r="N1007" s="45"/>
      <c r="O1007" s="46"/>
      <c r="Q1007" s="3"/>
      <c r="R1007" s="3"/>
      <c r="S1007" s="3"/>
      <c r="T1007" s="3"/>
      <c r="U1007" s="3"/>
    </row>
    <row r="1008" customFormat="false" ht="15.75" hidden="false" customHeight="false" outlineLevel="0" collapsed="false">
      <c r="F1008" s="39"/>
      <c r="G1008" s="40"/>
      <c r="H1008" s="40"/>
      <c r="I1008" s="41"/>
      <c r="J1008" s="40"/>
      <c r="K1008" s="42"/>
      <c r="M1008" s="47"/>
      <c r="N1008" s="48"/>
      <c r="O1008" s="49"/>
      <c r="Q1008" s="3"/>
      <c r="R1008" s="3"/>
      <c r="S1008" s="3"/>
      <c r="T1008" s="3"/>
      <c r="U1008" s="3"/>
    </row>
  </sheetData>
  <autoFilter ref="Q5:U143"/>
  <mergeCells count="17">
    <mergeCell ref="F2:O2"/>
    <mergeCell ref="Q2:U2"/>
    <mergeCell ref="F3:O7"/>
    <mergeCell ref="Q3:T3"/>
    <mergeCell ref="B4:D5"/>
    <mergeCell ref="Q4:U4"/>
    <mergeCell ref="B6:D7"/>
    <mergeCell ref="F8:O8"/>
    <mergeCell ref="B9:D10"/>
    <mergeCell ref="F9:K9"/>
    <mergeCell ref="M9:O9"/>
    <mergeCell ref="F10:H10"/>
    <mergeCell ref="I10:K10"/>
    <mergeCell ref="M10:O10"/>
    <mergeCell ref="M11:O11"/>
    <mergeCell ref="M12:O12"/>
    <mergeCell ref="B19:D20"/>
  </mergeCells>
  <dataValidations count="3">
    <dataValidation allowBlank="true" errorStyle="stop" operator="between" showDropDown="false" showErrorMessage="true" showInputMessage="false" sqref="Q3" type="list">
      <formula1>"Use Filtering,Show All Combos"</formula1>
      <formula2>0</formula2>
    </dataValidation>
    <dataValidation allowBlank="true" errorStyle="stop" operator="between" showDropDown="false" showErrorMessage="true" showInputMessage="false" sqref="F8" type="list">
      <formula1>Data!$A$3:$A$140</formula1>
      <formula2>0</formula2>
    </dataValidation>
    <dataValidation allowBlank="true" errorStyle="stop" operator="between" showDropDown="false" showErrorMessage="true" showInputMessage="false" sqref="M11" type="list">
      <formula1>ReverseSearchData!$I$3:$I1008</formula1>
      <formula2>0</formula2>
    </dataValidation>
  </dataValidations>
  <hyperlinks>
    <hyperlink ref="B4" r:id="rId2" display="https://docs.google.com/spreadsheets/d/1YgPc11dgdBUC8jXNp01b7gI6jNHoBRQGwrY_V6lXMgQ/copy"/>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B31"/>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75" zeroHeight="false" outlineLevelRow="0" outlineLevelCol="0"/>
  <cols>
    <col collapsed="false" customWidth="true" hidden="false" outlineLevel="0" max="1" min="1" style="0" width="2.99"/>
    <col collapsed="false" customWidth="true" hidden="false" outlineLevel="0" max="2" min="2" style="0" width="12.37"/>
    <col collapsed="false" customWidth="true" hidden="false" outlineLevel="0" max="3" min="3" style="0" width="8.38"/>
    <col collapsed="false" customWidth="true" hidden="false" outlineLevel="0" max="4" min="4" style="0" width="3.76"/>
    <col collapsed="false" customWidth="true" hidden="false" outlineLevel="0" max="5" min="5" style="0" width="2.99"/>
    <col collapsed="false" customWidth="true" hidden="false" outlineLevel="0" max="6" min="6" style="0" width="8.13"/>
    <col collapsed="false" customWidth="true" hidden="false" outlineLevel="0" max="7" min="7" style="0" width="7.26"/>
    <col collapsed="false" customWidth="true" hidden="false" outlineLevel="0" max="8" min="8" style="0" width="8.51"/>
    <col collapsed="false" customWidth="true" hidden="false" outlineLevel="0" max="9" min="9" style="0" width="8.25"/>
    <col collapsed="false" customWidth="true" hidden="false" outlineLevel="0" max="10" min="10" style="0" width="2.25"/>
    <col collapsed="false" customWidth="true" hidden="false" outlineLevel="0" max="11" min="11" style="0" width="14.75"/>
    <col collapsed="false" customWidth="true" hidden="false" outlineLevel="0" max="13" min="12" style="0" width="7.63"/>
    <col collapsed="false" customWidth="true" hidden="false" outlineLevel="0" max="14" min="14" style="0" width="8.25"/>
    <col collapsed="false" customWidth="true" hidden="false" outlineLevel="0" max="15" min="15" style="0" width="7.63"/>
    <col collapsed="false" customWidth="true" hidden="false" outlineLevel="0" max="16" min="16" style="0" width="8.25"/>
    <col collapsed="false" customWidth="true" hidden="false" outlineLevel="0" max="17" min="17" style="0" width="9.51"/>
    <col collapsed="false" customWidth="true" hidden="false" outlineLevel="0" max="18" min="18" style="0" width="8.87"/>
    <col collapsed="false" customWidth="true" hidden="true" outlineLevel="0" max="25" min="20" style="0" width="9.38"/>
  </cols>
  <sheetData>
    <row r="1" customFormat="false" ht="15.75" hidden="false" customHeight="false" outlineLevel="0" collapsed="false">
      <c r="A1" s="3"/>
      <c r="B1" s="63"/>
      <c r="C1" s="63"/>
      <c r="D1" s="3"/>
      <c r="E1" s="3"/>
      <c r="F1" s="63"/>
      <c r="G1" s="63"/>
      <c r="H1" s="63"/>
      <c r="I1" s="63"/>
      <c r="J1" s="3"/>
      <c r="K1" s="3"/>
      <c r="L1" s="3"/>
      <c r="M1" s="3"/>
      <c r="N1" s="3"/>
      <c r="P1" s="6"/>
      <c r="S1" s="3"/>
      <c r="T1" s="3"/>
      <c r="U1" s="3"/>
      <c r="V1" s="3"/>
      <c r="W1" s="3"/>
      <c r="X1" s="3"/>
      <c r="Y1" s="3"/>
      <c r="Z1" s="3"/>
      <c r="AA1" s="3"/>
      <c r="AB1" s="3"/>
    </row>
    <row r="2" customFormat="false" ht="15.75" hidden="false" customHeight="true" outlineLevel="0" collapsed="false">
      <c r="A2" s="64"/>
      <c r="B2" s="65" t="s">
        <v>154</v>
      </c>
      <c r="C2" s="65"/>
      <c r="D2" s="3"/>
      <c r="E2" s="64"/>
      <c r="F2" s="66" t="s">
        <v>155</v>
      </c>
      <c r="G2" s="66"/>
      <c r="H2" s="66"/>
      <c r="I2" s="66"/>
      <c r="J2" s="3"/>
      <c r="K2" s="67" t="s">
        <v>156</v>
      </c>
      <c r="L2" s="67"/>
      <c r="M2" s="67"/>
      <c r="O2" s="66" t="s">
        <v>157</v>
      </c>
      <c r="P2" s="66"/>
      <c r="Q2" s="66"/>
      <c r="R2" s="66"/>
      <c r="S2" s="3"/>
      <c r="T2" s="68" t="s">
        <v>158</v>
      </c>
      <c r="U2" s="68"/>
      <c r="V2" s="68"/>
      <c r="W2" s="68"/>
      <c r="X2" s="3"/>
      <c r="Y2" s="3"/>
      <c r="Z2" s="3"/>
      <c r="AA2" s="3"/>
      <c r="AB2" s="3"/>
    </row>
    <row r="3" customFormat="false" ht="15.75" hidden="false" customHeight="false" outlineLevel="0" collapsed="false">
      <c r="A3" s="64"/>
      <c r="B3" s="69" t="s">
        <v>159</v>
      </c>
      <c r="C3" s="70" t="b">
        <f aca="false">TRUE()</f>
        <v>1</v>
      </c>
      <c r="D3" s="3"/>
      <c r="E3" s="64"/>
      <c r="F3" s="71" t="s">
        <v>160</v>
      </c>
      <c r="G3" s="72" t="s">
        <v>137</v>
      </c>
      <c r="H3" s="72"/>
      <c r="I3" s="72"/>
      <c r="J3" s="64"/>
      <c r="K3" s="67"/>
      <c r="L3" s="67"/>
      <c r="M3" s="67"/>
      <c r="O3" s="73" t="s">
        <v>161</v>
      </c>
      <c r="P3" s="73"/>
      <c r="Q3" s="73"/>
      <c r="R3" s="73"/>
      <c r="S3" s="3"/>
      <c r="T3" s="3"/>
      <c r="U3" s="3"/>
      <c r="V3" s="3" t="s">
        <v>162</v>
      </c>
      <c r="W3" s="3" t="s">
        <v>163</v>
      </c>
      <c r="X3" s="3" t="s">
        <v>164</v>
      </c>
      <c r="Y3" s="3" t="s">
        <v>165</v>
      </c>
      <c r="Z3" s="74"/>
      <c r="AA3" s="3"/>
      <c r="AB3" s="3"/>
    </row>
    <row r="4" customFormat="false" ht="15.75" hidden="false" customHeight="false" outlineLevel="0" collapsed="false">
      <c r="A4" s="64"/>
      <c r="B4" s="75" t="s">
        <v>166</v>
      </c>
      <c r="C4" s="75"/>
      <c r="D4" s="3"/>
      <c r="E4" s="64"/>
      <c r="F4" s="76" t="n">
        <f aca="false">IFERROR(INDEX(PalData,MATCH(G3,PalNames,0)+1,MATCH("Image",PalData_Header,0)),)</f>
        <v>0</v>
      </c>
      <c r="G4" s="76"/>
      <c r="H4" s="77" t="s">
        <v>167</v>
      </c>
      <c r="I4" s="78" t="n">
        <v>10</v>
      </c>
      <c r="J4" s="64"/>
      <c r="K4" s="79" t="s">
        <v>168</v>
      </c>
      <c r="L4" s="80" t="n">
        <f aca="false">MEDIAN(0,CEILING($I$5 /(1+$X$4)/(1+$Y$4)/ $V$4 - 500 - 5*$I$4,1) /$U$4 / 0.5 / $I$4 - 1,0.3)</f>
        <v>0.296666666666667</v>
      </c>
      <c r="M4" s="81" t="n">
        <f aca="false">MEDIAN(0,(FLOOR(($I$5+1) /(1+$X$4)/(1+$Y$4)/ $V$4 - 500 -5*$I$4,1)+IF(V4&gt;1,1,0)) /$U$4 / 0.5 / $I$4 - 1,0.3)</f>
        <v>0.3</v>
      </c>
      <c r="O4" s="82"/>
      <c r="P4" s="83" t="s">
        <v>169</v>
      </c>
      <c r="Q4" s="83" t="s">
        <v>170</v>
      </c>
      <c r="R4" s="84" t="s">
        <v>171</v>
      </c>
      <c r="S4" s="3"/>
      <c r="T4" s="3" t="s">
        <v>168</v>
      </c>
      <c r="U4" s="85" t="n">
        <f aca="false" t="array" ref="U4:U4">INDEX(PalData,MATCH($G$3,PalNames,0)+1,MATCH("HP",PalData_Header,0))</f>
        <v>60</v>
      </c>
      <c r="V4" s="86" t="n">
        <f aca="false" t="array" ref="V4:V4">(IFERROR(SUM(IF(AND(INDEX(PalPassives,MATCH($F$10,PalPassives_Names,0)+1,MATCH("EffectType1",PalPassives_Header,0))="MaxHP",INDEX(PalPassives,MATCH($F$10,PalPassives_Names,0)+1,MATCH("TargetType1",PalPassives_Header,0))="Self"),INDEX(PalPassives,MATCH($F$10,PalPassives_Names,0)+1,MATCH("EffectValue1",PalPassives_Header,0)),),IF(AND(INDEX(PalPassives,MATCH($F$10,PalPassives_Names,0)+1,MATCH("EffectType2",PalPassives_Header,0))="MaxHP",INDEX(PalPassives,MATCH($F$10,PalPassives_Names,0)+1,MATCH("TargetType2",PalPassives_Header,0))="Self"),INDEX(PalPassives,MATCH($F$10,PalPassives_Names,0)+1,MATCH("EffectValue2",PalPassives_Header,0)),),IF(AND(INDEX(PalPassives,MATCH($F$10,PalPassives_Names,0)+1,MATCH("EffectType3",PalPassives_Header,0))="MaxHP",INDEX(PalPassives,MATCH($F$10,PalPassives_Names,0)+1,MATCH("TargetType3",PalPassives_Header,0))="Self"),INDEX(PalPassives,MATCH($F$10,PalPassives_Names,0)+1,MATCH("EffectValue3",PalPassives_Header,0)),)),0)    +    IFERROR(SUM(IF(AND(INDEX(PalPassives,MATCH($H$10,PalPassives_Names,0)+1,MATCH("EffectType1",PalPassives_Header,0))="MaxHP",INDEX(PalPassives,MATCH($H$10,PalPassives_Names,0)+1,MATCH("TargetType1",PalPassives_Header,0))="Self"),INDEX(PalPassives,MATCH($H$10,PalPassives_Names,0)+1,MATCH("EffectValue1",PalPassives_Header,0)),),IF(AND(INDEX(PalPassives,MATCH($H$10,PalPassives_Names,0)+1,MATCH("EffectType2",PalPassives_Header,0))="MaxHP",INDEX(PalPassives,MATCH($H$10,PalPassives_Names,0)+1,MATCH("TargetType2",PalPassives_Header,0))="Self"),INDEX(PalPassives,MATCH($H$10,PalPassives_Names,0)+1,MATCH("EffectValue2",PalPassives_Header,0)),),IF(AND(INDEX(PalPassives,MATCH($H$10,PalPassives_Names,0)+1,MATCH("EffectType3",PalPassives_Header,0))="MaxHP",INDEX(PalPassives,MATCH($H$10,PalPassives_Names,0)+1,MATCH("TargetType3",PalPassives_Header,0))="Self"),INDEX(PalPassives,MATCH($H$10,PalPassives_Names,0)+1,MATCH("EffectValue3",PalPassives_Header,0)),)),0)   +   IFERROR(SUM(IF(AND(INDEX(PalPassives,MATCH($F$11,PalPassives_Names,0)+1,MATCH("EffectType1",PalPassives_Header,0))="MaxHP",INDEX(PalPassives,MATCH($F$11,PalPassives_Names,0)+1,MATCH("TargetType1",PalPassives_Header,0))="Self"),INDEX(PalPassives,MATCH($F$11,PalPassives_Names,0)+1,MATCH("EffectValue1",PalPassives_Header,0)),),IF(AND(INDEX(PalPassives,MATCH($F$11,PalPassives_Names,0)+1,MATCH("EffectType2",PalPassives_Header,0))="MaxHP",INDEX(PalPassives,MATCH($F$11,PalPassives_Names,0)+1,MATCH("TargetType2",PalPassives_Header,0))="Self"),INDEX(PalPassives,MATCH($F$11,PalPassives_Names,0)+1,MATCH("EffectValue2",PalPassives_Header,0)),),IF(AND(INDEX(PalPassives,MATCH($F$11,PalPassives_Names,0)+1,MATCH("EffectType3",PalPassives_Header,0))="MaxHP",INDEX(PalPassives,MATCH($F$11,PalPassives_Names,0)+1,MATCH("TargetType3",PalPassives_Header,0))="Self"),INDEX(PalPassives,MATCH($F$11,PalPassives_Names,0)+1,MATCH("EffectValue3",PalPassives_Header,0)),)),0)    +   IFERROR(SUM(IF(AND(INDEX(PalPassives,MATCH($H$11,PalPassives_Names,0)+1,MATCH("EffectType1",PalPassives_Header,0))="MaxHP",INDEX(PalPassives,MATCH($H$11,PalPassives_Names,0)+1,MATCH("TargetType1",PalPassives_Header,0))="Self"),INDEX(PalPassives,MATCH($H$11,PalPassives_Names,0)+1,MATCH("EffectValue1",PalPassives_Header,0)),),IF(AND(INDEX(PalPassives,MATCH($H$11,PalPassives_Names,0)+1,MATCH("EffectType2",PalPassives_Header,0))="MaxHP",INDEX(PalPassives,MATCH($H$11,PalPassives_Names,0)+1,MATCH("TargetType2",PalPassives_Header,0))="Self"),INDEX(PalPassives,MATCH($H$11,PalPassives_Names,0)+1,MATCH("EffectValue2",PalPassives_Header,0)),),IF(AND(INDEX(PalPassives,MATCH($H$11,PalPassives_Names,0)+1,MATCH("EffectType3",PalPassives_Header,0))="MaxHP",INDEX(PalPassives,MATCH($H$11,PalPassives_Names,0)+1,MATCH("TargetType3",PalPassives_Header,0))="Self"),INDEX(PalPassives,MATCH($H$11,PalPassives_Names,0)+1,MATCH("EffectValue3",PalPassives_Header,0)),)),0)) / 100 + 1 + $C$12</f>
        <v>1</v>
      </c>
      <c r="X4" s="87" t="n">
        <f aca="false">IF($C$3,C5,0)</f>
        <v>0</v>
      </c>
      <c r="Y4" s="88" t="n">
        <f aca="false">IF($C$3,0.05*$C$9,0)</f>
        <v>0</v>
      </c>
      <c r="Z4" s="74"/>
      <c r="AA4" s="3"/>
      <c r="AB4" s="3"/>
    </row>
    <row r="5" customFormat="false" ht="15.75" hidden="false" customHeight="false" outlineLevel="0" collapsed="false">
      <c r="A5" s="64"/>
      <c r="B5" s="89" t="s">
        <v>168</v>
      </c>
      <c r="C5" s="90" t="n">
        <v>0</v>
      </c>
      <c r="D5" s="3"/>
      <c r="E5" s="64"/>
      <c r="F5" s="76"/>
      <c r="G5" s="76"/>
      <c r="H5" s="77" t="s">
        <v>172</v>
      </c>
      <c r="I5" s="91" t="n">
        <v>939</v>
      </c>
      <c r="J5" s="64"/>
      <c r="K5" s="92" t="s">
        <v>173</v>
      </c>
      <c r="L5" s="93" t="n">
        <f aca="false">MEDIAN(0,CEILING($I$6 /(1 + $X$5) / (1 + $Y$4) / $V$5 - 100,1) /$U$5  / 0.075 /$I$4 - 1,0.3)</f>
        <v>0.155555555555556</v>
      </c>
      <c r="M5" s="94" t="n">
        <f aca="false">MEDIAN(0,(FLOOR(($I$6+1) /(1 + $X$5) / (1 + $Y$4) / $V$5 - 100,1)+IF(V5&gt;1,1,0)) /$U$5  / 0.075 /$I$4 - 1,0.3)</f>
        <v>0.177777777777778</v>
      </c>
      <c r="O5" s="44" t="s">
        <v>168</v>
      </c>
      <c r="P5" s="95" t="n">
        <f aca="false">FLOOR(FLOOR(500 +5*I4 +$U$4  * 0.5 *I4  * (1 + 0),1) * ($V$4) * (1+$X$4) * (1+$Y$4),1)</f>
        <v>850</v>
      </c>
      <c r="Q5" s="95" t="n">
        <f aca="false">FLOOR(FLOOR(500 +5*I4 +$U$4  * 0.5 *I4  * (1 + 0.15),1) * ($V$4) * (1+$X$4) * (1+$Y$4),1)</f>
        <v>895</v>
      </c>
      <c r="R5" s="96" t="n">
        <f aca="false">FLOOR(FLOOR(500 +5*I4 +$U$4  * 0.5 *I4  * (1 + 0.3),1) * ($V$4) * (1+$X$4) * (1+$Y$4),1)</f>
        <v>940</v>
      </c>
      <c r="S5" s="3"/>
      <c r="T5" s="3" t="s">
        <v>173</v>
      </c>
      <c r="U5" s="85" t="n">
        <f aca="false" t="array" ref="U5:U5">INDEX(PalData,MATCH($G$3,PalNames,0)+1,MATCH("ShotAttack",PalData_Header,0))</f>
        <v>60</v>
      </c>
      <c r="V5" s="86" t="n">
        <f aca="false" t="array" ref="V5:V5">(IFERROR(SUM(IF(AND(INDEX(PalPassives,MATCH($F$10,PalPassives_Names,0)+1,MATCH("EffectType1",PalPassives_Header,0))="ShotAttack",INDEX(PalPassives,MATCH($F$10,PalPassives_Names,0)+1,MATCH("TargetType1",PalPassives_Header,0))="Self"),INDEX(PalPassives,MATCH($F$10,PalPassives_Names,0)+1,MATCH("EffectValue1",PalPassives_Header,0)),),IF(AND(INDEX(PalPassives,MATCH($F$10,PalPassives_Names,0)+1,MATCH("EffectType2",PalPassives_Header,0))="ShotAttack",INDEX(PalPassives,MATCH($F$10,PalPassives_Names,0)+1,MATCH("TargetType2",PalPassives_Header,0))="Self"),INDEX(PalPassives,MATCH($F$10,PalPassives_Names,0)+1,MATCH("EffectValue2",PalPassives_Header,0)),),IF(AND(INDEX(PalPassives,MATCH($F$10,PalPassives_Names,0)+1,MATCH("EffectType3",PalPassives_Header,0))="ShotAttack",INDEX(PalPassives,MATCH($F$10,PalPassives_Names,0)+1,MATCH("TargetType3",PalPassives_Header,0))="Self"),INDEX(PalPassives,MATCH($F$10,PalPassives_Names,0)+1,MATCH("EffectValue3",PalPassives_Header,0)),)),0)    +    IFERROR(SUM(IF(AND(INDEX(PalPassives,MATCH($H$10,PalPassives_Names,0)+1,MATCH("EffectType1",PalPassives_Header,0))="ShotAttack",INDEX(PalPassives,MATCH($H$10,PalPassives_Names,0)+1,MATCH("TargetType1",PalPassives_Header,0))="Self"),INDEX(PalPassives,MATCH($H$10,PalPassives_Names,0)+1,MATCH("EffectValue1",PalPassives_Header,0)),),IF(AND(INDEX(PalPassives,MATCH($H$10,PalPassives_Names,0)+1,MATCH("EffectType2",PalPassives_Header,0))="ShotAttack",INDEX(PalPassives,MATCH($H$10,PalPassives_Names,0)+1,MATCH("TargetType2",PalPassives_Header,0))="Self"),INDEX(PalPassives,MATCH($H$10,PalPassives_Names,0)+1,MATCH("EffectValue2",PalPassives_Header,0)),),IF(AND(INDEX(PalPassives,MATCH($H$10,PalPassives_Names,0)+1,MATCH("EffectType3",PalPassives_Header,0))="ShotAttack",INDEX(PalPassives,MATCH($H$10,PalPassives_Names,0)+1,MATCH("TargetType3",PalPassives_Header,0))="Self"),INDEX(PalPassives,MATCH($H$10,PalPassives_Names,0)+1,MATCH("EffectValue3",PalPassives_Header,0)),)),0)   +   IFERROR(SUM(IF(AND(INDEX(PalPassives,MATCH($F$11,PalPassives_Names,0)+1,MATCH("EffectType1",PalPassives_Header,0))="ShotAttack",INDEX(PalPassives,MATCH($F$11,PalPassives_Names,0)+1,MATCH("TargetType1",PalPassives_Header,0))="Self"),INDEX(PalPassives,MATCH($F$11,PalPassives_Names,0)+1,MATCH("EffectValue1",PalPassives_Header,0)),),IF(AND(INDEX(PalPassives,MATCH($F$11,PalPassives_Names,0)+1,MATCH("EffectType2",PalPassives_Header,0))="ShotAttack",INDEX(PalPassives,MATCH($F$11,PalPassives_Names,0)+1,MATCH("TargetType2",PalPassives_Header,0))="Self"),INDEX(PalPassives,MATCH($F$11,PalPassives_Names,0)+1,MATCH("EffectValue2",PalPassives_Header,0)),),IF(AND(INDEX(PalPassives,MATCH($F$11,PalPassives_Names,0)+1,MATCH("EffectType3",PalPassives_Header,0))="ShotAttack",INDEX(PalPassives,MATCH($F$11,PalPassives_Names,0)+1,MATCH("TargetType3",PalPassives_Header,0))="Self"),INDEX(PalPassives,MATCH($F$11,PalPassives_Names,0)+1,MATCH("EffectValue3",PalPassives_Header,0)),)),0)    +   IFERROR(SUM(IF(AND(INDEX(PalPassives,MATCH($H$11,PalPassives_Names,0)+1,MATCH("EffectType1",PalPassives_Header,0))="ShotAttack",INDEX(PalPassives,MATCH($H$11,PalPassives_Names,0)+1,MATCH("TargetType1",PalPassives_Header,0))="Self"),INDEX(PalPassives,MATCH($H$11,PalPassives_Names,0)+1,MATCH("EffectValue1",PalPassives_Header,0)),),IF(AND(INDEX(PalPassives,MATCH($H$11,PalPassives_Names,0)+1,MATCH("EffectType2",PalPassives_Header,0))="ShotAttack",INDEX(PalPassives,MATCH($H$11,PalPassives_Names,0)+1,MATCH("TargetType2",PalPassives_Header,0))="Self"),INDEX(PalPassives,MATCH($H$11,PalPassives_Names,0)+1,MATCH("EffectValue2",PalPassives_Header,0)),),IF(AND(INDEX(PalPassives,MATCH($H$11,PalPassives_Names,0)+1,MATCH("EffectType3",PalPassives_Header,0))="ShotAttack",INDEX(PalPassives,MATCH($H$11,PalPassives_Names,0)+1,MATCH("TargetType3",PalPassives_Header,0))="Self"),INDEX(PalPassives,MATCH($H$11,PalPassives_Names,0)+1,MATCH("EffectValue3",PalPassives_Header,0)),)),0)) / 100 + 1 + $C$13</f>
        <v>1</v>
      </c>
      <c r="X5" s="87" t="n">
        <f aca="false">IF($C$3,C6,0)</f>
        <v>0</v>
      </c>
      <c r="Y5" s="88" t="n">
        <f aca="false">IF($C$3,0.05*$C$9,0)</f>
        <v>0</v>
      </c>
      <c r="Z5" s="74"/>
      <c r="AA5" s="3"/>
      <c r="AB5" s="3"/>
    </row>
    <row r="6" customFormat="false" ht="15.75" hidden="false" customHeight="false" outlineLevel="0" collapsed="false">
      <c r="A6" s="64"/>
      <c r="B6" s="89" t="s">
        <v>173</v>
      </c>
      <c r="C6" s="90" t="n">
        <v>0</v>
      </c>
      <c r="D6" s="3"/>
      <c r="E6" s="64"/>
      <c r="F6" s="76"/>
      <c r="G6" s="76"/>
      <c r="H6" s="77" t="s">
        <v>174</v>
      </c>
      <c r="I6" s="91" t="n">
        <v>152</v>
      </c>
      <c r="J6" s="64"/>
      <c r="K6" s="97" t="s">
        <v>175</v>
      </c>
      <c r="L6" s="98" t="n">
        <f aca="false">MEDIAN(0,CEILING($I$7 /(1+X6)/(1+Y4)/ ($V$6) - 50,1) /$U$6  / 0.075 /$I$4 - 1,0.3)</f>
        <v>0.266666666666667</v>
      </c>
      <c r="M6" s="99" t="n">
        <f aca="false">MEDIAN(0,(FLOOR(($I$7+1) /(1+X6)/(1+Y4)/ ($V$6) - 50,1)+IF(V6&gt;1,1,0)) /$U$6  / 0.075 /$I$4 - 1,0.3)</f>
        <v>0.288888888888889</v>
      </c>
      <c r="O6" s="47" t="s">
        <v>173</v>
      </c>
      <c r="P6" s="100" t="n">
        <f aca="false">FLOOR(FLOOR(100 +$U$5  * 0.075 * $I$4 * (1 + 0),1) * ($V$5) * (1+$X$5) * (1+$Y$4),1)</f>
        <v>145</v>
      </c>
      <c r="Q6" s="100" t="n">
        <f aca="false">FLOOR(FLOOR(100 +$U$5  * 0.075 * $I$4 * (1 + 0.15),1) * ($V$5) * (1+$X$5) * (1+$Y$4),1)</f>
        <v>151</v>
      </c>
      <c r="R6" s="101" t="n">
        <f aca="false">FLOOR(FLOOR(100 +$U$5  * 0.075 * $I$4 * (1 + 0.3),1) * ($V$5) * (1+$X$5) * (1+$Y$4),1)</f>
        <v>158</v>
      </c>
      <c r="S6" s="3"/>
      <c r="T6" s="3" t="s">
        <v>175</v>
      </c>
      <c r="U6" s="85" t="n">
        <f aca="false" t="array" ref="U6:U6">INDEX(PalData,MATCH($G$3,PalNames,0)+1,MATCH("Defense",PalData_Header,0))</f>
        <v>60</v>
      </c>
      <c r="V6" s="86" t="n">
        <f aca="false" t="array" ref="V6:V6">(IFERROR(SUM(IF(AND(INDEX(PalPassives,MATCH($F$10,PalPassives_Names,0)+1,MATCH("EffectType1",PalPassives_Header,0))="Defense",INDEX(PalPassives,MATCH($F$10,PalPassives_Names,0)+1,MATCH("TargetType1",PalPassives_Header,0))="Self"),INDEX(PalPassives,MATCH($F$10,PalPassives_Names,0)+1,MATCH("EffectValue1",PalPassives_Header,0)),),IF(AND(INDEX(PalPassives,MATCH($F$10,PalPassives_Names,0)+1,MATCH("EffectType2",PalPassives_Header,0))="Defense",INDEX(PalPassives,MATCH($F$10,PalPassives_Names,0)+1,MATCH("TargetType2",PalPassives_Header,0))="Self"),INDEX(PalPassives,MATCH($F$10,PalPassives_Names,0)+1,MATCH("EffectValue2",PalPassives_Header,0)),),IF(AND(INDEX(PalPassives,MATCH($F$10,PalPassives_Names,0)+1,MATCH("EffectType3",PalPassives_Header,0))="Defense",INDEX(PalPassives,MATCH($F$10,PalPassives_Names,0)+1,MATCH("TargetType3",PalPassives_Header,0))="Self"),INDEX(PalPassives,MATCH($F$10,PalPassives_Names,0)+1,MATCH("EffectValue3",PalPassives_Header,0)),)),0)    +    IFERROR(SUM(IF(AND(INDEX(PalPassives,MATCH($H$10,PalPassives_Names,0)+1,MATCH("EffectType1",PalPassives_Header,0))="Defense",INDEX(PalPassives,MATCH($H$10,PalPassives_Names,0)+1,MATCH("TargetType1",PalPassives_Header,0))="Self"),INDEX(PalPassives,MATCH($H$10,PalPassives_Names,0)+1,MATCH("EffectValue1",PalPassives_Header,0)),),IF(AND(INDEX(PalPassives,MATCH($H$10,PalPassives_Names,0)+1,MATCH("EffectType2",PalPassives_Header,0))="Defense",INDEX(PalPassives,MATCH($H$10,PalPassives_Names,0)+1,MATCH("TargetType2",PalPassives_Header,0))="Self"),INDEX(PalPassives,MATCH($H$10,PalPassives_Names,0)+1,MATCH("EffectValue2",PalPassives_Header,0)),),IF(AND(INDEX(PalPassives,MATCH($H$10,PalPassives_Names,0)+1,MATCH("EffectType3",PalPassives_Header,0))="Defense",INDEX(PalPassives,MATCH($H$10,PalPassives_Names,0)+1,MATCH("TargetType3",PalPassives_Header,0))="Self"),INDEX(PalPassives,MATCH($H$10,PalPassives_Names,0)+1,MATCH("EffectValue3",PalPassives_Header,0)),)),0)   +   IFERROR(SUM(IF(AND(INDEX(PalPassives,MATCH($F$11,PalPassives_Names,0)+1,MATCH("EffectType1",PalPassives_Header,0))="Defense",INDEX(PalPassives,MATCH($F$11,PalPassives_Names,0)+1,MATCH("TargetType1",PalPassives_Header,0))="Self"),INDEX(PalPassives,MATCH($F$11,PalPassives_Names,0)+1,MATCH("EffectValue1",PalPassives_Header,0)),),IF(AND(INDEX(PalPassives,MATCH($F$11,PalPassives_Names,0)+1,MATCH("EffectType2",PalPassives_Header,0))="Defense",INDEX(PalPassives,MATCH($F$11,PalPassives_Names,0)+1,MATCH("TargetType2",PalPassives_Header,0))="Self"),INDEX(PalPassives,MATCH($F$11,PalPassives_Names,0)+1,MATCH("EffectValue2",PalPassives_Header,0)),),IF(AND(INDEX(PalPassives,MATCH($F$11,PalPassives_Names,0)+1,MATCH("EffectType3",PalPassives_Header,0))="Defense",INDEX(PalPassives,MATCH($F$11,PalPassives_Names,0)+1,MATCH("TargetType3",PalPassives_Header,0))="Self"),INDEX(PalPassives,MATCH($F$11,PalPassives_Names,0)+1,MATCH("EffectValue3",PalPassives_Header,0)),)),0)    +   IFERROR(SUM(IF(AND(INDEX(PalPassives,MATCH($H$11,PalPassives_Names,0)+1,MATCH("EffectType1",PalPassives_Header,0))="Defense",INDEX(PalPassives,MATCH($H$11,PalPassives_Names,0)+1,MATCH("TargetType1",PalPassives_Header,0))="Self"),INDEX(PalPassives,MATCH($H$11,PalPassives_Names,0)+1,MATCH("EffectValue1",PalPassives_Header,0)),),IF(AND(INDEX(PalPassives,MATCH($H$11,PalPassives_Names,0)+1,MATCH("EffectType2",PalPassives_Header,0))="Defense",INDEX(PalPassives,MATCH($H$11,PalPassives_Names,0)+1,MATCH("TargetType2",PalPassives_Header,0))="Self"),INDEX(PalPassives,MATCH($H$11,PalPassives_Names,0)+1,MATCH("EffectValue2",PalPassives_Header,0)),),IF(AND(INDEX(PalPassives,MATCH($H$11,PalPassives_Names,0)+1,MATCH("EffectType3",PalPassives_Header,0))="Defense",INDEX(PalPassives,MATCH($H$11,PalPassives_Names,0)+1,MATCH("TargetType3",PalPassives_Header,0))="Self"),INDEX(PalPassives,MATCH($H$11,PalPassives_Names,0)+1,MATCH("EffectValue3",PalPassives_Header,0)),)),0)) / 100 + 1 + $C$14</f>
        <v>1</v>
      </c>
      <c r="X6" s="87" t="n">
        <f aca="false">IF($C$3,C7,0)</f>
        <v>0</v>
      </c>
      <c r="Y6" s="88" t="n">
        <f aca="false">IF($C$3,0.05*$C$9,0)</f>
        <v>0</v>
      </c>
      <c r="Z6" s="3"/>
      <c r="AA6" s="3"/>
      <c r="AB6" s="3"/>
    </row>
    <row r="7" customFormat="false" ht="15.75" hidden="false" customHeight="true" outlineLevel="0" collapsed="false">
      <c r="A7" s="64"/>
      <c r="B7" s="69" t="s">
        <v>175</v>
      </c>
      <c r="C7" s="102" t="n">
        <v>0</v>
      </c>
      <c r="D7" s="3"/>
      <c r="E7" s="64"/>
      <c r="F7" s="76"/>
      <c r="G7" s="76"/>
      <c r="H7" s="77" t="s">
        <v>176</v>
      </c>
      <c r="I7" s="91" t="n">
        <v>107</v>
      </c>
      <c r="J7" s="64"/>
      <c r="K7" s="67" t="s">
        <v>177</v>
      </c>
      <c r="L7" s="67"/>
      <c r="M7" s="67"/>
      <c r="O7" s="103" t="s">
        <v>175</v>
      </c>
      <c r="P7" s="104" t="n">
        <f aca="false">FLOOR(FLOOR(50 +$U$6  * 0.075 *$I$4  * (1 + 0),1) * ($V$6) * (1+$X$6) * (1+$Y$4),1)</f>
        <v>95</v>
      </c>
      <c r="Q7" s="104" t="n">
        <f aca="false">FLOOR(FLOOR(50 +$U$6  * 0.075 *$I$4 * (1 + 0.15),1) * ($V$6) * (1+$X$6) * (1+$Y$4),1)</f>
        <v>101</v>
      </c>
      <c r="R7" s="105" t="n">
        <f aca="false">FLOOR(FLOOR(50 +$U$6  * 0.075 *$I$4 * (1 + 0.3),1) * ($V$6) * (1+$X$6) * (1+$Y$4),1)</f>
        <v>108</v>
      </c>
      <c r="S7" s="3"/>
      <c r="T7" s="3"/>
      <c r="U7" s="3"/>
      <c r="V7" s="3"/>
      <c r="W7" s="3"/>
      <c r="X7" s="3"/>
      <c r="Y7" s="3"/>
      <c r="Z7" s="3"/>
      <c r="AA7" s="3"/>
      <c r="AB7" s="3"/>
    </row>
    <row r="8" customFormat="false" ht="15.75" hidden="false" customHeight="false" outlineLevel="0" collapsed="false">
      <c r="A8" s="64"/>
      <c r="B8" s="75" t="s">
        <v>178</v>
      </c>
      <c r="C8" s="75"/>
      <c r="D8" s="3"/>
      <c r="E8" s="64"/>
      <c r="F8" s="76"/>
      <c r="G8" s="76"/>
      <c r="H8" s="89"/>
      <c r="I8" s="106"/>
      <c r="J8" s="3"/>
      <c r="K8" s="67"/>
      <c r="L8" s="67"/>
      <c r="M8" s="67"/>
      <c r="O8" s="107" t="s">
        <v>179</v>
      </c>
      <c r="P8" s="107"/>
      <c r="Q8" s="107"/>
      <c r="R8" s="107"/>
      <c r="S8" s="3"/>
      <c r="T8" s="3"/>
      <c r="U8" s="3"/>
      <c r="V8" s="3"/>
      <c r="W8" s="3"/>
      <c r="X8" s="3"/>
      <c r="Y8" s="3"/>
      <c r="Z8" s="3"/>
      <c r="AA8" s="3"/>
      <c r="AB8" s="3"/>
    </row>
    <row r="9" customFormat="false" ht="15.75" hidden="false" customHeight="false" outlineLevel="0" collapsed="false">
      <c r="A9" s="64"/>
      <c r="B9" s="69" t="s">
        <v>180</v>
      </c>
      <c r="C9" s="108" t="n">
        <v>0</v>
      </c>
      <c r="D9" s="3"/>
      <c r="E9" s="3"/>
      <c r="F9" s="109" t="s">
        <v>181</v>
      </c>
      <c r="G9" s="109"/>
      <c r="H9" s="109"/>
      <c r="I9" s="109"/>
      <c r="J9" s="3"/>
      <c r="K9" s="92" t="s">
        <v>168</v>
      </c>
      <c r="L9" s="110" t="n">
        <f aca="false">MEDIAN(0,$L$4/0.3*100,100)</f>
        <v>98.8888888888889</v>
      </c>
      <c r="M9" s="111" t="n">
        <f aca="false">MEDIAN(0,$M$4/0.3*100,100)</f>
        <v>100</v>
      </c>
      <c r="O9" s="44" t="s">
        <v>168</v>
      </c>
      <c r="P9" s="112" t="n">
        <f aca="false">($U$4  * 0.5 * (1 + 0) +5) * ($V$4) * (1+$X$4) * (1+$Y$4)</f>
        <v>35</v>
      </c>
      <c r="Q9" s="112" t="n">
        <f aca="false">($U$4  * 0.5 * (1 + 0.15) +5) * ($V$4) * (1+$X$4) * (1+$Y$4)</f>
        <v>39.5</v>
      </c>
      <c r="R9" s="113" t="n">
        <f aca="false">($U$4  * 0.5  * (1 + 0.3) +5) * ($V$4) * (1+$X$4) * (1+$Y$4)</f>
        <v>44</v>
      </c>
      <c r="S9" s="3"/>
      <c r="T9" s="3"/>
      <c r="U9" s="3"/>
      <c r="V9" s="3"/>
      <c r="W9" s="3"/>
      <c r="X9" s="3"/>
      <c r="Y9" s="3"/>
      <c r="Z9" s="3"/>
      <c r="AA9" s="3"/>
      <c r="AB9" s="3"/>
    </row>
    <row r="10" customFormat="false" ht="15.75" hidden="false" customHeight="false" outlineLevel="0" collapsed="false">
      <c r="A10" s="3"/>
      <c r="B10" s="3"/>
      <c r="C10" s="3"/>
      <c r="D10" s="3"/>
      <c r="E10" s="3"/>
      <c r="F10" s="114" t="s">
        <v>182</v>
      </c>
      <c r="G10" s="114"/>
      <c r="H10" s="115" t="s">
        <v>182</v>
      </c>
      <c r="I10" s="115"/>
      <c r="J10" s="3"/>
      <c r="K10" s="92" t="s">
        <v>173</v>
      </c>
      <c r="L10" s="110" t="n">
        <f aca="false">MEDIAN(0,$L$5*(10/3)*100,100)</f>
        <v>51.8518518518519</v>
      </c>
      <c r="M10" s="111" t="n">
        <f aca="false">MEDIAN(0,$M$5*(10/3)*100,100)</f>
        <v>59.2592592592593</v>
      </c>
      <c r="O10" s="47" t="s">
        <v>173</v>
      </c>
      <c r="P10" s="116" t="n">
        <f aca="false">($U$5  * 0.075  * (1 + 0)) * ($V$5) * (1+$X$5) * (1+$Y$4)</f>
        <v>4.5</v>
      </c>
      <c r="Q10" s="116" t="n">
        <f aca="false">($U$5  * 0.075 * (1 + 0.15)) * ($V$5) * (1+$X$5) * (1+$Y$4)</f>
        <v>5.175</v>
      </c>
      <c r="R10" s="117" t="n">
        <f aca="false">($U$5  * 0.075  * (1 + 0.3)) * ($V$5) * (1+$X$5) * (1+$Y$4)</f>
        <v>5.85</v>
      </c>
      <c r="S10" s="3"/>
      <c r="T10" s="3"/>
      <c r="U10" s="3"/>
      <c r="V10" s="3"/>
      <c r="W10" s="3"/>
      <c r="X10" s="3"/>
      <c r="Y10" s="3"/>
      <c r="Z10" s="3"/>
      <c r="AA10" s="3"/>
      <c r="AB10" s="3"/>
    </row>
    <row r="11" customFormat="false" ht="15.75" hidden="false" customHeight="false" outlineLevel="0" collapsed="false">
      <c r="A11" s="3"/>
      <c r="B11" s="118" t="s">
        <v>183</v>
      </c>
      <c r="C11" s="118"/>
      <c r="E11" s="3"/>
      <c r="F11" s="119" t="s">
        <v>182</v>
      </c>
      <c r="G11" s="119"/>
      <c r="H11" s="120" t="s">
        <v>182</v>
      </c>
      <c r="I11" s="120"/>
      <c r="J11" s="3"/>
      <c r="K11" s="97" t="s">
        <v>175</v>
      </c>
      <c r="L11" s="121" t="n">
        <f aca="false">MEDIAN(0,$L$6*(10/3)*100,100)</f>
        <v>88.8888888888889</v>
      </c>
      <c r="M11" s="122" t="n">
        <f aca="false">MEDIAN(0,$M$6*(10/3)*100,100)</f>
        <v>96.2962962962963</v>
      </c>
      <c r="O11" s="123" t="s">
        <v>175</v>
      </c>
      <c r="P11" s="124" t="n">
        <f aca="false">($U$6  * 0.075  * (1 + 0)) * ($V$6) * (1+$X$6) * (1+$Y$4)</f>
        <v>4.5</v>
      </c>
      <c r="Q11" s="124" t="n">
        <f aca="false">($U$6  * 0.075 * (1 + 0.15)) * ($V$6) * (1+$X$6) * (1+$Y$4)</f>
        <v>5.175</v>
      </c>
      <c r="R11" s="125" t="n">
        <f aca="false">($U$6  * 0.075  * (1 + 0.3)) * ($V$6) * (1+$X$6) * (1+$Y$4)</f>
        <v>5.85</v>
      </c>
      <c r="S11" s="3"/>
      <c r="T11" s="3"/>
      <c r="U11" s="3"/>
      <c r="V11" s="3"/>
      <c r="W11" s="3"/>
      <c r="X11" s="3"/>
      <c r="Y11" s="3"/>
      <c r="Z11" s="3"/>
      <c r="AA11" s="3"/>
      <c r="AB11" s="3"/>
    </row>
    <row r="12" customFormat="false" ht="15.75" hidden="false" customHeight="false" outlineLevel="0" collapsed="false">
      <c r="A12" s="3"/>
      <c r="B12" s="126" t="s">
        <v>168</v>
      </c>
      <c r="C12" s="127" t="n">
        <v>0</v>
      </c>
      <c r="E12" s="3"/>
      <c r="F12" s="3"/>
      <c r="G12" s="3"/>
      <c r="H12" s="3"/>
      <c r="I12" s="3"/>
      <c r="J12" s="3"/>
      <c r="N12" s="3"/>
      <c r="O12" s="63"/>
      <c r="P12" s="63"/>
      <c r="Q12" s="63"/>
      <c r="R12" s="63"/>
      <c r="S12" s="3"/>
      <c r="T12" s="3"/>
      <c r="U12" s="3"/>
      <c r="V12" s="3"/>
      <c r="W12" s="3"/>
      <c r="X12" s="3"/>
      <c r="Y12" s="3"/>
      <c r="Z12" s="3"/>
      <c r="AA12" s="3"/>
      <c r="AB12" s="3"/>
    </row>
    <row r="13" customFormat="false" ht="15.75" hidden="false" customHeight="false" outlineLevel="0" collapsed="false">
      <c r="A13" s="3"/>
      <c r="B13" s="126" t="s">
        <v>173</v>
      </c>
      <c r="C13" s="127" t="n">
        <v>0</v>
      </c>
      <c r="E13" s="3"/>
      <c r="F13" s="128" t="s">
        <v>184</v>
      </c>
      <c r="G13" s="128"/>
      <c r="H13" s="129" t="n">
        <v>50</v>
      </c>
      <c r="I13" s="3"/>
      <c r="J13" s="3"/>
      <c r="K13" s="3"/>
      <c r="L13" s="3"/>
      <c r="M13" s="3"/>
      <c r="N13" s="64"/>
      <c r="O13" s="130" t="s">
        <v>185</v>
      </c>
      <c r="P13" s="130"/>
      <c r="Q13" s="130"/>
      <c r="R13" s="130"/>
      <c r="S13" s="3"/>
      <c r="T13" s="3"/>
      <c r="U13" s="3"/>
      <c r="V13" s="3"/>
      <c r="W13" s="3"/>
      <c r="X13" s="3"/>
      <c r="Y13" s="3"/>
      <c r="Z13" s="3"/>
      <c r="AA13" s="3"/>
      <c r="AB13" s="3"/>
    </row>
    <row r="14" customFormat="false" ht="15.75" hidden="false" customHeight="false" outlineLevel="0" collapsed="false">
      <c r="A14" s="3"/>
      <c r="B14" s="131" t="s">
        <v>175</v>
      </c>
      <c r="C14" s="132" t="n">
        <v>0</v>
      </c>
      <c r="E14" s="3"/>
      <c r="F14" s="126" t="s">
        <v>168</v>
      </c>
      <c r="G14" s="133" t="n">
        <f aca="false">FLOOR(FLOOR(500 + 5*H13 +$U$4  * 0.5 *H13  * (1 + L4),1) * ($V$4) * (1+$X$4) * (1+$Y$4),1)</f>
        <v>2695</v>
      </c>
      <c r="H14" s="134" t="n">
        <f aca="false">FLOOR(FLOOR(500 +5*H13 +$U$4  * 0.5 *H13  * (1 + M4),1) * ($V$4) * (1+$X$4) * (1+$Y$4),1)</f>
        <v>2700</v>
      </c>
      <c r="I14" s="3"/>
      <c r="J14" s="3"/>
      <c r="K14" s="3"/>
      <c r="L14" s="3"/>
      <c r="M14" s="3"/>
      <c r="N14" s="64"/>
      <c r="O14" s="83"/>
      <c r="P14" s="83" t="s">
        <v>186</v>
      </c>
      <c r="Q14" s="135" t="s">
        <v>187</v>
      </c>
      <c r="R14" s="84" t="s">
        <v>188</v>
      </c>
      <c r="S14" s="3"/>
      <c r="T14" s="3"/>
      <c r="U14" s="3"/>
      <c r="V14" s="3"/>
      <c r="W14" s="3"/>
      <c r="X14" s="3"/>
      <c r="Y14" s="3"/>
      <c r="Z14" s="3"/>
      <c r="AA14" s="3"/>
      <c r="AB14" s="3"/>
    </row>
    <row r="15" customFormat="false" ht="15.75" hidden="false" customHeight="false" outlineLevel="0" collapsed="false">
      <c r="A15" s="3"/>
      <c r="E15" s="3"/>
      <c r="F15" s="136" t="s">
        <v>173</v>
      </c>
      <c r="G15" s="137" t="n">
        <f aca="false">FLOOR(FLOOR(100 +$U$5  * 0.075 *H13  * (1 + L5),1) * ($V$5) * (1+$X$5) * (1+$Y$4),1)</f>
        <v>360</v>
      </c>
      <c r="H15" s="138" t="n">
        <f aca="false">FLOOR(FLOOR(100 +$U$5  * 0.075 *H13  * (1 + M5),1) * ($V$5) * (1+$X$5) * (1+$Y$4),1)</f>
        <v>365</v>
      </c>
      <c r="J15" s="3"/>
      <c r="K15" s="3"/>
      <c r="L15" s="3"/>
      <c r="M15" s="3"/>
      <c r="N15" s="64"/>
      <c r="O15" s="45" t="s">
        <v>168</v>
      </c>
      <c r="P15" s="139" t="n">
        <v>0.267</v>
      </c>
      <c r="Q15" s="95" t="n">
        <f aca="false">FLOOR(FLOOR(500 + 5*$I$4 +$U$4  * 0.5 * $I$4 * (1 + $P$15),1) * ($V$4) * (1+$X$4) * (1+$Y$4),1)</f>
        <v>930</v>
      </c>
      <c r="R15" s="113" t="n">
        <f aca="false">($U$4  * 0.5 * (1 + $P$15) +5) * ($V$4) * (1+$X$4) * (1+$Y$4)</f>
        <v>43.01</v>
      </c>
      <c r="S15" s="3"/>
      <c r="T15" s="3"/>
      <c r="U15" s="3"/>
      <c r="V15" s="3"/>
      <c r="W15" s="3"/>
      <c r="X15" s="3"/>
      <c r="Y15" s="3"/>
      <c r="Z15" s="3"/>
      <c r="AA15" s="3"/>
      <c r="AB15" s="3"/>
    </row>
    <row r="16" customFormat="false" ht="15.75" hidden="false" customHeight="false" outlineLevel="0" collapsed="false">
      <c r="A16" s="3"/>
      <c r="E16" s="3"/>
      <c r="F16" s="131" t="s">
        <v>175</v>
      </c>
      <c r="G16" s="140" t="n">
        <f aca="false">FLOOR(FLOOR(50 +$U$6  * 0.075 *H13  * (1 + L6),1) * ($V$6) * (1+$X$6) * (1+$Y$4),1)</f>
        <v>335</v>
      </c>
      <c r="H16" s="141" t="n">
        <f aca="false">FLOOR(FLOOR(50 +$U$6  * 0.075 *H13  * (1 + M6),1) * ($V$6) * (1+$X$6) * (1+$Y$4),1)</f>
        <v>340</v>
      </c>
      <c r="J16" s="3"/>
      <c r="K16" s="3"/>
      <c r="L16" s="3"/>
      <c r="M16" s="3"/>
      <c r="N16" s="64"/>
      <c r="O16" s="48" t="s">
        <v>173</v>
      </c>
      <c r="P16" s="139" t="n">
        <v>0.231</v>
      </c>
      <c r="Q16" s="100" t="n">
        <f aca="false">FLOOR(FLOOR(100 +$U$5  * 0.075 * $I$4 * (1 + $P$16),1) * ($V$5) * (1+$X$5) * (1+$Y$4),1)</f>
        <v>155</v>
      </c>
      <c r="R16" s="117" t="n">
        <f aca="false">($U$5  * 0.075  * (1 + $P$16)) * ($V$5) * (1+$X$5) * (1+$Y$4)</f>
        <v>5.5395</v>
      </c>
      <c r="S16" s="3"/>
      <c r="T16" s="3"/>
      <c r="U16" s="3"/>
      <c r="V16" s="3"/>
      <c r="W16" s="3"/>
      <c r="X16" s="3"/>
      <c r="Y16" s="3"/>
      <c r="Z16" s="3"/>
      <c r="AA16" s="3"/>
      <c r="AB16" s="3"/>
    </row>
    <row r="17" customFormat="false" ht="15.75" hidden="false" customHeight="false" outlineLevel="0" collapsed="false">
      <c r="A17" s="3"/>
      <c r="M17" s="3"/>
      <c r="N17" s="64"/>
      <c r="O17" s="45" t="s">
        <v>175</v>
      </c>
      <c r="P17" s="139" t="n">
        <v>0.159</v>
      </c>
      <c r="Q17" s="95" t="n">
        <f aca="false">FLOOR(FLOOR(50 +$U$6  * 0.075 *$I$4  * (1 + $P$17),1) * ($V$6) * (1+$X$6) * (1+$Y$4),1)</f>
        <v>102</v>
      </c>
      <c r="R17" s="113" t="n">
        <f aca="false">($U$6  * 0.075  * (1 + $P$17)) * ($V$6) * (1+$X$6) * (1+$Y$4)</f>
        <v>5.2155</v>
      </c>
      <c r="S17" s="3"/>
      <c r="T17" s="3"/>
      <c r="U17" s="3"/>
      <c r="V17" s="3"/>
      <c r="W17" s="3"/>
      <c r="X17" s="3"/>
      <c r="Y17" s="3"/>
      <c r="Z17" s="3"/>
      <c r="AA17" s="3"/>
      <c r="AB17" s="3"/>
    </row>
    <row r="18" customFormat="false" ht="15.75" hidden="false" customHeight="false" outlineLevel="0" collapsed="false">
      <c r="A18" s="3"/>
      <c r="M18" s="3"/>
      <c r="N18" s="3"/>
      <c r="O18" s="128" t="s">
        <v>189</v>
      </c>
      <c r="P18" s="128"/>
      <c r="Q18" s="128"/>
      <c r="R18" s="128"/>
      <c r="S18" s="3"/>
      <c r="T18" s="3"/>
      <c r="U18" s="3"/>
      <c r="V18" s="3"/>
      <c r="W18" s="3"/>
      <c r="X18" s="3"/>
      <c r="Y18" s="3"/>
      <c r="Z18" s="3"/>
      <c r="AA18" s="3"/>
      <c r="AB18" s="3"/>
    </row>
    <row r="19" customFormat="false" ht="15.75" hidden="false" customHeight="false" outlineLevel="0" collapsed="false">
      <c r="A19" s="3"/>
      <c r="M19" s="3"/>
      <c r="O19" s="142" t="s">
        <v>190</v>
      </c>
      <c r="P19" s="142"/>
      <c r="Q19" s="143" t="s">
        <v>187</v>
      </c>
      <c r="R19" s="144" t="s">
        <v>188</v>
      </c>
      <c r="S19" s="3"/>
      <c r="T19" s="3"/>
      <c r="U19" s="3"/>
      <c r="V19" s="3"/>
      <c r="W19" s="3"/>
      <c r="X19" s="3"/>
      <c r="Y19" s="3"/>
      <c r="Z19" s="3"/>
      <c r="AA19" s="3"/>
      <c r="AB19" s="3"/>
    </row>
    <row r="20" customFormat="false" ht="15.75" hidden="false" customHeight="false" outlineLevel="0" collapsed="false">
      <c r="A20" s="3"/>
      <c r="M20" s="74"/>
      <c r="O20" s="44" t="s">
        <v>168</v>
      </c>
      <c r="P20" s="145" t="n">
        <v>89</v>
      </c>
      <c r="Q20" s="62" t="n">
        <f aca="false">FLOOR(FLOOR(500 + 5*$I$4 +$U$4  * 0.5 * $I$4 * (1 + P20*0.3/100),1) * ($V$4) * (1+$X$4) * (1+$Y$4),1)</f>
        <v>930</v>
      </c>
      <c r="R20" s="113" t="n">
        <f aca="false">($U$4  * 0.5 * (1 + P20*0.3/100) +5) * ($V$4) * (1+$X$4) * (1+$Y$4)</f>
        <v>43.01</v>
      </c>
      <c r="S20" s="3"/>
      <c r="T20" s="3"/>
      <c r="U20" s="3"/>
      <c r="V20" s="3"/>
      <c r="W20" s="3"/>
      <c r="X20" s="3"/>
      <c r="Y20" s="3"/>
      <c r="Z20" s="3"/>
      <c r="AA20" s="3"/>
      <c r="AB20" s="3"/>
    </row>
    <row r="21" customFormat="false" ht="15.75" hidden="false" customHeight="false" outlineLevel="0" collapsed="false">
      <c r="A21" s="3"/>
      <c r="M21" s="74"/>
      <c r="O21" s="47" t="s">
        <v>173</v>
      </c>
      <c r="P21" s="145" t="n">
        <v>77</v>
      </c>
      <c r="Q21" s="61" t="n">
        <f aca="false">FLOOR(FLOOR(100 +$U$5  * 0.075 * $I$4 * (1 + P21/(10/3)/100),1) * ($V$5) * (1+$X$5) * (1+$Y$4),1)</f>
        <v>155</v>
      </c>
      <c r="R21" s="117" t="n">
        <f aca="false">($U$5  * 0.075  * (1 + $P$21/(10/3)/100)) * ($V$5) * (1+$X$5) * (1+$Y$4)</f>
        <v>5.5395</v>
      </c>
      <c r="S21" s="3"/>
      <c r="T21" s="3"/>
      <c r="U21" s="3"/>
      <c r="V21" s="3"/>
      <c r="W21" s="3"/>
      <c r="X21" s="3"/>
      <c r="Y21" s="3"/>
      <c r="Z21" s="3"/>
      <c r="AA21" s="3"/>
      <c r="AB21" s="3"/>
    </row>
    <row r="22" customFormat="false" ht="15.75" hidden="false" customHeight="false" outlineLevel="0" collapsed="false">
      <c r="A22" s="3"/>
      <c r="M22" s="74"/>
      <c r="O22" s="123" t="s">
        <v>175</v>
      </c>
      <c r="P22" s="146" t="n">
        <v>53</v>
      </c>
      <c r="Q22" s="147" t="n">
        <f aca="false">FLOOR(FLOOR(50 +$U$6  * 0.075 *$I$4  * (1 + P22/(10/3)/100),1) * ($V$6) * (1+$X$6) * (1+$Y$4),1)</f>
        <v>102</v>
      </c>
      <c r="R22" s="125" t="n">
        <f aca="false">($U$6  * 0.075  * (1 + P22/(10/3)/100)) * ($V$6) * (1+$X$6) * (1+$Y$4)</f>
        <v>5.2155</v>
      </c>
      <c r="S22" s="3"/>
      <c r="T22" s="3"/>
      <c r="U22" s="3"/>
      <c r="V22" s="3"/>
      <c r="W22" s="3"/>
      <c r="X22" s="3"/>
      <c r="Y22" s="3"/>
      <c r="Z22" s="3"/>
      <c r="AA22" s="3"/>
      <c r="AB22" s="3"/>
    </row>
    <row r="23" customFormat="false" ht="15.75" hidden="false" customHeight="false" outlineLevel="0" collapsed="false">
      <c r="A23" s="3"/>
      <c r="B23" s="3"/>
      <c r="C23" s="3"/>
      <c r="D23" s="3"/>
      <c r="J23" s="3"/>
      <c r="K23" s="3"/>
      <c r="L23" s="3"/>
      <c r="M23" s="3"/>
      <c r="S23" s="3"/>
      <c r="T23" s="3"/>
      <c r="U23" s="3"/>
      <c r="V23" s="3"/>
      <c r="W23" s="3"/>
      <c r="X23" s="3"/>
      <c r="Y23" s="3"/>
      <c r="Z23" s="3"/>
      <c r="AA23" s="3"/>
      <c r="AB23" s="3"/>
    </row>
    <row r="24" customFormat="false" ht="15.75" hidden="false" customHeight="false" outlineLevel="0" collapsed="false">
      <c r="A24" s="3"/>
      <c r="B24" s="3"/>
      <c r="C24" s="3"/>
      <c r="D24" s="3"/>
      <c r="J24" s="3"/>
      <c r="K24" s="3"/>
      <c r="L24" s="3"/>
      <c r="M24" s="3"/>
      <c r="N24" s="148" t="s">
        <v>191</v>
      </c>
      <c r="O24" s="148"/>
      <c r="P24" s="148"/>
      <c r="Q24" s="148"/>
      <c r="R24" s="148"/>
      <c r="S24" s="3"/>
      <c r="T24" s="3"/>
      <c r="U24" s="3"/>
      <c r="V24" s="3"/>
      <c r="W24" s="3"/>
      <c r="X24" s="3"/>
      <c r="Y24" s="3"/>
      <c r="Z24" s="3"/>
      <c r="AA24" s="3"/>
      <c r="AB24" s="3"/>
    </row>
    <row r="25" customFormat="false" ht="15.75" hidden="false" customHeight="false" outlineLevel="0" collapsed="false">
      <c r="A25" s="3"/>
      <c r="J25" s="3"/>
      <c r="K25" s="3"/>
      <c r="L25" s="3"/>
      <c r="M25" s="3"/>
      <c r="N25" s="73" t="s">
        <v>192</v>
      </c>
      <c r="O25" s="73"/>
      <c r="P25" s="73"/>
      <c r="Q25" s="149" t="s">
        <v>193</v>
      </c>
      <c r="R25" s="149"/>
      <c r="S25" s="3"/>
      <c r="T25" s="3"/>
      <c r="U25" s="3"/>
      <c r="V25" s="3"/>
      <c r="W25" s="3"/>
      <c r="X25" s="3"/>
      <c r="Y25" s="3"/>
      <c r="Z25" s="3"/>
      <c r="AA25" s="3"/>
      <c r="AB25" s="3"/>
    </row>
    <row r="26" customFormat="false" ht="15.75" hidden="false" customHeight="false" outlineLevel="0" collapsed="false">
      <c r="A26" s="3"/>
      <c r="J26" s="74"/>
      <c r="K26" s="74"/>
      <c r="L26" s="74"/>
      <c r="M26" s="74"/>
      <c r="N26" s="150"/>
      <c r="O26" s="151" t="s">
        <v>194</v>
      </c>
      <c r="P26" s="152" t="s">
        <v>195</v>
      </c>
      <c r="Q26" s="151" t="s">
        <v>195</v>
      </c>
      <c r="R26" s="153" t="s">
        <v>194</v>
      </c>
      <c r="S26" s="3"/>
      <c r="T26" s="3"/>
      <c r="U26" s="3"/>
      <c r="V26" s="3"/>
      <c r="W26" s="3"/>
      <c r="X26" s="3"/>
      <c r="Y26" s="3"/>
      <c r="Z26" s="3"/>
      <c r="AA26" s="3"/>
      <c r="AB26" s="3"/>
    </row>
    <row r="27" customFormat="false" ht="15.75" hidden="false" customHeight="false" outlineLevel="0" collapsed="false">
      <c r="A27" s="3"/>
      <c r="I27" s="74"/>
      <c r="J27" s="74"/>
      <c r="K27" s="74"/>
      <c r="L27" s="74"/>
      <c r="M27" s="74"/>
      <c r="N27" s="154" t="s">
        <v>168</v>
      </c>
      <c r="O27" s="155" t="n">
        <v>89</v>
      </c>
      <c r="P27" s="156" t="n">
        <f aca="false">O27*0.3/100</f>
        <v>0.267</v>
      </c>
      <c r="Q27" s="157" t="n">
        <v>0.3</v>
      </c>
      <c r="R27" s="158" t="n">
        <f aca="false">Q27/0.3*100</f>
        <v>100</v>
      </c>
      <c r="S27" s="3"/>
      <c r="T27" s="3"/>
      <c r="U27" s="3"/>
      <c r="V27" s="3"/>
      <c r="W27" s="3"/>
      <c r="X27" s="3"/>
      <c r="Y27" s="3"/>
      <c r="Z27" s="3"/>
      <c r="AA27" s="3"/>
      <c r="AB27" s="3"/>
    </row>
    <row r="28" customFormat="false" ht="15.75" hidden="false" customHeight="false" outlineLevel="0" collapsed="false">
      <c r="A28" s="3"/>
      <c r="I28" s="74"/>
      <c r="J28" s="74"/>
      <c r="K28" s="74"/>
      <c r="L28" s="74"/>
      <c r="M28" s="74"/>
      <c r="N28" s="154" t="s">
        <v>173</v>
      </c>
      <c r="O28" s="155" t="n">
        <v>77</v>
      </c>
      <c r="P28" s="156" t="n">
        <f aca="false">O28/(10/3)/100</f>
        <v>0.231</v>
      </c>
      <c r="Q28" s="157" t="n">
        <v>0.3</v>
      </c>
      <c r="R28" s="158" t="n">
        <f aca="false">Q28*(10/3)*100</f>
        <v>100</v>
      </c>
      <c r="S28" s="3"/>
      <c r="T28" s="3"/>
      <c r="U28" s="3"/>
      <c r="V28" s="3"/>
      <c r="W28" s="3"/>
      <c r="X28" s="3"/>
      <c r="Y28" s="3"/>
      <c r="Z28" s="3"/>
      <c r="AA28" s="3"/>
      <c r="AB28" s="3"/>
    </row>
    <row r="29" customFormat="false" ht="15.75" hidden="false" customHeight="false" outlineLevel="0" collapsed="false">
      <c r="A29" s="3"/>
      <c r="I29" s="3"/>
      <c r="J29" s="3"/>
      <c r="K29" s="3"/>
      <c r="L29" s="3"/>
      <c r="M29" s="3"/>
      <c r="N29" s="159" t="s">
        <v>175</v>
      </c>
      <c r="O29" s="160" t="n">
        <v>53</v>
      </c>
      <c r="P29" s="161" t="n">
        <f aca="false">O29/(10/3)/100</f>
        <v>0.159</v>
      </c>
      <c r="Q29" s="162" t="n">
        <v>0.15</v>
      </c>
      <c r="R29" s="163" t="n">
        <f aca="false">Q29*(10/3)*100</f>
        <v>50</v>
      </c>
      <c r="S29" s="3"/>
      <c r="T29" s="3"/>
      <c r="U29" s="3"/>
      <c r="V29" s="3"/>
      <c r="W29" s="3"/>
      <c r="X29" s="3"/>
      <c r="Y29" s="3"/>
      <c r="Z29" s="3"/>
      <c r="AA29" s="3"/>
      <c r="AB29" s="3"/>
    </row>
    <row r="30" customFormat="false" ht="15.75" hidden="false" customHeight="false" outlineLevel="0" collapsed="false">
      <c r="A30" s="3"/>
      <c r="I30" s="3"/>
      <c r="J30" s="3"/>
      <c r="K30" s="3"/>
      <c r="L30" s="3"/>
      <c r="M30" s="3"/>
      <c r="N30" s="3"/>
      <c r="S30" s="3"/>
      <c r="T30" s="3"/>
      <c r="U30" s="3"/>
      <c r="V30" s="3"/>
      <c r="W30" s="3"/>
      <c r="X30" s="3"/>
      <c r="Y30" s="3"/>
      <c r="Z30" s="3"/>
      <c r="AA30" s="3"/>
      <c r="AB30" s="3"/>
    </row>
    <row r="31" customFormat="false" ht="15.75" hidden="false" customHeight="false" outlineLevel="0" collapsed="false">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row>
  </sheetData>
  <mergeCells count="25">
    <mergeCell ref="B2:C2"/>
    <mergeCell ref="F2:I2"/>
    <mergeCell ref="K2:M3"/>
    <mergeCell ref="O2:R2"/>
    <mergeCell ref="T2:W2"/>
    <mergeCell ref="G3:I3"/>
    <mergeCell ref="O3:R3"/>
    <mergeCell ref="B4:C4"/>
    <mergeCell ref="F4:G8"/>
    <mergeCell ref="K7:M8"/>
    <mergeCell ref="B8:C8"/>
    <mergeCell ref="O8:R8"/>
    <mergeCell ref="F9:I9"/>
    <mergeCell ref="F10:G10"/>
    <mergeCell ref="H10:I10"/>
    <mergeCell ref="B11:C11"/>
    <mergeCell ref="F11:G11"/>
    <mergeCell ref="H11:I11"/>
    <mergeCell ref="F13:G13"/>
    <mergeCell ref="O13:R13"/>
    <mergeCell ref="O18:R18"/>
    <mergeCell ref="O19:P19"/>
    <mergeCell ref="N24:R24"/>
    <mergeCell ref="N25:P25"/>
    <mergeCell ref="Q25:R25"/>
  </mergeCells>
  <conditionalFormatting sqref="L4:M4">
    <cfRule type="colorScale" priority="2">
      <colorScale>
        <cfvo type="formula" val="0"/>
        <cfvo type="formula" val="0.15"/>
        <cfvo type="formula" val="0.3"/>
        <color rgb="FFE06666"/>
        <color rgb="FFFFD966"/>
        <color rgb="FF93C47D"/>
      </colorScale>
    </cfRule>
  </conditionalFormatting>
  <conditionalFormatting sqref="L5:M6 S23:AB24 J25">
    <cfRule type="colorScale" priority="3">
      <colorScale>
        <cfvo type="formula" val="0"/>
        <cfvo type="formula" val="0.15"/>
        <cfvo type="formula" val="0.3"/>
        <color rgb="FFE06666"/>
        <color rgb="FFFFD966"/>
        <color rgb="FF93C47D"/>
      </colorScale>
    </cfRule>
  </conditionalFormatting>
  <conditionalFormatting sqref="L9:M12">
    <cfRule type="colorScale" priority="4">
      <colorScale>
        <cfvo type="formula" val="0"/>
        <cfvo type="formula" val="50"/>
        <cfvo type="formula" val="100"/>
        <color rgb="FFE06666"/>
        <color rgb="FFFFD966"/>
        <color rgb="FF93C47D"/>
      </colorScale>
    </cfRule>
  </conditionalFormatting>
  <dataValidations count="12">
    <dataValidation allowBlank="true" errorStyle="stop" operator="between" prompt="Enter a number between 1 and 50" showDropDown="true" showErrorMessage="true" showInputMessage="true" sqref="H13" type="decimal">
      <formula1>1</formula1>
      <formula2>50</formula2>
    </dataValidation>
    <dataValidation allowBlank="true" errorStyle="stop" operator="between" prompt="Enter a number between 1 and 99999" showDropDown="true" showErrorMessage="true" showInputMessage="true" sqref="I5:I7" type="decimal">
      <formula1>1</formula1>
      <formula2>99999</formula2>
    </dataValidation>
    <dataValidation allowBlank="true" errorStyle="stop" operator="between" prompt="Enter percentage between 0 and 30%." showDropDown="true" showErrorMessage="true" showInputMessage="true" sqref="P16:P17" type="decimal">
      <formula1>0</formula1>
      <formula2>0.3</formula2>
    </dataValidation>
    <dataValidation allowBlank="true" errorStyle="stop" operator="between" prompt="Enter a percentage between 0% and 30%" showDropDown="true" showErrorMessage="true" showInputMessage="true" sqref="Q28:Q29" type="decimal">
      <formula1>0</formula1>
      <formula2>0.3</formula2>
    </dataValidation>
    <dataValidation allowBlank="true" errorStyle="stop" operator="between" showDropDown="false" showErrorMessage="true" showInputMessage="false" sqref="F10:F11 H10:H11" type="list">
      <formula1>PalPassives_Names</formula1>
      <formula2>0</formula2>
    </dataValidation>
    <dataValidation allowBlank="true" errorStyle="stop" operator="between" prompt="Enter a number between 1 and 50" showDropDown="true" showErrorMessage="false" showInputMessage="true" sqref="I4" type="decimal">
      <formula1>1</formula1>
      <formula2>50</formula2>
    </dataValidation>
    <dataValidation allowBlank="true" errorStyle="stop" operator="between" showDropDown="false" showErrorMessage="true" showInputMessage="false" sqref="G3" type="list">
      <formula1>Data!$D$3:$D$148</formula1>
      <formula2>0</formula2>
    </dataValidation>
    <dataValidation allowBlank="true" errorStyle="stop" operator="between" prompt="Enter a percntage between -9999 and 9999." showDropDown="true" showErrorMessage="true" showInputMessage="true" sqref="C12:C14" type="decimal">
      <formula1>-9999</formula1>
      <formula2>9999</formula2>
    </dataValidation>
    <dataValidation allowBlank="true" errorStyle="stop" operator="between" showDropDown="false" showErrorMessage="true" showInputMessage="false" sqref="C9" type="list">
      <formula1>"0,1,2,3,4"</formula1>
      <formula2>0</formula2>
    </dataValidation>
    <dataValidation allowBlank="true" errorStyle="stop" operator="between" prompt="Enter a percentage between 0% and 30%." showDropDown="true" showErrorMessage="true" showInputMessage="true" sqref="P15 Q27" type="decimal">
      <formula1>0</formula1>
      <formula2>0.3</formula2>
    </dataValidation>
    <dataValidation allowBlank="true" errorStyle="stop" operator="between" prompt="Enter a number between 0% and 30%" showDropDown="true" showErrorMessage="true" showInputMessage="true" sqref="C5:C7" type="decimal">
      <formula1>0</formula1>
      <formula2>0.3</formula2>
    </dataValidation>
    <dataValidation allowBlank="true" errorStyle="stop" operator="between" prompt="Enter a number between 0 and 100" showDropDown="true" showErrorMessage="true" showInputMessage="true" sqref="P20:P22 O27:O29" type="decimal">
      <formula1>0</formula1>
      <formula2>100</formula2>
    </dataValidation>
  </dataValidations>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 r:id="rId4"/>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H14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4" ySplit="2" topLeftCell="E3" activePane="bottomRight" state="frozen"/>
      <selection pane="topLeft" activeCell="A1" activeCellId="0" sqref="A1"/>
      <selection pane="topRight" activeCell="E1" activeCellId="0" sqref="E1"/>
      <selection pane="bottomLeft" activeCell="A3" activeCellId="0" sqref="A3"/>
      <selection pane="bottomRight" activeCell="E3" activeCellId="0" sqref="E3"/>
    </sheetView>
  </sheetViews>
  <sheetFormatPr defaultColWidth="12.640625" defaultRowHeight="15.75" zeroHeight="false" outlineLevelRow="0" outlineLevelCol="0"/>
  <cols>
    <col collapsed="false" customWidth="true" hidden="false" outlineLevel="0" max="1" min="1" style="0" width="4.13"/>
    <col collapsed="false" customWidth="true" hidden="false" outlineLevel="0" max="2" min="2" style="0" width="2.12"/>
    <col collapsed="false" customWidth="true" hidden="false" outlineLevel="0" max="3" min="3" style="0" width="15.49"/>
    <col collapsed="false" customWidth="true" hidden="false" outlineLevel="0" max="4" min="4" style="0" width="4.5"/>
    <col collapsed="false" customWidth="true" hidden="false" outlineLevel="0" max="6" min="5" style="0" width="8.63"/>
    <col collapsed="false" customWidth="true" hidden="false" outlineLevel="0" max="7" min="7" style="0" width="4.63"/>
    <col collapsed="false" customWidth="true" hidden="false" outlineLevel="0" max="20" min="8" style="0" width="5.5"/>
    <col collapsed="false" customWidth="true" hidden="false" outlineLevel="0" max="21" min="21" style="0" width="8.38"/>
    <col collapsed="false" customWidth="true" hidden="false" outlineLevel="0" max="22" min="22" style="0" width="5.88"/>
    <col collapsed="false" customWidth="true" hidden="true" outlineLevel="0" max="23" min="23" style="0" width="5.5"/>
    <col collapsed="false" customWidth="true" hidden="false" outlineLevel="0" max="25" min="24" style="0" width="5.5"/>
    <col collapsed="false" customWidth="true" hidden="false" outlineLevel="0" max="26" min="26" style="0" width="8.63"/>
    <col collapsed="false" customWidth="true" hidden="false" outlineLevel="0" max="27" min="27" style="0" width="7.26"/>
    <col collapsed="false" customWidth="true" hidden="false" outlineLevel="0" max="28" min="28" style="0" width="7.49"/>
    <col collapsed="false" customWidth="true" hidden="false" outlineLevel="0" max="29" min="29" style="0" width="7.63"/>
    <col collapsed="false" customWidth="true" hidden="false" outlineLevel="0" max="30" min="30" style="0" width="7.87"/>
    <col collapsed="false" customWidth="true" hidden="false" outlineLevel="0" max="31" min="31" style="0" width="7.38"/>
    <col collapsed="false" customWidth="true" hidden="false" outlineLevel="0" max="32" min="32" style="0" width="6.88"/>
    <col collapsed="false" customWidth="true" hidden="false" outlineLevel="0" max="33" min="33" style="0" width="6.38"/>
    <col collapsed="false" customWidth="true" hidden="false" outlineLevel="0" max="34" min="34" style="0" width="5.5"/>
  </cols>
  <sheetData>
    <row r="1" customFormat="false" ht="15.75" hidden="false" customHeight="false" outlineLevel="0" collapsed="false">
      <c r="A1" s="164"/>
      <c r="B1" s="165"/>
      <c r="C1" s="166" t="s">
        <v>196</v>
      </c>
      <c r="D1" s="167"/>
      <c r="E1" s="164"/>
      <c r="F1" s="164"/>
      <c r="G1" s="167"/>
      <c r="H1" s="168" t="s">
        <v>197</v>
      </c>
      <c r="I1" s="168"/>
      <c r="J1" s="168"/>
      <c r="K1" s="168"/>
      <c r="L1" s="168"/>
      <c r="M1" s="168"/>
      <c r="N1" s="168"/>
      <c r="O1" s="168"/>
      <c r="P1" s="168"/>
      <c r="Q1" s="168"/>
      <c r="R1" s="168"/>
      <c r="S1" s="168"/>
      <c r="T1" s="164"/>
      <c r="U1" s="6"/>
      <c r="V1" s="169" t="s">
        <v>198</v>
      </c>
      <c r="W1" s="169"/>
      <c r="X1" s="169"/>
      <c r="Y1" s="169"/>
      <c r="Z1" s="164"/>
      <c r="AA1" s="170"/>
      <c r="AB1" s="171" t="s">
        <v>199</v>
      </c>
      <c r="AC1" s="171"/>
      <c r="AD1" s="171"/>
      <c r="AE1" s="171"/>
      <c r="AF1" s="167"/>
      <c r="AG1" s="6"/>
      <c r="AH1" s="6"/>
    </row>
    <row r="2" customFormat="false" ht="15.75" hidden="false" customHeight="false" outlineLevel="0" collapsed="false">
      <c r="A2" s="172" t="s">
        <v>7</v>
      </c>
      <c r="B2" s="173"/>
      <c r="C2" s="174" t="s">
        <v>8</v>
      </c>
      <c r="D2" s="175"/>
      <c r="E2" s="176" t="s">
        <v>200</v>
      </c>
      <c r="F2" s="176" t="s">
        <v>201</v>
      </c>
      <c r="G2" s="176" t="s">
        <v>202</v>
      </c>
      <c r="H2" s="177" t="s">
        <v>203</v>
      </c>
      <c r="I2" s="178" t="s">
        <v>204</v>
      </c>
      <c r="J2" s="178" t="s">
        <v>205</v>
      </c>
      <c r="K2" s="178" t="s">
        <v>206</v>
      </c>
      <c r="L2" s="178" t="s">
        <v>207</v>
      </c>
      <c r="M2" s="178" t="s">
        <v>208</v>
      </c>
      <c r="N2" s="178" t="s">
        <v>209</v>
      </c>
      <c r="O2" s="178" t="s">
        <v>210</v>
      </c>
      <c r="P2" s="178" t="s">
        <v>211</v>
      </c>
      <c r="Q2" s="178" t="s">
        <v>212</v>
      </c>
      <c r="R2" s="178" t="s">
        <v>213</v>
      </c>
      <c r="S2" s="178" t="s">
        <v>214</v>
      </c>
      <c r="T2" s="178" t="s">
        <v>215</v>
      </c>
      <c r="U2" s="179" t="s">
        <v>216</v>
      </c>
      <c r="V2" s="179" t="s">
        <v>217</v>
      </c>
      <c r="W2" s="179" t="s">
        <v>218</v>
      </c>
      <c r="X2" s="179" t="s">
        <v>219</v>
      </c>
      <c r="Y2" s="179" t="s">
        <v>220</v>
      </c>
      <c r="Z2" s="179" t="s">
        <v>221</v>
      </c>
      <c r="AA2" s="179" t="s">
        <v>222</v>
      </c>
      <c r="AB2" s="179" t="s">
        <v>223</v>
      </c>
      <c r="AC2" s="179" t="s">
        <v>224</v>
      </c>
      <c r="AD2" s="179" t="s">
        <v>225</v>
      </c>
      <c r="AE2" s="180" t="s">
        <v>213</v>
      </c>
      <c r="AF2" s="181" t="s">
        <v>226</v>
      </c>
      <c r="AG2" s="182" t="s">
        <v>227</v>
      </c>
      <c r="AH2" s="6"/>
    </row>
    <row r="3" customFormat="false" ht="26.25" hidden="false" customHeight="true" outlineLevel="0" collapsed="false">
      <c r="A3" s="183" t="n">
        <f aca="false">VLOOKUP($C3,PalData!$A$2:$BU$139,9,0)</f>
        <v>1</v>
      </c>
      <c r="B3" s="184" t="n">
        <f aca="false">INDEX(PalData,MATCH(C3,PalNames,0)+1,MATCH("ZukanIndexSuffix",PalData_Header,0))</f>
        <v>0</v>
      </c>
      <c r="C3" s="185" t="s">
        <v>90</v>
      </c>
      <c r="D3" s="186" t="n">
        <f aca="false">IFERROR(INDEX(PalData,MATCH(C3,PalNames,0)+1,MATCH("Image",PalData_Header,0)),)</f>
        <v>0</v>
      </c>
      <c r="E3" s="187" t="str">
        <f aca="false">IFERROR(__xludf.dummyfunction("SPLIT(VLOOKUP($C3,PalData!$A$2:$BU$139,13,0),""EPalElementType::"",0,1)"),"Normal")</f>
        <v>Normal</v>
      </c>
      <c r="F3" s="187" t="str">
        <f aca="false">IFERROR(__xludf.dummyfunction("if(SPLIT(VLOOKUP($C3,PalData!$A$2:$BU$139,14,0),""EPalElementType::"",0,1)=""None"","""",SPLIT(VLOOKUP($C3,PalData!$A$2:$BU$139,14,0),""EPalElementType::"",0,1))"),"")</f>
        <v/>
      </c>
      <c r="G3" s="188" t="str">
        <f aca="false">IF(VLOOKUP($C3,PalData!$A$2:$BU$139,48,0),"🌜","")</f>
        <v/>
      </c>
      <c r="H3" s="189" t="n">
        <f aca="false">VLOOKUP($C3,PalData!$A$2:$BU$139,55,0)</f>
        <v>0</v>
      </c>
      <c r="I3" s="189" t="n">
        <f aca="false">VLOOKUP($C3,PalData!$A$2:$BU$139,56,0)</f>
        <v>0</v>
      </c>
      <c r="J3" s="189" t="n">
        <f aca="false">VLOOKUP($C3,PalData!$A$2:$BU$139,57,0)</f>
        <v>0</v>
      </c>
      <c r="K3" s="189" t="n">
        <f aca="false">VLOOKUP($C3,PalData!$A$2:$BU$139,58,0)</f>
        <v>0</v>
      </c>
      <c r="L3" s="189" t="n">
        <f aca="false">VLOOKUP($C3,PalData!$A$2:$BU$139,59,0)</f>
        <v>1</v>
      </c>
      <c r="M3" s="189" t="n">
        <f aca="false">VLOOKUP($C3,PalData!$A$2:$BU$139,60,0)</f>
        <v>0</v>
      </c>
      <c r="N3" s="189" t="n">
        <f aca="false">VLOOKUP($C3,PalData!$A$2:$BU$139,61,0)</f>
        <v>0</v>
      </c>
      <c r="O3" s="189" t="n">
        <f aca="false">VLOOKUP($C3,PalData!$A$2:$BU$139,62,0)</f>
        <v>0</v>
      </c>
      <c r="P3" s="189" t="n">
        <f aca="false">VLOOKUP($C3,PalData!$A$2:$BU$139,64,0)</f>
        <v>0</v>
      </c>
      <c r="Q3" s="189" t="n">
        <f aca="false">VLOOKUP($C3,PalData!$A$2:$BU$139,65,0)</f>
        <v>0</v>
      </c>
      <c r="R3" s="189" t="n">
        <f aca="false">VLOOKUP($C3,PalData!$A$2:$BU$139,66,0)</f>
        <v>1</v>
      </c>
      <c r="S3" s="189" t="n">
        <f aca="false">VLOOKUP($C3,PalData!$A$2:$BU$139,67,0)</f>
        <v>1</v>
      </c>
      <c r="T3" s="190" t="n">
        <f aca="false">VLOOKUP($C3,PalData!$A$2:$BU$139,43,0)</f>
        <v>2</v>
      </c>
      <c r="U3" s="188" t="n">
        <f aca="false">VLOOKUP($C3,PalData!$A$2:$BU$139,54,0)</f>
        <v>1470</v>
      </c>
      <c r="V3" s="191" t="n">
        <f aca="false">VLOOKUP($C3,PalData!$A$2:$BU$139,19,0)</f>
        <v>70</v>
      </c>
      <c r="W3" s="191" t="n">
        <f aca="false">VLOOKUP($C3,PalData!$A$2:$BU$139,20,0)</f>
        <v>70</v>
      </c>
      <c r="X3" s="191" t="n">
        <f aca="false">VLOOKUP($C3,PalData!$A$2:$BU$139,21,0)</f>
        <v>70</v>
      </c>
      <c r="Y3" s="191" t="n">
        <f aca="false">VLOOKUP($C3,PalData!$A$2:$BU$139,22,0)</f>
        <v>70</v>
      </c>
      <c r="Z3" s="192" t="n">
        <f aca="false">VLOOKUP($C3,PalData!$A$2:$BU$139,28,0)</f>
        <v>1000</v>
      </c>
      <c r="AA3" s="193" t="n">
        <f aca="false" t="array" ref="AA3:AA3">INDEX(PalData,MATCH(C3,PalNames,0)+1,MATCH("Stamina",PalData_Header,0))</f>
        <v>100</v>
      </c>
      <c r="AB3" s="193" t="n">
        <f aca="false">VLOOKUP($C3,PalData!$A$2:$BU$139,32,0)</f>
        <v>40</v>
      </c>
      <c r="AC3" s="193" t="n">
        <f aca="false">VLOOKUP($C3,PalData!$A$2:$BU$139,33,0)</f>
        <v>400</v>
      </c>
      <c r="AD3" s="193" t="n">
        <f aca="false">IF(INDEX(PalData,MATCH(C3,PalNames,0)+1,MATCH("Mount",PalData_Header,0)),INDEX(PalData,MATCH(C3,PalNames,0)+1,MATCH("RideSprintSpeed",PalData_Header,0)),)</f>
        <v>0</v>
      </c>
      <c r="AE3" s="193" t="n">
        <f aca="false" t="array" ref="AE3:AE3">IF(R3&gt;0, INDEX(PalData,MATCH(C3,PalNames,0)+1,MATCH("TransportSpeed",PalData_Header,0)),)</f>
        <v>160</v>
      </c>
      <c r="AF3" s="194" t="n">
        <f aca="false">VLOOKUP($C3,PalData!$A$2:$BU$139,26,0)</f>
        <v>1.5</v>
      </c>
      <c r="AG3" s="195" t="n">
        <f aca="false" t="array" ref="AG3:AG3">INDEX(PalData,MATCH(C3,PalNames,0)+1,MATCH("MaleProbability",PalData_Header,0))</f>
        <v>50</v>
      </c>
    </row>
    <row r="4" customFormat="false" ht="26.25" hidden="false" customHeight="true" outlineLevel="0" collapsed="false">
      <c r="A4" s="196" t="n">
        <f aca="false">VLOOKUP($C4,PalData!$A$2:$BU$139,9,0)</f>
        <v>2</v>
      </c>
      <c r="B4" s="197" t="n">
        <f aca="false">INDEX(PalData,MATCH(C4,PalNames,0)+1,MATCH("ZukanIndexSuffix",PalData_Header,0))</f>
        <v>0</v>
      </c>
      <c r="C4" s="185" t="s">
        <v>32</v>
      </c>
      <c r="D4" s="186" t="n">
        <f aca="false">IFERROR(INDEX(PalData,MATCH(C4,PalNames,0)+1,MATCH("Image",PalData_Header,0)),)</f>
        <v>0</v>
      </c>
      <c r="E4" s="187" t="str">
        <f aca="false">IFERROR(__xludf.dummyfunction("SPLIT(VLOOKUP($C4,PalData!$A$2:$BU$139,13,0),""EPalElementType::"",0,1)"),"Normal")</f>
        <v>Normal</v>
      </c>
      <c r="F4" s="187" t="str">
        <f aca="false">IFERROR(__xludf.dummyfunction("if(SPLIT(VLOOKUP($C4,PalData!$A$2:$BU$139,14,0),""EPalElementType::"",0,1)=""None"","""",SPLIT(VLOOKUP($C4,PalData!$A$2:$BU$139,14,0),""EPalElementType::"",0,1))"),"")</f>
        <v/>
      </c>
      <c r="G4" s="188" t="str">
        <f aca="false">IF(VLOOKUP($C4,PalData!$A$2:$BU$139,48,0),"🌜","")</f>
        <v/>
      </c>
      <c r="H4" s="189" t="n">
        <f aca="false">VLOOKUP($C4,PalData!$A$2:$BU$139,55,0)</f>
        <v>0</v>
      </c>
      <c r="I4" s="189" t="n">
        <f aca="false">VLOOKUP($C4,PalData!$A$2:$BU$139,56,0)</f>
        <v>0</v>
      </c>
      <c r="J4" s="189" t="n">
        <f aca="false">VLOOKUP($C4,PalData!$A$2:$BU$139,57,0)</f>
        <v>0</v>
      </c>
      <c r="K4" s="189" t="n">
        <f aca="false">VLOOKUP($C4,PalData!$A$2:$BU$139,58,0)</f>
        <v>0</v>
      </c>
      <c r="L4" s="189" t="n">
        <f aca="false">VLOOKUP($C4,PalData!$A$2:$BU$139,59,0)</f>
        <v>1</v>
      </c>
      <c r="M4" s="189" t="n">
        <f aca="false">VLOOKUP($C4,PalData!$A$2:$BU$139,60,0)</f>
        <v>1</v>
      </c>
      <c r="N4" s="189" t="n">
        <f aca="false">VLOOKUP($C4,PalData!$A$2:$BU$139,61,0)</f>
        <v>0</v>
      </c>
      <c r="O4" s="189" t="n">
        <f aca="false">VLOOKUP($C4,PalData!$A$2:$BU$139,62,0)</f>
        <v>1</v>
      </c>
      <c r="P4" s="189" t="n">
        <f aca="false">VLOOKUP($C4,PalData!$A$2:$BU$139,64,0)</f>
        <v>0</v>
      </c>
      <c r="Q4" s="189" t="n">
        <f aca="false">VLOOKUP($C4,PalData!$A$2:$BU$139,65,0)</f>
        <v>0</v>
      </c>
      <c r="R4" s="189" t="n">
        <f aca="false">VLOOKUP($C4,PalData!$A$2:$BU$139,66,0)</f>
        <v>1</v>
      </c>
      <c r="S4" s="189" t="n">
        <f aca="false">VLOOKUP($C4,PalData!$A$2:$BU$139,67,0)</f>
        <v>0</v>
      </c>
      <c r="T4" s="190" t="n">
        <f aca="false">VLOOKUP($C4,PalData!$A$2:$BU$139,43,0)</f>
        <v>2</v>
      </c>
      <c r="U4" s="188" t="n">
        <f aca="false">VLOOKUP($C4,PalData!$A$2:$BU$139,54,0)</f>
        <v>1460</v>
      </c>
      <c r="V4" s="191" t="n">
        <f aca="false">VLOOKUP($C4,PalData!$A$2:$BU$139,19,0)</f>
        <v>70</v>
      </c>
      <c r="W4" s="191" t="n">
        <f aca="false">VLOOKUP($C4,PalData!$A$2:$BU$139,20,0)</f>
        <v>70</v>
      </c>
      <c r="X4" s="191" t="n">
        <f aca="false">VLOOKUP($C4,PalData!$A$2:$BU$139,21,0)</f>
        <v>70</v>
      </c>
      <c r="Y4" s="191" t="n">
        <f aca="false">VLOOKUP($C4,PalData!$A$2:$BU$139,22,0)</f>
        <v>70</v>
      </c>
      <c r="Z4" s="192" t="n">
        <f aca="false">VLOOKUP($C4,PalData!$A$2:$BU$139,28,0)</f>
        <v>1000</v>
      </c>
      <c r="AA4" s="193" t="n">
        <f aca="false" t="array" ref="AA4:AA4">INDEX(PalData,MATCH(C4,PalNames,0)+1,MATCH("Stamina",PalData_Header,0))</f>
        <v>100</v>
      </c>
      <c r="AB4" s="193" t="n">
        <f aca="false">VLOOKUP($C4,PalData!$A$2:$BU$139,32,0)</f>
        <v>60</v>
      </c>
      <c r="AC4" s="193" t="n">
        <f aca="false">VLOOKUP($C4,PalData!$A$2:$BU$139,33,0)</f>
        <v>400</v>
      </c>
      <c r="AD4" s="193" t="n">
        <f aca="false">IF(INDEX(PalData,MATCH(C4,PalNames,0)+1,MATCH("Mount",PalData_Header,0)),INDEX(PalData,MATCH(C4,PalNames,0)+1,MATCH("RideSprintSpeed",PalData_Header,0)),)</f>
        <v>0</v>
      </c>
      <c r="AE4" s="193" t="n">
        <f aca="false" t="array" ref="AE4:AE4">IF(R4&gt;0, INDEX(PalData,MATCH(C4,PalNames,0)+1,MATCH("TransportSpeed",PalData_Header,0)),)</f>
        <v>160</v>
      </c>
      <c r="AF4" s="198" t="n">
        <f aca="false">VLOOKUP($C4,PalData!$A$2:$BU$139,26,0)</f>
        <v>1.5</v>
      </c>
      <c r="AG4" s="195" t="n">
        <f aca="false" t="array" ref="AG4:AG4">INDEX(PalData,MATCH(C4,PalNames,0)+1,MATCH("MaleProbability",PalData_Header,0))</f>
        <v>50</v>
      </c>
    </row>
    <row r="5" customFormat="false" ht="26.25" hidden="false" customHeight="true" outlineLevel="0" collapsed="false">
      <c r="A5" s="196" t="n">
        <f aca="false">VLOOKUP($C5,PalData!$A$2:$BU$139,9,0)</f>
        <v>3</v>
      </c>
      <c r="B5" s="197" t="n">
        <f aca="false">INDEX(PalData,MATCH(C5,PalNames,0)+1,MATCH("ZukanIndexSuffix",PalData_Header,0))</f>
        <v>0</v>
      </c>
      <c r="C5" s="185" t="s">
        <v>35</v>
      </c>
      <c r="D5" s="186" t="n">
        <f aca="false">IFERROR(INDEX(PalData,MATCH(C5,PalNames,0)+1,MATCH("Image",PalData_Header,0)),)</f>
        <v>0</v>
      </c>
      <c r="E5" s="187" t="str">
        <f aca="false">IFERROR(__xludf.dummyfunction("SPLIT(VLOOKUP($C5,PalData!$A$2:$BU$139,13,0),""EPalElementType::"",0,1)"),"Normal")</f>
        <v>Normal</v>
      </c>
      <c r="F5" s="187" t="str">
        <f aca="false">IFERROR(__xludf.dummyfunction("if(SPLIT(VLOOKUP($C5,PalData!$A$2:$BU$139,14,0),""EPalElementType::"",0,1)=""None"","""",SPLIT(VLOOKUP($C5,PalData!$A$2:$BU$139,14,0),""EPalElementType::"",0,1))"),"")</f>
        <v/>
      </c>
      <c r="G5" s="188" t="str">
        <f aca="false">IF(VLOOKUP($C5,PalData!$A$2:$BU$139,48,0),"🌜","")</f>
        <v/>
      </c>
      <c r="H5" s="189" t="n">
        <f aca="false">VLOOKUP($C5,PalData!$A$2:$BU$139,55,0)</f>
        <v>0</v>
      </c>
      <c r="I5" s="189" t="n">
        <f aca="false">VLOOKUP($C5,PalData!$A$2:$BU$139,56,0)</f>
        <v>0</v>
      </c>
      <c r="J5" s="189" t="n">
        <f aca="false">VLOOKUP($C5,PalData!$A$2:$BU$139,57,0)</f>
        <v>0</v>
      </c>
      <c r="K5" s="189" t="n">
        <f aca="false">VLOOKUP($C5,PalData!$A$2:$BU$139,58,0)</f>
        <v>0</v>
      </c>
      <c r="L5" s="189" t="n">
        <f aca="false">VLOOKUP($C5,PalData!$A$2:$BU$139,59,0)</f>
        <v>0</v>
      </c>
      <c r="M5" s="189" t="n">
        <f aca="false">VLOOKUP($C5,PalData!$A$2:$BU$139,60,0)</f>
        <v>1</v>
      </c>
      <c r="N5" s="189" t="n">
        <f aca="false">VLOOKUP($C5,PalData!$A$2:$BU$139,61,0)</f>
        <v>0</v>
      </c>
      <c r="O5" s="189" t="n">
        <f aca="false">VLOOKUP($C5,PalData!$A$2:$BU$139,62,0)</f>
        <v>0</v>
      </c>
      <c r="P5" s="189" t="n">
        <f aca="false">VLOOKUP($C5,PalData!$A$2:$BU$139,64,0)</f>
        <v>0</v>
      </c>
      <c r="Q5" s="189" t="n">
        <f aca="false">VLOOKUP($C5,PalData!$A$2:$BU$139,65,0)</f>
        <v>0</v>
      </c>
      <c r="R5" s="189" t="n">
        <f aca="false">VLOOKUP($C5,PalData!$A$2:$BU$139,66,0)</f>
        <v>0</v>
      </c>
      <c r="S5" s="189" t="n">
        <f aca="false">VLOOKUP($C5,PalData!$A$2:$BU$139,67,0)</f>
        <v>1</v>
      </c>
      <c r="T5" s="190" t="n">
        <f aca="false">VLOOKUP($C5,PalData!$A$2:$BU$139,43,0)</f>
        <v>1</v>
      </c>
      <c r="U5" s="188" t="n">
        <f aca="false">VLOOKUP($C5,PalData!$A$2:$BU$139,54,0)</f>
        <v>1500</v>
      </c>
      <c r="V5" s="191" t="n">
        <f aca="false">VLOOKUP($C5,PalData!$A$2:$BU$139,19,0)</f>
        <v>60</v>
      </c>
      <c r="W5" s="191" t="n">
        <f aca="false">VLOOKUP($C5,PalData!$A$2:$BU$139,20,0)</f>
        <v>70</v>
      </c>
      <c r="X5" s="191" t="n">
        <f aca="false">VLOOKUP($C5,PalData!$A$2:$BU$139,21,0)</f>
        <v>60</v>
      </c>
      <c r="Y5" s="191" t="n">
        <f aca="false">VLOOKUP($C5,PalData!$A$2:$BU$139,22,0)</f>
        <v>60</v>
      </c>
      <c r="Z5" s="192" t="n">
        <f aca="false">VLOOKUP($C5,PalData!$A$2:$BU$139,28,0)</f>
        <v>1000</v>
      </c>
      <c r="AA5" s="193" t="n">
        <f aca="false" t="array" ref="AA5:AA5">INDEX(PalData,MATCH(C5,PalNames,0)+1,MATCH("Stamina",PalData_Header,0))</f>
        <v>100</v>
      </c>
      <c r="AB5" s="193" t="n">
        <f aca="false">VLOOKUP($C5,PalData!$A$2:$BU$139,32,0)</f>
        <v>50</v>
      </c>
      <c r="AC5" s="193" t="n">
        <f aca="false">VLOOKUP($C5,PalData!$A$2:$BU$139,33,0)</f>
        <v>375</v>
      </c>
      <c r="AD5" s="193" t="n">
        <f aca="false">IF(INDEX(PalData,MATCH(C5,PalNames,0)+1,MATCH("Mount",PalData_Header,0)),INDEX(PalData,MATCH(C5,PalNames,0)+1,MATCH("RideSprintSpeed",PalData_Header,0)),)</f>
        <v>0</v>
      </c>
      <c r="AE5" s="193" t="n">
        <f aca="false">IF(R5&gt;0, INDEX(PalData,MATCH(C5,PalNames,0)+1,MATCH("TransportSpeed",PalData_Header,0)),)</f>
        <v>0</v>
      </c>
      <c r="AF5" s="198" t="n">
        <f aca="false">VLOOKUP($C5,PalData!$A$2:$BU$139,26,0)</f>
        <v>1.5</v>
      </c>
      <c r="AG5" s="195" t="n">
        <f aca="false" t="array" ref="AG5:AG5">INDEX(PalData,MATCH(C5,PalNames,0)+1,MATCH("MaleProbability",PalData_Header,0))</f>
        <v>50</v>
      </c>
    </row>
    <row r="6" customFormat="false" ht="26.25" hidden="false" customHeight="true" outlineLevel="0" collapsed="false">
      <c r="A6" s="196" t="n">
        <f aca="false">VLOOKUP($C6,PalData!$A$2:$BU$139,9,0)</f>
        <v>4</v>
      </c>
      <c r="B6" s="197" t="n">
        <f aca="false">INDEX(PalData,MATCH(C6,PalNames,0)+1,MATCH("ZukanIndexSuffix",PalData_Header,0))</f>
        <v>0</v>
      </c>
      <c r="C6" s="185" t="s">
        <v>93</v>
      </c>
      <c r="D6" s="186" t="n">
        <f aca="false">IFERROR(INDEX(PalData,MATCH(C6,PalNames,0)+1,MATCH("Image",PalData_Header,0)),)</f>
        <v>0</v>
      </c>
      <c r="E6" s="187" t="str">
        <f aca="false">IFERROR(__xludf.dummyfunction("SPLIT(VLOOKUP($C6,PalData!$A$2:$BU$139,13,0),""EPalElementType::"",0,1)"),"Leaf")</f>
        <v>Leaf</v>
      </c>
      <c r="F6" s="187" t="str">
        <f aca="false">IFERROR(__xludf.dummyfunction("if(SPLIT(VLOOKUP($C6,PalData!$A$2:$BU$139,14,0),""EPalElementType::"",0,1)=""None"","""",SPLIT(VLOOKUP($C6,PalData!$A$2:$BU$139,14,0),""EPalElementType::"",0,1))"),"")</f>
        <v/>
      </c>
      <c r="G6" s="188" t="str">
        <f aca="false">IF(VLOOKUP($C6,PalData!$A$2:$BU$139,48,0),"🌜","")</f>
        <v/>
      </c>
      <c r="H6" s="189" t="n">
        <f aca="false">VLOOKUP($C6,PalData!$A$2:$BU$139,55,0)</f>
        <v>0</v>
      </c>
      <c r="I6" s="189" t="n">
        <f aca="false">VLOOKUP($C6,PalData!$A$2:$BU$139,56,0)</f>
        <v>0</v>
      </c>
      <c r="J6" s="189" t="n">
        <f aca="false">VLOOKUP($C6,PalData!$A$2:$BU$139,57,0)</f>
        <v>1</v>
      </c>
      <c r="K6" s="189" t="n">
        <f aca="false">VLOOKUP($C6,PalData!$A$2:$BU$139,58,0)</f>
        <v>0</v>
      </c>
      <c r="L6" s="189" t="n">
        <f aca="false">VLOOKUP($C6,PalData!$A$2:$BU$139,59,0)</f>
        <v>1</v>
      </c>
      <c r="M6" s="189" t="n">
        <f aca="false">VLOOKUP($C6,PalData!$A$2:$BU$139,60,0)</f>
        <v>1</v>
      </c>
      <c r="N6" s="189" t="n">
        <f aca="false">VLOOKUP($C6,PalData!$A$2:$BU$139,61,0)</f>
        <v>1</v>
      </c>
      <c r="O6" s="189" t="n">
        <f aca="false">VLOOKUP($C6,PalData!$A$2:$BU$139,62,0)</f>
        <v>0</v>
      </c>
      <c r="P6" s="189" t="n">
        <f aca="false">VLOOKUP($C6,PalData!$A$2:$BU$139,64,0)</f>
        <v>1</v>
      </c>
      <c r="Q6" s="189" t="n">
        <f aca="false">VLOOKUP($C6,PalData!$A$2:$BU$139,65,0)</f>
        <v>0</v>
      </c>
      <c r="R6" s="189" t="n">
        <f aca="false">VLOOKUP($C6,PalData!$A$2:$BU$139,66,0)</f>
        <v>0</v>
      </c>
      <c r="S6" s="189" t="n">
        <f aca="false">VLOOKUP($C6,PalData!$A$2:$BU$139,67,0)</f>
        <v>0</v>
      </c>
      <c r="T6" s="190" t="n">
        <f aca="false">VLOOKUP($C6,PalData!$A$2:$BU$139,43,0)</f>
        <v>1</v>
      </c>
      <c r="U6" s="188" t="n">
        <f aca="false">VLOOKUP($C6,PalData!$A$2:$BU$139,54,0)</f>
        <v>1430</v>
      </c>
      <c r="V6" s="191" t="n">
        <f aca="false">VLOOKUP($C6,PalData!$A$2:$BU$139,19,0)</f>
        <v>75</v>
      </c>
      <c r="W6" s="191" t="n">
        <f aca="false">VLOOKUP($C6,PalData!$A$2:$BU$139,20,0)</f>
        <v>70</v>
      </c>
      <c r="X6" s="191" t="n">
        <f aca="false">VLOOKUP($C6,PalData!$A$2:$BU$139,21,0)</f>
        <v>70</v>
      </c>
      <c r="Y6" s="191" t="n">
        <f aca="false">VLOOKUP($C6,PalData!$A$2:$BU$139,22,0)</f>
        <v>70</v>
      </c>
      <c r="Z6" s="192" t="n">
        <f aca="false">VLOOKUP($C6,PalData!$A$2:$BU$139,28,0)</f>
        <v>1010</v>
      </c>
      <c r="AA6" s="193" t="n">
        <f aca="false" t="array" ref="AA6:AA6">INDEX(PalData,MATCH(C6,PalNames,0)+1,MATCH("Stamina",PalData_Header,0))</f>
        <v>100</v>
      </c>
      <c r="AB6" s="193" t="n">
        <f aca="false">VLOOKUP($C6,PalData!$A$2:$BU$139,32,0)</f>
        <v>40</v>
      </c>
      <c r="AC6" s="193" t="n">
        <f aca="false">VLOOKUP($C6,PalData!$A$2:$BU$139,33,0)</f>
        <v>400</v>
      </c>
      <c r="AD6" s="193" t="n">
        <f aca="false">IF(INDEX(PalData,MATCH(C6,PalNames,0)+1,MATCH("Mount",PalData_Header,0)),INDEX(PalData,MATCH(C6,PalNames,0)+1,MATCH("RideSprintSpeed",PalData_Header,0)),)</f>
        <v>0</v>
      </c>
      <c r="AE6" s="193" t="n">
        <f aca="false">IF(R6&gt;0, INDEX(PalData,MATCH(C6,PalNames,0)+1,MATCH("TransportSpeed",PalData_Header,0)),)</f>
        <v>0</v>
      </c>
      <c r="AF6" s="198" t="n">
        <f aca="false">VLOOKUP($C6,PalData!$A$2:$BU$139,26,0)</f>
        <v>0.9</v>
      </c>
      <c r="AG6" s="195" t="n">
        <f aca="false" t="array" ref="AG6:AG6">INDEX(PalData,MATCH(C6,PalNames,0)+1,MATCH("MaleProbability",PalData_Header,0))</f>
        <v>50</v>
      </c>
    </row>
    <row r="7" customFormat="false" ht="26.25" hidden="false" customHeight="true" outlineLevel="0" collapsed="false">
      <c r="A7" s="196" t="n">
        <f aca="false">VLOOKUP($C7,PalData!$A$2:$BU$139,9,0)</f>
        <v>5</v>
      </c>
      <c r="B7" s="197" t="n">
        <f aca="false">INDEX(PalData,MATCH(C7,PalNames,0)+1,MATCH("ZukanIndexSuffix",PalData_Header,0))</f>
        <v>0</v>
      </c>
      <c r="C7" s="185" t="s">
        <v>59</v>
      </c>
      <c r="D7" s="186" t="n">
        <f aca="false">IFERROR(INDEX(PalData,MATCH(C7,PalNames,0)+1,MATCH("Image",PalData_Header,0)),)</f>
        <v>0</v>
      </c>
      <c r="E7" s="187" t="str">
        <f aca="false">IFERROR(__xludf.dummyfunction("SPLIT(VLOOKUP($C7,PalData!$A$2:$BU$139,13,0),""EPalElementType::"",0,1)"),"Fire")</f>
        <v>Fire</v>
      </c>
      <c r="F7" s="187" t="str">
        <f aca="false">IFERROR(__xludf.dummyfunction("if(SPLIT(VLOOKUP($C7,PalData!$A$2:$BU$139,14,0),""EPalElementType::"",0,1)=""None"","""",SPLIT(VLOOKUP($C7,PalData!$A$2:$BU$139,14,0),""EPalElementType::"",0,1))"),"")</f>
        <v/>
      </c>
      <c r="G7" s="188" t="str">
        <f aca="false">IF(VLOOKUP($C7,PalData!$A$2:$BU$139,48,0),"🌜","")</f>
        <v/>
      </c>
      <c r="H7" s="189" t="n">
        <f aca="false">VLOOKUP($C7,PalData!$A$2:$BU$139,55,0)</f>
        <v>1</v>
      </c>
      <c r="I7" s="189" t="n">
        <f aca="false">VLOOKUP($C7,PalData!$A$2:$BU$139,56,0)</f>
        <v>0</v>
      </c>
      <c r="J7" s="189" t="n">
        <f aca="false">VLOOKUP($C7,PalData!$A$2:$BU$139,57,0)</f>
        <v>0</v>
      </c>
      <c r="K7" s="189" t="n">
        <f aca="false">VLOOKUP($C7,PalData!$A$2:$BU$139,58,0)</f>
        <v>0</v>
      </c>
      <c r="L7" s="189" t="n">
        <f aca="false">VLOOKUP($C7,PalData!$A$2:$BU$139,59,0)</f>
        <v>0</v>
      </c>
      <c r="M7" s="189" t="n">
        <f aca="false">VLOOKUP($C7,PalData!$A$2:$BU$139,60,0)</f>
        <v>0</v>
      </c>
      <c r="N7" s="189" t="n">
        <f aca="false">VLOOKUP($C7,PalData!$A$2:$BU$139,61,0)</f>
        <v>0</v>
      </c>
      <c r="O7" s="189" t="n">
        <f aca="false">VLOOKUP($C7,PalData!$A$2:$BU$139,62,0)</f>
        <v>0</v>
      </c>
      <c r="P7" s="189" t="n">
        <f aca="false">VLOOKUP($C7,PalData!$A$2:$BU$139,64,0)</f>
        <v>0</v>
      </c>
      <c r="Q7" s="189" t="n">
        <f aca="false">VLOOKUP($C7,PalData!$A$2:$BU$139,65,0)</f>
        <v>0</v>
      </c>
      <c r="R7" s="189" t="n">
        <f aca="false">VLOOKUP($C7,PalData!$A$2:$BU$139,66,0)</f>
        <v>0</v>
      </c>
      <c r="S7" s="189" t="n">
        <f aca="false">VLOOKUP($C7,PalData!$A$2:$BU$139,67,0)</f>
        <v>0</v>
      </c>
      <c r="T7" s="190" t="n">
        <f aca="false">VLOOKUP($C7,PalData!$A$2:$BU$139,43,0)</f>
        <v>2</v>
      </c>
      <c r="U7" s="188" t="n">
        <f aca="false">VLOOKUP($C7,PalData!$A$2:$BU$139,54,0)</f>
        <v>1400</v>
      </c>
      <c r="V7" s="191" t="n">
        <f aca="false">VLOOKUP($C7,PalData!$A$2:$BU$139,19,0)</f>
        <v>65</v>
      </c>
      <c r="W7" s="191" t="n">
        <f aca="false">VLOOKUP($C7,PalData!$A$2:$BU$139,20,0)</f>
        <v>70</v>
      </c>
      <c r="X7" s="191" t="n">
        <f aca="false">VLOOKUP($C7,PalData!$A$2:$BU$139,21,0)</f>
        <v>75</v>
      </c>
      <c r="Y7" s="191" t="n">
        <f aca="false">VLOOKUP($C7,PalData!$A$2:$BU$139,22,0)</f>
        <v>70</v>
      </c>
      <c r="Z7" s="192" t="n">
        <f aca="false">VLOOKUP($C7,PalData!$A$2:$BU$139,28,0)</f>
        <v>1040</v>
      </c>
      <c r="AA7" s="193" t="n">
        <f aca="false" t="array" ref="AA7:AA7">INDEX(PalData,MATCH(C7,PalNames,0)+1,MATCH("Stamina",PalData_Header,0))</f>
        <v>100</v>
      </c>
      <c r="AB7" s="193" t="n">
        <f aca="false">VLOOKUP($C7,PalData!$A$2:$BU$139,32,0)</f>
        <v>80</v>
      </c>
      <c r="AC7" s="193" t="n">
        <f aca="false">VLOOKUP($C7,PalData!$A$2:$BU$139,33,0)</f>
        <v>400</v>
      </c>
      <c r="AD7" s="193" t="n">
        <f aca="false">IF(INDEX(PalData,MATCH(C7,PalNames,0)+1,MATCH("Mount",PalData_Header,0)),INDEX(PalData,MATCH(C7,PalNames,0)+1,MATCH("RideSprintSpeed",PalData_Header,0)),)</f>
        <v>0</v>
      </c>
      <c r="AE7" s="193" t="n">
        <f aca="false">IF(R7&gt;0, INDEX(PalData,MATCH(C7,PalNames,0)+1,MATCH("TransportSpeed",PalData_Header,0)),)</f>
        <v>0</v>
      </c>
      <c r="AF7" s="198" t="n">
        <f aca="false">VLOOKUP($C7,PalData!$A$2:$BU$139,26,0)</f>
        <v>1.1</v>
      </c>
      <c r="AG7" s="195" t="n">
        <f aca="false" t="array" ref="AG7:AG7">INDEX(PalData,MATCH(C7,PalNames,0)+1,MATCH("MaleProbability",PalData_Header,0))</f>
        <v>50</v>
      </c>
    </row>
    <row r="8" customFormat="false" ht="26.25" hidden="false" customHeight="true" outlineLevel="0" collapsed="false">
      <c r="A8" s="196" t="n">
        <f aca="false">VLOOKUP($C8,PalData!$A$2:$BU$139,9,0)</f>
        <v>6</v>
      </c>
      <c r="B8" s="197" t="n">
        <f aca="false">INDEX(PalData,MATCH(C8,PalNames,0)+1,MATCH("ZukanIndexSuffix",PalData_Header,0))</f>
        <v>0</v>
      </c>
      <c r="C8" s="185" t="s">
        <v>61</v>
      </c>
      <c r="D8" s="186" t="n">
        <f aca="false">IFERROR(INDEX(PalData,MATCH(C8,PalNames,0)+1,MATCH("Image",PalData_Header,0)),)</f>
        <v>0</v>
      </c>
      <c r="E8" s="187" t="str">
        <f aca="false">IFERROR(__xludf.dummyfunction("SPLIT(VLOOKUP($C8,PalData!$A$2:$BU$139,13,0),""EPalElementType::"",0,1)"),"Water")</f>
        <v>Water</v>
      </c>
      <c r="F8" s="187" t="str">
        <f aca="false">IFERROR(__xludf.dummyfunction("if(SPLIT(VLOOKUP($C8,PalData!$A$2:$BU$139,14,0),""EPalElementType::"",0,1)=""None"","""",SPLIT(VLOOKUP($C8,PalData!$A$2:$BU$139,14,0),""EPalElementType::"",0,1))"),"")</f>
        <v/>
      </c>
      <c r="G8" s="188" t="str">
        <f aca="false">IF(VLOOKUP($C8,PalData!$A$2:$BU$139,48,0),"🌜","")</f>
        <v/>
      </c>
      <c r="H8" s="189" t="n">
        <f aca="false">VLOOKUP($C8,PalData!$A$2:$BU$139,55,0)</f>
        <v>0</v>
      </c>
      <c r="I8" s="189" t="n">
        <f aca="false">VLOOKUP($C8,PalData!$A$2:$BU$139,56,0)</f>
        <v>1</v>
      </c>
      <c r="J8" s="189" t="n">
        <f aca="false">VLOOKUP($C8,PalData!$A$2:$BU$139,57,0)</f>
        <v>0</v>
      </c>
      <c r="K8" s="189" t="n">
        <f aca="false">VLOOKUP($C8,PalData!$A$2:$BU$139,58,0)</f>
        <v>0</v>
      </c>
      <c r="L8" s="189" t="n">
        <f aca="false">VLOOKUP($C8,PalData!$A$2:$BU$139,59,0)</f>
        <v>1</v>
      </c>
      <c r="M8" s="189" t="n">
        <f aca="false">VLOOKUP($C8,PalData!$A$2:$BU$139,60,0)</f>
        <v>0</v>
      </c>
      <c r="N8" s="189" t="n">
        <f aca="false">VLOOKUP($C8,PalData!$A$2:$BU$139,61,0)</f>
        <v>0</v>
      </c>
      <c r="O8" s="189" t="n">
        <f aca="false">VLOOKUP($C8,PalData!$A$2:$BU$139,62,0)</f>
        <v>0</v>
      </c>
      <c r="P8" s="189" t="n">
        <f aca="false">VLOOKUP($C8,PalData!$A$2:$BU$139,64,0)</f>
        <v>0</v>
      </c>
      <c r="Q8" s="189" t="n">
        <f aca="false">VLOOKUP($C8,PalData!$A$2:$BU$139,65,0)</f>
        <v>0</v>
      </c>
      <c r="R8" s="189" t="n">
        <f aca="false">VLOOKUP($C8,PalData!$A$2:$BU$139,66,0)</f>
        <v>1</v>
      </c>
      <c r="S8" s="189" t="n">
        <f aca="false">VLOOKUP($C8,PalData!$A$2:$BU$139,67,0)</f>
        <v>0</v>
      </c>
      <c r="T8" s="190" t="n">
        <f aca="false">VLOOKUP($C8,PalData!$A$2:$BU$139,43,0)</f>
        <v>2</v>
      </c>
      <c r="U8" s="188" t="n">
        <f aca="false">VLOOKUP($C8,PalData!$A$2:$BU$139,54,0)</f>
        <v>1330</v>
      </c>
      <c r="V8" s="191" t="n">
        <f aca="false">VLOOKUP($C8,PalData!$A$2:$BU$139,19,0)</f>
        <v>60</v>
      </c>
      <c r="W8" s="191" t="n">
        <f aca="false">VLOOKUP($C8,PalData!$A$2:$BU$139,20,0)</f>
        <v>80</v>
      </c>
      <c r="X8" s="191" t="n">
        <f aca="false">VLOOKUP($C8,PalData!$A$2:$BU$139,21,0)</f>
        <v>80</v>
      </c>
      <c r="Y8" s="191" t="n">
        <f aca="false">VLOOKUP($C8,PalData!$A$2:$BU$139,22,0)</f>
        <v>60</v>
      </c>
      <c r="Z8" s="192" t="n">
        <f aca="false">VLOOKUP($C8,PalData!$A$2:$BU$139,28,0)</f>
        <v>1120</v>
      </c>
      <c r="AA8" s="193" t="n">
        <f aca="false" t="array" ref="AA8:AA8">INDEX(PalData,MATCH(C8,PalNames,0)+1,MATCH("Stamina",PalData_Header,0))</f>
        <v>100</v>
      </c>
      <c r="AB8" s="193" t="n">
        <f aca="false">VLOOKUP($C8,PalData!$A$2:$BU$139,32,0)</f>
        <v>105</v>
      </c>
      <c r="AC8" s="193" t="n">
        <f aca="false">VLOOKUP($C8,PalData!$A$2:$BU$139,33,0)</f>
        <v>300</v>
      </c>
      <c r="AD8" s="193" t="n">
        <f aca="false">IF(INDEX(PalData,MATCH(C8,PalNames,0)+1,MATCH("Mount",PalData_Header,0)),INDEX(PalData,MATCH(C8,PalNames,0)+1,MATCH("RideSprintSpeed",PalData_Header,0)),)</f>
        <v>0</v>
      </c>
      <c r="AE8" s="193" t="n">
        <f aca="false" t="array" ref="AE8:AE8">IF(R8&gt;0, INDEX(PalData,MATCH(C8,PalNames,0)+1,MATCH("TransportSpeed",PalData_Header,0)),)</f>
        <v>202</v>
      </c>
      <c r="AF8" s="198" t="n">
        <f aca="false">VLOOKUP($C8,PalData!$A$2:$BU$139,26,0)</f>
        <v>1.1</v>
      </c>
      <c r="AG8" s="195" t="n">
        <f aca="false" t="array" ref="AG8:AG8">INDEX(PalData,MATCH(C8,PalNames,0)+1,MATCH("MaleProbability",PalData_Header,0))</f>
        <v>50</v>
      </c>
    </row>
    <row r="9" customFormat="false" ht="26.25" hidden="false" customHeight="true" outlineLevel="0" collapsed="false">
      <c r="A9" s="196" t="n">
        <f aca="false">VLOOKUP($C9,PalData!$A$2:$BU$139,9,0)</f>
        <v>7</v>
      </c>
      <c r="B9" s="197" t="n">
        <f aca="false">INDEX(PalData,MATCH(C9,PalNames,0)+1,MATCH("ZukanIndexSuffix",PalData_Header,0))</f>
        <v>0</v>
      </c>
      <c r="C9" s="185" t="s">
        <v>132</v>
      </c>
      <c r="D9" s="186" t="n">
        <f aca="false">IFERROR(INDEX(PalData,MATCH(C9,PalNames,0)+1,MATCH("Image",PalData_Header,0)),)</f>
        <v>0</v>
      </c>
      <c r="E9" s="187" t="str">
        <f aca="false">IFERROR(__xludf.dummyfunction("SPLIT(VLOOKUP($C9,PalData!$A$2:$BU$139,13,0),""EPalElementType::"",0,1)"),"Electricity")</f>
        <v>Electricity</v>
      </c>
      <c r="F9" s="187" t="str">
        <f aca="false">IFERROR(__xludf.dummyfunction("if(SPLIT(VLOOKUP($C9,PalData!$A$2:$BU$139,14,0),""EPalElementType::"",0,1)=""None"","""",SPLIT(VLOOKUP($C9,PalData!$A$2:$BU$139,14,0),""EPalElementType::"",0,1))"),"")</f>
        <v/>
      </c>
      <c r="G9" s="188" t="str">
        <f aca="false">IF(VLOOKUP($C9,PalData!$A$2:$BU$139,48,0),"🌜","")</f>
        <v/>
      </c>
      <c r="H9" s="189" t="n">
        <f aca="false">VLOOKUP($C9,PalData!$A$2:$BU$139,55,0)</f>
        <v>0</v>
      </c>
      <c r="I9" s="189" t="n">
        <f aca="false">VLOOKUP($C9,PalData!$A$2:$BU$139,56,0)</f>
        <v>0</v>
      </c>
      <c r="J9" s="189" t="n">
        <f aca="false">VLOOKUP($C9,PalData!$A$2:$BU$139,57,0)</f>
        <v>0</v>
      </c>
      <c r="K9" s="189" t="n">
        <f aca="false">VLOOKUP($C9,PalData!$A$2:$BU$139,58,0)</f>
        <v>1</v>
      </c>
      <c r="L9" s="189" t="n">
        <f aca="false">VLOOKUP($C9,PalData!$A$2:$BU$139,59,0)</f>
        <v>1</v>
      </c>
      <c r="M9" s="189" t="n">
        <f aca="false">VLOOKUP($C9,PalData!$A$2:$BU$139,60,0)</f>
        <v>0</v>
      </c>
      <c r="N9" s="189" t="n">
        <f aca="false">VLOOKUP($C9,PalData!$A$2:$BU$139,61,0)</f>
        <v>0</v>
      </c>
      <c r="O9" s="189" t="n">
        <f aca="false">VLOOKUP($C9,PalData!$A$2:$BU$139,62,0)</f>
        <v>0</v>
      </c>
      <c r="P9" s="189" t="n">
        <f aca="false">VLOOKUP($C9,PalData!$A$2:$BU$139,64,0)</f>
        <v>0</v>
      </c>
      <c r="Q9" s="189" t="n">
        <f aca="false">VLOOKUP($C9,PalData!$A$2:$BU$139,65,0)</f>
        <v>0</v>
      </c>
      <c r="R9" s="189" t="n">
        <f aca="false">VLOOKUP($C9,PalData!$A$2:$BU$139,66,0)</f>
        <v>1</v>
      </c>
      <c r="S9" s="189" t="n">
        <f aca="false">VLOOKUP($C9,PalData!$A$2:$BU$139,67,0)</f>
        <v>0</v>
      </c>
      <c r="T9" s="190" t="n">
        <f aca="false">VLOOKUP($C9,PalData!$A$2:$BU$139,43,0)</f>
        <v>2</v>
      </c>
      <c r="U9" s="188" t="n">
        <f aca="false">VLOOKUP($C9,PalData!$A$2:$BU$139,54,0)</f>
        <v>1410</v>
      </c>
      <c r="V9" s="191" t="n">
        <f aca="false">VLOOKUP($C9,PalData!$A$2:$BU$139,19,0)</f>
        <v>60</v>
      </c>
      <c r="W9" s="191" t="n">
        <f aca="false">VLOOKUP($C9,PalData!$A$2:$BU$139,20,0)</f>
        <v>60</v>
      </c>
      <c r="X9" s="191" t="n">
        <f aca="false">VLOOKUP($C9,PalData!$A$2:$BU$139,21,0)</f>
        <v>75</v>
      </c>
      <c r="Y9" s="191" t="n">
        <f aca="false">VLOOKUP($C9,PalData!$A$2:$BU$139,22,0)</f>
        <v>70</v>
      </c>
      <c r="Z9" s="192" t="n">
        <f aca="false">VLOOKUP($C9,PalData!$A$2:$BU$139,28,0)</f>
        <v>1030</v>
      </c>
      <c r="AA9" s="193" t="n">
        <f aca="false" t="array" ref="AA9:AA9">INDEX(PalData,MATCH(C9,PalNames,0)+1,MATCH("Stamina",PalData_Header,0))</f>
        <v>100</v>
      </c>
      <c r="AB9" s="193" t="n">
        <f aca="false">VLOOKUP($C9,PalData!$A$2:$BU$139,32,0)</f>
        <v>80</v>
      </c>
      <c r="AC9" s="193" t="n">
        <f aca="false">VLOOKUP($C9,PalData!$A$2:$BU$139,33,0)</f>
        <v>350</v>
      </c>
      <c r="AD9" s="193" t="n">
        <f aca="false">IF(INDEX(PalData,MATCH(C9,PalNames,0)+1,MATCH("Mount",PalData_Header,0)),INDEX(PalData,MATCH(C9,PalNames,0)+1,MATCH("RideSprintSpeed",PalData_Header,0)),)</f>
        <v>0</v>
      </c>
      <c r="AE9" s="193" t="n">
        <f aca="false" t="array" ref="AE9:AE9">IF(R9&gt;0, INDEX(PalData,MATCH(C9,PalNames,0)+1,MATCH("TransportSpeed",PalData_Header,0)),)</f>
        <v>270</v>
      </c>
      <c r="AF9" s="198" t="n">
        <f aca="false">VLOOKUP($C9,PalData!$A$2:$BU$139,26,0)</f>
        <v>1.1</v>
      </c>
      <c r="AG9" s="195" t="n">
        <f aca="false" t="array" ref="AG9:AG9">INDEX(PalData,MATCH(C9,PalNames,0)+1,MATCH("MaleProbability",PalData_Header,0))</f>
        <v>50</v>
      </c>
    </row>
    <row r="10" customFormat="false" ht="26.25" hidden="false" customHeight="true" outlineLevel="0" collapsed="false">
      <c r="A10" s="196" t="n">
        <f aca="false">VLOOKUP($C10,PalData!$A$2:$BU$139,9,0)</f>
        <v>8</v>
      </c>
      <c r="B10" s="197" t="n">
        <f aca="false">INDEX(PalData,MATCH(C10,PalNames,0)+1,MATCH("ZukanIndexSuffix",PalData_Header,0))</f>
        <v>0</v>
      </c>
      <c r="C10" s="185" t="s">
        <v>139</v>
      </c>
      <c r="D10" s="186" t="n">
        <f aca="false">IFERROR(INDEX(PalData,MATCH(C10,PalNames,0)+1,MATCH("Image",PalData_Header,0)),)</f>
        <v>0</v>
      </c>
      <c r="E10" s="187" t="str">
        <f aca="false">IFERROR(__xludf.dummyfunction("SPLIT(VLOOKUP($C10,PalData!$A$2:$BU$139,13,0),""EPalElementType::"",0,1)"),"Leaf")</f>
        <v>Leaf</v>
      </c>
      <c r="F10" s="187" t="str">
        <f aca="false">IFERROR(__xludf.dummyfunction("if(SPLIT(VLOOKUP($C10,PalData!$A$2:$BU$139,14,0),""EPalElementType::"",0,1)=""None"","""",SPLIT(VLOOKUP($C10,PalData!$A$2:$BU$139,14,0),""EPalElementType::"",0,1))"),"")</f>
        <v/>
      </c>
      <c r="G10" s="188" t="str">
        <f aca="false">IF(VLOOKUP($C10,PalData!$A$2:$BU$139,48,0),"🌜","")</f>
        <v/>
      </c>
      <c r="H10" s="189" t="n">
        <f aca="false">VLOOKUP($C10,PalData!$A$2:$BU$139,55,0)</f>
        <v>0</v>
      </c>
      <c r="I10" s="189" t="n">
        <f aca="false">VLOOKUP($C10,PalData!$A$2:$BU$139,56,0)</f>
        <v>0</v>
      </c>
      <c r="J10" s="189" t="n">
        <f aca="false">VLOOKUP($C10,PalData!$A$2:$BU$139,57,0)</f>
        <v>1</v>
      </c>
      <c r="K10" s="189" t="n">
        <f aca="false">VLOOKUP($C10,PalData!$A$2:$BU$139,58,0)</f>
        <v>0</v>
      </c>
      <c r="L10" s="189" t="n">
        <f aca="false">VLOOKUP($C10,PalData!$A$2:$BU$139,59,0)</f>
        <v>1</v>
      </c>
      <c r="M10" s="189" t="n">
        <f aca="false">VLOOKUP($C10,PalData!$A$2:$BU$139,60,0)</f>
        <v>1</v>
      </c>
      <c r="N10" s="189" t="n">
        <f aca="false">VLOOKUP($C10,PalData!$A$2:$BU$139,61,0)</f>
        <v>1</v>
      </c>
      <c r="O10" s="189" t="n">
        <f aca="false">VLOOKUP($C10,PalData!$A$2:$BU$139,62,0)</f>
        <v>0</v>
      </c>
      <c r="P10" s="189" t="n">
        <f aca="false">VLOOKUP($C10,PalData!$A$2:$BU$139,64,0)</f>
        <v>0</v>
      </c>
      <c r="Q10" s="189" t="n">
        <f aca="false">VLOOKUP($C10,PalData!$A$2:$BU$139,65,0)</f>
        <v>0</v>
      </c>
      <c r="R10" s="189" t="n">
        <f aca="false">VLOOKUP($C10,PalData!$A$2:$BU$139,66,0)</f>
        <v>1</v>
      </c>
      <c r="S10" s="189" t="n">
        <f aca="false">VLOOKUP($C10,PalData!$A$2:$BU$139,67,0)</f>
        <v>0</v>
      </c>
      <c r="T10" s="190" t="n">
        <f aca="false">VLOOKUP($C10,PalData!$A$2:$BU$139,43,0)</f>
        <v>2</v>
      </c>
      <c r="U10" s="188" t="n">
        <f aca="false">VLOOKUP($C10,PalData!$A$2:$BU$139,54,0)</f>
        <v>1250</v>
      </c>
      <c r="V10" s="191" t="n">
        <f aca="false">VLOOKUP($C10,PalData!$A$2:$BU$139,19,0)</f>
        <v>80</v>
      </c>
      <c r="W10" s="191" t="n">
        <f aca="false">VLOOKUP($C10,PalData!$A$2:$BU$139,20,0)</f>
        <v>100</v>
      </c>
      <c r="X10" s="191" t="n">
        <f aca="false">VLOOKUP($C10,PalData!$A$2:$BU$139,21,0)</f>
        <v>70</v>
      </c>
      <c r="Y10" s="191" t="n">
        <f aca="false">VLOOKUP($C10,PalData!$A$2:$BU$139,22,0)</f>
        <v>70</v>
      </c>
      <c r="Z10" s="192" t="n">
        <f aca="false">VLOOKUP($C10,PalData!$A$2:$BU$139,28,0)</f>
        <v>1280</v>
      </c>
      <c r="AA10" s="193" t="n">
        <f aca="false" t="array" ref="AA10:AA10">INDEX(PalData,MATCH(C10,PalNames,0)+1,MATCH("Stamina",PalData_Header,0))</f>
        <v>100</v>
      </c>
      <c r="AB10" s="193" t="n">
        <f aca="false">VLOOKUP($C10,PalData!$A$2:$BU$139,32,0)</f>
        <v>48</v>
      </c>
      <c r="AC10" s="193" t="n">
        <f aca="false">VLOOKUP($C10,PalData!$A$2:$BU$139,33,0)</f>
        <v>300</v>
      </c>
      <c r="AD10" s="193" t="n">
        <f aca="false">IF(INDEX(PalData,MATCH(C10,PalNames,0)+1,MATCH("Mount",PalData_Header,0)),INDEX(PalData,MATCH(C10,PalNames,0)+1,MATCH("RideSprintSpeed",PalData_Header,0)),)</f>
        <v>0</v>
      </c>
      <c r="AE10" s="193" t="n">
        <f aca="false" t="array" ref="AE10:AE10">IF(R10&gt;0, INDEX(PalData,MATCH(C10,PalNames,0)+1,MATCH("TransportSpeed",PalData_Header,0)),)</f>
        <v>174</v>
      </c>
      <c r="AF10" s="198" t="n">
        <f aca="false">VLOOKUP($C10,PalData!$A$2:$BU$139,26,0)</f>
        <v>1.1</v>
      </c>
      <c r="AG10" s="195" t="n">
        <f aca="false" t="array" ref="AG10:AG10">INDEX(PalData,MATCH(C10,PalNames,0)+1,MATCH("MaleProbability",PalData_Header,0))</f>
        <v>50</v>
      </c>
    </row>
    <row r="11" customFormat="false" ht="26.25" hidden="false" customHeight="true" outlineLevel="0" collapsed="false">
      <c r="A11" s="196" t="n">
        <f aca="false">VLOOKUP($C11,PalData!$A$2:$BU$139,9,0)</f>
        <v>9</v>
      </c>
      <c r="B11" s="197" t="n">
        <f aca="false">INDEX(PalData,MATCH(C11,PalNames,0)+1,MATCH("ZukanIndexSuffix",PalData_Header,0))</f>
        <v>0</v>
      </c>
      <c r="C11" s="185" t="s">
        <v>128</v>
      </c>
      <c r="D11" s="186" t="n">
        <f aca="false">IFERROR(INDEX(PalData,MATCH(C11,PalNames,0)+1,MATCH("Image",PalData_Header,0)),)</f>
        <v>0</v>
      </c>
      <c r="E11" s="187" t="str">
        <f aca="false">IFERROR(__xludf.dummyfunction("SPLIT(VLOOKUP($C11,PalData!$A$2:$BU$139,13,0),""EPalElementType::"",0,1)"),"Fire")</f>
        <v>Fire</v>
      </c>
      <c r="F11" s="187" t="str">
        <f aca="false">IFERROR(__xludf.dummyfunction("if(SPLIT(VLOOKUP($C11,PalData!$A$2:$BU$139,14,0),""EPalElementType::"",0,1)=""None"","""",SPLIT(VLOOKUP($C11,PalData!$A$2:$BU$139,14,0),""EPalElementType::"",0,1))"),"")</f>
        <v/>
      </c>
      <c r="G11" s="188" t="str">
        <f aca="false">IF(VLOOKUP($C11,PalData!$A$2:$BU$139,48,0),"🌜","")</f>
        <v/>
      </c>
      <c r="H11" s="189" t="n">
        <f aca="false">VLOOKUP($C11,PalData!$A$2:$BU$139,55,0)</f>
        <v>1</v>
      </c>
      <c r="I11" s="189" t="n">
        <f aca="false">VLOOKUP($C11,PalData!$A$2:$BU$139,56,0)</f>
        <v>0</v>
      </c>
      <c r="J11" s="189" t="n">
        <f aca="false">VLOOKUP($C11,PalData!$A$2:$BU$139,57,0)</f>
        <v>0</v>
      </c>
      <c r="K11" s="189" t="n">
        <f aca="false">VLOOKUP($C11,PalData!$A$2:$BU$139,58,0)</f>
        <v>0</v>
      </c>
      <c r="L11" s="189" t="n">
        <f aca="false">VLOOKUP($C11,PalData!$A$2:$BU$139,59,0)</f>
        <v>0</v>
      </c>
      <c r="M11" s="189" t="n">
        <f aca="false">VLOOKUP($C11,PalData!$A$2:$BU$139,60,0)</f>
        <v>0</v>
      </c>
      <c r="N11" s="189" t="n">
        <f aca="false">VLOOKUP($C11,PalData!$A$2:$BU$139,61,0)</f>
        <v>0</v>
      </c>
      <c r="O11" s="189" t="n">
        <f aca="false">VLOOKUP($C11,PalData!$A$2:$BU$139,62,0)</f>
        <v>0</v>
      </c>
      <c r="P11" s="189" t="n">
        <f aca="false">VLOOKUP($C11,PalData!$A$2:$BU$139,64,0)</f>
        <v>0</v>
      </c>
      <c r="Q11" s="189" t="n">
        <f aca="false">VLOOKUP($C11,PalData!$A$2:$BU$139,65,0)</f>
        <v>0</v>
      </c>
      <c r="R11" s="189" t="n">
        <f aca="false">VLOOKUP($C11,PalData!$A$2:$BU$139,66,0)</f>
        <v>0</v>
      </c>
      <c r="S11" s="189" t="n">
        <f aca="false">VLOOKUP($C11,PalData!$A$2:$BU$139,67,0)</f>
        <v>0</v>
      </c>
      <c r="T11" s="190" t="n">
        <f aca="false">VLOOKUP($C11,PalData!$A$2:$BU$139,43,0)</f>
        <v>3</v>
      </c>
      <c r="U11" s="188" t="n">
        <f aca="false">VLOOKUP($C11,PalData!$A$2:$BU$139,54,0)</f>
        <v>1155</v>
      </c>
      <c r="V11" s="191" t="n">
        <f aca="false">VLOOKUP($C11,PalData!$A$2:$BU$139,19,0)</f>
        <v>75</v>
      </c>
      <c r="W11" s="191" t="n">
        <f aca="false">VLOOKUP($C11,PalData!$A$2:$BU$139,20,0)</f>
        <v>100</v>
      </c>
      <c r="X11" s="191" t="n">
        <f aca="false">VLOOKUP($C11,PalData!$A$2:$BU$139,21,0)</f>
        <v>70</v>
      </c>
      <c r="Y11" s="191" t="n">
        <f aca="false">VLOOKUP($C11,PalData!$A$2:$BU$139,22,0)</f>
        <v>75</v>
      </c>
      <c r="Z11" s="192" t="n">
        <f aca="false">VLOOKUP($C11,PalData!$A$2:$BU$139,28,0)</f>
        <v>2950</v>
      </c>
      <c r="AA11" s="193" t="n">
        <f aca="false" t="array" ref="AA11:AA11">INDEX(PalData,MATCH(C11,PalNames,0)+1,MATCH("Stamina",PalData_Header,0))</f>
        <v>100</v>
      </c>
      <c r="AB11" s="193" t="n">
        <f aca="false">VLOOKUP($C11,PalData!$A$2:$BU$139,32,0)</f>
        <v>100</v>
      </c>
      <c r="AC11" s="193" t="n">
        <f aca="false">VLOOKUP($C11,PalData!$A$2:$BU$139,33,0)</f>
        <v>400</v>
      </c>
      <c r="AD11" s="193" t="n">
        <f aca="false">IF(INDEX(PalData,MATCH(C11,PalNames,0)+1,MATCH("Mount",PalData_Header,0)),INDEX(PalData,MATCH(C11,PalNames,0)+1,MATCH("RideSprintSpeed",PalData_Header,0)),)</f>
        <v>0</v>
      </c>
      <c r="AE11" s="193" t="n">
        <f aca="false">IF(R11&gt;0, INDEX(PalData,MATCH(C11,PalNames,0)+1,MATCH("TransportSpeed",PalData_Header,0)),)</f>
        <v>0</v>
      </c>
      <c r="AF11" s="198" t="n">
        <f aca="false">VLOOKUP($C11,PalData!$A$2:$BU$139,26,0)</f>
        <v>1.1</v>
      </c>
      <c r="AG11" s="195" t="n">
        <f aca="false" t="array" ref="AG11:AG11">INDEX(PalData,MATCH(C11,PalNames,0)+1,MATCH("MaleProbability",PalData_Header,0))</f>
        <v>50</v>
      </c>
    </row>
    <row r="12" customFormat="false" ht="26.25" hidden="false" customHeight="true" outlineLevel="0" collapsed="false">
      <c r="A12" s="196" t="n">
        <f aca="false">VLOOKUP($C12,PalData!$A$2:$BU$139,9,0)</f>
        <v>10</v>
      </c>
      <c r="B12" s="197" t="n">
        <f aca="false">INDEX(PalData,MATCH(C12,PalNames,0)+1,MATCH("ZukanIndexSuffix",PalData_Header,0))</f>
        <v>0</v>
      </c>
      <c r="C12" s="185" t="s">
        <v>114</v>
      </c>
      <c r="D12" s="186" t="n">
        <f aca="false">IFERROR(INDEX(PalData,MATCH(C12,PalNames,0)+1,MATCH("Image",PalData_Header,0)),)</f>
        <v>0</v>
      </c>
      <c r="E12" s="187" t="str">
        <f aca="false">IFERROR(__xludf.dummyfunction("SPLIT(VLOOKUP($C12,PalData!$A$2:$BU$139,13,0),""EPalElementType::"",0,1)"),"Water")</f>
        <v>Water</v>
      </c>
      <c r="F12" s="187" t="str">
        <f aca="false">IFERROR(__xludf.dummyfunction("if(SPLIT(VLOOKUP($C12,PalData!$A$2:$BU$139,14,0),""EPalElementType::"",0,1)=""None"","""",SPLIT(VLOOKUP($C12,PalData!$A$2:$BU$139,14,0),""EPalElementType::"",0,1))"),"Ice")</f>
        <v>Ice</v>
      </c>
      <c r="G12" s="188" t="str">
        <f aca="false">IF(VLOOKUP($C12,PalData!$A$2:$BU$139,48,0),"🌜","")</f>
        <v/>
      </c>
      <c r="H12" s="189" t="n">
        <f aca="false">VLOOKUP($C12,PalData!$A$2:$BU$139,55,0)</f>
        <v>0</v>
      </c>
      <c r="I12" s="189" t="n">
        <f aca="false">VLOOKUP($C12,PalData!$A$2:$BU$139,56,0)</f>
        <v>1</v>
      </c>
      <c r="J12" s="189" t="n">
        <f aca="false">VLOOKUP($C12,PalData!$A$2:$BU$139,57,0)</f>
        <v>0</v>
      </c>
      <c r="K12" s="189" t="n">
        <f aca="false">VLOOKUP($C12,PalData!$A$2:$BU$139,58,0)</f>
        <v>0</v>
      </c>
      <c r="L12" s="189" t="n">
        <f aca="false">VLOOKUP($C12,PalData!$A$2:$BU$139,59,0)</f>
        <v>1</v>
      </c>
      <c r="M12" s="189" t="n">
        <f aca="false">VLOOKUP($C12,PalData!$A$2:$BU$139,60,0)</f>
        <v>0</v>
      </c>
      <c r="N12" s="189" t="n">
        <f aca="false">VLOOKUP($C12,PalData!$A$2:$BU$139,61,0)</f>
        <v>0</v>
      </c>
      <c r="O12" s="189" t="n">
        <f aca="false">VLOOKUP($C12,PalData!$A$2:$BU$139,62,0)</f>
        <v>0</v>
      </c>
      <c r="P12" s="189" t="n">
        <f aca="false">VLOOKUP($C12,PalData!$A$2:$BU$139,64,0)</f>
        <v>0</v>
      </c>
      <c r="Q12" s="189" t="n">
        <f aca="false">VLOOKUP($C12,PalData!$A$2:$BU$139,65,0)</f>
        <v>1</v>
      </c>
      <c r="R12" s="189" t="n">
        <f aca="false">VLOOKUP($C12,PalData!$A$2:$BU$139,66,0)</f>
        <v>1</v>
      </c>
      <c r="S12" s="189" t="n">
        <f aca="false">VLOOKUP($C12,PalData!$A$2:$BU$139,67,0)</f>
        <v>0</v>
      </c>
      <c r="T12" s="190" t="n">
        <f aca="false">VLOOKUP($C12,PalData!$A$2:$BU$139,43,0)</f>
        <v>2</v>
      </c>
      <c r="U12" s="188" t="n">
        <f aca="false">VLOOKUP($C12,PalData!$A$2:$BU$139,54,0)</f>
        <v>1350</v>
      </c>
      <c r="V12" s="191" t="n">
        <f aca="false">VLOOKUP($C12,PalData!$A$2:$BU$139,19,0)</f>
        <v>70</v>
      </c>
      <c r="W12" s="191" t="n">
        <f aca="false">VLOOKUP($C12,PalData!$A$2:$BU$139,20,0)</f>
        <v>70</v>
      </c>
      <c r="X12" s="191" t="n">
        <f aca="false">VLOOKUP($C12,PalData!$A$2:$BU$139,21,0)</f>
        <v>75</v>
      </c>
      <c r="Y12" s="191" t="n">
        <f aca="false">VLOOKUP($C12,PalData!$A$2:$BU$139,22,0)</f>
        <v>70</v>
      </c>
      <c r="Z12" s="192" t="n">
        <f aca="false">VLOOKUP($C12,PalData!$A$2:$BU$139,28,0)</f>
        <v>1080</v>
      </c>
      <c r="AA12" s="193" t="n">
        <f aca="false" t="array" ref="AA12:AA12">INDEX(PalData,MATCH(C12,PalNames,0)+1,MATCH("Stamina",PalData_Header,0))</f>
        <v>100</v>
      </c>
      <c r="AB12" s="193" t="n">
        <f aca="false">VLOOKUP($C12,PalData!$A$2:$BU$139,32,0)</f>
        <v>60</v>
      </c>
      <c r="AC12" s="193" t="n">
        <f aca="false">VLOOKUP($C12,PalData!$A$2:$BU$139,33,0)</f>
        <v>500</v>
      </c>
      <c r="AD12" s="193" t="n">
        <f aca="false">IF(INDEX(PalData,MATCH(C12,PalNames,0)+1,MATCH("Mount",PalData_Header,0)),INDEX(PalData,MATCH(C12,PalNames,0)+1,MATCH("RideSprintSpeed",PalData_Header,0)),)</f>
        <v>0</v>
      </c>
      <c r="AE12" s="193" t="n">
        <f aca="false" t="array" ref="AE12:AE12">IF(R12&gt;0, INDEX(PalData,MATCH(C12,PalNames,0)+1,MATCH("TransportSpeed",PalData_Header,0)),)</f>
        <v>265</v>
      </c>
      <c r="AF12" s="198" t="n">
        <f aca="false">VLOOKUP($C12,PalData!$A$2:$BU$139,26,0)</f>
        <v>0.9</v>
      </c>
      <c r="AG12" s="195" t="n">
        <f aca="false" t="array" ref="AG12:AG12">INDEX(PalData,MATCH(C12,PalNames,0)+1,MATCH("MaleProbability",PalData_Header,0))</f>
        <v>50</v>
      </c>
    </row>
    <row r="13" customFormat="false" ht="26.25" hidden="false" customHeight="true" outlineLevel="0" collapsed="false">
      <c r="A13" s="196" t="n">
        <f aca="false">VLOOKUP($C13,PalData!$A$2:$BU$139,9,0)</f>
        <v>11</v>
      </c>
      <c r="B13" s="197" t="n">
        <f aca="false">INDEX(PalData,MATCH(C13,PalNames,0)+1,MATCH("ZukanIndexSuffix",PalData_Header,0))</f>
        <v>0</v>
      </c>
      <c r="C13" s="185" t="s">
        <v>115</v>
      </c>
      <c r="D13" s="186" t="n">
        <f aca="false">IFERROR(INDEX(PalData,MATCH(C13,PalNames,0)+1,MATCH("Image",PalData_Header,0)),)</f>
        <v>0</v>
      </c>
      <c r="E13" s="187" t="str">
        <f aca="false">IFERROR(__xludf.dummyfunction("SPLIT(VLOOKUP($C13,PalData!$A$2:$BU$139,13,0),""EPalElementType::"",0,1)"),"Water")</f>
        <v>Water</v>
      </c>
      <c r="F13" s="187" t="str">
        <f aca="false">IFERROR(__xludf.dummyfunction("if(SPLIT(VLOOKUP($C13,PalData!$A$2:$BU$139,14,0),""EPalElementType::"",0,1)=""None"","""",SPLIT(VLOOKUP($C13,PalData!$A$2:$BU$139,14,0),""EPalElementType::"",0,1))"),"Ice")</f>
        <v>Ice</v>
      </c>
      <c r="G13" s="188" t="str">
        <f aca="false">IF(VLOOKUP($C13,PalData!$A$2:$BU$139,48,0),"🌜","")</f>
        <v/>
      </c>
      <c r="H13" s="189" t="n">
        <f aca="false">VLOOKUP($C13,PalData!$A$2:$BU$139,55,0)</f>
        <v>0</v>
      </c>
      <c r="I13" s="189" t="n">
        <f aca="false">VLOOKUP($C13,PalData!$A$2:$BU$139,56,0)</f>
        <v>2</v>
      </c>
      <c r="J13" s="189" t="n">
        <f aca="false">VLOOKUP($C13,PalData!$A$2:$BU$139,57,0)</f>
        <v>0</v>
      </c>
      <c r="K13" s="189" t="n">
        <f aca="false">VLOOKUP($C13,PalData!$A$2:$BU$139,58,0)</f>
        <v>0</v>
      </c>
      <c r="L13" s="189" t="n">
        <f aca="false">VLOOKUP($C13,PalData!$A$2:$BU$139,59,0)</f>
        <v>2</v>
      </c>
      <c r="M13" s="189" t="n">
        <f aca="false">VLOOKUP($C13,PalData!$A$2:$BU$139,60,0)</f>
        <v>0</v>
      </c>
      <c r="N13" s="189" t="n">
        <f aca="false">VLOOKUP($C13,PalData!$A$2:$BU$139,61,0)</f>
        <v>0</v>
      </c>
      <c r="O13" s="189" t="n">
        <f aca="false">VLOOKUP($C13,PalData!$A$2:$BU$139,62,0)</f>
        <v>2</v>
      </c>
      <c r="P13" s="189" t="n">
        <f aca="false">VLOOKUP($C13,PalData!$A$2:$BU$139,64,0)</f>
        <v>0</v>
      </c>
      <c r="Q13" s="189" t="n">
        <f aca="false">VLOOKUP($C13,PalData!$A$2:$BU$139,65,0)</f>
        <v>2</v>
      </c>
      <c r="R13" s="189" t="n">
        <f aca="false">VLOOKUP($C13,PalData!$A$2:$BU$139,66,0)</f>
        <v>2</v>
      </c>
      <c r="S13" s="189" t="n">
        <f aca="false">VLOOKUP($C13,PalData!$A$2:$BU$139,67,0)</f>
        <v>0</v>
      </c>
      <c r="T13" s="190" t="n">
        <f aca="false">VLOOKUP($C13,PalData!$A$2:$BU$139,43,0)</f>
        <v>8</v>
      </c>
      <c r="U13" s="188" t="n">
        <f aca="false">VLOOKUP($C13,PalData!$A$2:$BU$139,54,0)</f>
        <v>520</v>
      </c>
      <c r="V13" s="191" t="n">
        <f aca="false">VLOOKUP($C13,PalData!$A$2:$BU$139,19,0)</f>
        <v>95</v>
      </c>
      <c r="W13" s="191" t="n">
        <f aca="false">VLOOKUP($C13,PalData!$A$2:$BU$139,20,0)</f>
        <v>70</v>
      </c>
      <c r="X13" s="191" t="n">
        <f aca="false">VLOOKUP($C13,PalData!$A$2:$BU$139,21,0)</f>
        <v>95</v>
      </c>
      <c r="Y13" s="191" t="n">
        <f aca="false">VLOOKUP($C13,PalData!$A$2:$BU$139,22,0)</f>
        <v>95</v>
      </c>
      <c r="Z13" s="192" t="n">
        <f aca="false">VLOOKUP($C13,PalData!$A$2:$BU$139,28,0)</f>
        <v>5410</v>
      </c>
      <c r="AA13" s="193" t="n">
        <f aca="false" t="array" ref="AA13:AA13">INDEX(PalData,MATCH(C13,PalNames,0)+1,MATCH("Stamina",PalData_Header,0))</f>
        <v>100</v>
      </c>
      <c r="AB13" s="193" t="n">
        <f aca="false">VLOOKUP($C13,PalData!$A$2:$BU$139,32,0)</f>
        <v>110</v>
      </c>
      <c r="AC13" s="193" t="n">
        <f aca="false">VLOOKUP($C13,PalData!$A$2:$BU$139,33,0)</f>
        <v>450</v>
      </c>
      <c r="AD13" s="193" t="n">
        <f aca="false">IF(INDEX(PalData,MATCH(C13,PalNames,0)+1,MATCH("Mount",PalData_Header,0)),INDEX(PalData,MATCH(C13,PalNames,0)+1,MATCH("RideSprintSpeed",PalData_Header,0)),)</f>
        <v>0</v>
      </c>
      <c r="AE13" s="193" t="n">
        <f aca="false" t="array" ref="AE13:AE13">IF(R13&gt;0, INDEX(PalData,MATCH(C13,PalNames,0)+1,MATCH("TransportSpeed",PalData_Header,0)),)</f>
        <v>280</v>
      </c>
      <c r="AF13" s="198" t="n">
        <f aca="false">VLOOKUP($C13,PalData!$A$2:$BU$139,26,0)</f>
        <v>1</v>
      </c>
      <c r="AG13" s="195" t="n">
        <f aca="false" t="array" ref="AG13:AG13">INDEX(PalData,MATCH(C13,PalNames,0)+1,MATCH("MaleProbability",PalData_Header,0))</f>
        <v>50</v>
      </c>
    </row>
    <row r="14" customFormat="false" ht="26.25" hidden="false" customHeight="true" outlineLevel="0" collapsed="false">
      <c r="A14" s="196" t="n">
        <f aca="false">VLOOKUP($C14,PalData!$A$2:$BU$139,9,0)</f>
        <v>12</v>
      </c>
      <c r="B14" s="197" t="n">
        <f aca="false">INDEX(PalData,MATCH(C14,PalNames,0)+1,MATCH("ZukanIndexSuffix",PalData_Header,0))</f>
        <v>0</v>
      </c>
      <c r="C14" s="185" t="s">
        <v>80</v>
      </c>
      <c r="D14" s="186" t="n">
        <f aca="false">IFERROR(INDEX(PalData,MATCH(C14,PalNames,0)+1,MATCH("Image",PalData_Header,0)),)</f>
        <v>0</v>
      </c>
      <c r="E14" s="187" t="str">
        <f aca="false">IFERROR(__xludf.dummyfunction("SPLIT(VLOOKUP($C14,PalData!$A$2:$BU$139,13,0),""EPalElementType::"",0,1)"),"Electricity")</f>
        <v>Electricity</v>
      </c>
      <c r="F14" s="187" t="str">
        <f aca="false">IFERROR(__xludf.dummyfunction("if(SPLIT(VLOOKUP($C14,PalData!$A$2:$BU$139,14,0),""EPalElementType::"",0,1)=""None"","""",SPLIT(VLOOKUP($C14,PalData!$A$2:$BU$139,14,0),""EPalElementType::"",0,1))"),"")</f>
        <v/>
      </c>
      <c r="G14" s="188" t="str">
        <f aca="false">IF(VLOOKUP($C14,PalData!$A$2:$BU$139,48,0),"🌜","")</f>
        <v/>
      </c>
      <c r="H14" s="189" t="n">
        <f aca="false">VLOOKUP($C14,PalData!$A$2:$BU$139,55,0)</f>
        <v>0</v>
      </c>
      <c r="I14" s="189" t="n">
        <f aca="false">VLOOKUP($C14,PalData!$A$2:$BU$139,56,0)</f>
        <v>0</v>
      </c>
      <c r="J14" s="189" t="n">
        <f aca="false">VLOOKUP($C14,PalData!$A$2:$BU$139,57,0)</f>
        <v>0</v>
      </c>
      <c r="K14" s="189" t="n">
        <f aca="false">VLOOKUP($C14,PalData!$A$2:$BU$139,58,0)</f>
        <v>1</v>
      </c>
      <c r="L14" s="189" t="n">
        <f aca="false">VLOOKUP($C14,PalData!$A$2:$BU$139,59,0)</f>
        <v>0</v>
      </c>
      <c r="M14" s="189" t="n">
        <f aca="false">VLOOKUP($C14,PalData!$A$2:$BU$139,60,0)</f>
        <v>0</v>
      </c>
      <c r="N14" s="189" t="n">
        <f aca="false">VLOOKUP($C14,PalData!$A$2:$BU$139,61,0)</f>
        <v>0</v>
      </c>
      <c r="O14" s="189" t="n">
        <f aca="false">VLOOKUP($C14,PalData!$A$2:$BU$139,62,0)</f>
        <v>0</v>
      </c>
      <c r="P14" s="189" t="n">
        <f aca="false">VLOOKUP($C14,PalData!$A$2:$BU$139,64,0)</f>
        <v>0</v>
      </c>
      <c r="Q14" s="189" t="n">
        <f aca="false">VLOOKUP($C14,PalData!$A$2:$BU$139,65,0)</f>
        <v>0</v>
      </c>
      <c r="R14" s="189" t="n">
        <f aca="false">VLOOKUP($C14,PalData!$A$2:$BU$139,66,0)</f>
        <v>0</v>
      </c>
      <c r="S14" s="189" t="n">
        <f aca="false">VLOOKUP($C14,PalData!$A$2:$BU$139,67,0)</f>
        <v>0</v>
      </c>
      <c r="T14" s="190" t="n">
        <f aca="false">VLOOKUP($C14,PalData!$A$2:$BU$139,43,0)</f>
        <v>2</v>
      </c>
      <c r="U14" s="188" t="n">
        <f aca="false">VLOOKUP($C14,PalData!$A$2:$BU$139,54,0)</f>
        <v>1370</v>
      </c>
      <c r="V14" s="191" t="n">
        <f aca="false">VLOOKUP($C14,PalData!$A$2:$BU$139,19,0)</f>
        <v>70</v>
      </c>
      <c r="W14" s="191" t="n">
        <f aca="false">VLOOKUP($C14,PalData!$A$2:$BU$139,20,0)</f>
        <v>70</v>
      </c>
      <c r="X14" s="191" t="n">
        <f aca="false">VLOOKUP($C14,PalData!$A$2:$BU$139,21,0)</f>
        <v>75</v>
      </c>
      <c r="Y14" s="191" t="n">
        <f aca="false">VLOOKUP($C14,PalData!$A$2:$BU$139,22,0)</f>
        <v>70</v>
      </c>
      <c r="Z14" s="192" t="n">
        <f aca="false">VLOOKUP($C14,PalData!$A$2:$BU$139,28,0)</f>
        <v>1060</v>
      </c>
      <c r="AA14" s="193" t="n">
        <f aca="false" t="array" ref="AA14:AA14">INDEX(PalData,MATCH(C14,PalNames,0)+1,MATCH("Stamina",PalData_Header,0))</f>
        <v>100</v>
      </c>
      <c r="AB14" s="193" t="n">
        <f aca="false">VLOOKUP($C14,PalData!$A$2:$BU$139,32,0)</f>
        <v>60</v>
      </c>
      <c r="AC14" s="193" t="n">
        <f aca="false">VLOOKUP($C14,PalData!$A$2:$BU$139,33,0)</f>
        <v>400</v>
      </c>
      <c r="AD14" s="193" t="n">
        <f aca="false">IF(INDEX(PalData,MATCH(C14,PalNames,0)+1,MATCH("Mount",PalData_Header,0)),INDEX(PalData,MATCH(C14,PalNames,0)+1,MATCH("RideSprintSpeed",PalData_Header,0)),)</f>
        <v>0</v>
      </c>
      <c r="AE14" s="193" t="n">
        <f aca="false">IF(R14&gt;0, INDEX(PalData,MATCH(C14,PalNames,0)+1,MATCH("TransportSpeed",PalData_Header,0)),)</f>
        <v>0</v>
      </c>
      <c r="AF14" s="198" t="n">
        <f aca="false">VLOOKUP($C14,PalData!$A$2:$BU$139,26,0)</f>
        <v>1.2</v>
      </c>
      <c r="AG14" s="195" t="n">
        <f aca="false" t="array" ref="AG14:AG14">INDEX(PalData,MATCH(C14,PalNames,0)+1,MATCH("MaleProbability",PalData_Header,0))</f>
        <v>50</v>
      </c>
    </row>
    <row r="15" customFormat="false" ht="26.25" hidden="false" customHeight="true" outlineLevel="0" collapsed="false">
      <c r="A15" s="196" t="n">
        <f aca="false">VLOOKUP($C15,PalData!$A$2:$BU$139,9,0)</f>
        <v>12</v>
      </c>
      <c r="B15" s="197" t="str">
        <f aca="false" t="array" ref="B15:B15">INDEX(PalData,MATCH(C15,PalNames,0)+1,MATCH("ZukanIndexSuffix",PalData_Header,0))</f>
        <v>B</v>
      </c>
      <c r="C15" s="185" t="s">
        <v>81</v>
      </c>
      <c r="D15" s="186" t="n">
        <f aca="false">IFERROR(INDEX(PalData,MATCH(C15,PalNames,0)+1,MATCH("Image",PalData_Header,0)),)</f>
        <v>0</v>
      </c>
      <c r="E15" s="187" t="str">
        <f aca="false">IFERROR(__xludf.dummyfunction("SPLIT(VLOOKUP($C15,PalData!$A$2:$BU$139,13,0),""EPalElementType::"",0,1)"),"Ice")</f>
        <v>Ice</v>
      </c>
      <c r="F15" s="187" t="str">
        <f aca="false">IFERROR(__xludf.dummyfunction("if(SPLIT(VLOOKUP($C15,PalData!$A$2:$BU$139,14,0),""EPalElementType::"",0,1)=""None"","""",SPLIT(VLOOKUP($C15,PalData!$A$2:$BU$139,14,0),""EPalElementType::"",0,1))"),"")</f>
        <v/>
      </c>
      <c r="G15" s="188" t="str">
        <f aca="false">IF(VLOOKUP($C15,PalData!$A$2:$BU$139,48,0),"🌜","")</f>
        <v/>
      </c>
      <c r="H15" s="189" t="n">
        <f aca="false">VLOOKUP($C15,PalData!$A$2:$BU$139,55,0)</f>
        <v>0</v>
      </c>
      <c r="I15" s="189" t="n">
        <f aca="false">VLOOKUP($C15,PalData!$A$2:$BU$139,56,0)</f>
        <v>0</v>
      </c>
      <c r="J15" s="189" t="n">
        <f aca="false">VLOOKUP($C15,PalData!$A$2:$BU$139,57,0)</f>
        <v>0</v>
      </c>
      <c r="K15" s="189" t="n">
        <f aca="false">VLOOKUP($C15,PalData!$A$2:$BU$139,58,0)</f>
        <v>0</v>
      </c>
      <c r="L15" s="189" t="n">
        <f aca="false">VLOOKUP($C15,PalData!$A$2:$BU$139,59,0)</f>
        <v>0</v>
      </c>
      <c r="M15" s="189" t="n">
        <f aca="false">VLOOKUP($C15,PalData!$A$2:$BU$139,60,0)</f>
        <v>0</v>
      </c>
      <c r="N15" s="189" t="n">
        <f aca="false">VLOOKUP($C15,PalData!$A$2:$BU$139,61,0)</f>
        <v>0</v>
      </c>
      <c r="O15" s="189" t="n">
        <f aca="false">VLOOKUP($C15,PalData!$A$2:$BU$139,62,0)</f>
        <v>0</v>
      </c>
      <c r="P15" s="189" t="n">
        <f aca="false">VLOOKUP($C15,PalData!$A$2:$BU$139,64,0)</f>
        <v>0</v>
      </c>
      <c r="Q15" s="189" t="n">
        <f aca="false">VLOOKUP($C15,PalData!$A$2:$BU$139,65,0)</f>
        <v>1</v>
      </c>
      <c r="R15" s="189" t="n">
        <f aca="false">VLOOKUP($C15,PalData!$A$2:$BU$139,66,0)</f>
        <v>0</v>
      </c>
      <c r="S15" s="189" t="n">
        <f aca="false">VLOOKUP($C15,PalData!$A$2:$BU$139,67,0)</f>
        <v>0</v>
      </c>
      <c r="T15" s="190" t="n">
        <f aca="false">VLOOKUP($C15,PalData!$A$2:$BU$139,43,0)</f>
        <v>2</v>
      </c>
      <c r="U15" s="188" t="n">
        <f aca="false">VLOOKUP($C15,PalData!$A$2:$BU$139,54,0)</f>
        <v>1360</v>
      </c>
      <c r="V15" s="191" t="n">
        <f aca="false">VLOOKUP($C15,PalData!$A$2:$BU$139,19,0)</f>
        <v>70</v>
      </c>
      <c r="W15" s="191" t="n">
        <f aca="false">VLOOKUP($C15,PalData!$A$2:$BU$139,20,0)</f>
        <v>70</v>
      </c>
      <c r="X15" s="191" t="n">
        <f aca="false">VLOOKUP($C15,PalData!$A$2:$BU$139,21,0)</f>
        <v>75</v>
      </c>
      <c r="Y15" s="191" t="n">
        <f aca="false">VLOOKUP($C15,PalData!$A$2:$BU$139,22,0)</f>
        <v>80</v>
      </c>
      <c r="Z15" s="192" t="n">
        <f aca="false">VLOOKUP($C15,PalData!$A$2:$BU$139,28,0)</f>
        <v>1070</v>
      </c>
      <c r="AA15" s="193" t="n">
        <f aca="false" t="array" ref="AA15:AA15">INDEX(PalData,MATCH(C15,PalNames,0)+1,MATCH("Stamina",PalData_Header,0))</f>
        <v>100</v>
      </c>
      <c r="AB15" s="193" t="n">
        <f aca="false">VLOOKUP($C15,PalData!$A$2:$BU$139,32,0)</f>
        <v>60</v>
      </c>
      <c r="AC15" s="193" t="n">
        <f aca="false">VLOOKUP($C15,PalData!$A$2:$BU$139,33,0)</f>
        <v>400</v>
      </c>
      <c r="AD15" s="193" t="n">
        <f aca="false">IF(INDEX(PalData,MATCH(C15,PalNames,0)+1,MATCH("Mount",PalData_Header,0)),INDEX(PalData,MATCH(C15,PalNames,0)+1,MATCH("RideSprintSpeed",PalData_Header,0)),)</f>
        <v>0</v>
      </c>
      <c r="AE15" s="193" t="n">
        <f aca="false">IF(R15&gt;0, INDEX(PalData,MATCH(C15,PalNames,0)+1,MATCH("TransportSpeed",PalData_Header,0)),)</f>
        <v>0</v>
      </c>
      <c r="AF15" s="198" t="n">
        <f aca="false">VLOOKUP($C15,PalData!$A$2:$BU$139,26,0)</f>
        <v>1</v>
      </c>
      <c r="AG15" s="195" t="n">
        <f aca="false" t="array" ref="AG15:AG15">INDEX(PalData,MATCH(C15,PalNames,0)+1,MATCH("MaleProbability",PalData_Header,0))</f>
        <v>50</v>
      </c>
    </row>
    <row r="16" customFormat="false" ht="26.25" hidden="false" customHeight="true" outlineLevel="0" collapsed="false">
      <c r="A16" s="196" t="n">
        <f aca="false">VLOOKUP($C16,PalData!$A$2:$BU$139,9,0)</f>
        <v>13</v>
      </c>
      <c r="B16" s="197" t="n">
        <f aca="false">INDEX(PalData,MATCH(C16,PalNames,0)+1,MATCH("ZukanIndexSuffix",PalData_Header,0))</f>
        <v>0</v>
      </c>
      <c r="C16" s="185" t="s">
        <v>69</v>
      </c>
      <c r="D16" s="186" t="n">
        <f aca="false">IFERROR(INDEX(PalData,MATCH(C16,PalNames,0)+1,MATCH("Image",PalData_Header,0)),)</f>
        <v>0</v>
      </c>
      <c r="E16" s="187" t="str">
        <f aca="false">IFERROR(__xludf.dummyfunction("SPLIT(VLOOKUP($C16,PalData!$A$2:$BU$139,13,0),""EPalElementType::"",0,1)"),"Leaf")</f>
        <v>Leaf</v>
      </c>
      <c r="F16" s="187" t="str">
        <f aca="false">IFERROR(__xludf.dummyfunction("if(SPLIT(VLOOKUP($C16,PalData!$A$2:$BU$139,14,0),""EPalElementType::"",0,1)=""None"","""",SPLIT(VLOOKUP($C16,PalData!$A$2:$BU$139,14,0),""EPalElementType::"",0,1))"),"Earth")</f>
        <v>Earth</v>
      </c>
      <c r="G16" s="188" t="str">
        <f aca="false">IF(VLOOKUP($C16,PalData!$A$2:$BU$139,48,0),"🌜","")</f>
        <v/>
      </c>
      <c r="H16" s="189" t="n">
        <f aca="false">VLOOKUP($C16,PalData!$A$2:$BU$139,55,0)</f>
        <v>0</v>
      </c>
      <c r="I16" s="189" t="n">
        <f aca="false">VLOOKUP($C16,PalData!$A$2:$BU$139,56,0)</f>
        <v>0</v>
      </c>
      <c r="J16" s="189" t="n">
        <f aca="false">VLOOKUP($C16,PalData!$A$2:$BU$139,57,0)</f>
        <v>1</v>
      </c>
      <c r="K16" s="189" t="n">
        <f aca="false">VLOOKUP($C16,PalData!$A$2:$BU$139,58,0)</f>
        <v>0</v>
      </c>
      <c r="L16" s="189" t="n">
        <f aca="false">VLOOKUP($C16,PalData!$A$2:$BU$139,59,0)</f>
        <v>0</v>
      </c>
      <c r="M16" s="189" t="n">
        <f aca="false">VLOOKUP($C16,PalData!$A$2:$BU$139,60,0)</f>
        <v>0</v>
      </c>
      <c r="N16" s="189" t="n">
        <f aca="false">VLOOKUP($C16,PalData!$A$2:$BU$139,61,0)</f>
        <v>0</v>
      </c>
      <c r="O16" s="189" t="n">
        <f aca="false">VLOOKUP($C16,PalData!$A$2:$BU$139,62,0)</f>
        <v>0</v>
      </c>
      <c r="P16" s="189" t="n">
        <f aca="false">VLOOKUP($C16,PalData!$A$2:$BU$139,64,0)</f>
        <v>0</v>
      </c>
      <c r="Q16" s="189" t="n">
        <f aca="false">VLOOKUP($C16,PalData!$A$2:$BU$139,65,0)</f>
        <v>0</v>
      </c>
      <c r="R16" s="189" t="n">
        <f aca="false">VLOOKUP($C16,PalData!$A$2:$BU$139,66,0)</f>
        <v>0</v>
      </c>
      <c r="S16" s="189" t="n">
        <f aca="false">VLOOKUP($C16,PalData!$A$2:$BU$139,67,0)</f>
        <v>0</v>
      </c>
      <c r="T16" s="190" t="n">
        <f aca="false">VLOOKUP($C16,PalData!$A$2:$BU$139,43,0)</f>
        <v>1</v>
      </c>
      <c r="U16" s="188" t="n">
        <f aca="false">VLOOKUP($C16,PalData!$A$2:$BU$139,54,0)</f>
        <v>1240</v>
      </c>
      <c r="V16" s="191" t="n">
        <f aca="false">VLOOKUP($C16,PalData!$A$2:$BU$139,19,0)</f>
        <v>70</v>
      </c>
      <c r="W16" s="191" t="n">
        <f aca="false">VLOOKUP($C16,PalData!$A$2:$BU$139,20,0)</f>
        <v>100</v>
      </c>
      <c r="X16" s="191" t="n">
        <f aca="false">VLOOKUP($C16,PalData!$A$2:$BU$139,21,0)</f>
        <v>70</v>
      </c>
      <c r="Y16" s="191" t="n">
        <f aca="false">VLOOKUP($C16,PalData!$A$2:$BU$139,22,0)</f>
        <v>70</v>
      </c>
      <c r="Z16" s="192" t="n">
        <f aca="false">VLOOKUP($C16,PalData!$A$2:$BU$139,28,0)</f>
        <v>1310</v>
      </c>
      <c r="AA16" s="193" t="n">
        <f aca="false" t="array" ref="AA16:AA16">INDEX(PalData,MATCH(C16,PalNames,0)+1,MATCH("Stamina",PalData_Header,0))</f>
        <v>100</v>
      </c>
      <c r="AB16" s="193" t="n">
        <f aca="false">VLOOKUP($C16,PalData!$A$2:$BU$139,32,0)</f>
        <v>50</v>
      </c>
      <c r="AC16" s="193" t="n">
        <f aca="false">VLOOKUP($C16,PalData!$A$2:$BU$139,33,0)</f>
        <v>300</v>
      </c>
      <c r="AD16" s="193" t="n">
        <f aca="false">IF(INDEX(PalData,MATCH(C16,PalNames,0)+1,MATCH("Mount",PalData_Header,0)),INDEX(PalData,MATCH(C16,PalNames,0)+1,MATCH("RideSprintSpeed",PalData_Header,0)),)</f>
        <v>0</v>
      </c>
      <c r="AE16" s="193" t="n">
        <f aca="false">IF(R16&gt;0, INDEX(PalData,MATCH(C16,PalNames,0)+1,MATCH("TransportSpeed",PalData_Header,0)),)</f>
        <v>0</v>
      </c>
      <c r="AF16" s="198" t="n">
        <f aca="false">VLOOKUP($C16,PalData!$A$2:$BU$139,26,0)</f>
        <v>1.3</v>
      </c>
      <c r="AG16" s="195" t="n">
        <f aca="false" t="array" ref="AG16:AG16">INDEX(PalData,MATCH(C16,PalNames,0)+1,MATCH("MaleProbability",PalData_Header,0))</f>
        <v>50</v>
      </c>
    </row>
    <row r="17" customFormat="false" ht="26.25" hidden="false" customHeight="true" outlineLevel="0" collapsed="false">
      <c r="A17" s="196" t="n">
        <f aca="false">VLOOKUP($C17,PalData!$A$2:$BU$139,9,0)</f>
        <v>13</v>
      </c>
      <c r="B17" s="197" t="str">
        <f aca="false" t="array" ref="B17:B17">INDEX(PalData,MATCH(C17,PalNames,0)+1,MATCH("ZukanIndexSuffix",PalData_Header,0))</f>
        <v>B</v>
      </c>
      <c r="C17" s="185" t="s">
        <v>70</v>
      </c>
      <c r="D17" s="186" t="n">
        <f aca="false">IFERROR(INDEX(PalData,MATCH(C17,PalNames,0)+1,MATCH("Image",PalData_Header,0)),)</f>
        <v>0</v>
      </c>
      <c r="E17" s="187" t="str">
        <f aca="false">IFERROR(__xludf.dummyfunction("SPLIT(VLOOKUP($C17,PalData!$A$2:$BU$139,13,0),""EPalElementType::"",0,1)"),"Leaf")</f>
        <v>Leaf</v>
      </c>
      <c r="F17" s="187" t="str">
        <f aca="false">IFERROR(__xludf.dummyfunction("if(SPLIT(VLOOKUP($C17,PalData!$A$2:$BU$139,14,0),""EPalElementType::"",0,1)=""None"","""",SPLIT(VLOOKUP($C17,PalData!$A$2:$BU$139,14,0),""EPalElementType::"",0,1))"),"Earth")</f>
        <v>Earth</v>
      </c>
      <c r="G17" s="188" t="str">
        <f aca="false">IF(VLOOKUP($C17,PalData!$A$2:$BU$139,48,0),"🌜","")</f>
        <v/>
      </c>
      <c r="H17" s="189" t="n">
        <f aca="false">VLOOKUP($C17,PalData!$A$2:$BU$139,55,0)</f>
        <v>0</v>
      </c>
      <c r="I17" s="189" t="n">
        <f aca="false">VLOOKUP($C17,PalData!$A$2:$BU$139,56,0)</f>
        <v>0</v>
      </c>
      <c r="J17" s="189" t="n">
        <f aca="false">VLOOKUP($C17,PalData!$A$2:$BU$139,57,0)</f>
        <v>1</v>
      </c>
      <c r="K17" s="189" t="n">
        <f aca="false">VLOOKUP($C17,PalData!$A$2:$BU$139,58,0)</f>
        <v>0</v>
      </c>
      <c r="L17" s="189" t="n">
        <f aca="false">VLOOKUP($C17,PalData!$A$2:$BU$139,59,0)</f>
        <v>0</v>
      </c>
      <c r="M17" s="189" t="n">
        <f aca="false">VLOOKUP($C17,PalData!$A$2:$BU$139,60,0)</f>
        <v>0</v>
      </c>
      <c r="N17" s="189" t="n">
        <f aca="false">VLOOKUP($C17,PalData!$A$2:$BU$139,61,0)</f>
        <v>0</v>
      </c>
      <c r="O17" s="189" t="n">
        <f aca="false">VLOOKUP($C17,PalData!$A$2:$BU$139,62,0)</f>
        <v>0</v>
      </c>
      <c r="P17" s="189" t="n">
        <f aca="false">VLOOKUP($C17,PalData!$A$2:$BU$139,64,0)</f>
        <v>0</v>
      </c>
      <c r="Q17" s="189" t="n">
        <f aca="false">VLOOKUP($C17,PalData!$A$2:$BU$139,65,0)</f>
        <v>0</v>
      </c>
      <c r="R17" s="189" t="n">
        <f aca="false">VLOOKUP($C17,PalData!$A$2:$BU$139,66,0)</f>
        <v>0</v>
      </c>
      <c r="S17" s="189" t="n">
        <f aca="false">VLOOKUP($C17,PalData!$A$2:$BU$139,67,0)</f>
        <v>0</v>
      </c>
      <c r="T17" s="190" t="n">
        <f aca="false">VLOOKUP($C17,PalData!$A$2:$BU$139,43,0)</f>
        <v>1</v>
      </c>
      <c r="U17" s="188" t="n">
        <f aca="false">VLOOKUP($C17,PalData!$A$2:$BU$139,54,0)</f>
        <v>1240</v>
      </c>
      <c r="V17" s="191" t="n">
        <f aca="false">VLOOKUP($C17,PalData!$A$2:$BU$139,19,0)</f>
        <v>70</v>
      </c>
      <c r="W17" s="191" t="n">
        <f aca="false">VLOOKUP($C17,PalData!$A$2:$BU$139,20,0)</f>
        <v>100</v>
      </c>
      <c r="X17" s="191" t="n">
        <f aca="false">VLOOKUP($C17,PalData!$A$2:$BU$139,21,0)</f>
        <v>70</v>
      </c>
      <c r="Y17" s="191" t="n">
        <f aca="false">VLOOKUP($C17,PalData!$A$2:$BU$139,22,0)</f>
        <v>70</v>
      </c>
      <c r="Z17" s="192" t="n">
        <f aca="false">VLOOKUP($C17,PalData!$A$2:$BU$139,28,0)</f>
        <v>1310</v>
      </c>
      <c r="AA17" s="193" t="n">
        <f aca="false" t="array" ref="AA17:AA17">INDEX(PalData,MATCH(C17,PalNames,0)+1,MATCH("Stamina",PalData_Header,0))</f>
        <v>100</v>
      </c>
      <c r="AB17" s="193" t="n">
        <f aca="false">VLOOKUP($C17,PalData!$A$2:$BU$139,32,0)</f>
        <v>50</v>
      </c>
      <c r="AC17" s="193" t="n">
        <f aca="false">VLOOKUP($C17,PalData!$A$2:$BU$139,33,0)</f>
        <v>300</v>
      </c>
      <c r="AD17" s="193" t="n">
        <f aca="false">IF(INDEX(PalData,MATCH(C17,PalNames,0)+1,MATCH("Mount",PalData_Header,0)),INDEX(PalData,MATCH(C17,PalNames,0)+1,MATCH("RideSprintSpeed",PalData_Header,0)),)</f>
        <v>0</v>
      </c>
      <c r="AE17" s="193" t="n">
        <f aca="false">IF(R17&gt;0, INDEX(PalData,MATCH(C17,PalNames,0)+1,MATCH("TransportSpeed",PalData_Header,0)),)</f>
        <v>0</v>
      </c>
      <c r="AF17" s="198" t="n">
        <f aca="false">VLOOKUP($C17,PalData!$A$2:$BU$139,26,0)</f>
        <v>1.3</v>
      </c>
      <c r="AG17" s="195" t="n">
        <f aca="false" t="array" ref="AG17:AG17">INDEX(PalData,MATCH(C17,PalNames,0)+1,MATCH("MaleProbability",PalData_Header,0))</f>
        <v>50</v>
      </c>
    </row>
    <row r="18" customFormat="false" ht="26.25" hidden="false" customHeight="true" outlineLevel="0" collapsed="false">
      <c r="A18" s="196" t="n">
        <f aca="false">VLOOKUP($C18,PalData!$A$2:$BU$139,9,0)</f>
        <v>14</v>
      </c>
      <c r="B18" s="197" t="n">
        <f aca="false">INDEX(PalData,MATCH(C18,PalNames,0)+1,MATCH("ZukanIndexSuffix",PalData_Header,0))</f>
        <v>0</v>
      </c>
      <c r="C18" s="185" t="s">
        <v>148</v>
      </c>
      <c r="D18" s="186" t="n">
        <f aca="false">IFERROR(INDEX(PalData,MATCH(C18,PalNames,0)+1,MATCH("Image",PalData_Header,0)),)</f>
        <v>0</v>
      </c>
      <c r="E18" s="187" t="str">
        <f aca="false">IFERROR(__xludf.dummyfunction("SPLIT(VLOOKUP($C18,PalData!$A$2:$BU$139,13,0),""EPalElementType::"",0,1)"),"Normal")</f>
        <v>Normal</v>
      </c>
      <c r="F18" s="187" t="str">
        <f aca="false">IFERROR(__xludf.dummyfunction("if(SPLIT(VLOOKUP($C18,PalData!$A$2:$BU$139,14,0),""EPalElementType::"",0,1)=""None"","""",SPLIT(VLOOKUP($C18,PalData!$A$2:$BU$139,14,0),""EPalElementType::"",0,1))"),"")</f>
        <v/>
      </c>
      <c r="G18" s="188" t="str">
        <f aca="false">IF(VLOOKUP($C18,PalData!$A$2:$BU$139,48,0),"🌜","")</f>
        <v/>
      </c>
      <c r="H18" s="189" t="n">
        <f aca="false">VLOOKUP($C18,PalData!$A$2:$BU$139,55,0)</f>
        <v>0</v>
      </c>
      <c r="I18" s="189" t="n">
        <f aca="false">VLOOKUP($C18,PalData!$A$2:$BU$139,56,0)</f>
        <v>0</v>
      </c>
      <c r="J18" s="189" t="n">
        <f aca="false">VLOOKUP($C18,PalData!$A$2:$BU$139,57,0)</f>
        <v>0</v>
      </c>
      <c r="K18" s="189" t="n">
        <f aca="false">VLOOKUP($C18,PalData!$A$2:$BU$139,58,0)</f>
        <v>0</v>
      </c>
      <c r="L18" s="189" t="n">
        <f aca="false">VLOOKUP($C18,PalData!$A$2:$BU$139,59,0)</f>
        <v>0</v>
      </c>
      <c r="M18" s="189" t="n">
        <f aca="false">VLOOKUP($C18,PalData!$A$2:$BU$139,60,0)</f>
        <v>1</v>
      </c>
      <c r="N18" s="189" t="n">
        <f aca="false">VLOOKUP($C18,PalData!$A$2:$BU$139,61,0)</f>
        <v>0</v>
      </c>
      <c r="O18" s="189" t="n">
        <f aca="false">VLOOKUP($C18,PalData!$A$2:$BU$139,62,0)</f>
        <v>0</v>
      </c>
      <c r="P18" s="189" t="n">
        <f aca="false">VLOOKUP($C18,PalData!$A$2:$BU$139,64,0)</f>
        <v>0</v>
      </c>
      <c r="Q18" s="189" t="n">
        <f aca="false">VLOOKUP($C18,PalData!$A$2:$BU$139,65,0)</f>
        <v>0</v>
      </c>
      <c r="R18" s="189" t="n">
        <f aca="false">VLOOKUP($C18,PalData!$A$2:$BU$139,66,0)</f>
        <v>0</v>
      </c>
      <c r="S18" s="189" t="n">
        <f aca="false">VLOOKUP($C18,PalData!$A$2:$BU$139,67,0)</f>
        <v>1</v>
      </c>
      <c r="T18" s="190" t="n">
        <f aca="false">VLOOKUP($C18,PalData!$A$2:$BU$139,43,0)</f>
        <v>1</v>
      </c>
      <c r="U18" s="188" t="n">
        <f aca="false">VLOOKUP($C18,PalData!$A$2:$BU$139,54,0)</f>
        <v>1450</v>
      </c>
      <c r="V18" s="191" t="n">
        <f aca="false">VLOOKUP($C18,PalData!$A$2:$BU$139,19,0)</f>
        <v>70</v>
      </c>
      <c r="W18" s="191" t="n">
        <f aca="false">VLOOKUP($C18,PalData!$A$2:$BU$139,20,0)</f>
        <v>70</v>
      </c>
      <c r="X18" s="191" t="n">
        <f aca="false">VLOOKUP($C18,PalData!$A$2:$BU$139,21,0)</f>
        <v>70</v>
      </c>
      <c r="Y18" s="191" t="n">
        <f aca="false">VLOOKUP($C18,PalData!$A$2:$BU$139,22,0)</f>
        <v>70</v>
      </c>
      <c r="Z18" s="192" t="n">
        <f aca="false">VLOOKUP($C18,PalData!$A$2:$BU$139,28,0)</f>
        <v>1000</v>
      </c>
      <c r="AA18" s="193" t="n">
        <f aca="false" t="array" ref="AA18:AA18">INDEX(PalData,MATCH(C18,PalNames,0)+1,MATCH("Stamina",PalData_Header,0))</f>
        <v>100</v>
      </c>
      <c r="AB18" s="193" t="n">
        <f aca="false">VLOOKUP($C18,PalData!$A$2:$BU$139,32,0)</f>
        <v>60</v>
      </c>
      <c r="AC18" s="193" t="n">
        <f aca="false">VLOOKUP($C18,PalData!$A$2:$BU$139,33,0)</f>
        <v>350</v>
      </c>
      <c r="AD18" s="193" t="n">
        <f aca="false">IF(INDEX(PalData,MATCH(C18,PalNames,0)+1,MATCH("Mount",PalData_Header,0)),INDEX(PalData,MATCH(C18,PalNames,0)+1,MATCH("RideSprintSpeed",PalData_Header,0)),)</f>
        <v>0</v>
      </c>
      <c r="AE18" s="193" t="n">
        <f aca="false">IF(R18&gt;0, INDEX(PalData,MATCH(C18,PalNames,0)+1,MATCH("TransportSpeed",PalData_Header,0)),)</f>
        <v>0</v>
      </c>
      <c r="AF18" s="198" t="n">
        <f aca="false">VLOOKUP($C18,PalData!$A$2:$BU$139,26,0)</f>
        <v>1.3</v>
      </c>
      <c r="AG18" s="195" t="n">
        <f aca="false" t="array" ref="AG18:AG18">INDEX(PalData,MATCH(C18,PalNames,0)+1,MATCH("MaleProbability",PalData_Header,0))</f>
        <v>50</v>
      </c>
    </row>
    <row r="19" customFormat="false" ht="26.25" hidden="false" customHeight="true" outlineLevel="0" collapsed="false">
      <c r="A19" s="196" t="n">
        <f aca="false">VLOOKUP($C19,PalData!$A$2:$BU$139,9,0)</f>
        <v>15</v>
      </c>
      <c r="B19" s="197" t="n">
        <f aca="false">INDEX(PalData,MATCH(C19,PalNames,0)+1,MATCH("ZukanIndexSuffix",PalData_Header,0))</f>
        <v>0</v>
      </c>
      <c r="C19" s="185" t="s">
        <v>74</v>
      </c>
      <c r="D19" s="186" t="n">
        <f aca="false">IFERROR(INDEX(PalData,MATCH(C19,PalNames,0)+1,MATCH("Image",PalData_Header,0)),)</f>
        <v>0</v>
      </c>
      <c r="E19" s="187" t="str">
        <f aca="false">IFERROR(__xludf.dummyfunction("SPLIT(VLOOKUP($C19,PalData!$A$2:$BU$139,13,0),""EPalElementType::"",0,1)"),"Dark")</f>
        <v>Dark</v>
      </c>
      <c r="F19" s="187" t="str">
        <f aca="false">IFERROR(__xludf.dummyfunction("if(SPLIT(VLOOKUP($C19,PalData!$A$2:$BU$139,14,0),""EPalElementType::"",0,1)=""None"","""",SPLIT(VLOOKUP($C19,PalData!$A$2:$BU$139,14,0),""EPalElementType::"",0,1))"),"")</f>
        <v/>
      </c>
      <c r="G19" s="188" t="str">
        <f aca="false">IF(VLOOKUP($C19,PalData!$A$2:$BU$139,48,0),"🌜","")</f>
        <v>🌜</v>
      </c>
      <c r="H19" s="189" t="n">
        <f aca="false">VLOOKUP($C19,PalData!$A$2:$BU$139,55,0)</f>
        <v>0</v>
      </c>
      <c r="I19" s="189" t="n">
        <f aca="false">VLOOKUP($C19,PalData!$A$2:$BU$139,56,0)</f>
        <v>0</v>
      </c>
      <c r="J19" s="189" t="n">
        <f aca="false">VLOOKUP($C19,PalData!$A$2:$BU$139,57,0)</f>
        <v>0</v>
      </c>
      <c r="K19" s="189" t="n">
        <f aca="false">VLOOKUP($C19,PalData!$A$2:$BU$139,58,0)</f>
        <v>0</v>
      </c>
      <c r="L19" s="189" t="n">
        <f aca="false">VLOOKUP($C19,PalData!$A$2:$BU$139,59,0)</f>
        <v>0</v>
      </c>
      <c r="M19" s="189" t="n">
        <f aca="false">VLOOKUP($C19,PalData!$A$2:$BU$139,60,0)</f>
        <v>1</v>
      </c>
      <c r="N19" s="189" t="n">
        <f aca="false">VLOOKUP($C19,PalData!$A$2:$BU$139,61,0)</f>
        <v>0</v>
      </c>
      <c r="O19" s="189" t="n">
        <f aca="false">VLOOKUP($C19,PalData!$A$2:$BU$139,62,0)</f>
        <v>0</v>
      </c>
      <c r="P19" s="189" t="n">
        <f aca="false">VLOOKUP($C19,PalData!$A$2:$BU$139,64,0)</f>
        <v>0</v>
      </c>
      <c r="Q19" s="189" t="n">
        <f aca="false">VLOOKUP($C19,PalData!$A$2:$BU$139,65,0)</f>
        <v>0</v>
      </c>
      <c r="R19" s="189" t="n">
        <f aca="false">VLOOKUP($C19,PalData!$A$2:$BU$139,66,0)</f>
        <v>0</v>
      </c>
      <c r="S19" s="189" t="n">
        <f aca="false">VLOOKUP($C19,PalData!$A$2:$BU$139,67,0)</f>
        <v>0</v>
      </c>
      <c r="T19" s="190" t="n">
        <f aca="false">VLOOKUP($C19,PalData!$A$2:$BU$139,43,0)</f>
        <v>3</v>
      </c>
      <c r="U19" s="188" t="n">
        <f aca="false">VLOOKUP($C19,PalData!$A$2:$BU$139,54,0)</f>
        <v>1390</v>
      </c>
      <c r="V19" s="191" t="n">
        <f aca="false">VLOOKUP($C19,PalData!$A$2:$BU$139,19,0)</f>
        <v>70</v>
      </c>
      <c r="W19" s="191" t="n">
        <f aca="false">VLOOKUP($C19,PalData!$A$2:$BU$139,20,0)</f>
        <v>70</v>
      </c>
      <c r="X19" s="191" t="n">
        <f aca="false">VLOOKUP($C19,PalData!$A$2:$BU$139,21,0)</f>
        <v>70</v>
      </c>
      <c r="Y19" s="191" t="n">
        <f aca="false">VLOOKUP($C19,PalData!$A$2:$BU$139,22,0)</f>
        <v>80</v>
      </c>
      <c r="Z19" s="192" t="n">
        <f aca="false">VLOOKUP($C19,PalData!$A$2:$BU$139,28,0)</f>
        <v>1050</v>
      </c>
      <c r="AA19" s="193" t="n">
        <f aca="false" t="array" ref="AA19:AA19">INDEX(PalData,MATCH(C19,PalNames,0)+1,MATCH("Stamina",PalData_Header,0))</f>
        <v>100</v>
      </c>
      <c r="AB19" s="193" t="n">
        <f aca="false">VLOOKUP($C19,PalData!$A$2:$BU$139,32,0)</f>
        <v>70</v>
      </c>
      <c r="AC19" s="193" t="n">
        <f aca="false">VLOOKUP($C19,PalData!$A$2:$BU$139,33,0)</f>
        <v>380</v>
      </c>
      <c r="AD19" s="193" t="n">
        <f aca="false">IF(INDEX(PalData,MATCH(C19,PalNames,0)+1,MATCH("Mount",PalData_Header,0)),INDEX(PalData,MATCH(C19,PalNames,0)+1,MATCH("RideSprintSpeed",PalData_Header,0)),)</f>
        <v>0</v>
      </c>
      <c r="AE19" s="193" t="n">
        <f aca="false">IF(R19&gt;0, INDEX(PalData,MATCH(C19,PalNames,0)+1,MATCH("TransportSpeed",PalData_Header,0)),)</f>
        <v>0</v>
      </c>
      <c r="AF19" s="198" t="n">
        <f aca="false">VLOOKUP($C19,PalData!$A$2:$BU$139,26,0)</f>
        <v>1</v>
      </c>
      <c r="AG19" s="195" t="n">
        <f aca="false" t="array" ref="AG19:AG19">INDEX(PalData,MATCH(C19,PalNames,0)+1,MATCH("MaleProbability",PalData_Header,0))</f>
        <v>50</v>
      </c>
    </row>
    <row r="20" customFormat="false" ht="26.25" hidden="false" customHeight="true" outlineLevel="0" collapsed="false">
      <c r="A20" s="196" t="n">
        <f aca="false">VLOOKUP($C20,PalData!$A$2:$BU$139,9,0)</f>
        <v>16</v>
      </c>
      <c r="B20" s="197" t="n">
        <f aca="false">INDEX(PalData,MATCH(C20,PalNames,0)+1,MATCH("ZukanIndexSuffix",PalData_Header,0))</f>
        <v>0</v>
      </c>
      <c r="C20" s="185" t="s">
        <v>140</v>
      </c>
      <c r="D20" s="186" t="n">
        <f aca="false">IFERROR(INDEX(PalData,MATCH(C20,PalNames,0)+1,MATCH("Image",PalData_Header,0)),)</f>
        <v>0</v>
      </c>
      <c r="E20" s="187" t="str">
        <f aca="false">IFERROR(__xludf.dummyfunction("SPLIT(VLOOKUP($C20,PalData!$A$2:$BU$139,13,0),""EPalElementType::"",0,1)"),"Water")</f>
        <v>Water</v>
      </c>
      <c r="F20" s="187" t="str">
        <f aca="false">IFERROR(__xludf.dummyfunction("if(SPLIT(VLOOKUP($C20,PalData!$A$2:$BU$139,14,0),""EPalElementType::"",0,1)=""None"","""",SPLIT(VLOOKUP($C20,PalData!$A$2:$BU$139,14,0),""EPalElementType::"",0,1))"),"")</f>
        <v/>
      </c>
      <c r="G20" s="188" t="str">
        <f aca="false">IF(VLOOKUP($C20,PalData!$A$2:$BU$139,48,0),"🌜","")</f>
        <v/>
      </c>
      <c r="H20" s="189" t="n">
        <f aca="false">VLOOKUP($C20,PalData!$A$2:$BU$139,55,0)</f>
        <v>0</v>
      </c>
      <c r="I20" s="189" t="n">
        <f aca="false">VLOOKUP($C20,PalData!$A$2:$BU$139,56,0)</f>
        <v>1</v>
      </c>
      <c r="J20" s="189" t="n">
        <f aca="false">VLOOKUP($C20,PalData!$A$2:$BU$139,57,0)</f>
        <v>0</v>
      </c>
      <c r="K20" s="189" t="n">
        <f aca="false">VLOOKUP($C20,PalData!$A$2:$BU$139,58,0)</f>
        <v>0</v>
      </c>
      <c r="L20" s="189" t="n">
        <f aca="false">VLOOKUP($C20,PalData!$A$2:$BU$139,59,0)</f>
        <v>0</v>
      </c>
      <c r="M20" s="189" t="n">
        <f aca="false">VLOOKUP($C20,PalData!$A$2:$BU$139,60,0)</f>
        <v>0</v>
      </c>
      <c r="N20" s="189" t="n">
        <f aca="false">VLOOKUP($C20,PalData!$A$2:$BU$139,61,0)</f>
        <v>0</v>
      </c>
      <c r="O20" s="189" t="n">
        <f aca="false">VLOOKUP($C20,PalData!$A$2:$BU$139,62,0)</f>
        <v>0</v>
      </c>
      <c r="P20" s="189" t="n">
        <f aca="false">VLOOKUP($C20,PalData!$A$2:$BU$139,64,0)</f>
        <v>0</v>
      </c>
      <c r="Q20" s="189" t="n">
        <f aca="false">VLOOKUP($C20,PalData!$A$2:$BU$139,65,0)</f>
        <v>0</v>
      </c>
      <c r="R20" s="189" t="n">
        <f aca="false">VLOOKUP($C20,PalData!$A$2:$BU$139,66,0)</f>
        <v>0</v>
      </c>
      <c r="S20" s="189" t="n">
        <f aca="false">VLOOKUP($C20,PalData!$A$2:$BU$139,67,0)</f>
        <v>0</v>
      </c>
      <c r="T20" s="190" t="n">
        <f aca="false">VLOOKUP($C20,PalData!$A$2:$BU$139,43,0)</f>
        <v>2</v>
      </c>
      <c r="U20" s="188" t="n">
        <f aca="false">VLOOKUP($C20,PalData!$A$2:$BU$139,54,0)</f>
        <v>1490</v>
      </c>
      <c r="V20" s="191" t="n">
        <f aca="false">VLOOKUP($C20,PalData!$A$2:$BU$139,19,0)</f>
        <v>70</v>
      </c>
      <c r="W20" s="191" t="n">
        <f aca="false">VLOOKUP($C20,PalData!$A$2:$BU$139,20,0)</f>
        <v>70</v>
      </c>
      <c r="X20" s="191" t="n">
        <f aca="false">VLOOKUP($C20,PalData!$A$2:$BU$139,21,0)</f>
        <v>60</v>
      </c>
      <c r="Y20" s="191" t="n">
        <f aca="false">VLOOKUP($C20,PalData!$A$2:$BU$139,22,0)</f>
        <v>70</v>
      </c>
      <c r="Z20" s="192" t="n">
        <f aca="false">VLOOKUP($C20,PalData!$A$2:$BU$139,28,0)</f>
        <v>1000</v>
      </c>
      <c r="AA20" s="193" t="n">
        <f aca="false" t="array" ref="AA20:AA20">INDEX(PalData,MATCH(C20,PalNames,0)+1,MATCH("Stamina",PalData_Header,0))</f>
        <v>100</v>
      </c>
      <c r="AB20" s="193" t="n">
        <f aca="false">VLOOKUP($C20,PalData!$A$2:$BU$139,32,0)</f>
        <v>60</v>
      </c>
      <c r="AC20" s="193" t="n">
        <f aca="false">VLOOKUP($C20,PalData!$A$2:$BU$139,33,0)</f>
        <v>300</v>
      </c>
      <c r="AD20" s="193" t="n">
        <f aca="false">IF(INDEX(PalData,MATCH(C20,PalNames,0)+1,MATCH("Mount",PalData_Header,0)),INDEX(PalData,MATCH(C20,PalNames,0)+1,MATCH("RideSprintSpeed",PalData_Header,0)),)</f>
        <v>0</v>
      </c>
      <c r="AE20" s="193" t="n">
        <f aca="false">IF(R20&gt;0, INDEX(PalData,MATCH(C20,PalNames,0)+1,MATCH("TransportSpeed",PalData_Header,0)),)</f>
        <v>0</v>
      </c>
      <c r="AF20" s="198" t="n">
        <f aca="false">VLOOKUP($C20,PalData!$A$2:$BU$139,26,0)</f>
        <v>1.3</v>
      </c>
      <c r="AG20" s="195" t="n">
        <f aca="false" t="array" ref="AG20:AG20">INDEX(PalData,MATCH(C20,PalNames,0)+1,MATCH("MaleProbability",PalData_Header,0))</f>
        <v>50</v>
      </c>
    </row>
    <row r="21" customFormat="false" ht="26.25" hidden="false" customHeight="true" outlineLevel="0" collapsed="false">
      <c r="A21" s="196" t="n">
        <f aca="false">VLOOKUP($C21,PalData!$A$2:$BU$139,9,0)</f>
        <v>17</v>
      </c>
      <c r="B21" s="197" t="n">
        <f aca="false">INDEX(PalData,MATCH(C21,PalNames,0)+1,MATCH("ZukanIndexSuffix",PalData_Header,0))</f>
        <v>0</v>
      </c>
      <c r="C21" s="185" t="s">
        <v>42</v>
      </c>
      <c r="D21" s="186" t="n">
        <f aca="false">IFERROR(INDEX(PalData,MATCH(C21,PalNames,0)+1,MATCH("Image",PalData_Header,0)),)</f>
        <v>0</v>
      </c>
      <c r="E21" s="187" t="str">
        <f aca="false">IFERROR(__xludf.dummyfunction("SPLIT(VLOOKUP($C21,PalData!$A$2:$BU$139,13,0),""EPalElementType::"",0,1)"),"Dark")</f>
        <v>Dark</v>
      </c>
      <c r="F21" s="187" t="str">
        <f aca="false">IFERROR(__xludf.dummyfunction("if(SPLIT(VLOOKUP($C21,PalData!$A$2:$BU$139,14,0),""EPalElementType::"",0,1)=""None"","""",SPLIT(VLOOKUP($C21,PalData!$A$2:$BU$139,14,0),""EPalElementType::"",0,1))"),"")</f>
        <v/>
      </c>
      <c r="G21" s="188" t="str">
        <f aca="false">IF(VLOOKUP($C21,PalData!$A$2:$BU$139,48,0),"🌜","")</f>
        <v>🌜</v>
      </c>
      <c r="H21" s="189" t="n">
        <f aca="false">VLOOKUP($C21,PalData!$A$2:$BU$139,55,0)</f>
        <v>0</v>
      </c>
      <c r="I21" s="189" t="n">
        <f aca="false">VLOOKUP($C21,PalData!$A$2:$BU$139,56,0)</f>
        <v>0</v>
      </c>
      <c r="J21" s="189" t="n">
        <f aca="false">VLOOKUP($C21,PalData!$A$2:$BU$139,57,0)</f>
        <v>0</v>
      </c>
      <c r="K21" s="189" t="n">
        <f aca="false">VLOOKUP($C21,PalData!$A$2:$BU$139,58,0)</f>
        <v>0</v>
      </c>
      <c r="L21" s="189" t="n">
        <f aca="false">VLOOKUP($C21,PalData!$A$2:$BU$139,59,0)</f>
        <v>1</v>
      </c>
      <c r="M21" s="189" t="n">
        <f aca="false">VLOOKUP($C21,PalData!$A$2:$BU$139,60,0)</f>
        <v>0</v>
      </c>
      <c r="N21" s="189" t="n">
        <f aca="false">VLOOKUP($C21,PalData!$A$2:$BU$139,61,0)</f>
        <v>0</v>
      </c>
      <c r="O21" s="189" t="n">
        <f aca="false">VLOOKUP($C21,PalData!$A$2:$BU$139,62,0)</f>
        <v>1</v>
      </c>
      <c r="P21" s="189" t="n">
        <f aca="false">VLOOKUP($C21,PalData!$A$2:$BU$139,64,0)</f>
        <v>0</v>
      </c>
      <c r="Q21" s="189" t="n">
        <f aca="false">VLOOKUP($C21,PalData!$A$2:$BU$139,65,0)</f>
        <v>0</v>
      </c>
      <c r="R21" s="189" t="n">
        <f aca="false">VLOOKUP($C21,PalData!$A$2:$BU$139,66,0)</f>
        <v>1</v>
      </c>
      <c r="S21" s="189" t="n">
        <f aca="false">VLOOKUP($C21,PalData!$A$2:$BU$139,67,0)</f>
        <v>0</v>
      </c>
      <c r="T21" s="190" t="n">
        <f aca="false">VLOOKUP($C21,PalData!$A$2:$BU$139,43,0)</f>
        <v>2</v>
      </c>
      <c r="U21" s="188" t="n">
        <f aca="false">VLOOKUP($C21,PalData!$A$2:$BU$139,54,0)</f>
        <v>1380</v>
      </c>
      <c r="V21" s="191" t="n">
        <f aca="false">VLOOKUP($C21,PalData!$A$2:$BU$139,19,0)</f>
        <v>70</v>
      </c>
      <c r="W21" s="191" t="n">
        <f aca="false">VLOOKUP($C21,PalData!$A$2:$BU$139,20,0)</f>
        <v>70</v>
      </c>
      <c r="X21" s="191" t="n">
        <f aca="false">VLOOKUP($C21,PalData!$A$2:$BU$139,21,0)</f>
        <v>70</v>
      </c>
      <c r="Y21" s="191" t="n">
        <f aca="false">VLOOKUP($C21,PalData!$A$2:$BU$139,22,0)</f>
        <v>70</v>
      </c>
      <c r="Z21" s="192" t="n">
        <f aca="false">VLOOKUP($C21,PalData!$A$2:$BU$139,28,0)</f>
        <v>1050</v>
      </c>
      <c r="AA21" s="193" t="n">
        <f aca="false" t="array" ref="AA21:AA21">INDEX(PalData,MATCH(C21,PalNames,0)+1,MATCH("Stamina",PalData_Header,0))</f>
        <v>100</v>
      </c>
      <c r="AB21" s="193" t="n">
        <f aca="false">VLOOKUP($C21,PalData!$A$2:$BU$139,32,0)</f>
        <v>10</v>
      </c>
      <c r="AC21" s="193" t="n">
        <f aca="false">VLOOKUP($C21,PalData!$A$2:$BU$139,33,0)</f>
        <v>300</v>
      </c>
      <c r="AD21" s="193" t="n">
        <f aca="false">IF(INDEX(PalData,MATCH(C21,PalNames,0)+1,MATCH("Mount",PalData_Header,0)),INDEX(PalData,MATCH(C21,PalNames,0)+1,MATCH("RideSprintSpeed",PalData_Header,0)),)</f>
        <v>0</v>
      </c>
      <c r="AE21" s="193" t="n">
        <f aca="false" t="array" ref="AE21:AE21">IF(R21&gt;0, INDEX(PalData,MATCH(C21,PalNames,0)+1,MATCH("TransportSpeed",PalData_Header,0)),)</f>
        <v>100</v>
      </c>
      <c r="AF21" s="198" t="n">
        <f aca="false">VLOOKUP($C21,PalData!$A$2:$BU$139,26,0)</f>
        <v>1</v>
      </c>
      <c r="AG21" s="195" t="n">
        <f aca="false" t="array" ref="AG21:AG21">INDEX(PalData,MATCH(C21,PalNames,0)+1,MATCH("MaleProbability",PalData_Header,0))</f>
        <v>50</v>
      </c>
    </row>
    <row r="22" customFormat="false" ht="26.25" hidden="false" customHeight="true" outlineLevel="0" collapsed="false">
      <c r="A22" s="196" t="n">
        <f aca="false">VLOOKUP($C22,PalData!$A$2:$BU$139,9,0)</f>
        <v>18</v>
      </c>
      <c r="B22" s="197" t="n">
        <f aca="false">INDEX(PalData,MATCH(C22,PalNames,0)+1,MATCH("ZukanIndexSuffix",PalData_Header,0))</f>
        <v>0</v>
      </c>
      <c r="C22" s="185" t="s">
        <v>38</v>
      </c>
      <c r="D22" s="186" t="n">
        <f aca="false">IFERROR(INDEX(PalData,MATCH(C22,PalNames,0)+1,MATCH("Image",PalData_Header,0)),)</f>
        <v>0</v>
      </c>
      <c r="E22" s="187" t="str">
        <f aca="false">IFERROR(__xludf.dummyfunction("SPLIT(VLOOKUP($C22,PalData!$A$2:$BU$139,13,0),""EPalElementType::"",0,1)"),"Normal")</f>
        <v>Normal</v>
      </c>
      <c r="F22" s="187" t="str">
        <f aca="false">IFERROR(__xludf.dummyfunction("if(SPLIT(VLOOKUP($C22,PalData!$A$2:$BU$139,14,0),""EPalElementType::"",0,1)=""None"","""",SPLIT(VLOOKUP($C22,PalData!$A$2:$BU$139,14,0),""EPalElementType::"",0,1))"),"")</f>
        <v/>
      </c>
      <c r="G22" s="188" t="str">
        <f aca="false">IF(VLOOKUP($C22,PalData!$A$2:$BU$139,48,0),"🌜","")</f>
        <v/>
      </c>
      <c r="H22" s="189" t="n">
        <f aca="false">VLOOKUP($C22,PalData!$A$2:$BU$139,55,0)</f>
        <v>0</v>
      </c>
      <c r="I22" s="189" t="n">
        <f aca="false">VLOOKUP($C22,PalData!$A$2:$BU$139,56,0)</f>
        <v>0</v>
      </c>
      <c r="J22" s="189" t="n">
        <f aca="false">VLOOKUP($C22,PalData!$A$2:$BU$139,57,0)</f>
        <v>0</v>
      </c>
      <c r="K22" s="189" t="n">
        <f aca="false">VLOOKUP($C22,PalData!$A$2:$BU$139,58,0)</f>
        <v>0</v>
      </c>
      <c r="L22" s="189" t="n">
        <f aca="false">VLOOKUP($C22,PalData!$A$2:$BU$139,59,0)</f>
        <v>0</v>
      </c>
      <c r="M22" s="189" t="n">
        <f aca="false">VLOOKUP($C22,PalData!$A$2:$BU$139,60,0)</f>
        <v>1</v>
      </c>
      <c r="N22" s="189" t="n">
        <f aca="false">VLOOKUP($C22,PalData!$A$2:$BU$139,61,0)</f>
        <v>0</v>
      </c>
      <c r="O22" s="189" t="n">
        <f aca="false">VLOOKUP($C22,PalData!$A$2:$BU$139,62,0)</f>
        <v>0</v>
      </c>
      <c r="P22" s="189" t="n">
        <f aca="false">VLOOKUP($C22,PalData!$A$2:$BU$139,64,0)</f>
        <v>0</v>
      </c>
      <c r="Q22" s="189" t="n">
        <f aca="false">VLOOKUP($C22,PalData!$A$2:$BU$139,65,0)</f>
        <v>0</v>
      </c>
      <c r="R22" s="189" t="n">
        <f aca="false">VLOOKUP($C22,PalData!$A$2:$BU$139,66,0)</f>
        <v>0</v>
      </c>
      <c r="S22" s="189" t="n">
        <f aca="false">VLOOKUP($C22,PalData!$A$2:$BU$139,67,0)</f>
        <v>1</v>
      </c>
      <c r="T22" s="190" t="n">
        <f aca="false">VLOOKUP($C22,PalData!$A$2:$BU$139,43,0)</f>
        <v>2</v>
      </c>
      <c r="U22" s="188" t="n">
        <f aca="false">VLOOKUP($C22,PalData!$A$2:$BU$139,54,0)</f>
        <v>1455</v>
      </c>
      <c r="V22" s="191" t="n">
        <f aca="false">VLOOKUP($C22,PalData!$A$2:$BU$139,19,0)</f>
        <v>70</v>
      </c>
      <c r="W22" s="191" t="n">
        <f aca="false">VLOOKUP($C22,PalData!$A$2:$BU$139,20,0)</f>
        <v>100</v>
      </c>
      <c r="X22" s="191" t="n">
        <f aca="false">VLOOKUP($C22,PalData!$A$2:$BU$139,21,0)</f>
        <v>70</v>
      </c>
      <c r="Y22" s="191" t="n">
        <f aca="false">VLOOKUP($C22,PalData!$A$2:$BU$139,22,0)</f>
        <v>75</v>
      </c>
      <c r="Z22" s="192" t="n">
        <f aca="false">VLOOKUP($C22,PalData!$A$2:$BU$139,28,0)</f>
        <v>1420</v>
      </c>
      <c r="AA22" s="193" t="n">
        <f aca="false" t="array" ref="AA22:AA22">INDEX(PalData,MATCH(C22,PalNames,0)+1,MATCH("Stamina",PalData_Header,0))</f>
        <v>100</v>
      </c>
      <c r="AB22" s="193" t="n">
        <f aca="false">VLOOKUP($C22,PalData!$A$2:$BU$139,32,0)</f>
        <v>40</v>
      </c>
      <c r="AC22" s="193" t="n">
        <f aca="false">VLOOKUP($C22,PalData!$A$2:$BU$139,33,0)</f>
        <v>300</v>
      </c>
      <c r="AD22" s="193" t="n">
        <f aca="false">IF(INDEX(PalData,MATCH(C22,PalNames,0)+1,MATCH("Mount",PalData_Header,0)),INDEX(PalData,MATCH(C22,PalNames,0)+1,MATCH("RideSprintSpeed",PalData_Header,0)),)</f>
        <v>0</v>
      </c>
      <c r="AE22" s="193" t="n">
        <f aca="false">IF(R22&gt;0, INDEX(PalData,MATCH(C22,PalNames,0)+1,MATCH("TransportSpeed",PalData_Header,0)),)</f>
        <v>0</v>
      </c>
      <c r="AF22" s="198" t="n">
        <f aca="false">VLOOKUP($C22,PalData!$A$2:$BU$139,26,0)</f>
        <v>1.3</v>
      </c>
      <c r="AG22" s="195" t="n">
        <f aca="false" t="array" ref="AG22:AG22">INDEX(PalData,MATCH(C22,PalNames,0)+1,MATCH("MaleProbability",PalData_Header,0))</f>
        <v>50</v>
      </c>
    </row>
    <row r="23" customFormat="false" ht="26.25" hidden="false" customHeight="true" outlineLevel="0" collapsed="false">
      <c r="A23" s="196" t="n">
        <f aca="false">VLOOKUP($C23,PalData!$A$2:$BU$139,9,0)</f>
        <v>19</v>
      </c>
      <c r="B23" s="197" t="n">
        <f aca="false">INDEX(PalData,MATCH(C23,PalNames,0)+1,MATCH("ZukanIndexSuffix",PalData_Header,0))</f>
        <v>0</v>
      </c>
      <c r="C23" s="185" t="s">
        <v>40</v>
      </c>
      <c r="D23" s="186" t="n">
        <f aca="false">IFERROR(INDEX(PalData,MATCH(C23,PalNames,0)+1,MATCH("Image",PalData_Header,0)),)</f>
        <v>0</v>
      </c>
      <c r="E23" s="187" t="str">
        <f aca="false">IFERROR(__xludf.dummyfunction("SPLIT(VLOOKUP($C23,PalData!$A$2:$BU$139,13,0),""EPalElementType::"",0,1)"),"Dark")</f>
        <v>Dark</v>
      </c>
      <c r="F23" s="187" t="str">
        <f aca="false">IFERROR(__xludf.dummyfunction("if(SPLIT(VLOOKUP($C23,PalData!$A$2:$BU$139,14,0),""EPalElementType::"",0,1)=""None"","""",SPLIT(VLOOKUP($C23,PalData!$A$2:$BU$139,14,0),""EPalElementType::"",0,1))"),"")</f>
        <v/>
      </c>
      <c r="G23" s="188" t="str">
        <f aca="false">IF(VLOOKUP($C23,PalData!$A$2:$BU$139,48,0),"🌜","")</f>
        <v>🌜</v>
      </c>
      <c r="H23" s="189" t="n">
        <f aca="false">VLOOKUP($C23,PalData!$A$2:$BU$139,55,0)</f>
        <v>0</v>
      </c>
      <c r="I23" s="189" t="n">
        <f aca="false">VLOOKUP($C23,PalData!$A$2:$BU$139,56,0)</f>
        <v>0</v>
      </c>
      <c r="J23" s="189" t="n">
        <f aca="false">VLOOKUP($C23,PalData!$A$2:$BU$139,57,0)</f>
        <v>0</v>
      </c>
      <c r="K23" s="189" t="n">
        <f aca="false">VLOOKUP($C23,PalData!$A$2:$BU$139,58,0)</f>
        <v>0</v>
      </c>
      <c r="L23" s="189" t="n">
        <f aca="false">VLOOKUP($C23,PalData!$A$2:$BU$139,59,0)</f>
        <v>1</v>
      </c>
      <c r="M23" s="189" t="n">
        <f aca="false">VLOOKUP($C23,PalData!$A$2:$BU$139,60,0)</f>
        <v>1</v>
      </c>
      <c r="N23" s="189" t="n">
        <f aca="false">VLOOKUP($C23,PalData!$A$2:$BU$139,61,0)</f>
        <v>0</v>
      </c>
      <c r="O23" s="189" t="n">
        <f aca="false">VLOOKUP($C23,PalData!$A$2:$BU$139,62,0)</f>
        <v>0</v>
      </c>
      <c r="P23" s="189" t="n">
        <f aca="false">VLOOKUP($C23,PalData!$A$2:$BU$139,64,0)</f>
        <v>0</v>
      </c>
      <c r="Q23" s="189" t="n">
        <f aca="false">VLOOKUP($C23,PalData!$A$2:$BU$139,65,0)</f>
        <v>0</v>
      </c>
      <c r="R23" s="189" t="n">
        <f aca="false">VLOOKUP($C23,PalData!$A$2:$BU$139,66,0)</f>
        <v>1</v>
      </c>
      <c r="S23" s="189" t="n">
        <f aca="false">VLOOKUP($C23,PalData!$A$2:$BU$139,67,0)</f>
        <v>0</v>
      </c>
      <c r="T23" s="190" t="n">
        <f aca="false">VLOOKUP($C23,PalData!$A$2:$BU$139,43,0)</f>
        <v>3</v>
      </c>
      <c r="U23" s="188" t="n">
        <f aca="false">VLOOKUP($C23,PalData!$A$2:$BU$139,54,0)</f>
        <v>1230</v>
      </c>
      <c r="V23" s="191" t="n">
        <f aca="false">VLOOKUP($C23,PalData!$A$2:$BU$139,19,0)</f>
        <v>70</v>
      </c>
      <c r="W23" s="191" t="n">
        <f aca="false">VLOOKUP($C23,PalData!$A$2:$BU$139,20,0)</f>
        <v>100</v>
      </c>
      <c r="X23" s="191" t="n">
        <f aca="false">VLOOKUP($C23,PalData!$A$2:$BU$139,21,0)</f>
        <v>75</v>
      </c>
      <c r="Y23" s="191" t="n">
        <f aca="false">VLOOKUP($C23,PalData!$A$2:$BU$139,22,0)</f>
        <v>60</v>
      </c>
      <c r="Z23" s="192" t="n">
        <f aca="false">VLOOKUP($C23,PalData!$A$2:$BU$139,28,0)</f>
        <v>1330</v>
      </c>
      <c r="AA23" s="193" t="n">
        <f aca="false" t="array" ref="AA23:AA23">INDEX(PalData,MATCH(C23,PalNames,0)+1,MATCH("Stamina",PalData_Header,0))</f>
        <v>100</v>
      </c>
      <c r="AB23" s="193" t="n">
        <f aca="false">VLOOKUP($C23,PalData!$A$2:$BU$139,32,0)</f>
        <v>140</v>
      </c>
      <c r="AC23" s="193" t="n">
        <f aca="false">VLOOKUP($C23,PalData!$A$2:$BU$139,33,0)</f>
        <v>300</v>
      </c>
      <c r="AD23" s="193" t="n">
        <f aca="false">IF(INDEX(PalData,MATCH(C23,PalNames,0)+1,MATCH("Mount",PalData_Header,0)),INDEX(PalData,MATCH(C23,PalNames,0)+1,MATCH("RideSprintSpeed",PalData_Header,0)),)</f>
        <v>0</v>
      </c>
      <c r="AE23" s="193" t="n">
        <f aca="false" t="array" ref="AE23:AE23">IF(R23&gt;0, INDEX(PalData,MATCH(C23,PalNames,0)+1,MATCH("TransportSpeed",PalData_Header,0)),)</f>
        <v>220</v>
      </c>
      <c r="AF23" s="198" t="n">
        <f aca="false">VLOOKUP($C23,PalData!$A$2:$BU$139,26,0)</f>
        <v>1</v>
      </c>
      <c r="AG23" s="195" t="n">
        <f aca="false" t="array" ref="AG23:AG23">INDEX(PalData,MATCH(C23,PalNames,0)+1,MATCH("MaleProbability",PalData_Header,0))</f>
        <v>50</v>
      </c>
    </row>
    <row r="24" customFormat="false" ht="26.25" hidden="false" customHeight="true" outlineLevel="0" collapsed="false">
      <c r="A24" s="196" t="n">
        <f aca="false">VLOOKUP($C24,PalData!$A$2:$BU$139,9,0)</f>
        <v>20</v>
      </c>
      <c r="B24" s="197" t="n">
        <f aca="false">INDEX(PalData,MATCH(C24,PalNames,0)+1,MATCH("ZukanIndexSuffix",PalData_Header,0))</f>
        <v>0</v>
      </c>
      <c r="C24" s="185" t="s">
        <v>129</v>
      </c>
      <c r="D24" s="186" t="n">
        <f aca="false">IFERROR(INDEX(PalData,MATCH(C24,PalNames,0)+1,MATCH("Image",PalData_Header,0)),)</f>
        <v>0</v>
      </c>
      <c r="E24" s="187" t="str">
        <f aca="false">IFERROR(__xludf.dummyfunction("SPLIT(VLOOKUP($C24,PalData!$A$2:$BU$139,13,0),""EPalElementType::"",0,1)"),"Earth")</f>
        <v>Earth</v>
      </c>
      <c r="F24" s="187" t="str">
        <f aca="false">IFERROR(__xludf.dummyfunction("if(SPLIT(VLOOKUP($C24,PalData!$A$2:$BU$139,14,0),""EPalElementType::"",0,1)=""None"","""",SPLIT(VLOOKUP($C24,PalData!$A$2:$BU$139,14,0),""EPalElementType::"",0,1))"),"")</f>
        <v/>
      </c>
      <c r="G24" s="188" t="str">
        <f aca="false">IF(VLOOKUP($C24,PalData!$A$2:$BU$139,48,0),"🌜","")</f>
        <v/>
      </c>
      <c r="H24" s="189" t="n">
        <f aca="false">VLOOKUP($C24,PalData!$A$2:$BU$139,55,0)</f>
        <v>0</v>
      </c>
      <c r="I24" s="189" t="n">
        <f aca="false">VLOOKUP($C24,PalData!$A$2:$BU$139,56,0)</f>
        <v>0</v>
      </c>
      <c r="J24" s="189" t="n">
        <f aca="false">VLOOKUP($C24,PalData!$A$2:$BU$139,57,0)</f>
        <v>0</v>
      </c>
      <c r="K24" s="189" t="n">
        <f aca="false">VLOOKUP($C24,PalData!$A$2:$BU$139,58,0)</f>
        <v>0</v>
      </c>
      <c r="L24" s="189" t="n">
        <f aca="false">VLOOKUP($C24,PalData!$A$2:$BU$139,59,0)</f>
        <v>0</v>
      </c>
      <c r="M24" s="189" t="n">
        <f aca="false">VLOOKUP($C24,PalData!$A$2:$BU$139,60,0)</f>
        <v>0</v>
      </c>
      <c r="N24" s="189" t="n">
        <f aca="false">VLOOKUP($C24,PalData!$A$2:$BU$139,61,0)</f>
        <v>0</v>
      </c>
      <c r="O24" s="189" t="n">
        <f aca="false">VLOOKUP($C24,PalData!$A$2:$BU$139,62,0)</f>
        <v>1</v>
      </c>
      <c r="P24" s="189" t="n">
        <f aca="false">VLOOKUP($C24,PalData!$A$2:$BU$139,64,0)</f>
        <v>0</v>
      </c>
      <c r="Q24" s="189" t="n">
        <f aca="false">VLOOKUP($C24,PalData!$A$2:$BU$139,65,0)</f>
        <v>0</v>
      </c>
      <c r="R24" s="189" t="n">
        <f aca="false">VLOOKUP($C24,PalData!$A$2:$BU$139,66,0)</f>
        <v>0</v>
      </c>
      <c r="S24" s="189" t="n">
        <f aca="false">VLOOKUP($C24,PalData!$A$2:$BU$139,67,0)</f>
        <v>0</v>
      </c>
      <c r="T24" s="190" t="n">
        <f aca="false">VLOOKUP($C24,PalData!$A$2:$BU$139,43,0)</f>
        <v>3</v>
      </c>
      <c r="U24" s="188" t="n">
        <f aca="false">VLOOKUP($C24,PalData!$A$2:$BU$139,54,0)</f>
        <v>1130</v>
      </c>
      <c r="V24" s="191" t="n">
        <f aca="false">VLOOKUP($C24,PalData!$A$2:$BU$139,19,0)</f>
        <v>80</v>
      </c>
      <c r="W24" s="191" t="n">
        <f aca="false">VLOOKUP($C24,PalData!$A$2:$BU$139,20,0)</f>
        <v>100</v>
      </c>
      <c r="X24" s="191" t="n">
        <f aca="false">VLOOKUP($C24,PalData!$A$2:$BU$139,21,0)</f>
        <v>70</v>
      </c>
      <c r="Y24" s="191" t="n">
        <f aca="false">VLOOKUP($C24,PalData!$A$2:$BU$139,22,0)</f>
        <v>70</v>
      </c>
      <c r="Z24" s="192" t="n">
        <f aca="false">VLOOKUP($C24,PalData!$A$2:$BU$139,28,0)</f>
        <v>1680</v>
      </c>
      <c r="AA24" s="193" t="n">
        <f aca="false" t="array" ref="AA24:AA24">INDEX(PalData,MATCH(C24,PalNames,0)+1,MATCH("Stamina",PalData_Header,0))</f>
        <v>100</v>
      </c>
      <c r="AB24" s="193" t="n">
        <f aca="false">VLOOKUP($C24,PalData!$A$2:$BU$139,32,0)</f>
        <v>150</v>
      </c>
      <c r="AC24" s="193" t="n">
        <f aca="false">VLOOKUP($C24,PalData!$A$2:$BU$139,33,0)</f>
        <v>450</v>
      </c>
      <c r="AD24" s="193" t="n">
        <f aca="false" t="array" ref="AD24:AD24">IF(INDEX(PalData,MATCH(C24,PalNames,0)+1,MATCH("Mount",PalData_Header,0)),INDEX(PalData,MATCH(C24,PalNames,0)+1,MATCH("RideSprintSpeed",PalData_Header,0)),)</f>
        <v>700</v>
      </c>
      <c r="AE24" s="193" t="n">
        <f aca="false">IF(R24&gt;0, INDEX(PalData,MATCH(C24,PalNames,0)+1,MATCH("TransportSpeed",PalData_Header,0)),)</f>
        <v>0</v>
      </c>
      <c r="AF24" s="198" t="n">
        <f aca="false">VLOOKUP($C24,PalData!$A$2:$BU$139,26,0)</f>
        <v>1</v>
      </c>
      <c r="AG24" s="195" t="n">
        <f aca="false" t="array" ref="AG24:AG24">INDEX(PalData,MATCH(C24,PalNames,0)+1,MATCH("MaleProbability",PalData_Header,0))</f>
        <v>50</v>
      </c>
    </row>
    <row r="25" customFormat="false" ht="26.25" hidden="false" customHeight="true" outlineLevel="0" collapsed="false">
      <c r="A25" s="196" t="n">
        <f aca="false">VLOOKUP($C25,PalData!$A$2:$BU$139,9,0)</f>
        <v>21</v>
      </c>
      <c r="B25" s="197" t="n">
        <f aca="false">INDEX(PalData,MATCH(C25,PalNames,0)+1,MATCH("ZukanIndexSuffix",PalData_Header,0))</f>
        <v>0</v>
      </c>
      <c r="C25" s="185" t="s">
        <v>111</v>
      </c>
      <c r="D25" s="186" t="n">
        <f aca="false">IFERROR(INDEX(PalData,MATCH(C25,PalNames,0)+1,MATCH("Image",PalData_Header,0)),)</f>
        <v>0</v>
      </c>
      <c r="E25" s="187" t="str">
        <f aca="false">IFERROR(__xludf.dummyfunction("SPLIT(VLOOKUP($C25,PalData!$A$2:$BU$139,13,0),""EPalElementType::"",0,1)"),"Dark")</f>
        <v>Dark</v>
      </c>
      <c r="F25" s="187" t="str">
        <f aca="false">IFERROR(__xludf.dummyfunction("if(SPLIT(VLOOKUP($C25,PalData!$A$2:$BU$139,14,0),""EPalElementType::"",0,1)=""None"","""",SPLIT(VLOOKUP($C25,PalData!$A$2:$BU$139,14,0),""EPalElementType::"",0,1))"),"")</f>
        <v/>
      </c>
      <c r="G25" s="188" t="str">
        <f aca="false">IF(VLOOKUP($C25,PalData!$A$2:$BU$139,48,0),"🌜","")</f>
        <v/>
      </c>
      <c r="H25" s="189" t="n">
        <f aca="false">VLOOKUP($C25,PalData!$A$2:$BU$139,55,0)</f>
        <v>0</v>
      </c>
      <c r="I25" s="189" t="n">
        <f aca="false">VLOOKUP($C25,PalData!$A$2:$BU$139,56,0)</f>
        <v>0</v>
      </c>
      <c r="J25" s="189" t="n">
        <f aca="false">VLOOKUP($C25,PalData!$A$2:$BU$139,57,0)</f>
        <v>0</v>
      </c>
      <c r="K25" s="189" t="n">
        <f aca="false">VLOOKUP($C25,PalData!$A$2:$BU$139,58,0)</f>
        <v>0</v>
      </c>
      <c r="L25" s="189" t="n">
        <f aca="false">VLOOKUP($C25,PalData!$A$2:$BU$139,59,0)</f>
        <v>0</v>
      </c>
      <c r="M25" s="189" t="n">
        <f aca="false">VLOOKUP($C25,PalData!$A$2:$BU$139,60,0)</f>
        <v>1</v>
      </c>
      <c r="N25" s="189" t="n">
        <f aca="false">VLOOKUP($C25,PalData!$A$2:$BU$139,61,0)</f>
        <v>0</v>
      </c>
      <c r="O25" s="189" t="n">
        <f aca="false">VLOOKUP($C25,PalData!$A$2:$BU$139,62,0)</f>
        <v>0</v>
      </c>
      <c r="P25" s="189" t="n">
        <f aca="false">VLOOKUP($C25,PalData!$A$2:$BU$139,64,0)</f>
        <v>0</v>
      </c>
      <c r="Q25" s="189" t="n">
        <f aca="false">VLOOKUP($C25,PalData!$A$2:$BU$139,65,0)</f>
        <v>0</v>
      </c>
      <c r="R25" s="189" t="n">
        <f aca="false">VLOOKUP($C25,PalData!$A$2:$BU$139,66,0)</f>
        <v>0</v>
      </c>
      <c r="S25" s="189" t="n">
        <f aca="false">VLOOKUP($C25,PalData!$A$2:$BU$139,67,0)</f>
        <v>0</v>
      </c>
      <c r="T25" s="190" t="n">
        <f aca="false">VLOOKUP($C25,PalData!$A$2:$BU$139,43,0)</f>
        <v>2</v>
      </c>
      <c r="U25" s="188" t="n">
        <f aca="false">VLOOKUP($C25,PalData!$A$2:$BU$139,54,0)</f>
        <v>1180</v>
      </c>
      <c r="V25" s="191" t="n">
        <f aca="false">VLOOKUP($C25,PalData!$A$2:$BU$139,19,0)</f>
        <v>75</v>
      </c>
      <c r="W25" s="191" t="n">
        <f aca="false">VLOOKUP($C25,PalData!$A$2:$BU$139,20,0)</f>
        <v>70</v>
      </c>
      <c r="X25" s="191" t="n">
        <f aca="false">VLOOKUP($C25,PalData!$A$2:$BU$139,21,0)</f>
        <v>85</v>
      </c>
      <c r="Y25" s="191" t="n">
        <f aca="false">VLOOKUP($C25,PalData!$A$2:$BU$139,22,0)</f>
        <v>70</v>
      </c>
      <c r="Z25" s="192" t="n">
        <f aca="false">VLOOKUP($C25,PalData!$A$2:$BU$139,28,0)</f>
        <v>1480</v>
      </c>
      <c r="AA25" s="193" t="n">
        <f aca="false" t="array" ref="AA25:AA25">INDEX(PalData,MATCH(C25,PalNames,0)+1,MATCH("Stamina",PalData_Header,0))</f>
        <v>100</v>
      </c>
      <c r="AB25" s="193" t="n">
        <f aca="false">VLOOKUP($C25,PalData!$A$2:$BU$139,32,0)</f>
        <v>60</v>
      </c>
      <c r="AC25" s="193" t="n">
        <f aca="false">VLOOKUP($C25,PalData!$A$2:$BU$139,33,0)</f>
        <v>300</v>
      </c>
      <c r="AD25" s="193" t="n">
        <f aca="false">IF(INDEX(PalData,MATCH(C25,PalNames,0)+1,MATCH("Mount",PalData_Header,0)),INDEX(PalData,MATCH(C25,PalNames,0)+1,MATCH("RideSprintSpeed",PalData_Header,0)),)</f>
        <v>0</v>
      </c>
      <c r="AE25" s="193" t="n">
        <f aca="false">IF(R25&gt;0, INDEX(PalData,MATCH(C25,PalNames,0)+1,MATCH("TransportSpeed",PalData_Header,0)),)</f>
        <v>0</v>
      </c>
      <c r="AF25" s="198" t="n">
        <f aca="false">VLOOKUP($C25,PalData!$A$2:$BU$139,26,0)</f>
        <v>1</v>
      </c>
      <c r="AG25" s="195" t="n">
        <f aca="false" t="array" ref="AG25:AG25">INDEX(PalData,MATCH(C25,PalNames,0)+1,MATCH("MaleProbability",PalData_Header,0))</f>
        <v>50</v>
      </c>
    </row>
    <row r="26" customFormat="false" ht="26.25" hidden="false" customHeight="true" outlineLevel="0" collapsed="false">
      <c r="A26" s="196" t="n">
        <f aca="false">VLOOKUP($C26,PalData!$A$2:$BU$139,9,0)</f>
        <v>22</v>
      </c>
      <c r="B26" s="197" t="n">
        <f aca="false">INDEX(PalData,MATCH(C26,PalNames,0)+1,MATCH("ZukanIndexSuffix",PalData_Header,0))</f>
        <v>0</v>
      </c>
      <c r="C26" s="185" t="s">
        <v>62</v>
      </c>
      <c r="D26" s="186" t="n">
        <f aca="false">IFERROR(INDEX(PalData,MATCH(C26,PalNames,0)+1,MATCH("Image",PalData_Header,0)),)</f>
        <v>0</v>
      </c>
      <c r="E26" s="187" t="str">
        <f aca="false">IFERROR(__xludf.dummyfunction("SPLIT(VLOOKUP($C26,PalData!$A$2:$BU$139,13,0),""EPalElementType::"",0,1)"),"Earth")</f>
        <v>Earth</v>
      </c>
      <c r="F26" s="187" t="str">
        <f aca="false">IFERROR(__xludf.dummyfunction("if(SPLIT(VLOOKUP($C26,PalData!$A$2:$BU$139,14,0),""EPalElementType::"",0,1)=""None"","""",SPLIT(VLOOKUP($C26,PalData!$A$2:$BU$139,14,0),""EPalElementType::"",0,1))"),"")</f>
        <v/>
      </c>
      <c r="G26" s="188" t="str">
        <f aca="false">IF(VLOOKUP($C26,PalData!$A$2:$BU$139,48,0),"🌜","")</f>
        <v/>
      </c>
      <c r="H26" s="189" t="n">
        <f aca="false">VLOOKUP($C26,PalData!$A$2:$BU$139,55,0)</f>
        <v>0</v>
      </c>
      <c r="I26" s="189" t="n">
        <f aca="false">VLOOKUP($C26,PalData!$A$2:$BU$139,56,0)</f>
        <v>0</v>
      </c>
      <c r="J26" s="189" t="n">
        <f aca="false">VLOOKUP($C26,PalData!$A$2:$BU$139,57,0)</f>
        <v>0</v>
      </c>
      <c r="K26" s="189" t="n">
        <f aca="false">VLOOKUP($C26,PalData!$A$2:$BU$139,58,0)</f>
        <v>0</v>
      </c>
      <c r="L26" s="189" t="n">
        <f aca="false">VLOOKUP($C26,PalData!$A$2:$BU$139,59,0)</f>
        <v>1</v>
      </c>
      <c r="M26" s="189" t="n">
        <f aca="false">VLOOKUP($C26,PalData!$A$2:$BU$139,60,0)</f>
        <v>0</v>
      </c>
      <c r="N26" s="189" t="n">
        <f aca="false">VLOOKUP($C26,PalData!$A$2:$BU$139,61,0)</f>
        <v>0</v>
      </c>
      <c r="O26" s="189" t="n">
        <f aca="false">VLOOKUP($C26,PalData!$A$2:$BU$139,62,0)</f>
        <v>1</v>
      </c>
      <c r="P26" s="189" t="n">
        <f aca="false">VLOOKUP($C26,PalData!$A$2:$BU$139,64,0)</f>
        <v>0</v>
      </c>
      <c r="Q26" s="189" t="n">
        <f aca="false">VLOOKUP($C26,PalData!$A$2:$BU$139,65,0)</f>
        <v>0</v>
      </c>
      <c r="R26" s="189" t="n">
        <f aca="false">VLOOKUP($C26,PalData!$A$2:$BU$139,66,0)</f>
        <v>1</v>
      </c>
      <c r="S26" s="189" t="n">
        <f aca="false">VLOOKUP($C26,PalData!$A$2:$BU$139,67,0)</f>
        <v>0</v>
      </c>
      <c r="T26" s="190" t="n">
        <f aca="false">VLOOKUP($C26,PalData!$A$2:$BU$139,43,0)</f>
        <v>2</v>
      </c>
      <c r="U26" s="188" t="n">
        <f aca="false">VLOOKUP($C26,PalData!$A$2:$BU$139,54,0)</f>
        <v>1220</v>
      </c>
      <c r="V26" s="191" t="n">
        <f aca="false">VLOOKUP($C26,PalData!$A$2:$BU$139,19,0)</f>
        <v>65</v>
      </c>
      <c r="W26" s="191" t="n">
        <f aca="false">VLOOKUP($C26,PalData!$A$2:$BU$139,20,0)</f>
        <v>100</v>
      </c>
      <c r="X26" s="191" t="n">
        <f aca="false">VLOOKUP($C26,PalData!$A$2:$BU$139,21,0)</f>
        <v>80</v>
      </c>
      <c r="Y26" s="191" t="n">
        <f aca="false">VLOOKUP($C26,PalData!$A$2:$BU$139,22,0)</f>
        <v>50</v>
      </c>
      <c r="Z26" s="192" t="n">
        <f aca="false">VLOOKUP($C26,PalData!$A$2:$BU$139,28,0)</f>
        <v>1360</v>
      </c>
      <c r="AA26" s="193" t="n">
        <f aca="false" t="array" ref="AA26:AA26">INDEX(PalData,MATCH(C26,PalNames,0)+1,MATCH("Stamina",PalData_Header,0))</f>
        <v>100</v>
      </c>
      <c r="AB26" s="193" t="n">
        <f aca="false">VLOOKUP($C26,PalData!$A$2:$BU$139,32,0)</f>
        <v>60</v>
      </c>
      <c r="AC26" s="193" t="n">
        <f aca="false">VLOOKUP($C26,PalData!$A$2:$BU$139,33,0)</f>
        <v>300</v>
      </c>
      <c r="AD26" s="193" t="n">
        <f aca="false">IF(INDEX(PalData,MATCH(C26,PalNames,0)+1,MATCH("Mount",PalData_Header,0)),INDEX(PalData,MATCH(C26,PalNames,0)+1,MATCH("RideSprintSpeed",PalData_Header,0)),)</f>
        <v>0</v>
      </c>
      <c r="AE26" s="193" t="n">
        <f aca="false" t="array" ref="AE26:AE26">IF(R26&gt;0, INDEX(PalData,MATCH(C26,PalNames,0)+1,MATCH("TransportSpeed",PalData_Header,0)),)</f>
        <v>240</v>
      </c>
      <c r="AF26" s="198" t="n">
        <f aca="false">VLOOKUP($C26,PalData!$A$2:$BU$139,26,0)</f>
        <v>1</v>
      </c>
      <c r="AG26" s="195" t="n">
        <f aca="false" t="array" ref="AG26:AG26">INDEX(PalData,MATCH(C26,PalNames,0)+1,MATCH("MaleProbability",PalData_Header,0))</f>
        <v>50</v>
      </c>
    </row>
    <row r="27" customFormat="false" ht="26.25" hidden="false" customHeight="true" outlineLevel="0" collapsed="false">
      <c r="A27" s="196" t="n">
        <f aca="false">VLOOKUP($C27,PalData!$A$2:$BU$139,9,0)</f>
        <v>23</v>
      </c>
      <c r="B27" s="197" t="n">
        <f aca="false">INDEX(PalData,MATCH(C27,PalNames,0)+1,MATCH("ZukanIndexSuffix",PalData_Header,0))</f>
        <v>0</v>
      </c>
      <c r="C27" s="185" t="s">
        <v>87</v>
      </c>
      <c r="D27" s="186" t="n">
        <f aca="false">IFERROR(INDEX(PalData,MATCH(C27,PalNames,0)+1,MATCH("Image",PalData_Header,0)),)</f>
        <v>0</v>
      </c>
      <c r="E27" s="187" t="str">
        <f aca="false">IFERROR(__xludf.dummyfunction("SPLIT(VLOOKUP($C27,PalData!$A$2:$BU$139,13,0),""EPalElementType::"",0,1)"),"Dark")</f>
        <v>Dark</v>
      </c>
      <c r="F27" s="187" t="str">
        <f aca="false">IFERROR(__xludf.dummyfunction("if(SPLIT(VLOOKUP($C27,PalData!$A$2:$BU$139,14,0),""EPalElementType::"",0,1)=""None"","""",SPLIT(VLOOKUP($C27,PalData!$A$2:$BU$139,14,0),""EPalElementType::"",0,1))"),"")</f>
        <v/>
      </c>
      <c r="G27" s="188" t="str">
        <f aca="false">IF(VLOOKUP($C27,PalData!$A$2:$BU$139,48,0),"🌜","")</f>
        <v>🌜</v>
      </c>
      <c r="H27" s="189" t="n">
        <f aca="false">VLOOKUP($C27,PalData!$A$2:$BU$139,55,0)</f>
        <v>0</v>
      </c>
      <c r="I27" s="189" t="n">
        <f aca="false">VLOOKUP($C27,PalData!$A$2:$BU$139,56,0)</f>
        <v>0</v>
      </c>
      <c r="J27" s="189" t="n">
        <f aca="false">VLOOKUP($C27,PalData!$A$2:$BU$139,57,0)</f>
        <v>0</v>
      </c>
      <c r="K27" s="189" t="n">
        <f aca="false">VLOOKUP($C27,PalData!$A$2:$BU$139,58,0)</f>
        <v>0</v>
      </c>
      <c r="L27" s="189" t="n">
        <f aca="false">VLOOKUP($C27,PalData!$A$2:$BU$139,59,0)</f>
        <v>0</v>
      </c>
      <c r="M27" s="189" t="n">
        <f aca="false">VLOOKUP($C27,PalData!$A$2:$BU$139,60,0)</f>
        <v>1</v>
      </c>
      <c r="N27" s="189" t="n">
        <f aca="false">VLOOKUP($C27,PalData!$A$2:$BU$139,61,0)</f>
        <v>0</v>
      </c>
      <c r="O27" s="189" t="n">
        <f aca="false">VLOOKUP($C27,PalData!$A$2:$BU$139,62,0)</f>
        <v>0</v>
      </c>
      <c r="P27" s="189" t="n">
        <f aca="false">VLOOKUP($C27,PalData!$A$2:$BU$139,64,0)</f>
        <v>0</v>
      </c>
      <c r="Q27" s="189" t="n">
        <f aca="false">VLOOKUP($C27,PalData!$A$2:$BU$139,65,0)</f>
        <v>0</v>
      </c>
      <c r="R27" s="189" t="n">
        <f aca="false">VLOOKUP($C27,PalData!$A$2:$BU$139,66,0)</f>
        <v>2</v>
      </c>
      <c r="S27" s="189" t="n">
        <f aca="false">VLOOKUP($C27,PalData!$A$2:$BU$139,67,0)</f>
        <v>0</v>
      </c>
      <c r="T27" s="190" t="n">
        <f aca="false">VLOOKUP($C27,PalData!$A$2:$BU$139,43,0)</f>
        <v>3</v>
      </c>
      <c r="U27" s="188" t="n">
        <f aca="false">VLOOKUP($C27,PalData!$A$2:$BU$139,54,0)</f>
        <v>1290</v>
      </c>
      <c r="V27" s="191" t="n">
        <f aca="false">VLOOKUP($C27,PalData!$A$2:$BU$139,19,0)</f>
        <v>60</v>
      </c>
      <c r="W27" s="191" t="n">
        <f aca="false">VLOOKUP($C27,PalData!$A$2:$BU$139,20,0)</f>
        <v>100</v>
      </c>
      <c r="X27" s="191" t="n">
        <f aca="false">VLOOKUP($C27,PalData!$A$2:$BU$139,21,0)</f>
        <v>60</v>
      </c>
      <c r="Y27" s="191" t="n">
        <f aca="false">VLOOKUP($C27,PalData!$A$2:$BU$139,22,0)</f>
        <v>70</v>
      </c>
      <c r="Z27" s="192" t="n">
        <f aca="false">VLOOKUP($C27,PalData!$A$2:$BU$139,28,0)</f>
        <v>1200</v>
      </c>
      <c r="AA27" s="193" t="n">
        <f aca="false" t="array" ref="AA27:AA27">INDEX(PalData,MATCH(C27,PalNames,0)+1,MATCH("Stamina",PalData_Header,0))</f>
        <v>100</v>
      </c>
      <c r="AB27" s="193" t="n">
        <f aca="false">VLOOKUP($C27,PalData!$A$2:$BU$139,32,0)</f>
        <v>120</v>
      </c>
      <c r="AC27" s="193" t="n">
        <f aca="false">VLOOKUP($C27,PalData!$A$2:$BU$139,33,0)</f>
        <v>400</v>
      </c>
      <c r="AD27" s="193" t="n">
        <f aca="false">IF(INDEX(PalData,MATCH(C27,PalNames,0)+1,MATCH("Mount",PalData_Header,0)),INDEX(PalData,MATCH(C27,PalNames,0)+1,MATCH("RideSprintSpeed",PalData_Header,0)),)</f>
        <v>0</v>
      </c>
      <c r="AE27" s="193" t="n">
        <f aca="false" t="array" ref="AE27:AE27">IF(R27&gt;0, INDEX(PalData,MATCH(C27,PalNames,0)+1,MATCH("TransportSpeed",PalData_Header,0)),)</f>
        <v>260</v>
      </c>
      <c r="AF27" s="198" t="n">
        <f aca="false">VLOOKUP($C27,PalData!$A$2:$BU$139,26,0)</f>
        <v>1</v>
      </c>
      <c r="AG27" s="195" t="n">
        <f aca="false" t="array" ref="AG27:AG27">INDEX(PalData,MATCH(C27,PalNames,0)+1,MATCH("MaleProbability",PalData_Header,0))</f>
        <v>50</v>
      </c>
    </row>
    <row r="28" customFormat="false" ht="26.25" hidden="false" customHeight="true" outlineLevel="0" collapsed="false">
      <c r="A28" s="196" t="n">
        <f aca="false">VLOOKUP($C28,PalData!$A$2:$BU$139,9,0)</f>
        <v>24</v>
      </c>
      <c r="B28" s="197" t="n">
        <f aca="false">INDEX(PalData,MATCH(C28,PalNames,0)+1,MATCH("ZukanIndexSuffix",PalData_Header,0))</f>
        <v>0</v>
      </c>
      <c r="C28" s="185" t="s">
        <v>102</v>
      </c>
      <c r="D28" s="186" t="n">
        <f aca="false">IFERROR(INDEX(PalData,MATCH(C28,PalNames,0)+1,MATCH("Image",PalData_Header,0)),)</f>
        <v>0</v>
      </c>
      <c r="E28" s="187" t="str">
        <f aca="false">IFERROR(__xludf.dummyfunction("SPLIT(VLOOKUP($C28,PalData!$A$2:$BU$139,13,0),""EPalElementType::"",0,1)"),"Dark")</f>
        <v>Dark</v>
      </c>
      <c r="F28" s="187" t="str">
        <f aca="false">IFERROR(__xludf.dummyfunction("if(SPLIT(VLOOKUP($C28,PalData!$A$2:$BU$139,14,0),""EPalElementType::"",0,1)=""None"","""",SPLIT(VLOOKUP($C28,PalData!$A$2:$BU$139,14,0),""EPalElementType::"",0,1))"),"")</f>
        <v/>
      </c>
      <c r="G28" s="188" t="str">
        <f aca="false">IF(VLOOKUP($C28,PalData!$A$2:$BU$139,48,0),"🌜","")</f>
        <v>🌜</v>
      </c>
      <c r="H28" s="189" t="n">
        <f aca="false">VLOOKUP($C28,PalData!$A$2:$BU$139,55,0)</f>
        <v>0</v>
      </c>
      <c r="I28" s="189" t="n">
        <f aca="false">VLOOKUP($C28,PalData!$A$2:$BU$139,56,0)</f>
        <v>0</v>
      </c>
      <c r="J28" s="189" t="n">
        <f aca="false">VLOOKUP($C28,PalData!$A$2:$BU$139,57,0)</f>
        <v>0</v>
      </c>
      <c r="K28" s="189" t="n">
        <f aca="false">VLOOKUP($C28,PalData!$A$2:$BU$139,58,0)</f>
        <v>0</v>
      </c>
      <c r="L28" s="189" t="n">
        <f aca="false">VLOOKUP($C28,PalData!$A$2:$BU$139,59,0)</f>
        <v>0</v>
      </c>
      <c r="M28" s="189" t="n">
        <f aca="false">VLOOKUP($C28,PalData!$A$2:$BU$139,60,0)</f>
        <v>0</v>
      </c>
      <c r="N28" s="189" t="n">
        <f aca="false">VLOOKUP($C28,PalData!$A$2:$BU$139,61,0)</f>
        <v>0</v>
      </c>
      <c r="O28" s="189" t="n">
        <f aca="false">VLOOKUP($C28,PalData!$A$2:$BU$139,62,0)</f>
        <v>0</v>
      </c>
      <c r="P28" s="189" t="n">
        <f aca="false">VLOOKUP($C28,PalData!$A$2:$BU$139,64,0)</f>
        <v>0</v>
      </c>
      <c r="Q28" s="189" t="n">
        <f aca="false">VLOOKUP($C28,PalData!$A$2:$BU$139,65,0)</f>
        <v>0</v>
      </c>
      <c r="R28" s="189" t="n">
        <f aca="false">VLOOKUP($C28,PalData!$A$2:$BU$139,66,0)</f>
        <v>0</v>
      </c>
      <c r="S28" s="189" t="n">
        <f aca="false">VLOOKUP($C28,PalData!$A$2:$BU$139,67,0)</f>
        <v>1</v>
      </c>
      <c r="T28" s="190" t="n">
        <f aca="false">VLOOKUP($C28,PalData!$A$2:$BU$139,43,0)</f>
        <v>1</v>
      </c>
      <c r="U28" s="188" t="n">
        <f aca="false">VLOOKUP($C28,PalData!$A$2:$BU$139,54,0)</f>
        <v>1480</v>
      </c>
      <c r="V28" s="191" t="n">
        <f aca="false">VLOOKUP($C28,PalData!$A$2:$BU$139,19,0)</f>
        <v>70</v>
      </c>
      <c r="W28" s="191" t="n">
        <f aca="false">VLOOKUP($C28,PalData!$A$2:$BU$139,20,0)</f>
        <v>70</v>
      </c>
      <c r="X28" s="191" t="n">
        <f aca="false">VLOOKUP($C28,PalData!$A$2:$BU$139,21,0)</f>
        <v>60</v>
      </c>
      <c r="Y28" s="191" t="n">
        <f aca="false">VLOOKUP($C28,PalData!$A$2:$BU$139,22,0)</f>
        <v>70</v>
      </c>
      <c r="Z28" s="192" t="n">
        <f aca="false">VLOOKUP($C28,PalData!$A$2:$BU$139,28,0)</f>
        <v>1000</v>
      </c>
      <c r="AA28" s="193" t="n">
        <f aca="false" t="array" ref="AA28:AA28">INDEX(PalData,MATCH(C28,PalNames,0)+1,MATCH("Stamina",PalData_Header,0))</f>
        <v>100</v>
      </c>
      <c r="AB28" s="193" t="n">
        <f aca="false">VLOOKUP($C28,PalData!$A$2:$BU$139,32,0)</f>
        <v>105</v>
      </c>
      <c r="AC28" s="193" t="n">
        <f aca="false">VLOOKUP($C28,PalData!$A$2:$BU$139,33,0)</f>
        <v>475</v>
      </c>
      <c r="AD28" s="193" t="n">
        <f aca="false">IF(INDEX(PalData,MATCH(C28,PalNames,0)+1,MATCH("Mount",PalData_Header,0)),INDEX(PalData,MATCH(C28,PalNames,0)+1,MATCH("RideSprintSpeed",PalData_Header,0)),)</f>
        <v>0</v>
      </c>
      <c r="AE28" s="193" t="n">
        <f aca="false">IF(R28&gt;0, INDEX(PalData,MATCH(C28,PalNames,0)+1,MATCH("TransportSpeed",PalData_Header,0)),)</f>
        <v>0</v>
      </c>
      <c r="AF28" s="198" t="n">
        <f aca="false">VLOOKUP($C28,PalData!$A$2:$BU$139,26,0)</f>
        <v>1</v>
      </c>
      <c r="AG28" s="195" t="n">
        <f aca="false" t="array" ref="AG28:AG28">INDEX(PalData,MATCH(C28,PalNames,0)+1,MATCH("MaleProbability",PalData_Header,0))</f>
        <v>50</v>
      </c>
    </row>
    <row r="29" customFormat="false" ht="26.25" hidden="false" customHeight="true" outlineLevel="0" collapsed="false">
      <c r="A29" s="196" t="n">
        <f aca="false">VLOOKUP($C29,PalData!$A$2:$BU$139,9,0)</f>
        <v>24</v>
      </c>
      <c r="B29" s="197" t="str">
        <f aca="false" t="array" ref="B29:B29">INDEX(PalData,MATCH(C29,PalNames,0)+1,MATCH("ZukanIndexSuffix",PalData_Header,0))</f>
        <v>B</v>
      </c>
      <c r="C29" s="185" t="s">
        <v>103</v>
      </c>
      <c r="D29" s="186" t="n">
        <f aca="false">IFERROR(INDEX(PalData,MATCH(C29,PalNames,0)+1,MATCH("Image",PalData_Header,0)),)</f>
        <v>0</v>
      </c>
      <c r="E29" s="187" t="str">
        <f aca="false">IFERROR(__xludf.dummyfunction("SPLIT(VLOOKUP($C29,PalData!$A$2:$BU$139,13,0),""EPalElementType::"",0,1)"),"Ice")</f>
        <v>Ice</v>
      </c>
      <c r="F29" s="187" t="str">
        <f aca="false">IFERROR(__xludf.dummyfunction("if(SPLIT(VLOOKUP($C29,PalData!$A$2:$BU$139,14,0),""EPalElementType::"",0,1)=""None"","""",SPLIT(VLOOKUP($C29,PalData!$A$2:$BU$139,14,0),""EPalElementType::"",0,1))"),"")</f>
        <v/>
      </c>
      <c r="G29" s="188" t="str">
        <f aca="false">IF(VLOOKUP($C29,PalData!$A$2:$BU$139,48,0),"🌜","")</f>
        <v/>
      </c>
      <c r="H29" s="189" t="n">
        <f aca="false">VLOOKUP($C29,PalData!$A$2:$BU$139,55,0)</f>
        <v>0</v>
      </c>
      <c r="I29" s="189" t="n">
        <f aca="false">VLOOKUP($C29,PalData!$A$2:$BU$139,56,0)</f>
        <v>0</v>
      </c>
      <c r="J29" s="189" t="n">
        <f aca="false">VLOOKUP($C29,PalData!$A$2:$BU$139,57,0)</f>
        <v>0</v>
      </c>
      <c r="K29" s="189" t="n">
        <f aca="false">VLOOKUP($C29,PalData!$A$2:$BU$139,58,0)</f>
        <v>0</v>
      </c>
      <c r="L29" s="189" t="n">
        <f aca="false">VLOOKUP($C29,PalData!$A$2:$BU$139,59,0)</f>
        <v>0</v>
      </c>
      <c r="M29" s="189" t="n">
        <f aca="false">VLOOKUP($C29,PalData!$A$2:$BU$139,60,0)</f>
        <v>0</v>
      </c>
      <c r="N29" s="189" t="n">
        <f aca="false">VLOOKUP($C29,PalData!$A$2:$BU$139,61,0)</f>
        <v>0</v>
      </c>
      <c r="O29" s="189" t="n">
        <f aca="false">VLOOKUP($C29,PalData!$A$2:$BU$139,62,0)</f>
        <v>0</v>
      </c>
      <c r="P29" s="189" t="n">
        <f aca="false">VLOOKUP($C29,PalData!$A$2:$BU$139,64,0)</f>
        <v>0</v>
      </c>
      <c r="Q29" s="189" t="n">
        <f aca="false">VLOOKUP($C29,PalData!$A$2:$BU$139,65,0)</f>
        <v>1</v>
      </c>
      <c r="R29" s="189" t="n">
        <f aca="false">VLOOKUP($C29,PalData!$A$2:$BU$139,66,0)</f>
        <v>0</v>
      </c>
      <c r="S29" s="189" t="n">
        <f aca="false">VLOOKUP($C29,PalData!$A$2:$BU$139,67,0)</f>
        <v>1</v>
      </c>
      <c r="T29" s="190" t="n">
        <f aca="false">VLOOKUP($C29,PalData!$A$2:$BU$139,43,0)</f>
        <v>1</v>
      </c>
      <c r="U29" s="188" t="n">
        <f aca="false">VLOOKUP($C29,PalData!$A$2:$BU$139,54,0)</f>
        <v>1440</v>
      </c>
      <c r="V29" s="191" t="n">
        <f aca="false">VLOOKUP($C29,PalData!$A$2:$BU$139,19,0)</f>
        <v>70</v>
      </c>
      <c r="W29" s="191" t="n">
        <f aca="false">VLOOKUP($C29,PalData!$A$2:$BU$139,20,0)</f>
        <v>70</v>
      </c>
      <c r="X29" s="191" t="n">
        <f aca="false">VLOOKUP($C29,PalData!$A$2:$BU$139,21,0)</f>
        <v>65</v>
      </c>
      <c r="Y29" s="191" t="n">
        <f aca="false">VLOOKUP($C29,PalData!$A$2:$BU$139,22,0)</f>
        <v>70</v>
      </c>
      <c r="Z29" s="192" t="n">
        <f aca="false">VLOOKUP($C29,PalData!$A$2:$BU$139,28,0)</f>
        <v>1010</v>
      </c>
      <c r="AA29" s="193" t="n">
        <f aca="false" t="array" ref="AA29:AA29">INDEX(PalData,MATCH(C29,PalNames,0)+1,MATCH("Stamina",PalData_Header,0))</f>
        <v>100</v>
      </c>
      <c r="AB29" s="193" t="n">
        <f aca="false">VLOOKUP($C29,PalData!$A$2:$BU$139,32,0)</f>
        <v>105</v>
      </c>
      <c r="AC29" s="193" t="n">
        <f aca="false">VLOOKUP($C29,PalData!$A$2:$BU$139,33,0)</f>
        <v>475</v>
      </c>
      <c r="AD29" s="193" t="n">
        <f aca="false">IF(INDEX(PalData,MATCH(C29,PalNames,0)+1,MATCH("Mount",PalData_Header,0)),INDEX(PalData,MATCH(C29,PalNames,0)+1,MATCH("RideSprintSpeed",PalData_Header,0)),)</f>
        <v>0</v>
      </c>
      <c r="AE29" s="193" t="n">
        <f aca="false">IF(R29&gt;0, INDEX(PalData,MATCH(C29,PalNames,0)+1,MATCH("TransportSpeed",PalData_Header,0)),)</f>
        <v>0</v>
      </c>
      <c r="AF29" s="198" t="n">
        <f aca="false">VLOOKUP($C29,PalData!$A$2:$BU$139,26,0)</f>
        <v>1</v>
      </c>
      <c r="AG29" s="195" t="n">
        <f aca="false" t="array" ref="AG29:AG29">INDEX(PalData,MATCH(C29,PalNames,0)+1,MATCH("MaleProbability",PalData_Header,0))</f>
        <v>50</v>
      </c>
    </row>
    <row r="30" customFormat="false" ht="26.25" hidden="false" customHeight="true" outlineLevel="0" collapsed="false">
      <c r="A30" s="196" t="n">
        <f aca="false">VLOOKUP($C30,PalData!$A$2:$BU$139,9,0)</f>
        <v>25</v>
      </c>
      <c r="B30" s="197" t="n">
        <f aca="false">INDEX(PalData,MATCH(C30,PalNames,0)+1,MATCH("ZukanIndexSuffix",PalData_Header,0))</f>
        <v>0</v>
      </c>
      <c r="C30" s="185" t="s">
        <v>34</v>
      </c>
      <c r="D30" s="186" t="n">
        <f aca="false">IFERROR(INDEX(PalData,MATCH(C30,PalNames,0)+1,MATCH("Image",PalData_Header,0)),)</f>
        <v>0</v>
      </c>
      <c r="E30" s="187" t="str">
        <f aca="false">IFERROR(__xludf.dummyfunction("SPLIT(VLOOKUP($C30,PalData!$A$2:$BU$139,13,0),""EPalElementType::"",0,1)"),"Water")</f>
        <v>Water</v>
      </c>
      <c r="F30" s="187" t="str">
        <f aca="false">IFERROR(__xludf.dummyfunction("if(SPLIT(VLOOKUP($C30,PalData!$A$2:$BU$139,14,0),""EPalElementType::"",0,1)=""None"","""",SPLIT(VLOOKUP($C30,PalData!$A$2:$BU$139,14,0),""EPalElementType::"",0,1))"),"")</f>
        <v/>
      </c>
      <c r="G30" s="188" t="str">
        <f aca="false">IF(VLOOKUP($C30,PalData!$A$2:$BU$139,48,0),"🌜","")</f>
        <v/>
      </c>
      <c r="H30" s="189" t="n">
        <f aca="false">VLOOKUP($C30,PalData!$A$2:$BU$139,55,0)</f>
        <v>0</v>
      </c>
      <c r="I30" s="189" t="n">
        <f aca="false">VLOOKUP($C30,PalData!$A$2:$BU$139,56,0)</f>
        <v>1</v>
      </c>
      <c r="J30" s="189" t="n">
        <f aca="false">VLOOKUP($C30,PalData!$A$2:$BU$139,57,0)</f>
        <v>0</v>
      </c>
      <c r="K30" s="189" t="n">
        <f aca="false">VLOOKUP($C30,PalData!$A$2:$BU$139,58,0)</f>
        <v>0</v>
      </c>
      <c r="L30" s="189" t="n">
        <f aca="false">VLOOKUP($C30,PalData!$A$2:$BU$139,59,0)</f>
        <v>0</v>
      </c>
      <c r="M30" s="189" t="n">
        <f aca="false">VLOOKUP($C30,PalData!$A$2:$BU$139,60,0)</f>
        <v>0</v>
      </c>
      <c r="N30" s="189" t="n">
        <f aca="false">VLOOKUP($C30,PalData!$A$2:$BU$139,61,0)</f>
        <v>0</v>
      </c>
      <c r="O30" s="189" t="n">
        <f aca="false">VLOOKUP($C30,PalData!$A$2:$BU$139,62,0)</f>
        <v>0</v>
      </c>
      <c r="P30" s="189" t="n">
        <f aca="false">VLOOKUP($C30,PalData!$A$2:$BU$139,64,0)</f>
        <v>0</v>
      </c>
      <c r="Q30" s="189" t="n">
        <f aca="false">VLOOKUP($C30,PalData!$A$2:$BU$139,65,0)</f>
        <v>0</v>
      </c>
      <c r="R30" s="189" t="n">
        <f aca="false">VLOOKUP($C30,PalData!$A$2:$BU$139,66,0)</f>
        <v>1</v>
      </c>
      <c r="S30" s="189" t="n">
        <f aca="false">VLOOKUP($C30,PalData!$A$2:$BU$139,67,0)</f>
        <v>0</v>
      </c>
      <c r="T30" s="190" t="n">
        <f aca="false">VLOOKUP($C30,PalData!$A$2:$BU$139,43,0)</f>
        <v>3</v>
      </c>
      <c r="U30" s="188" t="n">
        <f aca="false">VLOOKUP($C30,PalData!$A$2:$BU$139,54,0)</f>
        <v>870</v>
      </c>
      <c r="V30" s="191" t="n">
        <f aca="false">VLOOKUP($C30,PalData!$A$2:$BU$139,19,0)</f>
        <v>80</v>
      </c>
      <c r="W30" s="191" t="n">
        <f aca="false">VLOOKUP($C30,PalData!$A$2:$BU$139,20,0)</f>
        <v>100</v>
      </c>
      <c r="X30" s="191" t="n">
        <f aca="false">VLOOKUP($C30,PalData!$A$2:$BU$139,21,0)</f>
        <v>70</v>
      </c>
      <c r="Y30" s="191" t="n">
        <f aca="false">VLOOKUP($C30,PalData!$A$2:$BU$139,22,0)</f>
        <v>80</v>
      </c>
      <c r="Z30" s="192" t="n">
        <f aca="false">VLOOKUP($C30,PalData!$A$2:$BU$139,28,0)</f>
        <v>2860</v>
      </c>
      <c r="AA30" s="193" t="n">
        <f aca="false" t="array" ref="AA30:AA30">INDEX(PalData,MATCH(C30,PalNames,0)+1,MATCH("Stamina",PalData_Header,0))</f>
        <v>100</v>
      </c>
      <c r="AB30" s="193" t="n">
        <f aca="false">VLOOKUP($C30,PalData!$A$2:$BU$139,32,0)</f>
        <v>150</v>
      </c>
      <c r="AC30" s="193" t="n">
        <f aca="false">VLOOKUP($C30,PalData!$A$2:$BU$139,33,0)</f>
        <v>550</v>
      </c>
      <c r="AD30" s="193" t="n">
        <f aca="false">IF(INDEX(PalData,MATCH(C30,PalNames,0)+1,MATCH("Mount",PalData_Header,0)),INDEX(PalData,MATCH(C30,PalNames,0)+1,MATCH("RideSprintSpeed",PalData_Header,0)),)</f>
        <v>0</v>
      </c>
      <c r="AE30" s="193" t="n">
        <f aca="false" t="array" ref="AE30:AE30">IF(R30&gt;0, INDEX(PalData,MATCH(C30,PalNames,0)+1,MATCH("TransportSpeed",PalData_Header,0)),)</f>
        <v>350</v>
      </c>
      <c r="AF30" s="198" t="n">
        <f aca="false">VLOOKUP($C30,PalData!$A$2:$BU$139,26,0)</f>
        <v>1.1</v>
      </c>
      <c r="AG30" s="195" t="n">
        <f aca="false" t="array" ref="AG30:AG30">INDEX(PalData,MATCH(C30,PalNames,0)+1,MATCH("MaleProbability",PalData_Header,0))</f>
        <v>50</v>
      </c>
    </row>
    <row r="31" customFormat="false" ht="26.25" hidden="false" customHeight="true" outlineLevel="0" collapsed="false">
      <c r="A31" s="196" t="n">
        <f aca="false">VLOOKUP($C31,PalData!$A$2:$BU$139,9,0)</f>
        <v>26</v>
      </c>
      <c r="B31" s="197" t="n">
        <f aca="false">INDEX(PalData,MATCH(C31,PalNames,0)+1,MATCH("ZukanIndexSuffix",PalData_Header,0))</f>
        <v>0</v>
      </c>
      <c r="C31" s="185" t="s">
        <v>46</v>
      </c>
      <c r="D31" s="186" t="n">
        <f aca="false">IFERROR(INDEX(PalData,MATCH(C31,PalNames,0)+1,MATCH("Image",PalData_Header,0)),)</f>
        <v>0</v>
      </c>
      <c r="E31" s="187" t="str">
        <f aca="false">IFERROR(__xludf.dummyfunction("SPLIT(VLOOKUP($C31,PalData!$A$2:$BU$139,13,0),""EPalElementType::"",0,1)"),"Normal")</f>
        <v>Normal</v>
      </c>
      <c r="F31" s="187" t="str">
        <f aca="false">IFERROR(__xludf.dummyfunction("if(SPLIT(VLOOKUP($C31,PalData!$A$2:$BU$139,14,0),""EPalElementType::"",0,1)=""None"","""",SPLIT(VLOOKUP($C31,PalData!$A$2:$BU$139,14,0),""EPalElementType::"",0,1))"),"")</f>
        <v/>
      </c>
      <c r="G31" s="188" t="str">
        <f aca="false">IF(VLOOKUP($C31,PalData!$A$2:$BU$139,48,0),"🌜","")</f>
        <v/>
      </c>
      <c r="H31" s="189" t="n">
        <f aca="false">VLOOKUP($C31,PalData!$A$2:$BU$139,55,0)</f>
        <v>0</v>
      </c>
      <c r="I31" s="189" t="n">
        <f aca="false">VLOOKUP($C31,PalData!$A$2:$BU$139,56,0)</f>
        <v>0</v>
      </c>
      <c r="J31" s="189" t="n">
        <f aca="false">VLOOKUP($C31,PalData!$A$2:$BU$139,57,0)</f>
        <v>0</v>
      </c>
      <c r="K31" s="189" t="n">
        <f aca="false">VLOOKUP($C31,PalData!$A$2:$BU$139,58,0)</f>
        <v>0</v>
      </c>
      <c r="L31" s="189" t="n">
        <f aca="false">VLOOKUP($C31,PalData!$A$2:$BU$139,59,0)</f>
        <v>0</v>
      </c>
      <c r="M31" s="189" t="n">
        <f aca="false">VLOOKUP($C31,PalData!$A$2:$BU$139,60,0)</f>
        <v>1</v>
      </c>
      <c r="N31" s="189" t="n">
        <f aca="false">VLOOKUP($C31,PalData!$A$2:$BU$139,61,0)</f>
        <v>0</v>
      </c>
      <c r="O31" s="189" t="n">
        <f aca="false">VLOOKUP($C31,PalData!$A$2:$BU$139,62,0)</f>
        <v>0</v>
      </c>
      <c r="P31" s="189" t="n">
        <f aca="false">VLOOKUP($C31,PalData!$A$2:$BU$139,64,0)</f>
        <v>0</v>
      </c>
      <c r="Q31" s="189" t="n">
        <f aca="false">VLOOKUP($C31,PalData!$A$2:$BU$139,65,0)</f>
        <v>0</v>
      </c>
      <c r="R31" s="189" t="n">
        <f aca="false">VLOOKUP($C31,PalData!$A$2:$BU$139,66,0)</f>
        <v>0</v>
      </c>
      <c r="S31" s="189" t="n">
        <f aca="false">VLOOKUP($C31,PalData!$A$2:$BU$139,67,0)</f>
        <v>0</v>
      </c>
      <c r="T31" s="190" t="n">
        <f aca="false">VLOOKUP($C31,PalData!$A$2:$BU$139,43,0)</f>
        <v>3</v>
      </c>
      <c r="U31" s="188" t="n">
        <f aca="false">VLOOKUP($C31,PalData!$A$2:$BU$139,54,0)</f>
        <v>1060</v>
      </c>
      <c r="V31" s="191" t="n">
        <f aca="false">VLOOKUP($C31,PalData!$A$2:$BU$139,19,0)</f>
        <v>80</v>
      </c>
      <c r="W31" s="191" t="n">
        <f aca="false">VLOOKUP($C31,PalData!$A$2:$BU$139,20,0)</f>
        <v>110</v>
      </c>
      <c r="X31" s="191" t="n">
        <f aca="false">VLOOKUP($C31,PalData!$A$2:$BU$139,21,0)</f>
        <v>90</v>
      </c>
      <c r="Y31" s="191" t="n">
        <f aca="false">VLOOKUP($C31,PalData!$A$2:$BU$139,22,0)</f>
        <v>75</v>
      </c>
      <c r="Z31" s="192" t="n">
        <f aca="false">VLOOKUP($C31,PalData!$A$2:$BU$139,28,0)</f>
        <v>1920</v>
      </c>
      <c r="AA31" s="193" t="n">
        <f aca="false" t="array" ref="AA31:AA31">INDEX(PalData,MATCH(C31,PalNames,0)+1,MATCH("Stamina",PalData_Header,0))</f>
        <v>70</v>
      </c>
      <c r="AB31" s="193" t="n">
        <f aca="false">VLOOKUP($C31,PalData!$A$2:$BU$139,32,0)</f>
        <v>180</v>
      </c>
      <c r="AC31" s="193" t="n">
        <f aca="false">VLOOKUP($C31,PalData!$A$2:$BU$139,33,0)</f>
        <v>800</v>
      </c>
      <c r="AD31" s="193" t="n">
        <f aca="false" t="array" ref="AD31:AD31">IF(INDEX(PalData,MATCH(C31,PalNames,0)+1,MATCH("Mount",PalData_Header,0)),INDEX(PalData,MATCH(C31,PalNames,0)+1,MATCH("RideSprintSpeed",PalData_Header,0)),)</f>
        <v>1050</v>
      </c>
      <c r="AE31" s="193" t="n">
        <f aca="false">IF(R31&gt;0, INDEX(PalData,MATCH(C31,PalNames,0)+1,MATCH("TransportSpeed",PalData_Header,0)),)</f>
        <v>0</v>
      </c>
      <c r="AF31" s="198" t="n">
        <f aca="false">VLOOKUP($C31,PalData!$A$2:$BU$139,26,0)</f>
        <v>1</v>
      </c>
      <c r="AG31" s="195" t="n">
        <f aca="false" t="array" ref="AG31:AG31">INDEX(PalData,MATCH(C31,PalNames,0)+1,MATCH("MaleProbability",PalData_Header,0))</f>
        <v>50</v>
      </c>
    </row>
    <row r="32" customFormat="false" ht="26.25" hidden="false" customHeight="true" outlineLevel="0" collapsed="false">
      <c r="A32" s="196" t="n">
        <f aca="false">VLOOKUP($C32,PalData!$A$2:$BU$139,9,0)</f>
        <v>27</v>
      </c>
      <c r="B32" s="197" t="n">
        <f aca="false">INDEX(PalData,MATCH(C32,PalNames,0)+1,MATCH("ZukanIndexSuffix",PalData_Header,0))</f>
        <v>0</v>
      </c>
      <c r="C32" s="185" t="s">
        <v>141</v>
      </c>
      <c r="D32" s="186" t="n">
        <f aca="false">IFERROR(INDEX(PalData,MATCH(C32,PalNames,0)+1,MATCH("Image",PalData_Header,0)),)</f>
        <v>0</v>
      </c>
      <c r="E32" s="187" t="str">
        <f aca="false">IFERROR(__xludf.dummyfunction("SPLIT(VLOOKUP($C32,PalData!$A$2:$BU$139,13,0),""EPalElementType::"",0,1)"),"Normal")</f>
        <v>Normal</v>
      </c>
      <c r="F32" s="187" t="str">
        <f aca="false">IFERROR(__xludf.dummyfunction("if(SPLIT(VLOOKUP($C32,PalData!$A$2:$BU$139,14,0),""EPalElementType::"",0,1)=""None"","""",SPLIT(VLOOKUP($C32,PalData!$A$2:$BU$139,14,0),""EPalElementType::"",0,1))"),"")</f>
        <v/>
      </c>
      <c r="G32" s="188" t="str">
        <f aca="false">IF(VLOOKUP($C32,PalData!$A$2:$BU$139,48,0),"🌜","")</f>
        <v/>
      </c>
      <c r="H32" s="189" t="n">
        <f aca="false">VLOOKUP($C32,PalData!$A$2:$BU$139,55,0)</f>
        <v>0</v>
      </c>
      <c r="I32" s="189" t="n">
        <f aca="false">VLOOKUP($C32,PalData!$A$2:$BU$139,56,0)</f>
        <v>0</v>
      </c>
      <c r="J32" s="189" t="n">
        <f aca="false">VLOOKUP($C32,PalData!$A$2:$BU$139,57,0)</f>
        <v>0</v>
      </c>
      <c r="K32" s="189" t="n">
        <f aca="false">VLOOKUP($C32,PalData!$A$2:$BU$139,58,0)</f>
        <v>0</v>
      </c>
      <c r="L32" s="189" t="n">
        <f aca="false">VLOOKUP($C32,PalData!$A$2:$BU$139,59,0)</f>
        <v>0</v>
      </c>
      <c r="M32" s="189" t="n">
        <f aca="false">VLOOKUP($C32,PalData!$A$2:$BU$139,60,0)</f>
        <v>1</v>
      </c>
      <c r="N32" s="189" t="n">
        <f aca="false">VLOOKUP($C32,PalData!$A$2:$BU$139,61,0)</f>
        <v>0</v>
      </c>
      <c r="O32" s="189" t="n">
        <f aca="false">VLOOKUP($C32,PalData!$A$2:$BU$139,62,0)</f>
        <v>0</v>
      </c>
      <c r="P32" s="189" t="n">
        <f aca="false">VLOOKUP($C32,PalData!$A$2:$BU$139,64,0)</f>
        <v>0</v>
      </c>
      <c r="Q32" s="189" t="n">
        <f aca="false">VLOOKUP($C32,PalData!$A$2:$BU$139,65,0)</f>
        <v>0</v>
      </c>
      <c r="R32" s="189" t="n">
        <f aca="false">VLOOKUP($C32,PalData!$A$2:$BU$139,66,0)</f>
        <v>0</v>
      </c>
      <c r="S32" s="189" t="n">
        <f aca="false">VLOOKUP($C32,PalData!$A$2:$BU$139,67,0)</f>
        <v>0</v>
      </c>
      <c r="T32" s="190" t="n">
        <f aca="false">VLOOKUP($C32,PalData!$A$2:$BU$139,43,0)</f>
        <v>2</v>
      </c>
      <c r="U32" s="188" t="n">
        <f aca="false">VLOOKUP($C32,PalData!$A$2:$BU$139,54,0)</f>
        <v>1340</v>
      </c>
      <c r="V32" s="191" t="n">
        <f aca="false">VLOOKUP($C32,PalData!$A$2:$BU$139,19,0)</f>
        <v>60</v>
      </c>
      <c r="W32" s="191" t="n">
        <f aca="false">VLOOKUP($C32,PalData!$A$2:$BU$139,20,0)</f>
        <v>80</v>
      </c>
      <c r="X32" s="191" t="n">
        <f aca="false">VLOOKUP($C32,PalData!$A$2:$BU$139,21,0)</f>
        <v>75</v>
      </c>
      <c r="Y32" s="191" t="n">
        <f aca="false">VLOOKUP($C32,PalData!$A$2:$BU$139,22,0)</f>
        <v>70</v>
      </c>
      <c r="Z32" s="192" t="n">
        <f aca="false">VLOOKUP($C32,PalData!$A$2:$BU$139,28,0)</f>
        <v>1090</v>
      </c>
      <c r="AA32" s="193" t="n">
        <f aca="false" t="array" ref="AA32:AA32">INDEX(PalData,MATCH(C32,PalNames,0)+1,MATCH("Stamina",PalData_Header,0))</f>
        <v>100</v>
      </c>
      <c r="AB32" s="193" t="n">
        <f aca="false">VLOOKUP($C32,PalData!$A$2:$BU$139,32,0)</f>
        <v>60</v>
      </c>
      <c r="AC32" s="193" t="n">
        <f aca="false">VLOOKUP($C32,PalData!$A$2:$BU$139,33,0)</f>
        <v>300</v>
      </c>
      <c r="AD32" s="193" t="n">
        <f aca="false">IF(INDEX(PalData,MATCH(C32,PalNames,0)+1,MATCH("Mount",PalData_Header,0)),INDEX(PalData,MATCH(C32,PalNames,0)+1,MATCH("RideSprintSpeed",PalData_Header,0)),)</f>
        <v>0</v>
      </c>
      <c r="AE32" s="193" t="n">
        <f aca="false">IF(R32&gt;0, INDEX(PalData,MATCH(C32,PalNames,0)+1,MATCH("TransportSpeed",PalData_Header,0)),)</f>
        <v>0</v>
      </c>
      <c r="AF32" s="198" t="n">
        <f aca="false">VLOOKUP($C32,PalData!$A$2:$BU$139,26,0)</f>
        <v>1</v>
      </c>
      <c r="AG32" s="195" t="n">
        <f aca="false" t="array" ref="AG32:AG32">INDEX(PalData,MATCH(C32,PalNames,0)+1,MATCH("MaleProbability",PalData_Header,0))</f>
        <v>50</v>
      </c>
    </row>
    <row r="33" customFormat="false" ht="26.25" hidden="false" customHeight="true" outlineLevel="0" collapsed="false">
      <c r="A33" s="196" t="n">
        <f aca="false">VLOOKUP($C33,PalData!$A$2:$BU$139,9,0)</f>
        <v>28</v>
      </c>
      <c r="B33" s="197" t="n">
        <f aca="false">INDEX(PalData,MATCH(C33,PalNames,0)+1,MATCH("ZukanIndexSuffix",PalData_Header,0))</f>
        <v>0</v>
      </c>
      <c r="C33" s="185" t="s">
        <v>57</v>
      </c>
      <c r="D33" s="186" t="n">
        <f aca="false">IFERROR(INDEX(PalData,MATCH(C33,PalNames,0)+1,MATCH("Image",PalData_Header,0)),)</f>
        <v>0</v>
      </c>
      <c r="E33" s="187" t="str">
        <f aca="false">IFERROR(__xludf.dummyfunction("SPLIT(VLOOKUP($C33,PalData!$A$2:$BU$139,13,0),""EPalElementType::"",0,1)"),"Leaf")</f>
        <v>Leaf</v>
      </c>
      <c r="F33" s="187" t="str">
        <f aca="false">IFERROR(__xludf.dummyfunction("if(SPLIT(VLOOKUP($C33,PalData!$A$2:$BU$139,14,0),""EPalElementType::"",0,1)=""None"","""",SPLIT(VLOOKUP($C33,PalData!$A$2:$BU$139,14,0),""EPalElementType::"",0,1))"),"")</f>
        <v/>
      </c>
      <c r="G33" s="188" t="str">
        <f aca="false">IF(VLOOKUP($C33,PalData!$A$2:$BU$139,48,0),"🌜","")</f>
        <v/>
      </c>
      <c r="H33" s="189" t="n">
        <f aca="false">VLOOKUP($C33,PalData!$A$2:$BU$139,55,0)</f>
        <v>0</v>
      </c>
      <c r="I33" s="189" t="n">
        <f aca="false">VLOOKUP($C33,PalData!$A$2:$BU$139,56,0)</f>
        <v>0</v>
      </c>
      <c r="J33" s="189" t="n">
        <f aca="false">VLOOKUP($C33,PalData!$A$2:$BU$139,57,0)</f>
        <v>1</v>
      </c>
      <c r="K33" s="189" t="n">
        <f aca="false">VLOOKUP($C33,PalData!$A$2:$BU$139,58,0)</f>
        <v>0</v>
      </c>
      <c r="L33" s="189" t="n">
        <f aca="false">VLOOKUP($C33,PalData!$A$2:$BU$139,59,0)</f>
        <v>1</v>
      </c>
      <c r="M33" s="189" t="n">
        <f aca="false">VLOOKUP($C33,PalData!$A$2:$BU$139,60,0)</f>
        <v>1</v>
      </c>
      <c r="N33" s="189" t="n">
        <f aca="false">VLOOKUP($C33,PalData!$A$2:$BU$139,61,0)</f>
        <v>0</v>
      </c>
      <c r="O33" s="189" t="n">
        <f aca="false">VLOOKUP($C33,PalData!$A$2:$BU$139,62,0)</f>
        <v>0</v>
      </c>
      <c r="P33" s="189" t="n">
        <f aca="false">VLOOKUP($C33,PalData!$A$2:$BU$139,64,0)</f>
        <v>1</v>
      </c>
      <c r="Q33" s="189" t="n">
        <f aca="false">VLOOKUP($C33,PalData!$A$2:$BU$139,65,0)</f>
        <v>0</v>
      </c>
      <c r="R33" s="189" t="n">
        <f aca="false">VLOOKUP($C33,PalData!$A$2:$BU$139,66,0)</f>
        <v>1</v>
      </c>
      <c r="S33" s="189" t="n">
        <f aca="false">VLOOKUP($C33,PalData!$A$2:$BU$139,67,0)</f>
        <v>0</v>
      </c>
      <c r="T33" s="190" t="n">
        <f aca="false">VLOOKUP($C33,PalData!$A$2:$BU$139,43,0)</f>
        <v>3</v>
      </c>
      <c r="U33" s="188" t="n">
        <f aca="false">VLOOKUP($C33,PalData!$A$2:$BU$139,54,0)</f>
        <v>1280</v>
      </c>
      <c r="V33" s="191" t="n">
        <f aca="false">VLOOKUP($C33,PalData!$A$2:$BU$139,19,0)</f>
        <v>75</v>
      </c>
      <c r="W33" s="191" t="n">
        <f aca="false">VLOOKUP($C33,PalData!$A$2:$BU$139,20,0)</f>
        <v>100</v>
      </c>
      <c r="X33" s="191" t="n">
        <f aca="false">VLOOKUP($C33,PalData!$A$2:$BU$139,21,0)</f>
        <v>65</v>
      </c>
      <c r="Y33" s="191" t="n">
        <f aca="false">VLOOKUP($C33,PalData!$A$2:$BU$139,22,0)</f>
        <v>70</v>
      </c>
      <c r="Z33" s="192" t="n">
        <f aca="false">VLOOKUP($C33,PalData!$A$2:$BU$139,28,0)</f>
        <v>1220</v>
      </c>
      <c r="AA33" s="193" t="n">
        <f aca="false" t="array" ref="AA33:AA33">INDEX(PalData,MATCH(C33,PalNames,0)+1,MATCH("Stamina",PalData_Header,0))</f>
        <v>100</v>
      </c>
      <c r="AB33" s="193" t="n">
        <f aca="false">VLOOKUP($C33,PalData!$A$2:$BU$139,32,0)</f>
        <v>100</v>
      </c>
      <c r="AC33" s="193" t="n">
        <f aca="false">VLOOKUP($C33,PalData!$A$2:$BU$139,33,0)</f>
        <v>400</v>
      </c>
      <c r="AD33" s="193" t="n">
        <f aca="false">IF(INDEX(PalData,MATCH(C33,PalNames,0)+1,MATCH("Mount",PalData_Header,0)),INDEX(PalData,MATCH(C33,PalNames,0)+1,MATCH("RideSprintSpeed",PalData_Header,0)),)</f>
        <v>0</v>
      </c>
      <c r="AE33" s="193" t="n">
        <f aca="false" t="array" ref="AE33:AE33">IF(R33&gt;0, INDEX(PalData,MATCH(C33,PalNames,0)+1,MATCH("TransportSpeed",PalData_Header,0)),)</f>
        <v>250</v>
      </c>
      <c r="AF33" s="198" t="n">
        <f aca="false">VLOOKUP($C33,PalData!$A$2:$BU$139,26,0)</f>
        <v>1</v>
      </c>
      <c r="AG33" s="195" t="n">
        <f aca="false" t="array" ref="AG33:AG33">INDEX(PalData,MATCH(C33,PalNames,0)+1,MATCH("MaleProbability",PalData_Header,0))</f>
        <v>50</v>
      </c>
    </row>
    <row r="34" customFormat="false" ht="26.25" hidden="false" customHeight="true" outlineLevel="0" collapsed="false">
      <c r="A34" s="196" t="n">
        <f aca="false">VLOOKUP($C34,PalData!$A$2:$BU$139,9,0)</f>
        <v>29</v>
      </c>
      <c r="B34" s="197" t="n">
        <f aca="false">INDEX(PalData,MATCH(C34,PalNames,0)+1,MATCH("ZukanIndexSuffix",PalData_Header,0))</f>
        <v>0</v>
      </c>
      <c r="C34" s="185" t="s">
        <v>108</v>
      </c>
      <c r="D34" s="186" t="n">
        <f aca="false">IFERROR(INDEX(PalData,MATCH(C34,PalNames,0)+1,MATCH("Image",PalData_Header,0)),)</f>
        <v>0</v>
      </c>
      <c r="E34" s="187" t="str">
        <f aca="false">IFERROR(__xludf.dummyfunction("SPLIT(VLOOKUP($C34,PalData!$A$2:$BU$139,13,0),""EPalElementType::"",0,1)"),"Normal")</f>
        <v>Normal</v>
      </c>
      <c r="F34" s="187" t="str">
        <f aca="false">IFERROR(__xludf.dummyfunction("if(SPLIT(VLOOKUP($C34,PalData!$A$2:$BU$139,14,0),""EPalElementType::"",0,1)=""None"","""",SPLIT(VLOOKUP($C34,PalData!$A$2:$BU$139,14,0),""EPalElementType::"",0,1))"),"")</f>
        <v/>
      </c>
      <c r="G34" s="188" t="str">
        <f aca="false">IF(VLOOKUP($C34,PalData!$A$2:$BU$139,48,0),"🌜","")</f>
        <v/>
      </c>
      <c r="H34" s="189" t="n">
        <f aca="false">VLOOKUP($C34,PalData!$A$2:$BU$139,55,0)</f>
        <v>0</v>
      </c>
      <c r="I34" s="189" t="n">
        <f aca="false">VLOOKUP($C34,PalData!$A$2:$BU$139,56,0)</f>
        <v>0</v>
      </c>
      <c r="J34" s="189" t="n">
        <f aca="false">VLOOKUP($C34,PalData!$A$2:$BU$139,57,0)</f>
        <v>0</v>
      </c>
      <c r="K34" s="189" t="n">
        <f aca="false">VLOOKUP($C34,PalData!$A$2:$BU$139,58,0)</f>
        <v>0</v>
      </c>
      <c r="L34" s="189" t="n">
        <f aca="false">VLOOKUP($C34,PalData!$A$2:$BU$139,59,0)</f>
        <v>0</v>
      </c>
      <c r="M34" s="189" t="n">
        <f aca="false">VLOOKUP($C34,PalData!$A$2:$BU$139,60,0)</f>
        <v>0</v>
      </c>
      <c r="N34" s="189" t="n">
        <f aca="false">VLOOKUP($C34,PalData!$A$2:$BU$139,61,0)</f>
        <v>0</v>
      </c>
      <c r="O34" s="189" t="n">
        <f aca="false">VLOOKUP($C34,PalData!$A$2:$BU$139,62,0)</f>
        <v>0</v>
      </c>
      <c r="P34" s="189" t="n">
        <f aca="false">VLOOKUP($C34,PalData!$A$2:$BU$139,64,0)</f>
        <v>0</v>
      </c>
      <c r="Q34" s="189" t="n">
        <f aca="false">VLOOKUP($C34,PalData!$A$2:$BU$139,65,0)</f>
        <v>0</v>
      </c>
      <c r="R34" s="189" t="n">
        <f aca="false">VLOOKUP($C34,PalData!$A$2:$BU$139,66,0)</f>
        <v>0</v>
      </c>
      <c r="S34" s="189" t="n">
        <f aca="false">VLOOKUP($C34,PalData!$A$2:$BU$139,67,0)</f>
        <v>1</v>
      </c>
      <c r="T34" s="190" t="n">
        <f aca="false">VLOOKUP($C34,PalData!$A$2:$BU$139,43,0)</f>
        <v>3</v>
      </c>
      <c r="U34" s="188" t="n">
        <f aca="false">VLOOKUP($C34,PalData!$A$2:$BU$139,54,0)</f>
        <v>910</v>
      </c>
      <c r="V34" s="191" t="n">
        <f aca="false">VLOOKUP($C34,PalData!$A$2:$BU$139,19,0)</f>
        <v>90</v>
      </c>
      <c r="W34" s="191" t="n">
        <f aca="false">VLOOKUP($C34,PalData!$A$2:$BU$139,20,0)</f>
        <v>100</v>
      </c>
      <c r="X34" s="191" t="n">
        <f aca="false">VLOOKUP($C34,PalData!$A$2:$BU$139,21,0)</f>
        <v>50</v>
      </c>
      <c r="Y34" s="191" t="n">
        <f aca="false">VLOOKUP($C34,PalData!$A$2:$BU$139,22,0)</f>
        <v>80</v>
      </c>
      <c r="Z34" s="192" t="n">
        <f aca="false">VLOOKUP($C34,PalData!$A$2:$BU$139,28,0)</f>
        <v>2620</v>
      </c>
      <c r="AA34" s="193" t="n">
        <f aca="false" t="array" ref="AA34:AA34">INDEX(PalData,MATCH(C34,PalNames,0)+1,MATCH("Stamina",PalData_Header,0))</f>
        <v>100</v>
      </c>
      <c r="AB34" s="193" t="n">
        <f aca="false">VLOOKUP($C34,PalData!$A$2:$BU$139,32,0)</f>
        <v>55</v>
      </c>
      <c r="AC34" s="193" t="n">
        <f aca="false">VLOOKUP($C34,PalData!$A$2:$BU$139,33,0)</f>
        <v>580</v>
      </c>
      <c r="AD34" s="193" t="n">
        <f aca="false">IF(INDEX(PalData,MATCH(C34,PalNames,0)+1,MATCH("Mount",PalData_Header,0)),INDEX(PalData,MATCH(C34,PalNames,0)+1,MATCH("RideSprintSpeed",PalData_Header,0)),)</f>
        <v>0</v>
      </c>
      <c r="AE34" s="193" t="n">
        <f aca="false">IF(R34&gt;0, INDEX(PalData,MATCH(C34,PalNames,0)+1,MATCH("TransportSpeed",PalData_Header,0)),)</f>
        <v>0</v>
      </c>
      <c r="AF34" s="198" t="n">
        <f aca="false">VLOOKUP($C34,PalData!$A$2:$BU$139,26,0)</f>
        <v>1</v>
      </c>
      <c r="AG34" s="195" t="n">
        <f aca="false" t="array" ref="AG34:AG34">INDEX(PalData,MATCH(C34,PalNames,0)+1,MATCH("MaleProbability",PalData_Header,0))</f>
        <v>20</v>
      </c>
    </row>
    <row r="35" customFormat="false" ht="26.25" hidden="false" customHeight="true" outlineLevel="0" collapsed="false">
      <c r="A35" s="196" t="n">
        <f aca="false">VLOOKUP($C35,PalData!$A$2:$BU$139,9,0)</f>
        <v>30</v>
      </c>
      <c r="B35" s="197" t="n">
        <f aca="false">INDEX(PalData,MATCH(C35,PalNames,0)+1,MATCH("ZukanIndexSuffix",PalData_Header,0))</f>
        <v>0</v>
      </c>
      <c r="C35" s="185" t="s">
        <v>28</v>
      </c>
      <c r="D35" s="186" t="n">
        <f aca="false">IFERROR(INDEX(PalData,MATCH(C35,PalNames,0)+1,MATCH("Image",PalData_Header,0)),)</f>
        <v>0</v>
      </c>
      <c r="E35" s="187" t="str">
        <f aca="false">IFERROR(__xludf.dummyfunction("SPLIT(VLOOKUP($C35,PalData!$A$2:$BU$139,13,0),""EPalElementType::"",0,1)"),"Leaf")</f>
        <v>Leaf</v>
      </c>
      <c r="F35" s="187" t="str">
        <f aca="false">IFERROR(__xludf.dummyfunction("if(SPLIT(VLOOKUP($C35,PalData!$A$2:$BU$139,14,0),""EPalElementType::"",0,1)=""None"","""",SPLIT(VLOOKUP($C35,PalData!$A$2:$BU$139,14,0),""EPalElementType::"",0,1))"),"")</f>
        <v/>
      </c>
      <c r="G35" s="188" t="str">
        <f aca="false">IF(VLOOKUP($C35,PalData!$A$2:$BU$139,48,0),"🌜","")</f>
        <v/>
      </c>
      <c r="H35" s="189" t="n">
        <f aca="false">VLOOKUP($C35,PalData!$A$2:$BU$139,55,0)</f>
        <v>0</v>
      </c>
      <c r="I35" s="189" t="n">
        <f aca="false">VLOOKUP($C35,PalData!$A$2:$BU$139,56,0)</f>
        <v>0</v>
      </c>
      <c r="J35" s="189" t="n">
        <f aca="false">VLOOKUP($C35,PalData!$A$2:$BU$139,57,0)</f>
        <v>1</v>
      </c>
      <c r="K35" s="189" t="n">
        <f aca="false">VLOOKUP($C35,PalData!$A$2:$BU$139,58,0)</f>
        <v>0</v>
      </c>
      <c r="L35" s="189" t="n">
        <f aca="false">VLOOKUP($C35,PalData!$A$2:$BU$139,59,0)</f>
        <v>1</v>
      </c>
      <c r="M35" s="189" t="n">
        <f aca="false">VLOOKUP($C35,PalData!$A$2:$BU$139,60,0)</f>
        <v>1</v>
      </c>
      <c r="N35" s="189" t="n">
        <f aca="false">VLOOKUP($C35,PalData!$A$2:$BU$139,61,0)</f>
        <v>0</v>
      </c>
      <c r="O35" s="189" t="n">
        <f aca="false">VLOOKUP($C35,PalData!$A$2:$BU$139,62,0)</f>
        <v>0</v>
      </c>
      <c r="P35" s="189" t="n">
        <f aca="false">VLOOKUP($C35,PalData!$A$2:$BU$139,64,0)</f>
        <v>2</v>
      </c>
      <c r="Q35" s="189" t="n">
        <f aca="false">VLOOKUP($C35,PalData!$A$2:$BU$139,65,0)</f>
        <v>0</v>
      </c>
      <c r="R35" s="189" t="n">
        <f aca="false">VLOOKUP($C35,PalData!$A$2:$BU$139,66,0)</f>
        <v>1</v>
      </c>
      <c r="S35" s="189" t="n">
        <f aca="false">VLOOKUP($C35,PalData!$A$2:$BU$139,67,0)</f>
        <v>0</v>
      </c>
      <c r="T35" s="190" t="n">
        <f aca="false">VLOOKUP($C35,PalData!$A$2:$BU$139,43,0)</f>
        <v>5</v>
      </c>
      <c r="U35" s="188" t="n">
        <f aca="false">VLOOKUP($C35,PalData!$A$2:$BU$139,54,0)</f>
        <v>1320</v>
      </c>
      <c r="V35" s="191" t="n">
        <f aca="false">VLOOKUP($C35,PalData!$A$2:$BU$139,19,0)</f>
        <v>80</v>
      </c>
      <c r="W35" s="191" t="n">
        <f aca="false">VLOOKUP($C35,PalData!$A$2:$BU$139,20,0)</f>
        <v>80</v>
      </c>
      <c r="X35" s="191" t="n">
        <f aca="false">VLOOKUP($C35,PalData!$A$2:$BU$139,21,0)</f>
        <v>80</v>
      </c>
      <c r="Y35" s="191" t="n">
        <f aca="false">VLOOKUP($C35,PalData!$A$2:$BU$139,22,0)</f>
        <v>80</v>
      </c>
      <c r="Z35" s="192" t="n">
        <f aca="false">VLOOKUP($C35,PalData!$A$2:$BU$139,28,0)</f>
        <v>1140</v>
      </c>
      <c r="AA35" s="193" t="n">
        <f aca="false" t="array" ref="AA35:AA35">INDEX(PalData,MATCH(C35,PalNames,0)+1,MATCH("Stamina",PalData_Header,0))</f>
        <v>100</v>
      </c>
      <c r="AB35" s="193" t="n">
        <f aca="false">VLOOKUP($C35,PalData!$A$2:$BU$139,32,0)</f>
        <v>100</v>
      </c>
      <c r="AC35" s="193" t="n">
        <f aca="false">VLOOKUP($C35,PalData!$A$2:$BU$139,33,0)</f>
        <v>400</v>
      </c>
      <c r="AD35" s="193" t="n">
        <f aca="false">IF(INDEX(PalData,MATCH(C35,PalNames,0)+1,MATCH("Mount",PalData_Header,0)),INDEX(PalData,MATCH(C35,PalNames,0)+1,MATCH("RideSprintSpeed",PalData_Header,0)),)</f>
        <v>0</v>
      </c>
      <c r="AE35" s="193" t="n">
        <f aca="false" t="array" ref="AE35:AE35">IF(R35&gt;0, INDEX(PalData,MATCH(C35,PalNames,0)+1,MATCH("TransportSpeed",PalData_Header,0)),)</f>
        <v>250</v>
      </c>
      <c r="AF35" s="198" t="n">
        <f aca="false">VLOOKUP($C35,PalData!$A$2:$BU$139,26,0)</f>
        <v>1</v>
      </c>
      <c r="AG35" s="195" t="n">
        <f aca="false" t="array" ref="AG35:AG35">INDEX(PalData,MATCH(C35,PalNames,0)+1,MATCH("MaleProbability",PalData_Header,0))</f>
        <v>50</v>
      </c>
    </row>
    <row r="36" customFormat="false" ht="26.25" hidden="false" customHeight="true" outlineLevel="0" collapsed="false">
      <c r="A36" s="196" t="n">
        <f aca="false">VLOOKUP($C36,PalData!$A$2:$BU$139,9,0)</f>
        <v>31</v>
      </c>
      <c r="B36" s="197" t="n">
        <f aca="false">INDEX(PalData,MATCH(C36,PalNames,0)+1,MATCH("ZukanIndexSuffix",PalData_Header,0))</f>
        <v>0</v>
      </c>
      <c r="C36" s="185" t="s">
        <v>64</v>
      </c>
      <c r="D36" s="186" t="n">
        <f aca="false">IFERROR(INDEX(PalData,MATCH(C36,PalNames,0)+1,MATCH("Image",PalData_Header,0)),)</f>
        <v>0</v>
      </c>
      <c r="E36" s="187" t="str">
        <f aca="false">IFERROR(__xludf.dummyfunction("SPLIT(VLOOKUP($C36,PalData!$A$2:$BU$139,13,0),""EPalElementType::"",0,1)"),"Water")</f>
        <v>Water</v>
      </c>
      <c r="F36" s="187" t="str">
        <f aca="false">IFERROR(__xludf.dummyfunction("if(SPLIT(VLOOKUP($C36,PalData!$A$2:$BU$139,14,0),""EPalElementType::"",0,1)=""None"","""",SPLIT(VLOOKUP($C36,PalData!$A$2:$BU$139,14,0),""EPalElementType::"",0,1))"),"")</f>
        <v/>
      </c>
      <c r="G36" s="188" t="str">
        <f aca="false">IF(VLOOKUP($C36,PalData!$A$2:$BU$139,48,0),"🌜","")</f>
        <v/>
      </c>
      <c r="H36" s="189" t="n">
        <f aca="false">VLOOKUP($C36,PalData!$A$2:$BU$139,55,0)</f>
        <v>0</v>
      </c>
      <c r="I36" s="189" t="n">
        <f aca="false">VLOOKUP($C36,PalData!$A$2:$BU$139,56,0)</f>
        <v>2</v>
      </c>
      <c r="J36" s="189" t="n">
        <f aca="false">VLOOKUP($C36,PalData!$A$2:$BU$139,57,0)</f>
        <v>0</v>
      </c>
      <c r="K36" s="189" t="n">
        <f aca="false">VLOOKUP($C36,PalData!$A$2:$BU$139,58,0)</f>
        <v>0</v>
      </c>
      <c r="L36" s="189" t="n">
        <f aca="false">VLOOKUP($C36,PalData!$A$2:$BU$139,59,0)</f>
        <v>1</v>
      </c>
      <c r="M36" s="189" t="n">
        <f aca="false">VLOOKUP($C36,PalData!$A$2:$BU$139,60,0)</f>
        <v>0</v>
      </c>
      <c r="N36" s="189" t="n">
        <f aca="false">VLOOKUP($C36,PalData!$A$2:$BU$139,61,0)</f>
        <v>0</v>
      </c>
      <c r="O36" s="189" t="n">
        <f aca="false">VLOOKUP($C36,PalData!$A$2:$BU$139,62,0)</f>
        <v>0</v>
      </c>
      <c r="P36" s="189" t="n">
        <f aca="false">VLOOKUP($C36,PalData!$A$2:$BU$139,64,0)</f>
        <v>0</v>
      </c>
      <c r="Q36" s="189" t="n">
        <f aca="false">VLOOKUP($C36,PalData!$A$2:$BU$139,65,0)</f>
        <v>0</v>
      </c>
      <c r="R36" s="189" t="n">
        <f aca="false">VLOOKUP($C36,PalData!$A$2:$BU$139,66,0)</f>
        <v>1</v>
      </c>
      <c r="S36" s="189" t="n">
        <f aca="false">VLOOKUP($C36,PalData!$A$2:$BU$139,67,0)</f>
        <v>0</v>
      </c>
      <c r="T36" s="190" t="n">
        <f aca="false">VLOOKUP($C36,PalData!$A$2:$BU$139,43,0)</f>
        <v>3</v>
      </c>
      <c r="U36" s="188" t="n">
        <f aca="false">VLOOKUP($C36,PalData!$A$2:$BU$139,54,0)</f>
        <v>1090</v>
      </c>
      <c r="V36" s="191" t="n">
        <f aca="false">VLOOKUP($C36,PalData!$A$2:$BU$139,19,0)</f>
        <v>90</v>
      </c>
      <c r="W36" s="191" t="n">
        <f aca="false">VLOOKUP($C36,PalData!$A$2:$BU$139,20,0)</f>
        <v>90</v>
      </c>
      <c r="X36" s="191" t="n">
        <f aca="false">VLOOKUP($C36,PalData!$A$2:$BU$139,21,0)</f>
        <v>90</v>
      </c>
      <c r="Y36" s="191" t="n">
        <f aca="false">VLOOKUP($C36,PalData!$A$2:$BU$139,22,0)</f>
        <v>75</v>
      </c>
      <c r="Z36" s="192" t="n">
        <f aca="false">VLOOKUP($C36,PalData!$A$2:$BU$139,28,0)</f>
        <v>1840</v>
      </c>
      <c r="AA36" s="193" t="n">
        <f aca="false" t="array" ref="AA36:AA36">INDEX(PalData,MATCH(C36,PalNames,0)+1,MATCH("Stamina",PalData_Header,0))</f>
        <v>100</v>
      </c>
      <c r="AB36" s="193" t="n">
        <f aca="false">VLOOKUP($C36,PalData!$A$2:$BU$139,32,0)</f>
        <v>80</v>
      </c>
      <c r="AC36" s="193" t="n">
        <f aca="false">VLOOKUP($C36,PalData!$A$2:$BU$139,33,0)</f>
        <v>400</v>
      </c>
      <c r="AD36" s="193" t="n">
        <f aca="false">IF(INDEX(PalData,MATCH(C36,PalNames,0)+1,MATCH("Mount",PalData_Header,0)),INDEX(PalData,MATCH(C36,PalNames,0)+1,MATCH("RideSprintSpeed",PalData_Header,0)),)</f>
        <v>0</v>
      </c>
      <c r="AE36" s="193" t="n">
        <f aca="false" t="array" ref="AE36:AE36">IF(R36&gt;0, INDEX(PalData,MATCH(C36,PalNames,0)+1,MATCH("TransportSpeed",PalData_Header,0)),)</f>
        <v>120</v>
      </c>
      <c r="AF36" s="198" t="n">
        <f aca="false">VLOOKUP($C36,PalData!$A$2:$BU$139,26,0)</f>
        <v>1</v>
      </c>
      <c r="AG36" s="195" t="n">
        <f aca="false" t="array" ref="AG36:AG36">INDEX(PalData,MATCH(C36,PalNames,0)+1,MATCH("MaleProbability",PalData_Header,0))</f>
        <v>50</v>
      </c>
    </row>
    <row r="37" customFormat="false" ht="26.25" hidden="false" customHeight="true" outlineLevel="0" collapsed="false">
      <c r="A37" s="196" t="n">
        <f aca="false">VLOOKUP($C37,PalData!$A$2:$BU$139,9,0)</f>
        <v>31</v>
      </c>
      <c r="B37" s="197" t="str">
        <f aca="false" t="array" ref="B37:B37">INDEX(PalData,MATCH(C37,PalNames,0)+1,MATCH("ZukanIndexSuffix",PalData_Header,0))</f>
        <v>B</v>
      </c>
      <c r="C37" s="185" t="s">
        <v>65</v>
      </c>
      <c r="D37" s="186" t="n">
        <f aca="false">IFERROR(INDEX(PalData,MATCH(C37,PalNames,0)+1,MATCH("Image",PalData_Header,0)),)</f>
        <v>0</v>
      </c>
      <c r="E37" s="187" t="str">
        <f aca="false">IFERROR(__xludf.dummyfunction("SPLIT(VLOOKUP($C37,PalData!$A$2:$BU$139,13,0),""EPalElementType::"",0,1)"),"Fire")</f>
        <v>Fire</v>
      </c>
      <c r="F37" s="187" t="str">
        <f aca="false">IFERROR(__xludf.dummyfunction("if(SPLIT(VLOOKUP($C37,PalData!$A$2:$BU$139,14,0),""EPalElementType::"",0,1)=""None"","""",SPLIT(VLOOKUP($C37,PalData!$A$2:$BU$139,14,0),""EPalElementType::"",0,1))"),"")</f>
        <v/>
      </c>
      <c r="G37" s="188" t="str">
        <f aca="false">IF(VLOOKUP($C37,PalData!$A$2:$BU$139,48,0),"🌜","")</f>
        <v/>
      </c>
      <c r="H37" s="189" t="n">
        <f aca="false">VLOOKUP($C37,PalData!$A$2:$BU$139,55,0)</f>
        <v>2</v>
      </c>
      <c r="I37" s="189" t="n">
        <f aca="false">VLOOKUP($C37,PalData!$A$2:$BU$139,56,0)</f>
        <v>0</v>
      </c>
      <c r="J37" s="189" t="n">
        <f aca="false">VLOOKUP($C37,PalData!$A$2:$BU$139,57,0)</f>
        <v>0</v>
      </c>
      <c r="K37" s="189" t="n">
        <f aca="false">VLOOKUP($C37,PalData!$A$2:$BU$139,58,0)</f>
        <v>0</v>
      </c>
      <c r="L37" s="189" t="n">
        <f aca="false">VLOOKUP($C37,PalData!$A$2:$BU$139,59,0)</f>
        <v>1</v>
      </c>
      <c r="M37" s="189" t="n">
        <f aca="false">VLOOKUP($C37,PalData!$A$2:$BU$139,60,0)</f>
        <v>0</v>
      </c>
      <c r="N37" s="189" t="n">
        <f aca="false">VLOOKUP($C37,PalData!$A$2:$BU$139,61,0)</f>
        <v>0</v>
      </c>
      <c r="O37" s="189" t="n">
        <f aca="false">VLOOKUP($C37,PalData!$A$2:$BU$139,62,0)</f>
        <v>0</v>
      </c>
      <c r="P37" s="189" t="n">
        <f aca="false">VLOOKUP($C37,PalData!$A$2:$BU$139,64,0)</f>
        <v>0</v>
      </c>
      <c r="Q37" s="189" t="n">
        <f aca="false">VLOOKUP($C37,PalData!$A$2:$BU$139,65,0)</f>
        <v>0</v>
      </c>
      <c r="R37" s="189" t="n">
        <f aca="false">VLOOKUP($C37,PalData!$A$2:$BU$139,66,0)</f>
        <v>1</v>
      </c>
      <c r="S37" s="189" t="n">
        <f aca="false">VLOOKUP($C37,PalData!$A$2:$BU$139,67,0)</f>
        <v>0</v>
      </c>
      <c r="T37" s="190" t="n">
        <f aca="false">VLOOKUP($C37,PalData!$A$2:$BU$139,43,0)</f>
        <v>3</v>
      </c>
      <c r="U37" s="188" t="n">
        <f aca="false">VLOOKUP($C37,PalData!$A$2:$BU$139,54,0)</f>
        <v>1100</v>
      </c>
      <c r="V37" s="191" t="n">
        <f aca="false">VLOOKUP($C37,PalData!$A$2:$BU$139,19,0)</f>
        <v>90</v>
      </c>
      <c r="W37" s="191" t="n">
        <f aca="false">VLOOKUP($C37,PalData!$A$2:$BU$139,20,0)</f>
        <v>90</v>
      </c>
      <c r="X37" s="191" t="n">
        <f aca="false">VLOOKUP($C37,PalData!$A$2:$BU$139,21,0)</f>
        <v>90</v>
      </c>
      <c r="Y37" s="191" t="n">
        <f aca="false">VLOOKUP($C37,PalData!$A$2:$BU$139,22,0)</f>
        <v>75</v>
      </c>
      <c r="Z37" s="192" t="n">
        <f aca="false">VLOOKUP($C37,PalData!$A$2:$BU$139,28,0)</f>
        <v>1800</v>
      </c>
      <c r="AA37" s="193" t="n">
        <f aca="false" t="array" ref="AA37:AA37">INDEX(PalData,MATCH(C37,PalNames,0)+1,MATCH("Stamina",PalData_Header,0))</f>
        <v>100</v>
      </c>
      <c r="AB37" s="193" t="n">
        <f aca="false">VLOOKUP($C37,PalData!$A$2:$BU$139,32,0)</f>
        <v>80</v>
      </c>
      <c r="AC37" s="193" t="n">
        <f aca="false">VLOOKUP($C37,PalData!$A$2:$BU$139,33,0)</f>
        <v>400</v>
      </c>
      <c r="AD37" s="193" t="n">
        <f aca="false">IF(INDEX(PalData,MATCH(C37,PalNames,0)+1,MATCH("Mount",PalData_Header,0)),INDEX(PalData,MATCH(C37,PalNames,0)+1,MATCH("RideSprintSpeed",PalData_Header,0)),)</f>
        <v>0</v>
      </c>
      <c r="AE37" s="193" t="n">
        <f aca="false" t="array" ref="AE37:AE37">IF(R37&gt;0, INDEX(PalData,MATCH(C37,PalNames,0)+1,MATCH("TransportSpeed",PalData_Header,0)),)</f>
        <v>120</v>
      </c>
      <c r="AF37" s="198" t="n">
        <f aca="false">VLOOKUP($C37,PalData!$A$2:$BU$139,26,0)</f>
        <v>1</v>
      </c>
      <c r="AG37" s="195" t="n">
        <f aca="false" t="array" ref="AG37:AG37">INDEX(PalData,MATCH(C37,PalNames,0)+1,MATCH("MaleProbability",PalData_Header,0))</f>
        <v>50</v>
      </c>
    </row>
    <row r="38" customFormat="false" ht="26.25" hidden="false" customHeight="true" outlineLevel="0" collapsed="false">
      <c r="A38" s="196" t="n">
        <f aca="false">VLOOKUP($C38,PalData!$A$2:$BU$139,9,0)</f>
        <v>32</v>
      </c>
      <c r="B38" s="197" t="n">
        <f aca="false">INDEX(PalData,MATCH(C38,PalNames,0)+1,MATCH("ZukanIndexSuffix",PalData_Header,0))</f>
        <v>0</v>
      </c>
      <c r="C38" s="185" t="s">
        <v>71</v>
      </c>
      <c r="D38" s="186" t="n">
        <f aca="false">IFERROR(INDEX(PalData,MATCH(C38,PalNames,0)+1,MATCH("Image",PalData_Header,0)),)</f>
        <v>0</v>
      </c>
      <c r="E38" s="187" t="str">
        <f aca="false">IFERROR(__xludf.dummyfunction("SPLIT(VLOOKUP($C38,PalData!$A$2:$BU$139,13,0),""EPalElementType::"",0,1)"),"Earth")</f>
        <v>Earth</v>
      </c>
      <c r="F38" s="187" t="str">
        <f aca="false">IFERROR(__xludf.dummyfunction("if(SPLIT(VLOOKUP($C38,PalData!$A$2:$BU$139,14,0),""EPalElementType::"",0,1)=""None"","""",SPLIT(VLOOKUP($C38,PalData!$A$2:$BU$139,14,0),""EPalElementType::"",0,1))"),"")</f>
        <v/>
      </c>
      <c r="G38" s="188" t="str">
        <f aca="false">IF(VLOOKUP($C38,PalData!$A$2:$BU$139,48,0),"🌜","")</f>
        <v/>
      </c>
      <c r="H38" s="189" t="n">
        <f aca="false">VLOOKUP($C38,PalData!$A$2:$BU$139,55,0)</f>
        <v>0</v>
      </c>
      <c r="I38" s="189" t="n">
        <f aca="false">VLOOKUP($C38,PalData!$A$2:$BU$139,56,0)</f>
        <v>0</v>
      </c>
      <c r="J38" s="189" t="n">
        <f aca="false">VLOOKUP($C38,PalData!$A$2:$BU$139,57,0)</f>
        <v>0</v>
      </c>
      <c r="K38" s="189" t="n">
        <f aca="false">VLOOKUP($C38,PalData!$A$2:$BU$139,58,0)</f>
        <v>0</v>
      </c>
      <c r="L38" s="189" t="n">
        <f aca="false">VLOOKUP($C38,PalData!$A$2:$BU$139,59,0)</f>
        <v>1</v>
      </c>
      <c r="M38" s="189" t="n">
        <f aca="false">VLOOKUP($C38,PalData!$A$2:$BU$139,60,0)</f>
        <v>1</v>
      </c>
      <c r="N38" s="189" t="n">
        <f aca="false">VLOOKUP($C38,PalData!$A$2:$BU$139,61,0)</f>
        <v>0</v>
      </c>
      <c r="O38" s="189" t="n">
        <f aca="false">VLOOKUP($C38,PalData!$A$2:$BU$139,62,0)</f>
        <v>0</v>
      </c>
      <c r="P38" s="189" t="n">
        <f aca="false">VLOOKUP($C38,PalData!$A$2:$BU$139,64,0)</f>
        <v>0</v>
      </c>
      <c r="Q38" s="189" t="n">
        <f aca="false">VLOOKUP($C38,PalData!$A$2:$BU$139,65,0)</f>
        <v>0</v>
      </c>
      <c r="R38" s="189" t="n">
        <f aca="false">VLOOKUP($C38,PalData!$A$2:$BU$139,66,0)</f>
        <v>2</v>
      </c>
      <c r="S38" s="189" t="n">
        <f aca="false">VLOOKUP($C38,PalData!$A$2:$BU$139,67,0)</f>
        <v>0</v>
      </c>
      <c r="T38" s="190" t="n">
        <f aca="false">VLOOKUP($C38,PalData!$A$2:$BU$139,43,0)</f>
        <v>2</v>
      </c>
      <c r="U38" s="188" t="n">
        <f aca="false">VLOOKUP($C38,PalData!$A$2:$BU$139,54,0)</f>
        <v>1420</v>
      </c>
      <c r="V38" s="191" t="n">
        <f aca="false">VLOOKUP($C38,PalData!$A$2:$BU$139,19,0)</f>
        <v>80</v>
      </c>
      <c r="W38" s="191" t="n">
        <f aca="false">VLOOKUP($C38,PalData!$A$2:$BU$139,20,0)</f>
        <v>70</v>
      </c>
      <c r="X38" s="191" t="n">
        <f aca="false">VLOOKUP($C38,PalData!$A$2:$BU$139,21,0)</f>
        <v>70</v>
      </c>
      <c r="Y38" s="191" t="n">
        <f aca="false">VLOOKUP($C38,PalData!$A$2:$BU$139,22,0)</f>
        <v>70</v>
      </c>
      <c r="Z38" s="192" t="n">
        <f aca="false">VLOOKUP($C38,PalData!$A$2:$BU$139,28,0)</f>
        <v>1020</v>
      </c>
      <c r="AA38" s="193" t="n">
        <f aca="false" t="array" ref="AA38:AA38">INDEX(PalData,MATCH(C38,PalNames,0)+1,MATCH("Stamina",PalData_Header,0))</f>
        <v>100</v>
      </c>
      <c r="AB38" s="193" t="n">
        <f aca="false">VLOOKUP($C38,PalData!$A$2:$BU$139,32,0)</f>
        <v>100</v>
      </c>
      <c r="AC38" s="193" t="n">
        <f aca="false">VLOOKUP($C38,PalData!$A$2:$BU$139,33,0)</f>
        <v>400</v>
      </c>
      <c r="AD38" s="193" t="n">
        <f aca="false">IF(INDEX(PalData,MATCH(C38,PalNames,0)+1,MATCH("Mount",PalData_Header,0)),INDEX(PalData,MATCH(C38,PalNames,0)+1,MATCH("RideSprintSpeed",PalData_Header,0)),)</f>
        <v>0</v>
      </c>
      <c r="AE38" s="193" t="n">
        <f aca="false" t="array" ref="AE38:AE38">IF(R38&gt;0, INDEX(PalData,MATCH(C38,PalNames,0)+1,MATCH("TransportSpeed",PalData_Header,0)),)</f>
        <v>250</v>
      </c>
      <c r="AF38" s="198" t="n">
        <f aca="false">VLOOKUP($C38,PalData!$A$2:$BU$139,26,0)</f>
        <v>1</v>
      </c>
      <c r="AG38" s="195" t="n">
        <f aca="false" t="array" ref="AG38:AG38">INDEX(PalData,MATCH(C38,PalNames,0)+1,MATCH("MaleProbability",PalData_Header,0))</f>
        <v>50</v>
      </c>
    </row>
    <row r="39" customFormat="false" ht="26.25" hidden="false" customHeight="true" outlineLevel="0" collapsed="false">
      <c r="A39" s="196" t="n">
        <f aca="false">VLOOKUP($C39,PalData!$A$2:$BU$139,9,0)</f>
        <v>32</v>
      </c>
      <c r="B39" s="197" t="str">
        <f aca="false" t="array" ref="B39:B39">INDEX(PalData,MATCH(C39,PalNames,0)+1,MATCH("ZukanIndexSuffix",PalData_Header,0))</f>
        <v>B</v>
      </c>
      <c r="C39" s="185" t="s">
        <v>72</v>
      </c>
      <c r="D39" s="186" t="n">
        <f aca="false">IFERROR(INDEX(PalData,MATCH(C39,PalNames,0)+1,MATCH("Image",PalData_Header,0)),)</f>
        <v>0</v>
      </c>
      <c r="E39" s="187" t="str">
        <f aca="false">IFERROR(__xludf.dummyfunction("SPLIT(VLOOKUP($C39,PalData!$A$2:$BU$139,13,0),""EPalElementType::"",0,1)"),"Ice")</f>
        <v>Ice</v>
      </c>
      <c r="F39" s="187" t="str">
        <f aca="false">IFERROR(__xludf.dummyfunction("if(SPLIT(VLOOKUP($C39,PalData!$A$2:$BU$139,14,0),""EPalElementType::"",0,1)=""None"","""",SPLIT(VLOOKUP($C39,PalData!$A$2:$BU$139,14,0),""EPalElementType::"",0,1))"),"")</f>
        <v/>
      </c>
      <c r="G39" s="188" t="str">
        <f aca="false">IF(VLOOKUP($C39,PalData!$A$2:$BU$139,48,0),"🌜","")</f>
        <v/>
      </c>
      <c r="H39" s="189" t="n">
        <f aca="false">VLOOKUP($C39,PalData!$A$2:$BU$139,55,0)</f>
        <v>0</v>
      </c>
      <c r="I39" s="189" t="n">
        <f aca="false">VLOOKUP($C39,PalData!$A$2:$BU$139,56,0)</f>
        <v>0</v>
      </c>
      <c r="J39" s="189" t="n">
        <f aca="false">VLOOKUP($C39,PalData!$A$2:$BU$139,57,0)</f>
        <v>0</v>
      </c>
      <c r="K39" s="189" t="n">
        <f aca="false">VLOOKUP($C39,PalData!$A$2:$BU$139,58,0)</f>
        <v>0</v>
      </c>
      <c r="L39" s="189" t="n">
        <f aca="false">VLOOKUP($C39,PalData!$A$2:$BU$139,59,0)</f>
        <v>1</v>
      </c>
      <c r="M39" s="189" t="n">
        <f aca="false">VLOOKUP($C39,PalData!$A$2:$BU$139,60,0)</f>
        <v>1</v>
      </c>
      <c r="N39" s="189" t="n">
        <f aca="false">VLOOKUP($C39,PalData!$A$2:$BU$139,61,0)</f>
        <v>0</v>
      </c>
      <c r="O39" s="189" t="n">
        <f aca="false">VLOOKUP($C39,PalData!$A$2:$BU$139,62,0)</f>
        <v>0</v>
      </c>
      <c r="P39" s="189" t="n">
        <f aca="false">VLOOKUP($C39,PalData!$A$2:$BU$139,64,0)</f>
        <v>0</v>
      </c>
      <c r="Q39" s="189" t="n">
        <f aca="false">VLOOKUP($C39,PalData!$A$2:$BU$139,65,0)</f>
        <v>1</v>
      </c>
      <c r="R39" s="189" t="n">
        <f aca="false">VLOOKUP($C39,PalData!$A$2:$BU$139,66,0)</f>
        <v>2</v>
      </c>
      <c r="S39" s="189" t="n">
        <f aca="false">VLOOKUP($C39,PalData!$A$2:$BU$139,67,0)</f>
        <v>0</v>
      </c>
      <c r="T39" s="190" t="n">
        <f aca="false">VLOOKUP($C39,PalData!$A$2:$BU$139,43,0)</f>
        <v>2</v>
      </c>
      <c r="U39" s="188" t="n">
        <f aca="false">VLOOKUP($C39,PalData!$A$2:$BU$139,54,0)</f>
        <v>1422</v>
      </c>
      <c r="V39" s="191" t="n">
        <f aca="false">VLOOKUP($C39,PalData!$A$2:$BU$139,19,0)</f>
        <v>80</v>
      </c>
      <c r="W39" s="191" t="n">
        <f aca="false">VLOOKUP($C39,PalData!$A$2:$BU$139,20,0)</f>
        <v>70</v>
      </c>
      <c r="X39" s="191" t="n">
        <f aca="false">VLOOKUP($C39,PalData!$A$2:$BU$139,21,0)</f>
        <v>80</v>
      </c>
      <c r="Y39" s="191" t="n">
        <f aca="false">VLOOKUP($C39,PalData!$A$2:$BU$139,22,0)</f>
        <v>70</v>
      </c>
      <c r="Z39" s="192" t="n">
        <f aca="false">VLOOKUP($C39,PalData!$A$2:$BU$139,28,0)</f>
        <v>1020</v>
      </c>
      <c r="AA39" s="193" t="n">
        <f aca="false" t="array" ref="AA39:AA39">INDEX(PalData,MATCH(C39,PalNames,0)+1,MATCH("Stamina",PalData_Header,0))</f>
        <v>100</v>
      </c>
      <c r="AB39" s="193" t="n">
        <f aca="false">VLOOKUP($C39,PalData!$A$2:$BU$139,32,0)</f>
        <v>100</v>
      </c>
      <c r="AC39" s="193" t="n">
        <f aca="false">VLOOKUP($C39,PalData!$A$2:$BU$139,33,0)</f>
        <v>400</v>
      </c>
      <c r="AD39" s="193" t="n">
        <f aca="false">IF(INDEX(PalData,MATCH(C39,PalNames,0)+1,MATCH("Mount",PalData_Header,0)),INDEX(PalData,MATCH(C39,PalNames,0)+1,MATCH("RideSprintSpeed",PalData_Header,0)),)</f>
        <v>0</v>
      </c>
      <c r="AE39" s="193" t="n">
        <f aca="false" t="array" ref="AE39:AE39">IF(R39&gt;0, INDEX(PalData,MATCH(C39,PalNames,0)+1,MATCH("TransportSpeed",PalData_Header,0)),)</f>
        <v>250</v>
      </c>
      <c r="AF39" s="198" t="n">
        <f aca="false">VLOOKUP($C39,PalData!$A$2:$BU$139,26,0)</f>
        <v>1</v>
      </c>
      <c r="AG39" s="195" t="n">
        <f aca="false" t="array" ref="AG39:AG39">INDEX(PalData,MATCH(C39,PalNames,0)+1,MATCH("MaleProbability",PalData_Header,0))</f>
        <v>50</v>
      </c>
    </row>
    <row r="40" customFormat="false" ht="26.25" hidden="false" customHeight="true" outlineLevel="0" collapsed="false">
      <c r="A40" s="196" t="n">
        <f aca="false">VLOOKUP($C40,PalData!$A$2:$BU$139,9,0)</f>
        <v>33</v>
      </c>
      <c r="B40" s="197" t="n">
        <f aca="false">INDEX(PalData,MATCH(C40,PalNames,0)+1,MATCH("ZukanIndexSuffix",PalData_Header,0))</f>
        <v>0</v>
      </c>
      <c r="C40" s="185" t="s">
        <v>106</v>
      </c>
      <c r="D40" s="186" t="n">
        <f aca="false">IFERROR(INDEX(PalData,MATCH(C40,PalNames,0)+1,MATCH("Image",PalData_Header,0)),)</f>
        <v>0</v>
      </c>
      <c r="E40" s="187" t="str">
        <f aca="false">IFERROR(__xludf.dummyfunction("SPLIT(VLOOKUP($C40,PalData!$A$2:$BU$139,13,0),""EPalElementType::"",0,1)"),"Leaf")</f>
        <v>Leaf</v>
      </c>
      <c r="F40" s="187" t="str">
        <f aca="false">IFERROR(__xludf.dummyfunction("if(SPLIT(VLOOKUP($C40,PalData!$A$2:$BU$139,14,0),""EPalElementType::"",0,1)=""None"","""",SPLIT(VLOOKUP($C40,PalData!$A$2:$BU$139,14,0),""EPalElementType::"",0,1))"),"")</f>
        <v/>
      </c>
      <c r="G40" s="188" t="str">
        <f aca="false">IF(VLOOKUP($C40,PalData!$A$2:$BU$139,48,0),"🌜","")</f>
        <v/>
      </c>
      <c r="H40" s="189" t="n">
        <f aca="false">VLOOKUP($C40,PalData!$A$2:$BU$139,55,0)</f>
        <v>0</v>
      </c>
      <c r="I40" s="189" t="n">
        <f aca="false">VLOOKUP($C40,PalData!$A$2:$BU$139,56,0)</f>
        <v>0</v>
      </c>
      <c r="J40" s="189" t="n">
        <f aca="false">VLOOKUP($C40,PalData!$A$2:$BU$139,57,0)</f>
        <v>2</v>
      </c>
      <c r="K40" s="189" t="n">
        <f aca="false">VLOOKUP($C40,PalData!$A$2:$BU$139,58,0)</f>
        <v>0</v>
      </c>
      <c r="L40" s="189" t="n">
        <f aca="false">VLOOKUP($C40,PalData!$A$2:$BU$139,59,0)</f>
        <v>2</v>
      </c>
      <c r="M40" s="189" t="n">
        <f aca="false">VLOOKUP($C40,PalData!$A$2:$BU$139,60,0)</f>
        <v>0</v>
      </c>
      <c r="N40" s="189" t="n">
        <f aca="false">VLOOKUP($C40,PalData!$A$2:$BU$139,61,0)</f>
        <v>2</v>
      </c>
      <c r="O40" s="189" t="n">
        <f aca="false">VLOOKUP($C40,PalData!$A$2:$BU$139,62,0)</f>
        <v>0</v>
      </c>
      <c r="P40" s="189" t="n">
        <f aca="false">VLOOKUP($C40,PalData!$A$2:$BU$139,64,0)</f>
        <v>0</v>
      </c>
      <c r="Q40" s="189" t="n">
        <f aca="false">VLOOKUP($C40,PalData!$A$2:$BU$139,65,0)</f>
        <v>0</v>
      </c>
      <c r="R40" s="189" t="n">
        <f aca="false">VLOOKUP($C40,PalData!$A$2:$BU$139,66,0)</f>
        <v>3</v>
      </c>
      <c r="S40" s="189" t="n">
        <f aca="false">VLOOKUP($C40,PalData!$A$2:$BU$139,67,0)</f>
        <v>0</v>
      </c>
      <c r="T40" s="190" t="n">
        <f aca="false">VLOOKUP($C40,PalData!$A$2:$BU$139,43,0)</f>
        <v>5</v>
      </c>
      <c r="U40" s="188" t="n">
        <f aca="false">VLOOKUP($C40,PalData!$A$2:$BU$139,54,0)</f>
        <v>430</v>
      </c>
      <c r="V40" s="191" t="n">
        <f aca="false">VLOOKUP($C40,PalData!$A$2:$BU$139,19,0)</f>
        <v>100</v>
      </c>
      <c r="W40" s="191" t="n">
        <f aca="false">VLOOKUP($C40,PalData!$A$2:$BU$139,20,0)</f>
        <v>100</v>
      </c>
      <c r="X40" s="191" t="n">
        <f aca="false">VLOOKUP($C40,PalData!$A$2:$BU$139,21,0)</f>
        <v>90</v>
      </c>
      <c r="Y40" s="191" t="n">
        <f aca="false">VLOOKUP($C40,PalData!$A$2:$BU$139,22,0)</f>
        <v>90</v>
      </c>
      <c r="Z40" s="192" t="n">
        <f aca="false">VLOOKUP($C40,PalData!$A$2:$BU$139,28,0)</f>
        <v>6200</v>
      </c>
      <c r="AA40" s="193" t="n">
        <f aca="false" t="array" ref="AA40:AA40">INDEX(PalData,MATCH(C40,PalNames,0)+1,MATCH("Stamina",PalData_Header,0))</f>
        <v>100</v>
      </c>
      <c r="AB40" s="193" t="n">
        <f aca="false">VLOOKUP($C40,PalData!$A$2:$BU$139,32,0)</f>
        <v>100</v>
      </c>
      <c r="AC40" s="193" t="n">
        <f aca="false">VLOOKUP($C40,PalData!$A$2:$BU$139,33,0)</f>
        <v>500</v>
      </c>
      <c r="AD40" s="193" t="n">
        <f aca="false" t="array" ref="AD40:AD40">IF(INDEX(PalData,MATCH(C40,PalNames,0)+1,MATCH("Mount",PalData_Header,0)),INDEX(PalData,MATCH(C40,PalNames,0)+1,MATCH("RideSprintSpeed",PalData_Header,0)),)</f>
        <v>700</v>
      </c>
      <c r="AE40" s="193" t="n">
        <f aca="false" t="array" ref="AE40:AE40">IF(R40&gt;0, INDEX(PalData,MATCH(C40,PalNames,0)+1,MATCH("TransportSpeed",PalData_Header,0)),)</f>
        <v>275</v>
      </c>
      <c r="AF40" s="198" t="n">
        <f aca="false">VLOOKUP($C40,PalData!$A$2:$BU$139,26,0)</f>
        <v>1</v>
      </c>
      <c r="AG40" s="195" t="n">
        <f aca="false" t="array" ref="AG40:AG40">INDEX(PalData,MATCH(C40,PalNames,0)+1,MATCH("MaleProbability",PalData_Header,0))</f>
        <v>50</v>
      </c>
    </row>
    <row r="41" customFormat="false" ht="26.25" hidden="false" customHeight="true" outlineLevel="0" collapsed="false">
      <c r="A41" s="196" t="n">
        <f aca="false">VLOOKUP($C41,PalData!$A$2:$BU$139,9,0)</f>
        <v>33</v>
      </c>
      <c r="B41" s="197" t="str">
        <f aca="false" t="array" ref="B41:B41">INDEX(PalData,MATCH(C41,PalNames,0)+1,MATCH("ZukanIndexSuffix",PalData_Header,0))</f>
        <v>B</v>
      </c>
      <c r="C41" s="185" t="s">
        <v>107</v>
      </c>
      <c r="D41" s="186" t="n">
        <f aca="false">IFERROR(INDEX(PalData,MATCH(C41,PalNames,0)+1,MATCH("Image",PalData_Header,0)),)</f>
        <v>0</v>
      </c>
      <c r="E41" s="187" t="str">
        <f aca="false">IFERROR(__xludf.dummyfunction("SPLIT(VLOOKUP($C41,PalData!$A$2:$BU$139,13,0),""EPalElementType::"",0,1)"),"Electricity")</f>
        <v>Electricity</v>
      </c>
      <c r="F41" s="187" t="str">
        <f aca="false">IFERROR(__xludf.dummyfunction("if(SPLIT(VLOOKUP($C41,PalData!$A$2:$BU$139,14,0),""EPalElementType::"",0,1)=""None"","""",SPLIT(VLOOKUP($C41,PalData!$A$2:$BU$139,14,0),""EPalElementType::"",0,1))"),"")</f>
        <v/>
      </c>
      <c r="G41" s="188" t="str">
        <f aca="false">IF(VLOOKUP($C41,PalData!$A$2:$BU$139,48,0),"🌜","")</f>
        <v/>
      </c>
      <c r="H41" s="189" t="n">
        <f aca="false">VLOOKUP($C41,PalData!$A$2:$BU$139,55,0)</f>
        <v>0</v>
      </c>
      <c r="I41" s="189" t="n">
        <f aca="false">VLOOKUP($C41,PalData!$A$2:$BU$139,56,0)</f>
        <v>0</v>
      </c>
      <c r="J41" s="189" t="n">
        <f aca="false">VLOOKUP($C41,PalData!$A$2:$BU$139,57,0)</f>
        <v>0</v>
      </c>
      <c r="K41" s="189" t="n">
        <f aca="false">VLOOKUP($C41,PalData!$A$2:$BU$139,58,0)</f>
        <v>2</v>
      </c>
      <c r="L41" s="189" t="n">
        <f aca="false">VLOOKUP($C41,PalData!$A$2:$BU$139,59,0)</f>
        <v>2</v>
      </c>
      <c r="M41" s="189" t="n">
        <f aca="false">VLOOKUP($C41,PalData!$A$2:$BU$139,60,0)</f>
        <v>0</v>
      </c>
      <c r="N41" s="189" t="n">
        <f aca="false">VLOOKUP($C41,PalData!$A$2:$BU$139,61,0)</f>
        <v>2</v>
      </c>
      <c r="O41" s="189" t="n">
        <f aca="false">VLOOKUP($C41,PalData!$A$2:$BU$139,62,0)</f>
        <v>0</v>
      </c>
      <c r="P41" s="189" t="n">
        <f aca="false">VLOOKUP($C41,PalData!$A$2:$BU$139,64,0)</f>
        <v>0</v>
      </c>
      <c r="Q41" s="189" t="n">
        <f aca="false">VLOOKUP($C41,PalData!$A$2:$BU$139,65,0)</f>
        <v>0</v>
      </c>
      <c r="R41" s="189" t="n">
        <f aca="false">VLOOKUP($C41,PalData!$A$2:$BU$139,66,0)</f>
        <v>3</v>
      </c>
      <c r="S41" s="189" t="n">
        <f aca="false">VLOOKUP($C41,PalData!$A$2:$BU$139,67,0)</f>
        <v>0</v>
      </c>
      <c r="T41" s="190" t="n">
        <f aca="false">VLOOKUP($C41,PalData!$A$2:$BU$139,43,0)</f>
        <v>5</v>
      </c>
      <c r="U41" s="188" t="n">
        <f aca="false">VLOOKUP($C41,PalData!$A$2:$BU$139,54,0)</f>
        <v>390</v>
      </c>
      <c r="V41" s="191" t="n">
        <f aca="false">VLOOKUP($C41,PalData!$A$2:$BU$139,19,0)</f>
        <v>100</v>
      </c>
      <c r="W41" s="191" t="n">
        <f aca="false">VLOOKUP($C41,PalData!$A$2:$BU$139,20,0)</f>
        <v>100</v>
      </c>
      <c r="X41" s="191" t="n">
        <f aca="false">VLOOKUP($C41,PalData!$A$2:$BU$139,21,0)</f>
        <v>100</v>
      </c>
      <c r="Y41" s="191" t="n">
        <f aca="false">VLOOKUP($C41,PalData!$A$2:$BU$139,22,0)</f>
        <v>100</v>
      </c>
      <c r="Z41" s="192" t="n">
        <f aca="false">VLOOKUP($C41,PalData!$A$2:$BU$139,28,0)</f>
        <v>6610</v>
      </c>
      <c r="AA41" s="193" t="n">
        <f aca="false" t="array" ref="AA41:AA41">INDEX(PalData,MATCH(C41,PalNames,0)+1,MATCH("Stamina",PalData_Header,0))</f>
        <v>100</v>
      </c>
      <c r="AB41" s="193" t="n">
        <f aca="false">VLOOKUP($C41,PalData!$A$2:$BU$139,32,0)</f>
        <v>100</v>
      </c>
      <c r="AC41" s="193" t="n">
        <f aca="false">VLOOKUP($C41,PalData!$A$2:$BU$139,33,0)</f>
        <v>500</v>
      </c>
      <c r="AD41" s="193" t="n">
        <f aca="false" t="array" ref="AD41:AD41">IF(INDEX(PalData,MATCH(C41,PalNames,0)+1,MATCH("Mount",PalData_Header,0)),INDEX(PalData,MATCH(C41,PalNames,0)+1,MATCH("RideSprintSpeed",PalData_Header,0)),)</f>
        <v>700</v>
      </c>
      <c r="AE41" s="193" t="n">
        <f aca="false" t="array" ref="AE41:AE41">IF(R41&gt;0, INDEX(PalData,MATCH(C41,PalNames,0)+1,MATCH("TransportSpeed",PalData_Header,0)),)</f>
        <v>275</v>
      </c>
      <c r="AF41" s="198" t="n">
        <f aca="false">VLOOKUP($C41,PalData!$A$2:$BU$139,26,0)</f>
        <v>1</v>
      </c>
      <c r="AG41" s="195" t="n">
        <f aca="false" t="array" ref="AG41:AG41">INDEX(PalData,MATCH(C41,PalNames,0)+1,MATCH("MaleProbability",PalData_Header,0))</f>
        <v>50</v>
      </c>
    </row>
    <row r="42" customFormat="false" ht="26.25" hidden="false" customHeight="true" outlineLevel="0" collapsed="false">
      <c r="A42" s="196" t="n">
        <f aca="false">VLOOKUP($C42,PalData!$A$2:$BU$139,9,0)</f>
        <v>34</v>
      </c>
      <c r="B42" s="197" t="n">
        <f aca="false">INDEX(PalData,MATCH(C42,PalNames,0)+1,MATCH("ZukanIndexSuffix",PalData_Header,0))</f>
        <v>0</v>
      </c>
      <c r="C42" s="185" t="s">
        <v>151</v>
      </c>
      <c r="D42" s="186" t="n">
        <f aca="false">IFERROR(INDEX(PalData,MATCH(C42,PalNames,0)+1,MATCH("Image",PalData_Header,0)),)</f>
        <v>0</v>
      </c>
      <c r="E42" s="187" t="str">
        <f aca="false">IFERROR(__xludf.dummyfunction("SPLIT(VLOOKUP($C42,PalData!$A$2:$BU$139,13,0),""EPalElementType::"",0,1)"),"Normal")</f>
        <v>Normal</v>
      </c>
      <c r="F42" s="187" t="str">
        <f aca="false">IFERROR(__xludf.dummyfunction("if(SPLIT(VLOOKUP($C42,PalData!$A$2:$BU$139,14,0),""EPalElementType::"",0,1)=""None"","""",SPLIT(VLOOKUP($C42,PalData!$A$2:$BU$139,14,0),""EPalElementType::"",0,1))"),"")</f>
        <v/>
      </c>
      <c r="G42" s="188" t="str">
        <f aca="false">IF(VLOOKUP($C42,PalData!$A$2:$BU$139,48,0),"🌜","")</f>
        <v/>
      </c>
      <c r="H42" s="189" t="n">
        <f aca="false">VLOOKUP($C42,PalData!$A$2:$BU$139,55,0)</f>
        <v>0</v>
      </c>
      <c r="I42" s="189" t="n">
        <f aca="false">VLOOKUP($C42,PalData!$A$2:$BU$139,56,0)</f>
        <v>0</v>
      </c>
      <c r="J42" s="189" t="n">
        <f aca="false">VLOOKUP($C42,PalData!$A$2:$BU$139,57,0)</f>
        <v>0</v>
      </c>
      <c r="K42" s="189" t="n">
        <f aca="false">VLOOKUP($C42,PalData!$A$2:$BU$139,58,0)</f>
        <v>0</v>
      </c>
      <c r="L42" s="189" t="n">
        <f aca="false">VLOOKUP($C42,PalData!$A$2:$BU$139,59,0)</f>
        <v>0</v>
      </c>
      <c r="M42" s="189" t="n">
        <f aca="false">VLOOKUP($C42,PalData!$A$2:$BU$139,60,0)</f>
        <v>0</v>
      </c>
      <c r="N42" s="189" t="n">
        <f aca="false">VLOOKUP($C42,PalData!$A$2:$BU$139,61,0)</f>
        <v>0</v>
      </c>
      <c r="O42" s="189" t="n">
        <f aca="false">VLOOKUP($C42,PalData!$A$2:$BU$139,62,0)</f>
        <v>0</v>
      </c>
      <c r="P42" s="189" t="n">
        <f aca="false">VLOOKUP($C42,PalData!$A$2:$BU$139,64,0)</f>
        <v>0</v>
      </c>
      <c r="Q42" s="189" t="n">
        <f aca="false">VLOOKUP($C42,PalData!$A$2:$BU$139,65,0)</f>
        <v>0</v>
      </c>
      <c r="R42" s="189" t="n">
        <f aca="false">VLOOKUP($C42,PalData!$A$2:$BU$139,66,0)</f>
        <v>0</v>
      </c>
      <c r="S42" s="189" t="n">
        <f aca="false">VLOOKUP($C42,PalData!$A$2:$BU$139,67,0)</f>
        <v>1</v>
      </c>
      <c r="T42" s="190" t="n">
        <f aca="false">VLOOKUP($C42,PalData!$A$2:$BU$139,43,0)</f>
        <v>2</v>
      </c>
      <c r="U42" s="188" t="n">
        <f aca="false">VLOOKUP($C42,PalData!$A$2:$BU$139,54,0)</f>
        <v>1190</v>
      </c>
      <c r="V42" s="191" t="n">
        <f aca="false">VLOOKUP($C42,PalData!$A$2:$BU$139,19,0)</f>
        <v>70</v>
      </c>
      <c r="W42" s="191" t="n">
        <f aca="false">VLOOKUP($C42,PalData!$A$2:$BU$139,20,0)</f>
        <v>70</v>
      </c>
      <c r="X42" s="191" t="n">
        <f aca="false">VLOOKUP($C42,PalData!$A$2:$BU$139,21,0)</f>
        <v>70</v>
      </c>
      <c r="Y42" s="191" t="n">
        <f aca="false">VLOOKUP($C42,PalData!$A$2:$BU$139,22,0)</f>
        <v>90</v>
      </c>
      <c r="Z42" s="192" t="n">
        <f aca="false">VLOOKUP($C42,PalData!$A$2:$BU$139,28,0)</f>
        <v>1450</v>
      </c>
      <c r="AA42" s="193" t="n">
        <f aca="false" t="array" ref="AA42:AA42">INDEX(PalData,MATCH(C42,PalNames,0)+1,MATCH("Stamina",PalData_Header,0))</f>
        <v>100</v>
      </c>
      <c r="AB42" s="193" t="n">
        <f aca="false">VLOOKUP($C42,PalData!$A$2:$BU$139,32,0)</f>
        <v>100</v>
      </c>
      <c r="AC42" s="193" t="n">
        <f aca="false">VLOOKUP($C42,PalData!$A$2:$BU$139,33,0)</f>
        <v>300</v>
      </c>
      <c r="AD42" s="193" t="n">
        <f aca="false">IF(INDEX(PalData,MATCH(C42,PalNames,0)+1,MATCH("Mount",PalData_Header,0)),INDEX(PalData,MATCH(C42,PalNames,0)+1,MATCH("RideSprintSpeed",PalData_Header,0)),)</f>
        <v>0</v>
      </c>
      <c r="AE42" s="193" t="n">
        <f aca="false">IF(R42&gt;0, INDEX(PalData,MATCH(C42,PalNames,0)+1,MATCH("TransportSpeed",PalData_Header,0)),)</f>
        <v>0</v>
      </c>
      <c r="AF42" s="198" t="n">
        <f aca="false">VLOOKUP($C42,PalData!$A$2:$BU$139,26,0)</f>
        <v>1</v>
      </c>
      <c r="AG42" s="195" t="n">
        <f aca="false" t="array" ref="AG42:AG42">INDEX(PalData,MATCH(C42,PalNames,0)+1,MATCH("MaleProbability",PalData_Header,0))</f>
        <v>50</v>
      </c>
    </row>
    <row r="43" customFormat="false" ht="26.25" hidden="false" customHeight="true" outlineLevel="0" collapsed="false">
      <c r="A43" s="196" t="n">
        <f aca="false">VLOOKUP($C43,PalData!$A$2:$BU$139,9,0)</f>
        <v>35</v>
      </c>
      <c r="B43" s="197" t="n">
        <f aca="false">INDEX(PalData,MATCH(C43,PalNames,0)+1,MATCH("ZukanIndexSuffix",PalData_Header,0))</f>
        <v>0</v>
      </c>
      <c r="C43" s="185" t="s">
        <v>31</v>
      </c>
      <c r="D43" s="186" t="n">
        <f aca="false">IFERROR(INDEX(PalData,MATCH(C43,PalNames,0)+1,MATCH("Image",PalData_Header,0)),)</f>
        <v>0</v>
      </c>
      <c r="E43" s="187" t="str">
        <f aca="false">IFERROR(__xludf.dummyfunction("SPLIT(VLOOKUP($C43,PalData!$A$2:$BU$139,13,0),""EPalElementType::"",0,1)"),"Leaf")</f>
        <v>Leaf</v>
      </c>
      <c r="F43" s="187" t="str">
        <f aca="false">IFERROR(__xludf.dummyfunction("if(SPLIT(VLOOKUP($C43,PalData!$A$2:$BU$139,14,0),""EPalElementType::"",0,1)=""None"","""",SPLIT(VLOOKUP($C43,PalData!$A$2:$BU$139,14,0),""EPalElementType::"",0,1))"),"")</f>
        <v/>
      </c>
      <c r="G43" s="188" t="str">
        <f aca="false">IF(VLOOKUP($C43,PalData!$A$2:$BU$139,48,0),"🌜","")</f>
        <v/>
      </c>
      <c r="H43" s="189" t="n">
        <f aca="false">VLOOKUP($C43,PalData!$A$2:$BU$139,55,0)</f>
        <v>0</v>
      </c>
      <c r="I43" s="189" t="n">
        <f aca="false">VLOOKUP($C43,PalData!$A$2:$BU$139,56,0)</f>
        <v>0</v>
      </c>
      <c r="J43" s="189" t="n">
        <f aca="false">VLOOKUP($C43,PalData!$A$2:$BU$139,57,0)</f>
        <v>2</v>
      </c>
      <c r="K43" s="189" t="n">
        <f aca="false">VLOOKUP($C43,PalData!$A$2:$BU$139,58,0)</f>
        <v>0</v>
      </c>
      <c r="L43" s="189" t="n">
        <f aca="false">VLOOKUP($C43,PalData!$A$2:$BU$139,59,0)</f>
        <v>0</v>
      </c>
      <c r="M43" s="189" t="n">
        <f aca="false">VLOOKUP($C43,PalData!$A$2:$BU$139,60,0)</f>
        <v>0</v>
      </c>
      <c r="N43" s="189" t="n">
        <f aca="false">VLOOKUP($C43,PalData!$A$2:$BU$139,61,0)</f>
        <v>0</v>
      </c>
      <c r="O43" s="189" t="n">
        <f aca="false">VLOOKUP($C43,PalData!$A$2:$BU$139,62,0)</f>
        <v>0</v>
      </c>
      <c r="P43" s="189" t="n">
        <f aca="false">VLOOKUP($C43,PalData!$A$2:$BU$139,64,0)</f>
        <v>0</v>
      </c>
      <c r="Q43" s="189" t="n">
        <f aca="false">VLOOKUP($C43,PalData!$A$2:$BU$139,65,0)</f>
        <v>0</v>
      </c>
      <c r="R43" s="189" t="n">
        <f aca="false">VLOOKUP($C43,PalData!$A$2:$BU$139,66,0)</f>
        <v>0</v>
      </c>
      <c r="S43" s="189" t="n">
        <f aca="false">VLOOKUP($C43,PalData!$A$2:$BU$139,67,0)</f>
        <v>1</v>
      </c>
      <c r="T43" s="190" t="n">
        <f aca="false">VLOOKUP($C43,PalData!$A$2:$BU$139,43,0)</f>
        <v>4</v>
      </c>
      <c r="U43" s="188" t="n">
        <f aca="false">VLOOKUP($C43,PalData!$A$2:$BU$139,54,0)</f>
        <v>930</v>
      </c>
      <c r="V43" s="191" t="n">
        <f aca="false">VLOOKUP($C43,PalData!$A$2:$BU$139,19,0)</f>
        <v>100</v>
      </c>
      <c r="W43" s="191" t="n">
        <f aca="false">VLOOKUP($C43,PalData!$A$2:$BU$139,20,0)</f>
        <v>70</v>
      </c>
      <c r="X43" s="191" t="n">
        <f aca="false">VLOOKUP($C43,PalData!$A$2:$BU$139,21,0)</f>
        <v>70</v>
      </c>
      <c r="Y43" s="191" t="n">
        <f aca="false">VLOOKUP($C43,PalData!$A$2:$BU$139,22,0)</f>
        <v>90</v>
      </c>
      <c r="Z43" s="192" t="n">
        <f aca="false">VLOOKUP($C43,PalData!$A$2:$BU$139,28,0)</f>
        <v>2510</v>
      </c>
      <c r="AA43" s="193" t="n">
        <f aca="false" t="array" ref="AA43:AA43">INDEX(PalData,MATCH(C43,PalNames,0)+1,MATCH("Stamina",PalData_Header,0))</f>
        <v>100</v>
      </c>
      <c r="AB43" s="193" t="n">
        <f aca="false">VLOOKUP($C43,PalData!$A$2:$BU$139,32,0)</f>
        <v>70</v>
      </c>
      <c r="AC43" s="193" t="n">
        <f aca="false">VLOOKUP($C43,PalData!$A$2:$BU$139,33,0)</f>
        <v>400</v>
      </c>
      <c r="AD43" s="193" t="n">
        <f aca="false">IF(INDEX(PalData,MATCH(C43,PalNames,0)+1,MATCH("Mount",PalData_Header,0)),INDEX(PalData,MATCH(C43,PalNames,0)+1,MATCH("RideSprintSpeed",PalData_Header,0)),)</f>
        <v>0</v>
      </c>
      <c r="AE43" s="193" t="n">
        <f aca="false">IF(R43&gt;0, INDEX(PalData,MATCH(C43,PalNames,0)+1,MATCH("TransportSpeed",PalData_Header,0)),)</f>
        <v>0</v>
      </c>
      <c r="AF43" s="198" t="n">
        <f aca="false">VLOOKUP($C43,PalData!$A$2:$BU$139,26,0)</f>
        <v>1</v>
      </c>
      <c r="AG43" s="195" t="n">
        <f aca="false" t="array" ref="AG43:AG43">INDEX(PalData,MATCH(C43,PalNames,0)+1,MATCH("MaleProbability",PalData_Header,0))</f>
        <v>50</v>
      </c>
    </row>
    <row r="44" customFormat="false" ht="26.25" hidden="false" customHeight="true" outlineLevel="0" collapsed="false">
      <c r="A44" s="196" t="n">
        <f aca="false">VLOOKUP($C44,PalData!$A$2:$BU$139,9,0)</f>
        <v>36</v>
      </c>
      <c r="B44" s="197" t="n">
        <f aca="false">INDEX(PalData,MATCH(C44,PalNames,0)+1,MATCH("ZukanIndexSuffix",PalData_Header,0))</f>
        <v>0</v>
      </c>
      <c r="C44" s="185" t="s">
        <v>104</v>
      </c>
      <c r="D44" s="186" t="n">
        <f aca="false">IFERROR(INDEX(PalData,MATCH(C44,PalNames,0)+1,MATCH("Image",PalData_Header,0)),)</f>
        <v>0</v>
      </c>
      <c r="E44" s="187" t="str">
        <f aca="false">IFERROR(__xludf.dummyfunction("SPLIT(VLOOKUP($C44,PalData!$A$2:$BU$139,13,0),""EPalElementType::"",0,1)"),"Normal")</f>
        <v>Normal</v>
      </c>
      <c r="F44" s="187" t="str">
        <f aca="false">IFERROR(__xludf.dummyfunction("if(SPLIT(VLOOKUP($C44,PalData!$A$2:$BU$139,14,0),""EPalElementType::"",0,1)=""None"","""",SPLIT(VLOOKUP($C44,PalData!$A$2:$BU$139,14,0),""EPalElementType::"",0,1))"),"")</f>
        <v/>
      </c>
      <c r="G44" s="188" t="str">
        <f aca="false">IF(VLOOKUP($C44,PalData!$A$2:$BU$139,48,0),"🌜","")</f>
        <v/>
      </c>
      <c r="H44" s="189" t="n">
        <f aca="false">VLOOKUP($C44,PalData!$A$2:$BU$139,55,0)</f>
        <v>0</v>
      </c>
      <c r="I44" s="189" t="n">
        <f aca="false">VLOOKUP($C44,PalData!$A$2:$BU$139,56,0)</f>
        <v>0</v>
      </c>
      <c r="J44" s="189" t="n">
        <f aca="false">VLOOKUP($C44,PalData!$A$2:$BU$139,57,0)</f>
        <v>0</v>
      </c>
      <c r="K44" s="189" t="n">
        <f aca="false">VLOOKUP($C44,PalData!$A$2:$BU$139,58,0)</f>
        <v>0</v>
      </c>
      <c r="L44" s="189" t="n">
        <f aca="false">VLOOKUP($C44,PalData!$A$2:$BU$139,59,0)</f>
        <v>0</v>
      </c>
      <c r="M44" s="189" t="n">
        <f aca="false">VLOOKUP($C44,PalData!$A$2:$BU$139,60,0)</f>
        <v>0</v>
      </c>
      <c r="N44" s="189" t="n">
        <f aca="false">VLOOKUP($C44,PalData!$A$2:$BU$139,61,0)</f>
        <v>0</v>
      </c>
      <c r="O44" s="189" t="n">
        <f aca="false">VLOOKUP($C44,PalData!$A$2:$BU$139,62,0)</f>
        <v>0</v>
      </c>
      <c r="P44" s="189" t="n">
        <f aca="false">VLOOKUP($C44,PalData!$A$2:$BU$139,64,0)</f>
        <v>0</v>
      </c>
      <c r="Q44" s="189" t="n">
        <f aca="false">VLOOKUP($C44,PalData!$A$2:$BU$139,65,0)</f>
        <v>0</v>
      </c>
      <c r="R44" s="189" t="n">
        <f aca="false">VLOOKUP($C44,PalData!$A$2:$BU$139,66,0)</f>
        <v>0</v>
      </c>
      <c r="S44" s="189" t="n">
        <f aca="false">VLOOKUP($C44,PalData!$A$2:$BU$139,67,0)</f>
        <v>1</v>
      </c>
      <c r="T44" s="190" t="n">
        <f aca="false">VLOOKUP($C44,PalData!$A$2:$BU$139,43,0)</f>
        <v>3</v>
      </c>
      <c r="U44" s="188" t="n">
        <f aca="false">VLOOKUP($C44,PalData!$A$2:$BU$139,54,0)</f>
        <v>890</v>
      </c>
      <c r="V44" s="191" t="n">
        <f aca="false">VLOOKUP($C44,PalData!$A$2:$BU$139,19,0)</f>
        <v>90</v>
      </c>
      <c r="W44" s="191" t="n">
        <f aca="false">VLOOKUP($C44,PalData!$A$2:$BU$139,20,0)</f>
        <v>90</v>
      </c>
      <c r="X44" s="191" t="n">
        <f aca="false">VLOOKUP($C44,PalData!$A$2:$BU$139,21,0)</f>
        <v>75</v>
      </c>
      <c r="Y44" s="191" t="n">
        <f aca="false">VLOOKUP($C44,PalData!$A$2:$BU$139,22,0)</f>
        <v>90</v>
      </c>
      <c r="Z44" s="192" t="n">
        <f aca="false">VLOOKUP($C44,PalData!$A$2:$BU$139,28,0)</f>
        <v>2740</v>
      </c>
      <c r="AA44" s="193" t="n">
        <f aca="false" t="array" ref="AA44:AA44">INDEX(PalData,MATCH(C44,PalNames,0)+1,MATCH("Stamina",PalData_Header,0))</f>
        <v>100</v>
      </c>
      <c r="AB44" s="193" t="n">
        <f aca="false">VLOOKUP($C44,PalData!$A$2:$BU$139,32,0)</f>
        <v>62</v>
      </c>
      <c r="AC44" s="193" t="n">
        <f aca="false">VLOOKUP($C44,PalData!$A$2:$BU$139,33,0)</f>
        <v>460</v>
      </c>
      <c r="AD44" s="193" t="n">
        <f aca="false" t="array" ref="AD44:AD44">IF(INDEX(PalData,MATCH(C44,PalNames,0)+1,MATCH("Mount",PalData_Header,0)),INDEX(PalData,MATCH(C44,PalNames,0)+1,MATCH("RideSprintSpeed",PalData_Header,0)),)</f>
        <v>800</v>
      </c>
      <c r="AE44" s="193" t="n">
        <f aca="false">IF(R44&gt;0, INDEX(PalData,MATCH(C44,PalNames,0)+1,MATCH("TransportSpeed",PalData_Header,0)),)</f>
        <v>0</v>
      </c>
      <c r="AF44" s="198" t="n">
        <f aca="false">VLOOKUP($C44,PalData!$A$2:$BU$139,26,0)</f>
        <v>1</v>
      </c>
      <c r="AG44" s="195" t="n">
        <f aca="false" t="array" ref="AG44:AG44">INDEX(PalData,MATCH(C44,PalNames,0)+1,MATCH("MaleProbability",PalData_Header,0))</f>
        <v>50</v>
      </c>
    </row>
    <row r="45" customFormat="false" ht="26.25" hidden="false" customHeight="true" outlineLevel="0" collapsed="false">
      <c r="A45" s="196" t="n">
        <f aca="false">VLOOKUP($C45,PalData!$A$2:$BU$139,9,0)</f>
        <v>37</v>
      </c>
      <c r="B45" s="197" t="n">
        <f aca="false">INDEX(PalData,MATCH(C45,PalNames,0)+1,MATCH("ZukanIndexSuffix",PalData_Header,0))</f>
        <v>0</v>
      </c>
      <c r="C45" s="185" t="s">
        <v>48</v>
      </c>
      <c r="D45" s="186" t="n">
        <f aca="false">IFERROR(INDEX(PalData,MATCH(C45,PalNames,0)+1,MATCH("Image",PalData_Header,0)),)</f>
        <v>0</v>
      </c>
      <c r="E45" s="187" t="str">
        <f aca="false">IFERROR(__xludf.dummyfunction("SPLIT(VLOOKUP($C45,PalData!$A$2:$BU$139,13,0),""EPalElementType::"",0,1)"),"Normal")</f>
        <v>Normal</v>
      </c>
      <c r="F45" s="187" t="str">
        <f aca="false">IFERROR(__xludf.dummyfunction("if(SPLIT(VLOOKUP($C45,PalData!$A$2:$BU$139,14,0),""EPalElementType::"",0,1)=""None"","""",SPLIT(VLOOKUP($C45,PalData!$A$2:$BU$139,14,0),""EPalElementType::"",0,1))"),"")</f>
        <v/>
      </c>
      <c r="G45" s="188" t="str">
        <f aca="false">IF(VLOOKUP($C45,PalData!$A$2:$BU$139,48,0),"🌜","")</f>
        <v/>
      </c>
      <c r="H45" s="189" t="n">
        <f aca="false">VLOOKUP($C45,PalData!$A$2:$BU$139,55,0)</f>
        <v>0</v>
      </c>
      <c r="I45" s="189" t="n">
        <f aca="false">VLOOKUP($C45,PalData!$A$2:$BU$139,56,0)</f>
        <v>0</v>
      </c>
      <c r="J45" s="189" t="n">
        <f aca="false">VLOOKUP($C45,PalData!$A$2:$BU$139,57,0)</f>
        <v>0</v>
      </c>
      <c r="K45" s="189" t="n">
        <f aca="false">VLOOKUP($C45,PalData!$A$2:$BU$139,58,0)</f>
        <v>0</v>
      </c>
      <c r="L45" s="189" t="n">
        <f aca="false">VLOOKUP($C45,PalData!$A$2:$BU$139,59,0)</f>
        <v>0</v>
      </c>
      <c r="M45" s="189" t="n">
        <f aca="false">VLOOKUP($C45,PalData!$A$2:$BU$139,60,0)</f>
        <v>0</v>
      </c>
      <c r="N45" s="189" t="n">
        <f aca="false">VLOOKUP($C45,PalData!$A$2:$BU$139,61,0)</f>
        <v>2</v>
      </c>
      <c r="O45" s="189" t="n">
        <f aca="false">VLOOKUP($C45,PalData!$A$2:$BU$139,62,0)</f>
        <v>0</v>
      </c>
      <c r="P45" s="189" t="n">
        <f aca="false">VLOOKUP($C45,PalData!$A$2:$BU$139,64,0)</f>
        <v>0</v>
      </c>
      <c r="Q45" s="189" t="n">
        <f aca="false">VLOOKUP($C45,PalData!$A$2:$BU$139,65,0)</f>
        <v>0</v>
      </c>
      <c r="R45" s="189" t="n">
        <f aca="false">VLOOKUP($C45,PalData!$A$2:$BU$139,66,0)</f>
        <v>0</v>
      </c>
      <c r="S45" s="189" t="n">
        <f aca="false">VLOOKUP($C45,PalData!$A$2:$BU$139,67,0)</f>
        <v>0</v>
      </c>
      <c r="T45" s="190" t="n">
        <f aca="false">VLOOKUP($C45,PalData!$A$2:$BU$139,43,0)</f>
        <v>5</v>
      </c>
      <c r="U45" s="188" t="n">
        <f aca="false">VLOOKUP($C45,PalData!$A$2:$BU$139,54,0)</f>
        <v>920</v>
      </c>
      <c r="V45" s="191" t="n">
        <f aca="false">VLOOKUP($C45,PalData!$A$2:$BU$139,19,0)</f>
        <v>95</v>
      </c>
      <c r="W45" s="191" t="n">
        <f aca="false">VLOOKUP($C45,PalData!$A$2:$BU$139,20,0)</f>
        <v>70</v>
      </c>
      <c r="X45" s="191" t="n">
        <f aca="false">VLOOKUP($C45,PalData!$A$2:$BU$139,21,0)</f>
        <v>80</v>
      </c>
      <c r="Y45" s="191" t="n">
        <f aca="false">VLOOKUP($C45,PalData!$A$2:$BU$139,22,0)</f>
        <v>80</v>
      </c>
      <c r="Z45" s="192" t="n">
        <f aca="false">VLOOKUP($C45,PalData!$A$2:$BU$139,28,0)</f>
        <v>2620</v>
      </c>
      <c r="AA45" s="193" t="n">
        <f aca="false" t="array" ref="AA45:AA45">INDEX(PalData,MATCH(C45,PalNames,0)+1,MATCH("Stamina",PalData_Header,0))</f>
        <v>100</v>
      </c>
      <c r="AB45" s="193" t="n">
        <f aca="false">VLOOKUP($C45,PalData!$A$2:$BU$139,32,0)</f>
        <v>120</v>
      </c>
      <c r="AC45" s="193" t="n">
        <f aca="false">VLOOKUP($C45,PalData!$A$2:$BU$139,33,0)</f>
        <v>700</v>
      </c>
      <c r="AD45" s="193" t="n">
        <f aca="false" t="array" ref="AD45:AD45">IF(INDEX(PalData,MATCH(C45,PalNames,0)+1,MATCH("Mount",PalData_Header,0)),INDEX(PalData,MATCH(C45,PalNames,0)+1,MATCH("RideSprintSpeed",PalData_Header,0)),)</f>
        <v>900</v>
      </c>
      <c r="AE45" s="193" t="n">
        <f aca="false">IF(R45&gt;0, INDEX(PalData,MATCH(C45,PalNames,0)+1,MATCH("TransportSpeed",PalData_Header,0)),)</f>
        <v>0</v>
      </c>
      <c r="AF45" s="198" t="n">
        <f aca="false">VLOOKUP($C45,PalData!$A$2:$BU$139,26,0)</f>
        <v>1</v>
      </c>
      <c r="AG45" s="195" t="n">
        <f aca="false" t="array" ref="AG45:AG45">INDEX(PalData,MATCH(C45,PalNames,0)+1,MATCH("MaleProbability",PalData_Header,0))</f>
        <v>50</v>
      </c>
    </row>
    <row r="46" customFormat="false" ht="26.25" hidden="false" customHeight="true" outlineLevel="0" collapsed="false">
      <c r="A46" s="196" t="n">
        <f aca="false">VLOOKUP($C46,PalData!$A$2:$BU$139,9,0)</f>
        <v>37</v>
      </c>
      <c r="B46" s="197" t="str">
        <f aca="false" t="array" ref="B46:B46">INDEX(PalData,MATCH(C46,PalNames,0)+1,MATCH("ZukanIndexSuffix",PalData_Header,0))</f>
        <v>B</v>
      </c>
      <c r="C46" s="185" t="s">
        <v>49</v>
      </c>
      <c r="D46" s="186" t="n">
        <f aca="false">IFERROR(INDEX(PalData,MATCH(C46,PalNames,0)+1,MATCH("Image",PalData_Header,0)),)</f>
        <v>0</v>
      </c>
      <c r="E46" s="187" t="str">
        <f aca="false">IFERROR(__xludf.dummyfunction("SPLIT(VLOOKUP($C46,PalData!$A$2:$BU$139,13,0),""EPalElementType::"",0,1)"),"Earth")</f>
        <v>Earth</v>
      </c>
      <c r="F46" s="187" t="str">
        <f aca="false">IFERROR(__xludf.dummyfunction("if(SPLIT(VLOOKUP($C46,PalData!$A$2:$BU$139,14,0),""EPalElementType::"",0,1)=""None"","""",SPLIT(VLOOKUP($C46,PalData!$A$2:$BU$139,14,0),""EPalElementType::"",0,1))"),"")</f>
        <v/>
      </c>
      <c r="G46" s="188" t="str">
        <f aca="false">IF(VLOOKUP($C46,PalData!$A$2:$BU$139,48,0),"🌜","")</f>
        <v/>
      </c>
      <c r="H46" s="189" t="n">
        <f aca="false">VLOOKUP($C46,PalData!$A$2:$BU$139,55,0)</f>
        <v>0</v>
      </c>
      <c r="I46" s="189" t="n">
        <f aca="false">VLOOKUP($C46,PalData!$A$2:$BU$139,56,0)</f>
        <v>0</v>
      </c>
      <c r="J46" s="189" t="n">
        <f aca="false">VLOOKUP($C46,PalData!$A$2:$BU$139,57,0)</f>
        <v>0</v>
      </c>
      <c r="K46" s="189" t="n">
        <f aca="false">VLOOKUP($C46,PalData!$A$2:$BU$139,58,0)</f>
        <v>0</v>
      </c>
      <c r="L46" s="189" t="n">
        <f aca="false">VLOOKUP($C46,PalData!$A$2:$BU$139,59,0)</f>
        <v>0</v>
      </c>
      <c r="M46" s="189" t="n">
        <f aca="false">VLOOKUP($C46,PalData!$A$2:$BU$139,60,0)</f>
        <v>0</v>
      </c>
      <c r="N46" s="189" t="n">
        <f aca="false">VLOOKUP($C46,PalData!$A$2:$BU$139,61,0)</f>
        <v>2</v>
      </c>
      <c r="O46" s="189" t="n">
        <f aca="false">VLOOKUP($C46,PalData!$A$2:$BU$139,62,0)</f>
        <v>0</v>
      </c>
      <c r="P46" s="189" t="n">
        <f aca="false">VLOOKUP($C46,PalData!$A$2:$BU$139,64,0)</f>
        <v>0</v>
      </c>
      <c r="Q46" s="189" t="n">
        <f aca="false">VLOOKUP($C46,PalData!$A$2:$BU$139,65,0)</f>
        <v>0</v>
      </c>
      <c r="R46" s="189" t="n">
        <f aca="false">VLOOKUP($C46,PalData!$A$2:$BU$139,66,0)</f>
        <v>0</v>
      </c>
      <c r="S46" s="189" t="n">
        <f aca="false">VLOOKUP($C46,PalData!$A$2:$BU$139,67,0)</f>
        <v>0</v>
      </c>
      <c r="T46" s="190" t="n">
        <f aca="false">VLOOKUP($C46,PalData!$A$2:$BU$139,43,0)</f>
        <v>5</v>
      </c>
      <c r="U46" s="188" t="n">
        <f aca="false">VLOOKUP($C46,PalData!$A$2:$BU$139,54,0)</f>
        <v>900</v>
      </c>
      <c r="V46" s="191" t="n">
        <f aca="false">VLOOKUP($C46,PalData!$A$2:$BU$139,19,0)</f>
        <v>95</v>
      </c>
      <c r="W46" s="191" t="n">
        <f aca="false">VLOOKUP($C46,PalData!$A$2:$BU$139,20,0)</f>
        <v>70</v>
      </c>
      <c r="X46" s="191" t="n">
        <f aca="false">VLOOKUP($C46,PalData!$A$2:$BU$139,21,0)</f>
        <v>80</v>
      </c>
      <c r="Y46" s="191" t="n">
        <f aca="false">VLOOKUP($C46,PalData!$A$2:$BU$139,22,0)</f>
        <v>80</v>
      </c>
      <c r="Z46" s="192" t="n">
        <f aca="false">VLOOKUP($C46,PalData!$A$2:$BU$139,28,0)</f>
        <v>2680</v>
      </c>
      <c r="AA46" s="193" t="n">
        <f aca="false" t="array" ref="AA46:AA46">INDEX(PalData,MATCH(C46,PalNames,0)+1,MATCH("Stamina",PalData_Header,0))</f>
        <v>100</v>
      </c>
      <c r="AB46" s="193" t="n">
        <f aca="false">VLOOKUP($C46,PalData!$A$2:$BU$139,32,0)</f>
        <v>120</v>
      </c>
      <c r="AC46" s="193" t="n">
        <f aca="false">VLOOKUP($C46,PalData!$A$2:$BU$139,33,0)</f>
        <v>700</v>
      </c>
      <c r="AD46" s="193" t="n">
        <f aca="false" t="array" ref="AD46:AD46">IF(INDEX(PalData,MATCH(C46,PalNames,0)+1,MATCH("Mount",PalData_Header,0)),INDEX(PalData,MATCH(C46,PalNames,0)+1,MATCH("RideSprintSpeed",PalData_Header,0)),)</f>
        <v>900</v>
      </c>
      <c r="AE46" s="193" t="n">
        <f aca="false">IF(R46&gt;0, INDEX(PalData,MATCH(C46,PalNames,0)+1,MATCH("TransportSpeed",PalData_Header,0)),)</f>
        <v>0</v>
      </c>
      <c r="AF46" s="198" t="n">
        <f aca="false">VLOOKUP($C46,PalData!$A$2:$BU$139,26,0)</f>
        <v>1</v>
      </c>
      <c r="AG46" s="195" t="n">
        <f aca="false" t="array" ref="AG46:AG46">INDEX(PalData,MATCH(C46,PalNames,0)+1,MATCH("MaleProbability",PalData_Header,0))</f>
        <v>50</v>
      </c>
    </row>
    <row r="47" customFormat="false" ht="26.25" hidden="false" customHeight="true" outlineLevel="0" collapsed="false">
      <c r="A47" s="196" t="n">
        <f aca="false">VLOOKUP($C47,PalData!$A$2:$BU$139,9,0)</f>
        <v>38</v>
      </c>
      <c r="B47" s="197" t="n">
        <f aca="false">INDEX(PalData,MATCH(C47,PalNames,0)+1,MATCH("ZukanIndexSuffix",PalData_Header,0))</f>
        <v>0</v>
      </c>
      <c r="C47" s="185" t="s">
        <v>110</v>
      </c>
      <c r="D47" s="186" t="n">
        <f aca="false">IFERROR(INDEX(PalData,MATCH(C47,PalNames,0)+1,MATCH("Image",PalData_Header,0)),)</f>
        <v>0</v>
      </c>
      <c r="E47" s="187" t="str">
        <f aca="false">IFERROR(__xludf.dummyfunction("SPLIT(VLOOKUP($C47,PalData!$A$2:$BU$139,13,0),""EPalElementType::"",0,1)"),"Normal")</f>
        <v>Normal</v>
      </c>
      <c r="F47" s="187" t="str">
        <f aca="false">IFERROR(__xludf.dummyfunction("if(SPLIT(VLOOKUP($C47,PalData!$A$2:$BU$139,14,0),""EPalElementType::"",0,1)=""None"","""",SPLIT(VLOOKUP($C47,PalData!$A$2:$BU$139,14,0),""EPalElementType::"",0,1))"),"")</f>
        <v/>
      </c>
      <c r="G47" s="188" t="str">
        <f aca="false">IF(VLOOKUP($C47,PalData!$A$2:$BU$139,48,0),"🌜","")</f>
        <v/>
      </c>
      <c r="H47" s="189" t="n">
        <f aca="false">VLOOKUP($C47,PalData!$A$2:$BU$139,55,0)</f>
        <v>0</v>
      </c>
      <c r="I47" s="189" t="n">
        <f aca="false">VLOOKUP($C47,PalData!$A$2:$BU$139,56,0)</f>
        <v>0</v>
      </c>
      <c r="J47" s="189" t="n">
        <f aca="false">VLOOKUP($C47,PalData!$A$2:$BU$139,57,0)</f>
        <v>0</v>
      </c>
      <c r="K47" s="189" t="n">
        <f aca="false">VLOOKUP($C47,PalData!$A$2:$BU$139,58,0)</f>
        <v>0</v>
      </c>
      <c r="L47" s="189" t="n">
        <f aca="false">VLOOKUP($C47,PalData!$A$2:$BU$139,59,0)</f>
        <v>0</v>
      </c>
      <c r="M47" s="189" t="n">
        <f aca="false">VLOOKUP($C47,PalData!$A$2:$BU$139,60,0)</f>
        <v>2</v>
      </c>
      <c r="N47" s="189" t="n">
        <f aca="false">VLOOKUP($C47,PalData!$A$2:$BU$139,61,0)</f>
        <v>0</v>
      </c>
      <c r="O47" s="189" t="n">
        <f aca="false">VLOOKUP($C47,PalData!$A$2:$BU$139,62,0)</f>
        <v>0</v>
      </c>
      <c r="P47" s="189" t="n">
        <f aca="false">VLOOKUP($C47,PalData!$A$2:$BU$139,64,0)</f>
        <v>0</v>
      </c>
      <c r="Q47" s="189" t="n">
        <f aca="false">VLOOKUP($C47,PalData!$A$2:$BU$139,65,0)</f>
        <v>0</v>
      </c>
      <c r="R47" s="189" t="n">
        <f aca="false">VLOOKUP($C47,PalData!$A$2:$BU$139,66,0)</f>
        <v>0</v>
      </c>
      <c r="S47" s="189" t="n">
        <f aca="false">VLOOKUP($C47,PalData!$A$2:$BU$139,67,0)</f>
        <v>0</v>
      </c>
      <c r="T47" s="190" t="n">
        <f aca="false">VLOOKUP($C47,PalData!$A$2:$BU$139,43,0)</f>
        <v>7</v>
      </c>
      <c r="U47" s="188" t="n">
        <f aca="false">VLOOKUP($C47,PalData!$A$2:$BU$139,54,0)</f>
        <v>420</v>
      </c>
      <c r="V47" s="191" t="n">
        <f aca="false">VLOOKUP($C47,PalData!$A$2:$BU$139,19,0)</f>
        <v>100</v>
      </c>
      <c r="W47" s="191" t="n">
        <f aca="false">VLOOKUP($C47,PalData!$A$2:$BU$139,20,0)</f>
        <v>100</v>
      </c>
      <c r="X47" s="191" t="n">
        <f aca="false">VLOOKUP($C47,PalData!$A$2:$BU$139,21,0)</f>
        <v>95</v>
      </c>
      <c r="Y47" s="191" t="n">
        <f aca="false">VLOOKUP($C47,PalData!$A$2:$BU$139,22,0)</f>
        <v>80</v>
      </c>
      <c r="Z47" s="192" t="n">
        <f aca="false">VLOOKUP($C47,PalData!$A$2:$BU$139,28,0)</f>
        <v>6300</v>
      </c>
      <c r="AA47" s="193" t="n">
        <f aca="false" t="array" ref="AA47:AA47">INDEX(PalData,MATCH(C47,PalNames,0)+1,MATCH("Stamina",PalData_Header,0))</f>
        <v>100</v>
      </c>
      <c r="AB47" s="193" t="n">
        <f aca="false">VLOOKUP($C47,PalData!$A$2:$BU$139,32,0)</f>
        <v>150</v>
      </c>
      <c r="AC47" s="193" t="n">
        <f aca="false">VLOOKUP($C47,PalData!$A$2:$BU$139,33,0)</f>
        <v>600</v>
      </c>
      <c r="AD47" s="193" t="n">
        <f aca="false" t="array" ref="AD47:AD47">IF(INDEX(PalData,MATCH(C47,PalNames,0)+1,MATCH("Mount",PalData_Header,0)),INDEX(PalData,MATCH(C47,PalNames,0)+1,MATCH("RideSprintSpeed",PalData_Header,0)),)</f>
        <v>750</v>
      </c>
      <c r="AE47" s="193" t="n">
        <f aca="false">IF(R47&gt;0, INDEX(PalData,MATCH(C47,PalNames,0)+1,MATCH("TransportSpeed",PalData_Header,0)),)</f>
        <v>0</v>
      </c>
      <c r="AF47" s="198" t="n">
        <f aca="false">VLOOKUP($C47,PalData!$A$2:$BU$139,26,0)</f>
        <v>1</v>
      </c>
      <c r="AG47" s="195" t="n">
        <f aca="false" t="array" ref="AG47:AG47">INDEX(PalData,MATCH(C47,PalNames,0)+1,MATCH("MaleProbability",PalData_Header,0))</f>
        <v>50</v>
      </c>
    </row>
    <row r="48" customFormat="false" ht="26.25" hidden="false" customHeight="true" outlineLevel="0" collapsed="false">
      <c r="A48" s="196" t="n">
        <f aca="false">VLOOKUP($C48,PalData!$A$2:$BU$139,9,0)</f>
        <v>39</v>
      </c>
      <c r="B48" s="197" t="n">
        <f aca="false">INDEX(PalData,MATCH(C48,PalNames,0)+1,MATCH("ZukanIndexSuffix",PalData_Header,0))</f>
        <v>0</v>
      </c>
      <c r="C48" s="185" t="s">
        <v>125</v>
      </c>
      <c r="D48" s="186" t="n">
        <f aca="false">IFERROR(INDEX(PalData,MATCH(C48,PalNames,0)+1,MATCH("Image",PalData_Header,0)),)</f>
        <v>0</v>
      </c>
      <c r="E48" s="187" t="str">
        <f aca="false">IFERROR(__xludf.dummyfunction("SPLIT(VLOOKUP($C48,PalData!$A$2:$BU$139,13,0),""EPalElementType::"",0,1)"),"Normal")</f>
        <v>Normal</v>
      </c>
      <c r="F48" s="187" t="str">
        <f aca="false">IFERROR(__xludf.dummyfunction("if(SPLIT(VLOOKUP($C48,PalData!$A$2:$BU$139,14,0),""EPalElementType::"",0,1)=""None"","""",SPLIT(VLOOKUP($C48,PalData!$A$2:$BU$139,14,0),""EPalElementType::"",0,1))"),"")</f>
        <v/>
      </c>
      <c r="G48" s="188" t="str">
        <f aca="false">IF(VLOOKUP($C48,PalData!$A$2:$BU$139,48,0),"🌜","")</f>
        <v/>
      </c>
      <c r="H48" s="189" t="n">
        <f aca="false">VLOOKUP($C48,PalData!$A$2:$BU$139,55,0)</f>
        <v>0</v>
      </c>
      <c r="I48" s="189" t="n">
        <f aca="false">VLOOKUP($C48,PalData!$A$2:$BU$139,56,0)</f>
        <v>0</v>
      </c>
      <c r="J48" s="189" t="n">
        <f aca="false">VLOOKUP($C48,PalData!$A$2:$BU$139,57,0)</f>
        <v>0</v>
      </c>
      <c r="K48" s="189" t="n">
        <f aca="false">VLOOKUP($C48,PalData!$A$2:$BU$139,58,0)</f>
        <v>0</v>
      </c>
      <c r="L48" s="189" t="n">
        <f aca="false">VLOOKUP($C48,PalData!$A$2:$BU$139,59,0)</f>
        <v>1</v>
      </c>
      <c r="M48" s="189" t="n">
        <f aca="false">VLOOKUP($C48,PalData!$A$2:$BU$139,60,0)</f>
        <v>1</v>
      </c>
      <c r="N48" s="189" t="n">
        <f aca="false">VLOOKUP($C48,PalData!$A$2:$BU$139,61,0)</f>
        <v>0</v>
      </c>
      <c r="O48" s="189" t="n">
        <f aca="false">VLOOKUP($C48,PalData!$A$2:$BU$139,62,0)</f>
        <v>0</v>
      </c>
      <c r="P48" s="189" t="n">
        <f aca="false">VLOOKUP($C48,PalData!$A$2:$BU$139,64,0)</f>
        <v>0</v>
      </c>
      <c r="Q48" s="189" t="n">
        <f aca="false">VLOOKUP($C48,PalData!$A$2:$BU$139,65,0)</f>
        <v>0</v>
      </c>
      <c r="R48" s="189" t="n">
        <f aca="false">VLOOKUP($C48,PalData!$A$2:$BU$139,66,0)</f>
        <v>1</v>
      </c>
      <c r="S48" s="189" t="n">
        <f aca="false">VLOOKUP($C48,PalData!$A$2:$BU$139,67,0)</f>
        <v>0</v>
      </c>
      <c r="T48" s="190" t="n">
        <f aca="false">VLOOKUP($C48,PalData!$A$2:$BU$139,43,0)</f>
        <v>2</v>
      </c>
      <c r="U48" s="188" t="n">
        <f aca="false">VLOOKUP($C48,PalData!$A$2:$BU$139,54,0)</f>
        <v>1310</v>
      </c>
      <c r="V48" s="191" t="n">
        <f aca="false">VLOOKUP($C48,PalData!$A$2:$BU$139,19,0)</f>
        <v>75</v>
      </c>
      <c r="W48" s="191" t="n">
        <f aca="false">VLOOKUP($C48,PalData!$A$2:$BU$139,20,0)</f>
        <v>100</v>
      </c>
      <c r="X48" s="191" t="n">
        <f aca="false">VLOOKUP($C48,PalData!$A$2:$BU$139,21,0)</f>
        <v>65</v>
      </c>
      <c r="Y48" s="191" t="n">
        <f aca="false">VLOOKUP($C48,PalData!$A$2:$BU$139,22,0)</f>
        <v>70</v>
      </c>
      <c r="Z48" s="192" t="n">
        <f aca="false">VLOOKUP($C48,PalData!$A$2:$BU$139,28,0)</f>
        <v>1160</v>
      </c>
      <c r="AA48" s="193" t="n">
        <f aca="false" t="array" ref="AA48:AA48">INDEX(PalData,MATCH(C48,PalNames,0)+1,MATCH("Stamina",PalData_Header,0))</f>
        <v>100</v>
      </c>
      <c r="AB48" s="193" t="n">
        <f aca="false">VLOOKUP($C48,PalData!$A$2:$BU$139,32,0)</f>
        <v>100</v>
      </c>
      <c r="AC48" s="193" t="n">
        <f aca="false">VLOOKUP($C48,PalData!$A$2:$BU$139,33,0)</f>
        <v>245</v>
      </c>
      <c r="AD48" s="193" t="n">
        <f aca="false">IF(INDEX(PalData,MATCH(C48,PalNames,0)+1,MATCH("Mount",PalData_Header,0)),INDEX(PalData,MATCH(C48,PalNames,0)+1,MATCH("RideSprintSpeed",PalData_Header,0)),)</f>
        <v>0</v>
      </c>
      <c r="AE48" s="193" t="n">
        <f aca="false" t="array" ref="AE48:AE48">IF(R48&gt;0, INDEX(PalData,MATCH(C48,PalNames,0)+1,MATCH("TransportSpeed",PalData_Header,0)),)</f>
        <v>172</v>
      </c>
      <c r="AF48" s="198" t="n">
        <f aca="false">VLOOKUP($C48,PalData!$A$2:$BU$139,26,0)</f>
        <v>1</v>
      </c>
      <c r="AG48" s="195" t="n">
        <f aca="false" t="array" ref="AG48:AG48">INDEX(PalData,MATCH(C48,PalNames,0)+1,MATCH("MaleProbability",PalData_Header,0))</f>
        <v>50</v>
      </c>
    </row>
    <row r="49" customFormat="false" ht="26.25" hidden="false" customHeight="true" outlineLevel="0" collapsed="false">
      <c r="A49" s="196" t="n">
        <f aca="false">VLOOKUP($C49,PalData!$A$2:$BU$139,9,0)</f>
        <v>40</v>
      </c>
      <c r="B49" s="197" t="n">
        <f aca="false">INDEX(PalData,MATCH(C49,PalNames,0)+1,MATCH("ZukanIndexSuffix",PalData_Header,0))</f>
        <v>0</v>
      </c>
      <c r="C49" s="185" t="s">
        <v>77</v>
      </c>
      <c r="D49" s="186" t="n">
        <f aca="false">IFERROR(INDEX(PalData,MATCH(C49,PalNames,0)+1,MATCH("Image",PalData_Header,0)),)</f>
        <v>0</v>
      </c>
      <c r="E49" s="187" t="str">
        <f aca="false">IFERROR(__xludf.dummyfunction("SPLIT(VLOOKUP($C49,PalData!$A$2:$BU$139,13,0),""EPalElementType::"",0,1)"),"Fire")</f>
        <v>Fire</v>
      </c>
      <c r="F49" s="187" t="str">
        <f aca="false">IFERROR(__xludf.dummyfunction("if(SPLIT(VLOOKUP($C49,PalData!$A$2:$BU$139,14,0),""EPalElementType::"",0,1)=""None"","""",SPLIT(VLOOKUP($C49,PalData!$A$2:$BU$139,14,0),""EPalElementType::"",0,1))"),"Dark")</f>
        <v>Dark</v>
      </c>
      <c r="G49" s="188" t="str">
        <f aca="false">IF(VLOOKUP($C49,PalData!$A$2:$BU$139,48,0),"🌜","")</f>
        <v>🌜</v>
      </c>
      <c r="H49" s="189" t="n">
        <f aca="false">VLOOKUP($C49,PalData!$A$2:$BU$139,55,0)</f>
        <v>1</v>
      </c>
      <c r="I49" s="189" t="n">
        <f aca="false">VLOOKUP($C49,PalData!$A$2:$BU$139,56,0)</f>
        <v>0</v>
      </c>
      <c r="J49" s="189" t="n">
        <f aca="false">VLOOKUP($C49,PalData!$A$2:$BU$139,57,0)</f>
        <v>0</v>
      </c>
      <c r="K49" s="189" t="n">
        <f aca="false">VLOOKUP($C49,PalData!$A$2:$BU$139,58,0)</f>
        <v>0</v>
      </c>
      <c r="L49" s="189" t="n">
        <f aca="false">VLOOKUP($C49,PalData!$A$2:$BU$139,59,0)</f>
        <v>2</v>
      </c>
      <c r="M49" s="189" t="n">
        <f aca="false">VLOOKUP($C49,PalData!$A$2:$BU$139,60,0)</f>
        <v>0</v>
      </c>
      <c r="N49" s="189" t="n">
        <f aca="false">VLOOKUP($C49,PalData!$A$2:$BU$139,61,0)</f>
        <v>0</v>
      </c>
      <c r="O49" s="189" t="n">
        <f aca="false">VLOOKUP($C49,PalData!$A$2:$BU$139,62,0)</f>
        <v>1</v>
      </c>
      <c r="P49" s="189" t="n">
        <f aca="false">VLOOKUP($C49,PalData!$A$2:$BU$139,64,0)</f>
        <v>0</v>
      </c>
      <c r="Q49" s="189" t="n">
        <f aca="false">VLOOKUP($C49,PalData!$A$2:$BU$139,65,0)</f>
        <v>0</v>
      </c>
      <c r="R49" s="189" t="n">
        <f aca="false">VLOOKUP($C49,PalData!$A$2:$BU$139,66,0)</f>
        <v>2</v>
      </c>
      <c r="S49" s="189" t="n">
        <f aca="false">VLOOKUP($C49,PalData!$A$2:$BU$139,67,0)</f>
        <v>0</v>
      </c>
      <c r="T49" s="190" t="n">
        <f aca="false">VLOOKUP($C49,PalData!$A$2:$BU$139,43,0)</f>
        <v>4</v>
      </c>
      <c r="U49" s="188" t="n">
        <f aca="false">VLOOKUP($C49,PalData!$A$2:$BU$139,54,0)</f>
        <v>590</v>
      </c>
      <c r="V49" s="191" t="n">
        <f aca="false">VLOOKUP($C49,PalData!$A$2:$BU$139,19,0)</f>
        <v>95</v>
      </c>
      <c r="W49" s="191" t="n">
        <f aca="false">VLOOKUP($C49,PalData!$A$2:$BU$139,20,0)</f>
        <v>150</v>
      </c>
      <c r="X49" s="191" t="n">
        <f aca="false">VLOOKUP($C49,PalData!$A$2:$BU$139,21,0)</f>
        <v>100</v>
      </c>
      <c r="Y49" s="191" t="n">
        <f aca="false">VLOOKUP($C49,PalData!$A$2:$BU$139,22,0)</f>
        <v>85</v>
      </c>
      <c r="Z49" s="192" t="n">
        <f aca="false">VLOOKUP($C49,PalData!$A$2:$BU$139,28,0)</f>
        <v>4780</v>
      </c>
      <c r="AA49" s="193" t="n">
        <f aca="false" t="array" ref="AA49:AA49">INDEX(PalData,MATCH(C49,PalNames,0)+1,MATCH("Stamina",PalData_Header,0))</f>
        <v>100</v>
      </c>
      <c r="AB49" s="193" t="n">
        <f aca="false">VLOOKUP($C49,PalData!$A$2:$BU$139,32,0)</f>
        <v>160</v>
      </c>
      <c r="AC49" s="193" t="n">
        <f aca="false">VLOOKUP($C49,PalData!$A$2:$BU$139,33,0)</f>
        <v>700</v>
      </c>
      <c r="AD49" s="193" t="n">
        <f aca="false">IF(INDEX(PalData,MATCH(C49,PalNames,0)+1,MATCH("Mount",PalData_Header,0)),INDEX(PalData,MATCH(C49,PalNames,0)+1,MATCH("RideSprintSpeed",PalData_Header,0)),)</f>
        <v>0</v>
      </c>
      <c r="AE49" s="193" t="n">
        <f aca="false" t="array" ref="AE49:AE49">IF(R49&gt;0, INDEX(PalData,MATCH(C49,PalNames,0)+1,MATCH("TransportSpeed",PalData_Header,0)),)</f>
        <v>320</v>
      </c>
      <c r="AF49" s="198" t="n">
        <f aca="false">VLOOKUP($C49,PalData!$A$2:$BU$139,26,0)</f>
        <v>1</v>
      </c>
      <c r="AG49" s="195" t="n">
        <f aca="false" t="array" ref="AG49:AG49">INDEX(PalData,MATCH(C49,PalNames,0)+1,MATCH("MaleProbability",PalData_Header,0))</f>
        <v>50</v>
      </c>
    </row>
    <row r="50" customFormat="false" ht="26.25" hidden="false" customHeight="true" outlineLevel="0" collapsed="false">
      <c r="A50" s="196" t="n">
        <f aca="false">VLOOKUP($C50,PalData!$A$2:$BU$139,9,0)</f>
        <v>40</v>
      </c>
      <c r="B50" s="197" t="str">
        <f aca="false" t="array" ref="B50:B50">INDEX(PalData,MATCH(C50,PalNames,0)+1,MATCH("ZukanIndexSuffix",PalData_Header,0))</f>
        <v>B</v>
      </c>
      <c r="C50" s="185" t="s">
        <v>78</v>
      </c>
      <c r="D50" s="186" t="n">
        <f aca="false">IFERROR(INDEX(PalData,MATCH(C50,PalNames,0)+1,MATCH("Image",PalData_Header,0)),)</f>
        <v>0</v>
      </c>
      <c r="E50" s="187" t="str">
        <f aca="false">IFERROR(__xludf.dummyfunction("SPLIT(VLOOKUP($C50,PalData!$A$2:$BU$139,13,0),""EPalElementType::"",0,1)"),"Dark")</f>
        <v>Dark</v>
      </c>
      <c r="F50" s="187" t="str">
        <f aca="false">IFERROR(__xludf.dummyfunction("if(SPLIT(VLOOKUP($C50,PalData!$A$2:$BU$139,14,0),""EPalElementType::"",0,1)=""None"","""",SPLIT(VLOOKUP($C50,PalData!$A$2:$BU$139,14,0),""EPalElementType::"",0,1))"),"")</f>
        <v/>
      </c>
      <c r="G50" s="188" t="str">
        <f aca="false">IF(VLOOKUP($C50,PalData!$A$2:$BU$139,48,0),"🌜","")</f>
        <v>🌜</v>
      </c>
      <c r="H50" s="189" t="n">
        <f aca="false">VLOOKUP($C50,PalData!$A$2:$BU$139,55,0)</f>
        <v>0</v>
      </c>
      <c r="I50" s="189" t="n">
        <f aca="false">VLOOKUP($C50,PalData!$A$2:$BU$139,56,0)</f>
        <v>0</v>
      </c>
      <c r="J50" s="189" t="n">
        <f aca="false">VLOOKUP($C50,PalData!$A$2:$BU$139,57,0)</f>
        <v>0</v>
      </c>
      <c r="K50" s="189" t="n">
        <f aca="false">VLOOKUP($C50,PalData!$A$2:$BU$139,58,0)</f>
        <v>0</v>
      </c>
      <c r="L50" s="189" t="n">
        <f aca="false">VLOOKUP($C50,PalData!$A$2:$BU$139,59,0)</f>
        <v>2</v>
      </c>
      <c r="M50" s="189" t="n">
        <f aca="false">VLOOKUP($C50,PalData!$A$2:$BU$139,60,0)</f>
        <v>0</v>
      </c>
      <c r="N50" s="189" t="n">
        <f aca="false">VLOOKUP($C50,PalData!$A$2:$BU$139,61,0)</f>
        <v>0</v>
      </c>
      <c r="O50" s="189" t="n">
        <f aca="false">VLOOKUP($C50,PalData!$A$2:$BU$139,62,0)</f>
        <v>1</v>
      </c>
      <c r="P50" s="189" t="n">
        <f aca="false">VLOOKUP($C50,PalData!$A$2:$BU$139,64,0)</f>
        <v>0</v>
      </c>
      <c r="Q50" s="189" t="n">
        <f aca="false">VLOOKUP($C50,PalData!$A$2:$BU$139,65,0)</f>
        <v>0</v>
      </c>
      <c r="R50" s="189" t="n">
        <f aca="false">VLOOKUP($C50,PalData!$A$2:$BU$139,66,0)</f>
        <v>2</v>
      </c>
      <c r="S50" s="189" t="n">
        <f aca="false">VLOOKUP($C50,PalData!$A$2:$BU$139,67,0)</f>
        <v>0</v>
      </c>
      <c r="T50" s="190" t="n">
        <f aca="false">VLOOKUP($C50,PalData!$A$2:$BU$139,43,0)</f>
        <v>4</v>
      </c>
      <c r="U50" s="188" t="n">
        <f aca="false">VLOOKUP($C50,PalData!$A$2:$BU$139,54,0)</f>
        <v>580</v>
      </c>
      <c r="V50" s="191" t="n">
        <f aca="false">VLOOKUP($C50,PalData!$A$2:$BU$139,19,0)</f>
        <v>95</v>
      </c>
      <c r="W50" s="191" t="n">
        <f aca="false">VLOOKUP($C50,PalData!$A$2:$BU$139,20,0)</f>
        <v>150</v>
      </c>
      <c r="X50" s="191" t="n">
        <f aca="false">VLOOKUP($C50,PalData!$A$2:$BU$139,21,0)</f>
        <v>105</v>
      </c>
      <c r="Y50" s="191" t="n">
        <f aca="false">VLOOKUP($C50,PalData!$A$2:$BU$139,22,0)</f>
        <v>85</v>
      </c>
      <c r="Z50" s="192" t="n">
        <f aca="false">VLOOKUP($C50,PalData!$A$2:$BU$139,28,0)</f>
        <v>4870</v>
      </c>
      <c r="AA50" s="193" t="n">
        <f aca="false" t="array" ref="AA50:AA50">INDEX(PalData,MATCH(C50,PalNames,0)+1,MATCH("Stamina",PalData_Header,0))</f>
        <v>100</v>
      </c>
      <c r="AB50" s="193" t="n">
        <f aca="false">VLOOKUP($C50,PalData!$A$2:$BU$139,32,0)</f>
        <v>160</v>
      </c>
      <c r="AC50" s="193" t="n">
        <f aca="false">VLOOKUP($C50,PalData!$A$2:$BU$139,33,0)</f>
        <v>700</v>
      </c>
      <c r="AD50" s="193" t="n">
        <f aca="false">IF(INDEX(PalData,MATCH(C50,PalNames,0)+1,MATCH("Mount",PalData_Header,0)),INDEX(PalData,MATCH(C50,PalNames,0)+1,MATCH("RideSprintSpeed",PalData_Header,0)),)</f>
        <v>0</v>
      </c>
      <c r="AE50" s="193" t="n">
        <f aca="false" t="array" ref="AE50:AE50">IF(R50&gt;0, INDEX(PalData,MATCH(C50,PalNames,0)+1,MATCH("TransportSpeed",PalData_Header,0)),)</f>
        <v>320</v>
      </c>
      <c r="AF50" s="198" t="n">
        <f aca="false">VLOOKUP($C50,PalData!$A$2:$BU$139,26,0)</f>
        <v>1</v>
      </c>
      <c r="AG50" s="195" t="n">
        <f aca="false" t="array" ref="AG50:AG50">INDEX(PalData,MATCH(C50,PalNames,0)+1,MATCH("MaleProbability",PalData_Header,0))</f>
        <v>50</v>
      </c>
    </row>
    <row r="51" customFormat="false" ht="26.25" hidden="false" customHeight="true" outlineLevel="0" collapsed="false">
      <c r="A51" s="196" t="n">
        <f aca="false">VLOOKUP($C51,PalData!$A$2:$BU$139,9,0)</f>
        <v>41</v>
      </c>
      <c r="B51" s="197" t="n">
        <f aca="false">INDEX(PalData,MATCH(C51,PalNames,0)+1,MATCH("ZukanIndexSuffix",PalData_Header,0))</f>
        <v>0</v>
      </c>
      <c r="C51" s="185" t="s">
        <v>37</v>
      </c>
      <c r="D51" s="186" t="n">
        <f aca="false">IFERROR(INDEX(PalData,MATCH(C51,PalNames,0)+1,MATCH("Image",PalData_Header,0)),)</f>
        <v>0</v>
      </c>
      <c r="E51" s="187" t="str">
        <f aca="false">IFERROR(__xludf.dummyfunction("SPLIT(VLOOKUP($C51,PalData!$A$2:$BU$139,13,0),""EPalElementType::"",0,1)"),"Leaf")</f>
        <v>Leaf</v>
      </c>
      <c r="F51" s="187" t="str">
        <f aca="false">IFERROR(__xludf.dummyfunction("if(SPLIT(VLOOKUP($C51,PalData!$A$2:$BU$139,14,0),""EPalElementType::"",0,1)=""None"","""",SPLIT(VLOOKUP($C51,PalData!$A$2:$BU$139,14,0),""EPalElementType::"",0,1))"),"")</f>
        <v/>
      </c>
      <c r="G51" s="188" t="str">
        <f aca="false">IF(VLOOKUP($C51,PalData!$A$2:$BU$139,48,0),"🌜","")</f>
        <v/>
      </c>
      <c r="H51" s="189" t="n">
        <f aca="false">VLOOKUP($C51,PalData!$A$2:$BU$139,55,0)</f>
        <v>0</v>
      </c>
      <c r="I51" s="189" t="n">
        <f aca="false">VLOOKUP($C51,PalData!$A$2:$BU$139,56,0)</f>
        <v>0</v>
      </c>
      <c r="J51" s="189" t="n">
        <f aca="false">VLOOKUP($C51,PalData!$A$2:$BU$139,57,0)</f>
        <v>2</v>
      </c>
      <c r="K51" s="189" t="n">
        <f aca="false">VLOOKUP($C51,PalData!$A$2:$BU$139,58,0)</f>
        <v>0</v>
      </c>
      <c r="L51" s="189" t="n">
        <f aca="false">VLOOKUP($C51,PalData!$A$2:$BU$139,59,0)</f>
        <v>0</v>
      </c>
      <c r="M51" s="189" t="n">
        <f aca="false">VLOOKUP($C51,PalData!$A$2:$BU$139,60,0)</f>
        <v>0</v>
      </c>
      <c r="N51" s="189" t="n">
        <f aca="false">VLOOKUP($C51,PalData!$A$2:$BU$139,61,0)</f>
        <v>0</v>
      </c>
      <c r="O51" s="189" t="n">
        <f aca="false">VLOOKUP($C51,PalData!$A$2:$BU$139,62,0)</f>
        <v>0</v>
      </c>
      <c r="P51" s="189" t="n">
        <f aca="false">VLOOKUP($C51,PalData!$A$2:$BU$139,64,0)</f>
        <v>1</v>
      </c>
      <c r="Q51" s="189" t="n">
        <f aca="false">VLOOKUP($C51,PalData!$A$2:$BU$139,65,0)</f>
        <v>0</v>
      </c>
      <c r="R51" s="189" t="n">
        <f aca="false">VLOOKUP($C51,PalData!$A$2:$BU$139,66,0)</f>
        <v>0</v>
      </c>
      <c r="S51" s="189" t="n">
        <f aca="false">VLOOKUP($C51,PalData!$A$2:$BU$139,67,0)</f>
        <v>0</v>
      </c>
      <c r="T51" s="190" t="n">
        <f aca="false">VLOOKUP($C51,PalData!$A$2:$BU$139,43,0)</f>
        <v>3</v>
      </c>
      <c r="U51" s="188" t="n">
        <f aca="false">VLOOKUP($C51,PalData!$A$2:$BU$139,54,0)</f>
        <v>490</v>
      </c>
      <c r="V51" s="191" t="n">
        <f aca="false">VLOOKUP($C51,PalData!$A$2:$BU$139,19,0)</f>
        <v>70</v>
      </c>
      <c r="W51" s="191" t="n">
        <f aca="false">VLOOKUP($C51,PalData!$A$2:$BU$139,20,0)</f>
        <v>100</v>
      </c>
      <c r="X51" s="191" t="n">
        <f aca="false">VLOOKUP($C51,PalData!$A$2:$BU$139,21,0)</f>
        <v>80</v>
      </c>
      <c r="Y51" s="191" t="n">
        <f aca="false">VLOOKUP($C51,PalData!$A$2:$BU$139,22,0)</f>
        <v>80</v>
      </c>
      <c r="Z51" s="192" t="n">
        <f aca="false">VLOOKUP($C51,PalData!$A$2:$BU$139,28,0)</f>
        <v>5700</v>
      </c>
      <c r="AA51" s="193" t="n">
        <f aca="false" t="array" ref="AA51:AA51">INDEX(PalData,MATCH(C51,PalNames,0)+1,MATCH("Stamina",PalData_Header,0))</f>
        <v>100</v>
      </c>
      <c r="AB51" s="193" t="n">
        <f aca="false">VLOOKUP($C51,PalData!$A$2:$BU$139,32,0)</f>
        <v>150</v>
      </c>
      <c r="AC51" s="193" t="n">
        <f aca="false">VLOOKUP($C51,PalData!$A$2:$BU$139,33,0)</f>
        <v>550</v>
      </c>
      <c r="AD51" s="193" t="n">
        <f aca="false">IF(INDEX(PalData,MATCH(C51,PalNames,0)+1,MATCH("Mount",PalData_Header,0)),INDEX(PalData,MATCH(C51,PalNames,0)+1,MATCH("RideSprintSpeed",PalData_Header,0)),)</f>
        <v>0</v>
      </c>
      <c r="AE51" s="193" t="n">
        <f aca="false">IF(R51&gt;0, INDEX(PalData,MATCH(C51,PalNames,0)+1,MATCH("TransportSpeed",PalData_Header,0)),)</f>
        <v>0</v>
      </c>
      <c r="AF51" s="198" t="n">
        <f aca="false">VLOOKUP($C51,PalData!$A$2:$BU$139,26,0)</f>
        <v>1</v>
      </c>
      <c r="AG51" s="195" t="n">
        <f aca="false" t="array" ref="AG51:AG51">INDEX(PalData,MATCH(C51,PalNames,0)+1,MATCH("MaleProbability",PalData_Header,0))</f>
        <v>50</v>
      </c>
    </row>
    <row r="52" customFormat="false" ht="26.25" hidden="false" customHeight="true" outlineLevel="0" collapsed="false">
      <c r="A52" s="196" t="n">
        <f aca="false">VLOOKUP($C52,PalData!$A$2:$BU$139,9,0)</f>
        <v>42</v>
      </c>
      <c r="B52" s="197" t="n">
        <f aca="false">INDEX(PalData,MATCH(C52,PalNames,0)+1,MATCH("ZukanIndexSuffix",PalData_Header,0))</f>
        <v>0</v>
      </c>
      <c r="C52" s="185" t="s">
        <v>13</v>
      </c>
      <c r="D52" s="186" t="n">
        <f aca="false">IFERROR(INDEX(PalData,MATCH(C52,PalNames,0)+1,MATCH("Image",PalData_Header,0)),)</f>
        <v>0</v>
      </c>
      <c r="E52" s="187" t="str">
        <f aca="false">IFERROR(__xludf.dummyfunction("SPLIT(VLOOKUP($C52,PalData!$A$2:$BU$139,13,0),""EPalElementType::"",0,1)"),"Fire")</f>
        <v>Fire</v>
      </c>
      <c r="F52" s="187" t="str">
        <f aca="false">IFERROR(__xludf.dummyfunction("if(SPLIT(VLOOKUP($C52,PalData!$A$2:$BU$139,14,0),""EPalElementType::"",0,1)=""None"","""",SPLIT(VLOOKUP($C52,PalData!$A$2:$BU$139,14,0),""EPalElementType::"",0,1))"),"")</f>
        <v/>
      </c>
      <c r="G52" s="188" t="str">
        <f aca="false">IF(VLOOKUP($C52,PalData!$A$2:$BU$139,48,0),"🌜","")</f>
        <v/>
      </c>
      <c r="H52" s="189" t="n">
        <f aca="false">VLOOKUP($C52,PalData!$A$2:$BU$139,55,0)</f>
        <v>2</v>
      </c>
      <c r="I52" s="189" t="n">
        <f aca="false">VLOOKUP($C52,PalData!$A$2:$BU$139,56,0)</f>
        <v>0</v>
      </c>
      <c r="J52" s="189" t="n">
        <f aca="false">VLOOKUP($C52,PalData!$A$2:$BU$139,57,0)</f>
        <v>0</v>
      </c>
      <c r="K52" s="189" t="n">
        <f aca="false">VLOOKUP($C52,PalData!$A$2:$BU$139,58,0)</f>
        <v>0</v>
      </c>
      <c r="L52" s="189" t="n">
        <f aca="false">VLOOKUP($C52,PalData!$A$2:$BU$139,59,0)</f>
        <v>0</v>
      </c>
      <c r="M52" s="189" t="n">
        <f aca="false">VLOOKUP($C52,PalData!$A$2:$BU$139,60,0)</f>
        <v>0</v>
      </c>
      <c r="N52" s="189" t="n">
        <f aca="false">VLOOKUP($C52,PalData!$A$2:$BU$139,61,0)</f>
        <v>1</v>
      </c>
      <c r="O52" s="189" t="n">
        <f aca="false">VLOOKUP($C52,PalData!$A$2:$BU$139,62,0)</f>
        <v>0</v>
      </c>
      <c r="P52" s="189" t="n">
        <f aca="false">VLOOKUP($C52,PalData!$A$2:$BU$139,64,0)</f>
        <v>0</v>
      </c>
      <c r="Q52" s="189" t="n">
        <f aca="false">VLOOKUP($C52,PalData!$A$2:$BU$139,65,0)</f>
        <v>0</v>
      </c>
      <c r="R52" s="189" t="n">
        <f aca="false">VLOOKUP($C52,PalData!$A$2:$BU$139,66,0)</f>
        <v>0</v>
      </c>
      <c r="S52" s="189" t="n">
        <f aca="false">VLOOKUP($C52,PalData!$A$2:$BU$139,67,0)</f>
        <v>0</v>
      </c>
      <c r="T52" s="190" t="n">
        <f aca="false">VLOOKUP($C52,PalData!$A$2:$BU$139,43,0)</f>
        <v>5</v>
      </c>
      <c r="U52" s="188" t="n">
        <f aca="false">VLOOKUP($C52,PalData!$A$2:$BU$139,54,0)</f>
        <v>790</v>
      </c>
      <c r="V52" s="191" t="n">
        <f aca="false">VLOOKUP($C52,PalData!$A$2:$BU$139,19,0)</f>
        <v>85</v>
      </c>
      <c r="W52" s="191" t="n">
        <f aca="false">VLOOKUP($C52,PalData!$A$2:$BU$139,20,0)</f>
        <v>100</v>
      </c>
      <c r="X52" s="191" t="n">
        <f aca="false">VLOOKUP($C52,PalData!$A$2:$BU$139,21,0)</f>
        <v>95</v>
      </c>
      <c r="Y52" s="191" t="n">
        <f aca="false">VLOOKUP($C52,PalData!$A$2:$BU$139,22,0)</f>
        <v>95</v>
      </c>
      <c r="Z52" s="192" t="n">
        <f aca="false">VLOOKUP($C52,PalData!$A$2:$BU$139,28,0)</f>
        <v>3520</v>
      </c>
      <c r="AA52" s="193" t="n">
        <f aca="false" t="array" ref="AA52:AA52">INDEX(PalData,MATCH(C52,PalNames,0)+1,MATCH("Stamina",PalData_Header,0))</f>
        <v>100</v>
      </c>
      <c r="AB52" s="193" t="n">
        <f aca="false">VLOOKUP($C52,PalData!$A$2:$BU$139,32,0)</f>
        <v>87</v>
      </c>
      <c r="AC52" s="193" t="n">
        <f aca="false">VLOOKUP($C52,PalData!$A$2:$BU$139,33,0)</f>
        <v>600</v>
      </c>
      <c r="AD52" s="193" t="n">
        <f aca="false" t="array" ref="AD52:AD52">IF(INDEX(PalData,MATCH(C52,PalNames,0)+1,MATCH("Mount",PalData_Header,0)),INDEX(PalData,MATCH(C52,PalNames,0)+1,MATCH("RideSprintSpeed",PalData_Header,0)),)</f>
        <v>800</v>
      </c>
      <c r="AE52" s="193" t="n">
        <f aca="false">IF(R52&gt;0, INDEX(PalData,MATCH(C52,PalNames,0)+1,MATCH("TransportSpeed",PalData_Header,0)),)</f>
        <v>0</v>
      </c>
      <c r="AF52" s="198" t="n">
        <f aca="false">VLOOKUP($C52,PalData!$A$2:$BU$139,26,0)</f>
        <v>1</v>
      </c>
      <c r="AG52" s="195" t="n">
        <f aca="false" t="array" ref="AG52:AG52">INDEX(PalData,MATCH(C52,PalNames,0)+1,MATCH("MaleProbability",PalData_Header,0))</f>
        <v>50</v>
      </c>
    </row>
    <row r="53" customFormat="false" ht="26.25" hidden="false" customHeight="true" outlineLevel="0" collapsed="false">
      <c r="A53" s="196" t="n">
        <f aca="false">VLOOKUP($C53,PalData!$A$2:$BU$139,9,0)</f>
        <v>43</v>
      </c>
      <c r="B53" s="197" t="n">
        <f aca="false">INDEX(PalData,MATCH(C53,PalNames,0)+1,MATCH("ZukanIndexSuffix",PalData_Header,0))</f>
        <v>0</v>
      </c>
      <c r="C53" s="185" t="s">
        <v>47</v>
      </c>
      <c r="D53" s="186" t="n">
        <f aca="false">IFERROR(INDEX(PalData,MATCH(C53,PalNames,0)+1,MATCH("Image",PalData_Header,0)),)</f>
        <v>0</v>
      </c>
      <c r="E53" s="187" t="str">
        <f aca="false">IFERROR(__xludf.dummyfunction("SPLIT(VLOOKUP($C53,PalData!$A$2:$BU$139,13,0),""EPalElementType::"",0,1)"),"Earth")</f>
        <v>Earth</v>
      </c>
      <c r="F53" s="187" t="str">
        <f aca="false">IFERROR(__xludf.dummyfunction("if(SPLIT(VLOOKUP($C53,PalData!$A$2:$BU$139,14,0),""EPalElementType::"",0,1)=""None"","""",SPLIT(VLOOKUP($C53,PalData!$A$2:$BU$139,14,0),""EPalElementType::"",0,1))"),"")</f>
        <v/>
      </c>
      <c r="G53" s="188" t="str">
        <f aca="false">IF(VLOOKUP($C53,PalData!$A$2:$BU$139,48,0),"🌜","")</f>
        <v/>
      </c>
      <c r="H53" s="189" t="n">
        <f aca="false">VLOOKUP($C53,PalData!$A$2:$BU$139,55,0)</f>
        <v>0</v>
      </c>
      <c r="I53" s="189" t="n">
        <f aca="false">VLOOKUP($C53,PalData!$A$2:$BU$139,56,0)</f>
        <v>1</v>
      </c>
      <c r="J53" s="189" t="n">
        <f aca="false">VLOOKUP($C53,PalData!$A$2:$BU$139,57,0)</f>
        <v>0</v>
      </c>
      <c r="K53" s="189" t="n">
        <f aca="false">VLOOKUP($C53,PalData!$A$2:$BU$139,58,0)</f>
        <v>0</v>
      </c>
      <c r="L53" s="189" t="n">
        <f aca="false">VLOOKUP($C53,PalData!$A$2:$BU$139,59,0)</f>
        <v>0</v>
      </c>
      <c r="M53" s="189" t="n">
        <f aca="false">VLOOKUP($C53,PalData!$A$2:$BU$139,60,0)</f>
        <v>0</v>
      </c>
      <c r="N53" s="189" t="n">
        <f aca="false">VLOOKUP($C53,PalData!$A$2:$BU$139,61,0)</f>
        <v>0</v>
      </c>
      <c r="O53" s="189" t="n">
        <f aca="false">VLOOKUP($C53,PalData!$A$2:$BU$139,62,0)</f>
        <v>2</v>
      </c>
      <c r="P53" s="189" t="n">
        <f aca="false">VLOOKUP($C53,PalData!$A$2:$BU$139,64,0)</f>
        <v>0</v>
      </c>
      <c r="Q53" s="189" t="n">
        <f aca="false">VLOOKUP($C53,PalData!$A$2:$BU$139,65,0)</f>
        <v>0</v>
      </c>
      <c r="R53" s="189" t="n">
        <f aca="false">VLOOKUP($C53,PalData!$A$2:$BU$139,66,0)</f>
        <v>1</v>
      </c>
      <c r="S53" s="189" t="n">
        <f aca="false">VLOOKUP($C53,PalData!$A$2:$BU$139,67,0)</f>
        <v>0</v>
      </c>
      <c r="T53" s="190" t="n">
        <f aca="false">VLOOKUP($C53,PalData!$A$2:$BU$139,43,0)</f>
        <v>4</v>
      </c>
      <c r="U53" s="188" t="n">
        <f aca="false">VLOOKUP($C53,PalData!$A$2:$BU$139,54,0)</f>
        <v>895</v>
      </c>
      <c r="V53" s="191" t="n">
        <f aca="false">VLOOKUP($C53,PalData!$A$2:$BU$139,19,0)</f>
        <v>100</v>
      </c>
      <c r="W53" s="191" t="n">
        <f aca="false">VLOOKUP($C53,PalData!$A$2:$BU$139,20,0)</f>
        <v>100</v>
      </c>
      <c r="X53" s="191" t="n">
        <f aca="false">VLOOKUP($C53,PalData!$A$2:$BU$139,21,0)</f>
        <v>70</v>
      </c>
      <c r="Y53" s="191" t="n">
        <f aca="false">VLOOKUP($C53,PalData!$A$2:$BU$139,22,0)</f>
        <v>95</v>
      </c>
      <c r="Z53" s="192" t="n">
        <f aca="false">VLOOKUP($C53,PalData!$A$2:$BU$139,28,0)</f>
        <v>4690</v>
      </c>
      <c r="AA53" s="193" t="n">
        <f aca="false" t="array" ref="AA53:AA53">INDEX(PalData,MATCH(C53,PalNames,0)+1,MATCH("Stamina",PalData_Header,0))</f>
        <v>100</v>
      </c>
      <c r="AB53" s="193" t="n">
        <f aca="false">VLOOKUP($C53,PalData!$A$2:$BU$139,32,0)</f>
        <v>150</v>
      </c>
      <c r="AC53" s="193" t="n">
        <f aca="false">VLOOKUP($C53,PalData!$A$2:$BU$139,33,0)</f>
        <v>450</v>
      </c>
      <c r="AD53" s="193" t="n">
        <f aca="false">IF(INDEX(PalData,MATCH(C53,PalNames,0)+1,MATCH("Mount",PalData_Header,0)),INDEX(PalData,MATCH(C53,PalNames,0)+1,MATCH("RideSprintSpeed",PalData_Header,0)),)</f>
        <v>0</v>
      </c>
      <c r="AE53" s="193" t="n">
        <f aca="false" t="array" ref="AE53:AE53">IF(R53&gt;0, INDEX(PalData,MATCH(C53,PalNames,0)+1,MATCH("TransportSpeed",PalData_Header,0)),)</f>
        <v>300</v>
      </c>
      <c r="AF53" s="198" t="n">
        <f aca="false">VLOOKUP($C53,PalData!$A$2:$BU$139,26,0)</f>
        <v>1</v>
      </c>
      <c r="AG53" s="195" t="n">
        <f aca="false" t="array" ref="AG53:AG53">INDEX(PalData,MATCH(C53,PalNames,0)+1,MATCH("MaleProbability",PalData_Header,0))</f>
        <v>50</v>
      </c>
    </row>
    <row r="54" customFormat="false" ht="26.25" hidden="false" customHeight="true" outlineLevel="0" collapsed="false">
      <c r="A54" s="196" t="n">
        <f aca="false">VLOOKUP($C54,PalData!$A$2:$BU$139,9,0)</f>
        <v>44</v>
      </c>
      <c r="B54" s="197" t="n">
        <f aca="false">INDEX(PalData,MATCH(C54,PalNames,0)+1,MATCH("ZukanIndexSuffix",PalData_Header,0))</f>
        <v>0</v>
      </c>
      <c r="C54" s="185" t="s">
        <v>33</v>
      </c>
      <c r="D54" s="186" t="n">
        <f aca="false">IFERROR(INDEX(PalData,MATCH(C54,PalNames,0)+1,MATCH("Image",PalData_Header,0)),)</f>
        <v>0</v>
      </c>
      <c r="E54" s="187" t="str">
        <f aca="false">IFERROR(__xludf.dummyfunction("SPLIT(VLOOKUP($C54,PalData!$A$2:$BU$139,13,0),""EPalElementType::"",0,1)"),"Dark")</f>
        <v>Dark</v>
      </c>
      <c r="F54" s="187" t="str">
        <f aca="false">IFERROR(__xludf.dummyfunction("if(SPLIT(VLOOKUP($C54,PalData!$A$2:$BU$139,14,0),""EPalElementType::"",0,1)=""None"","""",SPLIT(VLOOKUP($C54,PalData!$A$2:$BU$139,14,0),""EPalElementType::"",0,1))"),"")</f>
        <v/>
      </c>
      <c r="G54" s="188" t="str">
        <f aca="false">IF(VLOOKUP($C54,PalData!$A$2:$BU$139,48,0),"🌜","")</f>
        <v>🌜</v>
      </c>
      <c r="H54" s="189" t="n">
        <f aca="false">VLOOKUP($C54,PalData!$A$2:$BU$139,55,0)</f>
        <v>0</v>
      </c>
      <c r="I54" s="189" t="n">
        <f aca="false">VLOOKUP($C54,PalData!$A$2:$BU$139,56,0)</f>
        <v>0</v>
      </c>
      <c r="J54" s="189" t="n">
        <f aca="false">VLOOKUP($C54,PalData!$A$2:$BU$139,57,0)</f>
        <v>0</v>
      </c>
      <c r="K54" s="189" t="n">
        <f aca="false">VLOOKUP($C54,PalData!$A$2:$BU$139,58,0)</f>
        <v>0</v>
      </c>
      <c r="L54" s="189" t="n">
        <f aca="false">VLOOKUP($C54,PalData!$A$2:$BU$139,59,0)</f>
        <v>0</v>
      </c>
      <c r="M54" s="189" t="n">
        <f aca="false">VLOOKUP($C54,PalData!$A$2:$BU$139,60,0)</f>
        <v>0</v>
      </c>
      <c r="N54" s="189" t="n">
        <f aca="false">VLOOKUP($C54,PalData!$A$2:$BU$139,61,0)</f>
        <v>1</v>
      </c>
      <c r="O54" s="189" t="n">
        <f aca="false">VLOOKUP($C54,PalData!$A$2:$BU$139,62,0)</f>
        <v>0</v>
      </c>
      <c r="P54" s="189" t="n">
        <f aca="false">VLOOKUP($C54,PalData!$A$2:$BU$139,64,0)</f>
        <v>0</v>
      </c>
      <c r="Q54" s="189" t="n">
        <f aca="false">VLOOKUP($C54,PalData!$A$2:$BU$139,65,0)</f>
        <v>0</v>
      </c>
      <c r="R54" s="189" t="n">
        <f aca="false">VLOOKUP($C54,PalData!$A$2:$BU$139,66,0)</f>
        <v>0</v>
      </c>
      <c r="S54" s="189" t="n">
        <f aca="false">VLOOKUP($C54,PalData!$A$2:$BU$139,67,0)</f>
        <v>0</v>
      </c>
      <c r="T54" s="190" t="n">
        <f aca="false">VLOOKUP($C54,PalData!$A$2:$BU$139,43,0)</f>
        <v>5</v>
      </c>
      <c r="U54" s="188" t="n">
        <f aca="false">VLOOKUP($C54,PalData!$A$2:$BU$139,54,0)</f>
        <v>1080</v>
      </c>
      <c r="V54" s="191" t="n">
        <f aca="false">VLOOKUP($C54,PalData!$A$2:$BU$139,19,0)</f>
        <v>75</v>
      </c>
      <c r="W54" s="191" t="n">
        <f aca="false">VLOOKUP($C54,PalData!$A$2:$BU$139,20,0)</f>
        <v>80</v>
      </c>
      <c r="X54" s="191" t="n">
        <f aca="false">VLOOKUP($C54,PalData!$A$2:$BU$139,21,0)</f>
        <v>95</v>
      </c>
      <c r="Y54" s="191" t="n">
        <f aca="false">VLOOKUP($C54,PalData!$A$2:$BU$139,22,0)</f>
        <v>80</v>
      </c>
      <c r="Z54" s="192" t="n">
        <f aca="false">VLOOKUP($C54,PalData!$A$2:$BU$139,28,0)</f>
        <v>1840</v>
      </c>
      <c r="AA54" s="193" t="n">
        <f aca="false" t="array" ref="AA54:AA54">INDEX(PalData,MATCH(C54,PalNames,0)+1,MATCH("Stamina",PalData_Header,0))</f>
        <v>100</v>
      </c>
      <c r="AB54" s="193" t="n">
        <f aca="false">VLOOKUP($C54,PalData!$A$2:$BU$139,32,0)</f>
        <v>170</v>
      </c>
      <c r="AC54" s="193" t="n">
        <f aca="false">VLOOKUP($C54,PalData!$A$2:$BU$139,33,0)</f>
        <v>920</v>
      </c>
      <c r="AD54" s="193" t="n">
        <f aca="false">IF(INDEX(PalData,MATCH(C54,PalNames,0)+1,MATCH("Mount",PalData_Header,0)),INDEX(PalData,MATCH(C54,PalNames,0)+1,MATCH("RideSprintSpeed",PalData_Header,0)),)</f>
        <v>0</v>
      </c>
      <c r="AE54" s="193" t="n">
        <f aca="false">IF(R54&gt;0, INDEX(PalData,MATCH(C54,PalNames,0)+1,MATCH("TransportSpeed",PalData_Header,0)),)</f>
        <v>0</v>
      </c>
      <c r="AF54" s="198" t="n">
        <f aca="false">VLOOKUP($C54,PalData!$A$2:$BU$139,26,0)</f>
        <v>1</v>
      </c>
      <c r="AG54" s="195" t="n">
        <f aca="false" t="array" ref="AG54:AG54">INDEX(PalData,MATCH(C54,PalNames,0)+1,MATCH("MaleProbability",PalData_Header,0))</f>
        <v>50</v>
      </c>
    </row>
    <row r="55" customFormat="false" ht="26.25" hidden="false" customHeight="true" outlineLevel="0" collapsed="false">
      <c r="A55" s="196" t="n">
        <f aca="false">VLOOKUP($C55,PalData!$A$2:$BU$139,9,0)</f>
        <v>45</v>
      </c>
      <c r="B55" s="197" t="n">
        <f aca="false">INDEX(PalData,MATCH(C55,PalNames,0)+1,MATCH("ZukanIndexSuffix",PalData_Header,0))</f>
        <v>0</v>
      </c>
      <c r="C55" s="185" t="s">
        <v>91</v>
      </c>
      <c r="D55" s="186" t="n">
        <f aca="false">IFERROR(INDEX(PalData,MATCH(C55,PalNames,0)+1,MATCH("Image",PalData_Header,0)),)</f>
        <v>0</v>
      </c>
      <c r="E55" s="187" t="str">
        <f aca="false">IFERROR(__xludf.dummyfunction("SPLIT(VLOOKUP($C55,PalData!$A$2:$BU$139,13,0),""EPalElementType::"",0,1)"),"Dark")</f>
        <v>Dark</v>
      </c>
      <c r="F55" s="187" t="str">
        <f aca="false">IFERROR(__xludf.dummyfunction("if(SPLIT(VLOOKUP($C55,PalData!$A$2:$BU$139,14,0),""EPalElementType::"",0,1)=""None"","""",SPLIT(VLOOKUP($C55,PalData!$A$2:$BU$139,14,0),""EPalElementType::"",0,1))"),"")</f>
        <v/>
      </c>
      <c r="G55" s="188" t="str">
        <f aca="false">IF(VLOOKUP($C55,PalData!$A$2:$BU$139,48,0),"🌜","")</f>
        <v>🌜</v>
      </c>
      <c r="H55" s="189" t="n">
        <f aca="false">VLOOKUP($C55,PalData!$A$2:$BU$139,55,0)</f>
        <v>0</v>
      </c>
      <c r="I55" s="189" t="n">
        <f aca="false">VLOOKUP($C55,PalData!$A$2:$BU$139,56,0)</f>
        <v>0</v>
      </c>
      <c r="J55" s="189" t="n">
        <f aca="false">VLOOKUP($C55,PalData!$A$2:$BU$139,57,0)</f>
        <v>0</v>
      </c>
      <c r="K55" s="189" t="n">
        <f aca="false">VLOOKUP($C55,PalData!$A$2:$BU$139,58,0)</f>
        <v>0</v>
      </c>
      <c r="L55" s="189" t="n">
        <f aca="false">VLOOKUP($C55,PalData!$A$2:$BU$139,59,0)</f>
        <v>1</v>
      </c>
      <c r="M55" s="189" t="n">
        <f aca="false">VLOOKUP($C55,PalData!$A$2:$BU$139,60,0)</f>
        <v>1</v>
      </c>
      <c r="N55" s="189" t="n">
        <f aca="false">VLOOKUP($C55,PalData!$A$2:$BU$139,61,0)</f>
        <v>0</v>
      </c>
      <c r="O55" s="189" t="n">
        <f aca="false">VLOOKUP($C55,PalData!$A$2:$BU$139,62,0)</f>
        <v>0</v>
      </c>
      <c r="P55" s="189" t="n">
        <f aca="false">VLOOKUP($C55,PalData!$A$2:$BU$139,64,0)</f>
        <v>0</v>
      </c>
      <c r="Q55" s="189" t="n">
        <f aca="false">VLOOKUP($C55,PalData!$A$2:$BU$139,65,0)</f>
        <v>0</v>
      </c>
      <c r="R55" s="189" t="n">
        <f aca="false">VLOOKUP($C55,PalData!$A$2:$BU$139,66,0)</f>
        <v>1</v>
      </c>
      <c r="S55" s="189" t="n">
        <f aca="false">VLOOKUP($C55,PalData!$A$2:$BU$139,67,0)</f>
        <v>0</v>
      </c>
      <c r="T55" s="190" t="n">
        <f aca="false">VLOOKUP($C55,PalData!$A$2:$BU$139,43,0)</f>
        <v>3</v>
      </c>
      <c r="U55" s="188" t="n">
        <f aca="false">VLOOKUP($C55,PalData!$A$2:$BU$139,54,0)</f>
        <v>1120</v>
      </c>
      <c r="V55" s="191" t="n">
        <f aca="false">VLOOKUP($C55,PalData!$A$2:$BU$139,19,0)</f>
        <v>80</v>
      </c>
      <c r="W55" s="191" t="n">
        <f aca="false">VLOOKUP($C55,PalData!$A$2:$BU$139,20,0)</f>
        <v>90</v>
      </c>
      <c r="X55" s="191" t="n">
        <f aca="false">VLOOKUP($C55,PalData!$A$2:$BU$139,21,0)</f>
        <v>80</v>
      </c>
      <c r="Y55" s="191" t="n">
        <f aca="false">VLOOKUP($C55,PalData!$A$2:$BU$139,22,0)</f>
        <v>50</v>
      </c>
      <c r="Z55" s="192" t="n">
        <f aca="false">VLOOKUP($C55,PalData!$A$2:$BU$139,28,0)</f>
        <v>1720</v>
      </c>
      <c r="AA55" s="193" t="n">
        <f aca="false" t="array" ref="AA55:AA55">INDEX(PalData,MATCH(C55,PalNames,0)+1,MATCH("Stamina",PalData_Header,0))</f>
        <v>100</v>
      </c>
      <c r="AB55" s="193" t="n">
        <f aca="false">VLOOKUP($C55,PalData!$A$2:$BU$139,32,0)</f>
        <v>140</v>
      </c>
      <c r="AC55" s="193" t="n">
        <f aca="false">VLOOKUP($C55,PalData!$A$2:$BU$139,33,0)</f>
        <v>600</v>
      </c>
      <c r="AD55" s="193" t="n">
        <f aca="false">IF(INDEX(PalData,MATCH(C55,PalNames,0)+1,MATCH("Mount",PalData_Header,0)),INDEX(PalData,MATCH(C55,PalNames,0)+1,MATCH("RideSprintSpeed",PalData_Header,0)),)</f>
        <v>0</v>
      </c>
      <c r="AE55" s="193" t="n">
        <f aca="false" t="array" ref="AE55:AE55">IF(R55&gt;0, INDEX(PalData,MATCH(C55,PalNames,0)+1,MATCH("TransportSpeed",PalData_Header,0)),)</f>
        <v>270</v>
      </c>
      <c r="AF55" s="198" t="n">
        <f aca="false">VLOOKUP($C55,PalData!$A$2:$BU$139,26,0)</f>
        <v>1</v>
      </c>
      <c r="AG55" s="195" t="n">
        <f aca="false" t="array" ref="AG55:AG55">INDEX(PalData,MATCH(C55,PalNames,0)+1,MATCH("MaleProbability",PalData_Header,0))</f>
        <v>50</v>
      </c>
    </row>
    <row r="56" customFormat="false" ht="26.25" hidden="false" customHeight="true" outlineLevel="0" collapsed="false">
      <c r="A56" s="196" t="n">
        <f aca="false">VLOOKUP($C56,PalData!$A$2:$BU$139,9,0)</f>
        <v>45</v>
      </c>
      <c r="B56" s="197" t="str">
        <f aca="false" t="array" ref="B56:B56">INDEX(PalData,MATCH(C56,PalNames,0)+1,MATCH("ZukanIndexSuffix",PalData_Header,0))</f>
        <v>B</v>
      </c>
      <c r="C56" s="185" t="s">
        <v>92</v>
      </c>
      <c r="D56" s="186" t="n">
        <f aca="false">IFERROR(INDEX(PalData,MATCH(C56,PalNames,0)+1,MATCH("Image",PalData_Header,0)),)</f>
        <v>0</v>
      </c>
      <c r="E56" s="187" t="str">
        <f aca="false">IFERROR(__xludf.dummyfunction("SPLIT(VLOOKUP($C56,PalData!$A$2:$BU$139,13,0),""EPalElementType::"",0,1)"),"Fire")</f>
        <v>Fire</v>
      </c>
      <c r="F56" s="187" t="str">
        <f aca="false">IFERROR(__xludf.dummyfunction("if(SPLIT(VLOOKUP($C56,PalData!$A$2:$BU$139,14,0),""EPalElementType::"",0,1)=""None"","""",SPLIT(VLOOKUP($C56,PalData!$A$2:$BU$139,14,0),""EPalElementType::"",0,1))"),"")</f>
        <v/>
      </c>
      <c r="G56" s="188" t="str">
        <f aca="false">IF(VLOOKUP($C56,PalData!$A$2:$BU$139,48,0),"🌜","")</f>
        <v/>
      </c>
      <c r="H56" s="189" t="n">
        <f aca="false">VLOOKUP($C56,PalData!$A$2:$BU$139,55,0)</f>
        <v>1</v>
      </c>
      <c r="I56" s="189" t="n">
        <f aca="false">VLOOKUP($C56,PalData!$A$2:$BU$139,56,0)</f>
        <v>0</v>
      </c>
      <c r="J56" s="189" t="n">
        <f aca="false">VLOOKUP($C56,PalData!$A$2:$BU$139,57,0)</f>
        <v>0</v>
      </c>
      <c r="K56" s="189" t="n">
        <f aca="false">VLOOKUP($C56,PalData!$A$2:$BU$139,58,0)</f>
        <v>0</v>
      </c>
      <c r="L56" s="189" t="n">
        <f aca="false">VLOOKUP($C56,PalData!$A$2:$BU$139,59,0)</f>
        <v>1</v>
      </c>
      <c r="M56" s="189" t="n">
        <f aca="false">VLOOKUP($C56,PalData!$A$2:$BU$139,60,0)</f>
        <v>1</v>
      </c>
      <c r="N56" s="189" t="n">
        <f aca="false">VLOOKUP($C56,PalData!$A$2:$BU$139,61,0)</f>
        <v>0</v>
      </c>
      <c r="O56" s="189" t="n">
        <f aca="false">VLOOKUP($C56,PalData!$A$2:$BU$139,62,0)</f>
        <v>0</v>
      </c>
      <c r="P56" s="189" t="n">
        <f aca="false">VLOOKUP($C56,PalData!$A$2:$BU$139,64,0)</f>
        <v>0</v>
      </c>
      <c r="Q56" s="189" t="n">
        <f aca="false">VLOOKUP($C56,PalData!$A$2:$BU$139,65,0)</f>
        <v>0</v>
      </c>
      <c r="R56" s="189" t="n">
        <f aca="false">VLOOKUP($C56,PalData!$A$2:$BU$139,66,0)</f>
        <v>1</v>
      </c>
      <c r="S56" s="189" t="n">
        <f aca="false">VLOOKUP($C56,PalData!$A$2:$BU$139,67,0)</f>
        <v>0</v>
      </c>
      <c r="T56" s="190" t="n">
        <f aca="false">VLOOKUP($C56,PalData!$A$2:$BU$139,43,0)</f>
        <v>3</v>
      </c>
      <c r="U56" s="188" t="n">
        <f aca="false">VLOOKUP($C56,PalData!$A$2:$BU$139,54,0)</f>
        <v>1140</v>
      </c>
      <c r="V56" s="191" t="n">
        <f aca="false">VLOOKUP($C56,PalData!$A$2:$BU$139,19,0)</f>
        <v>80</v>
      </c>
      <c r="W56" s="191" t="n">
        <f aca="false">VLOOKUP($C56,PalData!$A$2:$BU$139,20,0)</f>
        <v>90</v>
      </c>
      <c r="X56" s="191" t="n">
        <f aca="false">VLOOKUP($C56,PalData!$A$2:$BU$139,21,0)</f>
        <v>80</v>
      </c>
      <c r="Y56" s="191" t="n">
        <f aca="false">VLOOKUP($C56,PalData!$A$2:$BU$139,22,0)</f>
        <v>50</v>
      </c>
      <c r="Z56" s="192" t="n">
        <f aca="false">VLOOKUP($C56,PalData!$A$2:$BU$139,28,0)</f>
        <v>1640</v>
      </c>
      <c r="AA56" s="193" t="n">
        <f aca="false" t="array" ref="AA56:AA56">INDEX(PalData,MATCH(C56,PalNames,0)+1,MATCH("Stamina",PalData_Header,0))</f>
        <v>100</v>
      </c>
      <c r="AB56" s="193" t="n">
        <f aca="false">VLOOKUP($C56,PalData!$A$2:$BU$139,32,0)</f>
        <v>140</v>
      </c>
      <c r="AC56" s="193" t="n">
        <f aca="false">VLOOKUP($C56,PalData!$A$2:$BU$139,33,0)</f>
        <v>400</v>
      </c>
      <c r="AD56" s="193" t="n">
        <f aca="false">IF(INDEX(PalData,MATCH(C56,PalNames,0)+1,MATCH("Mount",PalData_Header,0)),INDEX(PalData,MATCH(C56,PalNames,0)+1,MATCH("RideSprintSpeed",PalData_Header,0)),)</f>
        <v>0</v>
      </c>
      <c r="AE56" s="193" t="n">
        <f aca="false" t="array" ref="AE56:AE56">IF(R56&gt;0, INDEX(PalData,MATCH(C56,PalNames,0)+1,MATCH("TransportSpeed",PalData_Header,0)),)</f>
        <v>270</v>
      </c>
      <c r="AF56" s="198" t="n">
        <f aca="false">VLOOKUP($C56,PalData!$A$2:$BU$139,26,0)</f>
        <v>1</v>
      </c>
      <c r="AG56" s="195" t="n">
        <f aca="false" t="array" ref="AG56:AG56">INDEX(PalData,MATCH(C56,PalNames,0)+1,MATCH("MaleProbability",PalData_Header,0))</f>
        <v>50</v>
      </c>
    </row>
    <row r="57" customFormat="false" ht="26.25" hidden="false" customHeight="true" outlineLevel="0" collapsed="false">
      <c r="A57" s="196" t="n">
        <f aca="false">VLOOKUP($C57,PalData!$A$2:$BU$139,9,0)</f>
        <v>46</v>
      </c>
      <c r="B57" s="197" t="n">
        <f aca="false">INDEX(PalData,MATCH(C57,PalNames,0)+1,MATCH("ZukanIndexSuffix",PalData_Header,0))</f>
        <v>0</v>
      </c>
      <c r="C57" s="185" t="s">
        <v>94</v>
      </c>
      <c r="D57" s="186" t="n">
        <f aca="false">IFERROR(INDEX(PalData,MATCH(C57,PalNames,0)+1,MATCH("Image",PalData_Header,0)),)</f>
        <v>0</v>
      </c>
      <c r="E57" s="187" t="str">
        <f aca="false">IFERROR(__xludf.dummyfunction("SPLIT(VLOOKUP($C57,PalData!$A$2:$BU$139,13,0),""EPalElementType::"",0,1)"),"Dark")</f>
        <v>Dark</v>
      </c>
      <c r="F57" s="187" t="str">
        <f aca="false">IFERROR(__xludf.dummyfunction("if(SPLIT(VLOOKUP($C57,PalData!$A$2:$BU$139,14,0),""EPalElementType::"",0,1)=""None"","""",SPLIT(VLOOKUP($C57,PalData!$A$2:$BU$139,14,0),""EPalElementType::"",0,1))"),"")</f>
        <v/>
      </c>
      <c r="G57" s="188" t="str">
        <f aca="false">IF(VLOOKUP($C57,PalData!$A$2:$BU$139,48,0),"🌜","")</f>
        <v>🌜</v>
      </c>
      <c r="H57" s="189" t="n">
        <f aca="false">VLOOKUP($C57,PalData!$A$2:$BU$139,55,0)</f>
        <v>0</v>
      </c>
      <c r="I57" s="189" t="n">
        <f aca="false">VLOOKUP($C57,PalData!$A$2:$BU$139,56,0)</f>
        <v>0</v>
      </c>
      <c r="J57" s="189" t="n">
        <f aca="false">VLOOKUP($C57,PalData!$A$2:$BU$139,57,0)</f>
        <v>0</v>
      </c>
      <c r="K57" s="189" t="n">
        <f aca="false">VLOOKUP($C57,PalData!$A$2:$BU$139,58,0)</f>
        <v>0</v>
      </c>
      <c r="L57" s="189" t="n">
        <f aca="false">VLOOKUP($C57,PalData!$A$2:$BU$139,59,0)</f>
        <v>2</v>
      </c>
      <c r="M57" s="189" t="n">
        <f aca="false">VLOOKUP($C57,PalData!$A$2:$BU$139,60,0)</f>
        <v>0</v>
      </c>
      <c r="N57" s="189" t="n">
        <f aca="false">VLOOKUP($C57,PalData!$A$2:$BU$139,61,0)</f>
        <v>0</v>
      </c>
      <c r="O57" s="189" t="n">
        <f aca="false">VLOOKUP($C57,PalData!$A$2:$BU$139,62,0)</f>
        <v>0</v>
      </c>
      <c r="P57" s="189" t="n">
        <f aca="false">VLOOKUP($C57,PalData!$A$2:$BU$139,64,0)</f>
        <v>0</v>
      </c>
      <c r="Q57" s="189" t="n">
        <f aca="false">VLOOKUP($C57,PalData!$A$2:$BU$139,65,0)</f>
        <v>0</v>
      </c>
      <c r="R57" s="189" t="n">
        <f aca="false">VLOOKUP($C57,PalData!$A$2:$BU$139,66,0)</f>
        <v>0</v>
      </c>
      <c r="S57" s="189" t="n">
        <f aca="false">VLOOKUP($C57,PalData!$A$2:$BU$139,67,0)</f>
        <v>0</v>
      </c>
      <c r="T57" s="190" t="n">
        <f aca="false">VLOOKUP($C57,PalData!$A$2:$BU$139,43,0)</f>
        <v>5</v>
      </c>
      <c r="U57" s="188" t="n">
        <f aca="false">VLOOKUP($C57,PalData!$A$2:$BU$139,54,0)</f>
        <v>950</v>
      </c>
      <c r="V57" s="191" t="n">
        <f aca="false">VLOOKUP($C57,PalData!$A$2:$BU$139,19,0)</f>
        <v>80</v>
      </c>
      <c r="W57" s="191" t="n">
        <f aca="false">VLOOKUP($C57,PalData!$A$2:$BU$139,20,0)</f>
        <v>130</v>
      </c>
      <c r="X57" s="191" t="n">
        <f aca="false">VLOOKUP($C57,PalData!$A$2:$BU$139,21,0)</f>
        <v>100</v>
      </c>
      <c r="Y57" s="191" t="n">
        <f aca="false">VLOOKUP($C57,PalData!$A$2:$BU$139,22,0)</f>
        <v>80</v>
      </c>
      <c r="Z57" s="192" t="n">
        <f aca="false">VLOOKUP($C57,PalData!$A$2:$BU$139,28,0)</f>
        <v>2400</v>
      </c>
      <c r="AA57" s="193" t="n">
        <f aca="false" t="array" ref="AA57:AA57">INDEX(PalData,MATCH(C57,PalNames,0)+1,MATCH("Stamina",PalData_Header,0))</f>
        <v>100</v>
      </c>
      <c r="AB57" s="193" t="n">
        <f aca="false">VLOOKUP($C57,PalData!$A$2:$BU$139,32,0)</f>
        <v>150</v>
      </c>
      <c r="AC57" s="193" t="n">
        <f aca="false">VLOOKUP($C57,PalData!$A$2:$BU$139,33,0)</f>
        <v>600</v>
      </c>
      <c r="AD57" s="193" t="n">
        <f aca="false">IF(INDEX(PalData,MATCH(C57,PalNames,0)+1,MATCH("Mount",PalData_Header,0)),INDEX(PalData,MATCH(C57,PalNames,0)+1,MATCH("RideSprintSpeed",PalData_Header,0)),)</f>
        <v>0</v>
      </c>
      <c r="AE57" s="193" t="n">
        <f aca="false">IF(R57&gt;0, INDEX(PalData,MATCH(C57,PalNames,0)+1,MATCH("TransportSpeed",PalData_Header,0)),)</f>
        <v>0</v>
      </c>
      <c r="AF57" s="198" t="n">
        <f aca="false">VLOOKUP($C57,PalData!$A$2:$BU$139,26,0)</f>
        <v>1</v>
      </c>
      <c r="AG57" s="195" t="n">
        <f aca="false" t="array" ref="AG57:AG57">INDEX(PalData,MATCH(C57,PalNames,0)+1,MATCH("MaleProbability",PalData_Header,0))</f>
        <v>50</v>
      </c>
    </row>
    <row r="58" customFormat="false" ht="26.25" hidden="false" customHeight="true" outlineLevel="0" collapsed="false">
      <c r="A58" s="196" t="n">
        <f aca="false">VLOOKUP($C58,PalData!$A$2:$BU$139,9,0)</f>
        <v>47</v>
      </c>
      <c r="B58" s="197" t="n">
        <f aca="false">INDEX(PalData,MATCH(C58,PalNames,0)+1,MATCH("ZukanIndexSuffix",PalData_Header,0))</f>
        <v>0</v>
      </c>
      <c r="C58" s="185" t="s">
        <v>63</v>
      </c>
      <c r="D58" s="186" t="n">
        <f aca="false">IFERROR(INDEX(PalData,MATCH(C58,PalNames,0)+1,MATCH("Image",PalData_Header,0)),)</f>
        <v>0</v>
      </c>
      <c r="E58" s="187" t="str">
        <f aca="false">IFERROR(__xludf.dummyfunction("SPLIT(VLOOKUP($C58,PalData!$A$2:$BU$139,13,0),""EPalElementType::"",0,1)"),"Normal")</f>
        <v>Normal</v>
      </c>
      <c r="F58" s="187" t="str">
        <f aca="false">IFERROR(__xludf.dummyfunction("if(SPLIT(VLOOKUP($C58,PalData!$A$2:$BU$139,14,0),""EPalElementType::"",0,1)=""None"","""",SPLIT(VLOOKUP($C58,PalData!$A$2:$BU$139,14,0),""EPalElementType::"",0,1))"),"")</f>
        <v/>
      </c>
      <c r="G58" s="188" t="str">
        <f aca="false">IF(VLOOKUP($C58,PalData!$A$2:$BU$139,48,0),"🌜","")</f>
        <v/>
      </c>
      <c r="H58" s="189" t="n">
        <f aca="false">VLOOKUP($C58,PalData!$A$2:$BU$139,55,0)</f>
        <v>0</v>
      </c>
      <c r="I58" s="189" t="n">
        <f aca="false">VLOOKUP($C58,PalData!$A$2:$BU$139,56,0)</f>
        <v>0</v>
      </c>
      <c r="J58" s="189" t="n">
        <f aca="false">VLOOKUP($C58,PalData!$A$2:$BU$139,57,0)</f>
        <v>0</v>
      </c>
      <c r="K58" s="189" t="n">
        <f aca="false">VLOOKUP($C58,PalData!$A$2:$BU$139,58,0)</f>
        <v>0</v>
      </c>
      <c r="L58" s="189" t="n">
        <f aca="false">VLOOKUP($C58,PalData!$A$2:$BU$139,59,0)</f>
        <v>0</v>
      </c>
      <c r="M58" s="189" t="n">
        <f aca="false">VLOOKUP($C58,PalData!$A$2:$BU$139,60,0)</f>
        <v>2</v>
      </c>
      <c r="N58" s="189" t="n">
        <f aca="false">VLOOKUP($C58,PalData!$A$2:$BU$139,61,0)</f>
        <v>0</v>
      </c>
      <c r="O58" s="189" t="n">
        <f aca="false">VLOOKUP($C58,PalData!$A$2:$BU$139,62,0)</f>
        <v>0</v>
      </c>
      <c r="P58" s="189" t="n">
        <f aca="false">VLOOKUP($C58,PalData!$A$2:$BU$139,64,0)</f>
        <v>0</v>
      </c>
      <c r="Q58" s="189" t="n">
        <f aca="false">VLOOKUP($C58,PalData!$A$2:$BU$139,65,0)</f>
        <v>0</v>
      </c>
      <c r="R58" s="189" t="n">
        <f aca="false">VLOOKUP($C58,PalData!$A$2:$BU$139,66,0)</f>
        <v>0</v>
      </c>
      <c r="S58" s="189" t="n">
        <f aca="false">VLOOKUP($C58,PalData!$A$2:$BU$139,67,0)</f>
        <v>0</v>
      </c>
      <c r="T58" s="190" t="n">
        <f aca="false">VLOOKUP($C58,PalData!$A$2:$BU$139,43,0)</f>
        <v>4</v>
      </c>
      <c r="U58" s="188" t="n">
        <f aca="false">VLOOKUP($C58,PalData!$A$2:$BU$139,54,0)</f>
        <v>1030</v>
      </c>
      <c r="V58" s="191" t="n">
        <f aca="false">VLOOKUP($C58,PalData!$A$2:$BU$139,19,0)</f>
        <v>75</v>
      </c>
      <c r="W58" s="191" t="n">
        <f aca="false">VLOOKUP($C58,PalData!$A$2:$BU$139,20,0)</f>
        <v>120</v>
      </c>
      <c r="X58" s="191" t="n">
        <f aca="false">VLOOKUP($C58,PalData!$A$2:$BU$139,21,0)</f>
        <v>85</v>
      </c>
      <c r="Y58" s="191" t="n">
        <f aca="false">VLOOKUP($C58,PalData!$A$2:$BU$139,22,0)</f>
        <v>60</v>
      </c>
      <c r="Z58" s="192" t="n">
        <f aca="false">VLOOKUP($C58,PalData!$A$2:$BU$139,28,0)</f>
        <v>2010</v>
      </c>
      <c r="AA58" s="193" t="n">
        <f aca="false" t="array" ref="AA58:AA58">INDEX(PalData,MATCH(C58,PalNames,0)+1,MATCH("Stamina",PalData_Header,0))</f>
        <v>100</v>
      </c>
      <c r="AB58" s="193" t="n">
        <f aca="false">VLOOKUP($C58,PalData!$A$2:$BU$139,32,0)</f>
        <v>200</v>
      </c>
      <c r="AC58" s="193" t="n">
        <f aca="false">VLOOKUP($C58,PalData!$A$2:$BU$139,33,0)</f>
        <v>600</v>
      </c>
      <c r="AD58" s="193" t="n">
        <f aca="false">IF(INDEX(PalData,MATCH(C58,PalNames,0)+1,MATCH("Mount",PalData_Header,0)),INDEX(PalData,MATCH(C58,PalNames,0)+1,MATCH("RideSprintSpeed",PalData_Header,0)),)</f>
        <v>0</v>
      </c>
      <c r="AE58" s="193" t="n">
        <f aca="false">IF(R58&gt;0, INDEX(PalData,MATCH(C58,PalNames,0)+1,MATCH("TransportSpeed",PalData_Header,0)),)</f>
        <v>0</v>
      </c>
      <c r="AF58" s="198" t="n">
        <f aca="false">VLOOKUP($C58,PalData!$A$2:$BU$139,26,0)</f>
        <v>1</v>
      </c>
      <c r="AG58" s="195" t="n">
        <f aca="false" t="array" ref="AG58:AG58">INDEX(PalData,MATCH(C58,PalNames,0)+1,MATCH("MaleProbability",PalData_Header,0))</f>
        <v>50</v>
      </c>
    </row>
    <row r="59" customFormat="false" ht="26.25" hidden="false" customHeight="true" outlineLevel="0" collapsed="false">
      <c r="A59" s="196" t="n">
        <f aca="false">VLOOKUP($C59,PalData!$A$2:$BU$139,9,0)</f>
        <v>48</v>
      </c>
      <c r="B59" s="197" t="n">
        <f aca="false">INDEX(PalData,MATCH(C59,PalNames,0)+1,MATCH("ZukanIndexSuffix",PalData_Header,0))</f>
        <v>0</v>
      </c>
      <c r="C59" s="185" t="s">
        <v>126</v>
      </c>
      <c r="D59" s="186" t="n">
        <f aca="false">IFERROR(INDEX(PalData,MATCH(C59,PalNames,0)+1,MATCH("Image",PalData_Header,0)),)</f>
        <v>0</v>
      </c>
      <c r="E59" s="187" t="str">
        <f aca="false">IFERROR(__xludf.dummyfunction("SPLIT(VLOOKUP($C59,PalData!$A$2:$BU$139,13,0),""EPalElementType::"",0,1)"),"Leaf")</f>
        <v>Leaf</v>
      </c>
      <c r="F59" s="187" t="str">
        <f aca="false">IFERROR(__xludf.dummyfunction("if(SPLIT(VLOOKUP($C59,PalData!$A$2:$BU$139,14,0),""EPalElementType::"",0,1)=""None"","""",SPLIT(VLOOKUP($C59,PalData!$A$2:$BU$139,14,0),""EPalElementType::"",0,1))"),"")</f>
        <v/>
      </c>
      <c r="G59" s="188" t="str">
        <f aca="false">IF(VLOOKUP($C59,PalData!$A$2:$BU$139,48,0),"🌜","")</f>
        <v/>
      </c>
      <c r="H59" s="189" t="n">
        <f aca="false">VLOOKUP($C59,PalData!$A$2:$BU$139,55,0)</f>
        <v>0</v>
      </c>
      <c r="I59" s="189" t="n">
        <f aca="false">VLOOKUP($C59,PalData!$A$2:$BU$139,56,0)</f>
        <v>0</v>
      </c>
      <c r="J59" s="189" t="n">
        <f aca="false">VLOOKUP($C59,PalData!$A$2:$BU$139,57,0)</f>
        <v>1</v>
      </c>
      <c r="K59" s="189" t="n">
        <f aca="false">VLOOKUP($C59,PalData!$A$2:$BU$139,58,0)</f>
        <v>0</v>
      </c>
      <c r="L59" s="189" t="n">
        <f aca="false">VLOOKUP($C59,PalData!$A$2:$BU$139,59,0)</f>
        <v>2</v>
      </c>
      <c r="M59" s="189" t="n">
        <f aca="false">VLOOKUP($C59,PalData!$A$2:$BU$139,60,0)</f>
        <v>2</v>
      </c>
      <c r="N59" s="189" t="n">
        <f aca="false">VLOOKUP($C59,PalData!$A$2:$BU$139,61,0)</f>
        <v>1</v>
      </c>
      <c r="O59" s="189" t="n">
        <f aca="false">VLOOKUP($C59,PalData!$A$2:$BU$139,62,0)</f>
        <v>0</v>
      </c>
      <c r="P59" s="189" t="n">
        <f aca="false">VLOOKUP($C59,PalData!$A$2:$BU$139,64,0)</f>
        <v>1</v>
      </c>
      <c r="Q59" s="189" t="n">
        <f aca="false">VLOOKUP($C59,PalData!$A$2:$BU$139,65,0)</f>
        <v>0</v>
      </c>
      <c r="R59" s="189" t="n">
        <f aca="false">VLOOKUP($C59,PalData!$A$2:$BU$139,66,0)</f>
        <v>2</v>
      </c>
      <c r="S59" s="189" t="n">
        <f aca="false">VLOOKUP($C59,PalData!$A$2:$BU$139,67,0)</f>
        <v>0</v>
      </c>
      <c r="T59" s="190" t="n">
        <f aca="false">VLOOKUP($C59,PalData!$A$2:$BU$139,43,0)</f>
        <v>3</v>
      </c>
      <c r="U59" s="188" t="n">
        <f aca="false">VLOOKUP($C59,PalData!$A$2:$BU$139,54,0)</f>
        <v>1020</v>
      </c>
      <c r="V59" s="191" t="n">
        <f aca="false">VLOOKUP($C59,PalData!$A$2:$BU$139,19,0)</f>
        <v>90</v>
      </c>
      <c r="W59" s="191" t="n">
        <f aca="false">VLOOKUP($C59,PalData!$A$2:$BU$139,20,0)</f>
        <v>100</v>
      </c>
      <c r="X59" s="191" t="n">
        <f aca="false">VLOOKUP($C59,PalData!$A$2:$BU$139,21,0)</f>
        <v>105</v>
      </c>
      <c r="Y59" s="191" t="n">
        <f aca="false">VLOOKUP($C59,PalData!$A$2:$BU$139,22,0)</f>
        <v>80</v>
      </c>
      <c r="Z59" s="192" t="n">
        <f aca="false">VLOOKUP($C59,PalData!$A$2:$BU$139,28,0)</f>
        <v>2050</v>
      </c>
      <c r="AA59" s="193" t="n">
        <f aca="false" t="array" ref="AA59:AA59">INDEX(PalData,MATCH(C59,PalNames,0)+1,MATCH("Stamina",PalData_Header,0))</f>
        <v>100</v>
      </c>
      <c r="AB59" s="193" t="n">
        <f aca="false">VLOOKUP($C59,PalData!$A$2:$BU$139,32,0)</f>
        <v>100</v>
      </c>
      <c r="AC59" s="193" t="n">
        <f aca="false">VLOOKUP($C59,PalData!$A$2:$BU$139,33,0)</f>
        <v>600</v>
      </c>
      <c r="AD59" s="193" t="n">
        <f aca="false">IF(INDEX(PalData,MATCH(C59,PalNames,0)+1,MATCH("Mount",PalData_Header,0)),INDEX(PalData,MATCH(C59,PalNames,0)+1,MATCH("RideSprintSpeed",PalData_Header,0)),)</f>
        <v>0</v>
      </c>
      <c r="AE59" s="193" t="n">
        <f aca="false" t="array" ref="AE59:AE59">IF(R59&gt;0, INDEX(PalData,MATCH(C59,PalNames,0)+1,MATCH("TransportSpeed",PalData_Header,0)),)</f>
        <v>400</v>
      </c>
      <c r="AF59" s="198" t="n">
        <f aca="false">VLOOKUP($C59,PalData!$A$2:$BU$139,26,0)</f>
        <v>1</v>
      </c>
      <c r="AG59" s="195" t="n">
        <f aca="false" t="array" ref="AG59:AG59">INDEX(PalData,MATCH(C59,PalNames,0)+1,MATCH("MaleProbability",PalData_Header,0))</f>
        <v>50</v>
      </c>
    </row>
    <row r="60" customFormat="false" ht="26.25" hidden="false" customHeight="true" outlineLevel="0" collapsed="false">
      <c r="A60" s="196" t="n">
        <f aca="false">VLOOKUP($C60,PalData!$A$2:$BU$139,9,0)</f>
        <v>48</v>
      </c>
      <c r="B60" s="197" t="str">
        <f aca="false" t="array" ref="B60:B60">INDEX(PalData,MATCH(C60,PalNames,0)+1,MATCH("ZukanIndexSuffix",PalData_Header,0))</f>
        <v>B</v>
      </c>
      <c r="C60" s="185" t="s">
        <v>127</v>
      </c>
      <c r="D60" s="186" t="n">
        <f aca="false">IFERROR(INDEX(PalData,MATCH(C60,PalNames,0)+1,MATCH("Image",PalData_Header,0)),)</f>
        <v>0</v>
      </c>
      <c r="E60" s="187" t="str">
        <f aca="false">IFERROR(__xludf.dummyfunction("SPLIT(VLOOKUP($C60,PalData!$A$2:$BU$139,13,0),""EPalElementType::"",0,1)"),"Leaf")</f>
        <v>Leaf</v>
      </c>
      <c r="F60" s="187" t="str">
        <f aca="false">IFERROR(__xludf.dummyfunction("if(SPLIT(VLOOKUP($C60,PalData!$A$2:$BU$139,14,0),""EPalElementType::"",0,1)=""None"","""",SPLIT(VLOOKUP($C60,PalData!$A$2:$BU$139,14,0),""EPalElementType::"",0,1))"),"Earth")</f>
        <v>Earth</v>
      </c>
      <c r="G60" s="188" t="str">
        <f aca="false">IF(VLOOKUP($C60,PalData!$A$2:$BU$139,48,0),"🌜","")</f>
        <v/>
      </c>
      <c r="H60" s="189" t="n">
        <f aca="false">VLOOKUP($C60,PalData!$A$2:$BU$139,55,0)</f>
        <v>0</v>
      </c>
      <c r="I60" s="189" t="n">
        <f aca="false">VLOOKUP($C60,PalData!$A$2:$BU$139,56,0)</f>
        <v>0</v>
      </c>
      <c r="J60" s="189" t="n">
        <f aca="false">VLOOKUP($C60,PalData!$A$2:$BU$139,57,0)</f>
        <v>0</v>
      </c>
      <c r="K60" s="189" t="n">
        <f aca="false">VLOOKUP($C60,PalData!$A$2:$BU$139,58,0)</f>
        <v>0</v>
      </c>
      <c r="L60" s="189" t="n">
        <f aca="false">VLOOKUP($C60,PalData!$A$2:$BU$139,59,0)</f>
        <v>2</v>
      </c>
      <c r="M60" s="189" t="n">
        <f aca="false">VLOOKUP($C60,PalData!$A$2:$BU$139,60,0)</f>
        <v>2</v>
      </c>
      <c r="N60" s="189" t="n">
        <f aca="false">VLOOKUP($C60,PalData!$A$2:$BU$139,61,0)</f>
        <v>1</v>
      </c>
      <c r="O60" s="189" t="n">
        <f aca="false">VLOOKUP($C60,PalData!$A$2:$BU$139,62,0)</f>
        <v>0</v>
      </c>
      <c r="P60" s="189" t="n">
        <f aca="false">VLOOKUP($C60,PalData!$A$2:$BU$139,64,0)</f>
        <v>1</v>
      </c>
      <c r="Q60" s="189" t="n">
        <f aca="false">VLOOKUP($C60,PalData!$A$2:$BU$139,65,0)</f>
        <v>0</v>
      </c>
      <c r="R60" s="189" t="n">
        <f aca="false">VLOOKUP($C60,PalData!$A$2:$BU$139,66,0)</f>
        <v>2</v>
      </c>
      <c r="S60" s="189" t="n">
        <f aca="false">VLOOKUP($C60,PalData!$A$2:$BU$139,67,0)</f>
        <v>0</v>
      </c>
      <c r="T60" s="190" t="n">
        <f aca="false">VLOOKUP($C60,PalData!$A$2:$BU$139,43,0)</f>
        <v>3</v>
      </c>
      <c r="U60" s="188" t="n">
        <f aca="false">VLOOKUP($C60,PalData!$A$2:$BU$139,54,0)</f>
        <v>1000</v>
      </c>
      <c r="V60" s="191" t="n">
        <f aca="false">VLOOKUP($C60,PalData!$A$2:$BU$139,19,0)</f>
        <v>90</v>
      </c>
      <c r="W60" s="191" t="n">
        <f aca="false">VLOOKUP($C60,PalData!$A$2:$BU$139,20,0)</f>
        <v>100</v>
      </c>
      <c r="X60" s="191" t="n">
        <f aca="false">VLOOKUP($C60,PalData!$A$2:$BU$139,21,0)</f>
        <v>105</v>
      </c>
      <c r="Y60" s="191" t="n">
        <f aca="false">VLOOKUP($C60,PalData!$A$2:$BU$139,22,0)</f>
        <v>80</v>
      </c>
      <c r="Z60" s="192" t="n">
        <f aca="false">VLOOKUP($C60,PalData!$A$2:$BU$139,28,0)</f>
        <v>2150</v>
      </c>
      <c r="AA60" s="193" t="n">
        <f aca="false" t="array" ref="AA60:AA60">INDEX(PalData,MATCH(C60,PalNames,0)+1,MATCH("Stamina",PalData_Header,0))</f>
        <v>100</v>
      </c>
      <c r="AB60" s="193" t="n">
        <f aca="false">VLOOKUP($C60,PalData!$A$2:$BU$139,32,0)</f>
        <v>100</v>
      </c>
      <c r="AC60" s="193" t="n">
        <f aca="false">VLOOKUP($C60,PalData!$A$2:$BU$139,33,0)</f>
        <v>600</v>
      </c>
      <c r="AD60" s="193" t="n">
        <f aca="false">IF(INDEX(PalData,MATCH(C60,PalNames,0)+1,MATCH("Mount",PalData_Header,0)),INDEX(PalData,MATCH(C60,PalNames,0)+1,MATCH("RideSprintSpeed",PalData_Header,0)),)</f>
        <v>0</v>
      </c>
      <c r="AE60" s="193" t="n">
        <f aca="false" t="array" ref="AE60:AE60">IF(R60&gt;0, INDEX(PalData,MATCH(C60,PalNames,0)+1,MATCH("TransportSpeed",PalData_Header,0)),)</f>
        <v>400</v>
      </c>
      <c r="AF60" s="198" t="n">
        <f aca="false">VLOOKUP($C60,PalData!$A$2:$BU$139,26,0)</f>
        <v>1</v>
      </c>
      <c r="AG60" s="195" t="n">
        <f aca="false" t="array" ref="AG60:AG60">INDEX(PalData,MATCH(C60,PalNames,0)+1,MATCH("MaleProbability",PalData_Header,0))</f>
        <v>50</v>
      </c>
    </row>
    <row r="61" customFormat="false" ht="26.25" hidden="false" customHeight="true" outlineLevel="0" collapsed="false">
      <c r="A61" s="196" t="n">
        <f aca="false">VLOOKUP($C61,PalData!$A$2:$BU$139,9,0)</f>
        <v>49</v>
      </c>
      <c r="B61" s="197" t="n">
        <f aca="false">INDEX(PalData,MATCH(C61,PalNames,0)+1,MATCH("ZukanIndexSuffix",PalData_Header,0))</f>
        <v>0</v>
      </c>
      <c r="C61" s="185" t="s">
        <v>66</v>
      </c>
      <c r="D61" s="186" t="n">
        <f aca="false">IFERROR(INDEX(PalData,MATCH(C61,PalNames,0)+1,MATCH("Image",PalData_Header,0)),)</f>
        <v>0</v>
      </c>
      <c r="E61" s="187" t="str">
        <f aca="false">IFERROR(__xludf.dummyfunction("SPLIT(VLOOKUP($C61,PalData!$A$2:$BU$139,13,0),""EPalElementType::"",0,1)"),"Normal")</f>
        <v>Normal</v>
      </c>
      <c r="F61" s="187" t="str">
        <f aca="false">IFERROR(__xludf.dummyfunction("if(SPLIT(VLOOKUP($C61,PalData!$A$2:$BU$139,14,0),""EPalElementType::"",0,1)=""None"","""",SPLIT(VLOOKUP($C61,PalData!$A$2:$BU$139,14,0),""EPalElementType::"",0,1))"),"")</f>
        <v/>
      </c>
      <c r="G61" s="188" t="str">
        <f aca="false">IF(VLOOKUP($C61,PalData!$A$2:$BU$139,48,0),"🌜","")</f>
        <v/>
      </c>
      <c r="H61" s="189" t="n">
        <f aca="false">VLOOKUP($C61,PalData!$A$2:$BU$139,55,0)</f>
        <v>0</v>
      </c>
      <c r="I61" s="189" t="n">
        <f aca="false">VLOOKUP($C61,PalData!$A$2:$BU$139,56,0)</f>
        <v>0</v>
      </c>
      <c r="J61" s="189" t="n">
        <f aca="false">VLOOKUP($C61,PalData!$A$2:$BU$139,57,0)</f>
        <v>0</v>
      </c>
      <c r="K61" s="189" t="n">
        <f aca="false">VLOOKUP($C61,PalData!$A$2:$BU$139,58,0)</f>
        <v>0</v>
      </c>
      <c r="L61" s="189" t="n">
        <f aca="false">VLOOKUP($C61,PalData!$A$2:$BU$139,59,0)</f>
        <v>1</v>
      </c>
      <c r="M61" s="189" t="n">
        <f aca="false">VLOOKUP($C61,PalData!$A$2:$BU$139,60,0)</f>
        <v>0</v>
      </c>
      <c r="N61" s="189" t="n">
        <f aca="false">VLOOKUP($C61,PalData!$A$2:$BU$139,61,0)</f>
        <v>2</v>
      </c>
      <c r="O61" s="189" t="n">
        <f aca="false">VLOOKUP($C61,PalData!$A$2:$BU$139,62,0)</f>
        <v>0</v>
      </c>
      <c r="P61" s="189" t="n">
        <f aca="false">VLOOKUP($C61,PalData!$A$2:$BU$139,64,0)</f>
        <v>0</v>
      </c>
      <c r="Q61" s="189" t="n">
        <f aca="false">VLOOKUP($C61,PalData!$A$2:$BU$139,65,0)</f>
        <v>0</v>
      </c>
      <c r="R61" s="189" t="n">
        <f aca="false">VLOOKUP($C61,PalData!$A$2:$BU$139,66,0)</f>
        <v>3</v>
      </c>
      <c r="S61" s="189" t="n">
        <f aca="false">VLOOKUP($C61,PalData!$A$2:$BU$139,67,0)</f>
        <v>0</v>
      </c>
      <c r="T61" s="190" t="n">
        <f aca="false">VLOOKUP($C61,PalData!$A$2:$BU$139,43,0)</f>
        <v>3</v>
      </c>
      <c r="U61" s="188" t="n">
        <f aca="false">VLOOKUP($C61,PalData!$A$2:$BU$139,54,0)</f>
        <v>1040</v>
      </c>
      <c r="V61" s="191" t="n">
        <f aca="false">VLOOKUP($C61,PalData!$A$2:$BU$139,19,0)</f>
        <v>90</v>
      </c>
      <c r="W61" s="191" t="n">
        <f aca="false">VLOOKUP($C61,PalData!$A$2:$BU$139,20,0)</f>
        <v>110</v>
      </c>
      <c r="X61" s="191" t="n">
        <f aca="false">VLOOKUP($C61,PalData!$A$2:$BU$139,21,0)</f>
        <v>95</v>
      </c>
      <c r="Y61" s="191" t="n">
        <f aca="false">VLOOKUP($C61,PalData!$A$2:$BU$139,22,0)</f>
        <v>90</v>
      </c>
      <c r="Z61" s="192" t="n">
        <f aca="false">VLOOKUP($C61,PalData!$A$2:$BU$139,28,0)</f>
        <v>2010</v>
      </c>
      <c r="AA61" s="193" t="n">
        <f aca="false" t="array" ref="AA61:AA61">INDEX(PalData,MATCH(C61,PalNames,0)+1,MATCH("Stamina",PalData_Header,0))</f>
        <v>100</v>
      </c>
      <c r="AB61" s="193" t="n">
        <f aca="false">VLOOKUP($C61,PalData!$A$2:$BU$139,32,0)</f>
        <v>100</v>
      </c>
      <c r="AC61" s="193" t="n">
        <f aca="false">VLOOKUP($C61,PalData!$A$2:$BU$139,33,0)</f>
        <v>550</v>
      </c>
      <c r="AD61" s="193" t="n">
        <f aca="false">IF(INDEX(PalData,MATCH(C61,PalNames,0)+1,MATCH("Mount",PalData_Header,0)),INDEX(PalData,MATCH(C61,PalNames,0)+1,MATCH("RideSprintSpeed",PalData_Header,0)),)</f>
        <v>0</v>
      </c>
      <c r="AE61" s="193" t="n">
        <f aca="false" t="array" ref="AE61:AE61">IF(R61&gt;0, INDEX(PalData,MATCH(C61,PalNames,0)+1,MATCH("TransportSpeed",PalData_Header,0)),)</f>
        <v>250</v>
      </c>
      <c r="AF61" s="198" t="n">
        <f aca="false">VLOOKUP($C61,PalData!$A$2:$BU$139,26,0)</f>
        <v>1</v>
      </c>
      <c r="AG61" s="195" t="n">
        <f aca="false" t="array" ref="AG61:AG61">INDEX(PalData,MATCH(C61,PalNames,0)+1,MATCH("MaleProbability",PalData_Header,0))</f>
        <v>50</v>
      </c>
    </row>
    <row r="62" customFormat="false" ht="26.25" hidden="false" customHeight="true" outlineLevel="0" collapsed="false">
      <c r="A62" s="196" t="n">
        <f aca="false">VLOOKUP($C62,PalData!$A$2:$BU$139,9,0)</f>
        <v>50</v>
      </c>
      <c r="B62" s="197" t="n">
        <f aca="false">INDEX(PalData,MATCH(C62,PalNames,0)+1,MATCH("ZukanIndexSuffix",PalData_Header,0))</f>
        <v>0</v>
      </c>
      <c r="C62" s="185" t="s">
        <v>22</v>
      </c>
      <c r="D62" s="186" t="n">
        <f aca="false">IFERROR(INDEX(PalData,MATCH(C62,PalNames,0)+1,MATCH("Image",PalData_Header,0)),)</f>
        <v>0</v>
      </c>
      <c r="E62" s="187" t="str">
        <f aca="false">IFERROR(__xludf.dummyfunction("SPLIT(VLOOKUP($C62,PalData!$A$2:$BU$139,13,0),""EPalElementType::"",0,1)"),"Leaf")</f>
        <v>Leaf</v>
      </c>
      <c r="F62" s="187" t="str">
        <f aca="false">IFERROR(__xludf.dummyfunction("if(SPLIT(VLOOKUP($C62,PalData!$A$2:$BU$139,14,0),""EPalElementType::"",0,1)=""None"","""",SPLIT(VLOOKUP($C62,PalData!$A$2:$BU$139,14,0),""EPalElementType::"",0,1))"),"")</f>
        <v/>
      </c>
      <c r="G62" s="188" t="str">
        <f aca="false">IF(VLOOKUP($C62,PalData!$A$2:$BU$139,48,0),"🌜","")</f>
        <v/>
      </c>
      <c r="H62" s="189" t="n">
        <f aca="false">VLOOKUP($C62,PalData!$A$2:$BU$139,55,0)</f>
        <v>0</v>
      </c>
      <c r="I62" s="189" t="n">
        <f aca="false">VLOOKUP($C62,PalData!$A$2:$BU$139,56,0)</f>
        <v>0</v>
      </c>
      <c r="J62" s="189" t="n">
        <f aca="false">VLOOKUP($C62,PalData!$A$2:$BU$139,57,0)</f>
        <v>1</v>
      </c>
      <c r="K62" s="189" t="n">
        <f aca="false">VLOOKUP($C62,PalData!$A$2:$BU$139,58,0)</f>
        <v>0</v>
      </c>
      <c r="L62" s="189" t="n">
        <f aca="false">VLOOKUP($C62,PalData!$A$2:$BU$139,59,0)</f>
        <v>1</v>
      </c>
      <c r="M62" s="189" t="n">
        <f aca="false">VLOOKUP($C62,PalData!$A$2:$BU$139,60,0)</f>
        <v>1</v>
      </c>
      <c r="N62" s="189" t="n">
        <f aca="false">VLOOKUP($C62,PalData!$A$2:$BU$139,61,0)</f>
        <v>1</v>
      </c>
      <c r="O62" s="189" t="n">
        <f aca="false">VLOOKUP($C62,PalData!$A$2:$BU$139,62,0)</f>
        <v>0</v>
      </c>
      <c r="P62" s="189" t="n">
        <f aca="false">VLOOKUP($C62,PalData!$A$2:$BU$139,64,0)</f>
        <v>1</v>
      </c>
      <c r="Q62" s="189" t="n">
        <f aca="false">VLOOKUP($C62,PalData!$A$2:$BU$139,65,0)</f>
        <v>0</v>
      </c>
      <c r="R62" s="189" t="n">
        <f aca="false">VLOOKUP($C62,PalData!$A$2:$BU$139,66,0)</f>
        <v>2</v>
      </c>
      <c r="S62" s="189" t="n">
        <f aca="false">VLOOKUP($C62,PalData!$A$2:$BU$139,67,0)</f>
        <v>1</v>
      </c>
      <c r="T62" s="190" t="n">
        <f aca="false">VLOOKUP($C62,PalData!$A$2:$BU$139,43,0)</f>
        <v>3</v>
      </c>
      <c r="U62" s="188" t="n">
        <f aca="false">VLOOKUP($C62,PalData!$A$2:$BU$139,54,0)</f>
        <v>1070</v>
      </c>
      <c r="V62" s="191" t="n">
        <f aca="false">VLOOKUP($C62,PalData!$A$2:$BU$139,19,0)</f>
        <v>80</v>
      </c>
      <c r="W62" s="191" t="n">
        <f aca="false">VLOOKUP($C62,PalData!$A$2:$BU$139,20,0)</f>
        <v>100</v>
      </c>
      <c r="X62" s="191" t="n">
        <f aca="false">VLOOKUP($C62,PalData!$A$2:$BU$139,21,0)</f>
        <v>90</v>
      </c>
      <c r="Y62" s="191" t="n">
        <f aca="false">VLOOKUP($C62,PalData!$A$2:$BU$139,22,0)</f>
        <v>90</v>
      </c>
      <c r="Z62" s="192" t="n">
        <f aca="false">VLOOKUP($C62,PalData!$A$2:$BU$139,28,0)</f>
        <v>1880</v>
      </c>
      <c r="AA62" s="193" t="n">
        <f aca="false" t="array" ref="AA62:AA62">INDEX(PalData,MATCH(C62,PalNames,0)+1,MATCH("Stamina",PalData_Header,0))</f>
        <v>100</v>
      </c>
      <c r="AB62" s="193" t="n">
        <f aca="false">VLOOKUP($C62,PalData!$A$2:$BU$139,32,0)</f>
        <v>250</v>
      </c>
      <c r="AC62" s="193" t="n">
        <f aca="false">VLOOKUP($C62,PalData!$A$2:$BU$139,33,0)</f>
        <v>450</v>
      </c>
      <c r="AD62" s="193" t="n">
        <f aca="false">IF(INDEX(PalData,MATCH(C62,PalNames,0)+1,MATCH("Mount",PalData_Header,0)),INDEX(PalData,MATCH(C62,PalNames,0)+1,MATCH("RideSprintSpeed",PalData_Header,0)),)</f>
        <v>0</v>
      </c>
      <c r="AE62" s="193" t="n">
        <f aca="false" t="array" ref="AE62:AE62">IF(R62&gt;0, INDEX(PalData,MATCH(C62,PalNames,0)+1,MATCH("TransportSpeed",PalData_Header,0)),)</f>
        <v>350</v>
      </c>
      <c r="AF62" s="198" t="n">
        <f aca="false">VLOOKUP($C62,PalData!$A$2:$BU$139,26,0)</f>
        <v>1</v>
      </c>
      <c r="AG62" s="195" t="n">
        <f aca="false" t="array" ref="AG62:AG62">INDEX(PalData,MATCH(C62,PalNames,0)+1,MATCH("MaleProbability",PalData_Header,0))</f>
        <v>10</v>
      </c>
    </row>
    <row r="63" customFormat="false" ht="26.25" hidden="false" customHeight="true" outlineLevel="0" collapsed="false">
      <c r="A63" s="196" t="n">
        <f aca="false">VLOOKUP($C63,PalData!$A$2:$BU$139,9,0)</f>
        <v>51</v>
      </c>
      <c r="B63" s="197" t="n">
        <f aca="false">INDEX(PalData,MATCH(C63,PalNames,0)+1,MATCH("ZukanIndexSuffix",PalData_Header,0))</f>
        <v>0</v>
      </c>
      <c r="C63" s="185" t="s">
        <v>50</v>
      </c>
      <c r="D63" s="186" t="n">
        <f aca="false">IFERROR(INDEX(PalData,MATCH(C63,PalNames,0)+1,MATCH("Image",PalData_Header,0)),)</f>
        <v>0</v>
      </c>
      <c r="E63" s="187" t="str">
        <f aca="false">IFERROR(__xludf.dummyfunction("SPLIT(VLOOKUP($C63,PalData!$A$2:$BU$139,13,0),""EPalElementType::"",0,1)"),"Leaf")</f>
        <v>Leaf</v>
      </c>
      <c r="F63" s="187" t="str">
        <f aca="false">IFERROR(__xludf.dummyfunction("if(SPLIT(VLOOKUP($C63,PalData!$A$2:$BU$139,14,0),""EPalElementType::"",0,1)=""None"","""",SPLIT(VLOOKUP($C63,PalData!$A$2:$BU$139,14,0),""EPalElementType::"",0,1))"),"")</f>
        <v/>
      </c>
      <c r="G63" s="188" t="str">
        <f aca="false">IF(VLOOKUP($C63,PalData!$A$2:$BU$139,48,0),"🌜","")</f>
        <v/>
      </c>
      <c r="H63" s="189" t="n">
        <f aca="false">VLOOKUP($C63,PalData!$A$2:$BU$139,55,0)</f>
        <v>0</v>
      </c>
      <c r="I63" s="189" t="n">
        <f aca="false">VLOOKUP($C63,PalData!$A$2:$BU$139,56,0)</f>
        <v>0</v>
      </c>
      <c r="J63" s="189" t="n">
        <f aca="false">VLOOKUP($C63,PalData!$A$2:$BU$139,57,0)</f>
        <v>2</v>
      </c>
      <c r="K63" s="189" t="n">
        <f aca="false">VLOOKUP($C63,PalData!$A$2:$BU$139,58,0)</f>
        <v>0</v>
      </c>
      <c r="L63" s="189" t="n">
        <f aca="false">VLOOKUP($C63,PalData!$A$2:$BU$139,59,0)</f>
        <v>2</v>
      </c>
      <c r="M63" s="189" t="n">
        <f aca="false">VLOOKUP($C63,PalData!$A$2:$BU$139,60,0)</f>
        <v>2</v>
      </c>
      <c r="N63" s="189" t="n">
        <f aca="false">VLOOKUP($C63,PalData!$A$2:$BU$139,61,0)</f>
        <v>1</v>
      </c>
      <c r="O63" s="189" t="n">
        <f aca="false">VLOOKUP($C63,PalData!$A$2:$BU$139,62,0)</f>
        <v>0</v>
      </c>
      <c r="P63" s="189" t="n">
        <f aca="false">VLOOKUP($C63,PalData!$A$2:$BU$139,64,0)</f>
        <v>2</v>
      </c>
      <c r="Q63" s="189" t="n">
        <f aca="false">VLOOKUP($C63,PalData!$A$2:$BU$139,65,0)</f>
        <v>0</v>
      </c>
      <c r="R63" s="189" t="n">
        <f aca="false">VLOOKUP($C63,PalData!$A$2:$BU$139,66,0)</f>
        <v>0</v>
      </c>
      <c r="S63" s="189" t="n">
        <f aca="false">VLOOKUP($C63,PalData!$A$2:$BU$139,67,0)</f>
        <v>0</v>
      </c>
      <c r="T63" s="190" t="n">
        <f aca="false">VLOOKUP($C63,PalData!$A$2:$BU$139,43,0)</f>
        <v>7</v>
      </c>
      <c r="U63" s="188" t="n">
        <f aca="false">VLOOKUP($C63,PalData!$A$2:$BU$139,54,0)</f>
        <v>330</v>
      </c>
      <c r="V63" s="191" t="n">
        <f aca="false">VLOOKUP($C63,PalData!$A$2:$BU$139,19,0)</f>
        <v>90</v>
      </c>
      <c r="W63" s="191" t="n">
        <f aca="false">VLOOKUP($C63,PalData!$A$2:$BU$139,20,0)</f>
        <v>100</v>
      </c>
      <c r="X63" s="191" t="n">
        <f aca="false">VLOOKUP($C63,PalData!$A$2:$BU$139,21,0)</f>
        <v>105</v>
      </c>
      <c r="Y63" s="191" t="n">
        <f aca="false">VLOOKUP($C63,PalData!$A$2:$BU$139,22,0)</f>
        <v>100</v>
      </c>
      <c r="Z63" s="192" t="n">
        <f aca="false">VLOOKUP($C63,PalData!$A$2:$BU$139,28,0)</f>
        <v>6830</v>
      </c>
      <c r="AA63" s="193" t="n">
        <f aca="false" t="array" ref="AA63:AA63">INDEX(PalData,MATCH(C63,PalNames,0)+1,MATCH("Stamina",PalData_Header,0))</f>
        <v>100</v>
      </c>
      <c r="AB63" s="193" t="n">
        <f aca="false">VLOOKUP($C63,PalData!$A$2:$BU$139,32,0)</f>
        <v>250</v>
      </c>
      <c r="AC63" s="193" t="n">
        <f aca="false">VLOOKUP($C63,PalData!$A$2:$BU$139,33,0)</f>
        <v>450</v>
      </c>
      <c r="AD63" s="193" t="n">
        <f aca="false">IF(INDEX(PalData,MATCH(C63,PalNames,0)+1,MATCH("Mount",PalData_Header,0)),INDEX(PalData,MATCH(C63,PalNames,0)+1,MATCH("RideSprintSpeed",PalData_Header,0)),)</f>
        <v>0</v>
      </c>
      <c r="AE63" s="193" t="n">
        <f aca="false">IF(R63&gt;0, INDEX(PalData,MATCH(C63,PalNames,0)+1,MATCH("TransportSpeed",PalData_Header,0)),)</f>
        <v>0</v>
      </c>
      <c r="AF63" s="198" t="n">
        <f aca="false">VLOOKUP($C63,PalData!$A$2:$BU$139,26,0)</f>
        <v>1</v>
      </c>
      <c r="AG63" s="195" t="n">
        <f aca="false" t="array" ref="AG63:AG63">INDEX(PalData,MATCH(C63,PalNames,0)+1,MATCH("MaleProbability",PalData_Header,0))</f>
        <v>10</v>
      </c>
    </row>
    <row r="64" customFormat="false" ht="26.25" hidden="false" customHeight="true" outlineLevel="0" collapsed="false">
      <c r="A64" s="196" t="n">
        <f aca="false">VLOOKUP($C64,PalData!$A$2:$BU$139,9,0)</f>
        <v>52</v>
      </c>
      <c r="B64" s="197" t="n">
        <f aca="false">INDEX(PalData,MATCH(C64,PalNames,0)+1,MATCH("ZukanIndexSuffix",PalData_Header,0))</f>
        <v>0</v>
      </c>
      <c r="C64" s="185" t="s">
        <v>67</v>
      </c>
      <c r="D64" s="186" t="n">
        <f aca="false">IFERROR(INDEX(PalData,MATCH(C64,PalNames,0)+1,MATCH("Image",PalData_Header,0)),)</f>
        <v>0</v>
      </c>
      <c r="E64" s="187" t="str">
        <f aca="false">IFERROR(__xludf.dummyfunction("SPLIT(VLOOKUP($C64,PalData!$A$2:$BU$139,13,0),""EPalElementType::"",0,1)"),"Normal")</f>
        <v>Normal</v>
      </c>
      <c r="F64" s="187" t="str">
        <f aca="false">IFERROR(__xludf.dummyfunction("if(SPLIT(VLOOKUP($C64,PalData!$A$2:$BU$139,14,0),""EPalElementType::"",0,1)=""None"","""",SPLIT(VLOOKUP($C64,PalData!$A$2:$BU$139,14,0),""EPalElementType::"",0,1))"),"")</f>
        <v/>
      </c>
      <c r="G64" s="188" t="str">
        <f aca="false">IF(VLOOKUP($C64,PalData!$A$2:$BU$139,48,0),"🌜","")</f>
        <v/>
      </c>
      <c r="H64" s="189" t="n">
        <f aca="false">VLOOKUP($C64,PalData!$A$2:$BU$139,55,0)</f>
        <v>0</v>
      </c>
      <c r="I64" s="189" t="n">
        <f aca="false">VLOOKUP($C64,PalData!$A$2:$BU$139,56,0)</f>
        <v>0</v>
      </c>
      <c r="J64" s="189" t="n">
        <f aca="false">VLOOKUP($C64,PalData!$A$2:$BU$139,57,0)</f>
        <v>0</v>
      </c>
      <c r="K64" s="189" t="n">
        <f aca="false">VLOOKUP($C64,PalData!$A$2:$BU$139,58,0)</f>
        <v>0</v>
      </c>
      <c r="L64" s="189" t="n">
        <f aca="false">VLOOKUP($C64,PalData!$A$2:$BU$139,59,0)</f>
        <v>0</v>
      </c>
      <c r="M64" s="189" t="n">
        <f aca="false">VLOOKUP($C64,PalData!$A$2:$BU$139,60,0)</f>
        <v>2</v>
      </c>
      <c r="N64" s="189" t="n">
        <f aca="false">VLOOKUP($C64,PalData!$A$2:$BU$139,61,0)</f>
        <v>0</v>
      </c>
      <c r="O64" s="189" t="n">
        <f aca="false">VLOOKUP($C64,PalData!$A$2:$BU$139,62,0)</f>
        <v>0</v>
      </c>
      <c r="P64" s="189" t="n">
        <f aca="false">VLOOKUP($C64,PalData!$A$2:$BU$139,64,0)</f>
        <v>0</v>
      </c>
      <c r="Q64" s="189" t="n">
        <f aca="false">VLOOKUP($C64,PalData!$A$2:$BU$139,65,0)</f>
        <v>0</v>
      </c>
      <c r="R64" s="189" t="n">
        <f aca="false">VLOOKUP($C64,PalData!$A$2:$BU$139,66,0)</f>
        <v>0</v>
      </c>
      <c r="S64" s="189" t="n">
        <f aca="false">VLOOKUP($C64,PalData!$A$2:$BU$139,67,0)</f>
        <v>0</v>
      </c>
      <c r="T64" s="190" t="n">
        <f aca="false">VLOOKUP($C64,PalData!$A$2:$BU$139,43,0)</f>
        <v>4</v>
      </c>
      <c r="U64" s="188" t="n">
        <f aca="false">VLOOKUP($C64,PalData!$A$2:$BU$139,54,0)</f>
        <v>510</v>
      </c>
      <c r="V64" s="191" t="n">
        <f aca="false">VLOOKUP($C64,PalData!$A$2:$BU$139,19,0)</f>
        <v>110</v>
      </c>
      <c r="W64" s="191" t="n">
        <f aca="false">VLOOKUP($C64,PalData!$A$2:$BU$139,20,0)</f>
        <v>100</v>
      </c>
      <c r="X64" s="191" t="n">
        <f aca="false">VLOOKUP($C64,PalData!$A$2:$BU$139,21,0)</f>
        <v>80</v>
      </c>
      <c r="Y64" s="191" t="n">
        <f aca="false">VLOOKUP($C64,PalData!$A$2:$BU$139,22,0)</f>
        <v>80</v>
      </c>
      <c r="Z64" s="192" t="n">
        <f aca="false">VLOOKUP($C64,PalData!$A$2:$BU$139,28,0)</f>
        <v>5510</v>
      </c>
      <c r="AA64" s="193" t="n">
        <f aca="false" t="array" ref="AA64:AA64">INDEX(PalData,MATCH(C64,PalNames,0)+1,MATCH("Stamina",PalData_Header,0))</f>
        <v>100</v>
      </c>
      <c r="AB64" s="193" t="n">
        <f aca="false">VLOOKUP($C64,PalData!$A$2:$BU$139,32,0)</f>
        <v>64</v>
      </c>
      <c r="AC64" s="193" t="n">
        <f aca="false">VLOOKUP($C64,PalData!$A$2:$BU$139,33,0)</f>
        <v>600</v>
      </c>
      <c r="AD64" s="193" t="n">
        <f aca="false" t="array" ref="AD64:AD64">IF(INDEX(PalData,MATCH(C64,PalNames,0)+1,MATCH("Mount",PalData_Header,0)),INDEX(PalData,MATCH(C64,PalNames,0)+1,MATCH("RideSprintSpeed",PalData_Header,0)),)</f>
        <v>800</v>
      </c>
      <c r="AE64" s="193" t="n">
        <f aca="false">IF(R64&gt;0, INDEX(PalData,MATCH(C64,PalNames,0)+1,MATCH("TransportSpeed",PalData_Header,0)),)</f>
        <v>0</v>
      </c>
      <c r="AF64" s="198" t="n">
        <f aca="false">VLOOKUP($C64,PalData!$A$2:$BU$139,26,0)</f>
        <v>1</v>
      </c>
      <c r="AG64" s="195" t="n">
        <f aca="false" t="array" ref="AG64:AG64">INDEX(PalData,MATCH(C64,PalNames,0)+1,MATCH("MaleProbability",PalData_Header,0))</f>
        <v>50</v>
      </c>
    </row>
    <row r="65" customFormat="false" ht="26.25" hidden="false" customHeight="true" outlineLevel="0" collapsed="false">
      <c r="A65" s="196" t="n">
        <f aca="false">VLOOKUP($C65,PalData!$A$2:$BU$139,9,0)</f>
        <v>53</v>
      </c>
      <c r="B65" s="197" t="n">
        <f aca="false">INDEX(PalData,MATCH(C65,PalNames,0)+1,MATCH("ZukanIndexSuffix",PalData_Header,0))</f>
        <v>0</v>
      </c>
      <c r="C65" s="185" t="s">
        <v>137</v>
      </c>
      <c r="D65" s="186" t="n">
        <f aca="false">IFERROR(INDEX(PalData,MATCH(C65,PalNames,0)+1,MATCH("Image",PalData_Header,0)),)</f>
        <v>0</v>
      </c>
      <c r="E65" s="187" t="str">
        <f aca="false">IFERROR(__xludf.dummyfunction("SPLIT(VLOOKUP($C65,PalData!$A$2:$BU$139,13,0),""EPalElementType::"",0,1)"),"Ice")</f>
        <v>Ice</v>
      </c>
      <c r="F65" s="187" t="str">
        <f aca="false">IFERROR(__xludf.dummyfunction("if(SPLIT(VLOOKUP($C65,PalData!$A$2:$BU$139,14,0),""EPalElementType::"",0,1)=""None"","""",SPLIT(VLOOKUP($C65,PalData!$A$2:$BU$139,14,0),""EPalElementType::"",0,1))"),"")</f>
        <v/>
      </c>
      <c r="G65" s="188" t="str">
        <f aca="false">IF(VLOOKUP($C65,PalData!$A$2:$BU$139,48,0),"🌜","")</f>
        <v/>
      </c>
      <c r="H65" s="189" t="n">
        <f aca="false">VLOOKUP($C65,PalData!$A$2:$BU$139,55,0)</f>
        <v>0</v>
      </c>
      <c r="I65" s="189" t="n">
        <f aca="false">VLOOKUP($C65,PalData!$A$2:$BU$139,56,0)</f>
        <v>0</v>
      </c>
      <c r="J65" s="189" t="n">
        <f aca="false">VLOOKUP($C65,PalData!$A$2:$BU$139,57,0)</f>
        <v>0</v>
      </c>
      <c r="K65" s="189" t="n">
        <f aca="false">VLOOKUP($C65,PalData!$A$2:$BU$139,58,0)</f>
        <v>0</v>
      </c>
      <c r="L65" s="189" t="n">
        <f aca="false">VLOOKUP($C65,PalData!$A$2:$BU$139,59,0)</f>
        <v>0</v>
      </c>
      <c r="M65" s="189" t="n">
        <f aca="false">VLOOKUP($C65,PalData!$A$2:$BU$139,60,0)</f>
        <v>1</v>
      </c>
      <c r="N65" s="189" t="n">
        <f aca="false">VLOOKUP($C65,PalData!$A$2:$BU$139,61,0)</f>
        <v>0</v>
      </c>
      <c r="O65" s="189" t="n">
        <f aca="false">VLOOKUP($C65,PalData!$A$2:$BU$139,62,0)</f>
        <v>0</v>
      </c>
      <c r="P65" s="189" t="n">
        <f aca="false">VLOOKUP($C65,PalData!$A$2:$BU$139,64,0)</f>
        <v>0</v>
      </c>
      <c r="Q65" s="189" t="n">
        <f aca="false">VLOOKUP($C65,PalData!$A$2:$BU$139,65,0)</f>
        <v>1</v>
      </c>
      <c r="R65" s="189" t="n">
        <f aca="false">VLOOKUP($C65,PalData!$A$2:$BU$139,66,0)</f>
        <v>0</v>
      </c>
      <c r="S65" s="189" t="n">
        <f aca="false">VLOOKUP($C65,PalData!$A$2:$BU$139,67,0)</f>
        <v>0</v>
      </c>
      <c r="T65" s="190" t="n">
        <f aca="false">VLOOKUP($C65,PalData!$A$2:$BU$139,43,0)</f>
        <v>2</v>
      </c>
      <c r="U65" s="188" t="n">
        <f aca="false">VLOOKUP($C65,PalData!$A$2:$BU$139,54,0)</f>
        <v>1300</v>
      </c>
      <c r="V65" s="191" t="n">
        <f aca="false">VLOOKUP($C65,PalData!$A$2:$BU$139,19,0)</f>
        <v>60</v>
      </c>
      <c r="W65" s="191" t="n">
        <f aca="false">VLOOKUP($C65,PalData!$A$2:$BU$139,20,0)</f>
        <v>100</v>
      </c>
      <c r="X65" s="191" t="n">
        <f aca="false">VLOOKUP($C65,PalData!$A$2:$BU$139,21,0)</f>
        <v>60</v>
      </c>
      <c r="Y65" s="191" t="n">
        <f aca="false">VLOOKUP($C65,PalData!$A$2:$BU$139,22,0)</f>
        <v>60</v>
      </c>
      <c r="Z65" s="192" t="n">
        <f aca="false">VLOOKUP($C65,PalData!$A$2:$BU$139,28,0)</f>
        <v>1180</v>
      </c>
      <c r="AA65" s="193" t="n">
        <f aca="false" t="array" ref="AA65:AA65">INDEX(PalData,MATCH(C65,PalNames,0)+1,MATCH("Stamina",PalData_Header,0))</f>
        <v>100</v>
      </c>
      <c r="AB65" s="193" t="n">
        <f aca="false">VLOOKUP($C65,PalData!$A$2:$BU$139,32,0)</f>
        <v>100</v>
      </c>
      <c r="AC65" s="193" t="n">
        <f aca="false">VLOOKUP($C65,PalData!$A$2:$BU$139,33,0)</f>
        <v>250</v>
      </c>
      <c r="AD65" s="193" t="n">
        <f aca="false">IF(INDEX(PalData,MATCH(C65,PalNames,0)+1,MATCH("Mount",PalData_Header,0)),INDEX(PalData,MATCH(C65,PalNames,0)+1,MATCH("RideSprintSpeed",PalData_Header,0)),)</f>
        <v>0</v>
      </c>
      <c r="AE65" s="193" t="n">
        <f aca="false">IF(R65&gt;0, INDEX(PalData,MATCH(C65,PalNames,0)+1,MATCH("TransportSpeed",PalData_Header,0)),)</f>
        <v>0</v>
      </c>
      <c r="AF65" s="198" t="n">
        <f aca="false">VLOOKUP($C65,PalData!$A$2:$BU$139,26,0)</f>
        <v>1.1</v>
      </c>
      <c r="AG65" s="195" t="n">
        <f aca="false" t="array" ref="AG65:AG65">INDEX(PalData,MATCH(C65,PalNames,0)+1,MATCH("MaleProbability",PalData_Header,0))</f>
        <v>50</v>
      </c>
    </row>
    <row r="66" customFormat="false" ht="26.25" hidden="false" customHeight="true" outlineLevel="0" collapsed="false">
      <c r="A66" s="196" t="n">
        <f aca="false">VLOOKUP($C66,PalData!$A$2:$BU$139,9,0)</f>
        <v>54</v>
      </c>
      <c r="B66" s="197" t="n">
        <f aca="false">INDEX(PalData,MATCH(C66,PalNames,0)+1,MATCH("ZukanIndexSuffix",PalData_Header,0))</f>
        <v>0</v>
      </c>
      <c r="C66" s="185" t="s">
        <v>138</v>
      </c>
      <c r="D66" s="186" t="n">
        <f aca="false">IFERROR(INDEX(PalData,MATCH(C66,PalNames,0)+1,MATCH("Image",PalData_Header,0)),)</f>
        <v>0</v>
      </c>
      <c r="E66" s="187" t="str">
        <f aca="false">IFERROR(__xludf.dummyfunction("SPLIT(VLOOKUP($C66,PalData!$A$2:$BU$139,13,0),""EPalElementType::"",0,1)"),"Ice")</f>
        <v>Ice</v>
      </c>
      <c r="F66" s="187" t="str">
        <f aca="false">IFERROR(__xludf.dummyfunction("if(SPLIT(VLOOKUP($C66,PalData!$A$2:$BU$139,14,0),""EPalElementType::"",0,1)=""None"","""",SPLIT(VLOOKUP($C66,PalData!$A$2:$BU$139,14,0),""EPalElementType::"",0,1))"),"")</f>
        <v/>
      </c>
      <c r="G66" s="188" t="str">
        <f aca="false">IF(VLOOKUP($C66,PalData!$A$2:$BU$139,48,0),"🌜","")</f>
        <v/>
      </c>
      <c r="H66" s="189" t="n">
        <f aca="false">VLOOKUP($C66,PalData!$A$2:$BU$139,55,0)</f>
        <v>0</v>
      </c>
      <c r="I66" s="189" t="n">
        <f aca="false">VLOOKUP($C66,PalData!$A$2:$BU$139,56,0)</f>
        <v>0</v>
      </c>
      <c r="J66" s="189" t="n">
        <f aca="false">VLOOKUP($C66,PalData!$A$2:$BU$139,57,0)</f>
        <v>0</v>
      </c>
      <c r="K66" s="189" t="n">
        <f aca="false">VLOOKUP($C66,PalData!$A$2:$BU$139,58,0)</f>
        <v>0</v>
      </c>
      <c r="L66" s="189" t="n">
        <f aca="false">VLOOKUP($C66,PalData!$A$2:$BU$139,59,0)</f>
        <v>0</v>
      </c>
      <c r="M66" s="189" t="n">
        <f aca="false">VLOOKUP($C66,PalData!$A$2:$BU$139,60,0)</f>
        <v>2</v>
      </c>
      <c r="N66" s="189" t="n">
        <f aca="false">VLOOKUP($C66,PalData!$A$2:$BU$139,61,0)</f>
        <v>0</v>
      </c>
      <c r="O66" s="189" t="n">
        <f aca="false">VLOOKUP($C66,PalData!$A$2:$BU$139,62,0)</f>
        <v>0</v>
      </c>
      <c r="P66" s="189" t="n">
        <f aca="false">VLOOKUP($C66,PalData!$A$2:$BU$139,64,0)</f>
        <v>0</v>
      </c>
      <c r="Q66" s="189" t="n">
        <f aca="false">VLOOKUP($C66,PalData!$A$2:$BU$139,65,0)</f>
        <v>2</v>
      </c>
      <c r="R66" s="189" t="n">
        <f aca="false">VLOOKUP($C66,PalData!$A$2:$BU$139,66,0)</f>
        <v>0</v>
      </c>
      <c r="S66" s="189" t="n">
        <f aca="false">VLOOKUP($C66,PalData!$A$2:$BU$139,67,0)</f>
        <v>0</v>
      </c>
      <c r="T66" s="190" t="n">
        <f aca="false">VLOOKUP($C66,PalData!$A$2:$BU$139,43,0)</f>
        <v>3</v>
      </c>
      <c r="U66" s="188" t="n">
        <f aca="false">VLOOKUP($C66,PalData!$A$2:$BU$139,54,0)</f>
        <v>410</v>
      </c>
      <c r="V66" s="191" t="n">
        <f aca="false">VLOOKUP($C66,PalData!$A$2:$BU$139,19,0)</f>
        <v>100</v>
      </c>
      <c r="W66" s="191" t="n">
        <f aca="false">VLOOKUP($C66,PalData!$A$2:$BU$139,20,0)</f>
        <v>100</v>
      </c>
      <c r="X66" s="191" t="n">
        <f aca="false">VLOOKUP($C66,PalData!$A$2:$BU$139,21,0)</f>
        <v>90</v>
      </c>
      <c r="Y66" s="191" t="n">
        <f aca="false">VLOOKUP($C66,PalData!$A$2:$BU$139,22,0)</f>
        <v>90</v>
      </c>
      <c r="Z66" s="192" t="n">
        <f aca="false">VLOOKUP($C66,PalData!$A$2:$BU$139,28,0)</f>
        <v>6400</v>
      </c>
      <c r="AA66" s="193" t="n">
        <f aca="false" t="array" ref="AA66:AA66">INDEX(PalData,MATCH(C66,PalNames,0)+1,MATCH("Stamina",PalData_Header,0))</f>
        <v>100</v>
      </c>
      <c r="AB66" s="193" t="n">
        <f aca="false">VLOOKUP($C66,PalData!$A$2:$BU$139,32,0)</f>
        <v>120</v>
      </c>
      <c r="AC66" s="193" t="n">
        <f aca="false">VLOOKUP($C66,PalData!$A$2:$BU$139,33,0)</f>
        <v>300</v>
      </c>
      <c r="AD66" s="193" t="n">
        <f aca="false" t="array" ref="AD66:AD66">IF(INDEX(PalData,MATCH(C66,PalNames,0)+1,MATCH("Mount",PalData_Header,0)),INDEX(PalData,MATCH(C66,PalNames,0)+1,MATCH("RideSprintSpeed",PalData_Header,0)),)</f>
        <v>500</v>
      </c>
      <c r="AE66" s="193" t="n">
        <f aca="false">IF(R66&gt;0, INDEX(PalData,MATCH(C66,PalNames,0)+1,MATCH("TransportSpeed",PalData_Header,0)),)</f>
        <v>0</v>
      </c>
      <c r="AF66" s="198" t="n">
        <f aca="false">VLOOKUP($C66,PalData!$A$2:$BU$139,26,0)</f>
        <v>1</v>
      </c>
      <c r="AG66" s="195" t="n">
        <f aca="false" t="array" ref="AG66:AG66">INDEX(PalData,MATCH(C66,PalNames,0)+1,MATCH("MaleProbability",PalData_Header,0))</f>
        <v>50</v>
      </c>
    </row>
    <row r="67" customFormat="false" ht="26.25" hidden="false" customHeight="true" outlineLevel="0" collapsed="false">
      <c r="A67" s="196" t="n">
        <f aca="false">VLOOKUP($C67,PalData!$A$2:$BU$139,9,0)</f>
        <v>55</v>
      </c>
      <c r="B67" s="197" t="n">
        <f aca="false">INDEX(PalData,MATCH(C67,PalNames,0)+1,MATCH("ZukanIndexSuffix",PalData_Header,0))</f>
        <v>0</v>
      </c>
      <c r="C67" s="185" t="s">
        <v>36</v>
      </c>
      <c r="D67" s="186" t="n">
        <f aca="false">IFERROR(INDEX(PalData,MATCH(C67,PalNames,0)+1,MATCH("Image",PalData_Header,0)),)</f>
        <v>0</v>
      </c>
      <c r="E67" s="187" t="str">
        <f aca="false">IFERROR(__xludf.dummyfunction("SPLIT(VLOOKUP($C67,PalData!$A$2:$BU$139,13,0),""EPalElementType::"",0,1)"),"Ice")</f>
        <v>Ice</v>
      </c>
      <c r="F67" s="187" t="str">
        <f aca="false">IFERROR(__xludf.dummyfunction("if(SPLIT(VLOOKUP($C67,PalData!$A$2:$BU$139,14,0),""EPalElementType::"",0,1)=""None"","""",SPLIT(VLOOKUP($C67,PalData!$A$2:$BU$139,14,0),""EPalElementType::"",0,1))"),"Dragon")</f>
        <v>Dragon</v>
      </c>
      <c r="G67" s="188" t="str">
        <f aca="false">IF(VLOOKUP($C67,PalData!$A$2:$BU$139,48,0),"🌜","")</f>
        <v/>
      </c>
      <c r="H67" s="189" t="n">
        <f aca="false">VLOOKUP($C67,PalData!$A$2:$BU$139,55,0)</f>
        <v>0</v>
      </c>
      <c r="I67" s="189" t="n">
        <f aca="false">VLOOKUP($C67,PalData!$A$2:$BU$139,56,0)</f>
        <v>0</v>
      </c>
      <c r="J67" s="189" t="n">
        <f aca="false">VLOOKUP($C67,PalData!$A$2:$BU$139,57,0)</f>
        <v>0</v>
      </c>
      <c r="K67" s="189" t="n">
        <f aca="false">VLOOKUP($C67,PalData!$A$2:$BU$139,58,0)</f>
        <v>0</v>
      </c>
      <c r="L67" s="189" t="n">
        <f aca="false">VLOOKUP($C67,PalData!$A$2:$BU$139,59,0)</f>
        <v>0</v>
      </c>
      <c r="M67" s="189" t="n">
        <f aca="false">VLOOKUP($C67,PalData!$A$2:$BU$139,60,0)</f>
        <v>1</v>
      </c>
      <c r="N67" s="189" t="n">
        <f aca="false">VLOOKUP($C67,PalData!$A$2:$BU$139,61,0)</f>
        <v>0</v>
      </c>
      <c r="O67" s="189" t="n">
        <f aca="false">VLOOKUP($C67,PalData!$A$2:$BU$139,62,0)</f>
        <v>0</v>
      </c>
      <c r="P67" s="189" t="n">
        <f aca="false">VLOOKUP($C67,PalData!$A$2:$BU$139,64,0)</f>
        <v>0</v>
      </c>
      <c r="Q67" s="189" t="n">
        <f aca="false">VLOOKUP($C67,PalData!$A$2:$BU$139,65,0)</f>
        <v>1</v>
      </c>
      <c r="R67" s="189" t="n">
        <f aca="false">VLOOKUP($C67,PalData!$A$2:$BU$139,66,0)</f>
        <v>0</v>
      </c>
      <c r="S67" s="189" t="n">
        <f aca="false">VLOOKUP($C67,PalData!$A$2:$BU$139,67,0)</f>
        <v>0</v>
      </c>
      <c r="T67" s="190" t="n">
        <f aca="false">VLOOKUP($C67,PalData!$A$2:$BU$139,43,0)</f>
        <v>3</v>
      </c>
      <c r="U67" s="188" t="n">
        <f aca="false">VLOOKUP($C67,PalData!$A$2:$BU$139,54,0)</f>
        <v>800</v>
      </c>
      <c r="V67" s="191" t="n">
        <f aca="false">VLOOKUP($C67,PalData!$A$2:$BU$139,19,0)</f>
        <v>90</v>
      </c>
      <c r="W67" s="191" t="n">
        <f aca="false">VLOOKUP($C67,PalData!$A$2:$BU$139,20,0)</f>
        <v>100</v>
      </c>
      <c r="X67" s="191" t="n">
        <f aca="false">VLOOKUP($C67,PalData!$A$2:$BU$139,21,0)</f>
        <v>80</v>
      </c>
      <c r="Y67" s="191" t="n">
        <f aca="false">VLOOKUP($C67,PalData!$A$2:$BU$139,22,0)</f>
        <v>80</v>
      </c>
      <c r="Z67" s="192" t="n">
        <f aca="false">VLOOKUP($C67,PalData!$A$2:$BU$139,28,0)</f>
        <v>3450</v>
      </c>
      <c r="AA67" s="193" t="n">
        <f aca="false" t="array" ref="AA67:AA67">INDEX(PalData,MATCH(C67,PalNames,0)+1,MATCH("Stamina",PalData_Header,0))</f>
        <v>100</v>
      </c>
      <c r="AB67" s="193" t="n">
        <f aca="false">VLOOKUP($C67,PalData!$A$2:$BU$139,32,0)</f>
        <v>180</v>
      </c>
      <c r="AC67" s="193" t="n">
        <f aca="false">VLOOKUP($C67,PalData!$A$2:$BU$139,33,0)</f>
        <v>600</v>
      </c>
      <c r="AD67" s="193" t="n">
        <f aca="false" t="array" ref="AD67:AD67">IF(INDEX(PalData,MATCH(C67,PalNames,0)+1,MATCH("Mount",PalData_Header,0)),INDEX(PalData,MATCH(C67,PalNames,0)+1,MATCH("RideSprintSpeed",PalData_Header,0)),)</f>
        <v>800</v>
      </c>
      <c r="AE67" s="193" t="n">
        <f aca="false">IF(R67&gt;0, INDEX(PalData,MATCH(C67,PalNames,0)+1,MATCH("TransportSpeed",PalData_Header,0)),)</f>
        <v>0</v>
      </c>
      <c r="AF67" s="198" t="n">
        <f aca="false">VLOOKUP($C67,PalData!$A$2:$BU$139,26,0)</f>
        <v>1</v>
      </c>
      <c r="AG67" s="195" t="n">
        <f aca="false" t="array" ref="AG67:AG67">INDEX(PalData,MATCH(C67,PalNames,0)+1,MATCH("MaleProbability",PalData_Header,0))</f>
        <v>50</v>
      </c>
    </row>
    <row r="68" customFormat="false" ht="26.25" hidden="false" customHeight="true" outlineLevel="0" collapsed="false">
      <c r="A68" s="196" t="n">
        <f aca="false">VLOOKUP($C68,PalData!$A$2:$BU$139,9,0)</f>
        <v>56</v>
      </c>
      <c r="B68" s="197" t="n">
        <f aca="false">INDEX(PalData,MATCH(C68,PalNames,0)+1,MATCH("ZukanIndexSuffix",PalData_Header,0))</f>
        <v>0</v>
      </c>
      <c r="C68" s="185" t="s">
        <v>143</v>
      </c>
      <c r="D68" s="186" t="n">
        <f aca="false">IFERROR(INDEX(PalData,MATCH(C68,PalNames,0)+1,MATCH("Image",PalData_Header,0)),)</f>
        <v>0</v>
      </c>
      <c r="E68" s="187" t="str">
        <f aca="false">IFERROR(__xludf.dummyfunction("SPLIT(VLOOKUP($C68,PalData!$A$2:$BU$139,13,0),""EPalElementType::"",0,1)"),"Electricity")</f>
        <v>Electricity</v>
      </c>
      <c r="F68" s="187" t="str">
        <f aca="false">IFERROR(__xludf.dummyfunction("if(SPLIT(VLOOKUP($C68,PalData!$A$2:$BU$139,14,0),""EPalElementType::"",0,1)=""None"","""",SPLIT(VLOOKUP($C68,PalData!$A$2:$BU$139,14,0),""EPalElementType::"",0,1))"),"")</f>
        <v/>
      </c>
      <c r="G68" s="188" t="str">
        <f aca="false">IF(VLOOKUP($C68,PalData!$A$2:$BU$139,48,0),"🌜","")</f>
        <v/>
      </c>
      <c r="H68" s="189" t="n">
        <f aca="false">VLOOKUP($C68,PalData!$A$2:$BU$139,55,0)</f>
        <v>0</v>
      </c>
      <c r="I68" s="189" t="n">
        <f aca="false">VLOOKUP($C68,PalData!$A$2:$BU$139,56,0)</f>
        <v>0</v>
      </c>
      <c r="J68" s="189" t="n">
        <f aca="false">VLOOKUP($C68,PalData!$A$2:$BU$139,57,0)</f>
        <v>0</v>
      </c>
      <c r="K68" s="189" t="n">
        <f aca="false">VLOOKUP($C68,PalData!$A$2:$BU$139,58,0)</f>
        <v>2</v>
      </c>
      <c r="L68" s="189" t="n">
        <f aca="false">VLOOKUP($C68,PalData!$A$2:$BU$139,59,0)</f>
        <v>0</v>
      </c>
      <c r="M68" s="189" t="n">
        <f aca="false">VLOOKUP($C68,PalData!$A$2:$BU$139,60,0)</f>
        <v>0</v>
      </c>
      <c r="N68" s="189" t="n">
        <f aca="false">VLOOKUP($C68,PalData!$A$2:$BU$139,61,0)</f>
        <v>1</v>
      </c>
      <c r="O68" s="189" t="n">
        <f aca="false">VLOOKUP($C68,PalData!$A$2:$BU$139,62,0)</f>
        <v>0</v>
      </c>
      <c r="P68" s="189" t="n">
        <f aca="false">VLOOKUP($C68,PalData!$A$2:$BU$139,64,0)</f>
        <v>0</v>
      </c>
      <c r="Q68" s="189" t="n">
        <f aca="false">VLOOKUP($C68,PalData!$A$2:$BU$139,65,0)</f>
        <v>0</v>
      </c>
      <c r="R68" s="189" t="n">
        <f aca="false">VLOOKUP($C68,PalData!$A$2:$BU$139,66,0)</f>
        <v>0</v>
      </c>
      <c r="S68" s="189" t="n">
        <f aca="false">VLOOKUP($C68,PalData!$A$2:$BU$139,67,0)</f>
        <v>0</v>
      </c>
      <c r="T68" s="190" t="n">
        <f aca="false">VLOOKUP($C68,PalData!$A$2:$BU$139,43,0)</f>
        <v>5</v>
      </c>
      <c r="U68" s="188" t="n">
        <f aca="false">VLOOKUP($C68,PalData!$A$2:$BU$139,54,0)</f>
        <v>680</v>
      </c>
      <c r="V68" s="191" t="n">
        <f aca="false">VLOOKUP($C68,PalData!$A$2:$BU$139,19,0)</f>
        <v>80</v>
      </c>
      <c r="W68" s="191" t="n">
        <f aca="false">VLOOKUP($C68,PalData!$A$2:$BU$139,20,0)</f>
        <v>110</v>
      </c>
      <c r="X68" s="191" t="n">
        <f aca="false">VLOOKUP($C68,PalData!$A$2:$BU$139,21,0)</f>
        <v>105</v>
      </c>
      <c r="Y68" s="191" t="n">
        <f aca="false">VLOOKUP($C68,PalData!$A$2:$BU$139,22,0)</f>
        <v>105</v>
      </c>
      <c r="Z68" s="192" t="n">
        <f aca="false">VLOOKUP($C68,PalData!$A$2:$BU$139,28,0)</f>
        <v>4280</v>
      </c>
      <c r="AA68" s="193" t="n">
        <f aca="false" t="array" ref="AA68:AA68">INDEX(PalData,MATCH(C68,PalNames,0)+1,MATCH("Stamina",PalData_Header,0))</f>
        <v>100</v>
      </c>
      <c r="AB68" s="193" t="n">
        <f aca="false">VLOOKUP($C68,PalData!$A$2:$BU$139,32,0)</f>
        <v>130</v>
      </c>
      <c r="AC68" s="193" t="n">
        <f aca="false">VLOOKUP($C68,PalData!$A$2:$BU$139,33,0)</f>
        <v>720</v>
      </c>
      <c r="AD68" s="193" t="n">
        <f aca="false" t="array" ref="AD68:AD68">IF(INDEX(PalData,MATCH(C68,PalNames,0)+1,MATCH("Mount",PalData_Header,0)),INDEX(PalData,MATCH(C68,PalNames,0)+1,MATCH("RideSprintSpeed",PalData_Header,0)),)</f>
        <v>1100</v>
      </c>
      <c r="AE68" s="193" t="n">
        <f aca="false">IF(R68&gt;0, INDEX(PalData,MATCH(C68,PalNames,0)+1,MATCH("TransportSpeed",PalData_Header,0)),)</f>
        <v>0</v>
      </c>
      <c r="AF68" s="198" t="n">
        <f aca="false">VLOOKUP($C68,PalData!$A$2:$BU$139,26,0)</f>
        <v>0.9</v>
      </c>
      <c r="AG68" s="195" t="n">
        <f aca="false" t="array" ref="AG68:AG68">INDEX(PalData,MATCH(C68,PalNames,0)+1,MATCH("MaleProbability",PalData_Header,0))</f>
        <v>50</v>
      </c>
    </row>
    <row r="69" customFormat="false" ht="26.25" hidden="false" customHeight="true" outlineLevel="0" collapsed="false">
      <c r="A69" s="196" t="n">
        <f aca="false">VLOOKUP($C69,PalData!$A$2:$BU$139,9,0)</f>
        <v>57</v>
      </c>
      <c r="B69" s="197" t="n">
        <f aca="false">INDEX(PalData,MATCH(C69,PalNames,0)+1,MATCH("ZukanIndexSuffix",PalData_Header,0))</f>
        <v>0</v>
      </c>
      <c r="C69" s="185" t="s">
        <v>58</v>
      </c>
      <c r="D69" s="186" t="n">
        <f aca="false">IFERROR(INDEX(PalData,MATCH(C69,PalNames,0)+1,MATCH("Image",PalData_Header,0)),)</f>
        <v>0</v>
      </c>
      <c r="E69" s="187" t="str">
        <f aca="false">IFERROR(__xludf.dummyfunction("SPLIT(VLOOKUP($C69,PalData!$A$2:$BU$139,13,0),""EPalElementType::"",0,1)"),"Ice")</f>
        <v>Ice</v>
      </c>
      <c r="F69" s="187" t="str">
        <f aca="false">IFERROR(__xludf.dummyfunction("if(SPLIT(VLOOKUP($C69,PalData!$A$2:$BU$139,14,0),""EPalElementType::"",0,1)=""None"","""",SPLIT(VLOOKUP($C69,PalData!$A$2:$BU$139,14,0),""EPalElementType::"",0,1))"),"")</f>
        <v/>
      </c>
      <c r="G69" s="188" t="str">
        <f aca="false">IF(VLOOKUP($C69,PalData!$A$2:$BU$139,48,0),"🌜","")</f>
        <v/>
      </c>
      <c r="H69" s="189" t="n">
        <f aca="false">VLOOKUP($C69,PalData!$A$2:$BU$139,55,0)</f>
        <v>0</v>
      </c>
      <c r="I69" s="189" t="n">
        <f aca="false">VLOOKUP($C69,PalData!$A$2:$BU$139,56,0)</f>
        <v>0</v>
      </c>
      <c r="J69" s="189" t="n">
        <f aca="false">VLOOKUP($C69,PalData!$A$2:$BU$139,57,0)</f>
        <v>0</v>
      </c>
      <c r="K69" s="189" t="n">
        <f aca="false">VLOOKUP($C69,PalData!$A$2:$BU$139,58,0)</f>
        <v>0</v>
      </c>
      <c r="L69" s="189" t="n">
        <f aca="false">VLOOKUP($C69,PalData!$A$2:$BU$139,59,0)</f>
        <v>0</v>
      </c>
      <c r="M69" s="189" t="n">
        <f aca="false">VLOOKUP($C69,PalData!$A$2:$BU$139,60,0)</f>
        <v>0</v>
      </c>
      <c r="N69" s="189" t="n">
        <f aca="false">VLOOKUP($C69,PalData!$A$2:$BU$139,61,0)</f>
        <v>0</v>
      </c>
      <c r="O69" s="189" t="n">
        <f aca="false">VLOOKUP($C69,PalData!$A$2:$BU$139,62,0)</f>
        <v>0</v>
      </c>
      <c r="P69" s="189" t="n">
        <f aca="false">VLOOKUP($C69,PalData!$A$2:$BU$139,64,0)</f>
        <v>0</v>
      </c>
      <c r="Q69" s="189" t="n">
        <f aca="false">VLOOKUP($C69,PalData!$A$2:$BU$139,65,0)</f>
        <v>2</v>
      </c>
      <c r="R69" s="189" t="n">
        <f aca="false">VLOOKUP($C69,PalData!$A$2:$BU$139,66,0)</f>
        <v>0</v>
      </c>
      <c r="S69" s="189" t="n">
        <f aca="false">VLOOKUP($C69,PalData!$A$2:$BU$139,67,0)</f>
        <v>0</v>
      </c>
      <c r="T69" s="190" t="n">
        <f aca="false">VLOOKUP($C69,PalData!$A$2:$BU$139,43,0)</f>
        <v>3</v>
      </c>
      <c r="U69" s="188" t="n">
        <f aca="false">VLOOKUP($C69,PalData!$A$2:$BU$139,54,0)</f>
        <v>760</v>
      </c>
      <c r="V69" s="191" t="n">
        <f aca="false">VLOOKUP($C69,PalData!$A$2:$BU$139,19,0)</f>
        <v>90</v>
      </c>
      <c r="W69" s="191" t="n">
        <f aca="false">VLOOKUP($C69,PalData!$A$2:$BU$139,20,0)</f>
        <v>100</v>
      </c>
      <c r="X69" s="191" t="n">
        <f aca="false">VLOOKUP($C69,PalData!$A$2:$BU$139,21,0)</f>
        <v>95</v>
      </c>
      <c r="Y69" s="191" t="n">
        <f aca="false">VLOOKUP($C69,PalData!$A$2:$BU$139,22,0)</f>
        <v>105</v>
      </c>
      <c r="Z69" s="192" t="n">
        <f aca="false">VLOOKUP($C69,PalData!$A$2:$BU$139,28,0)</f>
        <v>3730</v>
      </c>
      <c r="AA69" s="193" t="n">
        <f aca="false" t="array" ref="AA69:AA69">INDEX(PalData,MATCH(C69,PalNames,0)+1,MATCH("Stamina",PalData_Header,0))</f>
        <v>100</v>
      </c>
      <c r="AB69" s="193" t="n">
        <f aca="false">VLOOKUP($C69,PalData!$A$2:$BU$139,32,0)</f>
        <v>130</v>
      </c>
      <c r="AC69" s="193" t="n">
        <f aca="false">VLOOKUP($C69,PalData!$A$2:$BU$139,33,0)</f>
        <v>600</v>
      </c>
      <c r="AD69" s="193" t="n">
        <f aca="false">IF(INDEX(PalData,MATCH(C69,PalNames,0)+1,MATCH("Mount",PalData_Header,0)),INDEX(PalData,MATCH(C69,PalNames,0)+1,MATCH("RideSprintSpeed",PalData_Header,0)),)</f>
        <v>0</v>
      </c>
      <c r="AE69" s="193" t="n">
        <f aca="false">IF(R69&gt;0, INDEX(PalData,MATCH(C69,PalNames,0)+1,MATCH("TransportSpeed",PalData_Header,0)),)</f>
        <v>0</v>
      </c>
      <c r="AF69" s="198" t="n">
        <f aca="false">VLOOKUP($C69,PalData!$A$2:$BU$139,26,0)</f>
        <v>1</v>
      </c>
      <c r="AG69" s="195" t="n">
        <f aca="false" t="array" ref="AG69:AG69">INDEX(PalData,MATCH(C69,PalNames,0)+1,MATCH("MaleProbability",PalData_Header,0))</f>
        <v>50</v>
      </c>
    </row>
    <row r="70" customFormat="false" ht="26.25" hidden="false" customHeight="true" outlineLevel="0" collapsed="false">
      <c r="A70" s="196" t="n">
        <f aca="false">VLOOKUP($C70,PalData!$A$2:$BU$139,9,0)</f>
        <v>58</v>
      </c>
      <c r="B70" s="197" t="n">
        <f aca="false">INDEX(PalData,MATCH(C70,PalNames,0)+1,MATCH("ZukanIndexSuffix",PalData_Header,0))</f>
        <v>0</v>
      </c>
      <c r="C70" s="185" t="s">
        <v>117</v>
      </c>
      <c r="D70" s="186" t="n">
        <f aca="false">IFERROR(INDEX(PalData,MATCH(C70,PalNames,0)+1,MATCH("Image",PalData_Header,0)),)</f>
        <v>0</v>
      </c>
      <c r="E70" s="187" t="str">
        <f aca="false">IFERROR(__xludf.dummyfunction("SPLIT(VLOOKUP($C70,PalData!$A$2:$BU$139,13,0),""EPalElementType::"",0,1)"),"Fire")</f>
        <v>Fire</v>
      </c>
      <c r="F70" s="187" t="str">
        <f aca="false">IFERROR(__xludf.dummyfunction("if(SPLIT(VLOOKUP($C70,PalData!$A$2:$BU$139,14,0),""EPalElementType::"",0,1)=""None"","""",SPLIT(VLOOKUP($C70,PalData!$A$2:$BU$139,14,0),""EPalElementType::"",0,1))"),"")</f>
        <v/>
      </c>
      <c r="G70" s="188" t="str">
        <f aca="false">IF(VLOOKUP($C70,PalData!$A$2:$BU$139,48,0),"🌜","")</f>
        <v/>
      </c>
      <c r="H70" s="189" t="n">
        <f aca="false">VLOOKUP($C70,PalData!$A$2:$BU$139,55,0)</f>
        <v>2</v>
      </c>
      <c r="I70" s="189" t="n">
        <f aca="false">VLOOKUP($C70,PalData!$A$2:$BU$139,56,0)</f>
        <v>0</v>
      </c>
      <c r="J70" s="189" t="n">
        <f aca="false">VLOOKUP($C70,PalData!$A$2:$BU$139,57,0)</f>
        <v>0</v>
      </c>
      <c r="K70" s="189" t="n">
        <f aca="false">VLOOKUP($C70,PalData!$A$2:$BU$139,58,0)</f>
        <v>0</v>
      </c>
      <c r="L70" s="189" t="n">
        <f aca="false">VLOOKUP($C70,PalData!$A$2:$BU$139,59,0)</f>
        <v>0</v>
      </c>
      <c r="M70" s="189" t="n">
        <f aca="false">VLOOKUP($C70,PalData!$A$2:$BU$139,60,0)</f>
        <v>0</v>
      </c>
      <c r="N70" s="189" t="n">
        <f aca="false">VLOOKUP($C70,PalData!$A$2:$BU$139,61,0)</f>
        <v>1</v>
      </c>
      <c r="O70" s="189" t="n">
        <f aca="false">VLOOKUP($C70,PalData!$A$2:$BU$139,62,0)</f>
        <v>0</v>
      </c>
      <c r="P70" s="189" t="n">
        <f aca="false">VLOOKUP($C70,PalData!$A$2:$BU$139,64,0)</f>
        <v>0</v>
      </c>
      <c r="Q70" s="189" t="n">
        <f aca="false">VLOOKUP($C70,PalData!$A$2:$BU$139,65,0)</f>
        <v>0</v>
      </c>
      <c r="R70" s="189" t="n">
        <f aca="false">VLOOKUP($C70,PalData!$A$2:$BU$139,66,0)</f>
        <v>0</v>
      </c>
      <c r="S70" s="189" t="n">
        <f aca="false">VLOOKUP($C70,PalData!$A$2:$BU$139,67,0)</f>
        <v>0</v>
      </c>
      <c r="T70" s="190" t="n">
        <f aca="false">VLOOKUP($C70,PalData!$A$2:$BU$139,43,0)</f>
        <v>5</v>
      </c>
      <c r="U70" s="188" t="n">
        <f aca="false">VLOOKUP($C70,PalData!$A$2:$BU$139,54,0)</f>
        <v>360</v>
      </c>
      <c r="V70" s="191" t="n">
        <f aca="false">VLOOKUP($C70,PalData!$A$2:$BU$139,19,0)</f>
        <v>100</v>
      </c>
      <c r="W70" s="191" t="n">
        <f aca="false">VLOOKUP($C70,PalData!$A$2:$BU$139,20,0)</f>
        <v>110</v>
      </c>
      <c r="X70" s="191" t="n">
        <f aca="false">VLOOKUP($C70,PalData!$A$2:$BU$139,21,0)</f>
        <v>95</v>
      </c>
      <c r="Y70" s="191" t="n">
        <f aca="false">VLOOKUP($C70,PalData!$A$2:$BU$139,22,0)</f>
        <v>90</v>
      </c>
      <c r="Z70" s="192" t="n">
        <f aca="false">VLOOKUP($C70,PalData!$A$2:$BU$139,28,0)</f>
        <v>6720</v>
      </c>
      <c r="AA70" s="193" t="n">
        <f aca="false" t="array" ref="AA70:AA70">INDEX(PalData,MATCH(C70,PalNames,0)+1,MATCH("Stamina",PalData_Header,0))</f>
        <v>100</v>
      </c>
      <c r="AB70" s="193" t="n">
        <f aca="false">VLOOKUP($C70,PalData!$A$2:$BU$139,32,0)</f>
        <v>150</v>
      </c>
      <c r="AC70" s="193" t="n">
        <f aca="false">VLOOKUP($C70,PalData!$A$2:$BU$139,33,0)</f>
        <v>850</v>
      </c>
      <c r="AD70" s="193" t="n">
        <f aca="false" t="array" ref="AD70:AD70">IF(INDEX(PalData,MATCH(C70,PalNames,0)+1,MATCH("Mount",PalData_Header,0)),INDEX(PalData,MATCH(C70,PalNames,0)+1,MATCH("RideSprintSpeed",PalData_Header,0)),)</f>
        <v>1300</v>
      </c>
      <c r="AE70" s="193" t="n">
        <f aca="false">IF(R70&gt;0, INDEX(PalData,MATCH(C70,PalNames,0)+1,MATCH("TransportSpeed",PalData_Header,0)),)</f>
        <v>0</v>
      </c>
      <c r="AF70" s="198" t="n">
        <f aca="false">VLOOKUP($C70,PalData!$A$2:$BU$139,26,0)</f>
        <v>1</v>
      </c>
      <c r="AG70" s="195" t="n">
        <f aca="false" t="array" ref="AG70:AG70">INDEX(PalData,MATCH(C70,PalNames,0)+1,MATCH("MaleProbability",PalData_Header,0))</f>
        <v>50</v>
      </c>
    </row>
    <row r="71" customFormat="false" ht="26.25" hidden="false" customHeight="true" outlineLevel="0" collapsed="false">
      <c r="A71" s="196" t="n">
        <f aca="false">VLOOKUP($C71,PalData!$A$2:$BU$139,9,0)</f>
        <v>58</v>
      </c>
      <c r="B71" s="197" t="str">
        <f aca="false" t="array" ref="B71:B71">INDEX(PalData,MATCH(C71,PalNames,0)+1,MATCH("ZukanIndexSuffix",PalData_Header,0))</f>
        <v>B</v>
      </c>
      <c r="C71" s="185" t="s">
        <v>118</v>
      </c>
      <c r="D71" s="186" t="n">
        <f aca="false">IFERROR(INDEX(PalData,MATCH(C71,PalNames,0)+1,MATCH("Image",PalData_Header,0)),)</f>
        <v>0</v>
      </c>
      <c r="E71" s="187" t="str">
        <f aca="false">IFERROR(__xludf.dummyfunction("SPLIT(VLOOKUP($C71,PalData!$A$2:$BU$139,13,0),""EPalElementType::"",0,1)"),"Fire")</f>
        <v>Fire</v>
      </c>
      <c r="F71" s="187" t="str">
        <f aca="false">IFERROR(__xludf.dummyfunction("if(SPLIT(VLOOKUP($C71,PalData!$A$2:$BU$139,14,0),""EPalElementType::"",0,1)=""None"","""",SPLIT(VLOOKUP($C71,PalData!$A$2:$BU$139,14,0),""EPalElementType::"",0,1))"),"Dark")</f>
        <v>Dark</v>
      </c>
      <c r="G71" s="188" t="str">
        <f aca="false">IF(VLOOKUP($C71,PalData!$A$2:$BU$139,48,0),"🌜","")</f>
        <v>🌜</v>
      </c>
      <c r="H71" s="189" t="n">
        <f aca="false">VLOOKUP($C71,PalData!$A$2:$BU$139,55,0)</f>
        <v>2</v>
      </c>
      <c r="I71" s="189" t="n">
        <f aca="false">VLOOKUP($C71,PalData!$A$2:$BU$139,56,0)</f>
        <v>0</v>
      </c>
      <c r="J71" s="189" t="n">
        <f aca="false">VLOOKUP($C71,PalData!$A$2:$BU$139,57,0)</f>
        <v>0</v>
      </c>
      <c r="K71" s="189" t="n">
        <f aca="false">VLOOKUP($C71,PalData!$A$2:$BU$139,58,0)</f>
        <v>0</v>
      </c>
      <c r="L71" s="189" t="n">
        <f aca="false">VLOOKUP($C71,PalData!$A$2:$BU$139,59,0)</f>
        <v>0</v>
      </c>
      <c r="M71" s="189" t="n">
        <f aca="false">VLOOKUP($C71,PalData!$A$2:$BU$139,60,0)</f>
        <v>0</v>
      </c>
      <c r="N71" s="189" t="n">
        <f aca="false">VLOOKUP($C71,PalData!$A$2:$BU$139,61,0)</f>
        <v>1</v>
      </c>
      <c r="O71" s="189" t="n">
        <f aca="false">VLOOKUP($C71,PalData!$A$2:$BU$139,62,0)</f>
        <v>0</v>
      </c>
      <c r="P71" s="189" t="n">
        <f aca="false">VLOOKUP($C71,PalData!$A$2:$BU$139,64,0)</f>
        <v>0</v>
      </c>
      <c r="Q71" s="189" t="n">
        <f aca="false">VLOOKUP($C71,PalData!$A$2:$BU$139,65,0)</f>
        <v>0</v>
      </c>
      <c r="R71" s="189" t="n">
        <f aca="false">VLOOKUP($C71,PalData!$A$2:$BU$139,66,0)</f>
        <v>0</v>
      </c>
      <c r="S71" s="189" t="n">
        <f aca="false">VLOOKUP($C71,PalData!$A$2:$BU$139,67,0)</f>
        <v>0</v>
      </c>
      <c r="T71" s="190" t="n">
        <f aca="false">VLOOKUP($C71,PalData!$A$2:$BU$139,43,0)</f>
        <v>5</v>
      </c>
      <c r="U71" s="188" t="n">
        <f aca="false">VLOOKUP($C71,PalData!$A$2:$BU$139,54,0)</f>
        <v>240</v>
      </c>
      <c r="V71" s="191" t="n">
        <f aca="false">VLOOKUP($C71,PalData!$A$2:$BU$139,19,0)</f>
        <v>100</v>
      </c>
      <c r="W71" s="191" t="n">
        <f aca="false">VLOOKUP($C71,PalData!$A$2:$BU$139,20,0)</f>
        <v>110</v>
      </c>
      <c r="X71" s="191" t="n">
        <f aca="false">VLOOKUP($C71,PalData!$A$2:$BU$139,21,0)</f>
        <v>95</v>
      </c>
      <c r="Y71" s="191" t="n">
        <f aca="false">VLOOKUP($C71,PalData!$A$2:$BU$139,22,0)</f>
        <v>90</v>
      </c>
      <c r="Z71" s="192" t="n">
        <f aca="false">VLOOKUP($C71,PalData!$A$2:$BU$139,28,0)</f>
        <v>7270</v>
      </c>
      <c r="AA71" s="193" t="n">
        <f aca="false" t="array" ref="AA71:AA71">INDEX(PalData,MATCH(C71,PalNames,0)+1,MATCH("Stamina",PalData_Header,0))</f>
        <v>100</v>
      </c>
      <c r="AB71" s="193" t="n">
        <f aca="false">VLOOKUP($C71,PalData!$A$2:$BU$139,32,0)</f>
        <v>150</v>
      </c>
      <c r="AC71" s="193" t="n">
        <f aca="false">VLOOKUP($C71,PalData!$A$2:$BU$139,33,0)</f>
        <v>850</v>
      </c>
      <c r="AD71" s="193" t="n">
        <f aca="false" t="array" ref="AD71:AD71">IF(INDEX(PalData,MATCH(C71,PalNames,0)+1,MATCH("Mount",PalData_Header,0)),INDEX(PalData,MATCH(C71,PalNames,0)+1,MATCH("RideSprintSpeed",PalData_Header,0)),)</f>
        <v>1300</v>
      </c>
      <c r="AE71" s="193" t="n">
        <f aca="false">IF(R71&gt;0, INDEX(PalData,MATCH(C71,PalNames,0)+1,MATCH("TransportSpeed",PalData_Header,0)),)</f>
        <v>0</v>
      </c>
      <c r="AF71" s="198" t="n">
        <f aca="false">VLOOKUP($C71,PalData!$A$2:$BU$139,26,0)</f>
        <v>1</v>
      </c>
      <c r="AG71" s="195" t="n">
        <f aca="false" t="array" ref="AG71:AG71">INDEX(PalData,MATCH(C71,PalNames,0)+1,MATCH("MaleProbability",PalData_Header,0))</f>
        <v>50</v>
      </c>
    </row>
    <row r="72" customFormat="false" ht="26.25" hidden="false" customHeight="true" outlineLevel="0" collapsed="false">
      <c r="A72" s="196" t="n">
        <f aca="false">VLOOKUP($C72,PalData!$A$2:$BU$139,9,0)</f>
        <v>59</v>
      </c>
      <c r="B72" s="197" t="n">
        <f aca="false">INDEX(PalData,MATCH(C72,PalNames,0)+1,MATCH("ZukanIndexSuffix",PalData_Header,0))</f>
        <v>0</v>
      </c>
      <c r="C72" s="185" t="s">
        <v>121</v>
      </c>
      <c r="D72" s="186" t="n">
        <f aca="false">IFERROR(INDEX(PalData,MATCH(C72,PalNames,0)+1,MATCH("Image",PalData_Header,0)),)</f>
        <v>0</v>
      </c>
      <c r="E72" s="187" t="str">
        <f aca="false">IFERROR(__xludf.dummyfunction("SPLIT(VLOOKUP($C72,PalData!$A$2:$BU$139,13,0),""EPalElementType::"",0,1)"),"Ice")</f>
        <v>Ice</v>
      </c>
      <c r="F72" s="187" t="str">
        <f aca="false">IFERROR(__xludf.dummyfunction("if(SPLIT(VLOOKUP($C72,PalData!$A$2:$BU$139,14,0),""EPalElementType::"",0,1)=""None"","""",SPLIT(VLOOKUP($C72,PalData!$A$2:$BU$139,14,0),""EPalElementType::"",0,1))"),"")</f>
        <v/>
      </c>
      <c r="G72" s="188" t="str">
        <f aca="false">IF(VLOOKUP($C72,PalData!$A$2:$BU$139,48,0),"🌜","")</f>
        <v/>
      </c>
      <c r="H72" s="189" t="n">
        <f aca="false">VLOOKUP($C72,PalData!$A$2:$BU$139,55,0)</f>
        <v>0</v>
      </c>
      <c r="I72" s="189" t="n">
        <f aca="false">VLOOKUP($C72,PalData!$A$2:$BU$139,56,0)</f>
        <v>0</v>
      </c>
      <c r="J72" s="189" t="n">
        <f aca="false">VLOOKUP($C72,PalData!$A$2:$BU$139,57,0)</f>
        <v>0</v>
      </c>
      <c r="K72" s="189" t="n">
        <f aca="false">VLOOKUP($C72,PalData!$A$2:$BU$139,58,0)</f>
        <v>0</v>
      </c>
      <c r="L72" s="189" t="n">
        <f aca="false">VLOOKUP($C72,PalData!$A$2:$BU$139,59,0)</f>
        <v>0</v>
      </c>
      <c r="M72" s="189" t="n">
        <f aca="false">VLOOKUP($C72,PalData!$A$2:$BU$139,60,0)</f>
        <v>0</v>
      </c>
      <c r="N72" s="189" t="n">
        <f aca="false">VLOOKUP($C72,PalData!$A$2:$BU$139,61,0)</f>
        <v>2</v>
      </c>
      <c r="O72" s="189" t="n">
        <f aca="false">VLOOKUP($C72,PalData!$A$2:$BU$139,62,0)</f>
        <v>0</v>
      </c>
      <c r="P72" s="189" t="n">
        <f aca="false">VLOOKUP($C72,PalData!$A$2:$BU$139,64,0)</f>
        <v>0</v>
      </c>
      <c r="Q72" s="189" t="n">
        <f aca="false">VLOOKUP($C72,PalData!$A$2:$BU$139,65,0)</f>
        <v>2</v>
      </c>
      <c r="R72" s="189" t="n">
        <f aca="false">VLOOKUP($C72,PalData!$A$2:$BU$139,66,0)</f>
        <v>0</v>
      </c>
      <c r="S72" s="189" t="n">
        <f aca="false">VLOOKUP($C72,PalData!$A$2:$BU$139,67,0)</f>
        <v>0</v>
      </c>
      <c r="T72" s="190" t="n">
        <f aca="false">VLOOKUP($C72,PalData!$A$2:$BU$139,43,0)</f>
        <v>7</v>
      </c>
      <c r="U72" s="188" t="n">
        <f aca="false">VLOOKUP($C72,PalData!$A$2:$BU$139,54,0)</f>
        <v>880</v>
      </c>
      <c r="V72" s="191" t="n">
        <f aca="false">VLOOKUP($C72,PalData!$A$2:$BU$139,19,0)</f>
        <v>100</v>
      </c>
      <c r="W72" s="191" t="n">
        <f aca="false">VLOOKUP($C72,PalData!$A$2:$BU$139,20,0)</f>
        <v>80</v>
      </c>
      <c r="X72" s="191" t="n">
        <f aca="false">VLOOKUP($C72,PalData!$A$2:$BU$139,21,0)</f>
        <v>85</v>
      </c>
      <c r="Y72" s="191" t="n">
        <f aca="false">VLOOKUP($C72,PalData!$A$2:$BU$139,22,0)</f>
        <v>110</v>
      </c>
      <c r="Z72" s="192" t="n">
        <f aca="false">VLOOKUP($C72,PalData!$A$2:$BU$139,28,0)</f>
        <v>2800</v>
      </c>
      <c r="AA72" s="193" t="n">
        <f aca="false" t="array" ref="AA72:AA72">INDEX(PalData,MATCH(C72,PalNames,0)+1,MATCH("Stamina",PalData_Header,0))</f>
        <v>100</v>
      </c>
      <c r="AB72" s="193" t="n">
        <f aca="false">VLOOKUP($C72,PalData!$A$2:$BU$139,32,0)</f>
        <v>70</v>
      </c>
      <c r="AC72" s="193" t="n">
        <f aca="false">VLOOKUP($C72,PalData!$A$2:$BU$139,33,0)</f>
        <v>550</v>
      </c>
      <c r="AD72" s="193" t="n">
        <f aca="false" t="array" ref="AD72:AD72">IF(INDEX(PalData,MATCH(C72,PalNames,0)+1,MATCH("Mount",PalData_Header,0)),INDEX(PalData,MATCH(C72,PalNames,0)+1,MATCH("RideSprintSpeed",PalData_Header,0)),)</f>
        <v>700</v>
      </c>
      <c r="AE72" s="193" t="n">
        <f aca="false">IF(R72&gt;0, INDEX(PalData,MATCH(C72,PalNames,0)+1,MATCH("TransportSpeed",PalData_Header,0)),)</f>
        <v>0</v>
      </c>
      <c r="AF72" s="198" t="n">
        <f aca="false">VLOOKUP($C72,PalData!$A$2:$BU$139,26,0)</f>
        <v>1</v>
      </c>
      <c r="AG72" s="195" t="n">
        <f aca="false" t="array" ref="AG72:AG72">INDEX(PalData,MATCH(C72,PalNames,0)+1,MATCH("MaleProbability",PalData_Header,0))</f>
        <v>50</v>
      </c>
    </row>
    <row r="73" customFormat="false" ht="26.25" hidden="false" customHeight="true" outlineLevel="0" collapsed="false">
      <c r="A73" s="196" t="n">
        <f aca="false">VLOOKUP($C73,PalData!$A$2:$BU$139,9,0)</f>
        <v>60</v>
      </c>
      <c r="B73" s="197" t="n">
        <f aca="false">INDEX(PalData,MATCH(C73,PalNames,0)+1,MATCH("ZukanIndexSuffix",PalData_Header,0))</f>
        <v>0</v>
      </c>
      <c r="C73" s="185" t="s">
        <v>120</v>
      </c>
      <c r="D73" s="186" t="n">
        <f aca="false">IFERROR(INDEX(PalData,MATCH(C73,PalNames,0)+1,MATCH("Image",PalData_Header,0)),)</f>
        <v>0</v>
      </c>
      <c r="E73" s="187" t="str">
        <f aca="false">IFERROR(__xludf.dummyfunction("SPLIT(VLOOKUP($C73,PalData!$A$2:$BU$139,13,0),""EPalElementType::"",0,1)"),"Electricity")</f>
        <v>Electricity</v>
      </c>
      <c r="F73" s="187" t="str">
        <f aca="false">IFERROR(__xludf.dummyfunction("if(SPLIT(VLOOKUP($C73,PalData!$A$2:$BU$139,14,0),""EPalElementType::"",0,1)=""None"","""",SPLIT(VLOOKUP($C73,PalData!$A$2:$BU$139,14,0),""EPalElementType::"",0,1))"),"")</f>
        <v/>
      </c>
      <c r="G73" s="188" t="str">
        <f aca="false">IF(VLOOKUP($C73,PalData!$A$2:$BU$139,48,0),"🌜","")</f>
        <v/>
      </c>
      <c r="H73" s="189" t="n">
        <f aca="false">VLOOKUP($C73,PalData!$A$2:$BU$139,55,0)</f>
        <v>0</v>
      </c>
      <c r="I73" s="189" t="n">
        <f aca="false">VLOOKUP($C73,PalData!$A$2:$BU$139,56,0)</f>
        <v>0</v>
      </c>
      <c r="J73" s="189" t="n">
        <f aca="false">VLOOKUP($C73,PalData!$A$2:$BU$139,57,0)</f>
        <v>0</v>
      </c>
      <c r="K73" s="189" t="n">
        <f aca="false">VLOOKUP($C73,PalData!$A$2:$BU$139,58,0)</f>
        <v>2</v>
      </c>
      <c r="L73" s="189" t="n">
        <f aca="false">VLOOKUP($C73,PalData!$A$2:$BU$139,59,0)</f>
        <v>0</v>
      </c>
      <c r="M73" s="189" t="n">
        <f aca="false">VLOOKUP($C73,PalData!$A$2:$BU$139,60,0)</f>
        <v>0</v>
      </c>
      <c r="N73" s="189" t="n">
        <f aca="false">VLOOKUP($C73,PalData!$A$2:$BU$139,61,0)</f>
        <v>0</v>
      </c>
      <c r="O73" s="189" t="n">
        <f aca="false">VLOOKUP($C73,PalData!$A$2:$BU$139,62,0)</f>
        <v>0</v>
      </c>
      <c r="P73" s="189" t="n">
        <f aca="false">VLOOKUP($C73,PalData!$A$2:$BU$139,64,0)</f>
        <v>0</v>
      </c>
      <c r="Q73" s="189" t="n">
        <f aca="false">VLOOKUP($C73,PalData!$A$2:$BU$139,65,0)</f>
        <v>0</v>
      </c>
      <c r="R73" s="189" t="n">
        <f aca="false">VLOOKUP($C73,PalData!$A$2:$BU$139,66,0)</f>
        <v>0</v>
      </c>
      <c r="S73" s="189" t="n">
        <f aca="false">VLOOKUP($C73,PalData!$A$2:$BU$139,67,0)</f>
        <v>0</v>
      </c>
      <c r="T73" s="190" t="n">
        <f aca="false">VLOOKUP($C73,PalData!$A$2:$BU$139,43,0)</f>
        <v>5</v>
      </c>
      <c r="U73" s="188" t="n">
        <f aca="false">VLOOKUP($C73,PalData!$A$2:$BU$139,54,0)</f>
        <v>740</v>
      </c>
      <c r="V73" s="191" t="n">
        <f aca="false">VLOOKUP($C73,PalData!$A$2:$BU$139,19,0)</f>
        <v>90</v>
      </c>
      <c r="W73" s="191" t="n">
        <f aca="false">VLOOKUP($C73,PalData!$A$2:$BU$139,20,0)</f>
        <v>100</v>
      </c>
      <c r="X73" s="191" t="n">
        <f aca="false">VLOOKUP($C73,PalData!$A$2:$BU$139,21,0)</f>
        <v>100</v>
      </c>
      <c r="Y73" s="191" t="n">
        <f aca="false">VLOOKUP($C73,PalData!$A$2:$BU$139,22,0)</f>
        <v>80</v>
      </c>
      <c r="Z73" s="192" t="n">
        <f aca="false">VLOOKUP($C73,PalData!$A$2:$BU$139,28,0)</f>
        <v>3880</v>
      </c>
      <c r="AA73" s="193" t="n">
        <f aca="false" t="array" ref="AA73:AA73">INDEX(PalData,MATCH(C73,PalNames,0)+1,MATCH("Stamina",PalData_Header,0))</f>
        <v>100</v>
      </c>
      <c r="AB73" s="193" t="n">
        <f aca="false">VLOOKUP($C73,PalData!$A$2:$BU$139,32,0)</f>
        <v>210</v>
      </c>
      <c r="AC73" s="193" t="n">
        <f aca="false">VLOOKUP($C73,PalData!$A$2:$BU$139,33,0)</f>
        <v>700</v>
      </c>
      <c r="AD73" s="193" t="n">
        <f aca="false" t="array" ref="AD73:AD73">IF(INDEX(PalData,MATCH(C73,PalNames,0)+1,MATCH("Mount",PalData_Header,0)),INDEX(PalData,MATCH(C73,PalNames,0)+1,MATCH("RideSprintSpeed",PalData_Header,0)),)</f>
        <v>1150</v>
      </c>
      <c r="AE73" s="193" t="n">
        <f aca="false">IF(R73&gt;0, INDEX(PalData,MATCH(C73,PalNames,0)+1,MATCH("TransportSpeed",PalData_Header,0)),)</f>
        <v>0</v>
      </c>
      <c r="AF73" s="198" t="n">
        <f aca="false">VLOOKUP($C73,PalData!$A$2:$BU$139,26,0)</f>
        <v>1</v>
      </c>
      <c r="AG73" s="195" t="n">
        <f aca="false" t="array" ref="AG73:AG73">INDEX(PalData,MATCH(C73,PalNames,0)+1,MATCH("MaleProbability",PalData_Header,0))</f>
        <v>50</v>
      </c>
    </row>
    <row r="74" customFormat="false" ht="26.25" hidden="false" customHeight="true" outlineLevel="0" collapsed="false">
      <c r="A74" s="196" t="n">
        <f aca="false">VLOOKUP($C74,PalData!$A$2:$BU$139,9,0)</f>
        <v>61</v>
      </c>
      <c r="B74" s="197" t="n">
        <f aca="false">INDEX(PalData,MATCH(C74,PalNames,0)+1,MATCH("ZukanIndexSuffix",PalData_Header,0))</f>
        <v>0</v>
      </c>
      <c r="C74" s="185" t="s">
        <v>89</v>
      </c>
      <c r="D74" s="186" t="n">
        <f aca="false">IFERROR(INDEX(PalData,MATCH(C74,PalNames,0)+1,MATCH("Image",PalData_Header,0)),)</f>
        <v>0</v>
      </c>
      <c r="E74" s="187" t="str">
        <f aca="false">IFERROR(__xludf.dummyfunction("SPLIT(VLOOKUP($C74,PalData!$A$2:$BU$139,13,0),""EPalElementType::"",0,1)"),"Fire")</f>
        <v>Fire</v>
      </c>
      <c r="F74" s="187" t="str">
        <f aca="false">IFERROR(__xludf.dummyfunction("if(SPLIT(VLOOKUP($C74,PalData!$A$2:$BU$139,14,0),""EPalElementType::"",0,1)=""None"","""",SPLIT(VLOOKUP($C74,PalData!$A$2:$BU$139,14,0),""EPalElementType::"",0,1))"),"")</f>
        <v/>
      </c>
      <c r="G74" s="188" t="str">
        <f aca="false">IF(VLOOKUP($C74,PalData!$A$2:$BU$139,48,0),"🌜","")</f>
        <v/>
      </c>
      <c r="H74" s="189" t="n">
        <f aca="false">VLOOKUP($C74,PalData!$A$2:$BU$139,55,0)</f>
        <v>2</v>
      </c>
      <c r="I74" s="189" t="n">
        <f aca="false">VLOOKUP($C74,PalData!$A$2:$BU$139,56,0)</f>
        <v>0</v>
      </c>
      <c r="J74" s="189" t="n">
        <f aca="false">VLOOKUP($C74,PalData!$A$2:$BU$139,57,0)</f>
        <v>0</v>
      </c>
      <c r="K74" s="189" t="n">
        <f aca="false">VLOOKUP($C74,PalData!$A$2:$BU$139,58,0)</f>
        <v>0</v>
      </c>
      <c r="L74" s="189" t="n">
        <f aca="false">VLOOKUP($C74,PalData!$A$2:$BU$139,59,0)</f>
        <v>0</v>
      </c>
      <c r="M74" s="189" t="n">
        <f aca="false">VLOOKUP($C74,PalData!$A$2:$BU$139,60,0)</f>
        <v>0</v>
      </c>
      <c r="N74" s="189" t="n">
        <f aca="false">VLOOKUP($C74,PalData!$A$2:$BU$139,61,0)</f>
        <v>0</v>
      </c>
      <c r="O74" s="189" t="n">
        <f aca="false">VLOOKUP($C74,PalData!$A$2:$BU$139,62,0)</f>
        <v>0</v>
      </c>
      <c r="P74" s="189" t="n">
        <f aca="false">VLOOKUP($C74,PalData!$A$2:$BU$139,64,0)</f>
        <v>0</v>
      </c>
      <c r="Q74" s="189" t="n">
        <f aca="false">VLOOKUP($C74,PalData!$A$2:$BU$139,65,0)</f>
        <v>0</v>
      </c>
      <c r="R74" s="189" t="n">
        <f aca="false">VLOOKUP($C74,PalData!$A$2:$BU$139,66,0)</f>
        <v>0</v>
      </c>
      <c r="S74" s="189" t="n">
        <f aca="false">VLOOKUP($C74,PalData!$A$2:$BU$139,67,0)</f>
        <v>0</v>
      </c>
      <c r="T74" s="190" t="n">
        <f aca="false">VLOOKUP($C74,PalData!$A$2:$BU$139,43,0)</f>
        <v>4</v>
      </c>
      <c r="U74" s="188" t="n">
        <f aca="false">VLOOKUP($C74,PalData!$A$2:$BU$139,54,0)</f>
        <v>830</v>
      </c>
      <c r="V74" s="191" t="n">
        <f aca="false">VLOOKUP($C74,PalData!$A$2:$BU$139,19,0)</f>
        <v>100</v>
      </c>
      <c r="W74" s="191" t="n">
        <f aca="false">VLOOKUP($C74,PalData!$A$2:$BU$139,20,0)</f>
        <v>70</v>
      </c>
      <c r="X74" s="191" t="n">
        <f aca="false">VLOOKUP($C74,PalData!$A$2:$BU$139,21,0)</f>
        <v>115</v>
      </c>
      <c r="Y74" s="191" t="n">
        <f aca="false">VLOOKUP($C74,PalData!$A$2:$BU$139,22,0)</f>
        <v>100</v>
      </c>
      <c r="Z74" s="192" t="n">
        <f aca="false">VLOOKUP($C74,PalData!$A$2:$BU$139,28,0)</f>
        <v>3170</v>
      </c>
      <c r="AA74" s="193" t="n">
        <f aca="false" t="array" ref="AA74:AA74">INDEX(PalData,MATCH(C74,PalNames,0)+1,MATCH("Stamina",PalData_Header,0))</f>
        <v>100</v>
      </c>
      <c r="AB74" s="193" t="n">
        <f aca="false">VLOOKUP($C74,PalData!$A$2:$BU$139,32,0)</f>
        <v>130</v>
      </c>
      <c r="AC74" s="193" t="n">
        <f aca="false">VLOOKUP($C74,PalData!$A$2:$BU$139,33,0)</f>
        <v>700</v>
      </c>
      <c r="AD74" s="193" t="n">
        <f aca="false" t="array" ref="AD74:AD74">IF(INDEX(PalData,MATCH(C74,PalNames,0)+1,MATCH("Mount",PalData_Header,0)),INDEX(PalData,MATCH(C74,PalNames,0)+1,MATCH("RideSprintSpeed",PalData_Header,0)),)</f>
        <v>900</v>
      </c>
      <c r="AE74" s="193" t="n">
        <f aca="false">IF(R74&gt;0, INDEX(PalData,MATCH(C74,PalNames,0)+1,MATCH("TransportSpeed",PalData_Header,0)),)</f>
        <v>0</v>
      </c>
      <c r="AF74" s="198" t="n">
        <f aca="false">VLOOKUP($C74,PalData!$A$2:$BU$139,26,0)</f>
        <v>1</v>
      </c>
      <c r="AG74" s="195" t="n">
        <f aca="false" t="array" ref="AG74:AG74">INDEX(PalData,MATCH(C74,PalNames,0)+1,MATCH("MaleProbability",PalData_Header,0))</f>
        <v>50</v>
      </c>
    </row>
    <row r="75" customFormat="false" ht="26.25" hidden="false" customHeight="true" outlineLevel="0" collapsed="false">
      <c r="A75" s="196" t="n">
        <f aca="false">VLOOKUP($C75,PalData!$A$2:$BU$139,9,0)</f>
        <v>62</v>
      </c>
      <c r="B75" s="197" t="n">
        <f aca="false">INDEX(PalData,MATCH(C75,PalNames,0)+1,MATCH("ZukanIndexSuffix",PalData_Header,0))</f>
        <v>0</v>
      </c>
      <c r="C75" s="185" t="s">
        <v>41</v>
      </c>
      <c r="D75" s="186" t="n">
        <f aca="false">IFERROR(INDEX(PalData,MATCH(C75,PalNames,0)+1,MATCH("Image",PalData_Header,0)),)</f>
        <v>0</v>
      </c>
      <c r="E75" s="187" t="str">
        <f aca="false">IFERROR(__xludf.dummyfunction("SPLIT(VLOOKUP($C75,PalData!$A$2:$BU$139,13,0),""EPalElementType::"",0,1)"),"Electricity")</f>
        <v>Electricity</v>
      </c>
      <c r="F75" s="187" t="str">
        <f aca="false">IFERROR(__xludf.dummyfunction("if(SPLIT(VLOOKUP($C75,PalData!$A$2:$BU$139,14,0),""EPalElementType::"",0,1)=""None"","""",SPLIT(VLOOKUP($C75,PalData!$A$2:$BU$139,14,0),""EPalElementType::"",0,1))"),"")</f>
        <v/>
      </c>
      <c r="G75" s="188" t="str">
        <f aca="false">IF(VLOOKUP($C75,PalData!$A$2:$BU$139,48,0),"🌜","")</f>
        <v/>
      </c>
      <c r="H75" s="189" t="n">
        <f aca="false">VLOOKUP($C75,PalData!$A$2:$BU$139,55,0)</f>
        <v>0</v>
      </c>
      <c r="I75" s="189" t="n">
        <f aca="false">VLOOKUP($C75,PalData!$A$2:$BU$139,56,0)</f>
        <v>0</v>
      </c>
      <c r="J75" s="189" t="n">
        <f aca="false">VLOOKUP($C75,PalData!$A$2:$BU$139,57,0)</f>
        <v>0</v>
      </c>
      <c r="K75" s="189" t="n">
        <f aca="false">VLOOKUP($C75,PalData!$A$2:$BU$139,58,0)</f>
        <v>1</v>
      </c>
      <c r="L75" s="189" t="n">
        <f aca="false">VLOOKUP($C75,PalData!$A$2:$BU$139,59,0)</f>
        <v>1</v>
      </c>
      <c r="M75" s="189" t="n">
        <f aca="false">VLOOKUP($C75,PalData!$A$2:$BU$139,60,0)</f>
        <v>0</v>
      </c>
      <c r="N75" s="189" t="n">
        <f aca="false">VLOOKUP($C75,PalData!$A$2:$BU$139,61,0)</f>
        <v>0</v>
      </c>
      <c r="O75" s="189" t="n">
        <f aca="false">VLOOKUP($C75,PalData!$A$2:$BU$139,62,0)</f>
        <v>0</v>
      </c>
      <c r="P75" s="189" t="n">
        <f aca="false">VLOOKUP($C75,PalData!$A$2:$BU$139,64,0)</f>
        <v>0</v>
      </c>
      <c r="Q75" s="189" t="n">
        <f aca="false">VLOOKUP($C75,PalData!$A$2:$BU$139,65,0)</f>
        <v>0</v>
      </c>
      <c r="R75" s="189" t="n">
        <f aca="false">VLOOKUP($C75,PalData!$A$2:$BU$139,66,0)</f>
        <v>1</v>
      </c>
      <c r="S75" s="189" t="n">
        <f aca="false">VLOOKUP($C75,PalData!$A$2:$BU$139,67,0)</f>
        <v>0</v>
      </c>
      <c r="T75" s="190" t="n">
        <f aca="false">VLOOKUP($C75,PalData!$A$2:$BU$139,43,0)</f>
        <v>2</v>
      </c>
      <c r="U75" s="188" t="n">
        <f aca="false">VLOOKUP($C75,PalData!$A$2:$BU$139,54,0)</f>
        <v>1210</v>
      </c>
      <c r="V75" s="191" t="n">
        <f aca="false">VLOOKUP($C75,PalData!$A$2:$BU$139,19,0)</f>
        <v>70</v>
      </c>
      <c r="W75" s="191" t="n">
        <f aca="false">VLOOKUP($C75,PalData!$A$2:$BU$139,20,0)</f>
        <v>110</v>
      </c>
      <c r="X75" s="191" t="n">
        <f aca="false">VLOOKUP($C75,PalData!$A$2:$BU$139,21,0)</f>
        <v>80</v>
      </c>
      <c r="Y75" s="191" t="n">
        <f aca="false">VLOOKUP($C75,PalData!$A$2:$BU$139,22,0)</f>
        <v>70</v>
      </c>
      <c r="Z75" s="192" t="n">
        <f aca="false">VLOOKUP($C75,PalData!$A$2:$BU$139,28,0)</f>
        <v>1390</v>
      </c>
      <c r="AA75" s="193" t="n">
        <f aca="false" t="array" ref="AA75:AA75">INDEX(PalData,MATCH(C75,PalNames,0)+1,MATCH("Stamina",PalData_Header,0))</f>
        <v>100</v>
      </c>
      <c r="AB75" s="193" t="n">
        <f aca="false">VLOOKUP($C75,PalData!$A$2:$BU$139,32,0)</f>
        <v>200</v>
      </c>
      <c r="AC75" s="193" t="n">
        <f aca="false">VLOOKUP($C75,PalData!$A$2:$BU$139,33,0)</f>
        <v>400</v>
      </c>
      <c r="AD75" s="193" t="n">
        <f aca="false">IF(INDEX(PalData,MATCH(C75,PalNames,0)+1,MATCH("Mount",PalData_Header,0)),INDEX(PalData,MATCH(C75,PalNames,0)+1,MATCH("RideSprintSpeed",PalData_Header,0)),)</f>
        <v>0</v>
      </c>
      <c r="AE75" s="193" t="n">
        <f aca="false" t="array" ref="AE75:AE75">IF(R75&gt;0, INDEX(PalData,MATCH(C75,PalNames,0)+1,MATCH("TransportSpeed",PalData_Header,0)),)</f>
        <v>300</v>
      </c>
      <c r="AF75" s="198" t="n">
        <f aca="false">VLOOKUP($C75,PalData!$A$2:$BU$139,26,0)</f>
        <v>1</v>
      </c>
      <c r="AG75" s="195" t="n">
        <f aca="false" t="array" ref="AG75:AG75">INDEX(PalData,MATCH(C75,PalNames,0)+1,MATCH("MaleProbability",PalData_Header,0))</f>
        <v>20</v>
      </c>
    </row>
    <row r="76" customFormat="false" ht="26.25" hidden="false" customHeight="true" outlineLevel="0" collapsed="false">
      <c r="A76" s="196" t="n">
        <f aca="false">VLOOKUP($C76,PalData!$A$2:$BU$139,9,0)</f>
        <v>63</v>
      </c>
      <c r="B76" s="197" t="n">
        <f aca="false">INDEX(PalData,MATCH(C76,PalNames,0)+1,MATCH("ZukanIndexSuffix",PalData_Header,0))</f>
        <v>0</v>
      </c>
      <c r="C76" s="185" t="s">
        <v>96</v>
      </c>
      <c r="D76" s="186" t="n">
        <f aca="false">IFERROR(INDEX(PalData,MATCH(C76,PalNames,0)+1,MATCH("Image",PalData_Header,0)),)</f>
        <v>0</v>
      </c>
      <c r="E76" s="187" t="str">
        <f aca="false">IFERROR(__xludf.dummyfunction("SPLIT(VLOOKUP($C76,PalData!$A$2:$BU$139,13,0),""EPalElementType::"",0,1)"),"Normal")</f>
        <v>Normal</v>
      </c>
      <c r="F76" s="187" t="str">
        <f aca="false">IFERROR(__xludf.dummyfunction("if(SPLIT(VLOOKUP($C76,PalData!$A$2:$BU$139,14,0),""EPalElementType::"",0,1)=""None"","""",SPLIT(VLOOKUP($C76,PalData!$A$2:$BU$139,14,0),""EPalElementType::"",0,1))"),"")</f>
        <v/>
      </c>
      <c r="G76" s="188" t="str">
        <f aca="false">IF(VLOOKUP($C76,PalData!$A$2:$BU$139,48,0),"🌜","")</f>
        <v/>
      </c>
      <c r="H76" s="189" t="n">
        <f aca="false">VLOOKUP($C76,PalData!$A$2:$BU$139,55,0)</f>
        <v>0</v>
      </c>
      <c r="I76" s="189" t="n">
        <f aca="false">VLOOKUP($C76,PalData!$A$2:$BU$139,56,0)</f>
        <v>0</v>
      </c>
      <c r="J76" s="189" t="n">
        <f aca="false">VLOOKUP($C76,PalData!$A$2:$BU$139,57,0)</f>
        <v>0</v>
      </c>
      <c r="K76" s="189" t="n">
        <f aca="false">VLOOKUP($C76,PalData!$A$2:$BU$139,58,0)</f>
        <v>0</v>
      </c>
      <c r="L76" s="189" t="n">
        <f aca="false">VLOOKUP($C76,PalData!$A$2:$BU$139,59,0)</f>
        <v>3</v>
      </c>
      <c r="M76" s="189" t="n">
        <f aca="false">VLOOKUP($C76,PalData!$A$2:$BU$139,60,0)</f>
        <v>1</v>
      </c>
      <c r="N76" s="189" t="n">
        <f aca="false">VLOOKUP($C76,PalData!$A$2:$BU$139,61,0)</f>
        <v>0</v>
      </c>
      <c r="O76" s="189" t="n">
        <f aca="false">VLOOKUP($C76,PalData!$A$2:$BU$139,62,0)</f>
        <v>0</v>
      </c>
      <c r="P76" s="189" t="n">
        <f aca="false">VLOOKUP($C76,PalData!$A$2:$BU$139,64,0)</f>
        <v>0</v>
      </c>
      <c r="Q76" s="189" t="n">
        <f aca="false">VLOOKUP($C76,PalData!$A$2:$BU$139,65,0)</f>
        <v>0</v>
      </c>
      <c r="R76" s="189" t="n">
        <f aca="false">VLOOKUP($C76,PalData!$A$2:$BU$139,66,0)</f>
        <v>1</v>
      </c>
      <c r="S76" s="189" t="n">
        <f aca="false">VLOOKUP($C76,PalData!$A$2:$BU$139,67,0)</f>
        <v>0</v>
      </c>
      <c r="T76" s="190" t="n">
        <f aca="false">VLOOKUP($C76,PalData!$A$2:$BU$139,43,0)</f>
        <v>2</v>
      </c>
      <c r="U76" s="188" t="n">
        <f aca="false">VLOOKUP($C76,PalData!$A$2:$BU$139,54,0)</f>
        <v>1110</v>
      </c>
      <c r="V76" s="191" t="n">
        <f aca="false">VLOOKUP($C76,PalData!$A$2:$BU$139,19,0)</f>
        <v>90</v>
      </c>
      <c r="W76" s="191" t="n">
        <f aca="false">VLOOKUP($C76,PalData!$A$2:$BU$139,20,0)</f>
        <v>80</v>
      </c>
      <c r="X76" s="191" t="n">
        <f aca="false">VLOOKUP($C76,PalData!$A$2:$BU$139,21,0)</f>
        <v>100</v>
      </c>
      <c r="Y76" s="191" t="n">
        <f aca="false">VLOOKUP($C76,PalData!$A$2:$BU$139,22,0)</f>
        <v>90</v>
      </c>
      <c r="Z76" s="192" t="n">
        <f aca="false">VLOOKUP($C76,PalData!$A$2:$BU$139,28,0)</f>
        <v>1760</v>
      </c>
      <c r="AA76" s="193" t="n">
        <f aca="false" t="array" ref="AA76:AA76">INDEX(PalData,MATCH(C76,PalNames,0)+1,MATCH("Stamina",PalData_Header,0))</f>
        <v>100</v>
      </c>
      <c r="AB76" s="193" t="n">
        <f aca="false">VLOOKUP($C76,PalData!$A$2:$BU$139,32,0)</f>
        <v>130</v>
      </c>
      <c r="AC76" s="193" t="n">
        <f aca="false">VLOOKUP($C76,PalData!$A$2:$BU$139,33,0)</f>
        <v>500</v>
      </c>
      <c r="AD76" s="193" t="n">
        <f aca="false">IF(INDEX(PalData,MATCH(C76,PalNames,0)+1,MATCH("Mount",PalData_Header,0)),INDEX(PalData,MATCH(C76,PalNames,0)+1,MATCH("RideSprintSpeed",PalData_Header,0)),)</f>
        <v>0</v>
      </c>
      <c r="AE76" s="193" t="n">
        <f aca="false" t="array" ref="AE76:AE76">IF(R76&gt;0, INDEX(PalData,MATCH(C76,PalNames,0)+1,MATCH("TransportSpeed",PalData_Header,0)),)</f>
        <v>315</v>
      </c>
      <c r="AF76" s="198" t="n">
        <f aca="false">VLOOKUP($C76,PalData!$A$2:$BU$139,26,0)</f>
        <v>1</v>
      </c>
      <c r="AG76" s="195" t="n">
        <f aca="false" t="array" ref="AG76:AG76">INDEX(PalData,MATCH(C76,PalNames,0)+1,MATCH("MaleProbability",PalData_Header,0))</f>
        <v>50</v>
      </c>
    </row>
    <row r="77" customFormat="false" ht="26.25" hidden="false" customHeight="true" outlineLevel="0" collapsed="false">
      <c r="A77" s="196" t="n">
        <f aca="false">VLOOKUP($C77,PalData!$A$2:$BU$139,9,0)</f>
        <v>64</v>
      </c>
      <c r="B77" s="197" t="n">
        <f aca="false">INDEX(PalData,MATCH(C77,PalNames,0)+1,MATCH("ZukanIndexSuffix",PalData_Header,0))</f>
        <v>0</v>
      </c>
      <c r="C77" s="185" t="s">
        <v>44</v>
      </c>
      <c r="D77" s="186" t="n">
        <f aca="false">IFERROR(INDEX(PalData,MATCH(C77,PalNames,0)+1,MATCH("Image",PalData_Header,0)),)</f>
        <v>0</v>
      </c>
      <c r="E77" s="187" t="str">
        <f aca="false">IFERROR(__xludf.dummyfunction("SPLIT(VLOOKUP($C77,PalData!$A$2:$BU$139,13,0),""EPalElementType::"",0,1)"),"Leaf")</f>
        <v>Leaf</v>
      </c>
      <c r="F77" s="187" t="str">
        <f aca="false">IFERROR(__xludf.dummyfunction("if(SPLIT(VLOOKUP($C77,PalData!$A$2:$BU$139,14,0),""EPalElementType::"",0,1)=""None"","""",SPLIT(VLOOKUP($C77,PalData!$A$2:$BU$139,14,0),""EPalElementType::"",0,1))"),"Dragon")</f>
        <v>Dragon</v>
      </c>
      <c r="G77" s="188" t="str">
        <f aca="false">IF(VLOOKUP($C77,PalData!$A$2:$BU$139,48,0),"🌜","")</f>
        <v/>
      </c>
      <c r="H77" s="189" t="n">
        <f aca="false">VLOOKUP($C77,PalData!$A$2:$BU$139,55,0)</f>
        <v>0</v>
      </c>
      <c r="I77" s="189" t="n">
        <f aca="false">VLOOKUP($C77,PalData!$A$2:$BU$139,56,0)</f>
        <v>0</v>
      </c>
      <c r="J77" s="189" t="n">
        <f aca="false">VLOOKUP($C77,PalData!$A$2:$BU$139,57,0)</f>
        <v>2</v>
      </c>
      <c r="K77" s="189" t="n">
        <f aca="false">VLOOKUP($C77,PalData!$A$2:$BU$139,58,0)</f>
        <v>0</v>
      </c>
      <c r="L77" s="189" t="n">
        <f aca="false">VLOOKUP($C77,PalData!$A$2:$BU$139,59,0)</f>
        <v>0</v>
      </c>
      <c r="M77" s="189" t="n">
        <f aca="false">VLOOKUP($C77,PalData!$A$2:$BU$139,60,0)</f>
        <v>0</v>
      </c>
      <c r="N77" s="189" t="n">
        <f aca="false">VLOOKUP($C77,PalData!$A$2:$BU$139,61,0)</f>
        <v>2</v>
      </c>
      <c r="O77" s="189" t="n">
        <f aca="false">VLOOKUP($C77,PalData!$A$2:$BU$139,62,0)</f>
        <v>0</v>
      </c>
      <c r="P77" s="189" t="n">
        <f aca="false">VLOOKUP($C77,PalData!$A$2:$BU$139,64,0)</f>
        <v>0</v>
      </c>
      <c r="Q77" s="189" t="n">
        <f aca="false">VLOOKUP($C77,PalData!$A$2:$BU$139,65,0)</f>
        <v>0</v>
      </c>
      <c r="R77" s="189" t="n">
        <f aca="false">VLOOKUP($C77,PalData!$A$2:$BU$139,66,0)</f>
        <v>0</v>
      </c>
      <c r="S77" s="189" t="n">
        <f aca="false">VLOOKUP($C77,PalData!$A$2:$BU$139,67,0)</f>
        <v>0</v>
      </c>
      <c r="T77" s="190" t="n">
        <f aca="false">VLOOKUP($C77,PalData!$A$2:$BU$139,43,0)</f>
        <v>6</v>
      </c>
      <c r="U77" s="188" t="n">
        <f aca="false">VLOOKUP($C77,PalData!$A$2:$BU$139,54,0)</f>
        <v>820</v>
      </c>
      <c r="V77" s="191" t="n">
        <f aca="false">VLOOKUP($C77,PalData!$A$2:$BU$139,19,0)</f>
        <v>110</v>
      </c>
      <c r="W77" s="191" t="n">
        <f aca="false">VLOOKUP($C77,PalData!$A$2:$BU$139,20,0)</f>
        <v>90</v>
      </c>
      <c r="X77" s="191" t="n">
        <f aca="false">VLOOKUP($C77,PalData!$A$2:$BU$139,21,0)</f>
        <v>85</v>
      </c>
      <c r="Y77" s="191" t="n">
        <f aca="false">VLOOKUP($C77,PalData!$A$2:$BU$139,22,0)</f>
        <v>90</v>
      </c>
      <c r="Z77" s="192" t="n">
        <f aca="false">VLOOKUP($C77,PalData!$A$2:$BU$139,28,0)</f>
        <v>3240</v>
      </c>
      <c r="AA77" s="193" t="n">
        <f aca="false" t="array" ref="AA77:AA77">INDEX(PalData,MATCH(C77,PalNames,0)+1,MATCH("Stamina",PalData_Header,0))</f>
        <v>100</v>
      </c>
      <c r="AB77" s="193" t="n">
        <f aca="false">VLOOKUP($C77,PalData!$A$2:$BU$139,32,0)</f>
        <v>120</v>
      </c>
      <c r="AC77" s="193" t="n">
        <f aca="false">VLOOKUP($C77,PalData!$A$2:$BU$139,33,0)</f>
        <v>550</v>
      </c>
      <c r="AD77" s="193" t="n">
        <f aca="false" t="array" ref="AD77:AD77">IF(INDEX(PalData,MATCH(C77,PalNames,0)+1,MATCH("Mount",PalData_Header,0)),INDEX(PalData,MATCH(C77,PalNames,0)+1,MATCH("RideSprintSpeed",PalData_Header,0)),)</f>
        <v>700</v>
      </c>
      <c r="AE77" s="193" t="n">
        <f aca="false">IF(R77&gt;0, INDEX(PalData,MATCH(C77,PalNames,0)+1,MATCH("TransportSpeed",PalData_Header,0)),)</f>
        <v>0</v>
      </c>
      <c r="AF77" s="198" t="n">
        <f aca="false">VLOOKUP($C77,PalData!$A$2:$BU$139,26,0)</f>
        <v>1</v>
      </c>
      <c r="AG77" s="195" t="n">
        <f aca="false" t="array" ref="AG77:AG77">INDEX(PalData,MATCH(C77,PalNames,0)+1,MATCH("MaleProbability",PalData_Header,0))</f>
        <v>50</v>
      </c>
    </row>
    <row r="78" customFormat="false" ht="26.25" hidden="false" customHeight="true" outlineLevel="0" collapsed="false">
      <c r="A78" s="196" t="n">
        <f aca="false">VLOOKUP($C78,PalData!$A$2:$BU$139,9,0)</f>
        <v>64</v>
      </c>
      <c r="B78" s="197" t="str">
        <f aca="false" t="array" ref="B78:B78">INDEX(PalData,MATCH(C78,PalNames,0)+1,MATCH("ZukanIndexSuffix",PalData_Header,0))</f>
        <v>B</v>
      </c>
      <c r="C78" s="185" t="s">
        <v>45</v>
      </c>
      <c r="D78" s="186" t="n">
        <f aca="false">IFERROR(INDEX(PalData,MATCH(C78,PalNames,0)+1,MATCH("Image",PalData_Header,0)),)</f>
        <v>0</v>
      </c>
      <c r="E78" s="187" t="str">
        <f aca="false">IFERROR(__xludf.dummyfunction("SPLIT(VLOOKUP($C78,PalData!$A$2:$BU$139,13,0),""EPalElementType::"",0,1)"),"Electricity")</f>
        <v>Electricity</v>
      </c>
      <c r="F78" s="187" t="str">
        <f aca="false">IFERROR(__xludf.dummyfunction("if(SPLIT(VLOOKUP($C78,PalData!$A$2:$BU$139,14,0),""EPalElementType::"",0,1)=""None"","""",SPLIT(VLOOKUP($C78,PalData!$A$2:$BU$139,14,0),""EPalElementType::"",0,1))"),"Dragon")</f>
        <v>Dragon</v>
      </c>
      <c r="G78" s="188" t="str">
        <f aca="false">IF(VLOOKUP($C78,PalData!$A$2:$BU$139,48,0),"🌜","")</f>
        <v/>
      </c>
      <c r="H78" s="189" t="n">
        <f aca="false">VLOOKUP($C78,PalData!$A$2:$BU$139,55,0)</f>
        <v>0</v>
      </c>
      <c r="I78" s="189" t="n">
        <f aca="false">VLOOKUP($C78,PalData!$A$2:$BU$139,56,0)</f>
        <v>0</v>
      </c>
      <c r="J78" s="189" t="n">
        <f aca="false">VLOOKUP($C78,PalData!$A$2:$BU$139,57,0)</f>
        <v>0</v>
      </c>
      <c r="K78" s="189" t="n">
        <f aca="false">VLOOKUP($C78,PalData!$A$2:$BU$139,58,0)</f>
        <v>2</v>
      </c>
      <c r="L78" s="189" t="n">
        <f aca="false">VLOOKUP($C78,PalData!$A$2:$BU$139,59,0)</f>
        <v>0</v>
      </c>
      <c r="M78" s="189" t="n">
        <f aca="false">VLOOKUP($C78,PalData!$A$2:$BU$139,60,0)</f>
        <v>0</v>
      </c>
      <c r="N78" s="189" t="n">
        <f aca="false">VLOOKUP($C78,PalData!$A$2:$BU$139,61,0)</f>
        <v>2</v>
      </c>
      <c r="O78" s="189" t="n">
        <f aca="false">VLOOKUP($C78,PalData!$A$2:$BU$139,62,0)</f>
        <v>0</v>
      </c>
      <c r="P78" s="189" t="n">
        <f aca="false">VLOOKUP($C78,PalData!$A$2:$BU$139,64,0)</f>
        <v>0</v>
      </c>
      <c r="Q78" s="189" t="n">
        <f aca="false">VLOOKUP($C78,PalData!$A$2:$BU$139,65,0)</f>
        <v>0</v>
      </c>
      <c r="R78" s="189" t="n">
        <f aca="false">VLOOKUP($C78,PalData!$A$2:$BU$139,66,0)</f>
        <v>0</v>
      </c>
      <c r="S78" s="189" t="n">
        <f aca="false">VLOOKUP($C78,PalData!$A$2:$BU$139,67,0)</f>
        <v>0</v>
      </c>
      <c r="T78" s="190" t="n">
        <f aca="false">VLOOKUP($C78,PalData!$A$2:$BU$139,43,0)</f>
        <v>6</v>
      </c>
      <c r="U78" s="188" t="n">
        <f aca="false">VLOOKUP($C78,PalData!$A$2:$BU$139,54,0)</f>
        <v>810</v>
      </c>
      <c r="V78" s="191" t="n">
        <f aca="false">VLOOKUP($C78,PalData!$A$2:$BU$139,19,0)</f>
        <v>110</v>
      </c>
      <c r="W78" s="191" t="n">
        <f aca="false">VLOOKUP($C78,PalData!$A$2:$BU$139,20,0)</f>
        <v>90</v>
      </c>
      <c r="X78" s="191" t="n">
        <f aca="false">VLOOKUP($C78,PalData!$A$2:$BU$139,21,0)</f>
        <v>90</v>
      </c>
      <c r="Y78" s="191" t="n">
        <f aca="false">VLOOKUP($C78,PalData!$A$2:$BU$139,22,0)</f>
        <v>90</v>
      </c>
      <c r="Z78" s="192" t="n">
        <f aca="false">VLOOKUP($C78,PalData!$A$2:$BU$139,28,0)</f>
        <v>3380</v>
      </c>
      <c r="AA78" s="193" t="n">
        <f aca="false" t="array" ref="AA78:AA78">INDEX(PalData,MATCH(C78,PalNames,0)+1,MATCH("Stamina",PalData_Header,0))</f>
        <v>100</v>
      </c>
      <c r="AB78" s="193" t="n">
        <f aca="false">VLOOKUP($C78,PalData!$A$2:$BU$139,32,0)</f>
        <v>120</v>
      </c>
      <c r="AC78" s="193" t="n">
        <f aca="false">VLOOKUP($C78,PalData!$A$2:$BU$139,33,0)</f>
        <v>550</v>
      </c>
      <c r="AD78" s="193" t="n">
        <f aca="false" t="array" ref="AD78:AD78">IF(INDEX(PalData,MATCH(C78,PalNames,0)+1,MATCH("Mount",PalData_Header,0)),INDEX(PalData,MATCH(C78,PalNames,0)+1,MATCH("RideSprintSpeed",PalData_Header,0)),)</f>
        <v>700</v>
      </c>
      <c r="AE78" s="193" t="n">
        <f aca="false">IF(R78&gt;0, INDEX(PalData,MATCH(C78,PalNames,0)+1,MATCH("TransportSpeed",PalData_Header,0)),)</f>
        <v>0</v>
      </c>
      <c r="AF78" s="198" t="n">
        <f aca="false">VLOOKUP($C78,PalData!$A$2:$BU$139,26,0)</f>
        <v>1</v>
      </c>
      <c r="AG78" s="195" t="n">
        <f aca="false" t="array" ref="AG78:AG78">INDEX(PalData,MATCH(C78,PalNames,0)+1,MATCH("MaleProbability",PalData_Header,0))</f>
        <v>50</v>
      </c>
    </row>
    <row r="79" customFormat="false" ht="26.25" hidden="false" customHeight="true" outlineLevel="0" collapsed="false">
      <c r="A79" s="196" t="n">
        <f aca="false">VLOOKUP($C79,PalData!$A$2:$BU$139,9,0)</f>
        <v>65</v>
      </c>
      <c r="B79" s="197" t="n">
        <f aca="false">INDEX(PalData,MATCH(C79,PalNames,0)+1,MATCH("ZukanIndexSuffix",PalData_Header,0))</f>
        <v>0</v>
      </c>
      <c r="C79" s="185" t="s">
        <v>133</v>
      </c>
      <c r="D79" s="186" t="n">
        <f aca="false">IFERROR(INDEX(PalData,MATCH(C79,PalNames,0)+1,MATCH("Image",PalData_Header,0)),)</f>
        <v>0</v>
      </c>
      <c r="E79" s="187" t="str">
        <f aca="false">IFERROR(__xludf.dummyfunction("SPLIT(VLOOKUP($C79,PalData!$A$2:$BU$139,13,0),""EPalElementType::"",0,1)"),"Water")</f>
        <v>Water</v>
      </c>
      <c r="F79" s="187" t="str">
        <f aca="false">IFERROR(__xludf.dummyfunction("if(SPLIT(VLOOKUP($C79,PalData!$A$2:$BU$139,14,0),""EPalElementType::"",0,1)=""None"","""",SPLIT(VLOOKUP($C79,PalData!$A$2:$BU$139,14,0),""EPalElementType::"",0,1))"),"")</f>
        <v/>
      </c>
      <c r="G79" s="188" t="str">
        <f aca="false">IF(VLOOKUP($C79,PalData!$A$2:$BU$139,48,0),"🌜","")</f>
        <v/>
      </c>
      <c r="H79" s="189" t="n">
        <f aca="false">VLOOKUP($C79,PalData!$A$2:$BU$139,55,0)</f>
        <v>0</v>
      </c>
      <c r="I79" s="189" t="n">
        <f aca="false">VLOOKUP($C79,PalData!$A$2:$BU$139,56,0)</f>
        <v>2</v>
      </c>
      <c r="J79" s="189" t="n">
        <f aca="false">VLOOKUP($C79,PalData!$A$2:$BU$139,57,0)</f>
        <v>0</v>
      </c>
      <c r="K79" s="189" t="n">
        <f aca="false">VLOOKUP($C79,PalData!$A$2:$BU$139,58,0)</f>
        <v>0</v>
      </c>
      <c r="L79" s="189" t="n">
        <f aca="false">VLOOKUP($C79,PalData!$A$2:$BU$139,59,0)</f>
        <v>0</v>
      </c>
      <c r="M79" s="189" t="n">
        <f aca="false">VLOOKUP($C79,PalData!$A$2:$BU$139,60,0)</f>
        <v>0</v>
      </c>
      <c r="N79" s="189" t="n">
        <f aca="false">VLOOKUP($C79,PalData!$A$2:$BU$139,61,0)</f>
        <v>0</v>
      </c>
      <c r="O79" s="189" t="n">
        <f aca="false">VLOOKUP($C79,PalData!$A$2:$BU$139,62,0)</f>
        <v>0</v>
      </c>
      <c r="P79" s="189" t="n">
        <f aca="false">VLOOKUP($C79,PalData!$A$2:$BU$139,64,0)</f>
        <v>0</v>
      </c>
      <c r="Q79" s="189" t="n">
        <f aca="false">VLOOKUP($C79,PalData!$A$2:$BU$139,65,0)</f>
        <v>0</v>
      </c>
      <c r="R79" s="189" t="n">
        <f aca="false">VLOOKUP($C79,PalData!$A$2:$BU$139,66,0)</f>
        <v>0</v>
      </c>
      <c r="S79" s="189" t="n">
        <f aca="false">VLOOKUP($C79,PalData!$A$2:$BU$139,67,0)</f>
        <v>0</v>
      </c>
      <c r="T79" s="190" t="n">
        <f aca="false">VLOOKUP($C79,PalData!$A$2:$BU$139,43,0)</f>
        <v>5</v>
      </c>
      <c r="U79" s="188" t="n">
        <f aca="false">VLOOKUP($C79,PalData!$A$2:$BU$139,54,0)</f>
        <v>560</v>
      </c>
      <c r="V79" s="191" t="n">
        <f aca="false">VLOOKUP($C79,PalData!$A$2:$BU$139,19,0)</f>
        <v>90</v>
      </c>
      <c r="W79" s="191" t="n">
        <f aca="false">VLOOKUP($C79,PalData!$A$2:$BU$139,20,0)</f>
        <v>70</v>
      </c>
      <c r="X79" s="191" t="n">
        <f aca="false">VLOOKUP($C79,PalData!$A$2:$BU$139,21,0)</f>
        <v>90</v>
      </c>
      <c r="Y79" s="191" t="n">
        <f aca="false">VLOOKUP($C79,PalData!$A$2:$BU$139,22,0)</f>
        <v>80</v>
      </c>
      <c r="Z79" s="192" t="n">
        <f aca="false">VLOOKUP($C79,PalData!$A$2:$BU$139,28,0)</f>
        <v>5050</v>
      </c>
      <c r="AA79" s="193" t="n">
        <f aca="false" t="array" ref="AA79:AA79">INDEX(PalData,MATCH(C79,PalNames,0)+1,MATCH("Stamina",PalData_Header,0))</f>
        <v>100</v>
      </c>
      <c r="AB79" s="193" t="n">
        <f aca="false">VLOOKUP($C79,PalData!$A$2:$BU$139,32,0)</f>
        <v>200</v>
      </c>
      <c r="AC79" s="193" t="n">
        <f aca="false">VLOOKUP($C79,PalData!$A$2:$BU$139,33,0)</f>
        <v>500</v>
      </c>
      <c r="AD79" s="193" t="n">
        <f aca="false" t="array" ref="AD79:AD79">IF(INDEX(PalData,MATCH(C79,PalNames,0)+1,MATCH("Mount",PalData_Header,0)),INDEX(PalData,MATCH(C79,PalNames,0)+1,MATCH("RideSprintSpeed",PalData_Header,0)),)</f>
        <v>650</v>
      </c>
      <c r="AE79" s="193" t="n">
        <f aca="false">IF(R79&gt;0, INDEX(PalData,MATCH(C79,PalNames,0)+1,MATCH("TransportSpeed",PalData_Header,0)),)</f>
        <v>0</v>
      </c>
      <c r="AF79" s="198" t="n">
        <f aca="false">VLOOKUP($C79,PalData!$A$2:$BU$139,26,0)</f>
        <v>1</v>
      </c>
      <c r="AG79" s="195" t="n">
        <f aca="false" t="array" ref="AG79:AG79">INDEX(PalData,MATCH(C79,PalNames,0)+1,MATCH("MaleProbability",PalData_Header,0))</f>
        <v>50</v>
      </c>
    </row>
    <row r="80" customFormat="false" ht="26.25" hidden="false" customHeight="true" outlineLevel="0" collapsed="false">
      <c r="A80" s="196" t="n">
        <f aca="false">VLOOKUP($C80,PalData!$A$2:$BU$139,9,0)</f>
        <v>65</v>
      </c>
      <c r="B80" s="197" t="str">
        <f aca="false" t="array" ref="B80:B80">INDEX(PalData,MATCH(C80,PalNames,0)+1,MATCH("ZukanIndexSuffix",PalData_Header,0))</f>
        <v>B</v>
      </c>
      <c r="C80" s="185" t="s">
        <v>134</v>
      </c>
      <c r="D80" s="186" t="n">
        <f aca="false">IFERROR(INDEX(PalData,MATCH(C80,PalNames,0)+1,MATCH("Image",PalData_Header,0)),)</f>
        <v>0</v>
      </c>
      <c r="E80" s="187" t="str">
        <f aca="false">IFERROR(__xludf.dummyfunction("SPLIT(VLOOKUP($C80,PalData!$A$2:$BU$139,13,0),""EPalElementType::"",0,1)"),"Earth")</f>
        <v>Earth</v>
      </c>
      <c r="F80" s="187" t="str">
        <f aca="false">IFERROR(__xludf.dummyfunction("if(SPLIT(VLOOKUP($C80,PalData!$A$2:$BU$139,14,0),""EPalElementType::"",0,1)=""None"","""",SPLIT(VLOOKUP($C80,PalData!$A$2:$BU$139,14,0),""EPalElementType::"",0,1))"),"")</f>
        <v/>
      </c>
      <c r="G80" s="188" t="str">
        <f aca="false">IF(VLOOKUP($C80,PalData!$A$2:$BU$139,48,0),"🌜","")</f>
        <v/>
      </c>
      <c r="H80" s="189" t="n">
        <f aca="false">VLOOKUP($C80,PalData!$A$2:$BU$139,55,0)</f>
        <v>0</v>
      </c>
      <c r="I80" s="189" t="n">
        <f aca="false">VLOOKUP($C80,PalData!$A$2:$BU$139,56,0)</f>
        <v>0</v>
      </c>
      <c r="J80" s="189" t="n">
        <f aca="false">VLOOKUP($C80,PalData!$A$2:$BU$139,57,0)</f>
        <v>0</v>
      </c>
      <c r="K80" s="189" t="n">
        <f aca="false">VLOOKUP($C80,PalData!$A$2:$BU$139,58,0)</f>
        <v>0</v>
      </c>
      <c r="L80" s="189" t="n">
        <f aca="false">VLOOKUP($C80,PalData!$A$2:$BU$139,59,0)</f>
        <v>0</v>
      </c>
      <c r="M80" s="189" t="n">
        <f aca="false">VLOOKUP($C80,PalData!$A$2:$BU$139,60,0)</f>
        <v>1</v>
      </c>
      <c r="N80" s="189" t="n">
        <f aca="false">VLOOKUP($C80,PalData!$A$2:$BU$139,61,0)</f>
        <v>0</v>
      </c>
      <c r="O80" s="189" t="n">
        <f aca="false">VLOOKUP($C80,PalData!$A$2:$BU$139,62,0)</f>
        <v>0</v>
      </c>
      <c r="P80" s="189" t="n">
        <f aca="false">VLOOKUP($C80,PalData!$A$2:$BU$139,64,0)</f>
        <v>0</v>
      </c>
      <c r="Q80" s="189" t="n">
        <f aca="false">VLOOKUP($C80,PalData!$A$2:$BU$139,65,0)</f>
        <v>0</v>
      </c>
      <c r="R80" s="189" t="n">
        <f aca="false">VLOOKUP($C80,PalData!$A$2:$BU$139,66,0)</f>
        <v>0</v>
      </c>
      <c r="S80" s="189" t="n">
        <f aca="false">VLOOKUP($C80,PalData!$A$2:$BU$139,67,0)</f>
        <v>0</v>
      </c>
      <c r="T80" s="190" t="n">
        <f aca="false">VLOOKUP($C80,PalData!$A$2:$BU$139,43,0)</f>
        <v>5</v>
      </c>
      <c r="U80" s="188" t="n">
        <f aca="false">VLOOKUP($C80,PalData!$A$2:$BU$139,54,0)</f>
        <v>550</v>
      </c>
      <c r="V80" s="191" t="n">
        <f aca="false">VLOOKUP($C80,PalData!$A$2:$BU$139,19,0)</f>
        <v>90</v>
      </c>
      <c r="W80" s="191" t="n">
        <f aca="false">VLOOKUP($C80,PalData!$A$2:$BU$139,20,0)</f>
        <v>70</v>
      </c>
      <c r="X80" s="191" t="n">
        <f aca="false">VLOOKUP($C80,PalData!$A$2:$BU$139,21,0)</f>
        <v>90</v>
      </c>
      <c r="Y80" s="191" t="n">
        <f aca="false">VLOOKUP($C80,PalData!$A$2:$BU$139,22,0)</f>
        <v>100</v>
      </c>
      <c r="Z80" s="192" t="n">
        <f aca="false">VLOOKUP($C80,PalData!$A$2:$BU$139,28,0)</f>
        <v>5140</v>
      </c>
      <c r="AA80" s="193" t="n">
        <f aca="false" t="array" ref="AA80:AA80">INDEX(PalData,MATCH(C80,PalNames,0)+1,MATCH("Stamina",PalData_Header,0))</f>
        <v>100</v>
      </c>
      <c r="AB80" s="193" t="n">
        <f aca="false">VLOOKUP($C80,PalData!$A$2:$BU$139,32,0)</f>
        <v>200</v>
      </c>
      <c r="AC80" s="193" t="n">
        <f aca="false">VLOOKUP($C80,PalData!$A$2:$BU$139,33,0)</f>
        <v>500</v>
      </c>
      <c r="AD80" s="193" t="n">
        <f aca="false" t="array" ref="AD80:AD80">IF(INDEX(PalData,MATCH(C80,PalNames,0)+1,MATCH("Mount",PalData_Header,0)),INDEX(PalData,MATCH(C80,PalNames,0)+1,MATCH("RideSprintSpeed",PalData_Header,0)),)</f>
        <v>650</v>
      </c>
      <c r="AE80" s="193" t="n">
        <f aca="false">IF(R80&gt;0, INDEX(PalData,MATCH(C80,PalNames,0)+1,MATCH("TransportSpeed",PalData_Header,0)),)</f>
        <v>0</v>
      </c>
      <c r="AF80" s="198" t="n">
        <f aca="false">VLOOKUP($C80,PalData!$A$2:$BU$139,26,0)</f>
        <v>1</v>
      </c>
      <c r="AG80" s="195" t="n">
        <f aca="false" t="array" ref="AG80:AG80">INDEX(PalData,MATCH(C80,PalNames,0)+1,MATCH("MaleProbability",PalData_Header,0))</f>
        <v>50</v>
      </c>
    </row>
    <row r="81" customFormat="false" ht="26.25" hidden="false" customHeight="true" outlineLevel="0" collapsed="false">
      <c r="A81" s="196" t="n">
        <f aca="false">VLOOKUP($C81,PalData!$A$2:$BU$139,9,0)</f>
        <v>66</v>
      </c>
      <c r="B81" s="197" t="n">
        <f aca="false">INDEX(PalData,MATCH(C81,PalNames,0)+1,MATCH("ZukanIndexSuffix",PalData_Header,0))</f>
        <v>0</v>
      </c>
      <c r="C81" s="185" t="s">
        <v>101</v>
      </c>
      <c r="D81" s="186" t="n">
        <f aca="false">IFERROR(INDEX(PalData,MATCH(C81,PalNames,0)+1,MATCH("Image",PalData_Header,0)),)</f>
        <v>0</v>
      </c>
      <c r="E81" s="187" t="str">
        <f aca="false">IFERROR(__xludf.dummyfunction("SPLIT(VLOOKUP($C81,PalData!$A$2:$BU$139,13,0),""EPalElementType::"",0,1)"),"Dark")</f>
        <v>Dark</v>
      </c>
      <c r="F81" s="187" t="str">
        <f aca="false">IFERROR(__xludf.dummyfunction("if(SPLIT(VLOOKUP($C81,PalData!$A$2:$BU$139,14,0),""EPalElementType::"",0,1)=""None"","""",SPLIT(VLOOKUP($C81,PalData!$A$2:$BU$139,14,0),""EPalElementType::"",0,1))"),"")</f>
        <v/>
      </c>
      <c r="G81" s="188" t="str">
        <f aca="false">IF(VLOOKUP($C81,PalData!$A$2:$BU$139,48,0),"🌜","")</f>
        <v>🌜</v>
      </c>
      <c r="H81" s="189" t="n">
        <f aca="false">VLOOKUP($C81,PalData!$A$2:$BU$139,55,0)</f>
        <v>0</v>
      </c>
      <c r="I81" s="189" t="n">
        <f aca="false">VLOOKUP($C81,PalData!$A$2:$BU$139,56,0)</f>
        <v>0</v>
      </c>
      <c r="J81" s="189" t="n">
        <f aca="false">VLOOKUP($C81,PalData!$A$2:$BU$139,57,0)</f>
        <v>0</v>
      </c>
      <c r="K81" s="189" t="n">
        <f aca="false">VLOOKUP($C81,PalData!$A$2:$BU$139,58,0)</f>
        <v>0</v>
      </c>
      <c r="L81" s="189" t="n">
        <f aca="false">VLOOKUP($C81,PalData!$A$2:$BU$139,59,0)</f>
        <v>0</v>
      </c>
      <c r="M81" s="189" t="n">
        <f aca="false">VLOOKUP($C81,PalData!$A$2:$BU$139,60,0)</f>
        <v>2</v>
      </c>
      <c r="N81" s="189" t="n">
        <f aca="false">VLOOKUP($C81,PalData!$A$2:$BU$139,61,0)</f>
        <v>0</v>
      </c>
      <c r="O81" s="189" t="n">
        <f aca="false">VLOOKUP($C81,PalData!$A$2:$BU$139,62,0)</f>
        <v>1</v>
      </c>
      <c r="P81" s="189" t="n">
        <f aca="false">VLOOKUP($C81,PalData!$A$2:$BU$139,64,0)</f>
        <v>0</v>
      </c>
      <c r="Q81" s="189" t="n">
        <f aca="false">VLOOKUP($C81,PalData!$A$2:$BU$139,65,0)</f>
        <v>0</v>
      </c>
      <c r="R81" s="189" t="n">
        <f aca="false">VLOOKUP($C81,PalData!$A$2:$BU$139,66,0)</f>
        <v>0</v>
      </c>
      <c r="S81" s="189" t="n">
        <f aca="false">VLOOKUP($C81,PalData!$A$2:$BU$139,67,0)</f>
        <v>0</v>
      </c>
      <c r="T81" s="190" t="n">
        <f aca="false">VLOOKUP($C81,PalData!$A$2:$BU$139,43,0)</f>
        <v>3</v>
      </c>
      <c r="U81" s="188" t="n">
        <f aca="false">VLOOKUP($C81,PalData!$A$2:$BU$139,54,0)</f>
        <v>1150</v>
      </c>
      <c r="V81" s="191" t="n">
        <f aca="false">VLOOKUP($C81,PalData!$A$2:$BU$139,19,0)</f>
        <v>75</v>
      </c>
      <c r="W81" s="191" t="n">
        <f aca="false">VLOOKUP($C81,PalData!$A$2:$BU$139,20,0)</f>
        <v>50</v>
      </c>
      <c r="X81" s="191" t="n">
        <f aca="false">VLOOKUP($C81,PalData!$A$2:$BU$139,21,0)</f>
        <v>105</v>
      </c>
      <c r="Y81" s="191" t="n">
        <f aca="false">VLOOKUP($C81,PalData!$A$2:$BU$139,22,0)</f>
        <v>80</v>
      </c>
      <c r="Z81" s="192" t="n">
        <f aca="false">VLOOKUP($C81,PalData!$A$2:$BU$139,28,0)</f>
        <v>1570</v>
      </c>
      <c r="AA81" s="193" t="n">
        <f aca="false" t="array" ref="AA81:AA81">INDEX(PalData,MATCH(C81,PalNames,0)+1,MATCH("Stamina",PalData_Header,0))</f>
        <v>100</v>
      </c>
      <c r="AB81" s="193" t="n">
        <f aca="false">VLOOKUP($C81,PalData!$A$2:$BU$139,32,0)</f>
        <v>160</v>
      </c>
      <c r="AC81" s="193" t="n">
        <f aca="false">VLOOKUP($C81,PalData!$A$2:$BU$139,33,0)</f>
        <v>600</v>
      </c>
      <c r="AD81" s="193" t="n">
        <f aca="false" t="array" ref="AD81:AD81">IF(INDEX(PalData,MATCH(C81,PalNames,0)+1,MATCH("Mount",PalData_Header,0)),INDEX(PalData,MATCH(C81,PalNames,0)+1,MATCH("RideSprintSpeed",PalData_Header,0)),)</f>
        <v>800</v>
      </c>
      <c r="AE81" s="193" t="n">
        <f aca="false">IF(R81&gt;0, INDEX(PalData,MATCH(C81,PalNames,0)+1,MATCH("TransportSpeed",PalData_Header,0)),)</f>
        <v>0</v>
      </c>
      <c r="AF81" s="198" t="n">
        <f aca="false">VLOOKUP($C81,PalData!$A$2:$BU$139,26,0)</f>
        <v>1</v>
      </c>
      <c r="AG81" s="195" t="n">
        <f aca="false" t="array" ref="AG81:AG81">INDEX(PalData,MATCH(C81,PalNames,0)+1,MATCH("MaleProbability",PalData_Header,0))</f>
        <v>50</v>
      </c>
    </row>
    <row r="82" customFormat="false" ht="26.25" hidden="false" customHeight="true" outlineLevel="0" collapsed="false">
      <c r="A82" s="196" t="n">
        <f aca="false">VLOOKUP($C82,PalData!$A$2:$BU$139,9,0)</f>
        <v>67</v>
      </c>
      <c r="B82" s="197" t="n">
        <f aca="false">INDEX(PalData,MATCH(C82,PalNames,0)+1,MATCH("ZukanIndexSuffix",PalData_Header,0))</f>
        <v>0</v>
      </c>
      <c r="C82" s="185" t="s">
        <v>43</v>
      </c>
      <c r="D82" s="186" t="n">
        <f aca="false">IFERROR(INDEX(PalData,MATCH(C82,PalNames,0)+1,MATCH("Image",PalData_Header,0)),)</f>
        <v>0</v>
      </c>
      <c r="E82" s="187" t="str">
        <f aca="false">IFERROR(__xludf.dummyfunction("SPLIT(VLOOKUP($C82,PalData!$A$2:$BU$139,13,0),""EPalElementType::"",0,1)"),"Earth")</f>
        <v>Earth</v>
      </c>
      <c r="F82" s="187" t="str">
        <f aca="false">IFERROR(__xludf.dummyfunction("if(SPLIT(VLOOKUP($C82,PalData!$A$2:$BU$139,14,0),""EPalElementType::"",0,1)=""None"","""",SPLIT(VLOOKUP($C82,PalData!$A$2:$BU$139,14,0),""EPalElementType::"",0,1))"),"")</f>
        <v/>
      </c>
      <c r="G82" s="188" t="str">
        <f aca="false">IF(VLOOKUP($C82,PalData!$A$2:$BU$139,48,0),"🌜","")</f>
        <v/>
      </c>
      <c r="H82" s="189" t="n">
        <f aca="false">VLOOKUP($C82,PalData!$A$2:$BU$139,55,0)</f>
        <v>0</v>
      </c>
      <c r="I82" s="189" t="n">
        <f aca="false">VLOOKUP($C82,PalData!$A$2:$BU$139,56,0)</f>
        <v>0</v>
      </c>
      <c r="J82" s="189" t="n">
        <f aca="false">VLOOKUP($C82,PalData!$A$2:$BU$139,57,0)</f>
        <v>0</v>
      </c>
      <c r="K82" s="189" t="n">
        <f aca="false">VLOOKUP($C82,PalData!$A$2:$BU$139,58,0)</f>
        <v>0</v>
      </c>
      <c r="L82" s="189" t="n">
        <f aca="false">VLOOKUP($C82,PalData!$A$2:$BU$139,59,0)</f>
        <v>0</v>
      </c>
      <c r="M82" s="189" t="n">
        <f aca="false">VLOOKUP($C82,PalData!$A$2:$BU$139,60,0)</f>
        <v>0</v>
      </c>
      <c r="N82" s="189" t="n">
        <f aca="false">VLOOKUP($C82,PalData!$A$2:$BU$139,61,0)</f>
        <v>0</v>
      </c>
      <c r="O82" s="189" t="n">
        <f aca="false">VLOOKUP($C82,PalData!$A$2:$BU$139,62,0)</f>
        <v>3</v>
      </c>
      <c r="P82" s="189" t="n">
        <f aca="false">VLOOKUP($C82,PalData!$A$2:$BU$139,64,0)</f>
        <v>0</v>
      </c>
      <c r="Q82" s="189" t="n">
        <f aca="false">VLOOKUP($C82,PalData!$A$2:$BU$139,65,0)</f>
        <v>0</v>
      </c>
      <c r="R82" s="189" t="n">
        <f aca="false">VLOOKUP($C82,PalData!$A$2:$BU$139,66,0)</f>
        <v>0</v>
      </c>
      <c r="S82" s="189" t="n">
        <f aca="false">VLOOKUP($C82,PalData!$A$2:$BU$139,67,0)</f>
        <v>0</v>
      </c>
      <c r="T82" s="190" t="n">
        <f aca="false">VLOOKUP($C82,PalData!$A$2:$BU$139,43,0)</f>
        <v>5</v>
      </c>
      <c r="U82" s="188" t="n">
        <f aca="false">VLOOKUP($C82,PalData!$A$2:$BU$139,54,0)</f>
        <v>850</v>
      </c>
      <c r="V82" s="191" t="n">
        <f aca="false">VLOOKUP($C82,PalData!$A$2:$BU$139,19,0)</f>
        <v>80</v>
      </c>
      <c r="W82" s="191" t="n">
        <f aca="false">VLOOKUP($C82,PalData!$A$2:$BU$139,20,0)</f>
        <v>80</v>
      </c>
      <c r="X82" s="191" t="n">
        <f aca="false">VLOOKUP($C82,PalData!$A$2:$BU$139,21,0)</f>
        <v>95</v>
      </c>
      <c r="Y82" s="191" t="n">
        <f aca="false">VLOOKUP($C82,PalData!$A$2:$BU$139,22,0)</f>
        <v>120</v>
      </c>
      <c r="Z82" s="192" t="n">
        <f aca="false">VLOOKUP($C82,PalData!$A$2:$BU$139,28,0)</f>
        <v>2980</v>
      </c>
      <c r="AA82" s="193" t="n">
        <f aca="false" t="array" ref="AA82:AA82">INDEX(PalData,MATCH(C82,PalNames,0)+1,MATCH("Stamina",PalData_Header,0))</f>
        <v>100</v>
      </c>
      <c r="AB82" s="193" t="n">
        <f aca="false">VLOOKUP($C82,PalData!$A$2:$BU$139,32,0)</f>
        <v>120</v>
      </c>
      <c r="AC82" s="193" t="n">
        <f aca="false">VLOOKUP($C82,PalData!$A$2:$BU$139,33,0)</f>
        <v>300</v>
      </c>
      <c r="AD82" s="193" t="n">
        <f aca="false">IF(INDEX(PalData,MATCH(C82,PalNames,0)+1,MATCH("Mount",PalData_Header,0)),INDEX(PalData,MATCH(C82,PalNames,0)+1,MATCH("RideSprintSpeed",PalData_Header,0)),)</f>
        <v>0</v>
      </c>
      <c r="AE82" s="193" t="n">
        <f aca="false">IF(R82&gt;0, INDEX(PalData,MATCH(C82,PalNames,0)+1,MATCH("TransportSpeed",PalData_Header,0)),)</f>
        <v>0</v>
      </c>
      <c r="AF82" s="198" t="n">
        <f aca="false">VLOOKUP($C82,PalData!$A$2:$BU$139,26,0)</f>
        <v>1</v>
      </c>
      <c r="AG82" s="195" t="n">
        <f aca="false" t="array" ref="AG82:AG82">INDEX(PalData,MATCH(C82,PalNames,0)+1,MATCH("MaleProbability",PalData_Header,0))</f>
        <v>50</v>
      </c>
    </row>
    <row r="83" customFormat="false" ht="26.25" hidden="false" customHeight="true" outlineLevel="0" collapsed="false">
      <c r="A83" s="196" t="n">
        <f aca="false">VLOOKUP($C83,PalData!$A$2:$BU$139,9,0)</f>
        <v>68</v>
      </c>
      <c r="B83" s="197" t="n">
        <f aca="false">INDEX(PalData,MATCH(C83,PalNames,0)+1,MATCH("ZukanIndexSuffix",PalData_Header,0))</f>
        <v>0</v>
      </c>
      <c r="C83" s="185" t="s">
        <v>142</v>
      </c>
      <c r="D83" s="186" t="n">
        <f aca="false">IFERROR(INDEX(PalData,MATCH(C83,PalNames,0)+1,MATCH("Image",PalData_Header,0)),)</f>
        <v>0</v>
      </c>
      <c r="E83" s="187" t="str">
        <f aca="false">IFERROR(__xludf.dummyfunction("SPLIT(VLOOKUP($C83,PalData!$A$2:$BU$139,13,0),""EPalElementType::"",0,1)"),"Dark")</f>
        <v>Dark</v>
      </c>
      <c r="F83" s="187" t="str">
        <f aca="false">IFERROR(__xludf.dummyfunction("if(SPLIT(VLOOKUP($C83,PalData!$A$2:$BU$139,14,0),""EPalElementType::"",0,1)=""None"","""",SPLIT(VLOOKUP($C83,PalData!$A$2:$BU$139,14,0),""EPalElementType::"",0,1))"),"")</f>
        <v/>
      </c>
      <c r="G83" s="188" t="str">
        <f aca="false">IF(VLOOKUP($C83,PalData!$A$2:$BU$139,48,0),"🌜","")</f>
        <v>🌜</v>
      </c>
      <c r="H83" s="189" t="n">
        <f aca="false">VLOOKUP($C83,PalData!$A$2:$BU$139,55,0)</f>
        <v>0</v>
      </c>
      <c r="I83" s="189" t="n">
        <f aca="false">VLOOKUP($C83,PalData!$A$2:$BU$139,56,0)</f>
        <v>0</v>
      </c>
      <c r="J83" s="189" t="n">
        <f aca="false">VLOOKUP($C83,PalData!$A$2:$BU$139,57,0)</f>
        <v>0</v>
      </c>
      <c r="K83" s="189" t="n">
        <f aca="false">VLOOKUP($C83,PalData!$A$2:$BU$139,58,0)</f>
        <v>0</v>
      </c>
      <c r="L83" s="189" t="n">
        <f aca="false">VLOOKUP($C83,PalData!$A$2:$BU$139,59,0)</f>
        <v>0</v>
      </c>
      <c r="M83" s="189" t="n">
        <f aca="false">VLOOKUP($C83,PalData!$A$2:$BU$139,60,0)</f>
        <v>2</v>
      </c>
      <c r="N83" s="189" t="n">
        <f aca="false">VLOOKUP($C83,PalData!$A$2:$BU$139,61,0)</f>
        <v>0</v>
      </c>
      <c r="O83" s="189" t="n">
        <f aca="false">VLOOKUP($C83,PalData!$A$2:$BU$139,62,0)</f>
        <v>2</v>
      </c>
      <c r="P83" s="189" t="n">
        <f aca="false">VLOOKUP($C83,PalData!$A$2:$BU$139,64,0)</f>
        <v>0</v>
      </c>
      <c r="Q83" s="189" t="n">
        <f aca="false">VLOOKUP($C83,PalData!$A$2:$BU$139,65,0)</f>
        <v>0</v>
      </c>
      <c r="R83" s="189" t="n">
        <f aca="false">VLOOKUP($C83,PalData!$A$2:$BU$139,66,0)</f>
        <v>2</v>
      </c>
      <c r="S83" s="189" t="n">
        <f aca="false">VLOOKUP($C83,PalData!$A$2:$BU$139,67,0)</f>
        <v>0</v>
      </c>
      <c r="T83" s="190" t="n">
        <f aca="false">VLOOKUP($C83,PalData!$A$2:$BU$139,43,0)</f>
        <v>5</v>
      </c>
      <c r="U83" s="188" t="n">
        <f aca="false">VLOOKUP($C83,PalData!$A$2:$BU$139,54,0)</f>
        <v>750</v>
      </c>
      <c r="V83" s="191" t="n">
        <f aca="false">VLOOKUP($C83,PalData!$A$2:$BU$139,19,0)</f>
        <v>95</v>
      </c>
      <c r="W83" s="191" t="n">
        <f aca="false">VLOOKUP($C83,PalData!$A$2:$BU$139,20,0)</f>
        <v>100</v>
      </c>
      <c r="X83" s="191" t="n">
        <f aca="false">VLOOKUP($C83,PalData!$A$2:$BU$139,21,0)</f>
        <v>95</v>
      </c>
      <c r="Y83" s="191" t="n">
        <f aca="false">VLOOKUP($C83,PalData!$A$2:$BU$139,22,0)</f>
        <v>80</v>
      </c>
      <c r="Z83" s="192" t="n">
        <f aca="false">VLOOKUP($C83,PalData!$A$2:$BU$139,28,0)</f>
        <v>3810</v>
      </c>
      <c r="AA83" s="193" t="n">
        <f aca="false" t="array" ref="AA83:AA83">INDEX(PalData,MATCH(C83,PalNames,0)+1,MATCH("Stamina",PalData_Header,0))</f>
        <v>100</v>
      </c>
      <c r="AB83" s="193" t="n">
        <f aca="false">VLOOKUP($C83,PalData!$A$2:$BU$139,32,0)</f>
        <v>140</v>
      </c>
      <c r="AC83" s="193" t="n">
        <f aca="false">VLOOKUP($C83,PalData!$A$2:$BU$139,33,0)</f>
        <v>400</v>
      </c>
      <c r="AD83" s="193" t="n">
        <f aca="false">IF(INDEX(PalData,MATCH(C83,PalNames,0)+1,MATCH("Mount",PalData_Header,0)),INDEX(PalData,MATCH(C83,PalNames,0)+1,MATCH("RideSprintSpeed",PalData_Header,0)),)</f>
        <v>0</v>
      </c>
      <c r="AE83" s="193" t="n">
        <f aca="false" t="array" ref="AE83:AE83">IF(R83&gt;0, INDEX(PalData,MATCH(C83,PalNames,0)+1,MATCH("TransportSpeed",PalData_Header,0)),)</f>
        <v>270</v>
      </c>
      <c r="AF83" s="198" t="n">
        <f aca="false">VLOOKUP($C83,PalData!$A$2:$BU$139,26,0)</f>
        <v>1</v>
      </c>
      <c r="AG83" s="195" t="n">
        <f aca="false" t="array" ref="AG83:AG83">INDEX(PalData,MATCH(C83,PalNames,0)+1,MATCH("MaleProbability",PalData_Header,0))</f>
        <v>50</v>
      </c>
    </row>
    <row r="84" customFormat="false" ht="26.25" hidden="false" customHeight="true" outlineLevel="0" collapsed="false">
      <c r="A84" s="196" t="n">
        <f aca="false">VLOOKUP($C84,PalData!$A$2:$BU$139,9,0)</f>
        <v>69</v>
      </c>
      <c r="B84" s="197" t="n">
        <f aca="false">INDEX(PalData,MATCH(C84,PalNames,0)+1,MATCH("ZukanIndexSuffix",PalData_Header,0))</f>
        <v>0</v>
      </c>
      <c r="C84" s="185" t="s">
        <v>95</v>
      </c>
      <c r="D84" s="186" t="n">
        <f aca="false">IFERROR(INDEX(PalData,MATCH(C84,PalNames,0)+1,MATCH("Image",PalData_Header,0)),)</f>
        <v>0</v>
      </c>
      <c r="E84" s="187" t="str">
        <f aca="false">IFERROR(__xludf.dummyfunction("SPLIT(VLOOKUP($C84,PalData!$A$2:$BU$139,13,0),""EPalElementType::"",0,1)"),"Normal")</f>
        <v>Normal</v>
      </c>
      <c r="F84" s="187" t="str">
        <f aca="false">IFERROR(__xludf.dummyfunction("if(SPLIT(VLOOKUP($C84,PalData!$A$2:$BU$139,14,0),""EPalElementType::"",0,1)=""None"","""",SPLIT(VLOOKUP($C84,PalData!$A$2:$BU$139,14,0),""EPalElementType::"",0,1))"),"")</f>
        <v/>
      </c>
      <c r="G84" s="188" t="str">
        <f aca="false">IF(VLOOKUP($C84,PalData!$A$2:$BU$139,48,0),"🌜","")</f>
        <v>🌜</v>
      </c>
      <c r="H84" s="189" t="n">
        <f aca="false">VLOOKUP($C84,PalData!$A$2:$BU$139,55,0)</f>
        <v>0</v>
      </c>
      <c r="I84" s="189" t="n">
        <f aca="false">VLOOKUP($C84,PalData!$A$2:$BU$139,56,0)</f>
        <v>0</v>
      </c>
      <c r="J84" s="189" t="n">
        <f aca="false">VLOOKUP($C84,PalData!$A$2:$BU$139,57,0)</f>
        <v>0</v>
      </c>
      <c r="K84" s="189" t="n">
        <f aca="false">VLOOKUP($C84,PalData!$A$2:$BU$139,58,0)</f>
        <v>0</v>
      </c>
      <c r="L84" s="189" t="n">
        <f aca="false">VLOOKUP($C84,PalData!$A$2:$BU$139,59,0)</f>
        <v>2</v>
      </c>
      <c r="M84" s="189" t="n">
        <f aca="false">VLOOKUP($C84,PalData!$A$2:$BU$139,60,0)</f>
        <v>0</v>
      </c>
      <c r="N84" s="189" t="n">
        <f aca="false">VLOOKUP($C84,PalData!$A$2:$BU$139,61,0)</f>
        <v>0</v>
      </c>
      <c r="O84" s="189" t="n">
        <f aca="false">VLOOKUP($C84,PalData!$A$2:$BU$139,62,0)</f>
        <v>1</v>
      </c>
      <c r="P84" s="189" t="n">
        <f aca="false">VLOOKUP($C84,PalData!$A$2:$BU$139,64,0)</f>
        <v>2</v>
      </c>
      <c r="Q84" s="189" t="n">
        <f aca="false">VLOOKUP($C84,PalData!$A$2:$BU$139,65,0)</f>
        <v>0</v>
      </c>
      <c r="R84" s="189" t="n">
        <f aca="false">VLOOKUP($C84,PalData!$A$2:$BU$139,66,0)</f>
        <v>2</v>
      </c>
      <c r="S84" s="189" t="n">
        <f aca="false">VLOOKUP($C84,PalData!$A$2:$BU$139,67,0)</f>
        <v>0</v>
      </c>
      <c r="T84" s="190" t="n">
        <f aca="false">VLOOKUP($C84,PalData!$A$2:$BU$139,43,0)</f>
        <v>5</v>
      </c>
      <c r="U84" s="188" t="n">
        <f aca="false">VLOOKUP($C84,PalData!$A$2:$BU$139,54,0)</f>
        <v>940</v>
      </c>
      <c r="V84" s="191" t="n">
        <f aca="false">VLOOKUP($C84,PalData!$A$2:$BU$139,19,0)</f>
        <v>120</v>
      </c>
      <c r="W84" s="191" t="n">
        <f aca="false">VLOOKUP($C84,PalData!$A$2:$BU$139,20,0)</f>
        <v>70</v>
      </c>
      <c r="X84" s="191" t="n">
        <f aca="false">VLOOKUP($C84,PalData!$A$2:$BU$139,21,0)</f>
        <v>70</v>
      </c>
      <c r="Y84" s="191" t="n">
        <f aca="false">VLOOKUP($C84,PalData!$A$2:$BU$139,22,0)</f>
        <v>70</v>
      </c>
      <c r="Z84" s="192" t="n">
        <f aca="false">VLOOKUP($C84,PalData!$A$2:$BU$139,28,0)</f>
        <v>2450</v>
      </c>
      <c r="AA84" s="193" t="n">
        <f aca="false" t="array" ref="AA84:AA84">INDEX(PalData,MATCH(C84,PalNames,0)+1,MATCH("Stamina",PalData_Header,0))</f>
        <v>100</v>
      </c>
      <c r="AB84" s="193" t="n">
        <f aca="false">VLOOKUP($C84,PalData!$A$2:$BU$139,32,0)</f>
        <v>170</v>
      </c>
      <c r="AC84" s="193" t="n">
        <f aca="false">VLOOKUP($C84,PalData!$A$2:$BU$139,33,0)</f>
        <v>750</v>
      </c>
      <c r="AD84" s="193" t="n">
        <f aca="false">IF(INDEX(PalData,MATCH(C84,PalNames,0)+1,MATCH("Mount",PalData_Header,0)),INDEX(PalData,MATCH(C84,PalNames,0)+1,MATCH("RideSprintSpeed",PalData_Header,0)),)</f>
        <v>0</v>
      </c>
      <c r="AE84" s="193" t="n">
        <f aca="false" t="array" ref="AE84:AE84">IF(R84&gt;0, INDEX(PalData,MATCH(C84,PalNames,0)+1,MATCH("TransportSpeed",PalData_Header,0)),)</f>
        <v>460</v>
      </c>
      <c r="AF84" s="198" t="n">
        <f aca="false">VLOOKUP($C84,PalData!$A$2:$BU$139,26,0)</f>
        <v>1</v>
      </c>
      <c r="AG84" s="195" t="n">
        <f aca="false" t="array" ref="AG84:AG84">INDEX(PalData,MATCH(C84,PalNames,0)+1,MATCH("MaleProbability",PalData_Header,0))</f>
        <v>30</v>
      </c>
    </row>
    <row r="85" customFormat="false" ht="26.25" hidden="false" customHeight="true" outlineLevel="0" collapsed="false">
      <c r="A85" s="196" t="n">
        <f aca="false">VLOOKUP($C85,PalData!$A$2:$BU$139,9,0)</f>
        <v>70</v>
      </c>
      <c r="B85" s="197" t="n">
        <f aca="false">INDEX(PalData,MATCH(C85,PalNames,0)+1,MATCH("ZukanIndexSuffix",PalData_Header,0))</f>
        <v>0</v>
      </c>
      <c r="C85" s="185" t="s">
        <v>56</v>
      </c>
      <c r="D85" s="186" t="n">
        <f aca="false">IFERROR(INDEX(PalData,MATCH(C85,PalNames,0)+1,MATCH("Image",PalData_Header,0)),)</f>
        <v>0</v>
      </c>
      <c r="E85" s="187" t="str">
        <f aca="false">IFERROR(__xludf.dummyfunction("SPLIT(VLOOKUP($C85,PalData!$A$2:$BU$139,13,0),""EPalElementType::"",0,1)"),"Fire")</f>
        <v>Fire</v>
      </c>
      <c r="F85" s="187" t="str">
        <f aca="false">IFERROR(__xludf.dummyfunction("if(SPLIT(VLOOKUP($C85,PalData!$A$2:$BU$139,14,0),""EPalElementType::"",0,1)=""None"","""",SPLIT(VLOOKUP($C85,PalData!$A$2:$BU$139,14,0),""EPalElementType::"",0,1))"),"")</f>
        <v/>
      </c>
      <c r="G85" s="188" t="str">
        <f aca="false">IF(VLOOKUP($C85,PalData!$A$2:$BU$139,48,0),"🌜","")</f>
        <v/>
      </c>
      <c r="H85" s="189" t="n">
        <f aca="false">VLOOKUP($C85,PalData!$A$2:$BU$139,55,0)</f>
        <v>1</v>
      </c>
      <c r="I85" s="189" t="n">
        <f aca="false">VLOOKUP($C85,PalData!$A$2:$BU$139,56,0)</f>
        <v>0</v>
      </c>
      <c r="J85" s="189" t="n">
        <f aca="false">VLOOKUP($C85,PalData!$A$2:$BU$139,57,0)</f>
        <v>0</v>
      </c>
      <c r="K85" s="189" t="n">
        <f aca="false">VLOOKUP($C85,PalData!$A$2:$BU$139,58,0)</f>
        <v>0</v>
      </c>
      <c r="L85" s="189" t="n">
        <f aca="false">VLOOKUP($C85,PalData!$A$2:$BU$139,59,0)</f>
        <v>1</v>
      </c>
      <c r="M85" s="189" t="n">
        <f aca="false">VLOOKUP($C85,PalData!$A$2:$BU$139,60,0)</f>
        <v>0</v>
      </c>
      <c r="N85" s="189" t="n">
        <f aca="false">VLOOKUP($C85,PalData!$A$2:$BU$139,61,0)</f>
        <v>0</v>
      </c>
      <c r="O85" s="189" t="n">
        <f aca="false">VLOOKUP($C85,PalData!$A$2:$BU$139,62,0)</f>
        <v>0</v>
      </c>
      <c r="P85" s="189" t="n">
        <f aca="false">VLOOKUP($C85,PalData!$A$2:$BU$139,64,0)</f>
        <v>0</v>
      </c>
      <c r="Q85" s="189" t="n">
        <f aca="false">VLOOKUP($C85,PalData!$A$2:$BU$139,65,0)</f>
        <v>0</v>
      </c>
      <c r="R85" s="189" t="n">
        <f aca="false">VLOOKUP($C85,PalData!$A$2:$BU$139,66,0)</f>
        <v>1</v>
      </c>
      <c r="S85" s="189" t="n">
        <f aca="false">VLOOKUP($C85,PalData!$A$2:$BU$139,67,0)</f>
        <v>1</v>
      </c>
      <c r="T85" s="190" t="n">
        <f aca="false">VLOOKUP($C85,PalData!$A$2:$BU$139,43,0)</f>
        <v>2</v>
      </c>
      <c r="U85" s="188" t="n">
        <f aca="false">VLOOKUP($C85,PalData!$A$2:$BU$139,54,0)</f>
        <v>1405</v>
      </c>
      <c r="V85" s="191" t="n">
        <f aca="false">VLOOKUP($C85,PalData!$A$2:$BU$139,19,0)</f>
        <v>60</v>
      </c>
      <c r="W85" s="191" t="n">
        <f aca="false">VLOOKUP($C85,PalData!$A$2:$BU$139,20,0)</f>
        <v>100</v>
      </c>
      <c r="X85" s="191" t="n">
        <f aca="false">VLOOKUP($C85,PalData!$A$2:$BU$139,21,0)</f>
        <v>70</v>
      </c>
      <c r="Y85" s="191" t="n">
        <f aca="false">VLOOKUP($C85,PalData!$A$2:$BU$139,22,0)</f>
        <v>80</v>
      </c>
      <c r="Z85" s="192" t="n">
        <f aca="false">VLOOKUP($C85,PalData!$A$2:$BU$139,28,0)</f>
        <v>2500</v>
      </c>
      <c r="AA85" s="193" t="n">
        <f aca="false" t="array" ref="AA85:AA85">INDEX(PalData,MATCH(C85,PalNames,0)+1,MATCH("Stamina",PalData_Header,0))</f>
        <v>100</v>
      </c>
      <c r="AB85" s="193" t="n">
        <f aca="false">VLOOKUP($C85,PalData!$A$2:$BU$139,32,0)</f>
        <v>98</v>
      </c>
      <c r="AC85" s="193" t="n">
        <f aca="false">VLOOKUP($C85,PalData!$A$2:$BU$139,33,0)</f>
        <v>250</v>
      </c>
      <c r="AD85" s="193" t="n">
        <f aca="false">IF(INDEX(PalData,MATCH(C85,PalNames,0)+1,MATCH("Mount",PalData_Header,0)),INDEX(PalData,MATCH(C85,PalNames,0)+1,MATCH("RideSprintSpeed",PalData_Header,0)),)</f>
        <v>0</v>
      </c>
      <c r="AE85" s="193" t="n">
        <f aca="false" t="array" ref="AE85:AE85">IF(R85&gt;0, INDEX(PalData,MATCH(C85,PalNames,0)+1,MATCH("TransportSpeed",PalData_Header,0)),)</f>
        <v>140</v>
      </c>
      <c r="AF85" s="198" t="n">
        <f aca="false">VLOOKUP($C85,PalData!$A$2:$BU$139,26,0)</f>
        <v>1.1</v>
      </c>
      <c r="AG85" s="195" t="n">
        <f aca="false" t="array" ref="AG85:AG85">INDEX(PalData,MATCH(C85,PalNames,0)+1,MATCH("MaleProbability",PalData_Header,0))</f>
        <v>50</v>
      </c>
    </row>
    <row r="86" customFormat="false" ht="26.25" hidden="false" customHeight="true" outlineLevel="0" collapsed="false">
      <c r="A86" s="196" t="n">
        <f aca="false">VLOOKUP($C86,PalData!$A$2:$BU$139,9,0)</f>
        <v>71</v>
      </c>
      <c r="B86" s="197" t="n">
        <f aca="false">INDEX(PalData,MATCH(C86,PalNames,0)+1,MATCH("ZukanIndexSuffix",PalData_Header,0))</f>
        <v>0</v>
      </c>
      <c r="C86" s="185" t="s">
        <v>145</v>
      </c>
      <c r="D86" s="186" t="n">
        <f aca="false">IFERROR(INDEX(PalData,MATCH(C86,PalNames,0)+1,MATCH("Image",PalData_Header,0)),)</f>
        <v>0</v>
      </c>
      <c r="E86" s="187" t="str">
        <f aca="false">IFERROR(__xludf.dummyfunction("SPLIT(VLOOKUP($C86,PalData!$A$2:$BU$139,13,0),""EPalElementType::"",0,1)"),"Fire")</f>
        <v>Fire</v>
      </c>
      <c r="F86" s="187" t="str">
        <f aca="false">IFERROR(__xludf.dummyfunction("if(SPLIT(VLOOKUP($C86,PalData!$A$2:$BU$139,14,0),""EPalElementType::"",0,1)=""None"","""",SPLIT(VLOOKUP($C86,PalData!$A$2:$BU$139,14,0),""EPalElementType::"",0,1))"),"Dark")</f>
        <v>Dark</v>
      </c>
      <c r="G86" s="188" t="str">
        <f aca="false">IF(VLOOKUP($C86,PalData!$A$2:$BU$139,48,0),"🌜","")</f>
        <v>🌜</v>
      </c>
      <c r="H86" s="189" t="n">
        <f aca="false">VLOOKUP($C86,PalData!$A$2:$BU$139,55,0)</f>
        <v>1</v>
      </c>
      <c r="I86" s="189" t="n">
        <f aca="false">VLOOKUP($C86,PalData!$A$2:$BU$139,56,0)</f>
        <v>0</v>
      </c>
      <c r="J86" s="189" t="n">
        <f aca="false">VLOOKUP($C86,PalData!$A$2:$BU$139,57,0)</f>
        <v>0</v>
      </c>
      <c r="K86" s="189" t="n">
        <f aca="false">VLOOKUP($C86,PalData!$A$2:$BU$139,58,0)</f>
        <v>0</v>
      </c>
      <c r="L86" s="189" t="n">
        <f aca="false">VLOOKUP($C86,PalData!$A$2:$BU$139,59,0)</f>
        <v>0</v>
      </c>
      <c r="M86" s="189" t="n">
        <f aca="false">VLOOKUP($C86,PalData!$A$2:$BU$139,60,0)</f>
        <v>0</v>
      </c>
      <c r="N86" s="189" t="n">
        <f aca="false">VLOOKUP($C86,PalData!$A$2:$BU$139,61,0)</f>
        <v>0</v>
      </c>
      <c r="O86" s="189" t="n">
        <f aca="false">VLOOKUP($C86,PalData!$A$2:$BU$139,62,0)</f>
        <v>0</v>
      </c>
      <c r="P86" s="189" t="n">
        <f aca="false">VLOOKUP($C86,PalData!$A$2:$BU$139,64,0)</f>
        <v>0</v>
      </c>
      <c r="Q86" s="189" t="n">
        <f aca="false">VLOOKUP($C86,PalData!$A$2:$BU$139,65,0)</f>
        <v>0</v>
      </c>
      <c r="R86" s="189" t="n">
        <f aca="false">VLOOKUP($C86,PalData!$A$2:$BU$139,66,0)</f>
        <v>3</v>
      </c>
      <c r="S86" s="189" t="n">
        <f aca="false">VLOOKUP($C86,PalData!$A$2:$BU$139,67,0)</f>
        <v>0</v>
      </c>
      <c r="T86" s="190" t="n">
        <f aca="false">VLOOKUP($C86,PalData!$A$2:$BU$139,43,0)</f>
        <v>6</v>
      </c>
      <c r="U86" s="188" t="n">
        <f aca="false">VLOOKUP($C86,PalData!$A$2:$BU$139,54,0)</f>
        <v>660</v>
      </c>
      <c r="V86" s="191" t="n">
        <f aca="false">VLOOKUP($C86,PalData!$A$2:$BU$139,19,0)</f>
        <v>90</v>
      </c>
      <c r="W86" s="191" t="n">
        <f aca="false">VLOOKUP($C86,PalData!$A$2:$BU$139,20,0)</f>
        <v>100</v>
      </c>
      <c r="X86" s="191" t="n">
        <f aca="false">VLOOKUP($C86,PalData!$A$2:$BU$139,21,0)</f>
        <v>115</v>
      </c>
      <c r="Y86" s="191" t="n">
        <f aca="false">VLOOKUP($C86,PalData!$A$2:$BU$139,22,0)</f>
        <v>90</v>
      </c>
      <c r="Z86" s="192" t="n">
        <f aca="false">VLOOKUP($C86,PalData!$A$2:$BU$139,28,0)</f>
        <v>4360</v>
      </c>
      <c r="AA86" s="193" t="n">
        <f aca="false" t="array" ref="AA86:AA86">INDEX(PalData,MATCH(C86,PalNames,0)+1,MATCH("Stamina",PalData_Header,0))</f>
        <v>150</v>
      </c>
      <c r="AB86" s="193" t="n">
        <f aca="false">VLOOKUP($C86,PalData!$A$2:$BU$139,32,0)</f>
        <v>350</v>
      </c>
      <c r="AC86" s="193" t="n">
        <f aca="false">VLOOKUP($C86,PalData!$A$2:$BU$139,33,0)</f>
        <v>700</v>
      </c>
      <c r="AD86" s="193" t="n">
        <f aca="false" t="array" ref="AD86:AD86">IF(INDEX(PalData,MATCH(C86,PalNames,0)+1,MATCH("Mount",PalData_Header,0)),INDEX(PalData,MATCH(C86,PalNames,0)+1,MATCH("RideSprintSpeed",PalData_Header,0)),)</f>
        <v>850</v>
      </c>
      <c r="AE86" s="193" t="n">
        <f aca="false" t="array" ref="AE86:AE86">IF(R86&gt;0, INDEX(PalData,MATCH(C86,PalNames,0)+1,MATCH("TransportSpeed",PalData_Header,0)),)</f>
        <v>475</v>
      </c>
      <c r="AF86" s="198" t="n">
        <f aca="false">VLOOKUP($C86,PalData!$A$2:$BU$139,26,0)</f>
        <v>1</v>
      </c>
      <c r="AG86" s="195" t="n">
        <f aca="false" t="array" ref="AG86:AG86">INDEX(PalData,MATCH(C86,PalNames,0)+1,MATCH("MaleProbability",PalData_Header,0))</f>
        <v>50</v>
      </c>
    </row>
    <row r="87" customFormat="false" ht="26.25" hidden="false" customHeight="true" outlineLevel="0" collapsed="false">
      <c r="A87" s="196" t="n">
        <f aca="false">VLOOKUP($C87,PalData!$A$2:$BU$139,9,0)</f>
        <v>71</v>
      </c>
      <c r="B87" s="197" t="str">
        <f aca="false" t="array" ref="B87:B87">INDEX(PalData,MATCH(C87,PalNames,0)+1,MATCH("ZukanIndexSuffix",PalData_Header,0))</f>
        <v>B</v>
      </c>
      <c r="C87" s="185" t="s">
        <v>146</v>
      </c>
      <c r="D87" s="186" t="n">
        <f aca="false">IFERROR(INDEX(PalData,MATCH(C87,PalNames,0)+1,MATCH("Image",PalData_Header,0)),)</f>
        <v>0</v>
      </c>
      <c r="E87" s="187" t="str">
        <f aca="false">IFERROR(__xludf.dummyfunction("SPLIT(VLOOKUP($C87,PalData!$A$2:$BU$139,13,0),""EPalElementType::"",0,1)"),"Ice")</f>
        <v>Ice</v>
      </c>
      <c r="F87" s="187" t="str">
        <f aca="false">IFERROR(__xludf.dummyfunction("if(SPLIT(VLOOKUP($C87,PalData!$A$2:$BU$139,14,0),""EPalElementType::"",0,1)=""None"","""",SPLIT(VLOOKUP($C87,PalData!$A$2:$BU$139,14,0),""EPalElementType::"",0,1))"),"Dark")</f>
        <v>Dark</v>
      </c>
      <c r="G87" s="188" t="str">
        <f aca="false">IF(VLOOKUP($C87,PalData!$A$2:$BU$139,48,0),"🌜","")</f>
        <v>🌜</v>
      </c>
      <c r="H87" s="189" t="n">
        <f aca="false">VLOOKUP($C87,PalData!$A$2:$BU$139,55,0)</f>
        <v>0</v>
      </c>
      <c r="I87" s="189" t="n">
        <f aca="false">VLOOKUP($C87,PalData!$A$2:$BU$139,56,0)</f>
        <v>0</v>
      </c>
      <c r="J87" s="189" t="n">
        <f aca="false">VLOOKUP($C87,PalData!$A$2:$BU$139,57,0)</f>
        <v>0</v>
      </c>
      <c r="K87" s="189" t="n">
        <f aca="false">VLOOKUP($C87,PalData!$A$2:$BU$139,58,0)</f>
        <v>0</v>
      </c>
      <c r="L87" s="189" t="n">
        <f aca="false">VLOOKUP($C87,PalData!$A$2:$BU$139,59,0)</f>
        <v>0</v>
      </c>
      <c r="M87" s="189" t="n">
        <f aca="false">VLOOKUP($C87,PalData!$A$2:$BU$139,60,0)</f>
        <v>0</v>
      </c>
      <c r="N87" s="189" t="n">
        <f aca="false">VLOOKUP($C87,PalData!$A$2:$BU$139,61,0)</f>
        <v>0</v>
      </c>
      <c r="O87" s="189" t="n">
        <f aca="false">VLOOKUP($C87,PalData!$A$2:$BU$139,62,0)</f>
        <v>0</v>
      </c>
      <c r="P87" s="189" t="n">
        <f aca="false">VLOOKUP($C87,PalData!$A$2:$BU$139,64,0)</f>
        <v>0</v>
      </c>
      <c r="Q87" s="189" t="n">
        <f aca="false">VLOOKUP($C87,PalData!$A$2:$BU$139,65,0)</f>
        <v>2</v>
      </c>
      <c r="R87" s="189" t="n">
        <f aca="false">VLOOKUP($C87,PalData!$A$2:$BU$139,66,0)</f>
        <v>3</v>
      </c>
      <c r="S87" s="189" t="n">
        <f aca="false">VLOOKUP($C87,PalData!$A$2:$BU$139,67,0)</f>
        <v>0</v>
      </c>
      <c r="T87" s="190" t="n">
        <f aca="false">VLOOKUP($C87,PalData!$A$2:$BU$139,43,0)</f>
        <v>6</v>
      </c>
      <c r="U87" s="188" t="n">
        <f aca="false">VLOOKUP($C87,PalData!$A$2:$BU$139,54,0)</f>
        <v>620</v>
      </c>
      <c r="V87" s="191" t="n">
        <f aca="false">VLOOKUP($C87,PalData!$A$2:$BU$139,19,0)</f>
        <v>90</v>
      </c>
      <c r="W87" s="191" t="n">
        <f aca="false">VLOOKUP($C87,PalData!$A$2:$BU$139,20,0)</f>
        <v>100</v>
      </c>
      <c r="X87" s="191" t="n">
        <f aca="false">VLOOKUP($C87,PalData!$A$2:$BU$139,21,0)</f>
        <v>120</v>
      </c>
      <c r="Y87" s="191" t="n">
        <f aca="false">VLOOKUP($C87,PalData!$A$2:$BU$139,22,0)</f>
        <v>95</v>
      </c>
      <c r="Z87" s="192" t="n">
        <f aca="false">VLOOKUP($C87,PalData!$A$2:$BU$139,28,0)</f>
        <v>4610</v>
      </c>
      <c r="AA87" s="193" t="n">
        <f aca="false" t="array" ref="AA87:AA87">INDEX(PalData,MATCH(C87,PalNames,0)+1,MATCH("Stamina",PalData_Header,0))</f>
        <v>150</v>
      </c>
      <c r="AB87" s="193" t="n">
        <f aca="false">VLOOKUP($C87,PalData!$A$2:$BU$139,32,0)</f>
        <v>350</v>
      </c>
      <c r="AC87" s="193" t="n">
        <f aca="false">VLOOKUP($C87,PalData!$A$2:$BU$139,33,0)</f>
        <v>700</v>
      </c>
      <c r="AD87" s="193" t="n">
        <f aca="false" t="array" ref="AD87:AD87">IF(INDEX(PalData,MATCH(C87,PalNames,0)+1,MATCH("Mount",PalData_Header,0)),INDEX(PalData,MATCH(C87,PalNames,0)+1,MATCH("RideSprintSpeed",PalData_Header,0)),)</f>
        <v>850</v>
      </c>
      <c r="AE87" s="193" t="n">
        <f aca="false" t="array" ref="AE87:AE87">IF(R87&gt;0, INDEX(PalData,MATCH(C87,PalNames,0)+1,MATCH("TransportSpeed",PalData_Header,0)),)</f>
        <v>475</v>
      </c>
      <c r="AF87" s="198" t="n">
        <f aca="false">VLOOKUP($C87,PalData!$A$2:$BU$139,26,0)</f>
        <v>1</v>
      </c>
      <c r="AG87" s="195" t="n">
        <f aca="false" t="array" ref="AG87:AG87">INDEX(PalData,MATCH(C87,PalNames,0)+1,MATCH("MaleProbability",PalData_Header,0))</f>
        <v>50</v>
      </c>
    </row>
    <row r="88" customFormat="false" ht="26.25" hidden="false" customHeight="true" outlineLevel="0" collapsed="false">
      <c r="A88" s="196" t="n">
        <f aca="false">VLOOKUP($C88,PalData!$A$2:$BU$139,9,0)</f>
        <v>72</v>
      </c>
      <c r="B88" s="197" t="n">
        <f aca="false">INDEX(PalData,MATCH(C88,PalNames,0)+1,MATCH("ZukanIndexSuffix",PalData_Header,0))</f>
        <v>0</v>
      </c>
      <c r="C88" s="185" t="s">
        <v>26</v>
      </c>
      <c r="D88" s="186" t="n">
        <f aca="false">IFERROR(INDEX(PalData,MATCH(C88,PalNames,0)+1,MATCH("Image",PalData_Header,0)),)</f>
        <v>0</v>
      </c>
      <c r="E88" s="187" t="str">
        <f aca="false">IFERROR(__xludf.dummyfunction("SPLIT(VLOOKUP($C88,PalData!$A$2:$BU$139,13,0),""EPalElementType::"",0,1)"),"Fire")</f>
        <v>Fire</v>
      </c>
      <c r="F88" s="187" t="str">
        <f aca="false">IFERROR(__xludf.dummyfunction("if(SPLIT(VLOOKUP($C88,PalData!$A$2:$BU$139,14,0),""EPalElementType::"",0,1)=""None"","""",SPLIT(VLOOKUP($C88,PalData!$A$2:$BU$139,14,0),""EPalElementType::"",0,1))"),"")</f>
        <v/>
      </c>
      <c r="G88" s="188" t="str">
        <f aca="false">IF(VLOOKUP($C88,PalData!$A$2:$BU$139,48,0),"🌜","")</f>
        <v/>
      </c>
      <c r="H88" s="189" t="n">
        <f aca="false">VLOOKUP($C88,PalData!$A$2:$BU$139,55,0)</f>
        <v>2</v>
      </c>
      <c r="I88" s="189" t="n">
        <f aca="false">VLOOKUP($C88,PalData!$A$2:$BU$139,56,0)</f>
        <v>0</v>
      </c>
      <c r="J88" s="189" t="n">
        <f aca="false">VLOOKUP($C88,PalData!$A$2:$BU$139,57,0)</f>
        <v>0</v>
      </c>
      <c r="K88" s="189" t="n">
        <f aca="false">VLOOKUP($C88,PalData!$A$2:$BU$139,58,0)</f>
        <v>0</v>
      </c>
      <c r="L88" s="189" t="n">
        <f aca="false">VLOOKUP($C88,PalData!$A$2:$BU$139,59,0)</f>
        <v>1</v>
      </c>
      <c r="M88" s="189" t="n">
        <f aca="false">VLOOKUP($C88,PalData!$A$2:$BU$139,60,0)</f>
        <v>1</v>
      </c>
      <c r="N88" s="189" t="n">
        <f aca="false">VLOOKUP($C88,PalData!$A$2:$BU$139,61,0)</f>
        <v>3</v>
      </c>
      <c r="O88" s="189" t="n">
        <f aca="false">VLOOKUP($C88,PalData!$A$2:$BU$139,62,0)</f>
        <v>0</v>
      </c>
      <c r="P88" s="189" t="n">
        <f aca="false">VLOOKUP($C88,PalData!$A$2:$BU$139,64,0)</f>
        <v>0</v>
      </c>
      <c r="Q88" s="189" t="n">
        <f aca="false">VLOOKUP($C88,PalData!$A$2:$BU$139,65,0)</f>
        <v>0</v>
      </c>
      <c r="R88" s="189" t="n">
        <f aca="false">VLOOKUP($C88,PalData!$A$2:$BU$139,66,0)</f>
        <v>2</v>
      </c>
      <c r="S88" s="189" t="n">
        <f aca="false">VLOOKUP($C88,PalData!$A$2:$BU$139,67,0)</f>
        <v>0</v>
      </c>
      <c r="T88" s="190" t="n">
        <f aca="false">VLOOKUP($C88,PalData!$A$2:$BU$139,43,0)</f>
        <v>4</v>
      </c>
      <c r="U88" s="188" t="n">
        <f aca="false">VLOOKUP($C88,PalData!$A$2:$BU$139,54,0)</f>
        <v>640</v>
      </c>
      <c r="V88" s="191" t="n">
        <f aca="false">VLOOKUP($C88,PalData!$A$2:$BU$139,19,0)</f>
        <v>80</v>
      </c>
      <c r="W88" s="191" t="n">
        <f aca="false">VLOOKUP($C88,PalData!$A$2:$BU$139,20,0)</f>
        <v>100</v>
      </c>
      <c r="X88" s="191" t="n">
        <f aca="false">VLOOKUP($C88,PalData!$A$2:$BU$139,21,0)</f>
        <v>125</v>
      </c>
      <c r="Y88" s="191" t="n">
        <f aca="false">VLOOKUP($C88,PalData!$A$2:$BU$139,22,0)</f>
        <v>80</v>
      </c>
      <c r="Z88" s="192" t="n">
        <f aca="false">VLOOKUP($C88,PalData!$A$2:$BU$139,28,0)</f>
        <v>4520</v>
      </c>
      <c r="AA88" s="193" t="n">
        <f aca="false" t="array" ref="AA88:AA88">INDEX(PalData,MATCH(C88,PalNames,0)+1,MATCH("Stamina",PalData_Header,0))</f>
        <v>100</v>
      </c>
      <c r="AB88" s="193" t="n">
        <f aca="false">VLOOKUP($C88,PalData!$A$2:$BU$139,32,0)</f>
        <v>160</v>
      </c>
      <c r="AC88" s="193" t="n">
        <f aca="false">VLOOKUP($C88,PalData!$A$2:$BU$139,33,0)</f>
        <v>600</v>
      </c>
      <c r="AD88" s="193" t="n">
        <f aca="false">IF(INDEX(PalData,MATCH(C88,PalNames,0)+1,MATCH("Mount",PalData_Header,0)),INDEX(PalData,MATCH(C88,PalNames,0)+1,MATCH("RideSprintSpeed",PalData_Header,0)),)</f>
        <v>0</v>
      </c>
      <c r="AE88" s="193" t="n">
        <f aca="false" t="array" ref="AE88:AE88">IF(R88&gt;0, INDEX(PalData,MATCH(C88,PalNames,0)+1,MATCH("TransportSpeed",PalData_Header,0)),)</f>
        <v>320</v>
      </c>
      <c r="AF88" s="198" t="n">
        <f aca="false">VLOOKUP($C88,PalData!$A$2:$BU$139,26,0)</f>
        <v>1</v>
      </c>
      <c r="AG88" s="195" t="n">
        <f aca="false" t="array" ref="AG88:AG88">INDEX(PalData,MATCH(C88,PalNames,0)+1,MATCH("MaleProbability",PalData_Header,0))</f>
        <v>50</v>
      </c>
    </row>
    <row r="89" customFormat="false" ht="26.25" hidden="false" customHeight="true" outlineLevel="0" collapsed="false">
      <c r="A89" s="196" t="n">
        <f aca="false">VLOOKUP($C89,PalData!$A$2:$BU$139,9,0)</f>
        <v>73</v>
      </c>
      <c r="B89" s="197" t="n">
        <f aca="false">INDEX(PalData,MATCH(C89,PalNames,0)+1,MATCH("ZukanIndexSuffix",PalData_Header,0))</f>
        <v>0</v>
      </c>
      <c r="C89" s="185" t="s">
        <v>20</v>
      </c>
      <c r="D89" s="186" t="n">
        <f aca="false">IFERROR(INDEX(PalData,MATCH(C89,PalNames,0)+1,MATCH("Image",PalData_Header,0)),)</f>
        <v>0</v>
      </c>
      <c r="E89" s="187" t="str">
        <f aca="false">IFERROR(__xludf.dummyfunction("SPLIT(VLOOKUP($C89,PalData!$A$2:$BU$139,13,0),""EPalElementType::"",0,1)"),"Electricity")</f>
        <v>Electricity</v>
      </c>
      <c r="F89" s="187" t="str">
        <f aca="false">IFERROR(__xludf.dummyfunction("if(SPLIT(VLOOKUP($C89,PalData!$A$2:$BU$139,14,0),""EPalElementType::"",0,1)=""None"","""",SPLIT(VLOOKUP($C89,PalData!$A$2:$BU$139,14,0),""EPalElementType::"",0,1))"),"")</f>
        <v/>
      </c>
      <c r="G89" s="188" t="str">
        <f aca="false">IF(VLOOKUP($C89,PalData!$A$2:$BU$139,48,0),"🌜","")</f>
        <v/>
      </c>
      <c r="H89" s="189" t="n">
        <f aca="false">VLOOKUP($C89,PalData!$A$2:$BU$139,55,0)</f>
        <v>0</v>
      </c>
      <c r="I89" s="189" t="n">
        <f aca="false">VLOOKUP($C89,PalData!$A$2:$BU$139,56,0)</f>
        <v>0</v>
      </c>
      <c r="J89" s="189" t="n">
        <f aca="false">VLOOKUP($C89,PalData!$A$2:$BU$139,57,0)</f>
        <v>0</v>
      </c>
      <c r="K89" s="189" t="n">
        <f aca="false">VLOOKUP($C89,PalData!$A$2:$BU$139,58,0)</f>
        <v>2</v>
      </c>
      <c r="L89" s="189" t="n">
        <f aca="false">VLOOKUP($C89,PalData!$A$2:$BU$139,59,0)</f>
        <v>0</v>
      </c>
      <c r="M89" s="189" t="n">
        <f aca="false">VLOOKUP($C89,PalData!$A$2:$BU$139,60,0)</f>
        <v>1</v>
      </c>
      <c r="N89" s="189" t="n">
        <f aca="false">VLOOKUP($C89,PalData!$A$2:$BU$139,61,0)</f>
        <v>0</v>
      </c>
      <c r="O89" s="189" t="n">
        <f aca="false">VLOOKUP($C89,PalData!$A$2:$BU$139,62,0)</f>
        <v>0</v>
      </c>
      <c r="P89" s="189" t="n">
        <f aca="false">VLOOKUP($C89,PalData!$A$2:$BU$139,64,0)</f>
        <v>0</v>
      </c>
      <c r="Q89" s="189" t="n">
        <f aca="false">VLOOKUP($C89,PalData!$A$2:$BU$139,65,0)</f>
        <v>0</v>
      </c>
      <c r="R89" s="189" t="n">
        <f aca="false">VLOOKUP($C89,PalData!$A$2:$BU$139,66,0)</f>
        <v>3</v>
      </c>
      <c r="S89" s="189" t="n">
        <f aca="false">VLOOKUP($C89,PalData!$A$2:$BU$139,67,0)</f>
        <v>0</v>
      </c>
      <c r="T89" s="190" t="n">
        <f aca="false">VLOOKUP($C89,PalData!$A$2:$BU$139,43,0)</f>
        <v>7</v>
      </c>
      <c r="U89" s="188" t="n">
        <f aca="false">VLOOKUP($C89,PalData!$A$2:$BU$139,54,0)</f>
        <v>220</v>
      </c>
      <c r="V89" s="191" t="n">
        <f aca="false">VLOOKUP($C89,PalData!$A$2:$BU$139,19,0)</f>
        <v>105</v>
      </c>
      <c r="W89" s="191" t="n">
        <f aca="false">VLOOKUP($C89,PalData!$A$2:$BU$139,20,0)</f>
        <v>100</v>
      </c>
      <c r="X89" s="191" t="n">
        <f aca="false">VLOOKUP($C89,PalData!$A$2:$BU$139,21,0)</f>
        <v>115</v>
      </c>
      <c r="Y89" s="191" t="n">
        <f aca="false">VLOOKUP($C89,PalData!$A$2:$BU$139,22,0)</f>
        <v>80</v>
      </c>
      <c r="Z89" s="192" t="n">
        <f aca="false">VLOOKUP($C89,PalData!$A$2:$BU$139,28,0)</f>
        <v>7490</v>
      </c>
      <c r="AA89" s="193" t="n">
        <f aca="false" t="array" ref="AA89:AA89">INDEX(PalData,MATCH(C89,PalNames,0)+1,MATCH("Stamina",PalData_Header,0))</f>
        <v>160</v>
      </c>
      <c r="AB89" s="193" t="n">
        <f aca="false">VLOOKUP($C89,PalData!$A$2:$BU$139,32,0)</f>
        <v>200</v>
      </c>
      <c r="AC89" s="193" t="n">
        <f aca="false">VLOOKUP($C89,PalData!$A$2:$BU$139,33,0)</f>
        <v>750</v>
      </c>
      <c r="AD89" s="193" t="n">
        <f aca="false" t="array" ref="AD89:AD89">IF(INDEX(PalData,MATCH(C89,PalNames,0)+1,MATCH("Mount",PalData_Header,0)),INDEX(PalData,MATCH(C89,PalNames,0)+1,MATCH("RideSprintSpeed",PalData_Header,0)),)</f>
        <v>1200</v>
      </c>
      <c r="AE89" s="193" t="n">
        <f aca="false" t="array" ref="AE89:AE89">IF(R89&gt;0, INDEX(PalData,MATCH(C89,PalNames,0)+1,MATCH("TransportSpeed",PalData_Header,0)),)</f>
        <v>375</v>
      </c>
      <c r="AF89" s="198" t="n">
        <f aca="false">VLOOKUP($C89,PalData!$A$2:$BU$139,26,0)</f>
        <v>1</v>
      </c>
      <c r="AG89" s="195" t="n">
        <f aca="false" t="array" ref="AG89:AG89">INDEX(PalData,MATCH(C89,PalNames,0)+1,MATCH("MaleProbability",PalData_Header,0))</f>
        <v>50</v>
      </c>
    </row>
    <row r="90" customFormat="false" ht="26.25" hidden="false" customHeight="true" outlineLevel="0" collapsed="false">
      <c r="A90" s="196" t="n">
        <f aca="false">VLOOKUP($C90,PalData!$A$2:$BU$139,9,0)</f>
        <v>74</v>
      </c>
      <c r="B90" s="197" t="n">
        <f aca="false">INDEX(PalData,MATCH(C90,PalNames,0)+1,MATCH("ZukanIndexSuffix",PalData_Header,0))</f>
        <v>0</v>
      </c>
      <c r="C90" s="185" t="s">
        <v>14</v>
      </c>
      <c r="D90" s="186" t="n">
        <f aca="false">IFERROR(INDEX(PalData,MATCH(C90,PalNames,0)+1,MATCH("Image",PalData_Header,0)),)</f>
        <v>0</v>
      </c>
      <c r="E90" s="187" t="str">
        <f aca="false">IFERROR(__xludf.dummyfunction("SPLIT(VLOOKUP($C90,PalData!$A$2:$BU$139,13,0),""EPalElementType::"",0,1)"),"Fire")</f>
        <v>Fire</v>
      </c>
      <c r="F90" s="187" t="str">
        <f aca="false">IFERROR(__xludf.dummyfunction("if(SPLIT(VLOOKUP($C90,PalData!$A$2:$BU$139,14,0),""EPalElementType::"",0,1)=""None"","""",SPLIT(VLOOKUP($C90,PalData!$A$2:$BU$139,14,0),""EPalElementType::"",0,1))"),"")</f>
        <v/>
      </c>
      <c r="G90" s="188" t="str">
        <f aca="false">IF(VLOOKUP($C90,PalData!$A$2:$BU$139,48,0),"🌜","")</f>
        <v/>
      </c>
      <c r="H90" s="189" t="n">
        <f aca="false">VLOOKUP($C90,PalData!$A$2:$BU$139,55,0)</f>
        <v>3</v>
      </c>
      <c r="I90" s="189" t="n">
        <f aca="false">VLOOKUP($C90,PalData!$A$2:$BU$139,56,0)</f>
        <v>0</v>
      </c>
      <c r="J90" s="189" t="n">
        <f aca="false">VLOOKUP($C90,PalData!$A$2:$BU$139,57,0)</f>
        <v>0</v>
      </c>
      <c r="K90" s="189" t="n">
        <f aca="false">VLOOKUP($C90,PalData!$A$2:$BU$139,58,0)</f>
        <v>0</v>
      </c>
      <c r="L90" s="189" t="n">
        <f aca="false">VLOOKUP($C90,PalData!$A$2:$BU$139,59,0)</f>
        <v>0</v>
      </c>
      <c r="M90" s="189" t="n">
        <f aca="false">VLOOKUP($C90,PalData!$A$2:$BU$139,60,0)</f>
        <v>0</v>
      </c>
      <c r="N90" s="189" t="n">
        <f aca="false">VLOOKUP($C90,PalData!$A$2:$BU$139,61,0)</f>
        <v>0</v>
      </c>
      <c r="O90" s="189" t="n">
        <f aca="false">VLOOKUP($C90,PalData!$A$2:$BU$139,62,0)</f>
        <v>0</v>
      </c>
      <c r="P90" s="189" t="n">
        <f aca="false">VLOOKUP($C90,PalData!$A$2:$BU$139,64,0)</f>
        <v>0</v>
      </c>
      <c r="Q90" s="189" t="n">
        <f aca="false">VLOOKUP($C90,PalData!$A$2:$BU$139,65,0)</f>
        <v>0</v>
      </c>
      <c r="R90" s="189" t="n">
        <f aca="false">VLOOKUP($C90,PalData!$A$2:$BU$139,66,0)</f>
        <v>3</v>
      </c>
      <c r="S90" s="189" t="n">
        <f aca="false">VLOOKUP($C90,PalData!$A$2:$BU$139,67,0)</f>
        <v>0</v>
      </c>
      <c r="T90" s="190" t="n">
        <f aca="false">VLOOKUP($C90,PalData!$A$2:$BU$139,43,0)</f>
        <v>7</v>
      </c>
      <c r="U90" s="188" t="n">
        <f aca="false">VLOOKUP($C90,PalData!$A$2:$BU$139,54,0)</f>
        <v>380</v>
      </c>
      <c r="V90" s="191" t="n">
        <f aca="false">VLOOKUP($C90,PalData!$A$2:$BU$139,19,0)</f>
        <v>95</v>
      </c>
      <c r="W90" s="191" t="n">
        <f aca="false">VLOOKUP($C90,PalData!$A$2:$BU$139,20,0)</f>
        <v>100</v>
      </c>
      <c r="X90" s="191" t="n">
        <f aca="false">VLOOKUP($C90,PalData!$A$2:$BU$139,21,0)</f>
        <v>105</v>
      </c>
      <c r="Y90" s="191" t="n">
        <f aca="false">VLOOKUP($C90,PalData!$A$2:$BU$139,22,0)</f>
        <v>120</v>
      </c>
      <c r="Z90" s="192" t="n">
        <f aca="false">VLOOKUP($C90,PalData!$A$2:$BU$139,28,0)</f>
        <v>6720</v>
      </c>
      <c r="AA90" s="193" t="n">
        <f aca="false" t="array" ref="AA90:AA90">INDEX(PalData,MATCH(C90,PalNames,0)+1,MATCH("Stamina",PalData_Header,0))</f>
        <v>150</v>
      </c>
      <c r="AB90" s="193" t="n">
        <f aca="false">VLOOKUP($C90,PalData!$A$2:$BU$139,32,0)</f>
        <v>200</v>
      </c>
      <c r="AC90" s="193" t="n">
        <f aca="false">VLOOKUP($C90,PalData!$A$2:$BU$139,33,0)</f>
        <v>800</v>
      </c>
      <c r="AD90" s="193" t="n">
        <f aca="false" t="array" ref="AD90:AD90">IF(INDEX(PalData,MATCH(C90,PalNames,0)+1,MATCH("Mount",PalData_Header,0)),INDEX(PalData,MATCH(C90,PalNames,0)+1,MATCH("RideSprintSpeed",PalData_Header,0)),)</f>
        <v>1300</v>
      </c>
      <c r="AE90" s="193" t="n">
        <f aca="false" t="array" ref="AE90:AE90">IF(R90&gt;0, INDEX(PalData,MATCH(C90,PalNames,0)+1,MATCH("TransportSpeed",PalData_Header,0)),)</f>
        <v>375</v>
      </c>
      <c r="AF90" s="198" t="n">
        <f aca="false">VLOOKUP($C90,PalData!$A$2:$BU$139,26,0)</f>
        <v>1</v>
      </c>
      <c r="AG90" s="195" t="n">
        <f aca="false" t="array" ref="AG90:AG90">INDEX(PalData,MATCH(C90,PalNames,0)+1,MATCH("MaleProbability",PalData_Header,0))</f>
        <v>50</v>
      </c>
    </row>
    <row r="91" customFormat="false" ht="26.25" hidden="false" customHeight="true" outlineLevel="0" collapsed="false">
      <c r="A91" s="196" t="n">
        <f aca="false">VLOOKUP($C91,PalData!$A$2:$BU$139,9,0)</f>
        <v>75</v>
      </c>
      <c r="B91" s="197" t="n">
        <f aca="false">INDEX(PalData,MATCH(C91,PalNames,0)+1,MATCH("ZukanIndexSuffix",PalData_Header,0))</f>
        <v>0</v>
      </c>
      <c r="C91" s="185" t="s">
        <v>84</v>
      </c>
      <c r="D91" s="186" t="n">
        <f aca="false">IFERROR(INDEX(PalData,MATCH(C91,PalNames,0)+1,MATCH("Image",PalData_Header,0)),)</f>
        <v>0</v>
      </c>
      <c r="E91" s="187" t="str">
        <f aca="false">IFERROR(__xludf.dummyfunction("SPLIT(VLOOKUP($C91,PalData!$A$2:$BU$139,13,0),""EPalElementType::"",0,1)"),"Dark")</f>
        <v>Dark</v>
      </c>
      <c r="F91" s="187" t="str">
        <f aca="false">IFERROR(__xludf.dummyfunction("if(SPLIT(VLOOKUP($C91,PalData!$A$2:$BU$139,14,0),""EPalElementType::"",0,1)=""None"","""",SPLIT(VLOOKUP($C91,PalData!$A$2:$BU$139,14,0),""EPalElementType::"",0,1))"),"")</f>
        <v/>
      </c>
      <c r="G91" s="188" t="str">
        <f aca="false">IF(VLOOKUP($C91,PalData!$A$2:$BU$139,48,0),"🌜","")</f>
        <v>🌜</v>
      </c>
      <c r="H91" s="189" t="n">
        <f aca="false">VLOOKUP($C91,PalData!$A$2:$BU$139,55,0)</f>
        <v>0</v>
      </c>
      <c r="I91" s="189" t="n">
        <f aca="false">VLOOKUP($C91,PalData!$A$2:$BU$139,56,0)</f>
        <v>0</v>
      </c>
      <c r="J91" s="189" t="n">
        <f aca="false">VLOOKUP($C91,PalData!$A$2:$BU$139,57,0)</f>
        <v>0</v>
      </c>
      <c r="K91" s="189" t="n">
        <f aca="false">VLOOKUP($C91,PalData!$A$2:$BU$139,58,0)</f>
        <v>0</v>
      </c>
      <c r="L91" s="189" t="n">
        <f aca="false">VLOOKUP($C91,PalData!$A$2:$BU$139,59,0)</f>
        <v>2</v>
      </c>
      <c r="M91" s="189" t="n">
        <f aca="false">VLOOKUP($C91,PalData!$A$2:$BU$139,60,0)</f>
        <v>0</v>
      </c>
      <c r="N91" s="189" t="n">
        <f aca="false">VLOOKUP($C91,PalData!$A$2:$BU$139,61,0)</f>
        <v>0</v>
      </c>
      <c r="O91" s="189" t="n">
        <f aca="false">VLOOKUP($C91,PalData!$A$2:$BU$139,62,0)</f>
        <v>0</v>
      </c>
      <c r="P91" s="189" t="n">
        <f aca="false">VLOOKUP($C91,PalData!$A$2:$BU$139,64,0)</f>
        <v>2</v>
      </c>
      <c r="Q91" s="189" t="n">
        <f aca="false">VLOOKUP($C91,PalData!$A$2:$BU$139,65,0)</f>
        <v>0</v>
      </c>
      <c r="R91" s="189" t="n">
        <f aca="false">VLOOKUP($C91,PalData!$A$2:$BU$139,66,0)</f>
        <v>2</v>
      </c>
      <c r="S91" s="189" t="n">
        <f aca="false">VLOOKUP($C91,PalData!$A$2:$BU$139,67,0)</f>
        <v>0</v>
      </c>
      <c r="T91" s="190" t="n">
        <f aca="false">VLOOKUP($C91,PalData!$A$2:$BU$139,43,0)</f>
        <v>5</v>
      </c>
      <c r="U91" s="188" t="n">
        <f aca="false">VLOOKUP($C91,PalData!$A$2:$BU$139,54,0)</f>
        <v>700</v>
      </c>
      <c r="V91" s="191" t="n">
        <f aca="false">VLOOKUP($C91,PalData!$A$2:$BU$139,19,0)</f>
        <v>90</v>
      </c>
      <c r="W91" s="191" t="n">
        <f aca="false">VLOOKUP($C91,PalData!$A$2:$BU$139,20,0)</f>
        <v>100</v>
      </c>
      <c r="X91" s="191" t="n">
        <f aca="false">VLOOKUP($C91,PalData!$A$2:$BU$139,21,0)</f>
        <v>105</v>
      </c>
      <c r="Y91" s="191" t="n">
        <f aca="false">VLOOKUP($C91,PalData!$A$2:$BU$139,22,0)</f>
        <v>90</v>
      </c>
      <c r="Z91" s="192" t="n">
        <f aca="false">VLOOKUP($C91,PalData!$A$2:$BU$139,28,0)</f>
        <v>4120</v>
      </c>
      <c r="AA91" s="193" t="n">
        <f aca="false" t="array" ref="AA91:AA91">INDEX(PalData,MATCH(C91,PalNames,0)+1,MATCH("Stamina",PalData_Header,0))</f>
        <v>100</v>
      </c>
      <c r="AB91" s="193" t="n">
        <f aca="false">VLOOKUP($C91,PalData!$A$2:$BU$139,32,0)</f>
        <v>145</v>
      </c>
      <c r="AC91" s="193" t="n">
        <f aca="false">VLOOKUP($C91,PalData!$A$2:$BU$139,33,0)</f>
        <v>440</v>
      </c>
      <c r="AD91" s="193" t="n">
        <f aca="false">IF(INDEX(PalData,MATCH(C91,PalNames,0)+1,MATCH("Mount",PalData_Header,0)),INDEX(PalData,MATCH(C91,PalNames,0)+1,MATCH("RideSprintSpeed",PalData_Header,0)),)</f>
        <v>0</v>
      </c>
      <c r="AE91" s="193" t="n">
        <f aca="false" t="array" ref="AE91:AE91">IF(R91&gt;0, INDEX(PalData,MATCH(C91,PalNames,0)+1,MATCH("TransportSpeed",PalData_Header,0)),)</f>
        <v>292</v>
      </c>
      <c r="AF91" s="198" t="n">
        <f aca="false">VLOOKUP($C91,PalData!$A$2:$BU$139,26,0)</f>
        <v>1</v>
      </c>
      <c r="AG91" s="195" t="n">
        <f aca="false" t="array" ref="AG91:AG91">INDEX(PalData,MATCH(C91,PalNames,0)+1,MATCH("MaleProbability",PalData_Header,0))</f>
        <v>50</v>
      </c>
    </row>
    <row r="92" customFormat="false" ht="26.25" hidden="false" customHeight="true" outlineLevel="0" collapsed="false">
      <c r="A92" s="196" t="n">
        <f aca="false">VLOOKUP($C92,PalData!$A$2:$BU$139,9,0)</f>
        <v>76</v>
      </c>
      <c r="B92" s="197" t="n">
        <f aca="false">INDEX(PalData,MATCH(C92,PalNames,0)+1,MATCH("ZukanIndexSuffix",PalData_Header,0))</f>
        <v>0</v>
      </c>
      <c r="C92" s="185" t="s">
        <v>150</v>
      </c>
      <c r="D92" s="186" t="n">
        <f aca="false">IFERROR(INDEX(PalData,MATCH(C92,PalNames,0)+1,MATCH("Image",PalData_Header,0)),)</f>
        <v>0</v>
      </c>
      <c r="E92" s="187" t="str">
        <f aca="false">IFERROR(__xludf.dummyfunction("SPLIT(VLOOKUP($C92,PalData!$A$2:$BU$139,13,0),""EPalElementType::"",0,1)"),"Fire")</f>
        <v>Fire</v>
      </c>
      <c r="F92" s="187" t="str">
        <f aca="false">IFERROR(__xludf.dummyfunction("if(SPLIT(VLOOKUP($C92,PalData!$A$2:$BU$139,14,0),""EPalElementType::"",0,1)=""None"","""",SPLIT(VLOOKUP($C92,PalData!$A$2:$BU$139,14,0),""EPalElementType::"",0,1))"),"")</f>
        <v/>
      </c>
      <c r="G92" s="188" t="str">
        <f aca="false">IF(VLOOKUP($C92,PalData!$A$2:$BU$139,48,0),"🌜","")</f>
        <v/>
      </c>
      <c r="H92" s="189" t="n">
        <f aca="false">VLOOKUP($C92,PalData!$A$2:$BU$139,55,0)</f>
        <v>2</v>
      </c>
      <c r="I92" s="189" t="n">
        <f aca="false">VLOOKUP($C92,PalData!$A$2:$BU$139,56,0)</f>
        <v>0</v>
      </c>
      <c r="J92" s="189" t="n">
        <f aca="false">VLOOKUP($C92,PalData!$A$2:$BU$139,57,0)</f>
        <v>0</v>
      </c>
      <c r="K92" s="189" t="n">
        <f aca="false">VLOOKUP($C92,PalData!$A$2:$BU$139,58,0)</f>
        <v>0</v>
      </c>
      <c r="L92" s="189" t="n">
        <f aca="false">VLOOKUP($C92,PalData!$A$2:$BU$139,59,0)</f>
        <v>3</v>
      </c>
      <c r="M92" s="189" t="n">
        <f aca="false">VLOOKUP($C92,PalData!$A$2:$BU$139,60,0)</f>
        <v>0</v>
      </c>
      <c r="N92" s="189" t="n">
        <f aca="false">VLOOKUP($C92,PalData!$A$2:$BU$139,61,0)</f>
        <v>0</v>
      </c>
      <c r="O92" s="189" t="n">
        <f aca="false">VLOOKUP($C92,PalData!$A$2:$BU$139,62,0)</f>
        <v>0</v>
      </c>
      <c r="P92" s="189" t="n">
        <f aca="false">VLOOKUP($C92,PalData!$A$2:$BU$139,64,0)</f>
        <v>0</v>
      </c>
      <c r="Q92" s="189" t="n">
        <f aca="false">VLOOKUP($C92,PalData!$A$2:$BU$139,65,0)</f>
        <v>0</v>
      </c>
      <c r="R92" s="189" t="n">
        <f aca="false">VLOOKUP($C92,PalData!$A$2:$BU$139,66,0)</f>
        <v>2</v>
      </c>
      <c r="S92" s="189" t="n">
        <f aca="false">VLOOKUP($C92,PalData!$A$2:$BU$139,67,0)</f>
        <v>0</v>
      </c>
      <c r="T92" s="190" t="n">
        <f aca="false">VLOOKUP($C92,PalData!$A$2:$BU$139,43,0)</f>
        <v>5</v>
      </c>
      <c r="U92" s="188" t="n">
        <f aca="false">VLOOKUP($C92,PalData!$A$2:$BU$139,54,0)</f>
        <v>1160</v>
      </c>
      <c r="V92" s="191" t="n">
        <f aca="false">VLOOKUP($C92,PalData!$A$2:$BU$139,19,0)</f>
        <v>90</v>
      </c>
      <c r="W92" s="191" t="n">
        <f aca="false">VLOOKUP($C92,PalData!$A$2:$BU$139,20,0)</f>
        <v>50</v>
      </c>
      <c r="X92" s="191" t="n">
        <f aca="false">VLOOKUP($C92,PalData!$A$2:$BU$139,21,0)</f>
        <v>110</v>
      </c>
      <c r="Y92" s="191" t="n">
        <f aca="false">VLOOKUP($C92,PalData!$A$2:$BU$139,22,0)</f>
        <v>80</v>
      </c>
      <c r="Z92" s="192" t="n">
        <f aca="false">VLOOKUP($C92,PalData!$A$2:$BU$139,28,0)</f>
        <v>1540</v>
      </c>
      <c r="AA92" s="193" t="n">
        <f aca="false" t="array" ref="AA92:AA92">INDEX(PalData,MATCH(C92,PalNames,0)+1,MATCH("Stamina",PalData_Header,0))</f>
        <v>100</v>
      </c>
      <c r="AB92" s="193" t="n">
        <f aca="false">VLOOKUP($C92,PalData!$A$2:$BU$139,32,0)</f>
        <v>145</v>
      </c>
      <c r="AC92" s="193" t="n">
        <f aca="false">VLOOKUP($C92,PalData!$A$2:$BU$139,33,0)</f>
        <v>440</v>
      </c>
      <c r="AD92" s="193" t="n">
        <f aca="false">IF(INDEX(PalData,MATCH(C92,PalNames,0)+1,MATCH("Mount",PalData_Header,0)),INDEX(PalData,MATCH(C92,PalNames,0)+1,MATCH("RideSprintSpeed",PalData_Header,0)),)</f>
        <v>0</v>
      </c>
      <c r="AE92" s="193" t="n">
        <f aca="false" t="array" ref="AE92:AE92">IF(R92&gt;0, INDEX(PalData,MATCH(C92,PalNames,0)+1,MATCH("TransportSpeed",PalData_Header,0)),)</f>
        <v>292</v>
      </c>
      <c r="AF92" s="198" t="n">
        <f aca="false">VLOOKUP($C92,PalData!$A$2:$BU$139,26,0)</f>
        <v>1</v>
      </c>
      <c r="AG92" s="195" t="n">
        <f aca="false" t="array" ref="AG92:AG92">INDEX(PalData,MATCH(C92,PalNames,0)+1,MATCH("MaleProbability",PalData_Header,0))</f>
        <v>50</v>
      </c>
    </row>
    <row r="93" customFormat="false" ht="26.25" hidden="false" customHeight="true" outlineLevel="0" collapsed="false">
      <c r="A93" s="196" t="n">
        <f aca="false">VLOOKUP($C93,PalData!$A$2:$BU$139,9,0)</f>
        <v>77</v>
      </c>
      <c r="B93" s="197" t="n">
        <f aca="false">INDEX(PalData,MATCH(C93,PalNames,0)+1,MATCH("ZukanIndexSuffix",PalData_Header,0))</f>
        <v>0</v>
      </c>
      <c r="C93" s="185" t="s">
        <v>147</v>
      </c>
      <c r="D93" s="186" t="n">
        <f aca="false">IFERROR(INDEX(PalData,MATCH(C93,PalNames,0)+1,MATCH("Image",PalData_Header,0)),)</f>
        <v>0</v>
      </c>
      <c r="E93" s="187" t="str">
        <f aca="false">IFERROR(__xludf.dummyfunction("SPLIT(VLOOKUP($C93,PalData!$A$2:$BU$139,13,0),""EPalElementType::"",0,1)"),"Leaf")</f>
        <v>Leaf</v>
      </c>
      <c r="F93" s="187" t="str">
        <f aca="false">IFERROR(__xludf.dummyfunction("if(SPLIT(VLOOKUP($C93,PalData!$A$2:$BU$139,14,0),""EPalElementType::"",0,1)=""None"","""",SPLIT(VLOOKUP($C93,PalData!$A$2:$BU$139,14,0),""EPalElementType::"",0,1))"),"")</f>
        <v/>
      </c>
      <c r="G93" s="188" t="str">
        <f aca="false">IF(VLOOKUP($C93,PalData!$A$2:$BU$139,48,0),"🌜","")</f>
        <v/>
      </c>
      <c r="H93" s="189" t="n">
        <f aca="false">VLOOKUP($C93,PalData!$A$2:$BU$139,55,0)</f>
        <v>0</v>
      </c>
      <c r="I93" s="189" t="n">
        <f aca="false">VLOOKUP($C93,PalData!$A$2:$BU$139,56,0)</f>
        <v>0</v>
      </c>
      <c r="J93" s="189" t="n">
        <f aca="false">VLOOKUP($C93,PalData!$A$2:$BU$139,57,0)</f>
        <v>2</v>
      </c>
      <c r="K93" s="189" t="n">
        <f aca="false">VLOOKUP($C93,PalData!$A$2:$BU$139,58,0)</f>
        <v>0</v>
      </c>
      <c r="L93" s="189" t="n">
        <f aca="false">VLOOKUP($C93,PalData!$A$2:$BU$139,59,0)</f>
        <v>3</v>
      </c>
      <c r="M93" s="189" t="n">
        <f aca="false">VLOOKUP($C93,PalData!$A$2:$BU$139,60,0)</f>
        <v>3</v>
      </c>
      <c r="N93" s="189" t="n">
        <f aca="false">VLOOKUP($C93,PalData!$A$2:$BU$139,61,0)</f>
        <v>2</v>
      </c>
      <c r="O93" s="189" t="n">
        <f aca="false">VLOOKUP($C93,PalData!$A$2:$BU$139,62,0)</f>
        <v>0</v>
      </c>
      <c r="P93" s="189" t="n">
        <f aca="false">VLOOKUP($C93,PalData!$A$2:$BU$139,64,0)</f>
        <v>0</v>
      </c>
      <c r="Q93" s="189" t="n">
        <f aca="false">VLOOKUP($C93,PalData!$A$2:$BU$139,65,0)</f>
        <v>0</v>
      </c>
      <c r="R93" s="189" t="n">
        <f aca="false">VLOOKUP($C93,PalData!$A$2:$BU$139,66,0)</f>
        <v>2</v>
      </c>
      <c r="S93" s="189" t="n">
        <f aca="false">VLOOKUP($C93,PalData!$A$2:$BU$139,67,0)</f>
        <v>0</v>
      </c>
      <c r="T93" s="190" t="n">
        <f aca="false">VLOOKUP($C93,PalData!$A$2:$BU$139,43,0)</f>
        <v>3</v>
      </c>
      <c r="U93" s="188" t="n">
        <f aca="false">VLOOKUP($C93,PalData!$A$2:$BU$139,54,0)</f>
        <v>990</v>
      </c>
      <c r="V93" s="191" t="n">
        <f aca="false">VLOOKUP($C93,PalData!$A$2:$BU$139,19,0)</f>
        <v>90</v>
      </c>
      <c r="W93" s="191" t="n">
        <f aca="false">VLOOKUP($C93,PalData!$A$2:$BU$139,20,0)</f>
        <v>100</v>
      </c>
      <c r="X93" s="191" t="n">
        <f aca="false">VLOOKUP($C93,PalData!$A$2:$BU$139,21,0)</f>
        <v>115</v>
      </c>
      <c r="Y93" s="191" t="n">
        <f aca="false">VLOOKUP($C93,PalData!$A$2:$BU$139,22,0)</f>
        <v>90</v>
      </c>
      <c r="Z93" s="192" t="n">
        <f aca="false">VLOOKUP($C93,PalData!$A$2:$BU$139,28,0)</f>
        <v>2200</v>
      </c>
      <c r="AA93" s="193" t="n">
        <f aca="false" t="array" ref="AA93:AA93">INDEX(PalData,MATCH(C93,PalNames,0)+1,MATCH("Stamina",PalData_Header,0))</f>
        <v>100</v>
      </c>
      <c r="AB93" s="193" t="n">
        <f aca="false">VLOOKUP($C93,PalData!$A$2:$BU$139,32,0)</f>
        <v>195</v>
      </c>
      <c r="AC93" s="193" t="n">
        <f aca="false">VLOOKUP($C93,PalData!$A$2:$BU$139,33,0)</f>
        <v>500</v>
      </c>
      <c r="AD93" s="193" t="n">
        <f aca="false">IF(INDEX(PalData,MATCH(C93,PalNames,0)+1,MATCH("Mount",PalData_Header,0)),INDEX(PalData,MATCH(C93,PalNames,0)+1,MATCH("RideSprintSpeed",PalData_Header,0)),)</f>
        <v>0</v>
      </c>
      <c r="AE93" s="193" t="n">
        <f aca="false" t="array" ref="AE93:AE93">IF(R93&gt;0, INDEX(PalData,MATCH(C93,PalNames,0)+1,MATCH("TransportSpeed",PalData_Header,0)),)</f>
        <v>275</v>
      </c>
      <c r="AF93" s="198" t="n">
        <f aca="false">VLOOKUP($C93,PalData!$A$2:$BU$139,26,0)</f>
        <v>1</v>
      </c>
      <c r="AG93" s="195" t="n">
        <f aca="false" t="array" ref="AG93:AG93">INDEX(PalData,MATCH(C93,PalNames,0)+1,MATCH("MaleProbability",PalData_Header,0))</f>
        <v>50</v>
      </c>
    </row>
    <row r="94" customFormat="false" ht="26.25" hidden="false" customHeight="true" outlineLevel="0" collapsed="false">
      <c r="A94" s="196" t="n">
        <f aca="false">VLOOKUP($C94,PalData!$A$2:$BU$139,9,0)</f>
        <v>78</v>
      </c>
      <c r="B94" s="197" t="n">
        <f aca="false">INDEX(PalData,MATCH(C94,PalNames,0)+1,MATCH("ZukanIndexSuffix",PalData_Header,0))</f>
        <v>0</v>
      </c>
      <c r="C94" s="185" t="s">
        <v>144</v>
      </c>
      <c r="D94" s="186" t="n">
        <f aca="false">IFERROR(INDEX(PalData,MATCH(C94,PalNames,0)+1,MATCH("Image",PalData_Header,0)),)</f>
        <v>0</v>
      </c>
      <c r="E94" s="187" t="str">
        <f aca="false">IFERROR(__xludf.dummyfunction("SPLIT(VLOOKUP($C94,PalData!$A$2:$BU$139,13,0),""EPalElementType::"",0,1)"),"Leaf")</f>
        <v>Leaf</v>
      </c>
      <c r="F94" s="187" t="str">
        <f aca="false">IFERROR(__xludf.dummyfunction("if(SPLIT(VLOOKUP($C94,PalData!$A$2:$BU$139,14,0),""EPalElementType::"",0,1)=""None"","""",SPLIT(VLOOKUP($C94,PalData!$A$2:$BU$139,14,0),""EPalElementType::"",0,1))"),"")</f>
        <v/>
      </c>
      <c r="G94" s="188" t="str">
        <f aca="false">IF(VLOOKUP($C94,PalData!$A$2:$BU$139,48,0),"🌜","")</f>
        <v/>
      </c>
      <c r="H94" s="189" t="n">
        <f aca="false">VLOOKUP($C94,PalData!$A$2:$BU$139,55,0)</f>
        <v>0</v>
      </c>
      <c r="I94" s="189" t="n">
        <f aca="false">VLOOKUP($C94,PalData!$A$2:$BU$139,56,0)</f>
        <v>0</v>
      </c>
      <c r="J94" s="189" t="n">
        <f aca="false">VLOOKUP($C94,PalData!$A$2:$BU$139,57,0)</f>
        <v>2</v>
      </c>
      <c r="K94" s="189" t="n">
        <f aca="false">VLOOKUP($C94,PalData!$A$2:$BU$139,58,0)</f>
        <v>0</v>
      </c>
      <c r="L94" s="189" t="n">
        <f aca="false">VLOOKUP($C94,PalData!$A$2:$BU$139,59,0)</f>
        <v>2</v>
      </c>
      <c r="M94" s="189" t="n">
        <f aca="false">VLOOKUP($C94,PalData!$A$2:$BU$139,60,0)</f>
        <v>2</v>
      </c>
      <c r="N94" s="189" t="n">
        <f aca="false">VLOOKUP($C94,PalData!$A$2:$BU$139,61,0)</f>
        <v>0</v>
      </c>
      <c r="O94" s="189" t="n">
        <f aca="false">VLOOKUP($C94,PalData!$A$2:$BU$139,62,0)</f>
        <v>0</v>
      </c>
      <c r="P94" s="189" t="n">
        <f aca="false">VLOOKUP($C94,PalData!$A$2:$BU$139,64,0)</f>
        <v>3</v>
      </c>
      <c r="Q94" s="189" t="n">
        <f aca="false">VLOOKUP($C94,PalData!$A$2:$BU$139,65,0)</f>
        <v>0</v>
      </c>
      <c r="R94" s="189" t="n">
        <f aca="false">VLOOKUP($C94,PalData!$A$2:$BU$139,66,0)</f>
        <v>1</v>
      </c>
      <c r="S94" s="189" t="n">
        <f aca="false">VLOOKUP($C94,PalData!$A$2:$BU$139,67,0)</f>
        <v>0</v>
      </c>
      <c r="T94" s="190" t="n">
        <f aca="false">VLOOKUP($C94,PalData!$A$2:$BU$139,43,0)</f>
        <v>3</v>
      </c>
      <c r="U94" s="188" t="n">
        <f aca="false">VLOOKUP($C94,PalData!$A$2:$BU$139,54,0)</f>
        <v>1050</v>
      </c>
      <c r="V94" s="191" t="n">
        <f aca="false">VLOOKUP($C94,PalData!$A$2:$BU$139,19,0)</f>
        <v>100</v>
      </c>
      <c r="W94" s="191" t="n">
        <f aca="false">VLOOKUP($C94,PalData!$A$2:$BU$139,20,0)</f>
        <v>100</v>
      </c>
      <c r="X94" s="191" t="n">
        <f aca="false">VLOOKUP($C94,PalData!$A$2:$BU$139,21,0)</f>
        <v>100</v>
      </c>
      <c r="Y94" s="191" t="n">
        <f aca="false">VLOOKUP($C94,PalData!$A$2:$BU$139,22,0)</f>
        <v>120</v>
      </c>
      <c r="Z94" s="192" t="n">
        <f aca="false">VLOOKUP($C94,PalData!$A$2:$BU$139,28,0)</f>
        <v>1960</v>
      </c>
      <c r="AA94" s="193" t="n">
        <f aca="false" t="array" ref="AA94:AA94">INDEX(PalData,MATCH(C94,PalNames,0)+1,MATCH("Stamina",PalData_Header,0))</f>
        <v>100</v>
      </c>
      <c r="AB94" s="193" t="n">
        <f aca="false">VLOOKUP($C94,PalData!$A$2:$BU$139,32,0)</f>
        <v>150</v>
      </c>
      <c r="AC94" s="193" t="n">
        <f aca="false">VLOOKUP($C94,PalData!$A$2:$BU$139,33,0)</f>
        <v>400</v>
      </c>
      <c r="AD94" s="193" t="n">
        <f aca="false">IF(INDEX(PalData,MATCH(C94,PalNames,0)+1,MATCH("Mount",PalData_Header,0)),INDEX(PalData,MATCH(C94,PalNames,0)+1,MATCH("RideSprintSpeed",PalData_Header,0)),)</f>
        <v>0</v>
      </c>
      <c r="AE94" s="193" t="n">
        <f aca="false" t="array" ref="AE94:AE94">IF(R94&gt;0, INDEX(PalData,MATCH(C94,PalNames,0)+1,MATCH("TransportSpeed",PalData_Header,0)),)</f>
        <v>275</v>
      </c>
      <c r="AF94" s="198" t="n">
        <f aca="false">VLOOKUP($C94,PalData!$A$2:$BU$139,26,0)</f>
        <v>1</v>
      </c>
      <c r="AG94" s="195" t="n">
        <f aca="false" t="array" ref="AG94:AG94">INDEX(PalData,MATCH(C94,PalNames,0)+1,MATCH("MaleProbability",PalData_Header,0))</f>
        <v>50</v>
      </c>
    </row>
    <row r="95" customFormat="false" ht="26.25" hidden="false" customHeight="true" outlineLevel="0" collapsed="false">
      <c r="A95" s="196" t="n">
        <f aca="false">VLOOKUP($C95,PalData!$A$2:$BU$139,9,0)</f>
        <v>79</v>
      </c>
      <c r="B95" s="197" t="n">
        <f aca="false">INDEX(PalData,MATCH(C95,PalNames,0)+1,MATCH("ZukanIndexSuffix",PalData_Header,0))</f>
        <v>0</v>
      </c>
      <c r="C95" s="185" t="s">
        <v>131</v>
      </c>
      <c r="D95" s="186" t="n">
        <f aca="false">IFERROR(INDEX(PalData,MATCH(C95,PalNames,0)+1,MATCH("Image",PalData_Header,0)),)</f>
        <v>0</v>
      </c>
      <c r="E95" s="187" t="str">
        <f aca="false">IFERROR(__xludf.dummyfunction("SPLIT(VLOOKUP($C95,PalData!$A$2:$BU$139,13,0),""EPalElementType::"",0,1)"),"Ice")</f>
        <v>Ice</v>
      </c>
      <c r="F95" s="187" t="str">
        <f aca="false">IFERROR(__xludf.dummyfunction("if(SPLIT(VLOOKUP($C95,PalData!$A$2:$BU$139,14,0),""EPalElementType::"",0,1)=""None"","""",SPLIT(VLOOKUP($C95,PalData!$A$2:$BU$139,14,0),""EPalElementType::"",0,1))"),"")</f>
        <v/>
      </c>
      <c r="G95" s="188" t="str">
        <f aca="false">IF(VLOOKUP($C95,PalData!$A$2:$BU$139,48,0),"🌜","")</f>
        <v/>
      </c>
      <c r="H95" s="189" t="n">
        <f aca="false">VLOOKUP($C95,PalData!$A$2:$BU$139,55,0)</f>
        <v>0</v>
      </c>
      <c r="I95" s="189" t="n">
        <f aca="false">VLOOKUP($C95,PalData!$A$2:$BU$139,56,0)</f>
        <v>0</v>
      </c>
      <c r="J95" s="189" t="n">
        <f aca="false">VLOOKUP($C95,PalData!$A$2:$BU$139,57,0)</f>
        <v>0</v>
      </c>
      <c r="K95" s="189" t="n">
        <f aca="false">VLOOKUP($C95,PalData!$A$2:$BU$139,58,0)</f>
        <v>0</v>
      </c>
      <c r="L95" s="189" t="n">
        <f aca="false">VLOOKUP($C95,PalData!$A$2:$BU$139,59,0)</f>
        <v>0</v>
      </c>
      <c r="M95" s="189" t="n">
        <f aca="false">VLOOKUP($C95,PalData!$A$2:$BU$139,60,0)</f>
        <v>0</v>
      </c>
      <c r="N95" s="189" t="n">
        <f aca="false">VLOOKUP($C95,PalData!$A$2:$BU$139,61,0)</f>
        <v>0</v>
      </c>
      <c r="O95" s="189" t="n">
        <f aca="false">VLOOKUP($C95,PalData!$A$2:$BU$139,62,0)</f>
        <v>0</v>
      </c>
      <c r="P95" s="189" t="n">
        <f aca="false">VLOOKUP($C95,PalData!$A$2:$BU$139,64,0)</f>
        <v>2</v>
      </c>
      <c r="Q95" s="189" t="n">
        <f aca="false">VLOOKUP($C95,PalData!$A$2:$BU$139,65,0)</f>
        <v>2</v>
      </c>
      <c r="R95" s="189" t="n">
        <f aca="false">VLOOKUP($C95,PalData!$A$2:$BU$139,66,0)</f>
        <v>0</v>
      </c>
      <c r="S95" s="189" t="n">
        <f aca="false">VLOOKUP($C95,PalData!$A$2:$BU$139,67,0)</f>
        <v>1</v>
      </c>
      <c r="T95" s="190" t="n">
        <f aca="false">VLOOKUP($C95,PalData!$A$2:$BU$139,43,0)</f>
        <v>5</v>
      </c>
      <c r="U95" s="188" t="n">
        <f aca="false">VLOOKUP($C95,PalData!$A$2:$BU$139,54,0)</f>
        <v>450</v>
      </c>
      <c r="V95" s="191" t="n">
        <f aca="false">VLOOKUP($C95,PalData!$A$2:$BU$139,19,0)</f>
        <v>110</v>
      </c>
      <c r="W95" s="191" t="n">
        <f aca="false">VLOOKUP($C95,PalData!$A$2:$BU$139,20,0)</f>
        <v>90</v>
      </c>
      <c r="X95" s="191" t="n">
        <f aca="false">VLOOKUP($C95,PalData!$A$2:$BU$139,21,0)</f>
        <v>90</v>
      </c>
      <c r="Y95" s="191" t="n">
        <f aca="false">VLOOKUP($C95,PalData!$A$2:$BU$139,22,0)</f>
        <v>100</v>
      </c>
      <c r="Z95" s="192" t="n">
        <f aca="false">VLOOKUP($C95,PalData!$A$2:$BU$139,28,0)</f>
        <v>5900</v>
      </c>
      <c r="AA95" s="193" t="n">
        <f aca="false" t="array" ref="AA95:AA95">INDEX(PalData,MATCH(C95,PalNames,0)+1,MATCH("Stamina",PalData_Header,0))</f>
        <v>100</v>
      </c>
      <c r="AB95" s="193" t="n">
        <f aca="false">VLOOKUP($C95,PalData!$A$2:$BU$139,32,0)</f>
        <v>100</v>
      </c>
      <c r="AC95" s="193" t="n">
        <f aca="false">VLOOKUP($C95,PalData!$A$2:$BU$139,33,0)</f>
        <v>400</v>
      </c>
      <c r="AD95" s="193" t="n">
        <f aca="false">IF(INDEX(PalData,MATCH(C95,PalNames,0)+1,MATCH("Mount",PalData_Header,0)),INDEX(PalData,MATCH(C95,PalNames,0)+1,MATCH("RideSprintSpeed",PalData_Header,0)),)</f>
        <v>0</v>
      </c>
      <c r="AE95" s="193" t="n">
        <f aca="false">IF(R95&gt;0, INDEX(PalData,MATCH(C95,PalNames,0)+1,MATCH("TransportSpeed",PalData_Header,0)),)</f>
        <v>0</v>
      </c>
      <c r="AF95" s="198" t="n">
        <f aca="false">VLOOKUP($C95,PalData!$A$2:$BU$139,26,0)</f>
        <v>1</v>
      </c>
      <c r="AG95" s="195" t="n">
        <f aca="false" t="array" ref="AG95:AG95">INDEX(PalData,MATCH(C95,PalNames,0)+1,MATCH("MaleProbability",PalData_Header,0))</f>
        <v>50</v>
      </c>
    </row>
    <row r="96" customFormat="false" ht="26.25" hidden="false" customHeight="true" outlineLevel="0" collapsed="false">
      <c r="A96" s="196" t="n">
        <f aca="false">VLOOKUP($C96,PalData!$A$2:$BU$139,9,0)</f>
        <v>80</v>
      </c>
      <c r="B96" s="197" t="n">
        <f aca="false">INDEX(PalData,MATCH(C96,PalNames,0)+1,MATCH("ZukanIndexSuffix",PalData_Header,0))</f>
        <v>0</v>
      </c>
      <c r="C96" s="185" t="s">
        <v>51</v>
      </c>
      <c r="D96" s="186" t="n">
        <f aca="false">IFERROR(INDEX(PalData,MATCH(C96,PalNames,0)+1,MATCH("Image",PalData_Header,0)),)</f>
        <v>0</v>
      </c>
      <c r="E96" s="187" t="str">
        <f aca="false">IFERROR(__xludf.dummyfunction("SPLIT(VLOOKUP($C96,PalData!$A$2:$BU$139,13,0),""EPalElementType::"",0,1)"),"Dragon")</f>
        <v>Dragon</v>
      </c>
      <c r="F96" s="187" t="str">
        <f aca="false">IFERROR(__xludf.dummyfunction("if(SPLIT(VLOOKUP($C96,PalData!$A$2:$BU$139,14,0),""EPalElementType::"",0,1)=""None"","""",SPLIT(VLOOKUP($C96,PalData!$A$2:$BU$139,14,0),""EPalElementType::"",0,1))"),"")</f>
        <v/>
      </c>
      <c r="G96" s="188" t="str">
        <f aca="false">IF(VLOOKUP($C96,PalData!$A$2:$BU$139,48,0),"🌜","")</f>
        <v/>
      </c>
      <c r="H96" s="189" t="n">
        <f aca="false">VLOOKUP($C96,PalData!$A$2:$BU$139,55,0)</f>
        <v>0</v>
      </c>
      <c r="I96" s="189" t="n">
        <f aca="false">VLOOKUP($C96,PalData!$A$2:$BU$139,56,0)</f>
        <v>0</v>
      </c>
      <c r="J96" s="189" t="n">
        <f aca="false">VLOOKUP($C96,PalData!$A$2:$BU$139,57,0)</f>
        <v>0</v>
      </c>
      <c r="K96" s="189" t="n">
        <f aca="false">VLOOKUP($C96,PalData!$A$2:$BU$139,58,0)</f>
        <v>0</v>
      </c>
      <c r="L96" s="189" t="n">
        <f aca="false">VLOOKUP($C96,PalData!$A$2:$BU$139,59,0)</f>
        <v>0</v>
      </c>
      <c r="M96" s="189" t="n">
        <f aca="false">VLOOKUP($C96,PalData!$A$2:$BU$139,60,0)</f>
        <v>0</v>
      </c>
      <c r="N96" s="189" t="n">
        <f aca="false">VLOOKUP($C96,PalData!$A$2:$BU$139,61,0)</f>
        <v>2</v>
      </c>
      <c r="O96" s="189" t="n">
        <f aca="false">VLOOKUP($C96,PalData!$A$2:$BU$139,62,0)</f>
        <v>0</v>
      </c>
      <c r="P96" s="189" t="n">
        <f aca="false">VLOOKUP($C96,PalData!$A$2:$BU$139,64,0)</f>
        <v>0</v>
      </c>
      <c r="Q96" s="189" t="n">
        <f aca="false">VLOOKUP($C96,PalData!$A$2:$BU$139,65,0)</f>
        <v>0</v>
      </c>
      <c r="R96" s="189" t="n">
        <f aca="false">VLOOKUP($C96,PalData!$A$2:$BU$139,66,0)</f>
        <v>0</v>
      </c>
      <c r="S96" s="189" t="n">
        <f aca="false">VLOOKUP($C96,PalData!$A$2:$BU$139,67,0)</f>
        <v>0</v>
      </c>
      <c r="T96" s="190" t="n">
        <f aca="false">VLOOKUP($C96,PalData!$A$2:$BU$139,43,0)</f>
        <v>6</v>
      </c>
      <c r="U96" s="188" t="n">
        <f aca="false">VLOOKUP($C96,PalData!$A$2:$BU$139,54,0)</f>
        <v>540</v>
      </c>
      <c r="V96" s="191" t="n">
        <f aca="false">VLOOKUP($C96,PalData!$A$2:$BU$139,19,0)</f>
        <v>110</v>
      </c>
      <c r="W96" s="191" t="n">
        <f aca="false">VLOOKUP($C96,PalData!$A$2:$BU$139,20,0)</f>
        <v>80</v>
      </c>
      <c r="X96" s="191" t="n">
        <f aca="false">VLOOKUP($C96,PalData!$A$2:$BU$139,21,0)</f>
        <v>80</v>
      </c>
      <c r="Y96" s="191" t="n">
        <f aca="false">VLOOKUP($C96,PalData!$A$2:$BU$139,22,0)</f>
        <v>90</v>
      </c>
      <c r="Z96" s="192" t="n">
        <f aca="false">VLOOKUP($C96,PalData!$A$2:$BU$139,28,0)</f>
        <v>5230</v>
      </c>
      <c r="AA96" s="193" t="n">
        <f aca="false" t="array" ref="AA96:AA96">INDEX(PalData,MATCH(C96,PalNames,0)+1,MATCH("Stamina",PalData_Header,0))</f>
        <v>130</v>
      </c>
      <c r="AB96" s="193" t="n">
        <f aca="false">VLOOKUP($C96,PalData!$A$2:$BU$139,32,0)</f>
        <v>83</v>
      </c>
      <c r="AC96" s="193" t="n">
        <f aca="false">VLOOKUP($C96,PalData!$A$2:$BU$139,33,0)</f>
        <v>630</v>
      </c>
      <c r="AD96" s="193" t="n">
        <f aca="false" t="array" ref="AD96:AD96">IF(INDEX(PalData,MATCH(C96,PalNames,0)+1,MATCH("Mount",PalData_Header,0)),INDEX(PalData,MATCH(C96,PalNames,0)+1,MATCH("RideSprintSpeed",PalData_Header,0)),)</f>
        <v>800</v>
      </c>
      <c r="AE96" s="193" t="n">
        <f aca="false">IF(R96&gt;0, INDEX(PalData,MATCH(C96,PalNames,0)+1,MATCH("TransportSpeed",PalData_Header,0)),)</f>
        <v>0</v>
      </c>
      <c r="AF96" s="198" t="n">
        <f aca="false">VLOOKUP($C96,PalData!$A$2:$BU$139,26,0)</f>
        <v>1</v>
      </c>
      <c r="AG96" s="195" t="n">
        <f aca="false" t="array" ref="AG96:AG96">INDEX(PalData,MATCH(C96,PalNames,0)+1,MATCH("MaleProbability",PalData_Header,0))</f>
        <v>50</v>
      </c>
    </row>
    <row r="97" customFormat="false" ht="26.25" hidden="false" customHeight="true" outlineLevel="0" collapsed="false">
      <c r="A97" s="196" t="n">
        <f aca="false">VLOOKUP($C97,PalData!$A$2:$BU$139,9,0)</f>
        <v>80</v>
      </c>
      <c r="B97" s="197" t="str">
        <f aca="false" t="array" ref="B97:B97">INDEX(PalData,MATCH(C97,PalNames,0)+1,MATCH("ZukanIndexSuffix",PalData_Header,0))</f>
        <v>B</v>
      </c>
      <c r="C97" s="185" t="s">
        <v>52</v>
      </c>
      <c r="D97" s="186" t="n">
        <f aca="false">IFERROR(INDEX(PalData,MATCH(C97,PalNames,0)+1,MATCH("Image",PalData_Header,0)),)</f>
        <v>0</v>
      </c>
      <c r="E97" s="187" t="str">
        <f aca="false">IFERROR(__xludf.dummyfunction("SPLIT(VLOOKUP($C97,PalData!$A$2:$BU$139,13,0),""EPalElementType::"",0,1)"),"Dragon")</f>
        <v>Dragon</v>
      </c>
      <c r="F97" s="187" t="str">
        <f aca="false">IFERROR(__xludf.dummyfunction("if(SPLIT(VLOOKUP($C97,PalData!$A$2:$BU$139,14,0),""EPalElementType::"",0,1)=""None"","""",SPLIT(VLOOKUP($C97,PalData!$A$2:$BU$139,14,0),""EPalElementType::"",0,1))"),"Water")</f>
        <v>Water</v>
      </c>
      <c r="G97" s="188" t="str">
        <f aca="false">IF(VLOOKUP($C97,PalData!$A$2:$BU$139,48,0),"🌜","")</f>
        <v/>
      </c>
      <c r="H97" s="189" t="n">
        <f aca="false">VLOOKUP($C97,PalData!$A$2:$BU$139,55,0)</f>
        <v>0</v>
      </c>
      <c r="I97" s="189" t="n">
        <f aca="false">VLOOKUP($C97,PalData!$A$2:$BU$139,56,0)</f>
        <v>3</v>
      </c>
      <c r="J97" s="189" t="n">
        <f aca="false">VLOOKUP($C97,PalData!$A$2:$BU$139,57,0)</f>
        <v>0</v>
      </c>
      <c r="K97" s="189" t="n">
        <f aca="false">VLOOKUP($C97,PalData!$A$2:$BU$139,58,0)</f>
        <v>0</v>
      </c>
      <c r="L97" s="189" t="n">
        <f aca="false">VLOOKUP($C97,PalData!$A$2:$BU$139,59,0)</f>
        <v>0</v>
      </c>
      <c r="M97" s="189" t="n">
        <f aca="false">VLOOKUP($C97,PalData!$A$2:$BU$139,60,0)</f>
        <v>0</v>
      </c>
      <c r="N97" s="189" t="n">
        <f aca="false">VLOOKUP($C97,PalData!$A$2:$BU$139,61,0)</f>
        <v>2</v>
      </c>
      <c r="O97" s="189" t="n">
        <f aca="false">VLOOKUP($C97,PalData!$A$2:$BU$139,62,0)</f>
        <v>0</v>
      </c>
      <c r="P97" s="189" t="n">
        <f aca="false">VLOOKUP($C97,PalData!$A$2:$BU$139,64,0)</f>
        <v>0</v>
      </c>
      <c r="Q97" s="189" t="n">
        <f aca="false">VLOOKUP($C97,PalData!$A$2:$BU$139,65,0)</f>
        <v>0</v>
      </c>
      <c r="R97" s="189" t="n">
        <f aca="false">VLOOKUP($C97,PalData!$A$2:$BU$139,66,0)</f>
        <v>0</v>
      </c>
      <c r="S97" s="189" t="n">
        <f aca="false">VLOOKUP($C97,PalData!$A$2:$BU$139,67,0)</f>
        <v>0</v>
      </c>
      <c r="T97" s="190" t="n">
        <f aca="false">VLOOKUP($C97,PalData!$A$2:$BU$139,43,0)</f>
        <v>6</v>
      </c>
      <c r="U97" s="188" t="n">
        <f aca="false">VLOOKUP($C97,PalData!$A$2:$BU$139,54,0)</f>
        <v>530</v>
      </c>
      <c r="V97" s="191" t="n">
        <f aca="false">VLOOKUP($C97,PalData!$A$2:$BU$139,19,0)</f>
        <v>115</v>
      </c>
      <c r="W97" s="191" t="n">
        <f aca="false">VLOOKUP($C97,PalData!$A$2:$BU$139,20,0)</f>
        <v>80</v>
      </c>
      <c r="X97" s="191" t="n">
        <f aca="false">VLOOKUP($C97,PalData!$A$2:$BU$139,21,0)</f>
        <v>80</v>
      </c>
      <c r="Y97" s="191" t="n">
        <f aca="false">VLOOKUP($C97,PalData!$A$2:$BU$139,22,0)</f>
        <v>95</v>
      </c>
      <c r="Z97" s="192" t="n">
        <f aca="false">VLOOKUP($C97,PalData!$A$2:$BU$139,28,0)</f>
        <v>5320</v>
      </c>
      <c r="AA97" s="193" t="n">
        <f aca="false" t="array" ref="AA97:AA97">INDEX(PalData,MATCH(C97,PalNames,0)+1,MATCH("Stamina",PalData_Header,0))</f>
        <v>130</v>
      </c>
      <c r="AB97" s="193" t="n">
        <f aca="false">VLOOKUP($C97,PalData!$A$2:$BU$139,32,0)</f>
        <v>83</v>
      </c>
      <c r="AC97" s="193" t="n">
        <f aca="false">VLOOKUP($C97,PalData!$A$2:$BU$139,33,0)</f>
        <v>630</v>
      </c>
      <c r="AD97" s="193" t="n">
        <f aca="false" t="array" ref="AD97:AD97">IF(INDEX(PalData,MATCH(C97,PalNames,0)+1,MATCH("Mount",PalData_Header,0)),INDEX(PalData,MATCH(C97,PalNames,0)+1,MATCH("RideSprintSpeed",PalData_Header,0)),)</f>
        <v>800</v>
      </c>
      <c r="AE97" s="193" t="n">
        <f aca="false">IF(R97&gt;0, INDEX(PalData,MATCH(C97,PalNames,0)+1,MATCH("TransportSpeed",PalData_Header,0)),)</f>
        <v>0</v>
      </c>
      <c r="AF97" s="198" t="n">
        <f aca="false">VLOOKUP($C97,PalData!$A$2:$BU$139,26,0)</f>
        <v>1</v>
      </c>
      <c r="AG97" s="195" t="n">
        <f aca="false" t="array" ref="AG97:AG97">INDEX(PalData,MATCH(C97,PalNames,0)+1,MATCH("MaleProbability",PalData_Header,0))</f>
        <v>50</v>
      </c>
    </row>
    <row r="98" customFormat="false" ht="26.25" hidden="false" customHeight="true" outlineLevel="0" collapsed="false">
      <c r="A98" s="196" t="n">
        <f aca="false">VLOOKUP($C98,PalData!$A$2:$BU$139,9,0)</f>
        <v>81</v>
      </c>
      <c r="B98" s="197" t="n">
        <f aca="false">INDEX(PalData,MATCH(C98,PalNames,0)+1,MATCH("ZukanIndexSuffix",PalData_Header,0))</f>
        <v>0</v>
      </c>
      <c r="C98" s="185" t="s">
        <v>85</v>
      </c>
      <c r="D98" s="186" t="n">
        <f aca="false">IFERROR(INDEX(PalData,MATCH(C98,PalNames,0)+1,MATCH("Image",PalData_Header,0)),)</f>
        <v>0</v>
      </c>
      <c r="E98" s="187" t="str">
        <f aca="false">IFERROR(__xludf.dummyfunction("SPLIT(VLOOKUP($C98,PalData!$A$2:$BU$139,13,0),""EPalElementType::"",0,1)"),"Water")</f>
        <v>Water</v>
      </c>
      <c r="F98" s="187" t="str">
        <f aca="false">IFERROR(__xludf.dummyfunction("if(SPLIT(VLOOKUP($C98,PalData!$A$2:$BU$139,14,0),""EPalElementType::"",0,1)=""None"","""",SPLIT(VLOOKUP($C98,PalData!$A$2:$BU$139,14,0),""EPalElementType::"",0,1))"),"")</f>
        <v/>
      </c>
      <c r="G98" s="188" t="str">
        <f aca="false">IF(VLOOKUP($C98,PalData!$A$2:$BU$139,48,0),"🌜","")</f>
        <v/>
      </c>
      <c r="H98" s="189" t="n">
        <f aca="false">VLOOKUP($C98,PalData!$A$2:$BU$139,55,0)</f>
        <v>0</v>
      </c>
      <c r="I98" s="189" t="n">
        <f aca="false">VLOOKUP($C98,PalData!$A$2:$BU$139,56,0)</f>
        <v>1</v>
      </c>
      <c r="J98" s="189" t="n">
        <f aca="false">VLOOKUP($C98,PalData!$A$2:$BU$139,57,0)</f>
        <v>0</v>
      </c>
      <c r="K98" s="189" t="n">
        <f aca="false">VLOOKUP($C98,PalData!$A$2:$BU$139,58,0)</f>
        <v>0</v>
      </c>
      <c r="L98" s="189" t="n">
        <f aca="false">VLOOKUP($C98,PalData!$A$2:$BU$139,59,0)</f>
        <v>0</v>
      </c>
      <c r="M98" s="189" t="n">
        <f aca="false">VLOOKUP($C98,PalData!$A$2:$BU$139,60,0)</f>
        <v>0</v>
      </c>
      <c r="N98" s="189" t="n">
        <f aca="false">VLOOKUP($C98,PalData!$A$2:$BU$139,61,0)</f>
        <v>0</v>
      </c>
      <c r="O98" s="189" t="n">
        <f aca="false">VLOOKUP($C98,PalData!$A$2:$BU$139,62,0)</f>
        <v>0</v>
      </c>
      <c r="P98" s="189" t="n">
        <f aca="false">VLOOKUP($C98,PalData!$A$2:$BU$139,64,0)</f>
        <v>0</v>
      </c>
      <c r="Q98" s="189" t="n">
        <f aca="false">VLOOKUP($C98,PalData!$A$2:$BU$139,65,0)</f>
        <v>0</v>
      </c>
      <c r="R98" s="189" t="n">
        <f aca="false">VLOOKUP($C98,PalData!$A$2:$BU$139,66,0)</f>
        <v>0</v>
      </c>
      <c r="S98" s="189" t="n">
        <f aca="false">VLOOKUP($C98,PalData!$A$2:$BU$139,67,0)</f>
        <v>0</v>
      </c>
      <c r="T98" s="190" t="n">
        <f aca="false">VLOOKUP($C98,PalData!$A$2:$BU$139,43,0)</f>
        <v>1</v>
      </c>
      <c r="U98" s="188" t="n">
        <f aca="false">VLOOKUP($C98,PalData!$A$2:$BU$139,54,0)</f>
        <v>1260</v>
      </c>
      <c r="V98" s="191" t="n">
        <f aca="false">VLOOKUP($C98,PalData!$A$2:$BU$139,19,0)</f>
        <v>70</v>
      </c>
      <c r="W98" s="191" t="n">
        <f aca="false">VLOOKUP($C98,PalData!$A$2:$BU$139,20,0)</f>
        <v>100</v>
      </c>
      <c r="X98" s="191" t="n">
        <f aca="false">VLOOKUP($C98,PalData!$A$2:$BU$139,21,0)</f>
        <v>70</v>
      </c>
      <c r="Y98" s="191" t="n">
        <f aca="false">VLOOKUP($C98,PalData!$A$2:$BU$139,22,0)</f>
        <v>70</v>
      </c>
      <c r="Z98" s="192" t="n">
        <f aca="false">VLOOKUP($C98,PalData!$A$2:$BU$139,28,0)</f>
        <v>1260</v>
      </c>
      <c r="AA98" s="193" t="n">
        <f aca="false" t="array" ref="AA98:AA98">INDEX(PalData,MATCH(C98,PalNames,0)+1,MATCH("Stamina",PalData_Header,0))</f>
        <v>100</v>
      </c>
      <c r="AB98" s="193" t="n">
        <f aca="false">VLOOKUP($C98,PalData!$A$2:$BU$139,32,0)</f>
        <v>100</v>
      </c>
      <c r="AC98" s="193" t="n">
        <f aca="false">VLOOKUP($C98,PalData!$A$2:$BU$139,33,0)</f>
        <v>700</v>
      </c>
      <c r="AD98" s="193" t="n">
        <f aca="false">IF(INDEX(PalData,MATCH(C98,PalNames,0)+1,MATCH("Mount",PalData_Header,0)),INDEX(PalData,MATCH(C98,PalNames,0)+1,MATCH("RideSprintSpeed",PalData_Header,0)),)</f>
        <v>0</v>
      </c>
      <c r="AE98" s="193" t="n">
        <f aca="false">IF(R98&gt;0, INDEX(PalData,MATCH(C98,PalNames,0)+1,MATCH("TransportSpeed",PalData_Header,0)),)</f>
        <v>0</v>
      </c>
      <c r="AF98" s="198" t="n">
        <f aca="false">VLOOKUP($C98,PalData!$A$2:$BU$139,26,0)</f>
        <v>1</v>
      </c>
      <c r="AG98" s="195" t="n">
        <f aca="false" t="array" ref="AG98:AG98">INDEX(PalData,MATCH(C98,PalNames,0)+1,MATCH("MaleProbability",PalData_Header,0))</f>
        <v>50</v>
      </c>
    </row>
    <row r="99" customFormat="false" ht="26.25" hidden="false" customHeight="true" outlineLevel="0" collapsed="false">
      <c r="A99" s="196" t="n">
        <f aca="false">VLOOKUP($C99,PalData!$A$2:$BU$139,9,0)</f>
        <v>81</v>
      </c>
      <c r="B99" s="197" t="str">
        <f aca="false" t="array" ref="B99:B99">INDEX(PalData,MATCH(C99,PalNames,0)+1,MATCH("ZukanIndexSuffix",PalData_Header,0))</f>
        <v>B</v>
      </c>
      <c r="C99" s="185" t="s">
        <v>86</v>
      </c>
      <c r="D99" s="186" t="n">
        <f aca="false">IFERROR(INDEX(PalData,MATCH(C99,PalNames,0)+1,MATCH("Image",PalData_Header,0)),)</f>
        <v>0</v>
      </c>
      <c r="E99" s="187" t="str">
        <f aca="false">IFERROR(__xludf.dummyfunction("SPLIT(VLOOKUP($C99,PalData!$A$2:$BU$139,13,0),""EPalElementType::"",0,1)"),"Fire")</f>
        <v>Fire</v>
      </c>
      <c r="F99" s="187" t="str">
        <f aca="false">IFERROR(__xludf.dummyfunction("if(SPLIT(VLOOKUP($C99,PalData!$A$2:$BU$139,14,0),""EPalElementType::"",0,1)=""None"","""",SPLIT(VLOOKUP($C99,PalData!$A$2:$BU$139,14,0),""EPalElementType::"",0,1))"),"")</f>
        <v/>
      </c>
      <c r="G99" s="188" t="str">
        <f aca="false">IF(VLOOKUP($C99,PalData!$A$2:$BU$139,48,0),"🌜","")</f>
        <v/>
      </c>
      <c r="H99" s="189" t="n">
        <f aca="false">VLOOKUP($C99,PalData!$A$2:$BU$139,55,0)</f>
        <v>1</v>
      </c>
      <c r="I99" s="189" t="n">
        <f aca="false">VLOOKUP($C99,PalData!$A$2:$BU$139,56,0)</f>
        <v>0</v>
      </c>
      <c r="J99" s="189" t="n">
        <f aca="false">VLOOKUP($C99,PalData!$A$2:$BU$139,57,0)</f>
        <v>0</v>
      </c>
      <c r="K99" s="189" t="n">
        <f aca="false">VLOOKUP($C99,PalData!$A$2:$BU$139,58,0)</f>
        <v>0</v>
      </c>
      <c r="L99" s="189" t="n">
        <f aca="false">VLOOKUP($C99,PalData!$A$2:$BU$139,59,0)</f>
        <v>0</v>
      </c>
      <c r="M99" s="189" t="n">
        <f aca="false">VLOOKUP($C99,PalData!$A$2:$BU$139,60,0)</f>
        <v>0</v>
      </c>
      <c r="N99" s="189" t="n">
        <f aca="false">VLOOKUP($C99,PalData!$A$2:$BU$139,61,0)</f>
        <v>0</v>
      </c>
      <c r="O99" s="189" t="n">
        <f aca="false">VLOOKUP($C99,PalData!$A$2:$BU$139,62,0)</f>
        <v>0</v>
      </c>
      <c r="P99" s="189" t="n">
        <f aca="false">VLOOKUP($C99,PalData!$A$2:$BU$139,64,0)</f>
        <v>0</v>
      </c>
      <c r="Q99" s="189" t="n">
        <f aca="false">VLOOKUP($C99,PalData!$A$2:$BU$139,65,0)</f>
        <v>0</v>
      </c>
      <c r="R99" s="189" t="n">
        <f aca="false">VLOOKUP($C99,PalData!$A$2:$BU$139,66,0)</f>
        <v>0</v>
      </c>
      <c r="S99" s="189" t="n">
        <f aca="false">VLOOKUP($C99,PalData!$A$2:$BU$139,67,0)</f>
        <v>0</v>
      </c>
      <c r="T99" s="190" t="n">
        <f aca="false">VLOOKUP($C99,PalData!$A$2:$BU$139,43,0)</f>
        <v>1</v>
      </c>
      <c r="U99" s="188" t="n">
        <f aca="false">VLOOKUP($C99,PalData!$A$2:$BU$139,54,0)</f>
        <v>1270</v>
      </c>
      <c r="V99" s="191" t="n">
        <f aca="false">VLOOKUP($C99,PalData!$A$2:$BU$139,19,0)</f>
        <v>70</v>
      </c>
      <c r="W99" s="191" t="n">
        <f aca="false">VLOOKUP($C99,PalData!$A$2:$BU$139,20,0)</f>
        <v>100</v>
      </c>
      <c r="X99" s="191" t="n">
        <f aca="false">VLOOKUP($C99,PalData!$A$2:$BU$139,21,0)</f>
        <v>70</v>
      </c>
      <c r="Y99" s="191" t="n">
        <f aca="false">VLOOKUP($C99,PalData!$A$2:$BU$139,22,0)</f>
        <v>70</v>
      </c>
      <c r="Z99" s="192" t="n">
        <f aca="false">VLOOKUP($C99,PalData!$A$2:$BU$139,28,0)</f>
        <v>1240</v>
      </c>
      <c r="AA99" s="193" t="n">
        <f aca="false" t="array" ref="AA99:AA99">INDEX(PalData,MATCH(C99,PalNames,0)+1,MATCH("Stamina",PalData_Header,0))</f>
        <v>100</v>
      </c>
      <c r="AB99" s="193" t="n">
        <f aca="false">VLOOKUP($C99,PalData!$A$2:$BU$139,32,0)</f>
        <v>100</v>
      </c>
      <c r="AC99" s="193" t="n">
        <f aca="false">VLOOKUP($C99,PalData!$A$2:$BU$139,33,0)</f>
        <v>700</v>
      </c>
      <c r="AD99" s="193" t="n">
        <f aca="false">IF(INDEX(PalData,MATCH(C99,PalNames,0)+1,MATCH("Mount",PalData_Header,0)),INDEX(PalData,MATCH(C99,PalNames,0)+1,MATCH("RideSprintSpeed",PalData_Header,0)),)</f>
        <v>0</v>
      </c>
      <c r="AE99" s="193" t="n">
        <f aca="false">IF(R99&gt;0, INDEX(PalData,MATCH(C99,PalNames,0)+1,MATCH("TransportSpeed",PalData_Header,0)),)</f>
        <v>0</v>
      </c>
      <c r="AF99" s="198" t="n">
        <f aca="false">VLOOKUP($C99,PalData!$A$2:$BU$139,26,0)</f>
        <v>1</v>
      </c>
      <c r="AG99" s="195" t="n">
        <f aca="false" t="array" ref="AG99:AG99">INDEX(PalData,MATCH(C99,PalNames,0)+1,MATCH("MaleProbability",PalData_Header,0))</f>
        <v>50</v>
      </c>
    </row>
    <row r="100" customFormat="false" ht="26.25" hidden="false" customHeight="true" outlineLevel="0" collapsed="false">
      <c r="A100" s="196" t="n">
        <f aca="false">VLOOKUP($C100,PalData!$A$2:$BU$139,9,0)</f>
        <v>82</v>
      </c>
      <c r="B100" s="197" t="n">
        <f aca="false">INDEX(PalData,MATCH(C100,PalNames,0)+1,MATCH("ZukanIndexSuffix",PalData_Header,0))</f>
        <v>0</v>
      </c>
      <c r="C100" s="185" t="s">
        <v>18</v>
      </c>
      <c r="D100" s="186" t="n">
        <f aca="false">IFERROR(INDEX(PalData,MATCH(C100,PalNames,0)+1,MATCH("Image",PalData_Header,0)),)</f>
        <v>0</v>
      </c>
      <c r="E100" s="187" t="str">
        <f aca="false">IFERROR(__xludf.dummyfunction("SPLIT(VLOOKUP($C100,PalData!$A$2:$BU$139,13,0),""EPalElementType::"",0,1)"),"Water")</f>
        <v>Water</v>
      </c>
      <c r="F100" s="187" t="str">
        <f aca="false">IFERROR(__xludf.dummyfunction("if(SPLIT(VLOOKUP($C100,PalData!$A$2:$BU$139,14,0),""EPalElementType::"",0,1)=""None"","""",SPLIT(VLOOKUP($C100,PalData!$A$2:$BU$139,14,0),""EPalElementType::"",0,1))"),"Dragon")</f>
        <v>Dragon</v>
      </c>
      <c r="G100" s="188" t="str">
        <f aca="false">IF(VLOOKUP($C100,PalData!$A$2:$BU$139,48,0),"🌜","")</f>
        <v/>
      </c>
      <c r="H100" s="189" t="n">
        <f aca="false">VLOOKUP($C100,PalData!$A$2:$BU$139,55,0)</f>
        <v>0</v>
      </c>
      <c r="I100" s="189" t="n">
        <f aca="false">VLOOKUP($C100,PalData!$A$2:$BU$139,56,0)</f>
        <v>3</v>
      </c>
      <c r="J100" s="189" t="n">
        <f aca="false">VLOOKUP($C100,PalData!$A$2:$BU$139,57,0)</f>
        <v>0</v>
      </c>
      <c r="K100" s="189" t="n">
        <f aca="false">VLOOKUP($C100,PalData!$A$2:$BU$139,58,0)</f>
        <v>0</v>
      </c>
      <c r="L100" s="189" t="n">
        <f aca="false">VLOOKUP($C100,PalData!$A$2:$BU$139,59,0)</f>
        <v>0</v>
      </c>
      <c r="M100" s="189" t="n">
        <f aca="false">VLOOKUP($C100,PalData!$A$2:$BU$139,60,0)</f>
        <v>0</v>
      </c>
      <c r="N100" s="189" t="n">
        <f aca="false">VLOOKUP($C100,PalData!$A$2:$BU$139,61,0)</f>
        <v>0</v>
      </c>
      <c r="O100" s="189" t="n">
        <f aca="false">VLOOKUP($C100,PalData!$A$2:$BU$139,62,0)</f>
        <v>0</v>
      </c>
      <c r="P100" s="189" t="n">
        <f aca="false">VLOOKUP($C100,PalData!$A$2:$BU$139,64,0)</f>
        <v>0</v>
      </c>
      <c r="Q100" s="189" t="n">
        <f aca="false">VLOOKUP($C100,PalData!$A$2:$BU$139,65,0)</f>
        <v>0</v>
      </c>
      <c r="R100" s="189" t="n">
        <f aca="false">VLOOKUP($C100,PalData!$A$2:$BU$139,66,0)</f>
        <v>0</v>
      </c>
      <c r="S100" s="189" t="n">
        <f aca="false">VLOOKUP($C100,PalData!$A$2:$BU$139,67,0)</f>
        <v>0</v>
      </c>
      <c r="T100" s="190" t="n">
        <f aca="false">VLOOKUP($C100,PalData!$A$2:$BU$139,43,0)</f>
        <v>6</v>
      </c>
      <c r="U100" s="188" t="n">
        <f aca="false">VLOOKUP($C100,PalData!$A$2:$BU$139,54,0)</f>
        <v>500</v>
      </c>
      <c r="V100" s="191" t="n">
        <f aca="false">VLOOKUP($C100,PalData!$A$2:$BU$139,19,0)</f>
        <v>110</v>
      </c>
      <c r="W100" s="191" t="n">
        <f aca="false">VLOOKUP($C100,PalData!$A$2:$BU$139,20,0)</f>
        <v>70</v>
      </c>
      <c r="X100" s="191" t="n">
        <f aca="false">VLOOKUP($C100,PalData!$A$2:$BU$139,21,0)</f>
        <v>100</v>
      </c>
      <c r="Y100" s="191" t="n">
        <f aca="false">VLOOKUP($C100,PalData!$A$2:$BU$139,22,0)</f>
        <v>100</v>
      </c>
      <c r="Z100" s="192" t="n">
        <f aca="false">VLOOKUP($C100,PalData!$A$2:$BU$139,28,0)</f>
        <v>5600</v>
      </c>
      <c r="AA100" s="193" t="n">
        <f aca="false" t="array" ref="AA100:AA100">INDEX(PalData,MATCH(C100,PalNames,0)+1,MATCH("Stamina",PalData_Header,0))</f>
        <v>100</v>
      </c>
      <c r="AB100" s="193" t="n">
        <f aca="false">VLOOKUP($C100,PalData!$A$2:$BU$139,32,0)</f>
        <v>150</v>
      </c>
      <c r="AC100" s="193" t="n">
        <f aca="false">VLOOKUP($C100,PalData!$A$2:$BU$139,33,0)</f>
        <v>600</v>
      </c>
      <c r="AD100" s="193" t="n">
        <f aca="false" t="array" ref="AD100:AD100">IF(INDEX(PalData,MATCH(C100,PalNames,0)+1,MATCH("Mount",PalData_Header,0)),INDEX(PalData,MATCH(C100,PalNames,0)+1,MATCH("RideSprintSpeed",PalData_Header,0)),)</f>
        <v>800</v>
      </c>
      <c r="AE100" s="193" t="n">
        <f aca="false">IF(R100&gt;0, INDEX(PalData,MATCH(C100,PalNames,0)+1,MATCH("TransportSpeed",PalData_Header,0)),)</f>
        <v>0</v>
      </c>
      <c r="AF100" s="198" t="n">
        <f aca="false">VLOOKUP($C100,PalData!$A$2:$BU$139,26,0)</f>
        <v>1</v>
      </c>
      <c r="AG100" s="195" t="n">
        <f aca="false" t="array" ref="AG100:AG100">INDEX(PalData,MATCH(C100,PalNames,0)+1,MATCH("MaleProbability",PalData_Header,0))</f>
        <v>50</v>
      </c>
    </row>
    <row r="101" customFormat="false" ht="26.25" hidden="false" customHeight="true" outlineLevel="0" collapsed="false">
      <c r="A101" s="196" t="n">
        <f aca="false">VLOOKUP($C101,PalData!$A$2:$BU$139,9,0)</f>
        <v>83</v>
      </c>
      <c r="B101" s="197" t="n">
        <f aca="false">INDEX(PalData,MATCH(C101,PalNames,0)+1,MATCH("ZukanIndexSuffix",PalData_Header,0))</f>
        <v>0</v>
      </c>
      <c r="C101" s="185" t="s">
        <v>39</v>
      </c>
      <c r="D101" s="186" t="n">
        <f aca="false">IFERROR(INDEX(PalData,MATCH(C101,PalNames,0)+1,MATCH("Image",PalData_Header,0)),)</f>
        <v>0</v>
      </c>
      <c r="E101" s="187" t="str">
        <f aca="false">IFERROR(__xludf.dummyfunction("SPLIT(VLOOKUP($C101,PalData!$A$2:$BU$139,13,0),""EPalElementType::"",0,1)"),"Ice")</f>
        <v>Ice</v>
      </c>
      <c r="F101" s="187" t="str">
        <f aca="false">IFERROR(__xludf.dummyfunction("if(SPLIT(VLOOKUP($C101,PalData!$A$2:$BU$139,14,0),""EPalElementType::"",0,1)=""None"","""",SPLIT(VLOOKUP($C101,PalData!$A$2:$BU$139,14,0),""EPalElementType::"",0,1))"),"")</f>
        <v/>
      </c>
      <c r="G101" s="188" t="str">
        <f aca="false">IF(VLOOKUP($C101,PalData!$A$2:$BU$139,48,0),"🌜","")</f>
        <v/>
      </c>
      <c r="H101" s="189" t="n">
        <f aca="false">VLOOKUP($C101,PalData!$A$2:$BU$139,55,0)</f>
        <v>0</v>
      </c>
      <c r="I101" s="189" t="n">
        <f aca="false">VLOOKUP($C101,PalData!$A$2:$BU$139,56,0)</f>
        <v>0</v>
      </c>
      <c r="J101" s="189" t="n">
        <f aca="false">VLOOKUP($C101,PalData!$A$2:$BU$139,57,0)</f>
        <v>0</v>
      </c>
      <c r="K101" s="189" t="n">
        <f aca="false">VLOOKUP($C101,PalData!$A$2:$BU$139,58,0)</f>
        <v>0</v>
      </c>
      <c r="L101" s="189" t="n">
        <f aca="false">VLOOKUP($C101,PalData!$A$2:$BU$139,59,0)</f>
        <v>1</v>
      </c>
      <c r="M101" s="189" t="n">
        <f aca="false">VLOOKUP($C101,PalData!$A$2:$BU$139,60,0)</f>
        <v>0</v>
      </c>
      <c r="N101" s="189" t="n">
        <f aca="false">VLOOKUP($C101,PalData!$A$2:$BU$139,61,0)</f>
        <v>2</v>
      </c>
      <c r="O101" s="189" t="n">
        <f aca="false">VLOOKUP($C101,PalData!$A$2:$BU$139,62,0)</f>
        <v>0</v>
      </c>
      <c r="P101" s="189" t="n">
        <f aca="false">VLOOKUP($C101,PalData!$A$2:$BU$139,64,0)</f>
        <v>0</v>
      </c>
      <c r="Q101" s="189" t="n">
        <f aca="false">VLOOKUP($C101,PalData!$A$2:$BU$139,65,0)</f>
        <v>3</v>
      </c>
      <c r="R101" s="189" t="n">
        <f aca="false">VLOOKUP($C101,PalData!$A$2:$BU$139,66,0)</f>
        <v>0</v>
      </c>
      <c r="S101" s="189" t="n">
        <f aca="false">VLOOKUP($C101,PalData!$A$2:$BU$139,67,0)</f>
        <v>0</v>
      </c>
      <c r="T101" s="190" t="n">
        <f aca="false">VLOOKUP($C101,PalData!$A$2:$BU$139,43,0)</f>
        <v>7</v>
      </c>
      <c r="U101" s="188" t="n">
        <f aca="false">VLOOKUP($C101,PalData!$A$2:$BU$139,54,0)</f>
        <v>130</v>
      </c>
      <c r="V101" s="191" t="n">
        <f aca="false">VLOOKUP($C101,PalData!$A$2:$BU$139,19,0)</f>
        <v>100</v>
      </c>
      <c r="W101" s="191" t="n">
        <f aca="false">VLOOKUP($C101,PalData!$A$2:$BU$139,20,0)</f>
        <v>140</v>
      </c>
      <c r="X101" s="191" t="n">
        <f aca="false">VLOOKUP($C101,PalData!$A$2:$BU$139,21,0)</f>
        <v>100</v>
      </c>
      <c r="Y101" s="191" t="n">
        <f aca="false">VLOOKUP($C101,PalData!$A$2:$BU$139,22,0)</f>
        <v>110</v>
      </c>
      <c r="Z101" s="192" t="n">
        <f aca="false">VLOOKUP($C101,PalData!$A$2:$BU$139,28,0)</f>
        <v>8440</v>
      </c>
      <c r="AA101" s="193" t="n">
        <f aca="false" t="array" ref="AA101:AA101">INDEX(PalData,MATCH(C101,PalNames,0)+1,MATCH("Stamina",PalData_Header,0))</f>
        <v>100</v>
      </c>
      <c r="AB101" s="193" t="n">
        <f aca="false">VLOOKUP($C101,PalData!$A$2:$BU$139,32,0)</f>
        <v>280</v>
      </c>
      <c r="AC101" s="193" t="n">
        <f aca="false">VLOOKUP($C101,PalData!$A$2:$BU$139,33,0)</f>
        <v>720</v>
      </c>
      <c r="AD101" s="193" t="n">
        <f aca="false">IF(INDEX(PalData,MATCH(C101,PalNames,0)+1,MATCH("Mount",PalData_Header,0)),INDEX(PalData,MATCH(C101,PalNames,0)+1,MATCH("RideSprintSpeed",PalData_Header,0)),)</f>
        <v>0</v>
      </c>
      <c r="AE101" s="193" t="n">
        <f aca="false">IF(R101&gt;0, INDEX(PalData,MATCH(C101,PalNames,0)+1,MATCH("TransportSpeed",PalData_Header,0)),)</f>
        <v>0</v>
      </c>
      <c r="AF101" s="198" t="n">
        <f aca="false">VLOOKUP($C101,PalData!$A$2:$BU$139,26,0)</f>
        <v>1</v>
      </c>
      <c r="AG101" s="195" t="n">
        <f aca="false" t="array" ref="AG101:AG101">INDEX(PalData,MATCH(C101,PalNames,0)+1,MATCH("MaleProbability",PalData_Header,0))</f>
        <v>50</v>
      </c>
    </row>
    <row r="102" customFormat="false" ht="26.25" hidden="false" customHeight="true" outlineLevel="0" collapsed="false">
      <c r="A102" s="196" t="n">
        <f aca="false">VLOOKUP($C102,PalData!$A$2:$BU$139,9,0)</f>
        <v>84</v>
      </c>
      <c r="B102" s="197" t="n">
        <f aca="false">INDEX(PalData,MATCH(C102,PalNames,0)+1,MATCH("ZukanIndexSuffix",PalData_Header,0))</f>
        <v>0</v>
      </c>
      <c r="C102" s="185" t="s">
        <v>25</v>
      </c>
      <c r="D102" s="186" t="n">
        <f aca="false">IFERROR(INDEX(PalData,MATCH(C102,PalNames,0)+1,MATCH("Image",PalData_Header,0)),)</f>
        <v>0</v>
      </c>
      <c r="E102" s="187" t="str">
        <f aca="false">IFERROR(__xludf.dummyfunction("SPLIT(VLOOKUP($C102,PalData!$A$2:$BU$139,13,0),""EPalElementType::"",0,1)"),"Fire")</f>
        <v>Fire</v>
      </c>
      <c r="F102" s="187" t="str">
        <f aca="false">IFERROR(__xludf.dummyfunction("if(SPLIT(VLOOKUP($C102,PalData!$A$2:$BU$139,14,0),""EPalElementType::"",0,1)=""None"","""",SPLIT(VLOOKUP($C102,PalData!$A$2:$BU$139,14,0),""EPalElementType::"",0,1))"),"")</f>
        <v/>
      </c>
      <c r="G102" s="188" t="str">
        <f aca="false">IF(VLOOKUP($C102,PalData!$A$2:$BU$139,48,0),"🌜","")</f>
        <v/>
      </c>
      <c r="H102" s="189" t="n">
        <f aca="false">VLOOKUP($C102,PalData!$A$2:$BU$139,55,0)</f>
        <v>3</v>
      </c>
      <c r="I102" s="189" t="n">
        <f aca="false">VLOOKUP($C102,PalData!$A$2:$BU$139,56,0)</f>
        <v>0</v>
      </c>
      <c r="J102" s="189" t="n">
        <f aca="false">VLOOKUP($C102,PalData!$A$2:$BU$139,57,0)</f>
        <v>0</v>
      </c>
      <c r="K102" s="189" t="n">
        <f aca="false">VLOOKUP($C102,PalData!$A$2:$BU$139,58,0)</f>
        <v>0</v>
      </c>
      <c r="L102" s="189" t="n">
        <f aca="false">VLOOKUP($C102,PalData!$A$2:$BU$139,59,0)</f>
        <v>0</v>
      </c>
      <c r="M102" s="189" t="n">
        <f aca="false">VLOOKUP($C102,PalData!$A$2:$BU$139,60,0)</f>
        <v>0</v>
      </c>
      <c r="N102" s="189" t="n">
        <f aca="false">VLOOKUP($C102,PalData!$A$2:$BU$139,61,0)</f>
        <v>2</v>
      </c>
      <c r="O102" s="189" t="n">
        <f aca="false">VLOOKUP($C102,PalData!$A$2:$BU$139,62,0)</f>
        <v>0</v>
      </c>
      <c r="P102" s="189" t="n">
        <f aca="false">VLOOKUP($C102,PalData!$A$2:$BU$139,64,0)</f>
        <v>0</v>
      </c>
      <c r="Q102" s="189" t="n">
        <f aca="false">VLOOKUP($C102,PalData!$A$2:$BU$139,65,0)</f>
        <v>0</v>
      </c>
      <c r="R102" s="189" t="n">
        <f aca="false">VLOOKUP($C102,PalData!$A$2:$BU$139,66,0)</f>
        <v>0</v>
      </c>
      <c r="S102" s="189" t="n">
        <f aca="false">VLOOKUP($C102,PalData!$A$2:$BU$139,67,0)</f>
        <v>0</v>
      </c>
      <c r="T102" s="190" t="n">
        <f aca="false">VLOOKUP($C102,PalData!$A$2:$BU$139,43,0)</f>
        <v>7</v>
      </c>
      <c r="U102" s="188" t="n">
        <f aca="false">VLOOKUP($C102,PalData!$A$2:$BU$139,54,0)</f>
        <v>710</v>
      </c>
      <c r="V102" s="191" t="n">
        <f aca="false">VLOOKUP($C102,PalData!$A$2:$BU$139,19,0)</f>
        <v>105</v>
      </c>
      <c r="W102" s="191" t="n">
        <f aca="false">VLOOKUP($C102,PalData!$A$2:$BU$139,20,0)</f>
        <v>100</v>
      </c>
      <c r="X102" s="191" t="n">
        <f aca="false">VLOOKUP($C102,PalData!$A$2:$BU$139,21,0)</f>
        <v>110</v>
      </c>
      <c r="Y102" s="191" t="n">
        <f aca="false">VLOOKUP($C102,PalData!$A$2:$BU$139,22,0)</f>
        <v>80</v>
      </c>
      <c r="Z102" s="192" t="n">
        <f aca="false">VLOOKUP($C102,PalData!$A$2:$BU$139,28,0)</f>
        <v>4040</v>
      </c>
      <c r="AA102" s="193" t="n">
        <f aca="false" t="array" ref="AA102:AA102">INDEX(PalData,MATCH(C102,PalNames,0)+1,MATCH("Stamina",PalData_Header,0))</f>
        <v>100</v>
      </c>
      <c r="AB102" s="193" t="n">
        <f aca="false">VLOOKUP($C102,PalData!$A$2:$BU$139,32,0)</f>
        <v>180</v>
      </c>
      <c r="AC102" s="193" t="n">
        <f aca="false">VLOOKUP($C102,PalData!$A$2:$BU$139,33,0)</f>
        <v>750</v>
      </c>
      <c r="AD102" s="193" t="n">
        <f aca="false" t="array" ref="AD102:AD102">IF(INDEX(PalData,MATCH(C102,PalNames,0)+1,MATCH("Mount",PalData_Header,0)),INDEX(PalData,MATCH(C102,PalNames,0)+1,MATCH("RideSprintSpeed",PalData_Header,0)),)</f>
        <v>900</v>
      </c>
      <c r="AE102" s="193" t="n">
        <f aca="false">IF(R102&gt;0, INDEX(PalData,MATCH(C102,PalNames,0)+1,MATCH("TransportSpeed",PalData_Header,0)),)</f>
        <v>0</v>
      </c>
      <c r="AF102" s="198" t="n">
        <f aca="false">VLOOKUP($C102,PalData!$A$2:$BU$139,26,0)</f>
        <v>1</v>
      </c>
      <c r="AG102" s="195" t="n">
        <f aca="false" t="array" ref="AG102:AG102">INDEX(PalData,MATCH(C102,PalNames,0)+1,MATCH("MaleProbability",PalData_Header,0))</f>
        <v>50</v>
      </c>
    </row>
    <row r="103" customFormat="false" ht="26.25" hidden="false" customHeight="true" outlineLevel="0" collapsed="false">
      <c r="A103" s="196" t="n">
        <f aca="false">VLOOKUP($C103,PalData!$A$2:$BU$139,9,0)</f>
        <v>84</v>
      </c>
      <c r="B103" s="197" t="str">
        <f aca="false" t="array" ref="B103:B103">INDEX(PalData,MATCH(C103,PalNames,0)+1,MATCH("ZukanIndexSuffix",PalData_Header,0))</f>
        <v>B</v>
      </c>
      <c r="C103" s="185" t="s">
        <v>27</v>
      </c>
      <c r="D103" s="186" t="n">
        <f aca="false">IFERROR(INDEX(PalData,MATCH(C103,PalNames,0)+1,MATCH("Image",PalData_Header,0)),)</f>
        <v>0</v>
      </c>
      <c r="E103" s="187" t="str">
        <f aca="false">IFERROR(__xludf.dummyfunction("SPLIT(VLOOKUP($C103,PalData!$A$2:$BU$139,13,0),""EPalElementType::"",0,1)"),"Fire")</f>
        <v>Fire</v>
      </c>
      <c r="F103" s="187" t="str">
        <f aca="false">IFERROR(__xludf.dummyfunction("if(SPLIT(VLOOKUP($C103,PalData!$A$2:$BU$139,14,0),""EPalElementType::"",0,1)=""None"","""",SPLIT(VLOOKUP($C103,PalData!$A$2:$BU$139,14,0),""EPalElementType::"",0,1))"),"Dark")</f>
        <v>Dark</v>
      </c>
      <c r="G103" s="188" t="str">
        <f aca="false">IF(VLOOKUP($C103,PalData!$A$2:$BU$139,48,0),"🌜","")</f>
        <v>🌜</v>
      </c>
      <c r="H103" s="189" t="n">
        <f aca="false">VLOOKUP($C103,PalData!$A$2:$BU$139,55,0)</f>
        <v>3</v>
      </c>
      <c r="I103" s="189" t="n">
        <f aca="false">VLOOKUP($C103,PalData!$A$2:$BU$139,56,0)</f>
        <v>0</v>
      </c>
      <c r="J103" s="189" t="n">
        <f aca="false">VLOOKUP($C103,PalData!$A$2:$BU$139,57,0)</f>
        <v>0</v>
      </c>
      <c r="K103" s="189" t="n">
        <f aca="false">VLOOKUP($C103,PalData!$A$2:$BU$139,58,0)</f>
        <v>0</v>
      </c>
      <c r="L103" s="189" t="n">
        <f aca="false">VLOOKUP($C103,PalData!$A$2:$BU$139,59,0)</f>
        <v>0</v>
      </c>
      <c r="M103" s="189" t="n">
        <f aca="false">VLOOKUP($C103,PalData!$A$2:$BU$139,60,0)</f>
        <v>0</v>
      </c>
      <c r="N103" s="189" t="n">
        <f aca="false">VLOOKUP($C103,PalData!$A$2:$BU$139,61,0)</f>
        <v>2</v>
      </c>
      <c r="O103" s="189" t="n">
        <f aca="false">VLOOKUP($C103,PalData!$A$2:$BU$139,62,0)</f>
        <v>0</v>
      </c>
      <c r="P103" s="189" t="n">
        <f aca="false">VLOOKUP($C103,PalData!$A$2:$BU$139,64,0)</f>
        <v>0</v>
      </c>
      <c r="Q103" s="189" t="n">
        <f aca="false">VLOOKUP($C103,PalData!$A$2:$BU$139,65,0)</f>
        <v>0</v>
      </c>
      <c r="R103" s="189" t="n">
        <f aca="false">VLOOKUP($C103,PalData!$A$2:$BU$139,66,0)</f>
        <v>0</v>
      </c>
      <c r="S103" s="189" t="n">
        <f aca="false">VLOOKUP($C103,PalData!$A$2:$BU$139,67,0)</f>
        <v>0</v>
      </c>
      <c r="T103" s="190" t="n">
        <f aca="false">VLOOKUP($C103,PalData!$A$2:$BU$139,43,0)</f>
        <v>7</v>
      </c>
      <c r="U103" s="188" t="n">
        <f aca="false">VLOOKUP($C103,PalData!$A$2:$BU$139,54,0)</f>
        <v>670</v>
      </c>
      <c r="V103" s="191" t="n">
        <f aca="false">VLOOKUP($C103,PalData!$A$2:$BU$139,19,0)</f>
        <v>105</v>
      </c>
      <c r="W103" s="191" t="n">
        <f aca="false">VLOOKUP($C103,PalData!$A$2:$BU$139,20,0)</f>
        <v>100</v>
      </c>
      <c r="X103" s="191" t="n">
        <f aca="false">VLOOKUP($C103,PalData!$A$2:$BU$139,21,0)</f>
        <v>115</v>
      </c>
      <c r="Y103" s="191" t="n">
        <f aca="false">VLOOKUP($C103,PalData!$A$2:$BU$139,22,0)</f>
        <v>80</v>
      </c>
      <c r="Z103" s="192" t="n">
        <f aca="false">VLOOKUP($C103,PalData!$A$2:$BU$139,28,0)</f>
        <v>4360</v>
      </c>
      <c r="AA103" s="193" t="n">
        <f aca="false" t="array" ref="AA103:AA103">INDEX(PalData,MATCH(C103,PalNames,0)+1,MATCH("Stamina",PalData_Header,0))</f>
        <v>100</v>
      </c>
      <c r="AB103" s="193" t="n">
        <f aca="false">VLOOKUP($C103,PalData!$A$2:$BU$139,32,0)</f>
        <v>90</v>
      </c>
      <c r="AC103" s="193" t="n">
        <f aca="false">VLOOKUP($C103,PalData!$A$2:$BU$139,33,0)</f>
        <v>750</v>
      </c>
      <c r="AD103" s="193" t="n">
        <f aca="false" t="array" ref="AD103:AD103">IF(INDEX(PalData,MATCH(C103,PalNames,0)+1,MATCH("Mount",PalData_Header,0)),INDEX(PalData,MATCH(C103,PalNames,0)+1,MATCH("RideSprintSpeed",PalData_Header,0)),)</f>
        <v>900</v>
      </c>
      <c r="AE103" s="193" t="n">
        <f aca="false">IF(R103&gt;0, INDEX(PalData,MATCH(C103,PalNames,0)+1,MATCH("TransportSpeed",PalData_Header,0)),)</f>
        <v>0</v>
      </c>
      <c r="AF103" s="198" t="n">
        <f aca="false">VLOOKUP($C103,PalData!$A$2:$BU$139,26,0)</f>
        <v>1</v>
      </c>
      <c r="AG103" s="195" t="n">
        <f aca="false" t="array" ref="AG103:AG103">INDEX(PalData,MATCH(C103,PalNames,0)+1,MATCH("MaleProbability",PalData_Header,0))</f>
        <v>50</v>
      </c>
    </row>
    <row r="104" customFormat="false" ht="26.25" hidden="false" customHeight="true" outlineLevel="0" collapsed="false">
      <c r="A104" s="196" t="n">
        <f aca="false">VLOOKUP($C104,PalData!$A$2:$BU$139,9,0)</f>
        <v>85</v>
      </c>
      <c r="B104" s="197" t="n">
        <f aca="false">INDEX(PalData,MATCH(C104,PalNames,0)+1,MATCH("ZukanIndexSuffix",PalData_Header,0))</f>
        <v>0</v>
      </c>
      <c r="C104" s="185" t="s">
        <v>122</v>
      </c>
      <c r="D104" s="186" t="n">
        <f aca="false">IFERROR(INDEX(PalData,MATCH(C104,PalNames,0)+1,MATCH("Image",PalData_Header,0)),)</f>
        <v>0</v>
      </c>
      <c r="E104" s="187" t="str">
        <f aca="false">IFERROR(__xludf.dummyfunction("SPLIT(VLOOKUP($C104,PalData!$A$2:$BU$139,13,0),""EPalElementType::"",0,1)"),"Dragon")</f>
        <v>Dragon</v>
      </c>
      <c r="F104" s="187" t="str">
        <f aca="false">IFERROR(__xludf.dummyfunction("if(SPLIT(VLOOKUP($C104,PalData!$A$2:$BU$139,14,0),""EPalElementType::"",0,1)=""None"","""",SPLIT(VLOOKUP($C104,PalData!$A$2:$BU$139,14,0),""EPalElementType::"",0,1))"),"Water")</f>
        <v>Water</v>
      </c>
      <c r="G104" s="188" t="str">
        <f aca="false">IF(VLOOKUP($C104,PalData!$A$2:$BU$139,48,0),"🌜","")</f>
        <v/>
      </c>
      <c r="H104" s="189" t="n">
        <f aca="false">VLOOKUP($C104,PalData!$A$2:$BU$139,55,0)</f>
        <v>0</v>
      </c>
      <c r="I104" s="189" t="n">
        <f aca="false">VLOOKUP($C104,PalData!$A$2:$BU$139,56,0)</f>
        <v>2</v>
      </c>
      <c r="J104" s="189" t="n">
        <f aca="false">VLOOKUP($C104,PalData!$A$2:$BU$139,57,0)</f>
        <v>0</v>
      </c>
      <c r="K104" s="189" t="n">
        <f aca="false">VLOOKUP($C104,PalData!$A$2:$BU$139,58,0)</f>
        <v>0</v>
      </c>
      <c r="L104" s="189" t="n">
        <f aca="false">VLOOKUP($C104,PalData!$A$2:$BU$139,59,0)</f>
        <v>0</v>
      </c>
      <c r="M104" s="189" t="n">
        <f aca="false">VLOOKUP($C104,PalData!$A$2:$BU$139,60,0)</f>
        <v>0</v>
      </c>
      <c r="N104" s="189" t="n">
        <f aca="false">VLOOKUP($C104,PalData!$A$2:$BU$139,61,0)</f>
        <v>0</v>
      </c>
      <c r="O104" s="189" t="n">
        <f aca="false">VLOOKUP($C104,PalData!$A$2:$BU$139,62,0)</f>
        <v>0</v>
      </c>
      <c r="P104" s="189" t="n">
        <f aca="false">VLOOKUP($C104,PalData!$A$2:$BU$139,64,0)</f>
        <v>0</v>
      </c>
      <c r="Q104" s="189" t="n">
        <f aca="false">VLOOKUP($C104,PalData!$A$2:$BU$139,65,0)</f>
        <v>0</v>
      </c>
      <c r="R104" s="189" t="n">
        <f aca="false">VLOOKUP($C104,PalData!$A$2:$BU$139,66,0)</f>
        <v>1</v>
      </c>
      <c r="S104" s="189" t="n">
        <f aca="false">VLOOKUP($C104,PalData!$A$2:$BU$139,67,0)</f>
        <v>0</v>
      </c>
      <c r="T104" s="190" t="n">
        <f aca="false">VLOOKUP($C104,PalData!$A$2:$BU$139,43,0)</f>
        <v>7</v>
      </c>
      <c r="U104" s="188" t="n">
        <f aca="false">VLOOKUP($C104,PalData!$A$2:$BU$139,54,0)</f>
        <v>280</v>
      </c>
      <c r="V104" s="191" t="n">
        <f aca="false">VLOOKUP($C104,PalData!$A$2:$BU$139,19,0)</f>
        <v>110</v>
      </c>
      <c r="W104" s="191" t="n">
        <f aca="false">VLOOKUP($C104,PalData!$A$2:$BU$139,20,0)</f>
        <v>110</v>
      </c>
      <c r="X104" s="191" t="n">
        <f aca="false">VLOOKUP($C104,PalData!$A$2:$BU$139,21,0)</f>
        <v>100</v>
      </c>
      <c r="Y104" s="191" t="n">
        <f aca="false">VLOOKUP($C104,PalData!$A$2:$BU$139,22,0)</f>
        <v>70</v>
      </c>
      <c r="Z104" s="192" t="n">
        <f aca="false">VLOOKUP($C104,PalData!$A$2:$BU$139,28,0)</f>
        <v>10240</v>
      </c>
      <c r="AA104" s="193" t="n">
        <f aca="false" t="array" ref="AA104:AA104">INDEX(PalData,MATCH(C104,PalNames,0)+1,MATCH("Stamina",PalData_Header,0))</f>
        <v>100</v>
      </c>
      <c r="AB104" s="193" t="n">
        <f aca="false">VLOOKUP($C104,PalData!$A$2:$BU$139,32,0)</f>
        <v>60</v>
      </c>
      <c r="AC104" s="193" t="n">
        <f aca="false">VLOOKUP($C104,PalData!$A$2:$BU$139,33,0)</f>
        <v>650</v>
      </c>
      <c r="AD104" s="193" t="n">
        <f aca="false" t="array" ref="AD104:AD104">IF(INDEX(PalData,MATCH(C104,PalNames,0)+1,MATCH("Mount",PalData_Header,0)),INDEX(PalData,MATCH(C104,PalNames,0)+1,MATCH("RideSprintSpeed",PalData_Header,0)),)</f>
        <v>800</v>
      </c>
      <c r="AE104" s="193" t="n">
        <f aca="false" t="array" ref="AE104:AE104">IF(R104&gt;0, INDEX(PalData,MATCH(C104,PalNames,0)+1,MATCH("TransportSpeed",PalData_Header,0)),)</f>
        <v>150</v>
      </c>
      <c r="AF104" s="198" t="n">
        <f aca="false">VLOOKUP($C104,PalData!$A$2:$BU$139,26,0)</f>
        <v>1</v>
      </c>
      <c r="AG104" s="195" t="n">
        <f aca="false" t="array" ref="AG104:AG104">INDEX(PalData,MATCH(C104,PalNames,0)+1,MATCH("MaleProbability",PalData_Header,0))</f>
        <v>50</v>
      </c>
    </row>
    <row r="105" customFormat="false" ht="26.25" hidden="false" customHeight="true" outlineLevel="0" collapsed="false">
      <c r="A105" s="196" t="n">
        <f aca="false">VLOOKUP($C105,PalData!$A$2:$BU$139,9,0)</f>
        <v>85</v>
      </c>
      <c r="B105" s="197" t="str">
        <f aca="false" t="array" ref="B105:B105">INDEX(PalData,MATCH(C105,PalNames,0)+1,MATCH("ZukanIndexSuffix",PalData_Header,0))</f>
        <v>B</v>
      </c>
      <c r="C105" s="185" t="s">
        <v>123</v>
      </c>
      <c r="D105" s="186" t="n">
        <f aca="false">IFERROR(INDEX(PalData,MATCH(C105,PalNames,0)+1,MATCH("Image",PalData_Header,0)),)</f>
        <v>0</v>
      </c>
      <c r="E105" s="187" t="str">
        <f aca="false">IFERROR(__xludf.dummyfunction("SPLIT(VLOOKUP($C105,PalData!$A$2:$BU$139,13,0),""EPalElementType::"",0,1)"),"Dragon")</f>
        <v>Dragon</v>
      </c>
      <c r="F105" s="187" t="str">
        <f aca="false">IFERROR(__xludf.dummyfunction("if(SPLIT(VLOOKUP($C105,PalData!$A$2:$BU$139,14,0),""EPalElementType::"",0,1)=""None"","""",SPLIT(VLOOKUP($C105,PalData!$A$2:$BU$139,14,0),""EPalElementType::"",0,1))"),"Electricity")</f>
        <v>Electricity</v>
      </c>
      <c r="G105" s="188" t="str">
        <f aca="false">IF(VLOOKUP($C105,PalData!$A$2:$BU$139,48,0),"🌜","")</f>
        <v/>
      </c>
      <c r="H105" s="189" t="n">
        <f aca="false">VLOOKUP($C105,PalData!$A$2:$BU$139,55,0)</f>
        <v>0</v>
      </c>
      <c r="I105" s="189" t="n">
        <f aca="false">VLOOKUP($C105,PalData!$A$2:$BU$139,56,0)</f>
        <v>0</v>
      </c>
      <c r="J105" s="189" t="n">
        <f aca="false">VLOOKUP($C105,PalData!$A$2:$BU$139,57,0)</f>
        <v>0</v>
      </c>
      <c r="K105" s="189" t="n">
        <f aca="false">VLOOKUP($C105,PalData!$A$2:$BU$139,58,0)</f>
        <v>3</v>
      </c>
      <c r="L105" s="189" t="n">
        <f aca="false">VLOOKUP($C105,PalData!$A$2:$BU$139,59,0)</f>
        <v>0</v>
      </c>
      <c r="M105" s="189" t="n">
        <f aca="false">VLOOKUP($C105,PalData!$A$2:$BU$139,60,0)</f>
        <v>0</v>
      </c>
      <c r="N105" s="189" t="n">
        <f aca="false">VLOOKUP($C105,PalData!$A$2:$BU$139,61,0)</f>
        <v>0</v>
      </c>
      <c r="O105" s="189" t="n">
        <f aca="false">VLOOKUP($C105,PalData!$A$2:$BU$139,62,0)</f>
        <v>0</v>
      </c>
      <c r="P105" s="189" t="n">
        <f aca="false">VLOOKUP($C105,PalData!$A$2:$BU$139,64,0)</f>
        <v>0</v>
      </c>
      <c r="Q105" s="189" t="n">
        <f aca="false">VLOOKUP($C105,PalData!$A$2:$BU$139,65,0)</f>
        <v>0</v>
      </c>
      <c r="R105" s="189" t="n">
        <f aca="false">VLOOKUP($C105,PalData!$A$2:$BU$139,66,0)</f>
        <v>1</v>
      </c>
      <c r="S105" s="189" t="n">
        <f aca="false">VLOOKUP($C105,PalData!$A$2:$BU$139,67,0)</f>
        <v>0</v>
      </c>
      <c r="T105" s="190" t="n">
        <f aca="false">VLOOKUP($C105,PalData!$A$2:$BU$139,43,0)</f>
        <v>7</v>
      </c>
      <c r="U105" s="188" t="n">
        <f aca="false">VLOOKUP($C105,PalData!$A$2:$BU$139,54,0)</f>
        <v>270</v>
      </c>
      <c r="V105" s="191" t="n">
        <f aca="false">VLOOKUP($C105,PalData!$A$2:$BU$139,19,0)</f>
        <v>110</v>
      </c>
      <c r="W105" s="191" t="n">
        <f aca="false">VLOOKUP($C105,PalData!$A$2:$BU$139,20,0)</f>
        <v>110</v>
      </c>
      <c r="X105" s="191" t="n">
        <f aca="false">VLOOKUP($C105,PalData!$A$2:$BU$139,21,0)</f>
        <v>110</v>
      </c>
      <c r="Y105" s="191" t="n">
        <f aca="false">VLOOKUP($C105,PalData!$A$2:$BU$139,22,0)</f>
        <v>75</v>
      </c>
      <c r="Z105" s="192" t="n">
        <f aca="false">VLOOKUP($C105,PalData!$A$2:$BU$139,28,0)</f>
        <v>10380</v>
      </c>
      <c r="AA105" s="193" t="n">
        <f aca="false" t="array" ref="AA105:AA105">INDEX(PalData,MATCH(C105,PalNames,0)+1,MATCH("Stamina",PalData_Header,0))</f>
        <v>100</v>
      </c>
      <c r="AB105" s="193" t="n">
        <f aca="false">VLOOKUP($C105,PalData!$A$2:$BU$139,32,0)</f>
        <v>60</v>
      </c>
      <c r="AC105" s="193" t="n">
        <f aca="false">VLOOKUP($C105,PalData!$A$2:$BU$139,33,0)</f>
        <v>650</v>
      </c>
      <c r="AD105" s="193" t="n">
        <f aca="false" t="array" ref="AD105:AD105">IF(INDEX(PalData,MATCH(C105,PalNames,0)+1,MATCH("Mount",PalData_Header,0)),INDEX(PalData,MATCH(C105,PalNames,0)+1,MATCH("RideSprintSpeed",PalData_Header,0)),)</f>
        <v>800</v>
      </c>
      <c r="AE105" s="193" t="n">
        <f aca="false" t="array" ref="AE105:AE105">IF(R105&gt;0, INDEX(PalData,MATCH(C105,PalNames,0)+1,MATCH("TransportSpeed",PalData_Header,0)),)</f>
        <v>150</v>
      </c>
      <c r="AF105" s="198" t="n">
        <f aca="false">VLOOKUP($C105,PalData!$A$2:$BU$139,26,0)</f>
        <v>1</v>
      </c>
      <c r="AG105" s="195" t="n">
        <f aca="false" t="array" ref="AG105:AG105">INDEX(PalData,MATCH(C105,PalNames,0)+1,MATCH("MaleProbability",PalData_Header,0))</f>
        <v>50</v>
      </c>
    </row>
    <row r="106" customFormat="false" ht="26.25" hidden="false" customHeight="true" outlineLevel="0" collapsed="false">
      <c r="A106" s="196" t="n">
        <f aca="false">VLOOKUP($C106,PalData!$A$2:$BU$139,9,0)</f>
        <v>86</v>
      </c>
      <c r="B106" s="197" t="n">
        <f aca="false">INDEX(PalData,MATCH(C106,PalNames,0)+1,MATCH("ZukanIndexSuffix",PalData_Header,0))</f>
        <v>0</v>
      </c>
      <c r="C106" s="185" t="s">
        <v>29</v>
      </c>
      <c r="D106" s="186" t="n">
        <f aca="false">IFERROR(INDEX(PalData,MATCH(C106,PalNames,0)+1,MATCH("Image",PalData_Header,0)),)</f>
        <v>0</v>
      </c>
      <c r="E106" s="187" t="str">
        <f aca="false">IFERROR(__xludf.dummyfunction("SPLIT(VLOOKUP($C106,PalData!$A$2:$BU$139,13,0),""EPalElementType::"",0,1)"),"Leaf")</f>
        <v>Leaf</v>
      </c>
      <c r="F106" s="187" t="str">
        <f aca="false">IFERROR(__xludf.dummyfunction("if(SPLIT(VLOOKUP($C106,PalData!$A$2:$BU$139,14,0),""EPalElementType::"",0,1)=""None"","""",SPLIT(VLOOKUP($C106,PalData!$A$2:$BU$139,14,0),""EPalElementType::"",0,1))"),"")</f>
        <v/>
      </c>
      <c r="G106" s="188" t="str">
        <f aca="false">IF(VLOOKUP($C106,PalData!$A$2:$BU$139,48,0),"🌜","")</f>
        <v/>
      </c>
      <c r="H106" s="189" t="n">
        <f aca="false">VLOOKUP($C106,PalData!$A$2:$BU$139,55,0)</f>
        <v>0</v>
      </c>
      <c r="I106" s="189" t="n">
        <f aca="false">VLOOKUP($C106,PalData!$A$2:$BU$139,56,0)</f>
        <v>0</v>
      </c>
      <c r="J106" s="189" t="n">
        <f aca="false">VLOOKUP($C106,PalData!$A$2:$BU$139,57,0)</f>
        <v>3</v>
      </c>
      <c r="K106" s="189" t="n">
        <f aca="false">VLOOKUP($C106,PalData!$A$2:$BU$139,58,0)</f>
        <v>0</v>
      </c>
      <c r="L106" s="189" t="n">
        <f aca="false">VLOOKUP($C106,PalData!$A$2:$BU$139,59,0)</f>
        <v>0</v>
      </c>
      <c r="M106" s="189" t="n">
        <f aca="false">VLOOKUP($C106,PalData!$A$2:$BU$139,60,0)</f>
        <v>0</v>
      </c>
      <c r="N106" s="189" t="n">
        <f aca="false">VLOOKUP($C106,PalData!$A$2:$BU$139,61,0)</f>
        <v>0</v>
      </c>
      <c r="O106" s="189" t="n">
        <f aca="false">VLOOKUP($C106,PalData!$A$2:$BU$139,62,0)</f>
        <v>0</v>
      </c>
      <c r="P106" s="189" t="n">
        <f aca="false">VLOOKUP($C106,PalData!$A$2:$BU$139,64,0)</f>
        <v>0</v>
      </c>
      <c r="Q106" s="189" t="n">
        <f aca="false">VLOOKUP($C106,PalData!$A$2:$BU$139,65,0)</f>
        <v>0</v>
      </c>
      <c r="R106" s="189" t="n">
        <f aca="false">VLOOKUP($C106,PalData!$A$2:$BU$139,66,0)</f>
        <v>0</v>
      </c>
      <c r="S106" s="189" t="n">
        <f aca="false">VLOOKUP($C106,PalData!$A$2:$BU$139,67,0)</f>
        <v>0</v>
      </c>
      <c r="T106" s="190" t="n">
        <f aca="false">VLOOKUP($C106,PalData!$A$2:$BU$139,43,0)</f>
        <v>7</v>
      </c>
      <c r="U106" s="188" t="n">
        <f aca="false">VLOOKUP($C106,PalData!$A$2:$BU$139,54,0)</f>
        <v>860</v>
      </c>
      <c r="V106" s="191" t="n">
        <f aca="false">VLOOKUP($C106,PalData!$A$2:$BU$139,19,0)</f>
        <v>120</v>
      </c>
      <c r="W106" s="191" t="n">
        <f aca="false">VLOOKUP($C106,PalData!$A$2:$BU$139,20,0)</f>
        <v>80</v>
      </c>
      <c r="X106" s="191" t="n">
        <f aca="false">VLOOKUP($C106,PalData!$A$2:$BU$139,21,0)</f>
        <v>90</v>
      </c>
      <c r="Y106" s="191" t="n">
        <f aca="false">VLOOKUP($C106,PalData!$A$2:$BU$139,22,0)</f>
        <v>100</v>
      </c>
      <c r="Z106" s="192" t="n">
        <f aca="false">VLOOKUP($C106,PalData!$A$2:$BU$139,28,0)</f>
        <v>2920</v>
      </c>
      <c r="AA106" s="193" t="n">
        <f aca="false" t="array" ref="AA106:AA106">INDEX(PalData,MATCH(C106,PalNames,0)+1,MATCH("Stamina",PalData_Header,0))</f>
        <v>100</v>
      </c>
      <c r="AB106" s="193" t="n">
        <f aca="false">VLOOKUP($C106,PalData!$A$2:$BU$139,32,0)</f>
        <v>75</v>
      </c>
      <c r="AC106" s="193" t="n">
        <f aca="false">VLOOKUP($C106,PalData!$A$2:$BU$139,33,0)</f>
        <v>350</v>
      </c>
      <c r="AD106" s="193" t="n">
        <f aca="false" t="array" ref="AD106:AD106">IF(INDEX(PalData,MATCH(C106,PalNames,0)+1,MATCH("Mount",PalData_Header,0)),INDEX(PalData,MATCH(C106,PalNames,0)+1,MATCH("RideSprintSpeed",PalData_Header,0)),)</f>
        <v>500</v>
      </c>
      <c r="AE106" s="193" t="n">
        <f aca="false">IF(R106&gt;0, INDEX(PalData,MATCH(C106,PalNames,0)+1,MATCH("TransportSpeed",PalData_Header,0)),)</f>
        <v>0</v>
      </c>
      <c r="AF106" s="198" t="n">
        <f aca="false">VLOOKUP($C106,PalData!$A$2:$BU$139,26,0)</f>
        <v>1</v>
      </c>
      <c r="AG106" s="195" t="n">
        <f aca="false" t="array" ref="AG106:AG106">INDEX(PalData,MATCH(C106,PalNames,0)+1,MATCH("MaleProbability",PalData_Header,0))</f>
        <v>50</v>
      </c>
    </row>
    <row r="107" customFormat="false" ht="26.25" hidden="false" customHeight="true" outlineLevel="0" collapsed="false">
      <c r="A107" s="196" t="n">
        <f aca="false">VLOOKUP($C107,PalData!$A$2:$BU$139,9,0)</f>
        <v>86</v>
      </c>
      <c r="B107" s="197" t="str">
        <f aca="false" t="array" ref="B107:B107">INDEX(PalData,MATCH(C107,PalNames,0)+1,MATCH("ZukanIndexSuffix",PalData_Header,0))</f>
        <v>B</v>
      </c>
      <c r="C107" s="185" t="s">
        <v>30</v>
      </c>
      <c r="D107" s="186" t="n">
        <f aca="false">IFERROR(INDEX(PalData,MATCH(C107,PalNames,0)+1,MATCH("Image",PalData_Header,0)),)</f>
        <v>0</v>
      </c>
      <c r="E107" s="187" t="str">
        <f aca="false">IFERROR(__xludf.dummyfunction("SPLIT(VLOOKUP($C107,PalData!$A$2:$BU$139,13,0),""EPalElementType::"",0,1)"),"Leaf")</f>
        <v>Leaf</v>
      </c>
      <c r="F107" s="187" t="str">
        <f aca="false">IFERROR(__xludf.dummyfunction("if(SPLIT(VLOOKUP($C107,PalData!$A$2:$BU$139,14,0),""EPalElementType::"",0,1)=""None"","""",SPLIT(VLOOKUP($C107,PalData!$A$2:$BU$139,14,0),""EPalElementType::"",0,1))"),"Water")</f>
        <v>Water</v>
      </c>
      <c r="G107" s="188" t="str">
        <f aca="false">IF(VLOOKUP($C107,PalData!$A$2:$BU$139,48,0),"🌜","")</f>
        <v/>
      </c>
      <c r="H107" s="189" t="n">
        <f aca="false">VLOOKUP($C107,PalData!$A$2:$BU$139,55,0)</f>
        <v>0</v>
      </c>
      <c r="I107" s="189" t="n">
        <f aca="false">VLOOKUP($C107,PalData!$A$2:$BU$139,56,0)</f>
        <v>3</v>
      </c>
      <c r="J107" s="189" t="n">
        <f aca="false">VLOOKUP($C107,PalData!$A$2:$BU$139,57,0)</f>
        <v>0</v>
      </c>
      <c r="K107" s="189" t="n">
        <f aca="false">VLOOKUP($C107,PalData!$A$2:$BU$139,58,0)</f>
        <v>0</v>
      </c>
      <c r="L107" s="189" t="n">
        <f aca="false">VLOOKUP($C107,PalData!$A$2:$BU$139,59,0)</f>
        <v>0</v>
      </c>
      <c r="M107" s="189" t="n">
        <f aca="false">VLOOKUP($C107,PalData!$A$2:$BU$139,60,0)</f>
        <v>0</v>
      </c>
      <c r="N107" s="189" t="n">
        <f aca="false">VLOOKUP($C107,PalData!$A$2:$BU$139,61,0)</f>
        <v>0</v>
      </c>
      <c r="O107" s="189" t="n">
        <f aca="false">VLOOKUP($C107,PalData!$A$2:$BU$139,62,0)</f>
        <v>0</v>
      </c>
      <c r="P107" s="189" t="n">
        <f aca="false">VLOOKUP($C107,PalData!$A$2:$BU$139,64,0)</f>
        <v>0</v>
      </c>
      <c r="Q107" s="189" t="n">
        <f aca="false">VLOOKUP($C107,PalData!$A$2:$BU$139,65,0)</f>
        <v>0</v>
      </c>
      <c r="R107" s="189" t="n">
        <f aca="false">VLOOKUP($C107,PalData!$A$2:$BU$139,66,0)</f>
        <v>0</v>
      </c>
      <c r="S107" s="189" t="n">
        <f aca="false">VLOOKUP($C107,PalData!$A$2:$BU$139,67,0)</f>
        <v>0</v>
      </c>
      <c r="T107" s="190" t="n">
        <f aca="false">VLOOKUP($C107,PalData!$A$2:$BU$139,43,0)</f>
        <v>7</v>
      </c>
      <c r="U107" s="188" t="n">
        <f aca="false">VLOOKUP($C107,PalData!$A$2:$BU$139,54,0)</f>
        <v>840</v>
      </c>
      <c r="V107" s="191" t="n">
        <f aca="false">VLOOKUP($C107,PalData!$A$2:$BU$139,19,0)</f>
        <v>120</v>
      </c>
      <c r="W107" s="191" t="n">
        <f aca="false">VLOOKUP($C107,PalData!$A$2:$BU$139,20,0)</f>
        <v>80</v>
      </c>
      <c r="X107" s="191" t="n">
        <f aca="false">VLOOKUP($C107,PalData!$A$2:$BU$139,21,0)</f>
        <v>95</v>
      </c>
      <c r="Y107" s="191" t="n">
        <f aca="false">VLOOKUP($C107,PalData!$A$2:$BU$139,22,0)</f>
        <v>100</v>
      </c>
      <c r="Z107" s="192" t="n">
        <f aca="false">VLOOKUP($C107,PalData!$A$2:$BU$139,28,0)</f>
        <v>3110</v>
      </c>
      <c r="AA107" s="193" t="n">
        <f aca="false" t="array" ref="AA107:AA107">INDEX(PalData,MATCH(C107,PalNames,0)+1,MATCH("Stamina",PalData_Header,0))</f>
        <v>100</v>
      </c>
      <c r="AB107" s="193" t="n">
        <f aca="false">VLOOKUP($C107,PalData!$A$2:$BU$139,32,0)</f>
        <v>75</v>
      </c>
      <c r="AC107" s="193" t="n">
        <f aca="false">VLOOKUP($C107,PalData!$A$2:$BU$139,33,0)</f>
        <v>350</v>
      </c>
      <c r="AD107" s="193" t="n">
        <f aca="false" t="array" ref="AD107:AD107">IF(INDEX(PalData,MATCH(C107,PalNames,0)+1,MATCH("Mount",PalData_Header,0)),INDEX(PalData,MATCH(C107,PalNames,0)+1,MATCH("RideSprintSpeed",PalData_Header,0)),)</f>
        <v>500</v>
      </c>
      <c r="AE107" s="193" t="n">
        <f aca="false">IF(R107&gt;0, INDEX(PalData,MATCH(C107,PalNames,0)+1,MATCH("TransportSpeed",PalData_Header,0)),)</f>
        <v>0</v>
      </c>
      <c r="AF107" s="198" t="n">
        <f aca="false">VLOOKUP($C107,PalData!$A$2:$BU$139,26,0)</f>
        <v>1</v>
      </c>
      <c r="AG107" s="195" t="n">
        <f aca="false" t="array" ref="AG107:AG107">INDEX(PalData,MATCH(C107,PalNames,0)+1,MATCH("MaleProbability",PalData_Header,0))</f>
        <v>50</v>
      </c>
    </row>
    <row r="108" customFormat="false" ht="26.25" hidden="false" customHeight="true" outlineLevel="0" collapsed="false">
      <c r="A108" s="196" t="n">
        <f aca="false">VLOOKUP($C108,PalData!$A$2:$BU$139,9,0)</f>
        <v>87</v>
      </c>
      <c r="B108" s="197" t="n">
        <f aca="false">INDEX(PalData,MATCH(C108,PalNames,0)+1,MATCH("ZukanIndexSuffix",PalData_Header,0))</f>
        <v>0</v>
      </c>
      <c r="C108" s="185" t="s">
        <v>116</v>
      </c>
      <c r="D108" s="186" t="n">
        <f aca="false">IFERROR(INDEX(PalData,MATCH(C108,PalNames,0)+1,MATCH("Image",PalData_Header,0)),)</f>
        <v>0</v>
      </c>
      <c r="E108" s="187" t="str">
        <f aca="false">IFERROR(__xludf.dummyfunction("SPLIT(VLOOKUP($C108,PalData!$A$2:$BU$139,13,0),""EPalElementType::"",0,1)"),"Leaf")</f>
        <v>Leaf</v>
      </c>
      <c r="F108" s="187" t="str">
        <f aca="false">IFERROR(__xludf.dummyfunction("if(SPLIT(VLOOKUP($C108,PalData!$A$2:$BU$139,14,0),""EPalElementType::"",0,1)=""None"","""",SPLIT(VLOOKUP($C108,PalData!$A$2:$BU$139,14,0),""EPalElementType::"",0,1))"),"")</f>
        <v/>
      </c>
      <c r="G108" s="188" t="str">
        <f aca="false">IF(VLOOKUP($C108,PalData!$A$2:$BU$139,48,0),"🌜","")</f>
        <v/>
      </c>
      <c r="H108" s="189" t="n">
        <f aca="false">VLOOKUP($C108,PalData!$A$2:$BU$139,55,0)</f>
        <v>0</v>
      </c>
      <c r="I108" s="189" t="n">
        <f aca="false">VLOOKUP($C108,PalData!$A$2:$BU$139,56,0)</f>
        <v>0</v>
      </c>
      <c r="J108" s="189" t="n">
        <f aca="false">VLOOKUP($C108,PalData!$A$2:$BU$139,57,0)</f>
        <v>3</v>
      </c>
      <c r="K108" s="189" t="n">
        <f aca="false">VLOOKUP($C108,PalData!$A$2:$BU$139,58,0)</f>
        <v>0</v>
      </c>
      <c r="L108" s="189" t="n">
        <f aca="false">VLOOKUP($C108,PalData!$A$2:$BU$139,59,0)</f>
        <v>2</v>
      </c>
      <c r="M108" s="189" t="n">
        <f aca="false">VLOOKUP($C108,PalData!$A$2:$BU$139,60,0)</f>
        <v>2</v>
      </c>
      <c r="N108" s="189" t="n">
        <f aca="false">VLOOKUP($C108,PalData!$A$2:$BU$139,61,0)</f>
        <v>0</v>
      </c>
      <c r="O108" s="189" t="n">
        <f aca="false">VLOOKUP($C108,PalData!$A$2:$BU$139,62,0)</f>
        <v>0</v>
      </c>
      <c r="P108" s="189" t="n">
        <f aca="false">VLOOKUP($C108,PalData!$A$2:$BU$139,64,0)</f>
        <v>2</v>
      </c>
      <c r="Q108" s="189" t="n">
        <f aca="false">VLOOKUP($C108,PalData!$A$2:$BU$139,65,0)</f>
        <v>0</v>
      </c>
      <c r="R108" s="189" t="n">
        <f aca="false">VLOOKUP($C108,PalData!$A$2:$BU$139,66,0)</f>
        <v>1</v>
      </c>
      <c r="S108" s="189" t="n">
        <f aca="false">VLOOKUP($C108,PalData!$A$2:$BU$139,67,0)</f>
        <v>0</v>
      </c>
      <c r="T108" s="190" t="n">
        <f aca="false">VLOOKUP($C108,PalData!$A$2:$BU$139,43,0)</f>
        <v>3</v>
      </c>
      <c r="U108" s="188" t="n">
        <f aca="false">VLOOKUP($C108,PalData!$A$2:$BU$139,54,0)</f>
        <v>780</v>
      </c>
      <c r="V108" s="191" t="n">
        <f aca="false">VLOOKUP($C108,PalData!$A$2:$BU$139,19,0)</f>
        <v>100</v>
      </c>
      <c r="W108" s="191" t="n">
        <f aca="false">VLOOKUP($C108,PalData!$A$2:$BU$139,20,0)</f>
        <v>100</v>
      </c>
      <c r="X108" s="191" t="n">
        <f aca="false">VLOOKUP($C108,PalData!$A$2:$BU$139,21,0)</f>
        <v>95</v>
      </c>
      <c r="Y108" s="191" t="n">
        <f aca="false">VLOOKUP($C108,PalData!$A$2:$BU$139,22,0)</f>
        <v>100</v>
      </c>
      <c r="Z108" s="192" t="n">
        <f aca="false">VLOOKUP($C108,PalData!$A$2:$BU$139,28,0)</f>
        <v>3590</v>
      </c>
      <c r="AA108" s="193" t="n">
        <f aca="false" t="array" ref="AA108:AA108">INDEX(PalData,MATCH(C108,PalNames,0)+1,MATCH("Stamina",PalData_Header,0))</f>
        <v>100</v>
      </c>
      <c r="AB108" s="193" t="n">
        <f aca="false">VLOOKUP($C108,PalData!$A$2:$BU$139,32,0)</f>
        <v>150</v>
      </c>
      <c r="AC108" s="193" t="n">
        <f aca="false">VLOOKUP($C108,PalData!$A$2:$BU$139,33,0)</f>
        <v>550</v>
      </c>
      <c r="AD108" s="193" t="n">
        <f aca="false">IF(INDEX(PalData,MATCH(C108,PalNames,0)+1,MATCH("Mount",PalData_Header,0)),INDEX(PalData,MATCH(C108,PalNames,0)+1,MATCH("RideSprintSpeed",PalData_Header,0)),)</f>
        <v>0</v>
      </c>
      <c r="AE108" s="193" t="n">
        <f aca="false" t="array" ref="AE108:AE108">IF(R108&gt;0, INDEX(PalData,MATCH(C108,PalNames,0)+1,MATCH("TransportSpeed",PalData_Header,0)),)</f>
        <v>350</v>
      </c>
      <c r="AF108" s="198" t="n">
        <f aca="false">VLOOKUP($C108,PalData!$A$2:$BU$139,26,0)</f>
        <v>1</v>
      </c>
      <c r="AG108" s="195" t="n">
        <f aca="false" t="array" ref="AG108:AG108">INDEX(PalData,MATCH(C108,PalNames,0)+1,MATCH("MaleProbability",PalData_Header,0))</f>
        <v>50</v>
      </c>
    </row>
    <row r="109" customFormat="false" ht="26.25" hidden="false" customHeight="true" outlineLevel="0" collapsed="false">
      <c r="A109" s="196" t="n">
        <f aca="false">VLOOKUP($C109,PalData!$A$2:$BU$139,9,0)</f>
        <v>88</v>
      </c>
      <c r="B109" s="197" t="n">
        <f aca="false">INDEX(PalData,MATCH(C109,PalNames,0)+1,MATCH("ZukanIndexSuffix",PalData_Header,0))</f>
        <v>0</v>
      </c>
      <c r="C109" s="185" t="s">
        <v>124</v>
      </c>
      <c r="D109" s="186" t="n">
        <f aca="false">IFERROR(INDEX(PalData,MATCH(C109,PalNames,0)+1,MATCH("Image",PalData_Header,0)),)</f>
        <v>0</v>
      </c>
      <c r="E109" s="187" t="str">
        <f aca="false">IFERROR(__xludf.dummyfunction("SPLIT(VLOOKUP($C109,PalData!$A$2:$BU$139,13,0),""EPalElementType::"",0,1)"),"Fire")</f>
        <v>Fire</v>
      </c>
      <c r="F109" s="187" t="str">
        <f aca="false">IFERROR(__xludf.dummyfunction("if(SPLIT(VLOOKUP($C109,PalData!$A$2:$BU$139,14,0),""EPalElementType::"",0,1)=""None"","""",SPLIT(VLOOKUP($C109,PalData!$A$2:$BU$139,14,0),""EPalElementType::"",0,1))"),"Earth")</f>
        <v>Earth</v>
      </c>
      <c r="G109" s="188" t="str">
        <f aca="false">IF(VLOOKUP($C109,PalData!$A$2:$BU$139,48,0),"🌜","")</f>
        <v/>
      </c>
      <c r="H109" s="189" t="n">
        <f aca="false">VLOOKUP($C109,PalData!$A$2:$BU$139,55,0)</f>
        <v>3</v>
      </c>
      <c r="I109" s="189" t="n">
        <f aca="false">VLOOKUP($C109,PalData!$A$2:$BU$139,56,0)</f>
        <v>0</v>
      </c>
      <c r="J109" s="189" t="n">
        <f aca="false">VLOOKUP($C109,PalData!$A$2:$BU$139,57,0)</f>
        <v>0</v>
      </c>
      <c r="K109" s="189" t="n">
        <f aca="false">VLOOKUP($C109,PalData!$A$2:$BU$139,58,0)</f>
        <v>0</v>
      </c>
      <c r="L109" s="189" t="n">
        <f aca="false">VLOOKUP($C109,PalData!$A$2:$BU$139,59,0)</f>
        <v>0</v>
      </c>
      <c r="M109" s="189" t="n">
        <f aca="false">VLOOKUP($C109,PalData!$A$2:$BU$139,60,0)</f>
        <v>0</v>
      </c>
      <c r="N109" s="189" t="n">
        <f aca="false">VLOOKUP($C109,PalData!$A$2:$BU$139,61,0)</f>
        <v>0</v>
      </c>
      <c r="O109" s="189" t="n">
        <f aca="false">VLOOKUP($C109,PalData!$A$2:$BU$139,62,0)</f>
        <v>3</v>
      </c>
      <c r="P109" s="189" t="n">
        <f aca="false">VLOOKUP($C109,PalData!$A$2:$BU$139,64,0)</f>
        <v>0</v>
      </c>
      <c r="Q109" s="189" t="n">
        <f aca="false">VLOOKUP($C109,PalData!$A$2:$BU$139,65,0)</f>
        <v>0</v>
      </c>
      <c r="R109" s="189" t="n">
        <f aca="false">VLOOKUP($C109,PalData!$A$2:$BU$139,66,0)</f>
        <v>0</v>
      </c>
      <c r="S109" s="189" t="n">
        <f aca="false">VLOOKUP($C109,PalData!$A$2:$BU$139,67,0)</f>
        <v>0</v>
      </c>
      <c r="T109" s="190" t="n">
        <f aca="false">VLOOKUP($C109,PalData!$A$2:$BU$139,43,0)</f>
        <v>5</v>
      </c>
      <c r="U109" s="188" t="n">
        <f aca="false">VLOOKUP($C109,PalData!$A$2:$BU$139,54,0)</f>
        <v>320</v>
      </c>
      <c r="V109" s="191" t="n">
        <f aca="false">VLOOKUP($C109,PalData!$A$2:$BU$139,19,0)</f>
        <v>110</v>
      </c>
      <c r="W109" s="191" t="n">
        <f aca="false">VLOOKUP($C109,PalData!$A$2:$BU$139,20,0)</f>
        <v>100</v>
      </c>
      <c r="X109" s="191" t="n">
        <f aca="false">VLOOKUP($C109,PalData!$A$2:$BU$139,21,0)</f>
        <v>105</v>
      </c>
      <c r="Y109" s="191" t="n">
        <f aca="false">VLOOKUP($C109,PalData!$A$2:$BU$139,22,0)</f>
        <v>120</v>
      </c>
      <c r="Z109" s="192" t="n">
        <f aca="false">VLOOKUP($C109,PalData!$A$2:$BU$139,28,0)</f>
        <v>6940</v>
      </c>
      <c r="AA109" s="193" t="n">
        <f aca="false" t="array" ref="AA109:AA109">INDEX(PalData,MATCH(C109,PalNames,0)+1,MATCH("Stamina",PalData_Header,0))</f>
        <v>100</v>
      </c>
      <c r="AB109" s="193" t="n">
        <f aca="false">VLOOKUP($C109,PalData!$A$2:$BU$139,32,0)</f>
        <v>80</v>
      </c>
      <c r="AC109" s="193" t="n">
        <f aca="false">VLOOKUP($C109,PalData!$A$2:$BU$139,33,0)</f>
        <v>390</v>
      </c>
      <c r="AD109" s="193" t="n">
        <f aca="false" t="array" ref="AD109:AD109">IF(INDEX(PalData,MATCH(C109,PalNames,0)+1,MATCH("Mount",PalData_Header,0)),INDEX(PalData,MATCH(C109,PalNames,0)+1,MATCH("RideSprintSpeed",PalData_Header,0)),)</f>
        <v>550</v>
      </c>
      <c r="AE109" s="193" t="n">
        <f aca="false">IF(R109&gt;0, INDEX(PalData,MATCH(C109,PalNames,0)+1,MATCH("TransportSpeed",PalData_Header,0)),)</f>
        <v>0</v>
      </c>
      <c r="AF109" s="198" t="n">
        <f aca="false">VLOOKUP($C109,PalData!$A$2:$BU$139,26,0)</f>
        <v>1</v>
      </c>
      <c r="AG109" s="195" t="n">
        <f aca="false" t="array" ref="AG109:AG109">INDEX(PalData,MATCH(C109,PalNames,0)+1,MATCH("MaleProbability",PalData_Header,0))</f>
        <v>50</v>
      </c>
    </row>
    <row r="110" customFormat="false" ht="26.25" hidden="false" customHeight="true" outlineLevel="0" collapsed="false">
      <c r="A110" s="196" t="n">
        <f aca="false">VLOOKUP($C110,PalData!$A$2:$BU$139,9,0)</f>
        <v>88</v>
      </c>
      <c r="B110" s="197" t="str">
        <f aca="false" t="array" ref="B110:B110">INDEX(PalData,MATCH(C110,PalNames,0)+1,MATCH("ZukanIndexSuffix",PalData_Header,0))</f>
        <v>B</v>
      </c>
      <c r="C110" s="185" t="s">
        <v>76</v>
      </c>
      <c r="D110" s="186" t="n">
        <f aca="false">IFERROR(INDEX(PalData,MATCH(C110,PalNames,0)+1,MATCH("Image",PalData_Header,0)),)</f>
        <v>0</v>
      </c>
      <c r="E110" s="187" t="str">
        <f aca="false">IFERROR(__xludf.dummyfunction("SPLIT(VLOOKUP($C110,PalData!$A$2:$BU$139,13,0),""EPalElementType::"",0,1)"),"Ice")</f>
        <v>Ice</v>
      </c>
      <c r="F110" s="187" t="str">
        <f aca="false">IFERROR(__xludf.dummyfunction("if(SPLIT(VLOOKUP($C110,PalData!$A$2:$BU$139,14,0),""EPalElementType::"",0,1)=""None"","""",SPLIT(VLOOKUP($C110,PalData!$A$2:$BU$139,14,0),""EPalElementType::"",0,1))"),"Earth")</f>
        <v>Earth</v>
      </c>
      <c r="G110" s="188" t="str">
        <f aca="false">IF(VLOOKUP($C110,PalData!$A$2:$BU$139,48,0),"🌜","")</f>
        <v/>
      </c>
      <c r="H110" s="189" t="n">
        <f aca="false">VLOOKUP($C110,PalData!$A$2:$BU$139,55,0)</f>
        <v>0</v>
      </c>
      <c r="I110" s="189" t="n">
        <f aca="false">VLOOKUP($C110,PalData!$A$2:$BU$139,56,0)</f>
        <v>0</v>
      </c>
      <c r="J110" s="189" t="n">
        <f aca="false">VLOOKUP($C110,PalData!$A$2:$BU$139,57,0)</f>
        <v>0</v>
      </c>
      <c r="K110" s="189" t="n">
        <f aca="false">VLOOKUP($C110,PalData!$A$2:$BU$139,58,0)</f>
        <v>0</v>
      </c>
      <c r="L110" s="189" t="n">
        <f aca="false">VLOOKUP($C110,PalData!$A$2:$BU$139,59,0)</f>
        <v>0</v>
      </c>
      <c r="M110" s="189" t="n">
        <f aca="false">VLOOKUP($C110,PalData!$A$2:$BU$139,60,0)</f>
        <v>0</v>
      </c>
      <c r="N110" s="189" t="n">
        <f aca="false">VLOOKUP($C110,PalData!$A$2:$BU$139,61,0)</f>
        <v>0</v>
      </c>
      <c r="O110" s="189" t="n">
        <f aca="false">VLOOKUP($C110,PalData!$A$2:$BU$139,62,0)</f>
        <v>3</v>
      </c>
      <c r="P110" s="189" t="n">
        <f aca="false">VLOOKUP($C110,PalData!$A$2:$BU$139,64,0)</f>
        <v>0</v>
      </c>
      <c r="Q110" s="189" t="n">
        <f aca="false">VLOOKUP($C110,PalData!$A$2:$BU$139,65,0)</f>
        <v>3</v>
      </c>
      <c r="R110" s="189" t="n">
        <f aca="false">VLOOKUP($C110,PalData!$A$2:$BU$139,66,0)</f>
        <v>0</v>
      </c>
      <c r="S110" s="189" t="n">
        <f aca="false">VLOOKUP($C110,PalData!$A$2:$BU$139,67,0)</f>
        <v>0</v>
      </c>
      <c r="T110" s="190" t="n">
        <f aca="false">VLOOKUP($C110,PalData!$A$2:$BU$139,43,0)</f>
        <v>5</v>
      </c>
      <c r="U110" s="188" t="n">
        <f aca="false">VLOOKUP($C110,PalData!$A$2:$BU$139,54,0)</f>
        <v>230</v>
      </c>
      <c r="V110" s="191" t="n">
        <f aca="false">VLOOKUP($C110,PalData!$A$2:$BU$139,19,0)</f>
        <v>110</v>
      </c>
      <c r="W110" s="191" t="n">
        <f aca="false">VLOOKUP($C110,PalData!$A$2:$BU$139,20,0)</f>
        <v>100</v>
      </c>
      <c r="X110" s="191" t="n">
        <f aca="false">VLOOKUP($C110,PalData!$A$2:$BU$139,21,0)</f>
        <v>105</v>
      </c>
      <c r="Y110" s="191" t="n">
        <f aca="false">VLOOKUP($C110,PalData!$A$2:$BU$139,22,0)</f>
        <v>130</v>
      </c>
      <c r="Z110" s="192" t="n">
        <f aca="false">VLOOKUP($C110,PalData!$A$2:$BU$139,28,0)</f>
        <v>7380</v>
      </c>
      <c r="AA110" s="193" t="n">
        <f aca="false" t="array" ref="AA110:AA110">INDEX(PalData,MATCH(C110,PalNames,0)+1,MATCH("Stamina",PalData_Header,0))</f>
        <v>100</v>
      </c>
      <c r="AB110" s="193" t="n">
        <f aca="false">VLOOKUP($C110,PalData!$A$2:$BU$139,32,0)</f>
        <v>80</v>
      </c>
      <c r="AC110" s="193" t="n">
        <f aca="false">VLOOKUP($C110,PalData!$A$2:$BU$139,33,0)</f>
        <v>390</v>
      </c>
      <c r="AD110" s="193" t="n">
        <f aca="false" t="array" ref="AD110:AD110">IF(INDEX(PalData,MATCH(C110,PalNames,0)+1,MATCH("Mount",PalData_Header,0)),INDEX(PalData,MATCH(C110,PalNames,0)+1,MATCH("RideSprintSpeed",PalData_Header,0)),)</f>
        <v>550</v>
      </c>
      <c r="AE110" s="193" t="n">
        <f aca="false">IF(R110&gt;0, INDEX(PalData,MATCH(C110,PalNames,0)+1,MATCH("TransportSpeed",PalData_Header,0)),)</f>
        <v>0</v>
      </c>
      <c r="AF110" s="198" t="n">
        <f aca="false">VLOOKUP($C110,PalData!$A$2:$BU$139,26,0)</f>
        <v>1</v>
      </c>
      <c r="AG110" s="195" t="n">
        <f aca="false" t="array" ref="AG110:AG110">INDEX(PalData,MATCH(C110,PalNames,0)+1,MATCH("MaleProbability",PalData_Header,0))</f>
        <v>50</v>
      </c>
    </row>
    <row r="111" customFormat="false" ht="26.25" hidden="false" customHeight="true" outlineLevel="0" collapsed="false">
      <c r="A111" s="196" t="n">
        <f aca="false">VLOOKUP($C111,PalData!$A$2:$BU$139,9,0)</f>
        <v>89</v>
      </c>
      <c r="B111" s="197" t="n">
        <f aca="false">INDEX(PalData,MATCH(C111,PalNames,0)+1,MATCH("ZukanIndexSuffix",PalData_Header,0))</f>
        <v>0</v>
      </c>
      <c r="C111" s="185" t="s">
        <v>88</v>
      </c>
      <c r="D111" s="186" t="n">
        <f aca="false">IFERROR(INDEX(PalData,MATCH(C111,PalNames,0)+1,MATCH("Image",PalData_Header,0)),)</f>
        <v>0</v>
      </c>
      <c r="E111" s="187" t="str">
        <f aca="false">IFERROR(__xludf.dummyfunction("SPLIT(VLOOKUP($C111,PalData!$A$2:$BU$139,13,0),""EPalElementType::"",0,1)"),"Normal")</f>
        <v>Normal</v>
      </c>
      <c r="F111" s="187" t="str">
        <f aca="false">IFERROR(__xludf.dummyfunction("if(SPLIT(VLOOKUP($C111,PalData!$A$2:$BU$139,14,0),""EPalElementType::"",0,1)=""None"","""",SPLIT(VLOOKUP($C111,PalData!$A$2:$BU$139,14,0),""EPalElementType::"",0,1))"),"")</f>
        <v/>
      </c>
      <c r="G111" s="188" t="str">
        <f aca="false">IF(VLOOKUP($C111,PalData!$A$2:$BU$139,48,0),"🌜","")</f>
        <v/>
      </c>
      <c r="H111" s="189" t="n">
        <f aca="false">VLOOKUP($C111,PalData!$A$2:$BU$139,55,0)</f>
        <v>0</v>
      </c>
      <c r="I111" s="189" t="n">
        <f aca="false">VLOOKUP($C111,PalData!$A$2:$BU$139,56,0)</f>
        <v>0</v>
      </c>
      <c r="J111" s="189" t="n">
        <f aca="false">VLOOKUP($C111,PalData!$A$2:$BU$139,57,0)</f>
        <v>0</v>
      </c>
      <c r="K111" s="189" t="n">
        <f aca="false">VLOOKUP($C111,PalData!$A$2:$BU$139,58,0)</f>
        <v>0</v>
      </c>
      <c r="L111" s="189" t="n">
        <f aca="false">VLOOKUP($C111,PalData!$A$2:$BU$139,59,0)</f>
        <v>0</v>
      </c>
      <c r="M111" s="189" t="n">
        <f aca="false">VLOOKUP($C111,PalData!$A$2:$BU$139,60,0)</f>
        <v>1</v>
      </c>
      <c r="N111" s="189" t="n">
        <f aca="false">VLOOKUP($C111,PalData!$A$2:$BU$139,61,0)</f>
        <v>0</v>
      </c>
      <c r="O111" s="189" t="n">
        <f aca="false">VLOOKUP($C111,PalData!$A$2:$BU$139,62,0)</f>
        <v>0</v>
      </c>
      <c r="P111" s="189" t="n">
        <f aca="false">VLOOKUP($C111,PalData!$A$2:$BU$139,64,0)</f>
        <v>0</v>
      </c>
      <c r="Q111" s="189" t="n">
        <f aca="false">VLOOKUP($C111,PalData!$A$2:$BU$139,65,0)</f>
        <v>0</v>
      </c>
      <c r="R111" s="189" t="n">
        <f aca="false">VLOOKUP($C111,PalData!$A$2:$BU$139,66,0)</f>
        <v>0</v>
      </c>
      <c r="S111" s="189" t="n">
        <f aca="false">VLOOKUP($C111,PalData!$A$2:$BU$139,67,0)</f>
        <v>0</v>
      </c>
      <c r="T111" s="190" t="n">
        <f aca="false">VLOOKUP($C111,PalData!$A$2:$BU$139,43,0)</f>
        <v>7</v>
      </c>
      <c r="U111" s="188" t="n">
        <f aca="false">VLOOKUP($C111,PalData!$A$2:$BU$139,54,0)</f>
        <v>470</v>
      </c>
      <c r="V111" s="191" t="n">
        <f aca="false">VLOOKUP($C111,PalData!$A$2:$BU$139,19,0)</f>
        <v>120</v>
      </c>
      <c r="W111" s="191" t="n">
        <f aca="false">VLOOKUP($C111,PalData!$A$2:$BU$139,20,0)</f>
        <v>100</v>
      </c>
      <c r="X111" s="191" t="n">
        <f aca="false">VLOOKUP($C111,PalData!$A$2:$BU$139,21,0)</f>
        <v>85</v>
      </c>
      <c r="Y111" s="191" t="n">
        <f aca="false">VLOOKUP($C111,PalData!$A$2:$BU$139,22,0)</f>
        <v>90</v>
      </c>
      <c r="Z111" s="192" t="n">
        <f aca="false">VLOOKUP($C111,PalData!$A$2:$BU$139,28,0)</f>
        <v>5800</v>
      </c>
      <c r="AA111" s="193" t="n">
        <f aca="false" t="array" ref="AA111:AA111">INDEX(PalData,MATCH(C111,PalNames,0)+1,MATCH("Stamina",PalData_Header,0))</f>
        <v>100</v>
      </c>
      <c r="AB111" s="193" t="n">
        <f aca="false">VLOOKUP($C111,PalData!$A$2:$BU$139,32,0)</f>
        <v>80</v>
      </c>
      <c r="AC111" s="193" t="n">
        <f aca="false">VLOOKUP($C111,PalData!$A$2:$BU$139,33,0)</f>
        <v>500</v>
      </c>
      <c r="AD111" s="193" t="n">
        <f aca="false" t="array" ref="AD111:AD111">IF(INDEX(PalData,MATCH(C111,PalNames,0)+1,MATCH("Mount",PalData_Header,0)),INDEX(PalData,MATCH(C111,PalNames,0)+1,MATCH("RideSprintSpeed",PalData_Header,0)),)</f>
        <v>700</v>
      </c>
      <c r="AE111" s="193" t="n">
        <f aca="false">IF(R111&gt;0, INDEX(PalData,MATCH(C111,PalNames,0)+1,MATCH("TransportSpeed",PalData_Header,0)),)</f>
        <v>0</v>
      </c>
      <c r="AF111" s="198" t="n">
        <f aca="false">VLOOKUP($C111,PalData!$A$2:$BU$139,26,0)</f>
        <v>1</v>
      </c>
      <c r="AG111" s="195" t="n">
        <f aca="false" t="array" ref="AG111:AG111">INDEX(PalData,MATCH(C111,PalNames,0)+1,MATCH("MaleProbability",PalData_Header,0))</f>
        <v>90</v>
      </c>
    </row>
    <row r="112" customFormat="false" ht="26.25" hidden="false" customHeight="true" outlineLevel="0" collapsed="false">
      <c r="A112" s="196" t="n">
        <f aca="false">VLOOKUP($C112,PalData!$A$2:$BU$139,9,0)</f>
        <v>89</v>
      </c>
      <c r="B112" s="197" t="str">
        <f aca="false" t="array" ref="B112:B112">INDEX(PalData,MATCH(C112,PalNames,0)+1,MATCH("ZukanIndexSuffix",PalData_Header,0))</f>
        <v>B</v>
      </c>
      <c r="C112" s="185" t="s">
        <v>75</v>
      </c>
      <c r="D112" s="186" t="n">
        <f aca="false">IFERROR(INDEX(PalData,MATCH(C112,PalNames,0)+1,MATCH("Image",PalData_Header,0)),)</f>
        <v>0</v>
      </c>
      <c r="E112" s="187" t="str">
        <f aca="false">IFERROR(__xludf.dummyfunction("SPLIT(VLOOKUP($C112,PalData!$A$2:$BU$139,13,0),""EPalElementType::"",0,1)"),"Ice")</f>
        <v>Ice</v>
      </c>
      <c r="F112" s="187" t="str">
        <f aca="false">IFERROR(__xludf.dummyfunction("if(SPLIT(VLOOKUP($C112,PalData!$A$2:$BU$139,14,0),""EPalElementType::"",0,1)=""None"","""",SPLIT(VLOOKUP($C112,PalData!$A$2:$BU$139,14,0),""EPalElementType::"",0,1))"),"")</f>
        <v/>
      </c>
      <c r="G112" s="188" t="str">
        <f aca="false">IF(VLOOKUP($C112,PalData!$A$2:$BU$139,48,0),"🌜","")</f>
        <v/>
      </c>
      <c r="H112" s="189" t="n">
        <f aca="false">VLOOKUP($C112,PalData!$A$2:$BU$139,55,0)</f>
        <v>0</v>
      </c>
      <c r="I112" s="189" t="n">
        <f aca="false">VLOOKUP($C112,PalData!$A$2:$BU$139,56,0)</f>
        <v>0</v>
      </c>
      <c r="J112" s="189" t="n">
        <f aca="false">VLOOKUP($C112,PalData!$A$2:$BU$139,57,0)</f>
        <v>0</v>
      </c>
      <c r="K112" s="189" t="n">
        <f aca="false">VLOOKUP($C112,PalData!$A$2:$BU$139,58,0)</f>
        <v>0</v>
      </c>
      <c r="L112" s="189" t="n">
        <f aca="false">VLOOKUP($C112,PalData!$A$2:$BU$139,59,0)</f>
        <v>0</v>
      </c>
      <c r="M112" s="189" t="n">
        <f aca="false">VLOOKUP($C112,PalData!$A$2:$BU$139,60,0)</f>
        <v>1</v>
      </c>
      <c r="N112" s="189" t="n">
        <f aca="false">VLOOKUP($C112,PalData!$A$2:$BU$139,61,0)</f>
        <v>0</v>
      </c>
      <c r="O112" s="189" t="n">
        <f aca="false">VLOOKUP($C112,PalData!$A$2:$BU$139,62,0)</f>
        <v>0</v>
      </c>
      <c r="P112" s="189" t="n">
        <f aca="false">VLOOKUP($C112,PalData!$A$2:$BU$139,64,0)</f>
        <v>0</v>
      </c>
      <c r="Q112" s="189" t="n">
        <f aca="false">VLOOKUP($C112,PalData!$A$2:$BU$139,65,0)</f>
        <v>3</v>
      </c>
      <c r="R112" s="189" t="n">
        <f aca="false">VLOOKUP($C112,PalData!$A$2:$BU$139,66,0)</f>
        <v>0</v>
      </c>
      <c r="S112" s="189" t="n">
        <f aca="false">VLOOKUP($C112,PalData!$A$2:$BU$139,67,0)</f>
        <v>0</v>
      </c>
      <c r="T112" s="190" t="n">
        <f aca="false">VLOOKUP($C112,PalData!$A$2:$BU$139,43,0)</f>
        <v>7</v>
      </c>
      <c r="U112" s="188" t="n">
        <f aca="false">VLOOKUP($C112,PalData!$A$2:$BU$139,54,0)</f>
        <v>440</v>
      </c>
      <c r="V112" s="191" t="n">
        <f aca="false">VLOOKUP($C112,PalData!$A$2:$BU$139,19,0)</f>
        <v>120</v>
      </c>
      <c r="W112" s="191" t="n">
        <f aca="false">VLOOKUP($C112,PalData!$A$2:$BU$139,20,0)</f>
        <v>100</v>
      </c>
      <c r="X112" s="191" t="n">
        <f aca="false">VLOOKUP($C112,PalData!$A$2:$BU$139,21,0)</f>
        <v>85</v>
      </c>
      <c r="Y112" s="191" t="n">
        <f aca="false">VLOOKUP($C112,PalData!$A$2:$BU$139,22,0)</f>
        <v>90</v>
      </c>
      <c r="Z112" s="192" t="n">
        <f aca="false">VLOOKUP($C112,PalData!$A$2:$BU$139,28,0)</f>
        <v>6100</v>
      </c>
      <c r="AA112" s="193" t="n">
        <f aca="false" t="array" ref="AA112:AA112">INDEX(PalData,MATCH(C112,PalNames,0)+1,MATCH("Stamina",PalData_Header,0))</f>
        <v>100</v>
      </c>
      <c r="AB112" s="193" t="n">
        <f aca="false">VLOOKUP($C112,PalData!$A$2:$BU$139,32,0)</f>
        <v>80</v>
      </c>
      <c r="AC112" s="193" t="n">
        <f aca="false">VLOOKUP($C112,PalData!$A$2:$BU$139,33,0)</f>
        <v>500</v>
      </c>
      <c r="AD112" s="193" t="n">
        <f aca="false" t="array" ref="AD112:AD112">IF(INDEX(PalData,MATCH(C112,PalNames,0)+1,MATCH("Mount",PalData_Header,0)),INDEX(PalData,MATCH(C112,PalNames,0)+1,MATCH("RideSprintSpeed",PalData_Header,0)),)</f>
        <v>700</v>
      </c>
      <c r="AE112" s="193" t="n">
        <f aca="false">IF(R112&gt;0, INDEX(PalData,MATCH(C112,PalNames,0)+1,MATCH("TransportSpeed",PalData_Header,0)),)</f>
        <v>0</v>
      </c>
      <c r="AF112" s="198" t="n">
        <f aca="false">VLOOKUP($C112,PalData!$A$2:$BU$139,26,0)</f>
        <v>1</v>
      </c>
      <c r="AG112" s="195" t="n">
        <f aca="false" t="array" ref="AG112:AG112">INDEX(PalData,MATCH(C112,PalNames,0)+1,MATCH("MaleProbability",PalData_Header,0))</f>
        <v>90</v>
      </c>
    </row>
    <row r="113" customFormat="false" ht="26.25" hidden="false" customHeight="true" outlineLevel="0" collapsed="false">
      <c r="A113" s="196" t="n">
        <f aca="false">VLOOKUP($C113,PalData!$A$2:$BU$139,9,0)</f>
        <v>90</v>
      </c>
      <c r="B113" s="197" t="n">
        <f aca="false">INDEX(PalData,MATCH(C113,PalNames,0)+1,MATCH("ZukanIndexSuffix",PalData_Header,0))</f>
        <v>0</v>
      </c>
      <c r="C113" s="185" t="s">
        <v>99</v>
      </c>
      <c r="D113" s="186" t="n">
        <f aca="false">IFERROR(INDEX(PalData,MATCH(C113,PalNames,0)+1,MATCH("Image",PalData_Header,0)),)</f>
        <v>0</v>
      </c>
      <c r="E113" s="187" t="str">
        <f aca="false">IFERROR(__xludf.dummyfunction("SPLIT(VLOOKUP($C113,PalData!$A$2:$BU$139,13,0),""EPalElementType::"",0,1)"),"Leaf")</f>
        <v>Leaf</v>
      </c>
      <c r="F113" s="187" t="str">
        <f aca="false">IFERROR(__xludf.dummyfunction("if(SPLIT(VLOOKUP($C113,PalData!$A$2:$BU$139,14,0),""EPalElementType::"",0,1)=""None"","""",SPLIT(VLOOKUP($C113,PalData!$A$2:$BU$139,14,0),""EPalElementType::"",0,1))"),"")</f>
        <v/>
      </c>
      <c r="G113" s="188" t="str">
        <f aca="false">IF(VLOOKUP($C113,PalData!$A$2:$BU$139,48,0),"🌜","")</f>
        <v/>
      </c>
      <c r="H113" s="189" t="n">
        <f aca="false">VLOOKUP($C113,PalData!$A$2:$BU$139,55,0)</f>
        <v>0</v>
      </c>
      <c r="I113" s="189" t="n">
        <f aca="false">VLOOKUP($C113,PalData!$A$2:$BU$139,56,0)</f>
        <v>0</v>
      </c>
      <c r="J113" s="189" t="n">
        <f aca="false">VLOOKUP($C113,PalData!$A$2:$BU$139,57,0)</f>
        <v>2</v>
      </c>
      <c r="K113" s="189" t="n">
        <f aca="false">VLOOKUP($C113,PalData!$A$2:$BU$139,58,0)</f>
        <v>0</v>
      </c>
      <c r="L113" s="189" t="n">
        <f aca="false">VLOOKUP($C113,PalData!$A$2:$BU$139,59,0)</f>
        <v>0</v>
      </c>
      <c r="M113" s="189" t="n">
        <f aca="false">VLOOKUP($C113,PalData!$A$2:$BU$139,60,0)</f>
        <v>0</v>
      </c>
      <c r="N113" s="189" t="n">
        <f aca="false">VLOOKUP($C113,PalData!$A$2:$BU$139,61,0)</f>
        <v>2</v>
      </c>
      <c r="O113" s="189" t="n">
        <f aca="false">VLOOKUP($C113,PalData!$A$2:$BU$139,62,0)</f>
        <v>2</v>
      </c>
      <c r="P113" s="189" t="n">
        <f aca="false">VLOOKUP($C113,PalData!$A$2:$BU$139,64,0)</f>
        <v>0</v>
      </c>
      <c r="Q113" s="189" t="n">
        <f aca="false">VLOOKUP($C113,PalData!$A$2:$BU$139,65,0)</f>
        <v>0</v>
      </c>
      <c r="R113" s="189" t="n">
        <f aca="false">VLOOKUP($C113,PalData!$A$2:$BU$139,66,0)</f>
        <v>0</v>
      </c>
      <c r="S113" s="189" t="n">
        <f aca="false">VLOOKUP($C113,PalData!$A$2:$BU$139,67,0)</f>
        <v>0</v>
      </c>
      <c r="T113" s="190" t="n">
        <f aca="false">VLOOKUP($C113,PalData!$A$2:$BU$139,43,0)</f>
        <v>8</v>
      </c>
      <c r="U113" s="188" t="n">
        <f aca="false">VLOOKUP($C113,PalData!$A$2:$BU$139,54,0)</f>
        <v>300</v>
      </c>
      <c r="V113" s="191" t="n">
        <f aca="false">VLOOKUP($C113,PalData!$A$2:$BU$139,19,0)</f>
        <v>150</v>
      </c>
      <c r="W113" s="191" t="n">
        <f aca="false">VLOOKUP($C113,PalData!$A$2:$BU$139,20,0)</f>
        <v>100</v>
      </c>
      <c r="X113" s="191" t="n">
        <f aca="false">VLOOKUP($C113,PalData!$A$2:$BU$139,21,0)</f>
        <v>85</v>
      </c>
      <c r="Y113" s="191" t="n">
        <f aca="false">VLOOKUP($C113,PalData!$A$2:$BU$139,22,0)</f>
        <v>90</v>
      </c>
      <c r="Z113" s="192" t="n">
        <f aca="false">VLOOKUP($C113,PalData!$A$2:$BU$139,28,0)</f>
        <v>9450</v>
      </c>
      <c r="AA113" s="193" t="n">
        <f aca="false" t="array" ref="AA113:AA113">INDEX(PalData,MATCH(C113,PalNames,0)+1,MATCH("Stamina",PalData_Header,0))</f>
        <v>100</v>
      </c>
      <c r="AB113" s="193" t="n">
        <f aca="false">VLOOKUP($C113,PalData!$A$2:$BU$139,32,0)</f>
        <v>135</v>
      </c>
      <c r="AC113" s="193" t="n">
        <f aca="false">VLOOKUP($C113,PalData!$A$2:$BU$139,33,0)</f>
        <v>430</v>
      </c>
      <c r="AD113" s="193" t="n">
        <f aca="false" t="array" ref="AD113:AD113">IF(INDEX(PalData,MATCH(C113,PalNames,0)+1,MATCH("Mount",PalData_Header,0)),INDEX(PalData,MATCH(C113,PalNames,0)+1,MATCH("RideSprintSpeed",PalData_Header,0)),)</f>
        <v>600</v>
      </c>
      <c r="AE113" s="193" t="n">
        <f aca="false">IF(R113&gt;0, INDEX(PalData,MATCH(C113,PalNames,0)+1,MATCH("TransportSpeed",PalData_Header,0)),)</f>
        <v>0</v>
      </c>
      <c r="AF113" s="198" t="n">
        <f aca="false">VLOOKUP($C113,PalData!$A$2:$BU$139,26,0)</f>
        <v>1</v>
      </c>
      <c r="AG113" s="195" t="n">
        <f aca="false" t="array" ref="AG113:AG113">INDEX(PalData,MATCH(C113,PalNames,0)+1,MATCH("MaleProbability",PalData_Header,0))</f>
        <v>50</v>
      </c>
    </row>
    <row r="114" customFormat="false" ht="26.25" hidden="false" customHeight="true" outlineLevel="0" collapsed="false">
      <c r="A114" s="196" t="n">
        <f aca="false">VLOOKUP($C114,PalData!$A$2:$BU$139,9,0)</f>
        <v>90</v>
      </c>
      <c r="B114" s="197" t="str">
        <f aca="false" t="array" ref="B114:B114">INDEX(PalData,MATCH(C114,PalNames,0)+1,MATCH("ZukanIndexSuffix",PalData_Header,0))</f>
        <v>B</v>
      </c>
      <c r="C114" s="185" t="s">
        <v>100</v>
      </c>
      <c r="D114" s="186" t="n">
        <f aca="false">IFERROR(INDEX(PalData,MATCH(C114,PalNames,0)+1,MATCH("Image",PalData_Header,0)),)</f>
        <v>0</v>
      </c>
      <c r="E114" s="187" t="str">
        <f aca="false">IFERROR(__xludf.dummyfunction("SPLIT(VLOOKUP($C114,PalData!$A$2:$BU$139,13,0),""EPalElementType::"",0,1)"),"Ice")</f>
        <v>Ice</v>
      </c>
      <c r="F114" s="187" t="str">
        <f aca="false">IFERROR(__xludf.dummyfunction("if(SPLIT(VLOOKUP($C114,PalData!$A$2:$BU$139,14,0),""EPalElementType::"",0,1)=""None"","""",SPLIT(VLOOKUP($C114,PalData!$A$2:$BU$139,14,0),""EPalElementType::"",0,1))"),"")</f>
        <v/>
      </c>
      <c r="G114" s="188" t="str">
        <f aca="false">IF(VLOOKUP($C114,PalData!$A$2:$BU$139,48,0),"🌜","")</f>
        <v/>
      </c>
      <c r="H114" s="189" t="n">
        <f aca="false">VLOOKUP($C114,PalData!$A$2:$BU$139,55,0)</f>
        <v>0</v>
      </c>
      <c r="I114" s="189" t="n">
        <f aca="false">VLOOKUP($C114,PalData!$A$2:$BU$139,56,0)</f>
        <v>0</v>
      </c>
      <c r="J114" s="189" t="n">
        <f aca="false">VLOOKUP($C114,PalData!$A$2:$BU$139,57,0)</f>
        <v>0</v>
      </c>
      <c r="K114" s="189" t="n">
        <f aca="false">VLOOKUP($C114,PalData!$A$2:$BU$139,58,0)</f>
        <v>0</v>
      </c>
      <c r="L114" s="189" t="n">
        <f aca="false">VLOOKUP($C114,PalData!$A$2:$BU$139,59,0)</f>
        <v>0</v>
      </c>
      <c r="M114" s="189" t="n">
        <f aca="false">VLOOKUP($C114,PalData!$A$2:$BU$139,60,0)</f>
        <v>0</v>
      </c>
      <c r="N114" s="189" t="n">
        <f aca="false">VLOOKUP($C114,PalData!$A$2:$BU$139,61,0)</f>
        <v>2</v>
      </c>
      <c r="O114" s="189" t="n">
        <f aca="false">VLOOKUP($C114,PalData!$A$2:$BU$139,62,0)</f>
        <v>2</v>
      </c>
      <c r="P114" s="189" t="n">
        <f aca="false">VLOOKUP($C114,PalData!$A$2:$BU$139,64,0)</f>
        <v>0</v>
      </c>
      <c r="Q114" s="189" t="n">
        <f aca="false">VLOOKUP($C114,PalData!$A$2:$BU$139,65,0)</f>
        <v>2</v>
      </c>
      <c r="R114" s="189" t="n">
        <f aca="false">VLOOKUP($C114,PalData!$A$2:$BU$139,66,0)</f>
        <v>0</v>
      </c>
      <c r="S114" s="189" t="n">
        <f aca="false">VLOOKUP($C114,PalData!$A$2:$BU$139,67,0)</f>
        <v>0</v>
      </c>
      <c r="T114" s="190" t="n">
        <f aca="false">VLOOKUP($C114,PalData!$A$2:$BU$139,43,0)</f>
        <v>8</v>
      </c>
      <c r="U114" s="188" t="n">
        <f aca="false">VLOOKUP($C114,PalData!$A$2:$BU$139,54,0)</f>
        <v>290</v>
      </c>
      <c r="V114" s="191" t="n">
        <f aca="false">VLOOKUP($C114,PalData!$A$2:$BU$139,19,0)</f>
        <v>150</v>
      </c>
      <c r="W114" s="191" t="n">
        <f aca="false">VLOOKUP($C114,PalData!$A$2:$BU$139,20,0)</f>
        <v>100</v>
      </c>
      <c r="X114" s="191" t="n">
        <f aca="false">VLOOKUP($C114,PalData!$A$2:$BU$139,21,0)</f>
        <v>85</v>
      </c>
      <c r="Y114" s="191" t="n">
        <f aca="false">VLOOKUP($C114,PalData!$A$2:$BU$139,22,0)</f>
        <v>90</v>
      </c>
      <c r="Z114" s="192" t="n">
        <f aca="false">VLOOKUP($C114,PalData!$A$2:$BU$139,28,0)</f>
        <v>9580</v>
      </c>
      <c r="AA114" s="193" t="n">
        <f aca="false" t="array" ref="AA114:AA114">INDEX(PalData,MATCH(C114,PalNames,0)+1,MATCH("Stamina",PalData_Header,0))</f>
        <v>100</v>
      </c>
      <c r="AB114" s="193" t="n">
        <f aca="false">VLOOKUP($C114,PalData!$A$2:$BU$139,32,0)</f>
        <v>135</v>
      </c>
      <c r="AC114" s="193" t="n">
        <f aca="false">VLOOKUP($C114,PalData!$A$2:$BU$139,33,0)</f>
        <v>430</v>
      </c>
      <c r="AD114" s="193" t="n">
        <f aca="false" t="array" ref="AD114:AD114">IF(INDEX(PalData,MATCH(C114,PalNames,0)+1,MATCH("Mount",PalData_Header,0)),INDEX(PalData,MATCH(C114,PalNames,0)+1,MATCH("RideSprintSpeed",PalData_Header,0)),)</f>
        <v>600</v>
      </c>
      <c r="AE114" s="193" t="n">
        <f aca="false">IF(R114&gt;0, INDEX(PalData,MATCH(C114,PalNames,0)+1,MATCH("TransportSpeed",PalData_Header,0)),)</f>
        <v>0</v>
      </c>
      <c r="AF114" s="198" t="n">
        <f aca="false">VLOOKUP($C114,PalData!$A$2:$BU$139,26,0)</f>
        <v>1</v>
      </c>
      <c r="AG114" s="195" t="n">
        <f aca="false" t="array" ref="AG114:AG114">INDEX(PalData,MATCH(C114,PalNames,0)+1,MATCH("MaleProbability",PalData_Header,0))</f>
        <v>50</v>
      </c>
    </row>
    <row r="115" customFormat="false" ht="26.25" hidden="false" customHeight="true" outlineLevel="0" collapsed="false">
      <c r="A115" s="196" t="n">
        <f aca="false">VLOOKUP($C115,PalData!$A$2:$BU$139,9,0)</f>
        <v>91</v>
      </c>
      <c r="B115" s="197" t="n">
        <f aca="false">INDEX(PalData,MATCH(C115,PalNames,0)+1,MATCH("ZukanIndexSuffix",PalData_Header,0))</f>
        <v>0</v>
      </c>
      <c r="C115" s="185" t="s">
        <v>152</v>
      </c>
      <c r="D115" s="186" t="n">
        <f aca="false">IFERROR(INDEX(PalData,MATCH(C115,PalNames,0)+1,MATCH("Image",PalData_Header,0)),)</f>
        <v>0</v>
      </c>
      <c r="E115" s="187" t="str">
        <f aca="false">IFERROR(__xludf.dummyfunction("SPLIT(VLOOKUP($C115,PalData!$A$2:$BU$139,13,0),""EPalElementType::"",0,1)"),"Ice")</f>
        <v>Ice</v>
      </c>
      <c r="F115" s="187" t="str">
        <f aca="false">IFERROR(__xludf.dummyfunction("if(SPLIT(VLOOKUP($C115,PalData!$A$2:$BU$139,14,0),""EPalElementType::"",0,1)=""None"","""",SPLIT(VLOOKUP($C115,PalData!$A$2:$BU$139,14,0),""EPalElementType::"",0,1))"),"")</f>
        <v/>
      </c>
      <c r="G115" s="188" t="str">
        <f aca="false">IF(VLOOKUP($C115,PalData!$A$2:$BU$139,48,0),"🌜","")</f>
        <v/>
      </c>
      <c r="H115" s="189" t="n">
        <f aca="false">VLOOKUP($C115,PalData!$A$2:$BU$139,55,0)</f>
        <v>0</v>
      </c>
      <c r="I115" s="189" t="n">
        <f aca="false">VLOOKUP($C115,PalData!$A$2:$BU$139,56,0)</f>
        <v>0</v>
      </c>
      <c r="J115" s="189" t="n">
        <f aca="false">VLOOKUP($C115,PalData!$A$2:$BU$139,57,0)</f>
        <v>0</v>
      </c>
      <c r="K115" s="189" t="n">
        <f aca="false">VLOOKUP($C115,PalData!$A$2:$BU$139,58,0)</f>
        <v>0</v>
      </c>
      <c r="L115" s="189" t="n">
        <f aca="false">VLOOKUP($C115,PalData!$A$2:$BU$139,59,0)</f>
        <v>2</v>
      </c>
      <c r="M115" s="189" t="n">
        <f aca="false">VLOOKUP($C115,PalData!$A$2:$BU$139,60,0)</f>
        <v>0</v>
      </c>
      <c r="N115" s="189" t="n">
        <f aca="false">VLOOKUP($C115,PalData!$A$2:$BU$139,61,0)</f>
        <v>3</v>
      </c>
      <c r="O115" s="189" t="n">
        <f aca="false">VLOOKUP($C115,PalData!$A$2:$BU$139,62,0)</f>
        <v>0</v>
      </c>
      <c r="P115" s="189" t="n">
        <f aca="false">VLOOKUP($C115,PalData!$A$2:$BU$139,64,0)</f>
        <v>0</v>
      </c>
      <c r="Q115" s="189" t="n">
        <f aca="false">VLOOKUP($C115,PalData!$A$2:$BU$139,65,0)</f>
        <v>2</v>
      </c>
      <c r="R115" s="189" t="n">
        <f aca="false">VLOOKUP($C115,PalData!$A$2:$BU$139,66,0)</f>
        <v>4</v>
      </c>
      <c r="S115" s="189" t="n">
        <f aca="false">VLOOKUP($C115,PalData!$A$2:$BU$139,67,0)</f>
        <v>0</v>
      </c>
      <c r="T115" s="190" t="n">
        <f aca="false">VLOOKUP($C115,PalData!$A$2:$BU$139,43,0)</f>
        <v>8</v>
      </c>
      <c r="U115" s="188" t="n">
        <f aca="false">VLOOKUP($C115,PalData!$A$2:$BU$139,54,0)</f>
        <v>460</v>
      </c>
      <c r="V115" s="191" t="n">
        <f aca="false">VLOOKUP($C115,PalData!$A$2:$BU$139,19,0)</f>
        <v>140</v>
      </c>
      <c r="W115" s="191" t="n">
        <f aca="false">VLOOKUP($C115,PalData!$A$2:$BU$139,20,0)</f>
        <v>100</v>
      </c>
      <c r="X115" s="191" t="n">
        <f aca="false">VLOOKUP($C115,PalData!$A$2:$BU$139,21,0)</f>
        <v>80</v>
      </c>
      <c r="Y115" s="191" t="n">
        <f aca="false">VLOOKUP($C115,PalData!$A$2:$BU$139,22,0)</f>
        <v>100</v>
      </c>
      <c r="Z115" s="192" t="n">
        <f aca="false">VLOOKUP($C115,PalData!$A$2:$BU$139,28,0)</f>
        <v>5900</v>
      </c>
      <c r="AA115" s="193" t="n">
        <f aca="false" t="array" ref="AA115:AA115">INDEX(PalData,MATCH(C115,PalNames,0)+1,MATCH("Stamina",PalData_Header,0))</f>
        <v>100</v>
      </c>
      <c r="AB115" s="193" t="n">
        <f aca="false">VLOOKUP($C115,PalData!$A$2:$BU$139,32,0)</f>
        <v>100</v>
      </c>
      <c r="AC115" s="193" t="n">
        <f aca="false">VLOOKUP($C115,PalData!$A$2:$BU$139,33,0)</f>
        <v>365</v>
      </c>
      <c r="AD115" s="193" t="n">
        <f aca="false" t="array" ref="AD115:AD115">IF(INDEX(PalData,MATCH(C115,PalNames,0)+1,MATCH("Mount",PalData_Header,0)),INDEX(PalData,MATCH(C115,PalNames,0)+1,MATCH("RideSprintSpeed",PalData_Header,0)),)</f>
        <v>550</v>
      </c>
      <c r="AE115" s="193" t="n">
        <f aca="false" t="array" ref="AE115:AE115">IF(R115&gt;0, INDEX(PalData,MATCH(C115,PalNames,0)+1,MATCH("TransportSpeed",PalData_Header,0)),)</f>
        <v>150</v>
      </c>
      <c r="AF115" s="198" t="n">
        <f aca="false">VLOOKUP($C115,PalData!$A$2:$BU$139,26,0)</f>
        <v>1</v>
      </c>
      <c r="AG115" s="195" t="n">
        <f aca="false" t="array" ref="AG115:AG115">INDEX(PalData,MATCH(C115,PalNames,0)+1,MATCH("MaleProbability",PalData_Header,0))</f>
        <v>50</v>
      </c>
    </row>
    <row r="116" customFormat="false" ht="26.25" hidden="false" customHeight="true" outlineLevel="0" collapsed="false">
      <c r="A116" s="196" t="n">
        <f aca="false">VLOOKUP($C116,PalData!$A$2:$BU$139,9,0)</f>
        <v>91</v>
      </c>
      <c r="B116" s="197" t="str">
        <f aca="false" t="array" ref="B116:B116">INDEX(PalData,MATCH(C116,PalNames,0)+1,MATCH("ZukanIndexSuffix",PalData_Header,0))</f>
        <v>B</v>
      </c>
      <c r="C116" s="185" t="s">
        <v>153</v>
      </c>
      <c r="D116" s="186" t="n">
        <f aca="false">IFERROR(INDEX(PalData,MATCH(C116,PalNames,0)+1,MATCH("Image",PalData_Header,0)),)</f>
        <v>0</v>
      </c>
      <c r="E116" s="187" t="str">
        <f aca="false">IFERROR(__xludf.dummyfunction("SPLIT(VLOOKUP($C116,PalData!$A$2:$BU$139,13,0),""EPalElementType::"",0,1)"),"Leaf")</f>
        <v>Leaf</v>
      </c>
      <c r="F116" s="187" t="str">
        <f aca="false">IFERROR(__xludf.dummyfunction("if(SPLIT(VLOOKUP($C116,PalData!$A$2:$BU$139,14,0),""EPalElementType::"",0,1)=""None"","""",SPLIT(VLOOKUP($C116,PalData!$A$2:$BU$139,14,0),""EPalElementType::"",0,1))"),"")</f>
        <v/>
      </c>
      <c r="G116" s="188" t="str">
        <f aca="false">IF(VLOOKUP($C116,PalData!$A$2:$BU$139,48,0),"🌜","")</f>
        <v/>
      </c>
      <c r="H116" s="189" t="n">
        <f aca="false">VLOOKUP($C116,PalData!$A$2:$BU$139,55,0)</f>
        <v>0</v>
      </c>
      <c r="I116" s="189" t="n">
        <f aca="false">VLOOKUP($C116,PalData!$A$2:$BU$139,56,0)</f>
        <v>0</v>
      </c>
      <c r="J116" s="189" t="n">
        <f aca="false">VLOOKUP($C116,PalData!$A$2:$BU$139,57,0)</f>
        <v>1</v>
      </c>
      <c r="K116" s="189" t="n">
        <f aca="false">VLOOKUP($C116,PalData!$A$2:$BU$139,58,0)</f>
        <v>0</v>
      </c>
      <c r="L116" s="189" t="n">
        <f aca="false">VLOOKUP($C116,PalData!$A$2:$BU$139,59,0)</f>
        <v>2</v>
      </c>
      <c r="M116" s="189" t="n">
        <f aca="false">VLOOKUP($C116,PalData!$A$2:$BU$139,60,0)</f>
        <v>0</v>
      </c>
      <c r="N116" s="189" t="n">
        <f aca="false">VLOOKUP($C116,PalData!$A$2:$BU$139,61,0)</f>
        <v>3</v>
      </c>
      <c r="O116" s="189" t="n">
        <f aca="false">VLOOKUP($C116,PalData!$A$2:$BU$139,62,0)</f>
        <v>0</v>
      </c>
      <c r="P116" s="189" t="n">
        <f aca="false">VLOOKUP($C116,PalData!$A$2:$BU$139,64,0)</f>
        <v>0</v>
      </c>
      <c r="Q116" s="189" t="n">
        <f aca="false">VLOOKUP($C116,PalData!$A$2:$BU$139,65,0)</f>
        <v>0</v>
      </c>
      <c r="R116" s="189" t="n">
        <f aca="false">VLOOKUP($C116,PalData!$A$2:$BU$139,66,0)</f>
        <v>4</v>
      </c>
      <c r="S116" s="189" t="n">
        <f aca="false">VLOOKUP($C116,PalData!$A$2:$BU$139,67,0)</f>
        <v>0</v>
      </c>
      <c r="T116" s="190" t="n">
        <f aca="false">VLOOKUP($C116,PalData!$A$2:$BU$139,43,0)</f>
        <v>8</v>
      </c>
      <c r="U116" s="188" t="n">
        <f aca="false">VLOOKUP($C116,PalData!$A$2:$BU$139,54,0)</f>
        <v>480</v>
      </c>
      <c r="V116" s="191" t="n">
        <f aca="false">VLOOKUP($C116,PalData!$A$2:$BU$139,19,0)</f>
        <v>140</v>
      </c>
      <c r="W116" s="191" t="n">
        <f aca="false">VLOOKUP($C116,PalData!$A$2:$BU$139,20,0)</f>
        <v>100</v>
      </c>
      <c r="X116" s="191" t="n">
        <f aca="false">VLOOKUP($C116,PalData!$A$2:$BU$139,21,0)</f>
        <v>80</v>
      </c>
      <c r="Y116" s="191" t="n">
        <f aca="false">VLOOKUP($C116,PalData!$A$2:$BU$139,22,0)</f>
        <v>110</v>
      </c>
      <c r="Z116" s="192" t="n">
        <f aca="false">VLOOKUP($C116,PalData!$A$2:$BU$139,28,0)</f>
        <v>5700</v>
      </c>
      <c r="AA116" s="193" t="n">
        <f aca="false" t="array" ref="AA116:AA116">INDEX(PalData,MATCH(C116,PalNames,0)+1,MATCH("Stamina",PalData_Header,0))</f>
        <v>100</v>
      </c>
      <c r="AB116" s="193" t="n">
        <f aca="false">VLOOKUP($C116,PalData!$A$2:$BU$139,32,0)</f>
        <v>100</v>
      </c>
      <c r="AC116" s="193" t="n">
        <f aca="false">VLOOKUP($C116,PalData!$A$2:$BU$139,33,0)</f>
        <v>365</v>
      </c>
      <c r="AD116" s="193" t="n">
        <f aca="false" t="array" ref="AD116:AD116">IF(INDEX(PalData,MATCH(C116,PalNames,0)+1,MATCH("Mount",PalData_Header,0)),INDEX(PalData,MATCH(C116,PalNames,0)+1,MATCH("RideSprintSpeed",PalData_Header,0)),)</f>
        <v>550</v>
      </c>
      <c r="AE116" s="193" t="n">
        <f aca="false" t="array" ref="AE116:AE116">IF(R116&gt;0, INDEX(PalData,MATCH(C116,PalNames,0)+1,MATCH("TransportSpeed",PalData_Header,0)),)</f>
        <v>150</v>
      </c>
      <c r="AF116" s="198" t="n">
        <f aca="false">VLOOKUP($C116,PalData!$A$2:$BU$139,26,0)</f>
        <v>1</v>
      </c>
      <c r="AG116" s="195" t="n">
        <f aca="false" t="array" ref="AG116:AG116">INDEX(PalData,MATCH(C116,PalNames,0)+1,MATCH("MaleProbability",PalData_Header,0))</f>
        <v>50</v>
      </c>
    </row>
    <row r="117" customFormat="false" ht="26.25" hidden="false" customHeight="true" outlineLevel="0" collapsed="false">
      <c r="A117" s="196" t="n">
        <f aca="false">VLOOKUP($C117,PalData!$A$2:$BU$139,9,0)</f>
        <v>92</v>
      </c>
      <c r="B117" s="197" t="n">
        <f aca="false">INDEX(PalData,MATCH(C117,PalNames,0)+1,MATCH("ZukanIndexSuffix",PalData_Header,0))</f>
        <v>0</v>
      </c>
      <c r="C117" s="185" t="s">
        <v>149</v>
      </c>
      <c r="D117" s="186" t="n">
        <f aca="false">IFERROR(INDEX(PalData,MATCH(C117,PalNames,0)+1,MATCH("Image",PalData_Header,0)),)</f>
        <v>0</v>
      </c>
      <c r="E117" s="187" t="str">
        <f aca="false">IFERROR(__xludf.dummyfunction("SPLIT(VLOOKUP($C117,PalData!$A$2:$BU$139,13,0),""EPalElementType::"",0,1)"),"Earth")</f>
        <v>Earth</v>
      </c>
      <c r="F117" s="187" t="str">
        <f aca="false">IFERROR(__xludf.dummyfunction("if(SPLIT(VLOOKUP($C117,PalData!$A$2:$BU$139,14,0),""EPalElementType::"",0,1)=""None"","""",SPLIT(VLOOKUP($C117,PalData!$A$2:$BU$139,14,0),""EPalElementType::"",0,1))"),"Leaf")</f>
        <v>Leaf</v>
      </c>
      <c r="G117" s="188" t="str">
        <f aca="false">IF(VLOOKUP($C117,PalData!$A$2:$BU$139,48,0),"🌜","")</f>
        <v/>
      </c>
      <c r="H117" s="189" t="n">
        <f aca="false">VLOOKUP($C117,PalData!$A$2:$BU$139,55,0)</f>
        <v>0</v>
      </c>
      <c r="I117" s="189" t="n">
        <f aca="false">VLOOKUP($C117,PalData!$A$2:$BU$139,56,0)</f>
        <v>0</v>
      </c>
      <c r="J117" s="189" t="n">
        <f aca="false">VLOOKUP($C117,PalData!$A$2:$BU$139,57,0)</f>
        <v>1</v>
      </c>
      <c r="K117" s="189" t="n">
        <f aca="false">VLOOKUP($C117,PalData!$A$2:$BU$139,58,0)</f>
        <v>0</v>
      </c>
      <c r="L117" s="189" t="n">
        <f aca="false">VLOOKUP($C117,PalData!$A$2:$BU$139,59,0)</f>
        <v>1</v>
      </c>
      <c r="M117" s="189" t="n">
        <f aca="false">VLOOKUP($C117,PalData!$A$2:$BU$139,60,0)</f>
        <v>0</v>
      </c>
      <c r="N117" s="189" t="n">
        <f aca="false">VLOOKUP($C117,PalData!$A$2:$BU$139,61,0)</f>
        <v>3</v>
      </c>
      <c r="O117" s="189" t="n">
        <f aca="false">VLOOKUP($C117,PalData!$A$2:$BU$139,62,0)</f>
        <v>0</v>
      </c>
      <c r="P117" s="189" t="n">
        <f aca="false">VLOOKUP($C117,PalData!$A$2:$BU$139,64,0)</f>
        <v>0</v>
      </c>
      <c r="Q117" s="189" t="n">
        <f aca="false">VLOOKUP($C117,PalData!$A$2:$BU$139,65,0)</f>
        <v>0</v>
      </c>
      <c r="R117" s="189" t="n">
        <f aca="false">VLOOKUP($C117,PalData!$A$2:$BU$139,66,0)</f>
        <v>3</v>
      </c>
      <c r="S117" s="189" t="n">
        <f aca="false">VLOOKUP($C117,PalData!$A$2:$BU$139,67,0)</f>
        <v>0</v>
      </c>
      <c r="T117" s="190" t="n">
        <f aca="false">VLOOKUP($C117,PalData!$A$2:$BU$139,43,0)</f>
        <v>6</v>
      </c>
      <c r="U117" s="188" t="n">
        <f aca="false">VLOOKUP($C117,PalData!$A$2:$BU$139,54,0)</f>
        <v>340</v>
      </c>
      <c r="V117" s="191" t="n">
        <f aca="false">VLOOKUP($C117,PalData!$A$2:$BU$139,19,0)</f>
        <v>120</v>
      </c>
      <c r="W117" s="191" t="n">
        <f aca="false">VLOOKUP($C117,PalData!$A$2:$BU$139,20,0)</f>
        <v>100</v>
      </c>
      <c r="X117" s="191" t="n">
        <f aca="false">VLOOKUP($C117,PalData!$A$2:$BU$139,21,0)</f>
        <v>100</v>
      </c>
      <c r="Y117" s="191" t="n">
        <f aca="false">VLOOKUP($C117,PalData!$A$2:$BU$139,22,0)</f>
        <v>120</v>
      </c>
      <c r="Z117" s="192" t="n">
        <f aca="false">VLOOKUP($C117,PalData!$A$2:$BU$139,28,0)</f>
        <v>6830</v>
      </c>
      <c r="AA117" s="193" t="n">
        <f aca="false" t="array" ref="AA117:AA117">INDEX(PalData,MATCH(C117,PalNames,0)+1,MATCH("Stamina",PalData_Header,0))</f>
        <v>100</v>
      </c>
      <c r="AB117" s="193" t="n">
        <f aca="false">VLOOKUP($C117,PalData!$A$2:$BU$139,32,0)</f>
        <v>110</v>
      </c>
      <c r="AC117" s="193" t="n">
        <f aca="false">VLOOKUP($C117,PalData!$A$2:$BU$139,33,0)</f>
        <v>500</v>
      </c>
      <c r="AD117" s="193" t="n">
        <f aca="false">IF(INDEX(PalData,MATCH(C117,PalNames,0)+1,MATCH("Mount",PalData_Header,0)),INDEX(PalData,MATCH(C117,PalNames,0)+1,MATCH("RideSprintSpeed",PalData_Header,0)),)</f>
        <v>0</v>
      </c>
      <c r="AE117" s="193" t="n">
        <f aca="false" t="array" ref="AE117:AE117">IF(R117&gt;0, INDEX(PalData,MATCH(C117,PalNames,0)+1,MATCH("TransportSpeed",PalData_Header,0)),)</f>
        <v>110</v>
      </c>
      <c r="AF117" s="198" t="n">
        <f aca="false">VLOOKUP($C117,PalData!$A$2:$BU$139,26,0)</f>
        <v>1</v>
      </c>
      <c r="AG117" s="195" t="n">
        <f aca="false" t="array" ref="AG117:AG117">INDEX(PalData,MATCH(C117,PalNames,0)+1,MATCH("MaleProbability",PalData_Header,0))</f>
        <v>85</v>
      </c>
    </row>
    <row r="118" customFormat="false" ht="26.25" hidden="false" customHeight="true" outlineLevel="0" collapsed="false">
      <c r="A118" s="196" t="n">
        <f aca="false">VLOOKUP($C118,PalData!$A$2:$BU$139,9,0)</f>
        <v>93</v>
      </c>
      <c r="B118" s="197" t="n">
        <f aca="false">INDEX(PalData,MATCH(C118,PalNames,0)+1,MATCH("ZukanIndexSuffix",PalData_Header,0))</f>
        <v>0</v>
      </c>
      <c r="C118" s="185" t="s">
        <v>55</v>
      </c>
      <c r="D118" s="186" t="n">
        <f aca="false">IFERROR(INDEX(PalData,MATCH(C118,PalNames,0)+1,MATCH("Image",PalData_Header,0)),)</f>
        <v>0</v>
      </c>
      <c r="E118" s="187" t="str">
        <f aca="false">IFERROR(__xludf.dummyfunction("SPLIT(VLOOKUP($C118,PalData!$A$2:$BU$139,13,0),""EPalElementType::"",0,1)"),"Normal")</f>
        <v>Normal</v>
      </c>
      <c r="F118" s="187" t="str">
        <f aca="false">IFERROR(__xludf.dummyfunction("if(SPLIT(VLOOKUP($C118,PalData!$A$2:$BU$139,14,0),""EPalElementType::"",0,1)=""None"","""",SPLIT(VLOOKUP($C118,PalData!$A$2:$BU$139,14,0),""EPalElementType::"",0,1))"),"")</f>
        <v/>
      </c>
      <c r="G118" s="188" t="str">
        <f aca="false">IF(VLOOKUP($C118,PalData!$A$2:$BU$139,48,0),"🌜","")</f>
        <v/>
      </c>
      <c r="H118" s="189" t="n">
        <f aca="false">VLOOKUP($C118,PalData!$A$2:$BU$139,55,0)</f>
        <v>0</v>
      </c>
      <c r="I118" s="189" t="n">
        <f aca="false">VLOOKUP($C118,PalData!$A$2:$BU$139,56,0)</f>
        <v>0</v>
      </c>
      <c r="J118" s="189" t="n">
        <f aca="false">VLOOKUP($C118,PalData!$A$2:$BU$139,57,0)</f>
        <v>0</v>
      </c>
      <c r="K118" s="189" t="n">
        <f aca="false">VLOOKUP($C118,PalData!$A$2:$BU$139,58,0)</f>
        <v>0</v>
      </c>
      <c r="L118" s="189" t="n">
        <f aca="false">VLOOKUP($C118,PalData!$A$2:$BU$139,59,0)</f>
        <v>0</v>
      </c>
      <c r="M118" s="189" t="n">
        <f aca="false">VLOOKUP($C118,PalData!$A$2:$BU$139,60,0)</f>
        <v>0</v>
      </c>
      <c r="N118" s="189" t="n">
        <f aca="false">VLOOKUP($C118,PalData!$A$2:$BU$139,61,0)</f>
        <v>2</v>
      </c>
      <c r="O118" s="189" t="n">
        <f aca="false">VLOOKUP($C118,PalData!$A$2:$BU$139,62,0)</f>
        <v>0</v>
      </c>
      <c r="P118" s="189" t="n">
        <f aca="false">VLOOKUP($C118,PalData!$A$2:$BU$139,64,0)</f>
        <v>0</v>
      </c>
      <c r="Q118" s="189" t="n">
        <f aca="false">VLOOKUP($C118,PalData!$A$2:$BU$139,65,0)</f>
        <v>0</v>
      </c>
      <c r="R118" s="189" t="n">
        <f aca="false">VLOOKUP($C118,PalData!$A$2:$BU$139,66,0)</f>
        <v>0</v>
      </c>
      <c r="S118" s="189" t="n">
        <f aca="false">VLOOKUP($C118,PalData!$A$2:$BU$139,67,0)</f>
        <v>0</v>
      </c>
      <c r="T118" s="190" t="n">
        <f aca="false">VLOOKUP($C118,PalData!$A$2:$BU$139,43,0)</f>
        <v>6</v>
      </c>
      <c r="U118" s="188" t="n">
        <f aca="false">VLOOKUP($C118,PalData!$A$2:$BU$139,54,0)</f>
        <v>980</v>
      </c>
      <c r="V118" s="191" t="n">
        <f aca="false">VLOOKUP($C118,PalData!$A$2:$BU$139,19,0)</f>
        <v>110</v>
      </c>
      <c r="W118" s="191" t="n">
        <f aca="false">VLOOKUP($C118,PalData!$A$2:$BU$139,20,0)</f>
        <v>110</v>
      </c>
      <c r="X118" s="191" t="n">
        <f aca="false">VLOOKUP($C118,PalData!$A$2:$BU$139,21,0)</f>
        <v>110</v>
      </c>
      <c r="Y118" s="191" t="n">
        <f aca="false">VLOOKUP($C118,PalData!$A$2:$BU$139,22,0)</f>
        <v>90</v>
      </c>
      <c r="Z118" s="192" t="n">
        <f aca="false">VLOOKUP($C118,PalData!$A$2:$BU$139,28,0)</f>
        <v>2250</v>
      </c>
      <c r="AA118" s="193" t="n">
        <f aca="false" t="array" ref="AA118:AA118">INDEX(PalData,MATCH(C118,PalNames,0)+1,MATCH("Stamina",PalData_Header,0))</f>
        <v>100</v>
      </c>
      <c r="AB118" s="193" t="n">
        <f aca="false">VLOOKUP($C118,PalData!$A$2:$BU$139,32,0)</f>
        <v>100</v>
      </c>
      <c r="AC118" s="193" t="n">
        <f aca="false">VLOOKUP($C118,PalData!$A$2:$BU$139,33,0)</f>
        <v>750</v>
      </c>
      <c r="AD118" s="193" t="n">
        <f aca="false" t="array" ref="AD118:AD118">IF(INDEX(PalData,MATCH(C118,PalNames,0)+1,MATCH("Mount",PalData_Header,0)),INDEX(PalData,MATCH(C118,PalNames,0)+1,MATCH("RideSprintSpeed",PalData_Header,0)),)</f>
        <v>1050</v>
      </c>
      <c r="AE118" s="193" t="n">
        <f aca="false">IF(R118&gt;0, INDEX(PalData,MATCH(C118,PalNames,0)+1,MATCH("TransportSpeed",PalData_Header,0)),)</f>
        <v>0</v>
      </c>
      <c r="AF118" s="198" t="n">
        <f aca="false">VLOOKUP($C118,PalData!$A$2:$BU$139,26,0)</f>
        <v>1</v>
      </c>
      <c r="AG118" s="195" t="n">
        <f aca="false" t="array" ref="AG118:AG118">INDEX(PalData,MATCH(C118,PalNames,0)+1,MATCH("MaleProbability",PalData_Header,0))</f>
        <v>50</v>
      </c>
    </row>
    <row r="119" customFormat="false" ht="26.25" hidden="false" customHeight="true" outlineLevel="0" collapsed="false">
      <c r="A119" s="196" t="n">
        <f aca="false">VLOOKUP($C119,PalData!$A$2:$BU$139,9,0)</f>
        <v>94</v>
      </c>
      <c r="B119" s="197" t="n">
        <f aca="false">INDEX(PalData,MATCH(C119,PalNames,0)+1,MATCH("ZukanIndexSuffix",PalData_Header,0))</f>
        <v>0</v>
      </c>
      <c r="C119" s="185" t="s">
        <v>54</v>
      </c>
      <c r="D119" s="186" t="n">
        <f aca="false">IFERROR(INDEX(PalData,MATCH(C119,PalNames,0)+1,MATCH("Image",PalData_Header,0)),)</f>
        <v>0</v>
      </c>
      <c r="E119" s="187" t="str">
        <f aca="false">IFERROR(__xludf.dummyfunction("SPLIT(VLOOKUP($C119,PalData!$A$2:$BU$139,13,0),""EPalElementType::"",0,1)"),"Dark")</f>
        <v>Dark</v>
      </c>
      <c r="F119" s="187" t="str">
        <f aca="false">IFERROR(__xludf.dummyfunction("if(SPLIT(VLOOKUP($C119,PalData!$A$2:$BU$139,14,0),""EPalElementType::"",0,1)=""None"","""",SPLIT(VLOOKUP($C119,PalData!$A$2:$BU$139,14,0),""EPalElementType::"",0,1))"),"")</f>
        <v/>
      </c>
      <c r="G119" s="188" t="str">
        <f aca="false">IF(VLOOKUP($C119,PalData!$A$2:$BU$139,48,0),"🌜","")</f>
        <v>🌜</v>
      </c>
      <c r="H119" s="189" t="n">
        <f aca="false">VLOOKUP($C119,PalData!$A$2:$BU$139,55,0)</f>
        <v>0</v>
      </c>
      <c r="I119" s="189" t="n">
        <f aca="false">VLOOKUP($C119,PalData!$A$2:$BU$139,56,0)</f>
        <v>0</v>
      </c>
      <c r="J119" s="189" t="n">
        <f aca="false">VLOOKUP($C119,PalData!$A$2:$BU$139,57,0)</f>
        <v>0</v>
      </c>
      <c r="K119" s="189" t="n">
        <f aca="false">VLOOKUP($C119,PalData!$A$2:$BU$139,58,0)</f>
        <v>0</v>
      </c>
      <c r="L119" s="189" t="n">
        <f aca="false">VLOOKUP($C119,PalData!$A$2:$BU$139,59,0)</f>
        <v>0</v>
      </c>
      <c r="M119" s="189" t="n">
        <f aca="false">VLOOKUP($C119,PalData!$A$2:$BU$139,60,0)</f>
        <v>0</v>
      </c>
      <c r="N119" s="189" t="n">
        <f aca="false">VLOOKUP($C119,PalData!$A$2:$BU$139,61,0)</f>
        <v>0</v>
      </c>
      <c r="O119" s="189" t="n">
        <f aca="false">VLOOKUP($C119,PalData!$A$2:$BU$139,62,0)</f>
        <v>0</v>
      </c>
      <c r="P119" s="189" t="n">
        <f aca="false">VLOOKUP($C119,PalData!$A$2:$BU$139,64,0)</f>
        <v>3</v>
      </c>
      <c r="Q119" s="189" t="n">
        <f aca="false">VLOOKUP($C119,PalData!$A$2:$BU$139,65,0)</f>
        <v>0</v>
      </c>
      <c r="R119" s="189" t="n">
        <f aca="false">VLOOKUP($C119,PalData!$A$2:$BU$139,66,0)</f>
        <v>0</v>
      </c>
      <c r="S119" s="189" t="n">
        <f aca="false">VLOOKUP($C119,PalData!$A$2:$BU$139,67,0)</f>
        <v>0</v>
      </c>
      <c r="T119" s="190" t="n">
        <f aca="false">VLOOKUP($C119,PalData!$A$2:$BU$139,43,0)</f>
        <v>5</v>
      </c>
      <c r="U119" s="188" t="n">
        <f aca="false">VLOOKUP($C119,PalData!$A$2:$BU$139,54,0)</f>
        <v>1010</v>
      </c>
      <c r="V119" s="191" t="n">
        <f aca="false">VLOOKUP($C119,PalData!$A$2:$BU$139,19,0)</f>
        <v>100</v>
      </c>
      <c r="W119" s="191" t="n">
        <f aca="false">VLOOKUP($C119,PalData!$A$2:$BU$139,20,0)</f>
        <v>100</v>
      </c>
      <c r="X119" s="191" t="n">
        <f aca="false">VLOOKUP($C119,PalData!$A$2:$BU$139,21,0)</f>
        <v>105</v>
      </c>
      <c r="Y119" s="191" t="n">
        <f aca="false">VLOOKUP($C119,PalData!$A$2:$BU$139,22,0)</f>
        <v>110</v>
      </c>
      <c r="Z119" s="192" t="n">
        <f aca="false">VLOOKUP($C119,PalData!$A$2:$BU$139,28,0)</f>
        <v>2100</v>
      </c>
      <c r="AA119" s="193" t="n">
        <f aca="false" t="array" ref="AA119:AA119">INDEX(PalData,MATCH(C119,PalNames,0)+1,MATCH("Stamina",PalData_Header,0))</f>
        <v>100</v>
      </c>
      <c r="AB119" s="193" t="n">
        <f aca="false">VLOOKUP($C119,PalData!$A$2:$BU$139,32,0)</f>
        <v>100</v>
      </c>
      <c r="AC119" s="193" t="n">
        <f aca="false">VLOOKUP($C119,PalData!$A$2:$BU$139,33,0)</f>
        <v>550</v>
      </c>
      <c r="AD119" s="193" t="n">
        <f aca="false">IF(INDEX(PalData,MATCH(C119,PalNames,0)+1,MATCH("Mount",PalData_Header,0)),INDEX(PalData,MATCH(C119,PalNames,0)+1,MATCH("RideSprintSpeed",PalData_Header,0)),)</f>
        <v>0</v>
      </c>
      <c r="AE119" s="193" t="n">
        <f aca="false">IF(R119&gt;0, INDEX(PalData,MATCH(C119,PalNames,0)+1,MATCH("TransportSpeed",PalData_Header,0)),)</f>
        <v>0</v>
      </c>
      <c r="AF119" s="198" t="n">
        <f aca="false">VLOOKUP($C119,PalData!$A$2:$BU$139,26,0)</f>
        <v>1</v>
      </c>
      <c r="AG119" s="195" t="n">
        <f aca="false" t="array" ref="AG119:AG119">INDEX(PalData,MATCH(C119,PalNames,0)+1,MATCH("MaleProbability",PalData_Header,0))</f>
        <v>50</v>
      </c>
    </row>
    <row r="120" customFormat="false" ht="26.25" hidden="false" customHeight="true" outlineLevel="0" collapsed="false">
      <c r="A120" s="196" t="n">
        <f aca="false">VLOOKUP($C120,PalData!$A$2:$BU$139,9,0)</f>
        <v>95</v>
      </c>
      <c r="B120" s="197" t="n">
        <f aca="false">INDEX(PalData,MATCH(C120,PalNames,0)+1,MATCH("ZukanIndexSuffix",PalData_Header,0))</f>
        <v>0</v>
      </c>
      <c r="C120" s="185" t="s">
        <v>119</v>
      </c>
      <c r="D120" s="186" t="n">
        <f aca="false">IFERROR(INDEX(PalData,MATCH(C120,PalNames,0)+1,MATCH("Image",PalData_Header,0)),)</f>
        <v>0</v>
      </c>
      <c r="E120" s="187" t="str">
        <f aca="false">IFERROR(__xludf.dummyfunction("SPLIT(VLOOKUP($C120,PalData!$A$2:$BU$139,13,0),""EPalElementType::"",0,1)"),"Dragon")</f>
        <v>Dragon</v>
      </c>
      <c r="F120" s="187" t="str">
        <f aca="false">IFERROR(__xludf.dummyfunction("if(SPLIT(VLOOKUP($C120,PalData!$A$2:$BU$139,14,0),""EPalElementType::"",0,1)=""None"","""",SPLIT(VLOOKUP($C120,PalData!$A$2:$BU$139,14,0),""EPalElementType::"",0,1))"),"")</f>
        <v/>
      </c>
      <c r="G120" s="188" t="str">
        <f aca="false">IF(VLOOKUP($C120,PalData!$A$2:$BU$139,48,0),"🌜","")</f>
        <v/>
      </c>
      <c r="H120" s="189" t="n">
        <f aca="false">VLOOKUP($C120,PalData!$A$2:$BU$139,55,0)</f>
        <v>0</v>
      </c>
      <c r="I120" s="189" t="n">
        <f aca="false">VLOOKUP($C120,PalData!$A$2:$BU$139,56,0)</f>
        <v>0</v>
      </c>
      <c r="J120" s="189" t="n">
        <f aca="false">VLOOKUP($C120,PalData!$A$2:$BU$139,57,0)</f>
        <v>0</v>
      </c>
      <c r="K120" s="189" t="n">
        <f aca="false">VLOOKUP($C120,PalData!$A$2:$BU$139,58,0)</f>
        <v>0</v>
      </c>
      <c r="L120" s="189" t="n">
        <f aca="false">VLOOKUP($C120,PalData!$A$2:$BU$139,59,0)</f>
        <v>1</v>
      </c>
      <c r="M120" s="189" t="n">
        <f aca="false">VLOOKUP($C120,PalData!$A$2:$BU$139,60,0)</f>
        <v>2</v>
      </c>
      <c r="N120" s="189" t="n">
        <f aca="false">VLOOKUP($C120,PalData!$A$2:$BU$139,61,0)</f>
        <v>0</v>
      </c>
      <c r="O120" s="189" t="n">
        <f aca="false">VLOOKUP($C120,PalData!$A$2:$BU$139,62,0)</f>
        <v>2</v>
      </c>
      <c r="P120" s="189" t="n">
        <f aca="false">VLOOKUP($C120,PalData!$A$2:$BU$139,64,0)</f>
        <v>0</v>
      </c>
      <c r="Q120" s="189" t="n">
        <f aca="false">VLOOKUP($C120,PalData!$A$2:$BU$139,65,0)</f>
        <v>0</v>
      </c>
      <c r="R120" s="189" t="n">
        <f aca="false">VLOOKUP($C120,PalData!$A$2:$BU$139,66,0)</f>
        <v>3</v>
      </c>
      <c r="S120" s="189" t="n">
        <f aca="false">VLOOKUP($C120,PalData!$A$2:$BU$139,67,0)</f>
        <v>0</v>
      </c>
      <c r="T120" s="190" t="n">
        <f aca="false">VLOOKUP($C120,PalData!$A$2:$BU$139,43,0)</f>
        <v>4</v>
      </c>
      <c r="U120" s="188" t="n">
        <f aca="false">VLOOKUP($C120,PalData!$A$2:$BU$139,54,0)</f>
        <v>350</v>
      </c>
      <c r="V120" s="191" t="n">
        <f aca="false">VLOOKUP($C120,PalData!$A$2:$BU$139,19,0)</f>
        <v>105</v>
      </c>
      <c r="W120" s="191" t="n">
        <f aca="false">VLOOKUP($C120,PalData!$A$2:$BU$139,20,0)</f>
        <v>100</v>
      </c>
      <c r="X120" s="191" t="n">
        <f aca="false">VLOOKUP($C120,PalData!$A$2:$BU$139,21,0)</f>
        <v>100</v>
      </c>
      <c r="Y120" s="191" t="n">
        <f aca="false">VLOOKUP($C120,PalData!$A$2:$BU$139,22,0)</f>
        <v>100</v>
      </c>
      <c r="Z120" s="192" t="n">
        <f aca="false">VLOOKUP($C120,PalData!$A$2:$BU$139,28,0)</f>
        <v>6830</v>
      </c>
      <c r="AA120" s="193" t="n">
        <f aca="false" t="array" ref="AA120:AA120">INDEX(PalData,MATCH(C120,PalNames,0)+1,MATCH("Stamina",PalData_Header,0))</f>
        <v>220</v>
      </c>
      <c r="AB120" s="193" t="n">
        <f aca="false">VLOOKUP($C120,PalData!$A$2:$BU$139,32,0)</f>
        <v>240</v>
      </c>
      <c r="AC120" s="193" t="n">
        <f aca="false">VLOOKUP($C120,PalData!$A$2:$BU$139,33,0)</f>
        <v>800</v>
      </c>
      <c r="AD120" s="193" t="n">
        <f aca="false" t="array" ref="AD120:AD120">IF(INDEX(PalData,MATCH(C120,PalNames,0)+1,MATCH("Mount",PalData_Header,0)),INDEX(PalData,MATCH(C120,PalNames,0)+1,MATCH("RideSprintSpeed",PalData_Header,0)),)</f>
        <v>950</v>
      </c>
      <c r="AE120" s="193" t="n">
        <f aca="false" t="array" ref="AE120:AE120">IF(R120&gt;0, INDEX(PalData,MATCH(C120,PalNames,0)+1,MATCH("TransportSpeed",PalData_Header,0)),)</f>
        <v>470</v>
      </c>
      <c r="AF120" s="198" t="n">
        <f aca="false">VLOOKUP($C120,PalData!$A$2:$BU$139,26,0)</f>
        <v>1</v>
      </c>
      <c r="AG120" s="195" t="n">
        <f aca="false" t="array" ref="AG120:AG120">INDEX(PalData,MATCH(C120,PalNames,0)+1,MATCH("MaleProbability",PalData_Header,0))</f>
        <v>50</v>
      </c>
    </row>
    <row r="121" customFormat="false" ht="26.25" hidden="false" customHeight="true" outlineLevel="0" collapsed="false">
      <c r="A121" s="196" t="n">
        <f aca="false">VLOOKUP($C121,PalData!$A$2:$BU$139,9,0)</f>
        <v>96</v>
      </c>
      <c r="B121" s="197" t="n">
        <f aca="false">INDEX(PalData,MATCH(C121,PalNames,0)+1,MATCH("ZukanIndexSuffix",PalData_Header,0))</f>
        <v>0</v>
      </c>
      <c r="C121" s="185" t="s">
        <v>24</v>
      </c>
      <c r="D121" s="186" t="n">
        <f aca="false">IFERROR(INDEX(PalData,MATCH(C121,PalNames,0)+1,MATCH("Image",PalData_Header,0)),)</f>
        <v>0</v>
      </c>
      <c r="E121" s="187" t="str">
        <f aca="false">IFERROR(__xludf.dummyfunction("SPLIT(VLOOKUP($C121,PalData!$A$2:$BU$139,13,0),""EPalElementType::"",0,1)"),"Fire")</f>
        <v>Fire</v>
      </c>
      <c r="F121" s="187" t="str">
        <f aca="false">IFERROR(__xludf.dummyfunction("if(SPLIT(VLOOKUP($C121,PalData!$A$2:$BU$139,14,0),""EPalElementType::"",0,1)=""None"","""",SPLIT(VLOOKUP($C121,PalData!$A$2:$BU$139,14,0),""EPalElementType::"",0,1))"),"")</f>
        <v/>
      </c>
      <c r="G121" s="188" t="str">
        <f aca="false">IF(VLOOKUP($C121,PalData!$A$2:$BU$139,48,0),"🌜","")</f>
        <v/>
      </c>
      <c r="H121" s="189" t="n">
        <f aca="false">VLOOKUP($C121,PalData!$A$2:$BU$139,55,0)</f>
        <v>3</v>
      </c>
      <c r="I121" s="189" t="n">
        <f aca="false">VLOOKUP($C121,PalData!$A$2:$BU$139,56,0)</f>
        <v>0</v>
      </c>
      <c r="J121" s="189" t="n">
        <f aca="false">VLOOKUP($C121,PalData!$A$2:$BU$139,57,0)</f>
        <v>0</v>
      </c>
      <c r="K121" s="189" t="n">
        <f aca="false">VLOOKUP($C121,PalData!$A$2:$BU$139,58,0)</f>
        <v>0</v>
      </c>
      <c r="L121" s="189" t="n">
        <f aca="false">VLOOKUP($C121,PalData!$A$2:$BU$139,59,0)</f>
        <v>0</v>
      </c>
      <c r="M121" s="189" t="n">
        <f aca="false">VLOOKUP($C121,PalData!$A$2:$BU$139,60,0)</f>
        <v>0</v>
      </c>
      <c r="N121" s="189" t="n">
        <f aca="false">VLOOKUP($C121,PalData!$A$2:$BU$139,61,0)</f>
        <v>0</v>
      </c>
      <c r="O121" s="189" t="n">
        <f aca="false">VLOOKUP($C121,PalData!$A$2:$BU$139,62,0)</f>
        <v>4</v>
      </c>
      <c r="P121" s="189" t="n">
        <f aca="false">VLOOKUP($C121,PalData!$A$2:$BU$139,64,0)</f>
        <v>0</v>
      </c>
      <c r="Q121" s="189" t="n">
        <f aca="false">VLOOKUP($C121,PalData!$A$2:$BU$139,65,0)</f>
        <v>0</v>
      </c>
      <c r="R121" s="189" t="n">
        <f aca="false">VLOOKUP($C121,PalData!$A$2:$BU$139,66,0)</f>
        <v>0</v>
      </c>
      <c r="S121" s="189" t="n">
        <f aca="false">VLOOKUP($C121,PalData!$A$2:$BU$139,67,0)</f>
        <v>0</v>
      </c>
      <c r="T121" s="190" t="n">
        <f aca="false">VLOOKUP($C121,PalData!$A$2:$BU$139,43,0)</f>
        <v>9</v>
      </c>
      <c r="U121" s="188" t="n">
        <f aca="false">VLOOKUP($C121,PalData!$A$2:$BU$139,54,0)</f>
        <v>10</v>
      </c>
      <c r="V121" s="191" t="n">
        <f aca="false">VLOOKUP($C121,PalData!$A$2:$BU$139,19,0)</f>
        <v>100</v>
      </c>
      <c r="W121" s="191" t="n">
        <f aca="false">VLOOKUP($C121,PalData!$A$2:$BU$139,20,0)</f>
        <v>150</v>
      </c>
      <c r="X121" s="191" t="n">
        <f aca="false">VLOOKUP($C121,PalData!$A$2:$BU$139,21,0)</f>
        <v>125</v>
      </c>
      <c r="Y121" s="191" t="n">
        <f aca="false">VLOOKUP($C121,PalData!$A$2:$BU$139,22,0)</f>
        <v>120</v>
      </c>
      <c r="Z121" s="192" t="n">
        <f aca="false">VLOOKUP($C121,PalData!$A$2:$BU$139,28,0)</f>
        <v>10520</v>
      </c>
      <c r="AA121" s="193" t="n">
        <f aca="false" t="array" ref="AA121:AA121">INDEX(PalData,MATCH(C121,PalNames,0)+1,MATCH("Stamina",PalData_Header,0))</f>
        <v>100</v>
      </c>
      <c r="AB121" s="193" t="n">
        <f aca="false">VLOOKUP($C121,PalData!$A$2:$BU$139,32,0)</f>
        <v>400</v>
      </c>
      <c r="AC121" s="193" t="n">
        <f aca="false">VLOOKUP($C121,PalData!$A$2:$BU$139,33,0)</f>
        <v>700</v>
      </c>
      <c r="AD121" s="193" t="n">
        <f aca="false" t="array" ref="AD121:AD121">IF(INDEX(PalData,MATCH(C121,PalNames,0)+1,MATCH("Mount",PalData_Header,0)),INDEX(PalData,MATCH(C121,PalNames,0)+1,MATCH("RideSprintSpeed",PalData_Header,0)),)</f>
        <v>900</v>
      </c>
      <c r="AE121" s="193" t="n">
        <f aca="false">IF(R121&gt;0, INDEX(PalData,MATCH(C121,PalNames,0)+1,MATCH("TransportSpeed",PalData_Header,0)),)</f>
        <v>0</v>
      </c>
      <c r="AF121" s="198" t="n">
        <f aca="false">VLOOKUP($C121,PalData!$A$2:$BU$139,26,0)</f>
        <v>1</v>
      </c>
      <c r="AG121" s="195" t="n">
        <f aca="false" t="array" ref="AG121:AG121">INDEX(PalData,MATCH(C121,PalNames,0)+1,MATCH("MaleProbability",PalData_Header,0))</f>
        <v>50</v>
      </c>
    </row>
    <row r="122" customFormat="false" ht="26.25" hidden="false" customHeight="true" outlineLevel="0" collapsed="false">
      <c r="A122" s="196" t="n">
        <f aca="false">VLOOKUP($C122,PalData!$A$2:$BU$139,9,0)</f>
        <v>97</v>
      </c>
      <c r="B122" s="197" t="n">
        <f aca="false">INDEX(PalData,MATCH(C122,PalNames,0)+1,MATCH("ZukanIndexSuffix",PalData_Header,0))</f>
        <v>0</v>
      </c>
      <c r="C122" s="185" t="s">
        <v>73</v>
      </c>
      <c r="D122" s="186" t="n">
        <f aca="false">IFERROR(INDEX(PalData,MATCH(C122,PalNames,0)+1,MATCH("Image",PalData_Header,0)),)</f>
        <v>0</v>
      </c>
      <c r="E122" s="187" t="str">
        <f aca="false">IFERROR(__xludf.dummyfunction("SPLIT(VLOOKUP($C122,PalData!$A$2:$BU$139,13,0),""EPalElementType::"",0,1)"),"Dark")</f>
        <v>Dark</v>
      </c>
      <c r="F122" s="187" t="str">
        <f aca="false">IFERROR(__xludf.dummyfunction("if(SPLIT(VLOOKUP($C122,PalData!$A$2:$BU$139,14,0),""EPalElementType::"",0,1)=""None"","""",SPLIT(VLOOKUP($C122,PalData!$A$2:$BU$139,14,0),""EPalElementType::"",0,1))"),"")</f>
        <v/>
      </c>
      <c r="G122" s="188" t="str">
        <f aca="false">IF(VLOOKUP($C122,PalData!$A$2:$BU$139,48,0),"🌜","")</f>
        <v>🌜</v>
      </c>
      <c r="H122" s="189" t="n">
        <f aca="false">VLOOKUP($C122,PalData!$A$2:$BU$139,55,0)</f>
        <v>0</v>
      </c>
      <c r="I122" s="189" t="n">
        <f aca="false">VLOOKUP($C122,PalData!$A$2:$BU$139,56,0)</f>
        <v>0</v>
      </c>
      <c r="J122" s="189" t="n">
        <f aca="false">VLOOKUP($C122,PalData!$A$2:$BU$139,57,0)</f>
        <v>0</v>
      </c>
      <c r="K122" s="189" t="n">
        <f aca="false">VLOOKUP($C122,PalData!$A$2:$BU$139,58,0)</f>
        <v>0</v>
      </c>
      <c r="L122" s="189" t="n">
        <f aca="false">VLOOKUP($C122,PalData!$A$2:$BU$139,59,0)</f>
        <v>0</v>
      </c>
      <c r="M122" s="189" t="n">
        <f aca="false">VLOOKUP($C122,PalData!$A$2:$BU$139,60,0)</f>
        <v>0</v>
      </c>
      <c r="N122" s="189" t="n">
        <f aca="false">VLOOKUP($C122,PalData!$A$2:$BU$139,61,0)</f>
        <v>0</v>
      </c>
      <c r="O122" s="189" t="n">
        <f aca="false">VLOOKUP($C122,PalData!$A$2:$BU$139,62,0)</f>
        <v>0</v>
      </c>
      <c r="P122" s="189" t="n">
        <f aca="false">VLOOKUP($C122,PalData!$A$2:$BU$139,64,0)</f>
        <v>0</v>
      </c>
      <c r="Q122" s="189" t="n">
        <f aca="false">VLOOKUP($C122,PalData!$A$2:$BU$139,65,0)</f>
        <v>0</v>
      </c>
      <c r="R122" s="189" t="n">
        <f aca="false">VLOOKUP($C122,PalData!$A$2:$BU$139,66,0)</f>
        <v>3</v>
      </c>
      <c r="S122" s="189" t="n">
        <f aca="false">VLOOKUP($C122,PalData!$A$2:$BU$139,67,0)</f>
        <v>0</v>
      </c>
      <c r="T122" s="190" t="n">
        <f aca="false">VLOOKUP($C122,PalData!$A$2:$BU$139,43,0)</f>
        <v>8</v>
      </c>
      <c r="U122" s="188" t="n">
        <f aca="false">VLOOKUP($C122,PalData!$A$2:$BU$139,54,0)</f>
        <v>190</v>
      </c>
      <c r="V122" s="191" t="n">
        <f aca="false">VLOOKUP($C122,PalData!$A$2:$BU$139,19,0)</f>
        <v>100</v>
      </c>
      <c r="W122" s="191" t="n">
        <f aca="false">VLOOKUP($C122,PalData!$A$2:$BU$139,20,0)</f>
        <v>100</v>
      </c>
      <c r="X122" s="191" t="n">
        <f aca="false">VLOOKUP($C122,PalData!$A$2:$BU$139,21,0)</f>
        <v>125</v>
      </c>
      <c r="Y122" s="191" t="n">
        <f aca="false">VLOOKUP($C122,PalData!$A$2:$BU$139,22,0)</f>
        <v>100</v>
      </c>
      <c r="Z122" s="192" t="n">
        <f aca="false">VLOOKUP($C122,PalData!$A$2:$BU$139,28,0)</f>
        <v>7840</v>
      </c>
      <c r="AA122" s="193" t="n">
        <f aca="false" t="array" ref="AA122:AA122">INDEX(PalData,MATCH(C122,PalNames,0)+1,MATCH("Stamina",PalData_Header,0))</f>
        <v>170</v>
      </c>
      <c r="AB122" s="193" t="n">
        <f aca="false">VLOOKUP($C122,PalData!$A$2:$BU$139,32,0)</f>
        <v>100</v>
      </c>
      <c r="AC122" s="193" t="n">
        <f aca="false">VLOOKUP($C122,PalData!$A$2:$BU$139,33,0)</f>
        <v>700</v>
      </c>
      <c r="AD122" s="193" t="n">
        <f aca="false" t="array" ref="AD122:AD122">IF(INDEX(PalData,MATCH(C122,PalNames,0)+1,MATCH("Mount",PalData_Header,0)),INDEX(PalData,MATCH(C122,PalNames,0)+1,MATCH("RideSprintSpeed",PalData_Header,0)),)</f>
        <v>1100</v>
      </c>
      <c r="AE122" s="193" t="n">
        <f aca="false" t="array" ref="AE122:AE122">IF(R122&gt;0, INDEX(PalData,MATCH(C122,PalNames,0)+1,MATCH("TransportSpeed",PalData_Header,0)),)</f>
        <v>450</v>
      </c>
      <c r="AF122" s="198" t="n">
        <f aca="false">VLOOKUP($C122,PalData!$A$2:$BU$139,26,0)</f>
        <v>1</v>
      </c>
      <c r="AG122" s="195" t="n">
        <f aca="false" t="array" ref="AG122:AG122">INDEX(PalData,MATCH(C122,PalNames,0)+1,MATCH("MaleProbability",PalData_Header,0))</f>
        <v>50</v>
      </c>
    </row>
    <row r="123" customFormat="false" ht="26.25" hidden="false" customHeight="true" outlineLevel="0" collapsed="false">
      <c r="A123" s="196" t="n">
        <f aca="false">VLOOKUP($C123,PalData!$A$2:$BU$139,9,0)</f>
        <v>98</v>
      </c>
      <c r="B123" s="197" t="n">
        <f aca="false">INDEX(PalData,MATCH(C123,PalNames,0)+1,MATCH("ZukanIndexSuffix",PalData_Header,0))</f>
        <v>0</v>
      </c>
      <c r="C123" s="185" t="s">
        <v>15</v>
      </c>
      <c r="D123" s="186" t="n">
        <f aca="false">IFERROR(INDEX(PalData,MATCH(C123,PalNames,0)+1,MATCH("Image",PalData_Header,0)),)</f>
        <v>0</v>
      </c>
      <c r="E123" s="187" t="str">
        <f aca="false">IFERROR(__xludf.dummyfunction("SPLIT(VLOOKUP($C123,PalData!$A$2:$BU$139,13,0),""EPalElementType::"",0,1)"),"Dragon")</f>
        <v>Dragon</v>
      </c>
      <c r="F123" s="187" t="str">
        <f aca="false">IFERROR(__xludf.dummyfunction("if(SPLIT(VLOOKUP($C123,PalData!$A$2:$BU$139,14,0),""EPalElementType::"",0,1)=""None"","""",SPLIT(VLOOKUP($C123,PalData!$A$2:$BU$139,14,0),""EPalElementType::"",0,1))"),"Dark")</f>
        <v>Dark</v>
      </c>
      <c r="G123" s="188" t="str">
        <f aca="false">IF(VLOOKUP($C123,PalData!$A$2:$BU$139,48,0),"🌜","")</f>
        <v>🌜</v>
      </c>
      <c r="H123" s="189" t="n">
        <f aca="false">VLOOKUP($C123,PalData!$A$2:$BU$139,55,0)</f>
        <v>0</v>
      </c>
      <c r="I123" s="189" t="n">
        <f aca="false">VLOOKUP($C123,PalData!$A$2:$BU$139,56,0)</f>
        <v>0</v>
      </c>
      <c r="J123" s="189" t="n">
        <f aca="false">VLOOKUP($C123,PalData!$A$2:$BU$139,57,0)</f>
        <v>0</v>
      </c>
      <c r="K123" s="189" t="n">
        <f aca="false">VLOOKUP($C123,PalData!$A$2:$BU$139,58,0)</f>
        <v>0</v>
      </c>
      <c r="L123" s="189" t="n">
        <f aca="false">VLOOKUP($C123,PalData!$A$2:$BU$139,59,0)</f>
        <v>1</v>
      </c>
      <c r="M123" s="189" t="n">
        <f aca="false">VLOOKUP($C123,PalData!$A$2:$BU$139,60,0)</f>
        <v>0</v>
      </c>
      <c r="N123" s="189" t="n">
        <f aca="false">VLOOKUP($C123,PalData!$A$2:$BU$139,61,0)</f>
        <v>0</v>
      </c>
      <c r="O123" s="189" t="n">
        <f aca="false">VLOOKUP($C123,PalData!$A$2:$BU$139,62,0)</f>
        <v>4</v>
      </c>
      <c r="P123" s="189" t="n">
        <f aca="false">VLOOKUP($C123,PalData!$A$2:$BU$139,64,0)</f>
        <v>0</v>
      </c>
      <c r="Q123" s="189" t="n">
        <f aca="false">VLOOKUP($C123,PalData!$A$2:$BU$139,65,0)</f>
        <v>0</v>
      </c>
      <c r="R123" s="189" t="n">
        <f aca="false">VLOOKUP($C123,PalData!$A$2:$BU$139,66,0)</f>
        <v>0</v>
      </c>
      <c r="S123" s="189" t="n">
        <f aca="false">VLOOKUP($C123,PalData!$A$2:$BU$139,67,0)</f>
        <v>0</v>
      </c>
      <c r="T123" s="190" t="n">
        <f aca="false">VLOOKUP($C123,PalData!$A$2:$BU$139,43,0)</f>
        <v>9</v>
      </c>
      <c r="U123" s="188" t="n">
        <f aca="false">VLOOKUP($C123,PalData!$A$2:$BU$139,54,0)</f>
        <v>150</v>
      </c>
      <c r="V123" s="191" t="n">
        <f aca="false">VLOOKUP($C123,PalData!$A$2:$BU$139,19,0)</f>
        <v>100</v>
      </c>
      <c r="W123" s="191" t="n">
        <f aca="false">VLOOKUP($C123,PalData!$A$2:$BU$139,20,0)</f>
        <v>100</v>
      </c>
      <c r="X123" s="191" t="n">
        <f aca="false">VLOOKUP($C123,PalData!$A$2:$BU$139,21,0)</f>
        <v>125</v>
      </c>
      <c r="Y123" s="191" t="n">
        <f aca="false">VLOOKUP($C123,PalData!$A$2:$BU$139,22,0)</f>
        <v>125</v>
      </c>
      <c r="Z123" s="192" t="n">
        <f aca="false">VLOOKUP($C123,PalData!$A$2:$BU$139,28,0)</f>
        <v>8200</v>
      </c>
      <c r="AA123" s="193" t="n">
        <f aca="false" t="array" ref="AA123:AA123">INDEX(PalData,MATCH(C123,PalNames,0)+1,MATCH("Stamina",PalData_Header,0))</f>
        <v>300</v>
      </c>
      <c r="AB123" s="193" t="n">
        <f aca="false">VLOOKUP($C123,PalData!$A$2:$BU$139,32,0)</f>
        <v>150</v>
      </c>
      <c r="AC123" s="193" t="n">
        <f aca="false">VLOOKUP($C123,PalData!$A$2:$BU$139,33,0)</f>
        <v>600</v>
      </c>
      <c r="AD123" s="193" t="n">
        <f aca="false" t="array" ref="AD123:AD123">IF(INDEX(PalData,MATCH(C123,PalNames,0)+1,MATCH("Mount",PalData_Header,0)),INDEX(PalData,MATCH(C123,PalNames,0)+1,MATCH("RideSprintSpeed",PalData_Header,0)),)</f>
        <v>800</v>
      </c>
      <c r="AE123" s="193" t="n">
        <f aca="false">IF(R123&gt;0, INDEX(PalData,MATCH(C123,PalNames,0)+1,MATCH("TransportSpeed",PalData_Header,0)),)</f>
        <v>0</v>
      </c>
      <c r="AF123" s="198" t="n">
        <f aca="false">VLOOKUP($C123,PalData!$A$2:$BU$139,26,0)</f>
        <v>1</v>
      </c>
      <c r="AG123" s="195" t="n">
        <f aca="false" t="array" ref="AG123:AG123">INDEX(PalData,MATCH(C123,PalNames,0)+1,MATCH("MaleProbability",PalData_Header,0))</f>
        <v>50</v>
      </c>
    </row>
    <row r="124" customFormat="false" ht="26.25" hidden="false" customHeight="true" outlineLevel="0" collapsed="false">
      <c r="A124" s="196" t="n">
        <f aca="false">VLOOKUP($C124,PalData!$A$2:$BU$139,9,0)</f>
        <v>99</v>
      </c>
      <c r="B124" s="197" t="n">
        <f aca="false">INDEX(PalData,MATCH(C124,PalNames,0)+1,MATCH("ZukanIndexSuffix",PalData_Header,0))</f>
        <v>0</v>
      </c>
      <c r="C124" s="185" t="s">
        <v>105</v>
      </c>
      <c r="D124" s="186" t="n">
        <f aca="false">IFERROR(INDEX(PalData,MATCH(C124,PalNames,0)+1,MATCH("Image",PalData_Header,0)),)</f>
        <v>0</v>
      </c>
      <c r="E124" s="187" t="str">
        <f aca="false">IFERROR(__xludf.dummyfunction("SPLIT(VLOOKUP($C124,PalData!$A$2:$BU$139,13,0),""EPalElementType::"",0,1)"),"Dark")</f>
        <v>Dark</v>
      </c>
      <c r="F124" s="187" t="str">
        <f aca="false">IFERROR(__xludf.dummyfunction("if(SPLIT(VLOOKUP($C124,PalData!$A$2:$BU$139,14,0),""EPalElementType::"",0,1)=""None"","""",SPLIT(VLOOKUP($C124,PalData!$A$2:$BU$139,14,0),""EPalElementType::"",0,1))"),"Earth")</f>
        <v>Earth</v>
      </c>
      <c r="G124" s="188" t="str">
        <f aca="false">IF(VLOOKUP($C124,PalData!$A$2:$BU$139,48,0),"🌜","")</f>
        <v>🌜</v>
      </c>
      <c r="H124" s="189" t="n">
        <f aca="false">VLOOKUP($C124,PalData!$A$2:$BU$139,55,0)</f>
        <v>0</v>
      </c>
      <c r="I124" s="189" t="n">
        <f aca="false">VLOOKUP($C124,PalData!$A$2:$BU$139,56,0)</f>
        <v>0</v>
      </c>
      <c r="J124" s="189" t="n">
        <f aca="false">VLOOKUP($C124,PalData!$A$2:$BU$139,57,0)</f>
        <v>0</v>
      </c>
      <c r="K124" s="189" t="n">
        <f aca="false">VLOOKUP($C124,PalData!$A$2:$BU$139,58,0)</f>
        <v>0</v>
      </c>
      <c r="L124" s="189" t="n">
        <f aca="false">VLOOKUP($C124,PalData!$A$2:$BU$139,59,0)</f>
        <v>0</v>
      </c>
      <c r="M124" s="189" t="n">
        <f aca="false">VLOOKUP($C124,PalData!$A$2:$BU$139,60,0)</f>
        <v>0</v>
      </c>
      <c r="N124" s="189" t="n">
        <f aca="false">VLOOKUP($C124,PalData!$A$2:$BU$139,61,0)</f>
        <v>2</v>
      </c>
      <c r="O124" s="189" t="n">
        <f aca="false">VLOOKUP($C124,PalData!$A$2:$BU$139,62,0)</f>
        <v>3</v>
      </c>
      <c r="P124" s="189" t="n">
        <f aca="false">VLOOKUP($C124,PalData!$A$2:$BU$139,64,0)</f>
        <v>0</v>
      </c>
      <c r="Q124" s="189" t="n">
        <f aca="false">VLOOKUP($C124,PalData!$A$2:$BU$139,65,0)</f>
        <v>0</v>
      </c>
      <c r="R124" s="189" t="n">
        <f aca="false">VLOOKUP($C124,PalData!$A$2:$BU$139,66,0)</f>
        <v>0</v>
      </c>
      <c r="S124" s="189" t="n">
        <f aca="false">VLOOKUP($C124,PalData!$A$2:$BU$139,67,0)</f>
        <v>0</v>
      </c>
      <c r="T124" s="190" t="n">
        <f aca="false">VLOOKUP($C124,PalData!$A$2:$BU$139,43,0)</f>
        <v>7</v>
      </c>
      <c r="U124" s="188" t="n">
        <f aca="false">VLOOKUP($C124,PalData!$A$2:$BU$139,54,0)</f>
        <v>260</v>
      </c>
      <c r="V124" s="191" t="n">
        <f aca="false">VLOOKUP($C124,PalData!$A$2:$BU$139,19,0)</f>
        <v>100</v>
      </c>
      <c r="W124" s="191" t="n">
        <f aca="false">VLOOKUP($C124,PalData!$A$2:$BU$139,20,0)</f>
        <v>100</v>
      </c>
      <c r="X124" s="191" t="n">
        <f aca="false">VLOOKUP($C124,PalData!$A$2:$BU$139,21,0)</f>
        <v>100</v>
      </c>
      <c r="Y124" s="191" t="n">
        <f aca="false">VLOOKUP($C124,PalData!$A$2:$BU$139,22,0)</f>
        <v>130</v>
      </c>
      <c r="Z124" s="192" t="n">
        <f aca="false">VLOOKUP($C124,PalData!$A$2:$BU$139,28,0)</f>
        <v>7050</v>
      </c>
      <c r="AA124" s="193" t="n">
        <f aca="false" t="array" ref="AA124:AA124">INDEX(PalData,MATCH(C124,PalNames,0)+1,MATCH("Stamina",PalData_Header,0))</f>
        <v>100</v>
      </c>
      <c r="AB124" s="193" t="n">
        <f aca="false">VLOOKUP($C124,PalData!$A$2:$BU$139,32,0)</f>
        <v>200</v>
      </c>
      <c r="AC124" s="193" t="n">
        <f aca="false">VLOOKUP($C124,PalData!$A$2:$BU$139,33,0)</f>
        <v>1000</v>
      </c>
      <c r="AD124" s="193" t="n">
        <f aca="false">IF(INDEX(PalData,MATCH(C124,PalNames,0)+1,MATCH("Mount",PalData_Header,0)),INDEX(PalData,MATCH(C124,PalNames,0)+1,MATCH("RideSprintSpeed",PalData_Header,0)),)</f>
        <v>0</v>
      </c>
      <c r="AE124" s="193" t="n">
        <f aca="false">IF(R124&gt;0, INDEX(PalData,MATCH(C124,PalNames,0)+1,MATCH("TransportSpeed",PalData_Header,0)),)</f>
        <v>0</v>
      </c>
      <c r="AF124" s="198" t="n">
        <f aca="false">VLOOKUP($C124,PalData!$A$2:$BU$139,26,0)</f>
        <v>1</v>
      </c>
      <c r="AG124" s="195" t="n">
        <f aca="false" t="array" ref="AG124:AG124">INDEX(PalData,MATCH(C124,PalNames,0)+1,MATCH("MaleProbability",PalData_Header,0))</f>
        <v>50</v>
      </c>
    </row>
    <row r="125" customFormat="false" ht="26.25" hidden="false" customHeight="true" outlineLevel="0" collapsed="false">
      <c r="A125" s="196" t="n">
        <f aca="false">VLOOKUP($C125,PalData!$A$2:$BU$139,9,0)</f>
        <v>100</v>
      </c>
      <c r="B125" s="197" t="n">
        <f aca="false">INDEX(PalData,MATCH(C125,PalNames,0)+1,MATCH("ZukanIndexSuffix",PalData_Header,0))</f>
        <v>0</v>
      </c>
      <c r="C125" s="185" t="s">
        <v>12</v>
      </c>
      <c r="D125" s="186" t="n">
        <f aca="false">IFERROR(INDEX(PalData,MATCH(C125,PalNames,0)+1,MATCH("Image",PalData_Header,0)),)</f>
        <v>0</v>
      </c>
      <c r="E125" s="187" t="str">
        <f aca="false">IFERROR(__xludf.dummyfunction("SPLIT(VLOOKUP($C125,PalData!$A$2:$BU$139,13,0),""EPalElementType::"",0,1)"),"Earth")</f>
        <v>Earth</v>
      </c>
      <c r="F125" s="187" t="str">
        <f aca="false">IFERROR(__xludf.dummyfunction("if(SPLIT(VLOOKUP($C125,PalData!$A$2:$BU$139,14,0),""EPalElementType::"",0,1)=""None"","""",SPLIT(VLOOKUP($C125,PalData!$A$2:$BU$139,14,0),""EPalElementType::"",0,1))"),"")</f>
        <v/>
      </c>
      <c r="G125" s="188" t="str">
        <f aca="false">IF(VLOOKUP($C125,PalData!$A$2:$BU$139,48,0),"🌜","")</f>
        <v/>
      </c>
      <c r="H125" s="189" t="n">
        <f aca="false">VLOOKUP($C125,PalData!$A$2:$BU$139,55,0)</f>
        <v>0</v>
      </c>
      <c r="I125" s="189" t="n">
        <f aca="false">VLOOKUP($C125,PalData!$A$2:$BU$139,56,0)</f>
        <v>0</v>
      </c>
      <c r="J125" s="189" t="n">
        <f aca="false">VLOOKUP($C125,PalData!$A$2:$BU$139,57,0)</f>
        <v>0</v>
      </c>
      <c r="K125" s="189" t="n">
        <f aca="false">VLOOKUP($C125,PalData!$A$2:$BU$139,58,0)</f>
        <v>0</v>
      </c>
      <c r="L125" s="189" t="n">
        <f aca="false">VLOOKUP($C125,PalData!$A$2:$BU$139,59,0)</f>
        <v>4</v>
      </c>
      <c r="M125" s="189" t="n">
        <f aca="false">VLOOKUP($C125,PalData!$A$2:$BU$139,60,0)</f>
        <v>0</v>
      </c>
      <c r="N125" s="189" t="n">
        <f aca="false">VLOOKUP($C125,PalData!$A$2:$BU$139,61,0)</f>
        <v>0</v>
      </c>
      <c r="O125" s="189" t="n">
        <f aca="false">VLOOKUP($C125,PalData!$A$2:$BU$139,62,0)</f>
        <v>3</v>
      </c>
      <c r="P125" s="189" t="n">
        <f aca="false">VLOOKUP($C125,PalData!$A$2:$BU$139,64,0)</f>
        <v>0</v>
      </c>
      <c r="Q125" s="189" t="n">
        <f aca="false">VLOOKUP($C125,PalData!$A$2:$BU$139,65,0)</f>
        <v>0</v>
      </c>
      <c r="R125" s="189" t="n">
        <f aca="false">VLOOKUP($C125,PalData!$A$2:$BU$139,66,0)</f>
        <v>2</v>
      </c>
      <c r="S125" s="189" t="n">
        <f aca="false">VLOOKUP($C125,PalData!$A$2:$BU$139,67,0)</f>
        <v>0</v>
      </c>
      <c r="T125" s="190" t="n">
        <f aca="false">VLOOKUP($C125,PalData!$A$2:$BU$139,43,0)</f>
        <v>6</v>
      </c>
      <c r="U125" s="188" t="n">
        <f aca="false">VLOOKUP($C125,PalData!$A$2:$BU$139,54,0)</f>
        <v>570</v>
      </c>
      <c r="V125" s="191" t="n">
        <f aca="false">VLOOKUP($C125,PalData!$A$2:$BU$139,19,0)</f>
        <v>120</v>
      </c>
      <c r="W125" s="191" t="n">
        <f aca="false">VLOOKUP($C125,PalData!$A$2:$BU$139,20,0)</f>
        <v>130</v>
      </c>
      <c r="X125" s="191" t="n">
        <f aca="false">VLOOKUP($C125,PalData!$A$2:$BU$139,21,0)</f>
        <v>130</v>
      </c>
      <c r="Y125" s="191" t="n">
        <f aca="false">VLOOKUP($C125,PalData!$A$2:$BU$139,22,0)</f>
        <v>100</v>
      </c>
      <c r="Z125" s="192" t="n">
        <f aca="false">VLOOKUP($C125,PalData!$A$2:$BU$139,28,0)</f>
        <v>4960</v>
      </c>
      <c r="AA125" s="193" t="n">
        <f aca="false" t="array" ref="AA125:AA125">INDEX(PalData,MATCH(C125,PalNames,0)+1,MATCH("Stamina",PalData_Header,0))</f>
        <v>100</v>
      </c>
      <c r="AB125" s="193" t="n">
        <f aca="false">VLOOKUP($C125,PalData!$A$2:$BU$139,32,0)</f>
        <v>160</v>
      </c>
      <c r="AC125" s="193" t="n">
        <f aca="false">VLOOKUP($C125,PalData!$A$2:$BU$139,33,0)</f>
        <v>800</v>
      </c>
      <c r="AD125" s="193" t="n">
        <f aca="false">IF(INDEX(PalData,MATCH(C125,PalNames,0)+1,MATCH("Mount",PalData_Header,0)),INDEX(PalData,MATCH(C125,PalNames,0)+1,MATCH("RideSprintSpeed",PalData_Header,0)),)</f>
        <v>0</v>
      </c>
      <c r="AE125" s="193" t="n">
        <f aca="false" t="array" ref="AE125:AE125">IF(R125&gt;0, INDEX(PalData,MATCH(C125,PalNames,0)+1,MATCH("TransportSpeed",PalData_Header,0)),)</f>
        <v>480</v>
      </c>
      <c r="AF125" s="198" t="n">
        <f aca="false">VLOOKUP($C125,PalData!$A$2:$BU$139,26,0)</f>
        <v>1</v>
      </c>
      <c r="AG125" s="195" t="n">
        <f aca="false" t="array" ref="AG125:AG125">INDEX(PalData,MATCH(C125,PalNames,0)+1,MATCH("MaleProbability",PalData_Header,0))</f>
        <v>50</v>
      </c>
    </row>
    <row r="126" customFormat="false" ht="26.25" hidden="false" customHeight="true" outlineLevel="0" collapsed="false">
      <c r="A126" s="196" t="n">
        <f aca="false">VLOOKUP($C126,PalData!$A$2:$BU$139,9,0)</f>
        <v>101</v>
      </c>
      <c r="B126" s="197" t="n">
        <f aca="false">INDEX(PalData,MATCH(C126,PalNames,0)+1,MATCH("ZukanIndexSuffix",PalData_Header,0))</f>
        <v>0</v>
      </c>
      <c r="C126" s="185" t="s">
        <v>82</v>
      </c>
      <c r="D126" s="186" t="n">
        <f aca="false">IFERROR(INDEX(PalData,MATCH(C126,PalNames,0)+1,MATCH("Image",PalData_Header,0)),)</f>
        <v>0</v>
      </c>
      <c r="E126" s="187" t="str">
        <f aca="false">IFERROR(__xludf.dummyfunction("SPLIT(VLOOKUP($C126,PalData!$A$2:$BU$139,13,0),""EPalElementType::"",0,1)"),"Dragon")</f>
        <v>Dragon</v>
      </c>
      <c r="F126" s="187" t="str">
        <f aca="false">IFERROR(__xludf.dummyfunction("if(SPLIT(VLOOKUP($C126,PalData!$A$2:$BU$139,14,0),""EPalElementType::"",0,1)=""None"","""",SPLIT(VLOOKUP($C126,PalData!$A$2:$BU$139,14,0),""EPalElementType::"",0,1))"),"Water")</f>
        <v>Water</v>
      </c>
      <c r="G126" s="188" t="str">
        <f aca="false">IF(VLOOKUP($C126,PalData!$A$2:$BU$139,48,0),"🌜","")</f>
        <v/>
      </c>
      <c r="H126" s="189" t="n">
        <f aca="false">VLOOKUP($C126,PalData!$A$2:$BU$139,55,0)</f>
        <v>0</v>
      </c>
      <c r="I126" s="189" t="n">
        <f aca="false">VLOOKUP($C126,PalData!$A$2:$BU$139,56,0)</f>
        <v>4</v>
      </c>
      <c r="J126" s="189" t="n">
        <f aca="false">VLOOKUP($C126,PalData!$A$2:$BU$139,57,0)</f>
        <v>0</v>
      </c>
      <c r="K126" s="189" t="n">
        <f aca="false">VLOOKUP($C126,PalData!$A$2:$BU$139,58,0)</f>
        <v>0</v>
      </c>
      <c r="L126" s="189" t="n">
        <f aca="false">VLOOKUP($C126,PalData!$A$2:$BU$139,59,0)</f>
        <v>0</v>
      </c>
      <c r="M126" s="189" t="n">
        <f aca="false">VLOOKUP($C126,PalData!$A$2:$BU$139,60,0)</f>
        <v>0</v>
      </c>
      <c r="N126" s="189" t="n">
        <f aca="false">VLOOKUP($C126,PalData!$A$2:$BU$139,61,0)</f>
        <v>0</v>
      </c>
      <c r="O126" s="189" t="n">
        <f aca="false">VLOOKUP($C126,PalData!$A$2:$BU$139,62,0)</f>
        <v>0</v>
      </c>
      <c r="P126" s="189" t="n">
        <f aca="false">VLOOKUP($C126,PalData!$A$2:$BU$139,64,0)</f>
        <v>0</v>
      </c>
      <c r="Q126" s="189" t="n">
        <f aca="false">VLOOKUP($C126,PalData!$A$2:$BU$139,65,0)</f>
        <v>0</v>
      </c>
      <c r="R126" s="189" t="n">
        <f aca="false">VLOOKUP($C126,PalData!$A$2:$BU$139,66,0)</f>
        <v>0</v>
      </c>
      <c r="S126" s="189" t="n">
        <f aca="false">VLOOKUP($C126,PalData!$A$2:$BU$139,67,0)</f>
        <v>0</v>
      </c>
      <c r="T126" s="190" t="n">
        <f aca="false">VLOOKUP($C126,PalData!$A$2:$BU$139,43,0)</f>
        <v>7</v>
      </c>
      <c r="U126" s="188" t="n">
        <f aca="false">VLOOKUP($C126,PalData!$A$2:$BU$139,54,0)</f>
        <v>310</v>
      </c>
      <c r="V126" s="191" t="n">
        <f aca="false">VLOOKUP($C126,PalData!$A$2:$BU$139,19,0)</f>
        <v>130</v>
      </c>
      <c r="W126" s="191" t="n">
        <f aca="false">VLOOKUP($C126,PalData!$A$2:$BU$139,20,0)</f>
        <v>150</v>
      </c>
      <c r="X126" s="191" t="n">
        <f aca="false">VLOOKUP($C126,PalData!$A$2:$BU$139,21,0)</f>
        <v>120</v>
      </c>
      <c r="Y126" s="191" t="n">
        <f aca="false">VLOOKUP($C126,PalData!$A$2:$BU$139,22,0)</f>
        <v>100</v>
      </c>
      <c r="Z126" s="192" t="n">
        <f aca="false">VLOOKUP($C126,PalData!$A$2:$BU$139,28,0)</f>
        <v>9320</v>
      </c>
      <c r="AA126" s="193" t="n">
        <f aca="false" t="array" ref="AA126:AA126">INDEX(PalData,MATCH(C126,PalNames,0)+1,MATCH("Stamina",PalData_Header,0))</f>
        <v>100</v>
      </c>
      <c r="AB126" s="193" t="n">
        <f aca="false">VLOOKUP($C126,PalData!$A$2:$BU$139,32,0)</f>
        <v>175</v>
      </c>
      <c r="AC126" s="193" t="n">
        <f aca="false">VLOOKUP($C126,PalData!$A$2:$BU$139,33,0)</f>
        <v>525</v>
      </c>
      <c r="AD126" s="193" t="n">
        <f aca="false" t="array" ref="AD126:AD126">IF(INDEX(PalData,MATCH(C126,PalNames,0)+1,MATCH("Mount",PalData_Header,0)),INDEX(PalData,MATCH(C126,PalNames,0)+1,MATCH("RideSprintSpeed",PalData_Header,0)),)</f>
        <v>700</v>
      </c>
      <c r="AE126" s="193" t="n">
        <f aca="false">IF(R126&gt;0, INDEX(PalData,MATCH(C126,PalNames,0)+1,MATCH("TransportSpeed",PalData_Header,0)),)</f>
        <v>0</v>
      </c>
      <c r="AF126" s="198" t="n">
        <f aca="false">VLOOKUP($C126,PalData!$A$2:$BU$139,26,0)</f>
        <v>1</v>
      </c>
      <c r="AG126" s="195" t="n">
        <f aca="false" t="array" ref="AG126:AG126">INDEX(PalData,MATCH(C126,PalNames,0)+1,MATCH("MaleProbability",PalData_Header,0))</f>
        <v>50</v>
      </c>
    </row>
    <row r="127" customFormat="false" ht="26.25" hidden="false" customHeight="true" outlineLevel="0" collapsed="false">
      <c r="A127" s="196" t="n">
        <f aca="false">VLOOKUP($C127,PalData!$A$2:$BU$139,9,0)</f>
        <v>101</v>
      </c>
      <c r="B127" s="197" t="str">
        <f aca="false" t="array" ref="B127:B127">INDEX(PalData,MATCH(C127,PalNames,0)+1,MATCH("ZukanIndexSuffix",PalData_Header,0))</f>
        <v>B</v>
      </c>
      <c r="C127" s="185" t="s">
        <v>83</v>
      </c>
      <c r="D127" s="186" t="n">
        <f aca="false">IFERROR(INDEX(PalData,MATCH(C127,PalNames,0)+1,MATCH("Image",PalData_Header,0)),)</f>
        <v>0</v>
      </c>
      <c r="E127" s="187" t="str">
        <f aca="false">IFERROR(__xludf.dummyfunction("SPLIT(VLOOKUP($C127,PalData!$A$2:$BU$139,13,0),""EPalElementType::"",0,1)"),"Dragon")</f>
        <v>Dragon</v>
      </c>
      <c r="F127" s="187" t="str">
        <f aca="false">IFERROR(__xludf.dummyfunction("if(SPLIT(VLOOKUP($C127,PalData!$A$2:$BU$139,14,0),""EPalElementType::"",0,1)=""None"","""",SPLIT(VLOOKUP($C127,PalData!$A$2:$BU$139,14,0),""EPalElementType::"",0,1))"),"Fire")</f>
        <v>Fire</v>
      </c>
      <c r="G127" s="188" t="str">
        <f aca="false">IF(VLOOKUP($C127,PalData!$A$2:$BU$139,48,0),"🌜","")</f>
        <v/>
      </c>
      <c r="H127" s="189" t="n">
        <f aca="false">VLOOKUP($C127,PalData!$A$2:$BU$139,55,0)</f>
        <v>4</v>
      </c>
      <c r="I127" s="189" t="n">
        <f aca="false">VLOOKUP($C127,PalData!$A$2:$BU$139,56,0)</f>
        <v>0</v>
      </c>
      <c r="J127" s="189" t="n">
        <f aca="false">VLOOKUP($C127,PalData!$A$2:$BU$139,57,0)</f>
        <v>0</v>
      </c>
      <c r="K127" s="189" t="n">
        <f aca="false">VLOOKUP($C127,PalData!$A$2:$BU$139,58,0)</f>
        <v>0</v>
      </c>
      <c r="L127" s="189" t="n">
        <f aca="false">VLOOKUP($C127,PalData!$A$2:$BU$139,59,0)</f>
        <v>0</v>
      </c>
      <c r="M127" s="189" t="n">
        <f aca="false">VLOOKUP($C127,PalData!$A$2:$BU$139,60,0)</f>
        <v>0</v>
      </c>
      <c r="N127" s="189" t="n">
        <f aca="false">VLOOKUP($C127,PalData!$A$2:$BU$139,61,0)</f>
        <v>0</v>
      </c>
      <c r="O127" s="189" t="n">
        <f aca="false">VLOOKUP($C127,PalData!$A$2:$BU$139,62,0)</f>
        <v>0</v>
      </c>
      <c r="P127" s="189" t="n">
        <f aca="false">VLOOKUP($C127,PalData!$A$2:$BU$139,64,0)</f>
        <v>0</v>
      </c>
      <c r="Q127" s="189" t="n">
        <f aca="false">VLOOKUP($C127,PalData!$A$2:$BU$139,65,0)</f>
        <v>0</v>
      </c>
      <c r="R127" s="189" t="n">
        <f aca="false">VLOOKUP($C127,PalData!$A$2:$BU$139,66,0)</f>
        <v>0</v>
      </c>
      <c r="S127" s="189" t="n">
        <f aca="false">VLOOKUP($C127,PalData!$A$2:$BU$139,67,0)</f>
        <v>0</v>
      </c>
      <c r="T127" s="190" t="n">
        <f aca="false">VLOOKUP($C127,PalData!$A$2:$BU$139,43,0)</f>
        <v>7</v>
      </c>
      <c r="U127" s="188" t="n">
        <f aca="false">VLOOKUP($C127,PalData!$A$2:$BU$139,54,0)</f>
        <v>315</v>
      </c>
      <c r="V127" s="191" t="n">
        <f aca="false">VLOOKUP($C127,PalData!$A$2:$BU$139,19,0)</f>
        <v>130</v>
      </c>
      <c r="W127" s="191" t="n">
        <f aca="false">VLOOKUP($C127,PalData!$A$2:$BU$139,20,0)</f>
        <v>150</v>
      </c>
      <c r="X127" s="191" t="n">
        <f aca="false">VLOOKUP($C127,PalData!$A$2:$BU$139,21,0)</f>
        <v>130</v>
      </c>
      <c r="Y127" s="191" t="n">
        <f aca="false">VLOOKUP($C127,PalData!$A$2:$BU$139,22,0)</f>
        <v>100</v>
      </c>
      <c r="Z127" s="192" t="n">
        <f aca="false">VLOOKUP($C127,PalData!$A$2:$BU$139,28,0)</f>
        <v>9500</v>
      </c>
      <c r="AA127" s="193" t="n">
        <f aca="false" t="array" ref="AA127:AA127">INDEX(PalData,MATCH(C127,PalNames,0)+1,MATCH("Stamina",PalData_Header,0))</f>
        <v>100</v>
      </c>
      <c r="AB127" s="193" t="n">
        <f aca="false">VLOOKUP($C127,PalData!$A$2:$BU$139,32,0)</f>
        <v>175</v>
      </c>
      <c r="AC127" s="193" t="n">
        <f aca="false">VLOOKUP($C127,PalData!$A$2:$BU$139,33,0)</f>
        <v>525</v>
      </c>
      <c r="AD127" s="193" t="n">
        <f aca="false" t="array" ref="AD127:AD127">IF(INDEX(PalData,MATCH(C127,PalNames,0)+1,MATCH("Mount",PalData_Header,0)),INDEX(PalData,MATCH(C127,PalNames,0)+1,MATCH("RideSprintSpeed",PalData_Header,0)),)</f>
        <v>700</v>
      </c>
      <c r="AE127" s="193" t="n">
        <f aca="false">IF(R127&gt;0, INDEX(PalData,MATCH(C127,PalNames,0)+1,MATCH("TransportSpeed",PalData_Header,0)),)</f>
        <v>0</v>
      </c>
      <c r="AF127" s="198" t="n">
        <f aca="false">VLOOKUP($C127,PalData!$A$2:$BU$139,26,0)</f>
        <v>1</v>
      </c>
      <c r="AG127" s="195" t="n">
        <f aca="false" t="array" ref="AG127:AG127">INDEX(PalData,MATCH(C127,PalNames,0)+1,MATCH("MaleProbability",PalData_Header,0))</f>
        <v>50</v>
      </c>
    </row>
    <row r="128" customFormat="false" ht="26.25" hidden="false" customHeight="true" outlineLevel="0" collapsed="false">
      <c r="A128" s="196" t="n">
        <f aca="false">VLOOKUP($C128,PalData!$A$2:$BU$139,9,0)</f>
        <v>102</v>
      </c>
      <c r="B128" s="197" t="n">
        <f aca="false">INDEX(PalData,MATCH(C128,PalNames,0)+1,MATCH("ZukanIndexSuffix",PalData_Header,0))</f>
        <v>0</v>
      </c>
      <c r="C128" s="185" t="s">
        <v>135</v>
      </c>
      <c r="D128" s="186" t="n">
        <f aca="false">IFERROR(INDEX(PalData,MATCH(C128,PalNames,0)+1,MATCH("Image",PalData_Header,0)),)</f>
        <v>0</v>
      </c>
      <c r="E128" s="187" t="str">
        <f aca="false">IFERROR(__xludf.dummyfunction("SPLIT(VLOOKUP($C128,PalData!$A$2:$BU$139,13,0),""EPalElementType::"",0,1)"),"Fire")</f>
        <v>Fire</v>
      </c>
      <c r="F128" s="187" t="str">
        <f aca="false">IFERROR(__xludf.dummyfunction("if(SPLIT(VLOOKUP($C128,PalData!$A$2:$BU$139,14,0),""EPalElementType::"",0,1)=""None"","""",SPLIT(VLOOKUP($C128,PalData!$A$2:$BU$139,14,0),""EPalElementType::"",0,1))"),"")</f>
        <v/>
      </c>
      <c r="G128" s="188" t="str">
        <f aca="false">IF(VLOOKUP($C128,PalData!$A$2:$BU$139,48,0),"🌜","")</f>
        <v/>
      </c>
      <c r="H128" s="189" t="n">
        <f aca="false">VLOOKUP($C128,PalData!$A$2:$BU$139,55,0)</f>
        <v>3</v>
      </c>
      <c r="I128" s="189" t="n">
        <f aca="false">VLOOKUP($C128,PalData!$A$2:$BU$139,56,0)</f>
        <v>0</v>
      </c>
      <c r="J128" s="189" t="n">
        <f aca="false">VLOOKUP($C128,PalData!$A$2:$BU$139,57,0)</f>
        <v>0</v>
      </c>
      <c r="K128" s="189" t="n">
        <f aca="false">VLOOKUP($C128,PalData!$A$2:$BU$139,58,0)</f>
        <v>0</v>
      </c>
      <c r="L128" s="189" t="n">
        <f aca="false">VLOOKUP($C128,PalData!$A$2:$BU$139,59,0)</f>
        <v>0</v>
      </c>
      <c r="M128" s="189" t="n">
        <f aca="false">VLOOKUP($C128,PalData!$A$2:$BU$139,60,0)</f>
        <v>0</v>
      </c>
      <c r="N128" s="189" t="n">
        <f aca="false">VLOOKUP($C128,PalData!$A$2:$BU$139,61,0)</f>
        <v>0</v>
      </c>
      <c r="O128" s="189" t="n">
        <f aca="false">VLOOKUP($C128,PalData!$A$2:$BU$139,62,0)</f>
        <v>0</v>
      </c>
      <c r="P128" s="189" t="n">
        <f aca="false">VLOOKUP($C128,PalData!$A$2:$BU$139,64,0)</f>
        <v>0</v>
      </c>
      <c r="Q128" s="189" t="n">
        <f aca="false">VLOOKUP($C128,PalData!$A$2:$BU$139,65,0)</f>
        <v>0</v>
      </c>
      <c r="R128" s="189" t="n">
        <f aca="false">VLOOKUP($C128,PalData!$A$2:$BU$139,66,0)</f>
        <v>0</v>
      </c>
      <c r="S128" s="189" t="n">
        <f aca="false">VLOOKUP($C128,PalData!$A$2:$BU$139,67,0)</f>
        <v>0</v>
      </c>
      <c r="T128" s="190" t="n">
        <f aca="false">VLOOKUP($C128,PalData!$A$2:$BU$139,43,0)</f>
        <v>8</v>
      </c>
      <c r="U128" s="188" t="n">
        <f aca="false">VLOOKUP($C128,PalData!$A$2:$BU$139,54,0)</f>
        <v>50</v>
      </c>
      <c r="V128" s="191" t="n">
        <f aca="false">VLOOKUP($C128,PalData!$A$2:$BU$139,19,0)</f>
        <v>120</v>
      </c>
      <c r="W128" s="191" t="n">
        <f aca="false">VLOOKUP($C128,PalData!$A$2:$BU$139,20,0)</f>
        <v>100</v>
      </c>
      <c r="X128" s="191" t="n">
        <f aca="false">VLOOKUP($C128,PalData!$A$2:$BU$139,21,0)</f>
        <v>105</v>
      </c>
      <c r="Y128" s="191" t="n">
        <f aca="false">VLOOKUP($C128,PalData!$A$2:$BU$139,22,0)</f>
        <v>105</v>
      </c>
      <c r="Z128" s="192" t="n">
        <f aca="false">VLOOKUP($C128,PalData!$A$2:$BU$139,28,0)</f>
        <v>9840</v>
      </c>
      <c r="AA128" s="193" t="n">
        <f aca="false" t="array" ref="AA128:AA128">INDEX(PalData,MATCH(C128,PalNames,0)+1,MATCH("Stamina",PalData_Header,0))</f>
        <v>350</v>
      </c>
      <c r="AB128" s="193" t="n">
        <f aca="false">VLOOKUP($C128,PalData!$A$2:$BU$139,32,0)</f>
        <v>200</v>
      </c>
      <c r="AC128" s="193" t="n">
        <f aca="false">VLOOKUP($C128,PalData!$A$2:$BU$139,33,0)</f>
        <v>850</v>
      </c>
      <c r="AD128" s="193" t="n">
        <f aca="false" t="array" ref="AD128:AD128">IF(INDEX(PalData,MATCH(C128,PalNames,0)+1,MATCH("Mount",PalData_Header,0)),INDEX(PalData,MATCH(C128,PalNames,0)+1,MATCH("RideSprintSpeed",PalData_Header,0)),)</f>
        <v>1100</v>
      </c>
      <c r="AE128" s="193" t="n">
        <f aca="false">IF(R128&gt;0, INDEX(PalData,MATCH(C128,PalNames,0)+1,MATCH("TransportSpeed",PalData_Header,0)),)</f>
        <v>0</v>
      </c>
      <c r="AF128" s="198" t="n">
        <f aca="false">VLOOKUP($C128,PalData!$A$2:$BU$139,26,0)</f>
        <v>1</v>
      </c>
      <c r="AG128" s="195" t="n">
        <f aca="false" t="array" ref="AG128:AG128">INDEX(PalData,MATCH(C128,PalNames,0)+1,MATCH("MaleProbability",PalData_Header,0))</f>
        <v>50</v>
      </c>
    </row>
    <row r="129" customFormat="false" ht="26.25" hidden="false" customHeight="true" outlineLevel="0" collapsed="false">
      <c r="A129" s="196" t="n">
        <f aca="false">VLOOKUP($C129,PalData!$A$2:$BU$139,9,0)</f>
        <v>102</v>
      </c>
      <c r="B129" s="197" t="str">
        <f aca="false" t="array" ref="B129:B129">INDEX(PalData,MATCH(C129,PalNames,0)+1,MATCH("ZukanIndexSuffix",PalData_Header,0))</f>
        <v>B</v>
      </c>
      <c r="C129" s="185" t="s">
        <v>136</v>
      </c>
      <c r="D129" s="186" t="n">
        <f aca="false">IFERROR(INDEX(PalData,MATCH(C129,PalNames,0)+1,MATCH("Image",PalData_Header,0)),)</f>
        <v>0</v>
      </c>
      <c r="E129" s="187" t="str">
        <f aca="false">IFERROR(__xludf.dummyfunction("SPLIT(VLOOKUP($C129,PalData!$A$2:$BU$139,13,0),""EPalElementType::"",0,1)"),"Water")</f>
        <v>Water</v>
      </c>
      <c r="F129" s="187" t="str">
        <f aca="false">IFERROR(__xludf.dummyfunction("if(SPLIT(VLOOKUP($C129,PalData!$A$2:$BU$139,14,0),""EPalElementType::"",0,1)=""None"","""",SPLIT(VLOOKUP($C129,PalData!$A$2:$BU$139,14,0),""EPalElementType::"",0,1))"),"")</f>
        <v/>
      </c>
      <c r="G129" s="188" t="str">
        <f aca="false">IF(VLOOKUP($C129,PalData!$A$2:$BU$139,48,0),"🌜","")</f>
        <v/>
      </c>
      <c r="H129" s="189" t="n">
        <f aca="false">VLOOKUP($C129,PalData!$A$2:$BU$139,55,0)</f>
        <v>0</v>
      </c>
      <c r="I129" s="189" t="n">
        <f aca="false">VLOOKUP($C129,PalData!$A$2:$BU$139,56,0)</f>
        <v>3</v>
      </c>
      <c r="J129" s="189" t="n">
        <f aca="false">VLOOKUP($C129,PalData!$A$2:$BU$139,57,0)</f>
        <v>0</v>
      </c>
      <c r="K129" s="189" t="n">
        <f aca="false">VLOOKUP($C129,PalData!$A$2:$BU$139,58,0)</f>
        <v>0</v>
      </c>
      <c r="L129" s="189" t="n">
        <f aca="false">VLOOKUP($C129,PalData!$A$2:$BU$139,59,0)</f>
        <v>0</v>
      </c>
      <c r="M129" s="189" t="n">
        <f aca="false">VLOOKUP($C129,PalData!$A$2:$BU$139,60,0)</f>
        <v>0</v>
      </c>
      <c r="N129" s="189" t="n">
        <f aca="false">VLOOKUP($C129,PalData!$A$2:$BU$139,61,0)</f>
        <v>0</v>
      </c>
      <c r="O129" s="189" t="n">
        <f aca="false">VLOOKUP($C129,PalData!$A$2:$BU$139,62,0)</f>
        <v>0</v>
      </c>
      <c r="P129" s="189" t="n">
        <f aca="false">VLOOKUP($C129,PalData!$A$2:$BU$139,64,0)</f>
        <v>0</v>
      </c>
      <c r="Q129" s="189" t="n">
        <f aca="false">VLOOKUP($C129,PalData!$A$2:$BU$139,65,0)</f>
        <v>0</v>
      </c>
      <c r="R129" s="189" t="n">
        <f aca="false">VLOOKUP($C129,PalData!$A$2:$BU$139,66,0)</f>
        <v>0</v>
      </c>
      <c r="S129" s="189" t="n">
        <f aca="false">VLOOKUP($C129,PalData!$A$2:$BU$139,67,0)</f>
        <v>0</v>
      </c>
      <c r="T129" s="190" t="n">
        <f aca="false">VLOOKUP($C129,PalData!$A$2:$BU$139,43,0)</f>
        <v>8</v>
      </c>
      <c r="U129" s="188" t="n">
        <f aca="false">VLOOKUP($C129,PalData!$A$2:$BU$139,54,0)</f>
        <v>30</v>
      </c>
      <c r="V129" s="191" t="n">
        <f aca="false">VLOOKUP($C129,PalData!$A$2:$BU$139,19,0)</f>
        <v>125</v>
      </c>
      <c r="W129" s="191" t="n">
        <f aca="false">VLOOKUP($C129,PalData!$A$2:$BU$139,20,0)</f>
        <v>100</v>
      </c>
      <c r="X129" s="191" t="n">
        <f aca="false">VLOOKUP($C129,PalData!$A$2:$BU$139,21,0)</f>
        <v>105</v>
      </c>
      <c r="Y129" s="191" t="n">
        <f aca="false">VLOOKUP($C129,PalData!$A$2:$BU$139,22,0)</f>
        <v>105</v>
      </c>
      <c r="Z129" s="192" t="n">
        <f aca="false">VLOOKUP($C129,PalData!$A$2:$BU$139,28,0)</f>
        <v>10110</v>
      </c>
      <c r="AA129" s="193" t="n">
        <f aca="false" t="array" ref="AA129:AA129">INDEX(PalData,MATCH(C129,PalNames,0)+1,MATCH("Stamina",PalData_Header,0))</f>
        <v>350</v>
      </c>
      <c r="AB129" s="193" t="n">
        <f aca="false">VLOOKUP($C129,PalData!$A$2:$BU$139,32,0)</f>
        <v>200</v>
      </c>
      <c r="AC129" s="193" t="n">
        <f aca="false">VLOOKUP($C129,PalData!$A$2:$BU$139,33,0)</f>
        <v>850</v>
      </c>
      <c r="AD129" s="193" t="n">
        <f aca="false" t="array" ref="AD129:AD129">IF(INDEX(PalData,MATCH(C129,PalNames,0)+1,MATCH("Mount",PalData_Header,0)),INDEX(PalData,MATCH(C129,PalNames,0)+1,MATCH("RideSprintSpeed",PalData_Header,0)),)</f>
        <v>1100</v>
      </c>
      <c r="AE129" s="193" t="n">
        <f aca="false">IF(R129&gt;0, INDEX(PalData,MATCH(C129,PalNames,0)+1,MATCH("TransportSpeed",PalData_Header,0)),)</f>
        <v>0</v>
      </c>
      <c r="AF129" s="198" t="n">
        <f aca="false">VLOOKUP($C129,PalData!$A$2:$BU$139,26,0)</f>
        <v>1</v>
      </c>
      <c r="AG129" s="195" t="n">
        <f aca="false" t="array" ref="AG129:AG129">INDEX(PalData,MATCH(C129,PalNames,0)+1,MATCH("MaleProbability",PalData_Header,0))</f>
        <v>50</v>
      </c>
    </row>
    <row r="130" customFormat="false" ht="26.25" hidden="false" customHeight="true" outlineLevel="0" collapsed="false">
      <c r="A130" s="196" t="n">
        <f aca="false">VLOOKUP($C130,PalData!$A$2:$BU$139,9,0)</f>
        <v>103</v>
      </c>
      <c r="B130" s="197" t="n">
        <f aca="false">INDEX(PalData,MATCH(C130,PalNames,0)+1,MATCH("ZukanIndexSuffix",PalData_Header,0))</f>
        <v>0</v>
      </c>
      <c r="C130" s="185" t="s">
        <v>68</v>
      </c>
      <c r="D130" s="186" t="n">
        <f aca="false">IFERROR(INDEX(PalData,MATCH(C130,PalNames,0)+1,MATCH("Image",PalData_Header,0)),)</f>
        <v>0</v>
      </c>
      <c r="E130" s="187" t="str">
        <f aca="false">IFERROR(__xludf.dummyfunction("SPLIT(VLOOKUP($C130,PalData!$A$2:$BU$139,13,0),""EPalElementType::"",0,1)"),"Electricity")</f>
        <v>Electricity</v>
      </c>
      <c r="F130" s="187" t="str">
        <f aca="false">IFERROR(__xludf.dummyfunction("if(SPLIT(VLOOKUP($C130,PalData!$A$2:$BU$139,14,0),""EPalElementType::"",0,1)=""None"","""",SPLIT(VLOOKUP($C130,PalData!$A$2:$BU$139,14,0),""EPalElementType::"",0,1))"),"")</f>
        <v/>
      </c>
      <c r="G130" s="188" t="str">
        <f aca="false">IF(VLOOKUP($C130,PalData!$A$2:$BU$139,48,0),"🌜","")</f>
        <v/>
      </c>
      <c r="H130" s="189" t="n">
        <f aca="false">VLOOKUP($C130,PalData!$A$2:$BU$139,55,0)</f>
        <v>0</v>
      </c>
      <c r="I130" s="189" t="n">
        <f aca="false">VLOOKUP($C130,PalData!$A$2:$BU$139,56,0)</f>
        <v>0</v>
      </c>
      <c r="J130" s="189" t="n">
        <f aca="false">VLOOKUP($C130,PalData!$A$2:$BU$139,57,0)</f>
        <v>0</v>
      </c>
      <c r="K130" s="189" t="n">
        <f aca="false">VLOOKUP($C130,PalData!$A$2:$BU$139,58,0)</f>
        <v>3</v>
      </c>
      <c r="L130" s="189" t="n">
        <f aca="false">VLOOKUP($C130,PalData!$A$2:$BU$139,59,0)</f>
        <v>2</v>
      </c>
      <c r="M130" s="189" t="n">
        <f aca="false">VLOOKUP($C130,PalData!$A$2:$BU$139,60,0)</f>
        <v>0</v>
      </c>
      <c r="N130" s="189" t="n">
        <f aca="false">VLOOKUP($C130,PalData!$A$2:$BU$139,61,0)</f>
        <v>2</v>
      </c>
      <c r="O130" s="189" t="n">
        <f aca="false">VLOOKUP($C130,PalData!$A$2:$BU$139,62,0)</f>
        <v>0</v>
      </c>
      <c r="P130" s="189" t="n">
        <f aca="false">VLOOKUP($C130,PalData!$A$2:$BU$139,64,0)</f>
        <v>0</v>
      </c>
      <c r="Q130" s="189" t="n">
        <f aca="false">VLOOKUP($C130,PalData!$A$2:$BU$139,65,0)</f>
        <v>0</v>
      </c>
      <c r="R130" s="189" t="n">
        <f aca="false">VLOOKUP($C130,PalData!$A$2:$BU$139,66,0)</f>
        <v>3</v>
      </c>
      <c r="S130" s="189" t="n">
        <f aca="false">VLOOKUP($C130,PalData!$A$2:$BU$139,67,0)</f>
        <v>0</v>
      </c>
      <c r="T130" s="190" t="n">
        <f aca="false">VLOOKUP($C130,PalData!$A$2:$BU$139,43,0)</f>
        <v>7</v>
      </c>
      <c r="U130" s="188" t="n">
        <f aca="false">VLOOKUP($C130,PalData!$A$2:$BU$139,54,0)</f>
        <v>200</v>
      </c>
      <c r="V130" s="191" t="n">
        <f aca="false">VLOOKUP($C130,PalData!$A$2:$BU$139,19,0)</f>
        <v>105</v>
      </c>
      <c r="W130" s="191" t="n">
        <f aca="false">VLOOKUP($C130,PalData!$A$2:$BU$139,20,0)</f>
        <v>120</v>
      </c>
      <c r="X130" s="191" t="n">
        <f aca="false">VLOOKUP($C130,PalData!$A$2:$BU$139,21,0)</f>
        <v>100</v>
      </c>
      <c r="Y130" s="191" t="n">
        <f aca="false">VLOOKUP($C130,PalData!$A$2:$BU$139,22,0)</f>
        <v>100</v>
      </c>
      <c r="Z130" s="192" t="n">
        <f aca="false">VLOOKUP($C130,PalData!$A$2:$BU$139,28,0)</f>
        <v>7720</v>
      </c>
      <c r="AA130" s="193" t="n">
        <f aca="false" t="array" ref="AA130:AA130">INDEX(PalData,MATCH(C130,PalNames,0)+1,MATCH("Stamina",PalData_Header,0))</f>
        <v>100</v>
      </c>
      <c r="AB130" s="193" t="n">
        <f aca="false">VLOOKUP($C130,PalData!$A$2:$BU$139,32,0)</f>
        <v>140</v>
      </c>
      <c r="AC130" s="193" t="n">
        <f aca="false">VLOOKUP($C130,PalData!$A$2:$BU$139,33,0)</f>
        <v>470</v>
      </c>
      <c r="AD130" s="193" t="n">
        <f aca="false" t="array" ref="AD130:AD130">IF(INDEX(PalData,MATCH(C130,PalNames,0)+1,MATCH("Mount",PalData_Header,0)),INDEX(PalData,MATCH(C130,PalNames,0)+1,MATCH("RideSprintSpeed",PalData_Header,0)),)</f>
        <v>550</v>
      </c>
      <c r="AE130" s="193" t="n">
        <f aca="false" t="array" ref="AE130:AE130">IF(R130&gt;0, INDEX(PalData,MATCH(C130,PalNames,0)+1,MATCH("TransportSpeed",PalData_Header,0)),)</f>
        <v>210</v>
      </c>
      <c r="AF130" s="198" t="n">
        <f aca="false">VLOOKUP($C130,PalData!$A$2:$BU$139,26,0)</f>
        <v>1</v>
      </c>
      <c r="AG130" s="195" t="n">
        <f aca="false" t="array" ref="AG130:AG130">INDEX(PalData,MATCH(C130,PalNames,0)+1,MATCH("MaleProbability",PalData_Header,0))</f>
        <v>50</v>
      </c>
    </row>
    <row r="131" customFormat="false" ht="26.25" hidden="false" customHeight="true" outlineLevel="0" collapsed="false">
      <c r="A131" s="196" t="n">
        <f aca="false">VLOOKUP($C131,PalData!$A$2:$BU$139,9,0)</f>
        <v>104</v>
      </c>
      <c r="B131" s="197" t="n">
        <f aca="false">INDEX(PalData,MATCH(C131,PalNames,0)+1,MATCH("ZukanIndexSuffix",PalData_Header,0))</f>
        <v>0</v>
      </c>
      <c r="C131" s="185" t="s">
        <v>97</v>
      </c>
      <c r="D131" s="186" t="n">
        <f aca="false">IFERROR(INDEX(PalData,MATCH(C131,PalNames,0)+1,MATCH("Image",PalData_Header,0)),)</f>
        <v>0</v>
      </c>
      <c r="E131" s="187" t="str">
        <f aca="false">IFERROR(__xludf.dummyfunction("SPLIT(VLOOKUP($C131,PalData!$A$2:$BU$139,13,0),""EPalElementType::"",0,1)"),"Leaf")</f>
        <v>Leaf</v>
      </c>
      <c r="F131" s="187" t="str">
        <f aca="false">IFERROR(__xludf.dummyfunction("if(SPLIT(VLOOKUP($C131,PalData!$A$2:$BU$139,14,0),""EPalElementType::"",0,1)=""None"","""",SPLIT(VLOOKUP($C131,PalData!$A$2:$BU$139,14,0),""EPalElementType::"",0,1))"),"")</f>
        <v/>
      </c>
      <c r="G131" s="188" t="str">
        <f aca="false">IF(VLOOKUP($C131,PalData!$A$2:$BU$139,48,0),"🌜","")</f>
        <v/>
      </c>
      <c r="H131" s="189" t="n">
        <f aca="false">VLOOKUP($C131,PalData!$A$2:$BU$139,55,0)</f>
        <v>0</v>
      </c>
      <c r="I131" s="189" t="n">
        <f aca="false">VLOOKUP($C131,PalData!$A$2:$BU$139,56,0)</f>
        <v>0</v>
      </c>
      <c r="J131" s="189" t="n">
        <f aca="false">VLOOKUP($C131,PalData!$A$2:$BU$139,57,0)</f>
        <v>4</v>
      </c>
      <c r="K131" s="189" t="n">
        <f aca="false">VLOOKUP($C131,PalData!$A$2:$BU$139,58,0)</f>
        <v>0</v>
      </c>
      <c r="L131" s="189" t="n">
        <f aca="false">VLOOKUP($C131,PalData!$A$2:$BU$139,59,0)</f>
        <v>3</v>
      </c>
      <c r="M131" s="189" t="n">
        <f aca="false">VLOOKUP($C131,PalData!$A$2:$BU$139,60,0)</f>
        <v>2</v>
      </c>
      <c r="N131" s="189" t="n">
        <f aca="false">VLOOKUP($C131,PalData!$A$2:$BU$139,61,0)</f>
        <v>0</v>
      </c>
      <c r="O131" s="189" t="n">
        <f aca="false">VLOOKUP($C131,PalData!$A$2:$BU$139,62,0)</f>
        <v>0</v>
      </c>
      <c r="P131" s="189" t="n">
        <f aca="false">VLOOKUP($C131,PalData!$A$2:$BU$139,64,0)</f>
        <v>3</v>
      </c>
      <c r="Q131" s="189" t="n">
        <f aca="false">VLOOKUP($C131,PalData!$A$2:$BU$139,65,0)</f>
        <v>0</v>
      </c>
      <c r="R131" s="189" t="n">
        <f aca="false">VLOOKUP($C131,PalData!$A$2:$BU$139,66,0)</f>
        <v>0</v>
      </c>
      <c r="S131" s="189" t="n">
        <f aca="false">VLOOKUP($C131,PalData!$A$2:$BU$139,67,0)</f>
        <v>0</v>
      </c>
      <c r="T131" s="190" t="n">
        <f aca="false">VLOOKUP($C131,PalData!$A$2:$BU$139,43,0)</f>
        <v>6</v>
      </c>
      <c r="U131" s="188" t="n">
        <f aca="false">VLOOKUP($C131,PalData!$A$2:$BU$139,54,0)</f>
        <v>250</v>
      </c>
      <c r="V131" s="191" t="n">
        <f aca="false">VLOOKUP($C131,PalData!$A$2:$BU$139,19,0)</f>
        <v>110</v>
      </c>
      <c r="W131" s="191" t="n">
        <f aca="false">VLOOKUP($C131,PalData!$A$2:$BU$139,20,0)</f>
        <v>100</v>
      </c>
      <c r="X131" s="191" t="n">
        <f aca="false">VLOOKUP($C131,PalData!$A$2:$BU$139,21,0)</f>
        <v>110</v>
      </c>
      <c r="Y131" s="191" t="n">
        <f aca="false">VLOOKUP($C131,PalData!$A$2:$BU$139,22,0)</f>
        <v>105</v>
      </c>
      <c r="Z131" s="192" t="n">
        <f aca="false">VLOOKUP($C131,PalData!$A$2:$BU$139,28,0)</f>
        <v>7160</v>
      </c>
      <c r="AA131" s="193" t="n">
        <f aca="false" t="array" ref="AA131:AA131">INDEX(PalData,MATCH(C131,PalNames,0)+1,MATCH("Stamina",PalData_Header,0))</f>
        <v>100</v>
      </c>
      <c r="AB131" s="193" t="n">
        <f aca="false">VLOOKUP($C131,PalData!$A$2:$BU$139,32,0)</f>
        <v>100</v>
      </c>
      <c r="AC131" s="193" t="n">
        <f aca="false">VLOOKUP($C131,PalData!$A$2:$BU$139,33,0)</f>
        <v>450</v>
      </c>
      <c r="AD131" s="193" t="n">
        <f aca="false">IF(INDEX(PalData,MATCH(C131,PalNames,0)+1,MATCH("Mount",PalData_Header,0)),INDEX(PalData,MATCH(C131,PalNames,0)+1,MATCH("RideSprintSpeed",PalData_Header,0)),)</f>
        <v>0</v>
      </c>
      <c r="AE131" s="193" t="n">
        <f aca="false">IF(R131&gt;0, INDEX(PalData,MATCH(C131,PalNames,0)+1,MATCH("TransportSpeed",PalData_Header,0)),)</f>
        <v>0</v>
      </c>
      <c r="AF131" s="198" t="n">
        <f aca="false">VLOOKUP($C131,PalData!$A$2:$BU$139,26,0)</f>
        <v>1</v>
      </c>
      <c r="AG131" s="195" t="n">
        <f aca="false" t="array" ref="AG131:AG131">INDEX(PalData,MATCH(C131,PalNames,0)+1,MATCH("MaleProbability",PalData_Header,0))</f>
        <v>30</v>
      </c>
    </row>
    <row r="132" customFormat="false" ht="26.25" hidden="false" customHeight="true" outlineLevel="0" collapsed="false">
      <c r="A132" s="196" t="n">
        <f aca="false">VLOOKUP($C132,PalData!$A$2:$BU$139,9,0)</f>
        <v>104</v>
      </c>
      <c r="B132" s="197" t="str">
        <f aca="false" t="array" ref="B132:B132">INDEX(PalData,MATCH(C132,PalNames,0)+1,MATCH("ZukanIndexSuffix",PalData_Header,0))</f>
        <v>B</v>
      </c>
      <c r="C132" s="185" t="s">
        <v>98</v>
      </c>
      <c r="D132" s="186" t="n">
        <f aca="false">IFERROR(INDEX(PalData,MATCH(C132,PalNames,0)+1,MATCH("Image",PalData_Header,0)),)</f>
        <v>0</v>
      </c>
      <c r="E132" s="187" t="str">
        <f aca="false">IFERROR(__xludf.dummyfunction("SPLIT(VLOOKUP($C132,PalData!$A$2:$BU$139,13,0),""EPalElementType::"",0,1)"),"Dark")</f>
        <v>Dark</v>
      </c>
      <c r="F132" s="187" t="str">
        <f aca="false">IFERROR(__xludf.dummyfunction("if(SPLIT(VLOOKUP($C132,PalData!$A$2:$BU$139,14,0),""EPalElementType::"",0,1)=""None"","""",SPLIT(VLOOKUP($C132,PalData!$A$2:$BU$139,14,0),""EPalElementType::"",0,1))"),"")</f>
        <v/>
      </c>
      <c r="G132" s="188" t="str">
        <f aca="false">IF(VLOOKUP($C132,PalData!$A$2:$BU$139,48,0),"🌜","")</f>
        <v/>
      </c>
      <c r="H132" s="189" t="n">
        <f aca="false">VLOOKUP($C132,PalData!$A$2:$BU$139,55,0)</f>
        <v>0</v>
      </c>
      <c r="I132" s="189" t="n">
        <f aca="false">VLOOKUP($C132,PalData!$A$2:$BU$139,56,0)</f>
        <v>0</v>
      </c>
      <c r="J132" s="189" t="n">
        <f aca="false">VLOOKUP($C132,PalData!$A$2:$BU$139,57,0)</f>
        <v>0</v>
      </c>
      <c r="K132" s="189" t="n">
        <f aca="false">VLOOKUP($C132,PalData!$A$2:$BU$139,58,0)</f>
        <v>0</v>
      </c>
      <c r="L132" s="189" t="n">
        <f aca="false">VLOOKUP($C132,PalData!$A$2:$BU$139,59,0)</f>
        <v>3</v>
      </c>
      <c r="M132" s="189" t="n">
        <f aca="false">VLOOKUP($C132,PalData!$A$2:$BU$139,60,0)</f>
        <v>2</v>
      </c>
      <c r="N132" s="189" t="n">
        <f aca="false">VLOOKUP($C132,PalData!$A$2:$BU$139,61,0)</f>
        <v>0</v>
      </c>
      <c r="O132" s="189" t="n">
        <f aca="false">VLOOKUP($C132,PalData!$A$2:$BU$139,62,0)</f>
        <v>0</v>
      </c>
      <c r="P132" s="189" t="n">
        <f aca="false">VLOOKUP($C132,PalData!$A$2:$BU$139,64,0)</f>
        <v>3</v>
      </c>
      <c r="Q132" s="189" t="n">
        <f aca="false">VLOOKUP($C132,PalData!$A$2:$BU$139,65,0)</f>
        <v>0</v>
      </c>
      <c r="R132" s="189" t="n">
        <f aca="false">VLOOKUP($C132,PalData!$A$2:$BU$139,66,0)</f>
        <v>0</v>
      </c>
      <c r="S132" s="189" t="n">
        <f aca="false">VLOOKUP($C132,PalData!$A$2:$BU$139,67,0)</f>
        <v>0</v>
      </c>
      <c r="T132" s="190" t="n">
        <f aca="false">VLOOKUP($C132,PalData!$A$2:$BU$139,43,0)</f>
        <v>6</v>
      </c>
      <c r="U132" s="188" t="n">
        <f aca="false">VLOOKUP($C132,PalData!$A$2:$BU$139,54,0)</f>
        <v>210</v>
      </c>
      <c r="V132" s="191" t="n">
        <f aca="false">VLOOKUP($C132,PalData!$A$2:$BU$139,19,0)</f>
        <v>110</v>
      </c>
      <c r="W132" s="191" t="n">
        <f aca="false">VLOOKUP($C132,PalData!$A$2:$BU$139,20,0)</f>
        <v>100</v>
      </c>
      <c r="X132" s="191" t="n">
        <f aca="false">VLOOKUP($C132,PalData!$A$2:$BU$139,21,0)</f>
        <v>110</v>
      </c>
      <c r="Y132" s="191" t="n">
        <f aca="false">VLOOKUP($C132,PalData!$A$2:$BU$139,22,0)</f>
        <v>115</v>
      </c>
      <c r="Z132" s="192" t="n">
        <f aca="false">VLOOKUP($C132,PalData!$A$2:$BU$139,28,0)</f>
        <v>7610</v>
      </c>
      <c r="AA132" s="193" t="n">
        <f aca="false" t="array" ref="AA132:AA132">INDEX(PalData,MATCH(C132,PalNames,0)+1,MATCH("Stamina",PalData_Header,0))</f>
        <v>100</v>
      </c>
      <c r="AB132" s="193" t="n">
        <f aca="false">VLOOKUP($C132,PalData!$A$2:$BU$139,32,0)</f>
        <v>100</v>
      </c>
      <c r="AC132" s="193" t="n">
        <f aca="false">VLOOKUP($C132,PalData!$A$2:$BU$139,33,0)</f>
        <v>450</v>
      </c>
      <c r="AD132" s="193" t="n">
        <f aca="false">IF(INDEX(PalData,MATCH(C132,PalNames,0)+1,MATCH("Mount",PalData_Header,0)),INDEX(PalData,MATCH(C132,PalNames,0)+1,MATCH("RideSprintSpeed",PalData_Header,0)),)</f>
        <v>0</v>
      </c>
      <c r="AE132" s="193" t="n">
        <f aca="false">IF(R132&gt;0, INDEX(PalData,MATCH(C132,PalNames,0)+1,MATCH("TransportSpeed",PalData_Header,0)),)</f>
        <v>0</v>
      </c>
      <c r="AF132" s="198" t="n">
        <f aca="false">VLOOKUP($C132,PalData!$A$2:$BU$139,26,0)</f>
        <v>1</v>
      </c>
      <c r="AG132" s="195" t="n">
        <f aca="false" t="array" ref="AG132:AG132">INDEX(PalData,MATCH(C132,PalNames,0)+1,MATCH("MaleProbability",PalData_Header,0))</f>
        <v>30</v>
      </c>
    </row>
    <row r="133" customFormat="false" ht="26.25" hidden="false" customHeight="true" outlineLevel="0" collapsed="false">
      <c r="A133" s="196" t="n">
        <f aca="false">VLOOKUP($C133,PalData!$A$2:$BU$139,9,0)</f>
        <v>105</v>
      </c>
      <c r="B133" s="197" t="n">
        <f aca="false">INDEX(PalData,MATCH(C133,PalNames,0)+1,MATCH("ZukanIndexSuffix",PalData_Header,0))</f>
        <v>0</v>
      </c>
      <c r="C133" s="185" t="s">
        <v>53</v>
      </c>
      <c r="D133" s="186" t="n">
        <f aca="false">IFERROR(INDEX(PalData,MATCH(C133,PalNames,0)+1,MATCH("Image",PalData_Header,0)),)</f>
        <v>0</v>
      </c>
      <c r="E133" s="187" t="str">
        <f aca="false">IFERROR(__xludf.dummyfunction("SPLIT(VLOOKUP($C133,PalData!$A$2:$BU$139,13,0),""EPalElementType::"",0,1)"),"Fire")</f>
        <v>Fire</v>
      </c>
      <c r="F133" s="187" t="str">
        <f aca="false">IFERROR(__xludf.dummyfunction("if(SPLIT(VLOOKUP($C133,PalData!$A$2:$BU$139,14,0),""EPalElementType::"",0,1)=""None"","""",SPLIT(VLOOKUP($C133,PalData!$A$2:$BU$139,14,0),""EPalElementType::"",0,1))"),"")</f>
        <v/>
      </c>
      <c r="G133" s="188" t="str">
        <f aca="false">IF(VLOOKUP($C133,PalData!$A$2:$BU$139,48,0),"🌜","")</f>
        <v/>
      </c>
      <c r="H133" s="189" t="n">
        <f aca="false">VLOOKUP($C133,PalData!$A$2:$BU$139,55,0)</f>
        <v>3</v>
      </c>
      <c r="I133" s="189" t="n">
        <f aca="false">VLOOKUP($C133,PalData!$A$2:$BU$139,56,0)</f>
        <v>0</v>
      </c>
      <c r="J133" s="189" t="n">
        <f aca="false">VLOOKUP($C133,PalData!$A$2:$BU$139,57,0)</f>
        <v>0</v>
      </c>
      <c r="K133" s="189" t="n">
        <f aca="false">VLOOKUP($C133,PalData!$A$2:$BU$139,58,0)</f>
        <v>0</v>
      </c>
      <c r="L133" s="189" t="n">
        <f aca="false">VLOOKUP($C133,PalData!$A$2:$BU$139,59,0)</f>
        <v>0</v>
      </c>
      <c r="M133" s="189" t="n">
        <f aca="false">VLOOKUP($C133,PalData!$A$2:$BU$139,60,0)</f>
        <v>0</v>
      </c>
      <c r="N133" s="189" t="n">
        <f aca="false">VLOOKUP($C133,PalData!$A$2:$BU$139,61,0)</f>
        <v>0</v>
      </c>
      <c r="O133" s="189" t="n">
        <f aca="false">VLOOKUP($C133,PalData!$A$2:$BU$139,62,0)</f>
        <v>0</v>
      </c>
      <c r="P133" s="189" t="n">
        <f aca="false">VLOOKUP($C133,PalData!$A$2:$BU$139,64,0)</f>
        <v>0</v>
      </c>
      <c r="Q133" s="189" t="n">
        <f aca="false">VLOOKUP($C133,PalData!$A$2:$BU$139,65,0)</f>
        <v>0</v>
      </c>
      <c r="R133" s="189" t="n">
        <f aca="false">VLOOKUP($C133,PalData!$A$2:$BU$139,66,0)</f>
        <v>3</v>
      </c>
      <c r="S133" s="189" t="n">
        <f aca="false">VLOOKUP($C133,PalData!$A$2:$BU$139,67,0)</f>
        <v>0</v>
      </c>
      <c r="T133" s="190" t="n">
        <f aca="false">VLOOKUP($C133,PalData!$A$2:$BU$139,43,0)</f>
        <v>8</v>
      </c>
      <c r="U133" s="188" t="n">
        <f aca="false">VLOOKUP($C133,PalData!$A$2:$BU$139,54,0)</f>
        <v>370</v>
      </c>
      <c r="V133" s="191" t="n">
        <f aca="false">VLOOKUP($C133,PalData!$A$2:$BU$139,19,0)</f>
        <v>100</v>
      </c>
      <c r="W133" s="191" t="n">
        <f aca="false">VLOOKUP($C133,PalData!$A$2:$BU$139,20,0)</f>
        <v>100</v>
      </c>
      <c r="X133" s="191" t="n">
        <f aca="false">VLOOKUP($C133,PalData!$A$2:$BU$139,21,0)</f>
        <v>105</v>
      </c>
      <c r="Y133" s="191" t="n">
        <f aca="false">VLOOKUP($C133,PalData!$A$2:$BU$139,22,0)</f>
        <v>110</v>
      </c>
      <c r="Z133" s="192" t="n">
        <f aca="false">VLOOKUP($C133,PalData!$A$2:$BU$139,28,0)</f>
        <v>6720</v>
      </c>
      <c r="AA133" s="193" t="n">
        <f aca="false" t="array" ref="AA133:AA133">INDEX(PalData,MATCH(C133,PalNames,0)+1,MATCH("Stamina",PalData_Header,0))</f>
        <v>230</v>
      </c>
      <c r="AB133" s="193" t="n">
        <f aca="false">VLOOKUP($C133,PalData!$A$2:$BU$139,32,0)</f>
        <v>200</v>
      </c>
      <c r="AC133" s="193" t="n">
        <f aca="false">VLOOKUP($C133,PalData!$A$2:$BU$139,33,0)</f>
        <v>1000</v>
      </c>
      <c r="AD133" s="193" t="n">
        <f aca="false" t="array" ref="AD133:AD133">IF(INDEX(PalData,MATCH(C133,PalNames,0)+1,MATCH("Mount",PalData_Header,0)),INDEX(PalData,MATCH(C133,PalNames,0)+1,MATCH("RideSprintSpeed",PalData_Header,0)),)</f>
        <v>1400</v>
      </c>
      <c r="AE133" s="193" t="n">
        <f aca="false" t="array" ref="AE133:AE133">IF(R133&gt;0, INDEX(PalData,MATCH(C133,PalNames,0)+1,MATCH("TransportSpeed",PalData_Header,0)),)</f>
        <v>500</v>
      </c>
      <c r="AF133" s="198" t="n">
        <f aca="false">VLOOKUP($C133,PalData!$A$2:$BU$139,26,0)</f>
        <v>1</v>
      </c>
      <c r="AG133" s="195" t="n">
        <f aca="false" t="array" ref="AG133:AG133">INDEX(PalData,MATCH(C133,PalNames,0)+1,MATCH("MaleProbability",PalData_Header,0))</f>
        <v>50</v>
      </c>
    </row>
    <row r="134" customFormat="false" ht="26.25" hidden="false" customHeight="true" outlineLevel="0" collapsed="false">
      <c r="A134" s="196" t="n">
        <f aca="false">VLOOKUP($C134,PalData!$A$2:$BU$139,9,0)</f>
        <v>106</v>
      </c>
      <c r="B134" s="197" t="n">
        <f aca="false">INDEX(PalData,MATCH(C134,PalNames,0)+1,MATCH("ZukanIndexSuffix",PalData_Header,0))</f>
        <v>0</v>
      </c>
      <c r="C134" s="185" t="s">
        <v>112</v>
      </c>
      <c r="D134" s="186" t="n">
        <f aca="false">IFERROR(INDEX(PalData,MATCH(C134,PalNames,0)+1,MATCH("Image",PalData_Header,0)),)</f>
        <v>0</v>
      </c>
      <c r="E134" s="187" t="str">
        <f aca="false">IFERROR(__xludf.dummyfunction("SPLIT(VLOOKUP($C134,PalData!$A$2:$BU$139,13,0),""EPalElementType::"",0,1)"),"Dragon")</f>
        <v>Dragon</v>
      </c>
      <c r="F134" s="187" t="str">
        <f aca="false">IFERROR(__xludf.dummyfunction("if(SPLIT(VLOOKUP($C134,PalData!$A$2:$BU$139,14,0),""EPalElementType::"",0,1)=""None"","""",SPLIT(VLOOKUP($C134,PalData!$A$2:$BU$139,14,0),""EPalElementType::"",0,1))"),"Electricity")</f>
        <v>Electricity</v>
      </c>
      <c r="G134" s="188" t="str">
        <f aca="false">IF(VLOOKUP($C134,PalData!$A$2:$BU$139,48,0),"🌜","")</f>
        <v/>
      </c>
      <c r="H134" s="189" t="n">
        <f aca="false">VLOOKUP($C134,PalData!$A$2:$BU$139,55,0)</f>
        <v>0</v>
      </c>
      <c r="I134" s="189" t="n">
        <f aca="false">VLOOKUP($C134,PalData!$A$2:$BU$139,56,0)</f>
        <v>0</v>
      </c>
      <c r="J134" s="189" t="n">
        <f aca="false">VLOOKUP($C134,PalData!$A$2:$BU$139,57,0)</f>
        <v>0</v>
      </c>
      <c r="K134" s="189" t="n">
        <f aca="false">VLOOKUP($C134,PalData!$A$2:$BU$139,58,0)</f>
        <v>4</v>
      </c>
      <c r="L134" s="189" t="n">
        <f aca="false">VLOOKUP($C134,PalData!$A$2:$BU$139,59,0)</f>
        <v>2</v>
      </c>
      <c r="M134" s="189" t="n">
        <f aca="false">VLOOKUP($C134,PalData!$A$2:$BU$139,60,0)</f>
        <v>0</v>
      </c>
      <c r="N134" s="189" t="n">
        <f aca="false">VLOOKUP($C134,PalData!$A$2:$BU$139,61,0)</f>
        <v>0</v>
      </c>
      <c r="O134" s="189" t="n">
        <f aca="false">VLOOKUP($C134,PalData!$A$2:$BU$139,62,0)</f>
        <v>0</v>
      </c>
      <c r="P134" s="189" t="n">
        <f aca="false">VLOOKUP($C134,PalData!$A$2:$BU$139,64,0)</f>
        <v>0</v>
      </c>
      <c r="Q134" s="189" t="n">
        <f aca="false">VLOOKUP($C134,PalData!$A$2:$BU$139,65,0)</f>
        <v>0</v>
      </c>
      <c r="R134" s="189" t="n">
        <f aca="false">VLOOKUP($C134,PalData!$A$2:$BU$139,66,0)</f>
        <v>3</v>
      </c>
      <c r="S134" s="189" t="n">
        <f aca="false">VLOOKUP($C134,PalData!$A$2:$BU$139,67,0)</f>
        <v>0</v>
      </c>
      <c r="T134" s="190" t="n">
        <f aca="false">VLOOKUP($C134,PalData!$A$2:$BU$139,43,0)</f>
        <v>7</v>
      </c>
      <c r="U134" s="188" t="n">
        <f aca="false">VLOOKUP($C134,PalData!$A$2:$BU$139,54,0)</f>
        <v>140</v>
      </c>
      <c r="V134" s="191" t="n">
        <f aca="false">VLOOKUP($C134,PalData!$A$2:$BU$139,19,0)</f>
        <v>100</v>
      </c>
      <c r="W134" s="191" t="n">
        <f aca="false">VLOOKUP($C134,PalData!$A$2:$BU$139,20,0)</f>
        <v>100</v>
      </c>
      <c r="X134" s="191" t="n">
        <f aca="false">VLOOKUP($C134,PalData!$A$2:$BU$139,21,0)</f>
        <v>130</v>
      </c>
      <c r="Y134" s="191" t="n">
        <f aca="false">VLOOKUP($C134,PalData!$A$2:$BU$139,22,0)</f>
        <v>100</v>
      </c>
      <c r="Z134" s="192" t="n">
        <f aca="false">VLOOKUP($C134,PalData!$A$2:$BU$139,28,0)</f>
        <v>8320</v>
      </c>
      <c r="AA134" s="193" t="n">
        <f aca="false" t="array" ref="AA134:AA134">INDEX(PalData,MATCH(C134,PalNames,0)+1,MATCH("Stamina",PalData_Header,0))</f>
        <v>100</v>
      </c>
      <c r="AB134" s="193" t="n">
        <f aca="false">VLOOKUP($C134,PalData!$A$2:$BU$139,32,0)</f>
        <v>185</v>
      </c>
      <c r="AC134" s="193" t="n">
        <f aca="false">VLOOKUP($C134,PalData!$A$2:$BU$139,33,0)</f>
        <v>900</v>
      </c>
      <c r="AD134" s="193" t="n">
        <f aca="false">IF(INDEX(PalData,MATCH(C134,PalNames,0)+1,MATCH("Mount",PalData_Header,0)),INDEX(PalData,MATCH(C134,PalNames,0)+1,MATCH("RideSprintSpeed",PalData_Header,0)),)</f>
        <v>0</v>
      </c>
      <c r="AE134" s="193" t="n">
        <f aca="false" t="array" ref="AE134:AE134">IF(R134&gt;0, INDEX(PalData,MATCH(C134,PalNames,0)+1,MATCH("TransportSpeed",PalData_Header,0)),)</f>
        <v>250</v>
      </c>
      <c r="AF134" s="198" t="n">
        <f aca="false">VLOOKUP($C134,PalData!$A$2:$BU$139,26,0)</f>
        <v>1</v>
      </c>
      <c r="AG134" s="195" t="n">
        <f aca="false" t="array" ref="AG134:AG134">INDEX(PalData,MATCH(C134,PalNames,0)+1,MATCH("MaleProbability",PalData_Header,0))</f>
        <v>50</v>
      </c>
    </row>
    <row r="135" customFormat="false" ht="26.25" hidden="false" customHeight="true" outlineLevel="0" collapsed="false">
      <c r="A135" s="196" t="n">
        <f aca="false">VLOOKUP($C135,PalData!$A$2:$BU$139,9,0)</f>
        <v>107</v>
      </c>
      <c r="B135" s="197" t="n">
        <f aca="false">INDEX(PalData,MATCH(C135,PalNames,0)+1,MATCH("ZukanIndexSuffix",PalData_Header,0))</f>
        <v>0</v>
      </c>
      <c r="C135" s="185" t="s">
        <v>130</v>
      </c>
      <c r="D135" s="186" t="n">
        <f aca="false">IFERROR(INDEX(PalData,MATCH(C135,PalNames,0)+1,MATCH("Image",PalData_Header,0)),)</f>
        <v>0</v>
      </c>
      <c r="E135" s="187" t="str">
        <f aca="false">IFERROR(__xludf.dummyfunction("SPLIT(VLOOKUP($C135,PalData!$A$2:$BU$139,13,0),""EPalElementType::"",0,1)"),"Dark")</f>
        <v>Dark</v>
      </c>
      <c r="F135" s="187" t="str">
        <f aca="false">IFERROR(__xludf.dummyfunction("if(SPLIT(VLOOKUP($C135,PalData!$A$2:$BU$139,14,0),""EPalElementType::"",0,1)=""None"","""",SPLIT(VLOOKUP($C135,PalData!$A$2:$BU$139,14,0),""EPalElementType::"",0,1))"),"")</f>
        <v/>
      </c>
      <c r="G135" s="188" t="str">
        <f aca="false">IF(VLOOKUP($C135,PalData!$A$2:$BU$139,48,0),"🌜","")</f>
        <v>🌜</v>
      </c>
      <c r="H135" s="189" t="n">
        <f aca="false">VLOOKUP($C135,PalData!$A$2:$BU$139,55,0)</f>
        <v>0</v>
      </c>
      <c r="I135" s="189" t="n">
        <f aca="false">VLOOKUP($C135,PalData!$A$2:$BU$139,56,0)</f>
        <v>0</v>
      </c>
      <c r="J135" s="189" t="n">
        <f aca="false">VLOOKUP($C135,PalData!$A$2:$BU$139,57,0)</f>
        <v>0</v>
      </c>
      <c r="K135" s="189" t="n">
        <f aca="false">VLOOKUP($C135,PalData!$A$2:$BU$139,58,0)</f>
        <v>0</v>
      </c>
      <c r="L135" s="189" t="n">
        <f aca="false">VLOOKUP($C135,PalData!$A$2:$BU$139,59,0)</f>
        <v>0</v>
      </c>
      <c r="M135" s="189" t="n">
        <f aca="false">VLOOKUP($C135,PalData!$A$2:$BU$139,60,0)</f>
        <v>1</v>
      </c>
      <c r="N135" s="189" t="n">
        <f aca="false">VLOOKUP($C135,PalData!$A$2:$BU$139,61,0)</f>
        <v>0</v>
      </c>
      <c r="O135" s="189" t="n">
        <f aca="false">VLOOKUP($C135,PalData!$A$2:$BU$139,62,0)</f>
        <v>0</v>
      </c>
      <c r="P135" s="189" t="n">
        <f aca="false">VLOOKUP($C135,PalData!$A$2:$BU$139,64,0)</f>
        <v>0</v>
      </c>
      <c r="Q135" s="189" t="n">
        <f aca="false">VLOOKUP($C135,PalData!$A$2:$BU$139,65,0)</f>
        <v>0</v>
      </c>
      <c r="R135" s="189" t="n">
        <f aca="false">VLOOKUP($C135,PalData!$A$2:$BU$139,66,0)</f>
        <v>0</v>
      </c>
      <c r="S135" s="189" t="n">
        <f aca="false">VLOOKUP($C135,PalData!$A$2:$BU$139,67,0)</f>
        <v>0</v>
      </c>
      <c r="T135" s="190" t="n">
        <f aca="false">VLOOKUP($C135,PalData!$A$2:$BU$139,43,0)</f>
        <v>8</v>
      </c>
      <c r="U135" s="188" t="n">
        <f aca="false">VLOOKUP($C135,PalData!$A$2:$BU$139,54,0)</f>
        <v>60</v>
      </c>
      <c r="V135" s="191" t="n">
        <f aca="false">VLOOKUP($C135,PalData!$A$2:$BU$139,19,0)</f>
        <v>120</v>
      </c>
      <c r="W135" s="191" t="n">
        <f aca="false">VLOOKUP($C135,PalData!$A$2:$BU$139,20,0)</f>
        <v>130</v>
      </c>
      <c r="X135" s="191" t="n">
        <f aca="false">VLOOKUP($C135,PalData!$A$2:$BU$139,21,0)</f>
        <v>120</v>
      </c>
      <c r="Y135" s="191" t="n">
        <f aca="false">VLOOKUP($C135,PalData!$A$2:$BU$139,22,0)</f>
        <v>140</v>
      </c>
      <c r="Z135" s="192" t="n">
        <f aca="false">VLOOKUP($C135,PalData!$A$2:$BU$139,28,0)</f>
        <v>9060</v>
      </c>
      <c r="AA135" s="193" t="n">
        <f aca="false" t="array" ref="AA135:AA135">INDEX(PalData,MATCH(C135,PalNames,0)+1,MATCH("Stamina",PalData_Header,0))</f>
        <v>250</v>
      </c>
      <c r="AB135" s="193" t="n">
        <f aca="false">VLOOKUP($C135,PalData!$A$2:$BU$139,32,0)</f>
        <v>80</v>
      </c>
      <c r="AC135" s="193" t="n">
        <f aca="false">VLOOKUP($C135,PalData!$A$2:$BU$139,33,0)</f>
        <v>850</v>
      </c>
      <c r="AD135" s="193" t="n">
        <f aca="false" t="array" ref="AD135:AD135">IF(INDEX(PalData,MATCH(C135,PalNames,0)+1,MATCH("Mount",PalData_Header,0)),INDEX(PalData,MATCH(C135,PalNames,0)+1,MATCH("RideSprintSpeed",PalData_Header,0)),)</f>
        <v>1200</v>
      </c>
      <c r="AE135" s="193" t="n">
        <f aca="false">IF(R135&gt;0, INDEX(PalData,MATCH(C135,PalNames,0)+1,MATCH("TransportSpeed",PalData_Header,0)),)</f>
        <v>0</v>
      </c>
      <c r="AF135" s="198" t="n">
        <f aca="false">VLOOKUP($C135,PalData!$A$2:$BU$139,26,0)</f>
        <v>1</v>
      </c>
      <c r="AG135" s="195" t="n">
        <f aca="false" t="array" ref="AG135:AG135">INDEX(PalData,MATCH(C135,PalNames,0)+1,MATCH("MaleProbability",PalData_Header,0))</f>
        <v>50</v>
      </c>
    </row>
    <row r="136" customFormat="false" ht="26.25" hidden="false" customHeight="true" outlineLevel="0" collapsed="false">
      <c r="A136" s="196" t="n">
        <f aca="false">VLOOKUP($C136,PalData!$A$2:$BU$139,9,0)</f>
        <v>108</v>
      </c>
      <c r="B136" s="197" t="n">
        <f aca="false">INDEX(PalData,MATCH(C136,PalNames,0)+1,MATCH("ZukanIndexSuffix",PalData_Header,0))</f>
        <v>0</v>
      </c>
      <c r="C136" s="185" t="s">
        <v>113</v>
      </c>
      <c r="D136" s="186" t="n">
        <f aca="false">IFERROR(INDEX(PalData,MATCH(C136,PalNames,0)+1,MATCH("Image",PalData_Header,0)),)</f>
        <v>0</v>
      </c>
      <c r="E136" s="187" t="str">
        <f aca="false">IFERROR(__xludf.dummyfunction("SPLIT(VLOOKUP($C136,PalData!$A$2:$BU$139,13,0),""EPalElementType::"",0,1)"),"Normal")</f>
        <v>Normal</v>
      </c>
      <c r="F136" s="187" t="str">
        <f aca="false">IFERROR(__xludf.dummyfunction("if(SPLIT(VLOOKUP($C136,PalData!$A$2:$BU$139,14,0),""EPalElementType::"",0,1)=""None"","""",SPLIT(VLOOKUP($C136,PalData!$A$2:$BU$139,14,0),""EPalElementType::"",0,1))"),"")</f>
        <v/>
      </c>
      <c r="G136" s="188" t="str">
        <f aca="false">IF(VLOOKUP($C136,PalData!$A$2:$BU$139,48,0),"🌜","")</f>
        <v/>
      </c>
      <c r="H136" s="189" t="n">
        <f aca="false">VLOOKUP($C136,PalData!$A$2:$BU$139,55,0)</f>
        <v>0</v>
      </c>
      <c r="I136" s="189" t="n">
        <f aca="false">VLOOKUP($C136,PalData!$A$2:$BU$139,56,0)</f>
        <v>0</v>
      </c>
      <c r="J136" s="189" t="n">
        <f aca="false">VLOOKUP($C136,PalData!$A$2:$BU$139,57,0)</f>
        <v>0</v>
      </c>
      <c r="K136" s="189" t="n">
        <f aca="false">VLOOKUP($C136,PalData!$A$2:$BU$139,58,0)</f>
        <v>0</v>
      </c>
      <c r="L136" s="189" t="n">
        <f aca="false">VLOOKUP($C136,PalData!$A$2:$BU$139,59,0)</f>
        <v>0</v>
      </c>
      <c r="M136" s="189" t="n">
        <f aca="false">VLOOKUP($C136,PalData!$A$2:$BU$139,60,0)</f>
        <v>0</v>
      </c>
      <c r="N136" s="189" t="n">
        <f aca="false">VLOOKUP($C136,PalData!$A$2:$BU$139,61,0)</f>
        <v>2</v>
      </c>
      <c r="O136" s="189" t="n">
        <f aca="false">VLOOKUP($C136,PalData!$A$2:$BU$139,62,0)</f>
        <v>2</v>
      </c>
      <c r="P136" s="189" t="n">
        <f aca="false">VLOOKUP($C136,PalData!$A$2:$BU$139,64,0)</f>
        <v>0</v>
      </c>
      <c r="Q136" s="189" t="n">
        <f aca="false">VLOOKUP($C136,PalData!$A$2:$BU$139,65,0)</f>
        <v>0</v>
      </c>
      <c r="R136" s="189" t="n">
        <f aca="false">VLOOKUP($C136,PalData!$A$2:$BU$139,66,0)</f>
        <v>0</v>
      </c>
      <c r="S136" s="189" t="n">
        <f aca="false">VLOOKUP($C136,PalData!$A$2:$BU$139,67,0)</f>
        <v>0</v>
      </c>
      <c r="T136" s="190" t="n">
        <f aca="false">VLOOKUP($C136,PalData!$A$2:$BU$139,43,0)</f>
        <v>9</v>
      </c>
      <c r="U136" s="188" t="n">
        <f aca="false">VLOOKUP($C136,PalData!$A$2:$BU$139,54,0)</f>
        <v>80</v>
      </c>
      <c r="V136" s="191" t="n">
        <f aca="false">VLOOKUP($C136,PalData!$A$2:$BU$139,19,0)</f>
        <v>130</v>
      </c>
      <c r="W136" s="191" t="n">
        <f aca="false">VLOOKUP($C136,PalData!$A$2:$BU$139,20,0)</f>
        <v>110</v>
      </c>
      <c r="X136" s="191" t="n">
        <f aca="false">VLOOKUP($C136,PalData!$A$2:$BU$139,21,0)</f>
        <v>120</v>
      </c>
      <c r="Y136" s="191" t="n">
        <f aca="false">VLOOKUP($C136,PalData!$A$2:$BU$139,22,0)</f>
        <v>145</v>
      </c>
      <c r="Z136" s="192" t="n">
        <f aca="false">VLOOKUP($C136,PalData!$A$2:$BU$139,28,0)</f>
        <v>8810</v>
      </c>
      <c r="AA136" s="193" t="n">
        <f aca="false" t="array" ref="AA136:AA136">INDEX(PalData,MATCH(C136,PalNames,0)+1,MATCH("Stamina",PalData_Header,0))</f>
        <v>100</v>
      </c>
      <c r="AB136" s="193" t="n">
        <f aca="false">VLOOKUP($C136,PalData!$A$2:$BU$139,32,0)</f>
        <v>100</v>
      </c>
      <c r="AC136" s="193" t="n">
        <f aca="false">VLOOKUP($C136,PalData!$A$2:$BU$139,33,0)</f>
        <v>800</v>
      </c>
      <c r="AD136" s="193" t="n">
        <f aca="false" t="array" ref="AD136:AD136">IF(INDEX(PalData,MATCH(C136,PalNames,0)+1,MATCH("Mount",PalData_Header,0)),INDEX(PalData,MATCH(C136,PalNames,0)+1,MATCH("RideSprintSpeed",PalData_Header,0)),)</f>
        <v>1400</v>
      </c>
      <c r="AE136" s="193" t="n">
        <f aca="false">IF(R136&gt;0, INDEX(PalData,MATCH(C136,PalNames,0)+1,MATCH("TransportSpeed",PalData_Header,0)),)</f>
        <v>0</v>
      </c>
      <c r="AF136" s="198" t="n">
        <f aca="false">VLOOKUP($C136,PalData!$A$2:$BU$139,26,0)</f>
        <v>1</v>
      </c>
      <c r="AG136" s="195" t="n">
        <f aca="false" t="array" ref="AG136:AG136">INDEX(PalData,MATCH(C136,PalNames,0)+1,MATCH("MaleProbability",PalData_Header,0))</f>
        <v>50</v>
      </c>
    </row>
    <row r="137" customFormat="false" ht="26.25" hidden="false" customHeight="true" outlineLevel="0" collapsed="false">
      <c r="A137" s="196" t="n">
        <f aca="false">VLOOKUP($C137,PalData!$A$2:$BU$139,9,0)</f>
        <v>109</v>
      </c>
      <c r="B137" s="197" t="n">
        <f aca="false">INDEX(PalData,MATCH(C137,PalNames,0)+1,MATCH("ZukanIndexSuffix",PalData_Header,0))</f>
        <v>0</v>
      </c>
      <c r="C137" s="185" t="s">
        <v>109</v>
      </c>
      <c r="D137" s="186" t="n">
        <f aca="false">IFERROR(INDEX(PalData,MATCH(C137,PalNames,0)+1,MATCH("Image",PalData_Header,0)),)</f>
        <v>0</v>
      </c>
      <c r="E137" s="187" t="str">
        <f aca="false">IFERROR(__xludf.dummyfunction("SPLIT(VLOOKUP($C137,PalData!$A$2:$BU$139,13,0),""EPalElementType::"",0,1)"),"Dark")</f>
        <v>Dark</v>
      </c>
      <c r="F137" s="187" t="str">
        <f aca="false">IFERROR(__xludf.dummyfunction("if(SPLIT(VLOOKUP($C137,PalData!$A$2:$BU$139,14,0),""EPalElementType::"",0,1)=""None"","""",SPLIT(VLOOKUP($C137,PalData!$A$2:$BU$139,14,0),""EPalElementType::"",0,1))"),"")</f>
        <v/>
      </c>
      <c r="G137" s="188" t="str">
        <f aca="false">IF(VLOOKUP($C137,PalData!$A$2:$BU$139,48,0),"🌜","")</f>
        <v>🌜</v>
      </c>
      <c r="H137" s="189" t="n">
        <f aca="false">VLOOKUP($C137,PalData!$A$2:$BU$139,55,0)</f>
        <v>0</v>
      </c>
      <c r="I137" s="189" t="n">
        <f aca="false">VLOOKUP($C137,PalData!$A$2:$BU$139,56,0)</f>
        <v>0</v>
      </c>
      <c r="J137" s="189" t="n">
        <f aca="false">VLOOKUP($C137,PalData!$A$2:$BU$139,57,0)</f>
        <v>0</v>
      </c>
      <c r="K137" s="189" t="n">
        <f aca="false">VLOOKUP($C137,PalData!$A$2:$BU$139,58,0)</f>
        <v>0</v>
      </c>
      <c r="L137" s="189" t="n">
        <f aca="false">VLOOKUP($C137,PalData!$A$2:$BU$139,59,0)</f>
        <v>0</v>
      </c>
      <c r="M137" s="189" t="n">
        <f aca="false">VLOOKUP($C137,PalData!$A$2:$BU$139,60,0)</f>
        <v>0</v>
      </c>
      <c r="N137" s="189" t="n">
        <f aca="false">VLOOKUP($C137,PalData!$A$2:$BU$139,61,0)</f>
        <v>2</v>
      </c>
      <c r="O137" s="189" t="n">
        <f aca="false">VLOOKUP($C137,PalData!$A$2:$BU$139,62,0)</f>
        <v>2</v>
      </c>
      <c r="P137" s="189" t="n">
        <f aca="false">VLOOKUP($C137,PalData!$A$2:$BU$139,64,0)</f>
        <v>0</v>
      </c>
      <c r="Q137" s="189" t="n">
        <f aca="false">VLOOKUP($C137,PalData!$A$2:$BU$139,65,0)</f>
        <v>0</v>
      </c>
      <c r="R137" s="189" t="n">
        <f aca="false">VLOOKUP($C137,PalData!$A$2:$BU$139,66,0)</f>
        <v>0</v>
      </c>
      <c r="S137" s="189" t="n">
        <f aca="false">VLOOKUP($C137,PalData!$A$2:$BU$139,67,0)</f>
        <v>0</v>
      </c>
      <c r="T137" s="190" t="n">
        <f aca="false">VLOOKUP($C137,PalData!$A$2:$BU$139,43,0)</f>
        <v>9</v>
      </c>
      <c r="U137" s="188" t="n">
        <f aca="false">VLOOKUP($C137,PalData!$A$2:$BU$139,54,0)</f>
        <v>70</v>
      </c>
      <c r="V137" s="191" t="n">
        <f aca="false">VLOOKUP($C137,PalData!$A$2:$BU$139,19,0)</f>
        <v>130</v>
      </c>
      <c r="W137" s="191" t="n">
        <f aca="false">VLOOKUP($C137,PalData!$A$2:$BU$139,20,0)</f>
        <v>100</v>
      </c>
      <c r="X137" s="191" t="n">
        <f aca="false">VLOOKUP($C137,PalData!$A$2:$BU$139,21,0)</f>
        <v>145</v>
      </c>
      <c r="Y137" s="191" t="n">
        <f aca="false">VLOOKUP($C137,PalData!$A$2:$BU$139,22,0)</f>
        <v>120</v>
      </c>
      <c r="Z137" s="192" t="n">
        <f aca="false">VLOOKUP($C137,PalData!$A$2:$BU$139,28,0)</f>
        <v>8930</v>
      </c>
      <c r="AA137" s="193" t="n">
        <f aca="false" t="array" ref="AA137:AA137">INDEX(PalData,MATCH(C137,PalNames,0)+1,MATCH("Stamina",PalData_Header,0))</f>
        <v>100</v>
      </c>
      <c r="AB137" s="193" t="n">
        <f aca="false">VLOOKUP($C137,PalData!$A$2:$BU$139,32,0)</f>
        <v>350</v>
      </c>
      <c r="AC137" s="193" t="n">
        <f aca="false">VLOOKUP($C137,PalData!$A$2:$BU$139,33,0)</f>
        <v>900</v>
      </c>
      <c r="AD137" s="193" t="n">
        <f aca="false" t="array" ref="AD137:AD137">IF(INDEX(PalData,MATCH(C137,PalNames,0)+1,MATCH("Mount",PalData_Header,0)),INDEX(PalData,MATCH(C137,PalNames,0)+1,MATCH("RideSprintSpeed",PalData_Header,0)),)</f>
        <v>1600</v>
      </c>
      <c r="AE137" s="193" t="n">
        <f aca="false">IF(R137&gt;0, INDEX(PalData,MATCH(C137,PalNames,0)+1,MATCH("TransportSpeed",PalData_Header,0)),)</f>
        <v>0</v>
      </c>
      <c r="AF137" s="198" t="n">
        <f aca="false">VLOOKUP($C137,PalData!$A$2:$BU$139,26,0)</f>
        <v>1</v>
      </c>
      <c r="AG137" s="195" t="n">
        <f aca="false" t="array" ref="AG137:AG137">INDEX(PalData,MATCH(C137,PalNames,0)+1,MATCH("MaleProbability",PalData_Header,0))</f>
        <v>50</v>
      </c>
    </row>
    <row r="138" customFormat="false" ht="26.25" hidden="false" customHeight="true" outlineLevel="0" collapsed="false">
      <c r="A138" s="196" t="n">
        <f aca="false">VLOOKUP($C138,PalData!$A$2:$BU$139,9,0)</f>
        <v>110</v>
      </c>
      <c r="B138" s="197" t="n">
        <f aca="false">INDEX(PalData,MATCH(C138,PalNames,0)+1,MATCH("ZukanIndexSuffix",PalData_Header,0))</f>
        <v>0</v>
      </c>
      <c r="C138" s="185" t="s">
        <v>21</v>
      </c>
      <c r="D138" s="186" t="n">
        <f aca="false">IFERROR(INDEX(PalData,MATCH(C138,PalNames,0)+1,MATCH("Image",PalData_Header,0)),)</f>
        <v>0</v>
      </c>
      <c r="E138" s="187" t="str">
        <f aca="false">IFERROR(__xludf.dummyfunction("SPLIT(VLOOKUP($C138,PalData!$A$2:$BU$139,13,0),""EPalElementType::"",0,1)"),"Ice")</f>
        <v>Ice</v>
      </c>
      <c r="F138" s="187" t="str">
        <f aca="false">IFERROR(__xludf.dummyfunction("if(SPLIT(VLOOKUP($C138,PalData!$A$2:$BU$139,14,0),""EPalElementType::"",0,1)=""None"","""",SPLIT(VLOOKUP($C138,PalData!$A$2:$BU$139,14,0),""EPalElementType::"",0,1))"),"")</f>
        <v/>
      </c>
      <c r="G138" s="188" t="str">
        <f aca="false">IF(VLOOKUP($C138,PalData!$A$2:$BU$139,48,0),"🌜","")</f>
        <v/>
      </c>
      <c r="H138" s="189" t="n">
        <f aca="false">VLOOKUP($C138,PalData!$A$2:$BU$139,55,0)</f>
        <v>0</v>
      </c>
      <c r="I138" s="189" t="n">
        <f aca="false">VLOOKUP($C138,PalData!$A$2:$BU$139,56,0)</f>
        <v>0</v>
      </c>
      <c r="J138" s="189" t="n">
        <f aca="false">VLOOKUP($C138,PalData!$A$2:$BU$139,57,0)</f>
        <v>0</v>
      </c>
      <c r="K138" s="189" t="n">
        <f aca="false">VLOOKUP($C138,PalData!$A$2:$BU$139,58,0)</f>
        <v>0</v>
      </c>
      <c r="L138" s="189" t="n">
        <f aca="false">VLOOKUP($C138,PalData!$A$2:$BU$139,59,0)</f>
        <v>0</v>
      </c>
      <c r="M138" s="189" t="n">
        <f aca="false">VLOOKUP($C138,PalData!$A$2:$BU$139,60,0)</f>
        <v>0</v>
      </c>
      <c r="N138" s="189" t="n">
        <f aca="false">VLOOKUP($C138,PalData!$A$2:$BU$139,61,0)</f>
        <v>0</v>
      </c>
      <c r="O138" s="189" t="n">
        <f aca="false">VLOOKUP($C138,PalData!$A$2:$BU$139,62,0)</f>
        <v>0</v>
      </c>
      <c r="P138" s="189" t="n">
        <f aca="false">VLOOKUP($C138,PalData!$A$2:$BU$139,64,0)</f>
        <v>0</v>
      </c>
      <c r="Q138" s="189" t="n">
        <f aca="false">VLOOKUP($C138,PalData!$A$2:$BU$139,65,0)</f>
        <v>4</v>
      </c>
      <c r="R138" s="189" t="n">
        <f aca="false">VLOOKUP($C138,PalData!$A$2:$BU$139,66,0)</f>
        <v>0</v>
      </c>
      <c r="S138" s="189" t="n">
        <f aca="false">VLOOKUP($C138,PalData!$A$2:$BU$139,67,0)</f>
        <v>0</v>
      </c>
      <c r="T138" s="190" t="n">
        <f aca="false">VLOOKUP($C138,PalData!$A$2:$BU$139,43,0)</f>
        <v>7</v>
      </c>
      <c r="U138" s="188" t="n">
        <f aca="false">VLOOKUP($C138,PalData!$A$2:$BU$139,54,0)</f>
        <v>120</v>
      </c>
      <c r="V138" s="191" t="n">
        <f aca="false">VLOOKUP($C138,PalData!$A$2:$BU$139,19,0)</f>
        <v>140</v>
      </c>
      <c r="W138" s="191" t="n">
        <f aca="false">VLOOKUP($C138,PalData!$A$2:$BU$139,20,0)</f>
        <v>100</v>
      </c>
      <c r="X138" s="191" t="n">
        <f aca="false">VLOOKUP($C138,PalData!$A$2:$BU$139,21,0)</f>
        <v>140</v>
      </c>
      <c r="Y138" s="191" t="n">
        <f aca="false">VLOOKUP($C138,PalData!$A$2:$BU$139,22,0)</f>
        <v>120</v>
      </c>
      <c r="Z138" s="192" t="n">
        <f aca="false">VLOOKUP($C138,PalData!$A$2:$BU$139,28,0)</f>
        <v>8440</v>
      </c>
      <c r="AA138" s="193" t="n">
        <f aca="false" t="array" ref="AA138:AA138">INDEX(PalData,MATCH(C138,PalNames,0)+1,MATCH("Stamina",PalData_Header,0))</f>
        <v>300</v>
      </c>
      <c r="AB138" s="193" t="n">
        <f aca="false">VLOOKUP($C138,PalData!$A$2:$BU$139,32,0)</f>
        <v>120</v>
      </c>
      <c r="AC138" s="193" t="n">
        <f aca="false">VLOOKUP($C138,PalData!$A$2:$BU$139,33,0)</f>
        <v>1000</v>
      </c>
      <c r="AD138" s="193" t="n">
        <f aca="false" t="array" ref="AD138:AD138">IF(INDEX(PalData,MATCH(C138,PalNames,0)+1,MATCH("Mount",PalData_Header,0)),INDEX(PalData,MATCH(C138,PalNames,0)+1,MATCH("RideSprintSpeed",PalData_Header,0)),)</f>
        <v>1500</v>
      </c>
      <c r="AE138" s="193" t="n">
        <f aca="false">IF(R138&gt;0, INDEX(PalData,MATCH(C138,PalNames,0)+1,MATCH("TransportSpeed",PalData_Header,0)),)</f>
        <v>0</v>
      </c>
      <c r="AF138" s="198" t="n">
        <f aca="false">VLOOKUP($C138,PalData!$A$2:$BU$139,26,0)</f>
        <v>1</v>
      </c>
      <c r="AG138" s="195" t="n">
        <f aca="false" t="array" ref="AG138:AG138">INDEX(PalData,MATCH(C138,PalNames,0)+1,MATCH("MaleProbability",PalData_Header,0))</f>
        <v>50</v>
      </c>
    </row>
    <row r="139" customFormat="false" ht="26.25" hidden="false" customHeight="true" outlineLevel="0" collapsed="false">
      <c r="A139" s="196" t="n">
        <f aca="false">VLOOKUP($C139,PalData!$A$2:$BU$139,9,0)</f>
        <v>110</v>
      </c>
      <c r="B139" s="197" t="str">
        <f aca="false" t="array" ref="B139:B139">INDEX(PalData,MATCH(C139,PalNames,0)+1,MATCH("ZukanIndexSuffix",PalData_Header,0))</f>
        <v>B</v>
      </c>
      <c r="C139" s="185" t="s">
        <v>60</v>
      </c>
      <c r="D139" s="186" t="n">
        <f aca="false">IFERROR(INDEX(PalData,MATCH(C139,PalNames,0)+1,MATCH("Image",PalData_Header,0)),)</f>
        <v>0</v>
      </c>
      <c r="E139" s="187" t="str">
        <f aca="false">IFERROR(__xludf.dummyfunction("SPLIT(VLOOKUP($C139,PalData!$A$2:$BU$139,13,0),""EPalElementType::"",0,1)"),"Dark")</f>
        <v>Dark</v>
      </c>
      <c r="F139" s="187" t="str">
        <f aca="false">IFERROR(__xludf.dummyfunction("if(SPLIT(VLOOKUP($C139,PalData!$A$2:$BU$139,14,0),""EPalElementType::"",0,1)=""None"","""",SPLIT(VLOOKUP($C139,PalData!$A$2:$BU$139,14,0),""EPalElementType::"",0,1))"),"")</f>
        <v/>
      </c>
      <c r="G139" s="188" t="str">
        <f aca="false">IF(VLOOKUP($C139,PalData!$A$2:$BU$139,48,0),"🌜","")</f>
        <v>🌜</v>
      </c>
      <c r="H139" s="189" t="n">
        <f aca="false">VLOOKUP($C139,PalData!$A$2:$BU$139,55,0)</f>
        <v>0</v>
      </c>
      <c r="I139" s="189" t="n">
        <f aca="false">VLOOKUP($C139,PalData!$A$2:$BU$139,56,0)</f>
        <v>0</v>
      </c>
      <c r="J139" s="189" t="n">
        <f aca="false">VLOOKUP($C139,PalData!$A$2:$BU$139,57,0)</f>
        <v>0</v>
      </c>
      <c r="K139" s="189" t="n">
        <f aca="false">VLOOKUP($C139,PalData!$A$2:$BU$139,58,0)</f>
        <v>0</v>
      </c>
      <c r="L139" s="189" t="n">
        <f aca="false">VLOOKUP($C139,PalData!$A$2:$BU$139,59,0)</f>
        <v>0</v>
      </c>
      <c r="M139" s="189" t="n">
        <f aca="false">VLOOKUP($C139,PalData!$A$2:$BU$139,60,0)</f>
        <v>4</v>
      </c>
      <c r="N139" s="189" t="n">
        <f aca="false">VLOOKUP($C139,PalData!$A$2:$BU$139,61,0)</f>
        <v>0</v>
      </c>
      <c r="O139" s="189" t="n">
        <f aca="false">VLOOKUP($C139,PalData!$A$2:$BU$139,62,0)</f>
        <v>0</v>
      </c>
      <c r="P139" s="189" t="n">
        <f aca="false">VLOOKUP($C139,PalData!$A$2:$BU$139,64,0)</f>
        <v>0</v>
      </c>
      <c r="Q139" s="189" t="n">
        <f aca="false">VLOOKUP($C139,PalData!$A$2:$BU$139,65,0)</f>
        <v>0</v>
      </c>
      <c r="R139" s="189" t="n">
        <f aca="false">VLOOKUP($C139,PalData!$A$2:$BU$139,66,0)</f>
        <v>0</v>
      </c>
      <c r="S139" s="189" t="n">
        <f aca="false">VLOOKUP($C139,PalData!$A$2:$BU$139,67,0)</f>
        <v>0</v>
      </c>
      <c r="T139" s="190" t="n">
        <f aca="false">VLOOKUP($C139,PalData!$A$2:$BU$139,43,0)</f>
        <v>7</v>
      </c>
      <c r="U139" s="188" t="n">
        <f aca="false">VLOOKUP($C139,PalData!$A$2:$BU$139,54,0)</f>
        <v>100</v>
      </c>
      <c r="V139" s="191" t="n">
        <f aca="false">VLOOKUP($C139,PalData!$A$2:$BU$139,19,0)</f>
        <v>140</v>
      </c>
      <c r="W139" s="191" t="n">
        <f aca="false">VLOOKUP($C139,PalData!$A$2:$BU$139,20,0)</f>
        <v>100</v>
      </c>
      <c r="X139" s="191" t="n">
        <f aca="false">VLOOKUP($C139,PalData!$A$2:$BU$139,21,0)</f>
        <v>140</v>
      </c>
      <c r="Y139" s="191" t="n">
        <f aca="false">VLOOKUP($C139,PalData!$A$2:$BU$139,22,0)</f>
        <v>135</v>
      </c>
      <c r="Z139" s="192" t="n">
        <f aca="false">VLOOKUP($C139,PalData!$A$2:$BU$139,28,0)</f>
        <v>8560</v>
      </c>
      <c r="AA139" s="193" t="n">
        <f aca="false" t="array" ref="AA139:AA139">INDEX(PalData,MATCH(C139,PalNames,0)+1,MATCH("Stamina",PalData_Header,0))</f>
        <v>300</v>
      </c>
      <c r="AB139" s="193" t="n">
        <f aca="false">VLOOKUP($C139,PalData!$A$2:$BU$139,32,0)</f>
        <v>120</v>
      </c>
      <c r="AC139" s="193" t="n">
        <f aca="false">VLOOKUP($C139,PalData!$A$2:$BU$139,33,0)</f>
        <v>1000</v>
      </c>
      <c r="AD139" s="193" t="n">
        <f aca="false" t="array" ref="AD139:AD139">IF(INDEX(PalData,MATCH(C139,PalNames,0)+1,MATCH("Mount",PalData_Header,0)),INDEX(PalData,MATCH(C139,PalNames,0)+1,MATCH("RideSprintSpeed",PalData_Header,0)),)</f>
        <v>1500</v>
      </c>
      <c r="AE139" s="193" t="n">
        <f aca="false">IF(R139&gt;0, INDEX(PalData,MATCH(C139,PalNames,0)+1,MATCH("TransportSpeed",PalData_Header,0)),)</f>
        <v>0</v>
      </c>
      <c r="AF139" s="198" t="n">
        <f aca="false">VLOOKUP($C139,PalData!$A$2:$BU$139,26,0)</f>
        <v>1</v>
      </c>
      <c r="AG139" s="195" t="n">
        <f aca="false" t="array" ref="AG139:AG139">INDEX(PalData,MATCH(C139,PalNames,0)+1,MATCH("MaleProbability",PalData_Header,0))</f>
        <v>50</v>
      </c>
    </row>
    <row r="140" customFormat="false" ht="26.25" hidden="false" customHeight="true" outlineLevel="0" collapsed="false">
      <c r="A140" s="196" t="n">
        <f aca="false">VLOOKUP($C140,PalData!$A$2:$BU$139,9,0)</f>
        <v>111</v>
      </c>
      <c r="B140" s="197" t="n">
        <f aca="false">INDEX(PalData,MATCH(C140,PalNames,0)+1,MATCH("ZukanIndexSuffix",PalData_Header,0))</f>
        <v>0</v>
      </c>
      <c r="C140" s="185" t="s">
        <v>79</v>
      </c>
      <c r="D140" s="186" t="n">
        <f aca="false">IFERROR(INDEX(PalData,MATCH(C140,PalNames,0)+1,MATCH("Image",PalData_Header,0)),)</f>
        <v>0</v>
      </c>
      <c r="E140" s="187" t="str">
        <f aca="false">IFERROR(__xludf.dummyfunction("SPLIT(VLOOKUP($C140,PalData!$A$2:$BU$139,13,0),""EPalElementType::"",0,1)"),"Dragon")</f>
        <v>Dragon</v>
      </c>
      <c r="F140" s="187" t="str">
        <f aca="false">IFERROR(__xludf.dummyfunction("if(SPLIT(VLOOKUP($C140,PalData!$A$2:$BU$139,14,0),""EPalElementType::"",0,1)=""None"","""",SPLIT(VLOOKUP($C140,PalData!$A$2:$BU$139,14,0),""EPalElementType::"",0,1))"),"")</f>
        <v/>
      </c>
      <c r="G140" s="188" t="str">
        <f aca="false">IF(VLOOKUP($C140,PalData!$A$2:$BU$139,48,0),"🌜","")</f>
        <v/>
      </c>
      <c r="H140" s="189" t="n">
        <f aca="false">VLOOKUP($C140,PalData!$A$2:$BU$139,55,0)</f>
        <v>0</v>
      </c>
      <c r="I140" s="189" t="n">
        <f aca="false">VLOOKUP($C140,PalData!$A$2:$BU$139,56,0)</f>
        <v>0</v>
      </c>
      <c r="J140" s="189" t="n">
        <f aca="false">VLOOKUP($C140,PalData!$A$2:$BU$139,57,0)</f>
        <v>0</v>
      </c>
      <c r="K140" s="189" t="n">
        <f aca="false">VLOOKUP($C140,PalData!$A$2:$BU$139,58,0)</f>
        <v>0</v>
      </c>
      <c r="L140" s="189" t="n">
        <f aca="false">VLOOKUP($C140,PalData!$A$2:$BU$139,59,0)</f>
        <v>0</v>
      </c>
      <c r="M140" s="189" t="n">
        <f aca="false">VLOOKUP($C140,PalData!$A$2:$BU$139,60,0)</f>
        <v>3</v>
      </c>
      <c r="N140" s="189" t="n">
        <f aca="false">VLOOKUP($C140,PalData!$A$2:$BU$139,61,0)</f>
        <v>0</v>
      </c>
      <c r="O140" s="189" t="n">
        <f aca="false">VLOOKUP($C140,PalData!$A$2:$BU$139,62,0)</f>
        <v>0</v>
      </c>
      <c r="P140" s="189" t="n">
        <f aca="false">VLOOKUP($C140,PalData!$A$2:$BU$139,64,0)</f>
        <v>0</v>
      </c>
      <c r="Q140" s="189" t="n">
        <f aca="false">VLOOKUP($C140,PalData!$A$2:$BU$139,65,0)</f>
        <v>0</v>
      </c>
      <c r="R140" s="189" t="n">
        <f aca="false">VLOOKUP($C140,PalData!$A$2:$BU$139,66,0)</f>
        <v>0</v>
      </c>
      <c r="S140" s="189" t="n">
        <f aca="false">VLOOKUP($C140,PalData!$A$2:$BU$139,67,0)</f>
        <v>0</v>
      </c>
      <c r="T140" s="190" t="n">
        <f aca="false">VLOOKUP($C140,PalData!$A$2:$BU$139,43,0)</f>
        <v>9</v>
      </c>
      <c r="U140" s="188" t="n">
        <f aca="false">VLOOKUP($C140,PalData!$A$2:$BU$139,54,0)</f>
        <v>90</v>
      </c>
      <c r="V140" s="191" t="n">
        <f aca="false">VLOOKUP($C140,PalData!$A$2:$BU$139,19,0)</f>
        <v>110</v>
      </c>
      <c r="W140" s="191" t="n">
        <f aca="false">VLOOKUP($C140,PalData!$A$2:$BU$139,20,0)</f>
        <v>100</v>
      </c>
      <c r="X140" s="191" t="n">
        <f aca="false">VLOOKUP($C140,PalData!$A$2:$BU$139,21,0)</f>
        <v>140</v>
      </c>
      <c r="Y140" s="191" t="n">
        <f aca="false">VLOOKUP($C140,PalData!$A$2:$BU$139,22,0)</f>
        <v>110</v>
      </c>
      <c r="Z140" s="192" t="n">
        <f aca="false">VLOOKUP($C140,PalData!$A$2:$BU$139,28,0)</f>
        <v>8680</v>
      </c>
      <c r="AA140" s="193" t="n">
        <f aca="false" t="array" ref="AA140:AA140">INDEX(PalData,MATCH(C140,PalNames,0)+1,MATCH("Stamina",PalData_Header,0))</f>
        <v>100</v>
      </c>
      <c r="AB140" s="193" t="n">
        <f aca="false">VLOOKUP($C140,PalData!$A$2:$BU$139,32,0)</f>
        <v>800</v>
      </c>
      <c r="AC140" s="193" t="n">
        <f aca="false">VLOOKUP($C140,PalData!$A$2:$BU$139,33,0)</f>
        <v>1700</v>
      </c>
      <c r="AD140" s="193" t="n">
        <f aca="false" t="array" ref="AD140:AD140">IF(INDEX(PalData,MATCH(C140,PalNames,0)+1,MATCH("Mount",PalData_Header,0)),INDEX(PalData,MATCH(C140,PalNames,0)+1,MATCH("RideSprintSpeed",PalData_Header,0)),)</f>
        <v>3300</v>
      </c>
      <c r="AE140" s="193" t="n">
        <f aca="false">IF(R140&gt;0, INDEX(PalData,MATCH(C140,PalNames,0)+1,MATCH("TransportSpeed",PalData_Header,0)),)</f>
        <v>0</v>
      </c>
      <c r="AF140" s="198" t="n">
        <f aca="false">VLOOKUP($C140,PalData!$A$2:$BU$139,26,0)</f>
        <v>1</v>
      </c>
      <c r="AG140" s="195" t="n">
        <f aca="false" t="array" ref="AG140:AG140">INDEX(PalData,MATCH(C140,PalNames,0)+1,MATCH("MaleProbability",PalData_Header,0))</f>
        <v>50</v>
      </c>
    </row>
  </sheetData>
  <autoFilter ref="A2:AH140"/>
  <mergeCells count="3">
    <mergeCell ref="H1:S1"/>
    <mergeCell ref="V1:Y1"/>
    <mergeCell ref="AB1:AE1"/>
  </mergeCells>
  <conditionalFormatting sqref="AG3:AG140">
    <cfRule type="colorScale" priority="2">
      <colorScale>
        <cfvo type="formula" val="0"/>
        <cfvo type="formula" val="50"/>
        <cfvo type="formula" val="100"/>
        <color rgb="FF741B47"/>
        <color rgb="FF8E7CC3"/>
        <color rgb="FF3D85C6"/>
      </colorScale>
    </cfRule>
  </conditionalFormatting>
  <conditionalFormatting sqref="E3:F140">
    <cfRule type="containsText" priority="3" operator="containsText" aboveAverage="0" equalAverage="0" bottom="0" percent="0" rank="0" text="Fire" dxfId="85">
      <formula>NOT(ISERROR(SEARCH("Fire",E3)))</formula>
    </cfRule>
  </conditionalFormatting>
  <conditionalFormatting sqref="E3:F140">
    <cfRule type="containsText" priority="4" operator="containsText" aboveAverage="0" equalAverage="0" bottom="0" percent="0" rank="0" text="Water" dxfId="86">
      <formula>NOT(ISERROR(SEARCH("Water",E3)))</formula>
    </cfRule>
  </conditionalFormatting>
  <conditionalFormatting sqref="E3:F140">
    <cfRule type="containsText" priority="5" operator="containsText" aboveAverage="0" equalAverage="0" bottom="0" percent="0" rank="0" text="Normal" dxfId="87">
      <formula>NOT(ISERROR(SEARCH("Normal",E3)))</formula>
    </cfRule>
  </conditionalFormatting>
  <conditionalFormatting sqref="E3:F140">
    <cfRule type="containsText" priority="6" operator="containsText" aboveAverage="0" equalAverage="0" bottom="0" percent="0" rank="0" text="Leaf" dxfId="88">
      <formula>NOT(ISERROR(SEARCH("Leaf",E3)))</formula>
    </cfRule>
  </conditionalFormatting>
  <conditionalFormatting sqref="E3:F140">
    <cfRule type="containsText" priority="7" operator="containsText" aboveAverage="0" equalAverage="0" bottom="0" percent="0" rank="0" text="Electricity" dxfId="89">
      <formula>NOT(ISERROR(SEARCH("Electricity",E3)))</formula>
    </cfRule>
  </conditionalFormatting>
  <conditionalFormatting sqref="E3:F140">
    <cfRule type="containsText" priority="8" operator="containsText" aboveAverage="0" equalAverage="0" bottom="0" percent="0" rank="0" text="Ice" dxfId="90">
      <formula>NOT(ISERROR(SEARCH("Ice",E3)))</formula>
    </cfRule>
  </conditionalFormatting>
  <conditionalFormatting sqref="E3:F140">
    <cfRule type="containsText" priority="9" operator="containsText" aboveAverage="0" equalAverage="0" bottom="0" percent="0" rank="0" text="Earth" dxfId="91">
      <formula>NOT(ISERROR(SEARCH("Earth",E3)))</formula>
    </cfRule>
  </conditionalFormatting>
  <conditionalFormatting sqref="E3:F140">
    <cfRule type="containsText" priority="10" operator="containsText" aboveAverage="0" equalAverage="0" bottom="0" percent="0" rank="0" text="Dark" dxfId="92">
      <formula>NOT(ISERROR(SEARCH("Dark",E3)))</formula>
    </cfRule>
  </conditionalFormatting>
  <conditionalFormatting sqref="E3:F140">
    <cfRule type="containsText" priority="11" operator="containsText" aboveAverage="0" equalAverage="0" bottom="0" percent="0" rank="0" text="Dragon" dxfId="93">
      <formula>NOT(ISERROR(SEARCH("Dragon",E3)))</formula>
    </cfRule>
  </conditionalFormatting>
  <conditionalFormatting sqref="AA3:AA140">
    <cfRule type="colorScale" priority="12">
      <colorScale>
        <cfvo type="min" val="0"/>
        <cfvo type="formula" val="100"/>
        <cfvo type="max" val="0"/>
        <color rgb="FF7F6000"/>
        <color rgb="FF274E13"/>
        <color rgb="FF6AA84F"/>
      </colorScale>
    </cfRule>
  </conditionalFormatting>
  <conditionalFormatting sqref="H3:S140">
    <cfRule type="cellIs" priority="13" operator="equal" aboveAverage="0" equalAverage="0" bottom="0" percent="0" rank="0" text="" dxfId="94">
      <formula>0</formula>
    </cfRule>
  </conditionalFormatting>
  <conditionalFormatting sqref="H3:S140">
    <cfRule type="colorScale" priority="14">
      <colorScale>
        <cfvo type="formula" val="0"/>
        <cfvo type="formula" val="2.5"/>
        <cfvo type="formula" val="4"/>
        <color rgb="FF7F6000"/>
        <color rgb="FF783F04"/>
        <color rgb="FF660000"/>
      </colorScale>
    </cfRule>
  </conditionalFormatting>
  <conditionalFormatting sqref="V3:V140">
    <cfRule type="colorScale" priority="15">
      <colorScale>
        <cfvo type="min" val="0"/>
        <cfvo type="percent" val="50"/>
        <cfvo type="max" val="0"/>
        <color rgb="FF7F6000"/>
        <color rgb="FFB45F06"/>
        <color rgb="FFCC0000"/>
      </colorScale>
    </cfRule>
  </conditionalFormatting>
  <conditionalFormatting sqref="X3:X140">
    <cfRule type="colorScale" priority="16">
      <colorScale>
        <cfvo type="min" val="0"/>
        <cfvo type="percent" val="50"/>
        <cfvo type="max" val="0"/>
        <color rgb="FFBF9000"/>
        <color rgb="FFB45F06"/>
        <color rgb="FF990000"/>
      </colorScale>
    </cfRule>
  </conditionalFormatting>
  <conditionalFormatting sqref="W3:W140">
    <cfRule type="colorScale" priority="17">
      <colorScale>
        <cfvo type="min" val="0"/>
        <cfvo type="percent" val="50"/>
        <cfvo type="max" val="0"/>
        <color rgb="FFBF9000"/>
        <color rgb="FFB45F06"/>
        <color rgb="FF990000"/>
      </colorScale>
    </cfRule>
  </conditionalFormatting>
  <conditionalFormatting sqref="Y3:Y140">
    <cfRule type="colorScale" priority="18">
      <colorScale>
        <cfvo type="min" val="0"/>
        <cfvo type="percent" val="50"/>
        <cfvo type="max" val="0"/>
        <color rgb="FFBF9000"/>
        <color rgb="FFB45F06"/>
        <color rgb="FF990000"/>
      </colorScale>
    </cfRule>
  </conditionalFormatting>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P19"/>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75" zeroHeight="false" outlineLevelRow="0" outlineLevelCol="0"/>
  <cols>
    <col collapsed="false" customWidth="true" hidden="false" outlineLevel="0" max="1" min="1" style="0" width="2.99"/>
    <col collapsed="false" customWidth="true" hidden="false" outlineLevel="0" max="3" min="2" style="0" width="12.75"/>
    <col collapsed="false" customWidth="true" hidden="false" outlineLevel="0" max="4" min="4" style="0" width="21.88"/>
    <col collapsed="false" customWidth="true" hidden="false" outlineLevel="0" max="5" min="5" style="0" width="9"/>
    <col collapsed="false" customWidth="true" hidden="false" outlineLevel="0" max="6" min="6" style="0" width="7.63"/>
    <col collapsed="false" customWidth="true" hidden="false" outlineLevel="0" max="7" min="7" style="0" width="18.25"/>
    <col collapsed="false" customWidth="true" hidden="false" outlineLevel="0" max="8" min="8" style="0" width="5.75"/>
    <col collapsed="false" customWidth="true" hidden="false" outlineLevel="0" max="9" min="9" style="0" width="7.13"/>
    <col collapsed="false" customWidth="true" hidden="false" outlineLevel="0" max="10" min="10" style="0" width="6.01"/>
    <col collapsed="false" customWidth="true" hidden="false" outlineLevel="0" max="11" min="11" style="0" width="10.25"/>
  </cols>
  <sheetData>
    <row r="1" customFormat="false" ht="15.75" hidden="false" customHeight="false" outlineLevel="0" collapsed="false">
      <c r="A1" s="3"/>
      <c r="B1" s="3"/>
    </row>
    <row r="2" customFormat="false" ht="15.75" hidden="false" customHeight="false" outlineLevel="0" collapsed="false">
      <c r="A2" s="3"/>
      <c r="B2" s="3" t="s">
        <v>0</v>
      </c>
      <c r="C2" s="3"/>
      <c r="D2" s="3"/>
      <c r="G2" s="199" t="s">
        <v>228</v>
      </c>
      <c r="H2" s="199"/>
      <c r="I2" s="199"/>
      <c r="J2" s="199"/>
      <c r="K2" s="199"/>
      <c r="L2" s="199"/>
      <c r="M2" s="200"/>
      <c r="N2" s="201" t="s">
        <v>229</v>
      </c>
      <c r="O2" s="201"/>
      <c r="P2" s="201"/>
    </row>
    <row r="3" customFormat="false" ht="15.75" hidden="false" customHeight="false" outlineLevel="0" collapsed="false">
      <c r="A3" s="3"/>
      <c r="B3" s="3" t="s">
        <v>3</v>
      </c>
      <c r="C3" s="6"/>
      <c r="D3" s="6"/>
      <c r="G3" s="202" t="s">
        <v>230</v>
      </c>
      <c r="H3" s="202"/>
      <c r="I3" s="203"/>
      <c r="J3" s="203"/>
      <c r="K3" s="204" t="s">
        <v>231</v>
      </c>
      <c r="L3" s="204"/>
      <c r="N3" s="205" t="s">
        <v>232</v>
      </c>
      <c r="O3" s="206" t="s">
        <v>8</v>
      </c>
      <c r="P3" s="207" t="s">
        <v>233</v>
      </c>
    </row>
    <row r="4" customFormat="false" ht="15.75" hidden="false" customHeight="true" outlineLevel="0" collapsed="false">
      <c r="A4" s="208"/>
      <c r="B4" s="209" t="s">
        <v>5</v>
      </c>
      <c r="C4" s="209"/>
      <c r="D4" s="209"/>
      <c r="G4" s="210" t="n">
        <f aca="false">IFERROR(INDEX(PalData,MATCH(G9,PalNames,0)+1,MATCH("Image",PalData_Header,0)),)</f>
        <v>0</v>
      </c>
      <c r="H4" s="210"/>
      <c r="I4" s="203"/>
      <c r="J4" s="203"/>
      <c r="K4" s="211" t="n">
        <f aca="false">IFERROR(INDEX(PalData,MATCH(K9,PalNames,0)+1,MATCH("Image",PalData_Header,0)),)</f>
        <v>0</v>
      </c>
      <c r="L4" s="211"/>
      <c r="N4" s="212" t="n">
        <v>0</v>
      </c>
      <c r="O4" s="45" t="str">
        <f aca="false">K9</f>
        <v>Surfent</v>
      </c>
      <c r="P4" s="213" t="n">
        <f aca="false">L11</f>
        <v>560</v>
      </c>
    </row>
    <row r="5" customFormat="false" ht="17.25" hidden="false" customHeight="true" outlineLevel="0" collapsed="false">
      <c r="A5" s="208"/>
      <c r="B5" s="209"/>
      <c r="C5" s="209"/>
      <c r="D5" s="209"/>
      <c r="G5" s="210"/>
      <c r="H5" s="210"/>
      <c r="I5" s="203"/>
      <c r="J5" s="203"/>
      <c r="K5" s="211"/>
      <c r="L5" s="211"/>
      <c r="N5" s="214" t="n">
        <v>1</v>
      </c>
      <c r="O5" s="215" t="str">
        <f aca="false">IFERROR(__xludf.dummyfunction("IF(PALUNIQUECOMBO($G$9,$O$4),PALUNIQUECOMBOCHILD($G$9,$O$4), IF($G$9=O4,$G$9, ARRAY_CONSTRAIN( FILTER(Filter(PalData!$A$2:$A$139,PalData!$J$2:$J$139&lt;&gt;""B""),ABS(FLOOR((P4+$H$11+1)/2)-Filter(PalData!$BB$2:$BB$139,PalData!$J$2:$J$139&lt;&gt;""B""))=min(ABS(FLOOR("&amp;"(P4+$H$11+1)/2)-Filter(PalData!$BB$2:$BB$139,PalData!$J$2:$J$139&lt;&gt;""B"")))),1,1)))"),"Wumpo Botan")</f>
        <v>Wumpo Botan</v>
      </c>
      <c r="P5" s="216" t="n">
        <f aca="false" t="array" ref="P5:P5">INDEX(PalData,MATCH(O5,PalNames,0)+1,MATCH("CombiRank",PalData_Header,0))</f>
        <v>480</v>
      </c>
    </row>
    <row r="6" customFormat="false" ht="14.25" hidden="false" customHeight="true" outlineLevel="0" collapsed="false">
      <c r="A6" s="208"/>
      <c r="B6" s="209"/>
      <c r="C6" s="209"/>
      <c r="D6" s="209"/>
      <c r="G6" s="210"/>
      <c r="H6" s="210"/>
      <c r="I6" s="203"/>
      <c r="J6" s="203"/>
      <c r="K6" s="211"/>
      <c r="L6" s="211"/>
      <c r="N6" s="212" t="n">
        <v>2</v>
      </c>
      <c r="O6" s="215" t="str">
        <f aca="false">IFERROR(__xludf.dummyfunction("IF(PALUNIQUECOMBO($G$9,$O$4),PALUNIQUECOMBOCHILD($G$9,$O$4), IF($G$9=O5,$G$9, ARRAY_CONSTRAIN( FILTER(Filter(PalData!$A$2:$A$139,PalData!$J$2:$J$139&lt;&gt;""B""),ABS(FLOOR((P5+$H$11+1)/2)-Filter(PalData!$BB$2:$BB$139,PalData!$J$2:$J$139&lt;&gt;""B""))=min(ABS(FLOOR("&amp;"(P5+$H$11+1)/2)-Filter(PalData!$BB$2:$BB$139,PalData!$J$2:$J$139&lt;&gt;""B"")))),1,1)))"),"Sibelyx")</f>
        <v>Sibelyx</v>
      </c>
      <c r="P6" s="213" t="n">
        <f aca="false" t="array" ref="P6:P6">INDEX(PalData,MATCH(O6,PalNames,0)+1,MATCH("CombiRank",PalData_Header,0))</f>
        <v>450</v>
      </c>
    </row>
    <row r="7" customFormat="false" ht="15" hidden="false" customHeight="true" outlineLevel="0" collapsed="false">
      <c r="A7" s="208"/>
      <c r="B7" s="209"/>
      <c r="C7" s="209"/>
      <c r="D7" s="209"/>
      <c r="G7" s="210"/>
      <c r="H7" s="210"/>
      <c r="I7" s="203"/>
      <c r="J7" s="203"/>
      <c r="K7" s="211"/>
      <c r="L7" s="211"/>
      <c r="N7" s="214" t="n">
        <v>3</v>
      </c>
      <c r="O7" s="215" t="str">
        <f aca="false">IFERROR(__xludf.dummyfunction("IF(PALUNIQUECOMBO($G$9,$O$4),PALUNIQUECOMBOCHILD($G$9,$O$4), IF($G$9=O6,$G$9, ARRAY_CONSTRAIN( FILTER(Filter(PalData!$A$2:$A$139,PalData!$J$2:$J$139&lt;&gt;""B""),ABS(FLOOR((P6+$H$11+1)/2)-Filter(PalData!$BB$2:$BB$139,PalData!$J$2:$J$139&lt;&gt;""B""))=min(ABS(FLOOR("&amp;"(P6+$H$11+1)/2)-Filter(PalData!$BB$2:$BB$139,PalData!$J$2:$J$139&lt;&gt;""B"")))),1,1)))"),"Mossanda")</f>
        <v>Mossanda</v>
      </c>
      <c r="P7" s="216" t="n">
        <f aca="false" t="array" ref="P7:P7">INDEX(PalData,MATCH(O7,PalNames,0)+1,MATCH("CombiRank",PalData_Header,0))</f>
        <v>430</v>
      </c>
    </row>
    <row r="8" customFormat="false" ht="15" hidden="false" customHeight="true" outlineLevel="0" collapsed="false">
      <c r="A8" s="208"/>
      <c r="B8" s="209"/>
      <c r="C8" s="209"/>
      <c r="D8" s="209"/>
      <c r="G8" s="210"/>
      <c r="H8" s="210"/>
      <c r="I8" s="203"/>
      <c r="J8" s="203"/>
      <c r="K8" s="211"/>
      <c r="L8" s="211"/>
      <c r="N8" s="212" t="n">
        <v>4</v>
      </c>
      <c r="O8" s="215" t="str">
        <f aca="false">IFERROR(__xludf.dummyfunction("IF(PALUNIQUECOMBO($G$9,$O$4),PALUNIQUECOMBOCHILD($G$9,$O$4), IF($G$9=O7,$G$9, ARRAY_CONSTRAIN( FILTER(Filter(PalData!$A$2:$A$139,PalData!$J$2:$J$139&lt;&gt;""B""),ABS(FLOOR((P7+$H$11+1)/2)-Filter(PalData!$BB$2:$BB$139,PalData!$J$2:$J$139&lt;&gt;""B""))=min(ABS(FLOOR("&amp;"(P7+$H$11+1)/2)-Filter(PalData!$BB$2:$BB$139,PalData!$J$2:$J$139&lt;&gt;""B"")))),1,1)))"),"Nitewing")</f>
        <v>Nitewing</v>
      </c>
      <c r="P8" s="213" t="n">
        <f aca="false" t="array" ref="P8:P8">INDEX(PalData,MATCH(O8,PalNames,0)+1,MATCH("CombiRank",PalData_Header,0))</f>
        <v>420</v>
      </c>
    </row>
    <row r="9" customFormat="false" ht="15.75" hidden="false" customHeight="false" outlineLevel="0" collapsed="false">
      <c r="A9" s="208"/>
      <c r="B9" s="209"/>
      <c r="C9" s="209"/>
      <c r="D9" s="209"/>
      <c r="G9" s="217" t="s">
        <v>138</v>
      </c>
      <c r="H9" s="217"/>
      <c r="I9" s="218"/>
      <c r="J9" s="218"/>
      <c r="K9" s="219" t="s">
        <v>133</v>
      </c>
      <c r="L9" s="219"/>
      <c r="N9" s="214" t="n">
        <v>5</v>
      </c>
      <c r="O9" s="215" t="str">
        <f aca="false">IFERROR(__xludf.dummyfunction("IF(PALUNIQUECOMBO($G$9,$O$4),PALUNIQUECOMBOCHILD($G$9,$O$4), IF($G$9=O8,$G$9, ARRAY_CONSTRAIN( FILTER(Filter(PalData!$A$2:$A$139,PalData!$J$2:$J$139&lt;&gt;""B""),ABS(FLOOR((P8+$H$11+1)/2)-Filter(PalData!$BB$2:$BB$139,PalData!$J$2:$J$139&lt;&gt;""B""))=min(ABS(FLOOR("&amp;"(P8+$H$11+1)/2)-Filter(PalData!$BB$2:$BB$139,PalData!$J$2:$J$139&lt;&gt;""B"")))),1,1)))"),"Nitewing")</f>
        <v>Nitewing</v>
      </c>
      <c r="P9" s="216" t="n">
        <f aca="false" t="array" ref="P9:P9">INDEX(PalData,MATCH(O9,PalNames,0)+1,MATCH("CombiRank",PalData_Header,0))</f>
        <v>420</v>
      </c>
    </row>
    <row r="10" customFormat="false" ht="15.75" hidden="false" customHeight="false" outlineLevel="0" collapsed="false">
      <c r="G10" s="217" t="s">
        <v>234</v>
      </c>
      <c r="H10" s="218" t="n">
        <f aca="false" t="array" ref="H10:H10">INDEX(PalData,MATCH(G9,PalNames,0)+1,MATCH("ZukanIndex",PalData_Header,0))</f>
        <v>54</v>
      </c>
      <c r="I10" s="218"/>
      <c r="J10" s="220"/>
      <c r="K10" s="220" t="s">
        <v>234</v>
      </c>
      <c r="L10" s="221" t="n">
        <f aca="false" t="array" ref="L10:L10">INDEX(PalData,MATCH(K9,PalNames,0)+1,MATCH("ZukanIndex",PalData_Header,0))</f>
        <v>65</v>
      </c>
      <c r="N10" s="212" t="n">
        <v>6</v>
      </c>
      <c r="O10" s="215" t="str">
        <f aca="false">IFERROR(__xludf.dummyfunction("IF(PALUNIQUECOMBO($G$9,$O$4),PALUNIQUECOMBOCHILD($G$9,$O$4), IF($G$9=O9,$G$9, ARRAY_CONSTRAIN( FILTER(Filter(PalData!$A$2:$A$139,PalData!$J$2:$J$139&lt;&gt;""B""),ABS(FLOOR((P9+$H$11+1)/2)-Filter(PalData!$BB$2:$BB$139,PalData!$J$2:$J$139&lt;&gt;""B""))=min(ABS(FLOOR("&amp;"(P9+$H$11+1)/2)-Filter(PalData!$BB$2:$BB$139,PalData!$J$2:$J$139&lt;&gt;""B"")))),1,1)))"),"Nitewing")</f>
        <v>Nitewing</v>
      </c>
      <c r="P10" s="213" t="n">
        <f aca="false" t="array" ref="P10:P10">INDEX(PalData,MATCH(O10,PalNames,0)+1,MATCH("CombiRank",PalData_Header,0))</f>
        <v>420</v>
      </c>
    </row>
    <row r="11" customFormat="false" ht="15.75" hidden="false" customHeight="false" outlineLevel="0" collapsed="false">
      <c r="G11" s="222" t="s">
        <v>235</v>
      </c>
      <c r="H11" s="223" t="n">
        <f aca="false" t="array" ref="H11:H11">INDEX(PalData,MATCH(G9,PalNames,0)+1,MATCH("CombiRank",PalData_Header,0))</f>
        <v>410</v>
      </c>
      <c r="I11" s="223"/>
      <c r="J11" s="224"/>
      <c r="K11" s="224" t="s">
        <v>235</v>
      </c>
      <c r="L11" s="225" t="n">
        <f aca="false" t="array" ref="L11:L11">INDEX(PalData,MATCH(K9,PalNames,0)+1,MATCH("CombiRank",PalData_Header,0))</f>
        <v>560</v>
      </c>
      <c r="N11" s="214" t="n">
        <v>7</v>
      </c>
      <c r="O11" s="215" t="str">
        <f aca="false">IFERROR(__xludf.dummyfunction("IF(PALUNIQUECOMBO($G$9,$O$4),PALUNIQUECOMBOCHILD($G$9,$O$4), IF($G$9=O10,$G$9, ARRAY_CONSTRAIN( FILTER(Filter(PalData!$A$2:$A$139,PalData!$J$2:$J$139&lt;&gt;""B""),ABS(FLOOR((P10+$H$11+1)/2)-Filter(PalData!$BB$2:$BB$139,PalData!$J$2:$J$139&lt;&gt;""B""))=min(ABS(FLOO"&amp;"R((P10+$H$11+1)/2)-Filter(PalData!$BB$2:$BB$139,PalData!$J$2:$J$139&lt;&gt;""B"")))),1,1)))"),"Nitewing")</f>
        <v>Nitewing</v>
      </c>
      <c r="P11" s="216" t="n">
        <f aca="false" t="array" ref="P11:P11">INDEX(PalData,MATCH(O11,PalNames,0)+1,MATCH("CombiRank",PalData_Header,0))</f>
        <v>420</v>
      </c>
    </row>
    <row r="12" customFormat="false" ht="15.75" hidden="false" customHeight="false" outlineLevel="0" collapsed="false">
      <c r="N12" s="212" t="n">
        <v>8</v>
      </c>
      <c r="O12" s="215" t="str">
        <f aca="false">IFERROR(__xludf.dummyfunction("IF(PALUNIQUECOMBO($G$9,$O$4),PALUNIQUECOMBOCHILD($G$9,$O$4), IF($G$9=O11,$G$9, ARRAY_CONSTRAIN( FILTER(Filter(PalData!$A$2:$A$139,PalData!$J$2:$J$139&lt;&gt;""B""),ABS(FLOOR((P11+$H$11+1)/2)-Filter(PalData!$BB$2:$BB$139,PalData!$J$2:$J$139&lt;&gt;""B""))=min(ABS(FLOO"&amp;"R((P11+$H$11+1)/2)-Filter(PalData!$BB$2:$BB$139,PalData!$J$2:$J$139&lt;&gt;""B"")))),1,1)))"),"Nitewing")</f>
        <v>Nitewing</v>
      </c>
      <c r="P12" s="213" t="n">
        <f aca="false" t="array" ref="P12:P12">INDEX(PalData,MATCH(O12,PalNames,0)+1,MATCH("CombiRank",PalData_Header,0))</f>
        <v>420</v>
      </c>
    </row>
    <row r="13" customFormat="false" ht="17.25" hidden="false" customHeight="true" outlineLevel="0" collapsed="false">
      <c r="N13" s="226" t="n">
        <v>9</v>
      </c>
      <c r="O13" s="227" t="str">
        <f aca="false">IFERROR(__xludf.dummyfunction("IF(PALUNIQUECOMBO($G$9,$O$4),PALUNIQUECOMBOCHILD($G$9,$O$4), IF($G$9=O12,$G$9, ARRAY_CONSTRAIN( FILTER(Filter(PalData!$A$2:$A$139,PalData!$J$2:$J$139&lt;&gt;""B""),ABS(FLOOR((P12+$H$11+1)/2)-Filter(PalData!$BB$2:$BB$139,PalData!$J$2:$J$139&lt;&gt;""B""))=min(ABS(FLOO"&amp;"R((P12+$H$11+1)/2)-Filter(PalData!$BB$2:$BB$139,PalData!$J$2:$J$139&lt;&gt;""B"")))),1,1)))"),"Nitewing")</f>
        <v>Nitewing</v>
      </c>
      <c r="P13" s="228" t="n">
        <f aca="false" t="array" ref="P13:P13">INDEX(PalData,MATCH(O13,PalNames,0)+1,MATCH("CombiRank",PalData_Header,0))</f>
        <v>420</v>
      </c>
    </row>
    <row r="14" customFormat="false" ht="15.75" hidden="false" customHeight="false" outlineLevel="0" collapsed="false">
      <c r="G14" s="229" t="e">
        <f aca="false">"Egg Result: " &amp; IF(PALUNIQUECOMBO(G9,K9),"UNIQUE","Power")</f>
        <v>#VALUE!</v>
      </c>
      <c r="H14" s="229"/>
      <c r="I14" s="229"/>
      <c r="J14" s="229"/>
      <c r="K14" s="230" t="e">
        <f aca="false">IF(PALUNIQUECOMBO(G9,K9),"COMBO",FLOOR((H11+L11+1)/2,1))</f>
        <v>#VALUE!</v>
      </c>
      <c r="L14" s="231"/>
    </row>
    <row r="15" customFormat="false" ht="15.75" hidden="false" customHeight="false" outlineLevel="0" collapsed="false">
      <c r="G15" s="229"/>
      <c r="H15" s="229"/>
      <c r="I15" s="229"/>
      <c r="J15" s="229"/>
      <c r="K15" s="230"/>
      <c r="L15" s="231"/>
    </row>
    <row r="16" customFormat="false" ht="65.25" hidden="false" customHeight="true" outlineLevel="0" collapsed="false">
      <c r="G16" s="232" t="n">
        <f aca="false">IFERROR(INDEX(PalData,MATCH(G17,PalNames,0)+1,MATCH("Image",PalData_Header,0)),)</f>
        <v>0</v>
      </c>
      <c r="H16" s="232"/>
      <c r="I16" s="232"/>
      <c r="J16" s="232"/>
      <c r="K16" s="232"/>
      <c r="L16" s="232"/>
    </row>
    <row r="17" customFormat="false" ht="15.75" hidden="false" customHeight="false" outlineLevel="0" collapsed="false">
      <c r="G17" s="233" t="str">
        <f aca="false">IFERROR(__xludf.dummyfunction("IF(PALUNIQUECOMBO($G$9,$K$9),PALUNIQUECOMBOCHILD($G$9,$K$9),IF(G9=K9,G9, ARRAY_CONSTRAIN( FILTER(Filter(PalData!$A$2:$A$139,PalData!$J$2:$J$139&lt;&gt;""B""),ABS(K14-Filter(PalData!$BB$2:$BB$139,PalData!$J$2:$J$139&lt;&gt;""B""))=min(ABS(K14-Filter(PalData!$BB$2:$BB$"&amp;"139,PalData!$J$2:$J$139&lt;&gt;""B"")))),1,1)))"),"Wumpo Botan")</f>
        <v>Wumpo Botan</v>
      </c>
      <c r="H17" s="233"/>
      <c r="I17" s="233"/>
      <c r="J17" s="233"/>
      <c r="K17" s="233"/>
      <c r="L17" s="233"/>
    </row>
    <row r="18" customFormat="false" ht="15.75" hidden="false" customHeight="false" outlineLevel="0" collapsed="false">
      <c r="G18" s="234"/>
      <c r="H18" s="235"/>
      <c r="I18" s="236" t="s">
        <v>234</v>
      </c>
      <c r="J18" s="235" t="n">
        <f aca="false" t="array" ref="J18:J18">INDEX(PalData,MATCH(G17,PalNames,0)+1,MATCH("ZukanIndex",PalData_Header,0))</f>
        <v>91</v>
      </c>
      <c r="K18" s="235"/>
      <c r="L18" s="237"/>
    </row>
    <row r="19" customFormat="false" ht="15.75" hidden="false" customHeight="false" outlineLevel="0" collapsed="false">
      <c r="G19" s="238"/>
      <c r="H19" s="239"/>
      <c r="I19" s="240" t="s">
        <v>235</v>
      </c>
      <c r="J19" s="239" t="n">
        <f aca="false" t="array" ref="J19:J19">INDEX(PalData,MATCH(G17,PalNames,0)+1,MATCH("CombiRank",PalData_Header,0))</f>
        <v>480</v>
      </c>
      <c r="K19" s="239"/>
      <c r="L19" s="241"/>
    </row>
  </sheetData>
  <mergeCells count="14">
    <mergeCell ref="G2:L2"/>
    <mergeCell ref="N2:P2"/>
    <mergeCell ref="G3:H3"/>
    <mergeCell ref="K3:L3"/>
    <mergeCell ref="B4:D9"/>
    <mergeCell ref="G4:H8"/>
    <mergeCell ref="K4:L8"/>
    <mergeCell ref="G9:H9"/>
    <mergeCell ref="K9:L9"/>
    <mergeCell ref="G14:J15"/>
    <mergeCell ref="K14:K15"/>
    <mergeCell ref="L14:L15"/>
    <mergeCell ref="G16:L16"/>
    <mergeCell ref="G17:L17"/>
  </mergeCells>
  <conditionalFormatting sqref="G14:J15">
    <cfRule type="expression" priority="2" aboveAverage="0" equalAverage="0" bottom="0" percent="0" rank="0" text="" dxfId="89">
      <formula>K14="COMBO"</formula>
    </cfRule>
  </conditionalFormatting>
  <conditionalFormatting sqref="K14:K15">
    <cfRule type="expression" priority="3" aboveAverage="0" equalAverage="0" bottom="0" percent="0" rank="0" text="" dxfId="89">
      <formula>K14="COMBO"</formula>
    </cfRule>
  </conditionalFormatting>
  <dataValidations count="1">
    <dataValidation allowBlank="true" errorStyle="stop" operator="between" showDropDown="false" showErrorMessage="true" showInputMessage="false" sqref="G9 K9" type="list">
      <formula1>Data!$A$3:$A$140</formula1>
      <formula2>0</formula2>
    </dataValidation>
  </dataValidations>
  <hyperlinks>
    <hyperlink ref="B4" r:id="rId1" display="https://docs.google.com/spreadsheets/d/1YgPc11dgdBUC8jXNp01b7gI6jNHoBRQGwrY_V6lXMgQ/copy"/>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W1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2" topLeftCell="C3" activePane="bottomRight" state="frozen"/>
      <selection pane="topLeft" activeCell="A1" activeCellId="0" sqref="A1"/>
      <selection pane="topRight" activeCell="C1" activeCellId="0" sqref="C1"/>
      <selection pane="bottomLeft" activeCell="A3" activeCellId="0" sqref="A3"/>
      <selection pane="bottomRight" activeCell="C3" activeCellId="0" sqref="C3"/>
    </sheetView>
  </sheetViews>
  <sheetFormatPr defaultColWidth="12.640625" defaultRowHeight="15.75" zeroHeight="false" outlineLevelRow="0" outlineLevelCol="0"/>
  <cols>
    <col collapsed="false" customWidth="true" hidden="false" outlineLevel="0" max="1" min="1" style="0" width="7.13"/>
    <col collapsed="false" customWidth="true" hidden="false" outlineLevel="0" max="2" min="2" style="0" width="20.13"/>
  </cols>
  <sheetData>
    <row r="1" customFormat="false" ht="15.75" hidden="false" customHeight="false" outlineLevel="0" collapsed="false">
      <c r="A1" s="242" t="s">
        <v>236</v>
      </c>
      <c r="B1" s="243"/>
      <c r="C1" s="244" t="n">
        <f aca="false" t="array" ref="C1:FW1">TRANSPOSE(A3:A179)</f>
        <v>1</v>
      </c>
      <c r="D1" s="244" t="n">
        <v>2</v>
      </c>
      <c r="E1" s="244" t="n">
        <v>3</v>
      </c>
      <c r="F1" s="244" t="n">
        <v>4</v>
      </c>
      <c r="G1" s="244" t="n">
        <v>5</v>
      </c>
      <c r="H1" s="244" t="n">
        <v>6</v>
      </c>
      <c r="I1" s="244" t="n">
        <v>7</v>
      </c>
      <c r="J1" s="244" t="n">
        <v>8</v>
      </c>
      <c r="K1" s="244" t="n">
        <v>9</v>
      </c>
      <c r="L1" s="244" t="n">
        <v>10</v>
      </c>
      <c r="M1" s="244" t="n">
        <v>11</v>
      </c>
      <c r="N1" s="244" t="n">
        <v>12</v>
      </c>
      <c r="O1" s="244" t="n">
        <v>12</v>
      </c>
      <c r="P1" s="244" t="n">
        <v>13</v>
      </c>
      <c r="Q1" s="244" t="n">
        <v>13</v>
      </c>
      <c r="R1" s="244" t="n">
        <v>14</v>
      </c>
      <c r="S1" s="244" t="n">
        <v>15</v>
      </c>
      <c r="T1" s="244" t="n">
        <v>16</v>
      </c>
      <c r="U1" s="244" t="n">
        <v>17</v>
      </c>
      <c r="V1" s="244" t="n">
        <v>18</v>
      </c>
      <c r="W1" s="244" t="n">
        <v>19</v>
      </c>
      <c r="X1" s="244" t="n">
        <v>20</v>
      </c>
      <c r="Y1" s="244" t="n">
        <v>21</v>
      </c>
      <c r="Z1" s="244" t="n">
        <v>22</v>
      </c>
      <c r="AA1" s="244" t="n">
        <v>23</v>
      </c>
      <c r="AB1" s="244" t="n">
        <v>24</v>
      </c>
      <c r="AC1" s="244" t="n">
        <v>24</v>
      </c>
      <c r="AD1" s="244" t="n">
        <v>25</v>
      </c>
      <c r="AE1" s="244" t="n">
        <v>26</v>
      </c>
      <c r="AF1" s="244" t="n">
        <v>27</v>
      </c>
      <c r="AG1" s="244" t="n">
        <v>28</v>
      </c>
      <c r="AH1" s="244" t="n">
        <v>29</v>
      </c>
      <c r="AI1" s="244" t="n">
        <v>30</v>
      </c>
      <c r="AJ1" s="244" t="n">
        <v>31</v>
      </c>
      <c r="AK1" s="244" t="n">
        <v>31</v>
      </c>
      <c r="AL1" s="244" t="n">
        <v>32</v>
      </c>
      <c r="AM1" s="244" t="n">
        <v>32</v>
      </c>
      <c r="AN1" s="244" t="n">
        <v>33</v>
      </c>
      <c r="AO1" s="244" t="n">
        <v>33</v>
      </c>
      <c r="AP1" s="244" t="n">
        <v>34</v>
      </c>
      <c r="AQ1" s="244" t="n">
        <v>35</v>
      </c>
      <c r="AR1" s="244" t="n">
        <v>36</v>
      </c>
      <c r="AS1" s="244" t="n">
        <v>37</v>
      </c>
      <c r="AT1" s="244" t="n">
        <v>37</v>
      </c>
      <c r="AU1" s="244" t="n">
        <v>38</v>
      </c>
      <c r="AV1" s="244" t="n">
        <v>39</v>
      </c>
      <c r="AW1" s="244" t="n">
        <v>40</v>
      </c>
      <c r="AX1" s="244" t="n">
        <v>40</v>
      </c>
      <c r="AY1" s="244" t="n">
        <v>41</v>
      </c>
      <c r="AZ1" s="244" t="n">
        <v>42</v>
      </c>
      <c r="BA1" s="244" t="n">
        <v>43</v>
      </c>
      <c r="BB1" s="244" t="n">
        <v>44</v>
      </c>
      <c r="BC1" s="244" t="n">
        <v>45</v>
      </c>
      <c r="BD1" s="244" t="n">
        <v>45</v>
      </c>
      <c r="BE1" s="244" t="n">
        <v>46</v>
      </c>
      <c r="BF1" s="244" t="n">
        <v>47</v>
      </c>
      <c r="BG1" s="244" t="n">
        <v>48</v>
      </c>
      <c r="BH1" s="244" t="n">
        <v>48</v>
      </c>
      <c r="BI1" s="244" t="n">
        <v>49</v>
      </c>
      <c r="BJ1" s="244" t="n">
        <v>50</v>
      </c>
      <c r="BK1" s="244" t="n">
        <v>51</v>
      </c>
      <c r="BL1" s="244" t="n">
        <v>52</v>
      </c>
      <c r="BM1" s="244" t="n">
        <v>53</v>
      </c>
      <c r="BN1" s="244" t="n">
        <v>54</v>
      </c>
      <c r="BO1" s="244" t="n">
        <v>55</v>
      </c>
      <c r="BP1" s="244" t="n">
        <v>56</v>
      </c>
      <c r="BQ1" s="244" t="n">
        <v>57</v>
      </c>
      <c r="BR1" s="244" t="n">
        <v>58</v>
      </c>
      <c r="BS1" s="244" t="n">
        <v>58</v>
      </c>
      <c r="BT1" s="244" t="n">
        <v>59</v>
      </c>
      <c r="BU1" s="244" t="n">
        <v>60</v>
      </c>
      <c r="BV1" s="244" t="n">
        <v>61</v>
      </c>
      <c r="BW1" s="244" t="n">
        <v>62</v>
      </c>
      <c r="BX1" s="244" t="n">
        <v>63</v>
      </c>
      <c r="BY1" s="244" t="n">
        <v>64</v>
      </c>
      <c r="BZ1" s="244" t="n">
        <v>64</v>
      </c>
      <c r="CA1" s="244" t="n">
        <v>65</v>
      </c>
      <c r="CB1" s="244" t="n">
        <v>65</v>
      </c>
      <c r="CC1" s="244" t="n">
        <v>66</v>
      </c>
      <c r="CD1" s="244" t="n">
        <v>67</v>
      </c>
      <c r="CE1" s="244" t="n">
        <v>68</v>
      </c>
      <c r="CF1" s="244" t="n">
        <v>69</v>
      </c>
      <c r="CG1" s="244" t="n">
        <v>70</v>
      </c>
      <c r="CH1" s="244" t="n">
        <v>71</v>
      </c>
      <c r="CI1" s="244" t="n">
        <v>71</v>
      </c>
      <c r="CJ1" s="244" t="n">
        <v>72</v>
      </c>
      <c r="CK1" s="244" t="n">
        <v>73</v>
      </c>
      <c r="CL1" s="244" t="n">
        <v>74</v>
      </c>
      <c r="CM1" s="244" t="n">
        <v>75</v>
      </c>
      <c r="CN1" s="244" t="n">
        <v>76</v>
      </c>
      <c r="CO1" s="244" t="n">
        <v>77</v>
      </c>
      <c r="CP1" s="244" t="n">
        <v>78</v>
      </c>
      <c r="CQ1" s="244" t="n">
        <v>79</v>
      </c>
      <c r="CR1" s="244" t="n">
        <v>80</v>
      </c>
      <c r="CS1" s="244" t="n">
        <v>80</v>
      </c>
      <c r="CT1" s="244" t="n">
        <v>81</v>
      </c>
      <c r="CU1" s="244" t="n">
        <v>81</v>
      </c>
      <c r="CV1" s="244" t="n">
        <v>82</v>
      </c>
      <c r="CW1" s="244" t="n">
        <v>83</v>
      </c>
      <c r="CX1" s="244" t="n">
        <v>84</v>
      </c>
      <c r="CY1" s="244" t="n">
        <v>84</v>
      </c>
      <c r="CZ1" s="244" t="n">
        <v>85</v>
      </c>
      <c r="DA1" s="244" t="n">
        <v>85</v>
      </c>
      <c r="DB1" s="244" t="n">
        <v>86</v>
      </c>
      <c r="DC1" s="244" t="n">
        <v>86</v>
      </c>
      <c r="DD1" s="244" t="n">
        <v>87</v>
      </c>
      <c r="DE1" s="244" t="n">
        <v>88</v>
      </c>
      <c r="DF1" s="244" t="n">
        <v>88</v>
      </c>
      <c r="DG1" s="244" t="n">
        <v>89</v>
      </c>
      <c r="DH1" s="244" t="n">
        <v>89</v>
      </c>
      <c r="DI1" s="244" t="n">
        <v>90</v>
      </c>
      <c r="DJ1" s="244" t="n">
        <v>90</v>
      </c>
      <c r="DK1" s="244" t="n">
        <v>91</v>
      </c>
      <c r="DL1" s="244" t="n">
        <v>91</v>
      </c>
      <c r="DM1" s="244" t="n">
        <v>92</v>
      </c>
      <c r="DN1" s="244" t="n">
        <v>93</v>
      </c>
      <c r="DO1" s="244" t="n">
        <v>94</v>
      </c>
      <c r="DP1" s="244" t="n">
        <v>95</v>
      </c>
      <c r="DQ1" s="244" t="n">
        <v>96</v>
      </c>
      <c r="DR1" s="244" t="n">
        <v>97</v>
      </c>
      <c r="DS1" s="244" t="n">
        <v>98</v>
      </c>
      <c r="DT1" s="244" t="n">
        <v>99</v>
      </c>
      <c r="DU1" s="244" t="n">
        <v>100</v>
      </c>
      <c r="DV1" s="244" t="n">
        <v>101</v>
      </c>
      <c r="DW1" s="244" t="n">
        <v>101</v>
      </c>
      <c r="DX1" s="244" t="n">
        <v>102</v>
      </c>
      <c r="DY1" s="244" t="n">
        <v>102</v>
      </c>
      <c r="DZ1" s="244" t="n">
        <v>103</v>
      </c>
      <c r="EA1" s="244" t="n">
        <v>104</v>
      </c>
      <c r="EB1" s="244" t="n">
        <v>104</v>
      </c>
      <c r="EC1" s="244" t="n">
        <v>105</v>
      </c>
      <c r="ED1" s="244" t="n">
        <v>106</v>
      </c>
      <c r="EE1" s="244" t="n">
        <v>107</v>
      </c>
      <c r="EF1" s="244" t="n">
        <v>108</v>
      </c>
      <c r="EG1" s="244" t="n">
        <v>109</v>
      </c>
      <c r="EH1" s="244" t="n">
        <v>110</v>
      </c>
      <c r="EI1" s="244" t="n">
        <v>110</v>
      </c>
      <c r="EJ1" s="244" t="n">
        <v>111</v>
      </c>
      <c r="EK1" s="245" t="n">
        <v>-1</v>
      </c>
      <c r="EL1" s="245" t="n">
        <v>-1</v>
      </c>
      <c r="EM1" s="245" t="n">
        <v>-1</v>
      </c>
      <c r="EN1" s="245" t="n">
        <v>-1</v>
      </c>
      <c r="EO1" s="245" t="n">
        <v>-1</v>
      </c>
      <c r="EP1" s="245" t="n">
        <v>-1</v>
      </c>
      <c r="EQ1" s="245" t="n">
        <v>-1</v>
      </c>
      <c r="ER1" s="245" t="n">
        <v>-1</v>
      </c>
      <c r="ES1" s="245" t="n">
        <v>-1</v>
      </c>
      <c r="ET1" s="245" t="n">
        <v>-1</v>
      </c>
      <c r="EU1" s="245" t="n">
        <v>-1</v>
      </c>
      <c r="EV1" s="245" t="n">
        <v>-1</v>
      </c>
      <c r="EW1" s="245" t="n">
        <v>-1</v>
      </c>
      <c r="EX1" s="245" t="n">
        <v>-1</v>
      </c>
      <c r="EY1" s="245" t="n">
        <v>-1</v>
      </c>
      <c r="EZ1" s="245" t="n">
        <v>-1</v>
      </c>
      <c r="FA1" s="245" t="n">
        <v>-1</v>
      </c>
      <c r="FB1" s="245" t="n">
        <v>-1</v>
      </c>
      <c r="FC1" s="245" t="n">
        <v>-1</v>
      </c>
      <c r="FD1" s="245" t="n">
        <v>0</v>
      </c>
      <c r="FE1" s="245" t="n">
        <v>0</v>
      </c>
      <c r="FF1" s="245" t="n">
        <v>0</v>
      </c>
      <c r="FG1" s="245" t="n">
        <v>0</v>
      </c>
      <c r="FH1" s="245" t="n">
        <v>0</v>
      </c>
      <c r="FI1" s="245" t="n">
        <v>0</v>
      </c>
      <c r="FJ1" s="245" t="n">
        <v>0</v>
      </c>
      <c r="FK1" s="245" t="n">
        <v>0</v>
      </c>
      <c r="FL1" s="245" t="n">
        <v>0</v>
      </c>
      <c r="FM1" s="245" t="n">
        <v>0</v>
      </c>
      <c r="FN1" s="245" t="n">
        <v>0</v>
      </c>
      <c r="FO1" s="0" t="n">
        <v>0</v>
      </c>
      <c r="FP1" s="0" t="n">
        <v>0</v>
      </c>
      <c r="FQ1" s="0" t="n">
        <v>0</v>
      </c>
      <c r="FR1" s="0" t="n">
        <v>0</v>
      </c>
      <c r="FS1" s="0" t="n">
        <v>0</v>
      </c>
      <c r="FT1" s="0" t="n">
        <v>0</v>
      </c>
      <c r="FU1" s="0" t="n">
        <v>0</v>
      </c>
      <c r="FV1" s="0" t="n">
        <v>0</v>
      </c>
      <c r="FW1" s="0" t="n">
        <v>0</v>
      </c>
    </row>
    <row r="2" customFormat="false" ht="15.75" hidden="false" customHeight="false" outlineLevel="0" collapsed="false">
      <c r="A2" s="246"/>
      <c r="B2" s="247"/>
      <c r="C2" s="248" t="str">
        <f aca="false" t="array" ref="C2:FW2">TRANSPOSE(B3:B179)</f>
        <v>Lamball</v>
      </c>
      <c r="D2" s="248" t="str">
        <v>Cattiva</v>
      </c>
      <c r="E2" s="248" t="str">
        <v>Chikipi</v>
      </c>
      <c r="F2" s="248" t="str">
        <v>Lifmunk</v>
      </c>
      <c r="G2" s="248" t="str">
        <v>Foxparks</v>
      </c>
      <c r="H2" s="248" t="str">
        <v>Fuack</v>
      </c>
      <c r="I2" s="248" t="str">
        <v>Sparkit</v>
      </c>
      <c r="J2" s="248" t="str">
        <v>Tanzee</v>
      </c>
      <c r="K2" s="248" t="str">
        <v>Rooby</v>
      </c>
      <c r="L2" s="248" t="str">
        <v>Pengullet</v>
      </c>
      <c r="M2" s="248" t="str">
        <v>Penking</v>
      </c>
      <c r="N2" s="248" t="str">
        <v>Jolthog</v>
      </c>
      <c r="O2" s="248" t="str">
        <v>Jolthog Cryst</v>
      </c>
      <c r="P2" s="248" t="str">
        <v>Gumoss</v>
      </c>
      <c r="Q2" s="248" t="str">
        <v>Gumoss (Special)</v>
      </c>
      <c r="R2" s="248" t="str">
        <v>Vixy</v>
      </c>
      <c r="S2" s="248" t="str">
        <v>Hoocrates</v>
      </c>
      <c r="T2" s="248" t="str">
        <v>Teafant</v>
      </c>
      <c r="U2" s="248" t="str">
        <v>Depresso</v>
      </c>
      <c r="V2" s="248" t="str">
        <v>Cremis</v>
      </c>
      <c r="W2" s="248" t="str">
        <v>Daedream</v>
      </c>
      <c r="X2" s="248" t="str">
        <v>Rushoar</v>
      </c>
      <c r="Y2" s="248" t="str">
        <v>Nox</v>
      </c>
      <c r="Z2" s="248" t="str">
        <v>Fuddler</v>
      </c>
      <c r="AA2" s="248" t="str">
        <v>Killamari</v>
      </c>
      <c r="AB2" s="248" t="str">
        <v>Mau</v>
      </c>
      <c r="AC2" s="248" t="str">
        <v>Mau Cryst</v>
      </c>
      <c r="AD2" s="248" t="str">
        <v>Celaray</v>
      </c>
      <c r="AE2" s="248" t="str">
        <v>Direhowl</v>
      </c>
      <c r="AF2" s="248" t="str">
        <v>Tocotoco</v>
      </c>
      <c r="AG2" s="248" t="str">
        <v>Flopie</v>
      </c>
      <c r="AH2" s="248" t="str">
        <v>Mozzarina</v>
      </c>
      <c r="AI2" s="248" t="str">
        <v>Bristla</v>
      </c>
      <c r="AJ2" s="248" t="str">
        <v>Gobfin</v>
      </c>
      <c r="AK2" s="248" t="str">
        <v>Gobfin Ignis</v>
      </c>
      <c r="AL2" s="248" t="str">
        <v>Hangyu</v>
      </c>
      <c r="AM2" s="248" t="str">
        <v>Hangyu Cryst</v>
      </c>
      <c r="AN2" s="248" t="str">
        <v>Mossanda</v>
      </c>
      <c r="AO2" s="248" t="str">
        <v>Mossanda Lux</v>
      </c>
      <c r="AP2" s="248" t="str">
        <v>Woolipop</v>
      </c>
      <c r="AQ2" s="248" t="str">
        <v>Caprity</v>
      </c>
      <c r="AR2" s="248" t="str">
        <v>Melpaca</v>
      </c>
      <c r="AS2" s="248" t="str">
        <v>Eikthyrdeer</v>
      </c>
      <c r="AT2" s="248" t="str">
        <v>Eikthyrdeer Terra</v>
      </c>
      <c r="AU2" s="248" t="str">
        <v>Nitewing</v>
      </c>
      <c r="AV2" s="248" t="str">
        <v>Ribunny</v>
      </c>
      <c r="AW2" s="248" t="str">
        <v>Incineram</v>
      </c>
      <c r="AX2" s="248" t="str">
        <v>Incineram Noct</v>
      </c>
      <c r="AY2" s="248" t="str">
        <v>Cinnamoth</v>
      </c>
      <c r="AZ2" s="248" t="str">
        <v>Arsox</v>
      </c>
      <c r="BA2" s="248" t="str">
        <v>Dumud</v>
      </c>
      <c r="BB2" s="248" t="str">
        <v>Cawgnito</v>
      </c>
      <c r="BC2" s="248" t="str">
        <v>Leezpunk</v>
      </c>
      <c r="BD2" s="248" t="str">
        <v>Leezpunk Ignis</v>
      </c>
      <c r="BE2" s="248" t="str">
        <v>Loupmoon</v>
      </c>
      <c r="BF2" s="248" t="str">
        <v>Galeclaw</v>
      </c>
      <c r="BG2" s="248" t="str">
        <v>Robinquill</v>
      </c>
      <c r="BH2" s="248" t="str">
        <v>Robinquill Terra</v>
      </c>
      <c r="BI2" s="248" t="str">
        <v>Gorirat</v>
      </c>
      <c r="BJ2" s="248" t="str">
        <v>Beegarde</v>
      </c>
      <c r="BK2" s="248" t="str">
        <v>Elizabee</v>
      </c>
      <c r="BL2" s="248" t="str">
        <v>Grintale</v>
      </c>
      <c r="BM2" s="248" t="str">
        <v>Swee</v>
      </c>
      <c r="BN2" s="248" t="str">
        <v>Sweepa</v>
      </c>
      <c r="BO2" s="248" t="str">
        <v>Chillet</v>
      </c>
      <c r="BP2" s="248" t="str">
        <v>Univolt</v>
      </c>
      <c r="BQ2" s="248" t="str">
        <v>Foxcicle</v>
      </c>
      <c r="BR2" s="248" t="str">
        <v>Pyrin</v>
      </c>
      <c r="BS2" s="248" t="str">
        <v>Pyrin Noct</v>
      </c>
      <c r="BT2" s="248" t="str">
        <v>Reindrix</v>
      </c>
      <c r="BU2" s="248" t="str">
        <v>Rayhound</v>
      </c>
      <c r="BV2" s="248" t="str">
        <v>Kitsun</v>
      </c>
      <c r="BW2" s="248" t="str">
        <v>Dazzi</v>
      </c>
      <c r="BX2" s="248" t="str">
        <v>Lunaris</v>
      </c>
      <c r="BY2" s="248" t="str">
        <v>Dinossom</v>
      </c>
      <c r="BZ2" s="248" t="str">
        <v>Dinossom Lux</v>
      </c>
      <c r="CA2" s="248" t="str">
        <v>Surfent</v>
      </c>
      <c r="CB2" s="248" t="str">
        <v>Surfent Terra</v>
      </c>
      <c r="CC2" s="248" t="str">
        <v>Maraith</v>
      </c>
      <c r="CD2" s="248" t="str">
        <v>Digtoise</v>
      </c>
      <c r="CE2" s="248" t="str">
        <v>Tombat</v>
      </c>
      <c r="CF2" s="248" t="str">
        <v>Lovander</v>
      </c>
      <c r="CG2" s="248" t="str">
        <v>Flambelle</v>
      </c>
      <c r="CH2" s="248" t="str">
        <v>Vanwyrm</v>
      </c>
      <c r="CI2" s="248" t="str">
        <v>Vanwyrm Cryst</v>
      </c>
      <c r="CJ2" s="248" t="str">
        <v>Bushi</v>
      </c>
      <c r="CK2" s="248" t="str">
        <v>Beakon</v>
      </c>
      <c r="CL2" s="248" t="str">
        <v>Ragnahawk</v>
      </c>
      <c r="CM2" s="248" t="str">
        <v>Katress</v>
      </c>
      <c r="CN2" s="248" t="str">
        <v>Wixen</v>
      </c>
      <c r="CO2" s="248" t="str">
        <v>Verdash</v>
      </c>
      <c r="CP2" s="248" t="str">
        <v>Vaelet</v>
      </c>
      <c r="CQ2" s="248" t="str">
        <v>Sibelyx</v>
      </c>
      <c r="CR2" s="248" t="str">
        <v>Elphidran</v>
      </c>
      <c r="CS2" s="248" t="str">
        <v>Elphidran Aqua</v>
      </c>
      <c r="CT2" s="248" t="str">
        <v>Kelpsea</v>
      </c>
      <c r="CU2" s="248" t="str">
        <v>Kelpsea Ignis</v>
      </c>
      <c r="CV2" s="248" t="str">
        <v>Azurobe</v>
      </c>
      <c r="CW2" s="248" t="str">
        <v>Cryolinx</v>
      </c>
      <c r="CX2" s="248" t="str">
        <v>Blazehowl</v>
      </c>
      <c r="CY2" s="248" t="str">
        <v>Blazehowl Noct</v>
      </c>
      <c r="CZ2" s="248" t="str">
        <v>Relaxaurus</v>
      </c>
      <c r="DA2" s="248" t="str">
        <v>Relaxaurus Lux</v>
      </c>
      <c r="DB2" s="248" t="str">
        <v>Broncherry</v>
      </c>
      <c r="DC2" s="248" t="str">
        <v>Broncherry Aqua</v>
      </c>
      <c r="DD2" s="248" t="str">
        <v>Petallia</v>
      </c>
      <c r="DE2" s="248" t="str">
        <v>Reptyro</v>
      </c>
      <c r="DF2" s="248" t="str">
        <v>Ice Reptyro</v>
      </c>
      <c r="DG2" s="248" t="str">
        <v>Kingpaca</v>
      </c>
      <c r="DH2" s="248" t="str">
        <v>Ice Kingpaca</v>
      </c>
      <c r="DI2" s="248" t="str">
        <v>Mammorest</v>
      </c>
      <c r="DJ2" s="248" t="str">
        <v>Mammorest Cryst</v>
      </c>
      <c r="DK2" s="248" t="str">
        <v>Wumpo</v>
      </c>
      <c r="DL2" s="248" t="str">
        <v>Wumpo Botan</v>
      </c>
      <c r="DM2" s="248" t="str">
        <v>Warsect</v>
      </c>
      <c r="DN2" s="248" t="str">
        <v>Fenglope</v>
      </c>
      <c r="DO2" s="248" t="str">
        <v>Felbat</v>
      </c>
      <c r="DP2" s="248" t="str">
        <v>Quivern</v>
      </c>
      <c r="DQ2" s="248" t="str">
        <v>Blazamut</v>
      </c>
      <c r="DR2" s="248" t="str">
        <v>Helzephyr</v>
      </c>
      <c r="DS2" s="248" t="str">
        <v>Astegon</v>
      </c>
      <c r="DT2" s="248" t="str">
        <v>Menasting</v>
      </c>
      <c r="DU2" s="248" t="str">
        <v>Anubis</v>
      </c>
      <c r="DV2" s="248" t="str">
        <v>Jormuntide</v>
      </c>
      <c r="DW2" s="248" t="str">
        <v>Jormuntide Ignis</v>
      </c>
      <c r="DX2" s="248" t="str">
        <v>Suzaku</v>
      </c>
      <c r="DY2" s="248" t="str">
        <v>Suzaku Aqua</v>
      </c>
      <c r="DZ2" s="248" t="str">
        <v>Grizzbolt</v>
      </c>
      <c r="EA2" s="248" t="str">
        <v>Lyleen</v>
      </c>
      <c r="EB2" s="248" t="str">
        <v>Lyleen Noct</v>
      </c>
      <c r="EC2" s="248" t="str">
        <v>Faleris</v>
      </c>
      <c r="ED2" s="248" t="str">
        <v>Orserk</v>
      </c>
      <c r="EE2" s="248" t="str">
        <v>Shadowbeak</v>
      </c>
      <c r="EF2" s="248" t="str">
        <v>Paladius</v>
      </c>
      <c r="EG2" s="248" t="str">
        <v>Necromus</v>
      </c>
      <c r="EH2" s="248" t="str">
        <v>Frostallion</v>
      </c>
      <c r="EI2" s="248" t="str">
        <v>Frostallion Noct</v>
      </c>
      <c r="EJ2" s="248" t="str">
        <v>Jetragon</v>
      </c>
      <c r="EK2" s="245" t="str">
        <v>Alpha Kitsun</v>
      </c>
      <c r="EL2" s="245" t="str">
        <v>Alpha Anubis</v>
      </c>
      <c r="EM2" s="245" t="str">
        <v>Alpha Incineram</v>
      </c>
      <c r="EN2" s="245" t="str">
        <v>Alpha Incineram Noct</v>
      </c>
      <c r="EO2" s="245" t="str">
        <v>Alpha Mau</v>
      </c>
      <c r="EP2" s="245" t="str">
        <v>Alpha Mau Cryst</v>
      </c>
      <c r="EQ2" s="245" t="str">
        <v>Alpha Caprity</v>
      </c>
      <c r="ER2" s="245" t="str">
        <v>Alpha Vanwyrm</v>
      </c>
      <c r="ES2" s="245" t="str">
        <v>Alpha Vanwyrm Cryst</v>
      </c>
      <c r="ET2" s="245" t="str">
        <v>Alpha Necromus</v>
      </c>
      <c r="EU2" s="245" t="str">
        <v>Alpha Shadowbeak</v>
      </c>
      <c r="EV2" s="245" t="str">
        <v>Alpha Astegon</v>
      </c>
      <c r="EW2" s="245" t="str">
        <v>Alpha Azurobe</v>
      </c>
      <c r="EX2" s="245" t="str">
        <v>Alpha Fuack</v>
      </c>
      <c r="EY2" s="245" t="str">
        <v>Alpha Rushoar</v>
      </c>
      <c r="EZ2" s="245" t="str">
        <v>Alpha Penking</v>
      </c>
      <c r="FA2" s="245" t="str">
        <v>Alpha Shadowbeak</v>
      </c>
      <c r="FB2" s="245" t="str">
        <v>Alpha Astegon</v>
      </c>
      <c r="FC2" s="245" t="str">
        <v>Alpha Azurobe</v>
      </c>
      <c r="FD2" s="245" t="n">
        <v>0</v>
      </c>
      <c r="FE2" s="245" t="n">
        <v>0</v>
      </c>
      <c r="FF2" s="245" t="n">
        <v>0</v>
      </c>
      <c r="FG2" s="245" t="n">
        <v>0</v>
      </c>
      <c r="FH2" s="245" t="n">
        <v>0</v>
      </c>
      <c r="FI2" s="245" t="n">
        <v>0</v>
      </c>
      <c r="FJ2" s="245" t="n">
        <v>0</v>
      </c>
      <c r="FK2" s="245" t="n">
        <v>0</v>
      </c>
      <c r="FL2" s="245" t="n">
        <v>0</v>
      </c>
      <c r="FM2" s="245" t="n">
        <v>0</v>
      </c>
      <c r="FN2" s="245" t="n">
        <v>0</v>
      </c>
      <c r="FO2" s="0" t="n">
        <v>0</v>
      </c>
      <c r="FP2" s="0" t="n">
        <v>0</v>
      </c>
      <c r="FQ2" s="0" t="n">
        <v>0</v>
      </c>
      <c r="FR2" s="0" t="n">
        <v>0</v>
      </c>
      <c r="FS2" s="0" t="n">
        <v>0</v>
      </c>
      <c r="FT2" s="0" t="n">
        <v>0</v>
      </c>
      <c r="FU2" s="0" t="n">
        <v>0</v>
      </c>
      <c r="FV2" s="0" t="n">
        <v>0</v>
      </c>
      <c r="FW2" s="0" t="n">
        <v>0</v>
      </c>
    </row>
    <row r="3" customFormat="false" ht="15.75" hidden="false" customHeight="false" outlineLevel="0" collapsed="false">
      <c r="A3" s="249" t="n">
        <v>1</v>
      </c>
      <c r="B3" s="250" t="s">
        <v>90</v>
      </c>
      <c r="C3" s="45" t="str">
        <f aca="false">IFERROR(__xludf.dummyfunction("IF(PALUNIQUECOMBO($B3,C$2),PALUNIQUECOMBOCHILD($B3,C$2), IF($B3=C$2,$B3, ARRAY_CONSTRAIN(FILTER(Filter(PalData!$A$2:$A$139,PalData!$J$2:$J$139&lt;&gt;""B""),ABS(FLOOR((INDEX(PalData,MATCH($B3,PalNames,0)+1,MATCH(""CombiRank"",PalData_Header,0))+INDEX(PalData,MA"&amp;"TCH(C$2,PalNames,0)+1,MATCH(""CombiRank"",PalData_Header,0))+1)/2)-Filter(PalData!$BB$2:$BB$139,PalData!$J$2:$J$139&lt;&gt;""B""))=min(ABS(FLOOR((INDEX(PalData,MATCH($B3,PalNames,0)+1,MATCH(""CombiRank"",PalData_Header,0))+INDEX(PalData,MATCH(C$2,PalNames,0)+1,"&amp;"MATCH(""CombiRank"",PalData_Header,0))+1)/2)-Filter(PalData!$BB$2:$BB$139,PalData!$J$2:$J$139&lt;&gt;""B"")))),1,1)))"),"Lamball")</f>
        <v>Lamball</v>
      </c>
      <c r="D3" s="45" t="s">
        <v>90</v>
      </c>
      <c r="E3" s="45" t="s">
        <v>102</v>
      </c>
      <c r="F3" s="45" t="s">
        <v>148</v>
      </c>
      <c r="G3" s="45" t="s">
        <v>93</v>
      </c>
      <c r="H3" s="45" t="s">
        <v>59</v>
      </c>
      <c r="I3" s="45" t="s">
        <v>93</v>
      </c>
      <c r="J3" s="45" t="s">
        <v>80</v>
      </c>
      <c r="K3" s="45" t="s">
        <v>125</v>
      </c>
      <c r="L3" s="45" t="s">
        <v>132</v>
      </c>
      <c r="M3" s="45" t="s">
        <v>147</v>
      </c>
      <c r="N3" s="45" t="s">
        <v>71</v>
      </c>
      <c r="O3" s="45" t="s">
        <v>71</v>
      </c>
      <c r="P3" s="45" t="s">
        <v>114</v>
      </c>
      <c r="Q3" s="45" t="s">
        <v>114</v>
      </c>
      <c r="R3" s="45" t="s">
        <v>32</v>
      </c>
      <c r="S3" s="45" t="s">
        <v>93</v>
      </c>
      <c r="T3" s="45" t="s">
        <v>102</v>
      </c>
      <c r="U3" s="45" t="s">
        <v>93</v>
      </c>
      <c r="V3" s="45" t="s">
        <v>32</v>
      </c>
      <c r="W3" s="45" t="s">
        <v>114</v>
      </c>
      <c r="X3" s="45" t="s">
        <v>137</v>
      </c>
      <c r="Y3" s="45" t="s">
        <v>28</v>
      </c>
      <c r="Z3" s="45" t="s">
        <v>141</v>
      </c>
      <c r="AA3" s="45" t="s">
        <v>42</v>
      </c>
      <c r="AB3" s="45" t="s">
        <v>102</v>
      </c>
      <c r="AC3" s="45" t="s">
        <v>38</v>
      </c>
      <c r="AD3" s="45" t="s">
        <v>150</v>
      </c>
      <c r="AE3" s="45" t="s">
        <v>85</v>
      </c>
      <c r="AF3" s="45" t="s">
        <v>56</v>
      </c>
      <c r="AG3" s="45" t="s">
        <v>80</v>
      </c>
      <c r="AH3" s="45" t="s">
        <v>151</v>
      </c>
      <c r="AI3" s="45" t="s">
        <v>59</v>
      </c>
      <c r="AJ3" s="45" t="s">
        <v>57</v>
      </c>
      <c r="AK3" s="45" t="s">
        <v>87</v>
      </c>
      <c r="AL3" s="45" t="s">
        <v>148</v>
      </c>
      <c r="AM3" s="45" t="s">
        <v>148</v>
      </c>
      <c r="AN3" s="45" t="s">
        <v>94</v>
      </c>
      <c r="AO3" s="45" t="s">
        <v>31</v>
      </c>
      <c r="AP3" s="45" t="s">
        <v>61</v>
      </c>
      <c r="AQ3" s="45" t="s">
        <v>41</v>
      </c>
      <c r="AR3" s="45" t="s">
        <v>111</v>
      </c>
      <c r="AS3" s="45" t="s">
        <v>151</v>
      </c>
      <c r="AT3" s="45" t="s">
        <v>151</v>
      </c>
      <c r="AU3" s="45" t="s">
        <v>94</v>
      </c>
      <c r="AV3" s="45" t="s">
        <v>74</v>
      </c>
      <c r="AW3" s="45" t="s">
        <v>63</v>
      </c>
      <c r="AX3" s="45" t="s">
        <v>63</v>
      </c>
      <c r="AY3" s="45" t="s">
        <v>55</v>
      </c>
      <c r="AZ3" s="45" t="s">
        <v>129</v>
      </c>
      <c r="BA3" s="45" t="s">
        <v>111</v>
      </c>
      <c r="BB3" s="45" t="s">
        <v>86</v>
      </c>
      <c r="BC3" s="45" t="s">
        <v>87</v>
      </c>
      <c r="BD3" s="45" t="s">
        <v>137</v>
      </c>
      <c r="BE3" s="45" t="s">
        <v>41</v>
      </c>
      <c r="BF3" s="45" t="s">
        <v>139</v>
      </c>
      <c r="BG3" s="45" t="s">
        <v>139</v>
      </c>
      <c r="BH3" s="45" t="s">
        <v>40</v>
      </c>
      <c r="BI3" s="45" t="s">
        <v>85</v>
      </c>
      <c r="BJ3" s="45" t="s">
        <v>86</v>
      </c>
      <c r="BK3" s="45" t="s">
        <v>47</v>
      </c>
      <c r="BL3" s="45" t="s">
        <v>147</v>
      </c>
      <c r="BM3" s="45" t="s">
        <v>42</v>
      </c>
      <c r="BN3" s="45" t="s">
        <v>95</v>
      </c>
      <c r="BO3" s="45" t="s">
        <v>129</v>
      </c>
      <c r="BP3" s="45" t="s">
        <v>33</v>
      </c>
      <c r="BQ3" s="45" t="s">
        <v>96</v>
      </c>
      <c r="BR3" s="45" t="s">
        <v>48</v>
      </c>
      <c r="BS3" s="45" t="s">
        <v>43</v>
      </c>
      <c r="BT3" s="45" t="s">
        <v>111</v>
      </c>
      <c r="BU3" s="45" t="s">
        <v>96</v>
      </c>
      <c r="BV3" s="45" t="s">
        <v>101</v>
      </c>
      <c r="BW3" s="45" t="s">
        <v>141</v>
      </c>
      <c r="BX3" s="45" t="s">
        <v>87</v>
      </c>
      <c r="BY3" s="45" t="s">
        <v>101</v>
      </c>
      <c r="BZ3" s="45" t="s">
        <v>129</v>
      </c>
      <c r="CA3" s="45" t="s">
        <v>126</v>
      </c>
      <c r="CB3" s="45" t="s">
        <v>54</v>
      </c>
      <c r="CC3" s="45" t="s">
        <v>125</v>
      </c>
      <c r="CD3" s="45" t="s">
        <v>150</v>
      </c>
      <c r="CE3" s="45" t="s">
        <v>96</v>
      </c>
      <c r="CF3" s="45" t="s">
        <v>41</v>
      </c>
      <c r="CG3" s="45" t="s">
        <v>93</v>
      </c>
      <c r="CH3" s="45" t="s">
        <v>46</v>
      </c>
      <c r="CI3" s="45" t="s">
        <v>66</v>
      </c>
      <c r="CJ3" s="45" t="s">
        <v>46</v>
      </c>
      <c r="CK3" s="45" t="s">
        <v>43</v>
      </c>
      <c r="CL3" s="45" t="s">
        <v>48</v>
      </c>
      <c r="CM3" s="45" t="s">
        <v>64</v>
      </c>
      <c r="CN3" s="45" t="s">
        <v>28</v>
      </c>
      <c r="CO3" s="45" t="s">
        <v>40</v>
      </c>
      <c r="CP3" s="45" t="s">
        <v>85</v>
      </c>
      <c r="CQ3" s="45" t="s">
        <v>94</v>
      </c>
      <c r="CR3" s="45" t="s">
        <v>54</v>
      </c>
      <c r="CS3" s="45" t="s">
        <v>54</v>
      </c>
      <c r="CT3" s="45" t="s">
        <v>80</v>
      </c>
      <c r="CU3" s="45" t="s">
        <v>80</v>
      </c>
      <c r="CV3" s="45" t="s">
        <v>55</v>
      </c>
      <c r="CW3" s="45" t="s">
        <v>36</v>
      </c>
      <c r="CX3" s="45" t="s">
        <v>64</v>
      </c>
      <c r="CY3" s="45" t="s">
        <v>22</v>
      </c>
      <c r="CZ3" s="45" t="s">
        <v>121</v>
      </c>
      <c r="DA3" s="45" t="s">
        <v>34</v>
      </c>
      <c r="DB3" s="45" t="s">
        <v>150</v>
      </c>
      <c r="DC3" s="45" t="s">
        <v>128</v>
      </c>
      <c r="DD3" s="45" t="s">
        <v>129</v>
      </c>
      <c r="DE3" s="45" t="s">
        <v>47</v>
      </c>
      <c r="DF3" s="45" t="s">
        <v>43</v>
      </c>
      <c r="DG3" s="45" t="s">
        <v>55</v>
      </c>
      <c r="DH3" s="45" t="s">
        <v>94</v>
      </c>
      <c r="DI3" s="45" t="s">
        <v>104</v>
      </c>
      <c r="DJ3" s="45" t="s">
        <v>121</v>
      </c>
      <c r="DK3" s="45" t="s">
        <v>94</v>
      </c>
      <c r="DL3" s="45" t="s">
        <v>55</v>
      </c>
      <c r="DM3" s="45" t="s">
        <v>108</v>
      </c>
      <c r="DN3" s="45" t="s">
        <v>62</v>
      </c>
      <c r="DO3" s="45" t="s">
        <v>69</v>
      </c>
      <c r="DP3" s="45" t="s">
        <v>108</v>
      </c>
      <c r="DQ3" s="45" t="s">
        <v>120</v>
      </c>
      <c r="DR3" s="45" t="s">
        <v>89</v>
      </c>
      <c r="DS3" s="45" t="s">
        <v>44</v>
      </c>
      <c r="DT3" s="45" t="s">
        <v>29</v>
      </c>
      <c r="DU3" s="45" t="s">
        <v>126</v>
      </c>
      <c r="DV3" s="45" t="s">
        <v>104</v>
      </c>
      <c r="DW3" s="45" t="s">
        <v>47</v>
      </c>
      <c r="DX3" s="45" t="s">
        <v>58</v>
      </c>
      <c r="DY3" s="45" t="s">
        <v>142</v>
      </c>
      <c r="DZ3" s="45" t="s">
        <v>89</v>
      </c>
      <c r="EA3" s="45" t="s">
        <v>29</v>
      </c>
      <c r="EB3" s="45" t="s">
        <v>43</v>
      </c>
      <c r="EC3" s="45" t="s">
        <v>48</v>
      </c>
      <c r="ED3" s="45" t="s">
        <v>36</v>
      </c>
      <c r="EE3" s="45" t="s">
        <v>58</v>
      </c>
      <c r="EF3" s="45" t="s">
        <v>116</v>
      </c>
      <c r="EG3" s="45" t="s">
        <v>58</v>
      </c>
      <c r="EH3" s="45" t="s">
        <v>13</v>
      </c>
      <c r="EI3" s="45" t="s">
        <v>13</v>
      </c>
      <c r="EJ3" s="45" t="s">
        <v>116</v>
      </c>
    </row>
    <row r="4" customFormat="false" ht="15.75" hidden="false" customHeight="false" outlineLevel="0" collapsed="false">
      <c r="A4" s="249" t="n">
        <v>2</v>
      </c>
      <c r="B4" s="250" t="s">
        <v>32</v>
      </c>
      <c r="C4" s="45" t="s">
        <v>90</v>
      </c>
      <c r="D4" s="45" t="s">
        <v>32</v>
      </c>
      <c r="E4" s="45" t="s">
        <v>102</v>
      </c>
      <c r="F4" s="45" t="s">
        <v>148</v>
      </c>
      <c r="G4" s="45" t="s">
        <v>93</v>
      </c>
      <c r="H4" s="45" t="s">
        <v>59</v>
      </c>
      <c r="I4" s="45" t="s">
        <v>93</v>
      </c>
      <c r="J4" s="45" t="s">
        <v>114</v>
      </c>
      <c r="K4" s="45" t="s">
        <v>125</v>
      </c>
      <c r="L4" s="45" t="s">
        <v>56</v>
      </c>
      <c r="M4" s="45" t="s">
        <v>147</v>
      </c>
      <c r="N4" s="45" t="s">
        <v>71</v>
      </c>
      <c r="O4" s="45" t="s">
        <v>132</v>
      </c>
      <c r="P4" s="45" t="s">
        <v>114</v>
      </c>
      <c r="Q4" s="45" t="s">
        <v>114</v>
      </c>
      <c r="R4" s="45" t="s">
        <v>38</v>
      </c>
      <c r="S4" s="45" t="s">
        <v>93</v>
      </c>
      <c r="T4" s="45" t="s">
        <v>102</v>
      </c>
      <c r="U4" s="45" t="s">
        <v>71</v>
      </c>
      <c r="V4" s="45" t="s">
        <v>32</v>
      </c>
      <c r="W4" s="45" t="s">
        <v>141</v>
      </c>
      <c r="X4" s="45" t="s">
        <v>87</v>
      </c>
      <c r="Y4" s="45" t="s">
        <v>28</v>
      </c>
      <c r="Z4" s="45" t="s">
        <v>141</v>
      </c>
      <c r="AA4" s="45" t="s">
        <v>80</v>
      </c>
      <c r="AB4" s="45" t="s">
        <v>90</v>
      </c>
      <c r="AC4" s="45" t="s">
        <v>148</v>
      </c>
      <c r="AD4" s="45" t="s">
        <v>150</v>
      </c>
      <c r="AE4" s="45" t="s">
        <v>85</v>
      </c>
      <c r="AF4" s="45" t="s">
        <v>59</v>
      </c>
      <c r="AG4" s="45" t="s">
        <v>80</v>
      </c>
      <c r="AH4" s="45" t="s">
        <v>151</v>
      </c>
      <c r="AI4" s="45" t="s">
        <v>74</v>
      </c>
      <c r="AJ4" s="45" t="s">
        <v>86</v>
      </c>
      <c r="AK4" s="45" t="s">
        <v>57</v>
      </c>
      <c r="AL4" s="45" t="s">
        <v>93</v>
      </c>
      <c r="AM4" s="45" t="s">
        <v>148</v>
      </c>
      <c r="AN4" s="45" t="s">
        <v>94</v>
      </c>
      <c r="AO4" s="45" t="s">
        <v>48</v>
      </c>
      <c r="AP4" s="45" t="s">
        <v>28</v>
      </c>
      <c r="AQ4" s="45" t="s">
        <v>151</v>
      </c>
      <c r="AR4" s="45" t="s">
        <v>111</v>
      </c>
      <c r="AS4" s="45" t="s">
        <v>151</v>
      </c>
      <c r="AT4" s="45" t="s">
        <v>111</v>
      </c>
      <c r="AU4" s="45" t="s">
        <v>95</v>
      </c>
      <c r="AV4" s="45" t="s">
        <v>42</v>
      </c>
      <c r="AW4" s="45" t="s">
        <v>63</v>
      </c>
      <c r="AX4" s="45" t="s">
        <v>126</v>
      </c>
      <c r="AY4" s="45" t="s">
        <v>55</v>
      </c>
      <c r="AZ4" s="45" t="s">
        <v>129</v>
      </c>
      <c r="BA4" s="45" t="s">
        <v>111</v>
      </c>
      <c r="BB4" s="45" t="s">
        <v>86</v>
      </c>
      <c r="BC4" s="45" t="s">
        <v>87</v>
      </c>
      <c r="BD4" s="45" t="s">
        <v>137</v>
      </c>
      <c r="BE4" s="45" t="s">
        <v>41</v>
      </c>
      <c r="BF4" s="45" t="s">
        <v>139</v>
      </c>
      <c r="BG4" s="45" t="s">
        <v>69</v>
      </c>
      <c r="BH4" s="45" t="s">
        <v>40</v>
      </c>
      <c r="BI4" s="45" t="s">
        <v>139</v>
      </c>
      <c r="BJ4" s="45" t="s">
        <v>85</v>
      </c>
      <c r="BK4" s="45" t="s">
        <v>47</v>
      </c>
      <c r="BL4" s="45" t="s">
        <v>55</v>
      </c>
      <c r="BM4" s="45" t="s">
        <v>42</v>
      </c>
      <c r="BN4" s="45" t="s">
        <v>31</v>
      </c>
      <c r="BO4" s="45" t="s">
        <v>129</v>
      </c>
      <c r="BP4" s="45" t="s">
        <v>22</v>
      </c>
      <c r="BQ4" s="45" t="s">
        <v>96</v>
      </c>
      <c r="BR4" s="45" t="s">
        <v>108</v>
      </c>
      <c r="BS4" s="45" t="s">
        <v>43</v>
      </c>
      <c r="BT4" s="45" t="s">
        <v>150</v>
      </c>
      <c r="BU4" s="45" t="s">
        <v>96</v>
      </c>
      <c r="BV4" s="45" t="s">
        <v>101</v>
      </c>
      <c r="BW4" s="45" t="s">
        <v>141</v>
      </c>
      <c r="BX4" s="45" t="s">
        <v>87</v>
      </c>
      <c r="BY4" s="45" t="s">
        <v>129</v>
      </c>
      <c r="BZ4" s="45" t="s">
        <v>129</v>
      </c>
      <c r="CA4" s="45" t="s">
        <v>54</v>
      </c>
      <c r="CB4" s="45" t="s">
        <v>54</v>
      </c>
      <c r="CC4" s="45" t="s">
        <v>137</v>
      </c>
      <c r="CD4" s="45" t="s">
        <v>128</v>
      </c>
      <c r="CE4" s="45" t="s">
        <v>96</v>
      </c>
      <c r="CF4" s="45" t="s">
        <v>41</v>
      </c>
      <c r="CG4" s="45" t="s">
        <v>93</v>
      </c>
      <c r="CH4" s="45" t="s">
        <v>46</v>
      </c>
      <c r="CI4" s="45" t="s">
        <v>66</v>
      </c>
      <c r="CJ4" s="45" t="s">
        <v>144</v>
      </c>
      <c r="CK4" s="45" t="s">
        <v>43</v>
      </c>
      <c r="CL4" s="45" t="s">
        <v>48</v>
      </c>
      <c r="CM4" s="45" t="s">
        <v>33</v>
      </c>
      <c r="CN4" s="45" t="s">
        <v>125</v>
      </c>
      <c r="CO4" s="45" t="s">
        <v>62</v>
      </c>
      <c r="CP4" s="45" t="s">
        <v>85</v>
      </c>
      <c r="CQ4" s="45" t="s">
        <v>94</v>
      </c>
      <c r="CR4" s="45" t="s">
        <v>54</v>
      </c>
      <c r="CS4" s="45" t="s">
        <v>147</v>
      </c>
      <c r="CT4" s="45" t="s">
        <v>80</v>
      </c>
      <c r="CU4" s="45" t="s">
        <v>80</v>
      </c>
      <c r="CV4" s="45" t="s">
        <v>55</v>
      </c>
      <c r="CW4" s="45" t="s">
        <v>13</v>
      </c>
      <c r="CX4" s="45" t="s">
        <v>64</v>
      </c>
      <c r="CY4" s="45" t="s">
        <v>46</v>
      </c>
      <c r="CZ4" s="45" t="s">
        <v>34</v>
      </c>
      <c r="DA4" s="45" t="s">
        <v>29</v>
      </c>
      <c r="DB4" s="45" t="s">
        <v>150</v>
      </c>
      <c r="DC4" s="45" t="s">
        <v>101</v>
      </c>
      <c r="DD4" s="45" t="s">
        <v>91</v>
      </c>
      <c r="DE4" s="45" t="s">
        <v>104</v>
      </c>
      <c r="DF4" s="45" t="s">
        <v>43</v>
      </c>
      <c r="DG4" s="45" t="s">
        <v>94</v>
      </c>
      <c r="DH4" s="45" t="s">
        <v>94</v>
      </c>
      <c r="DI4" s="45" t="s">
        <v>121</v>
      </c>
      <c r="DJ4" s="45" t="s">
        <v>121</v>
      </c>
      <c r="DK4" s="45" t="s">
        <v>94</v>
      </c>
      <c r="DL4" s="45" t="s">
        <v>55</v>
      </c>
      <c r="DM4" s="45" t="s">
        <v>47</v>
      </c>
      <c r="DN4" s="45" t="s">
        <v>62</v>
      </c>
      <c r="DO4" s="45" t="s">
        <v>40</v>
      </c>
      <c r="DP4" s="45" t="s">
        <v>108</v>
      </c>
      <c r="DQ4" s="45" t="s">
        <v>120</v>
      </c>
      <c r="DR4" s="45" t="s">
        <v>89</v>
      </c>
      <c r="DS4" s="45" t="s">
        <v>36</v>
      </c>
      <c r="DT4" s="45" t="s">
        <v>29</v>
      </c>
      <c r="DU4" s="45" t="s">
        <v>126</v>
      </c>
      <c r="DV4" s="45" t="s">
        <v>104</v>
      </c>
      <c r="DW4" s="45" t="s">
        <v>104</v>
      </c>
      <c r="DX4" s="45" t="s">
        <v>142</v>
      </c>
      <c r="DY4" s="45" t="s">
        <v>142</v>
      </c>
      <c r="DZ4" s="45" t="s">
        <v>89</v>
      </c>
      <c r="EA4" s="45" t="s">
        <v>43</v>
      </c>
      <c r="EB4" s="45" t="s">
        <v>89</v>
      </c>
      <c r="EC4" s="45" t="s">
        <v>48</v>
      </c>
      <c r="ED4" s="45" t="s">
        <v>36</v>
      </c>
      <c r="EE4" s="45" t="s">
        <v>58</v>
      </c>
      <c r="EF4" s="45" t="s">
        <v>58</v>
      </c>
      <c r="EG4" s="45" t="s">
        <v>58</v>
      </c>
      <c r="EH4" s="45" t="s">
        <v>13</v>
      </c>
      <c r="EI4" s="45" t="s">
        <v>116</v>
      </c>
      <c r="EJ4" s="45" t="s">
        <v>116</v>
      </c>
    </row>
    <row r="5" customFormat="false" ht="15.75" hidden="false" customHeight="false" outlineLevel="0" collapsed="false">
      <c r="A5" s="249" t="n">
        <v>3</v>
      </c>
      <c r="B5" s="250" t="s">
        <v>35</v>
      </c>
      <c r="C5" s="45" t="s">
        <v>102</v>
      </c>
      <c r="D5" s="45" t="s">
        <v>102</v>
      </c>
      <c r="E5" s="45" t="s">
        <v>35</v>
      </c>
      <c r="F5" s="45" t="s">
        <v>90</v>
      </c>
      <c r="G5" s="45" t="s">
        <v>148</v>
      </c>
      <c r="H5" s="45" t="s">
        <v>71</v>
      </c>
      <c r="I5" s="45" t="s">
        <v>38</v>
      </c>
      <c r="J5" s="45" t="s">
        <v>80</v>
      </c>
      <c r="K5" s="45" t="s">
        <v>61</v>
      </c>
      <c r="L5" s="45" t="s">
        <v>93</v>
      </c>
      <c r="M5" s="45" t="s">
        <v>54</v>
      </c>
      <c r="N5" s="45" t="s">
        <v>93</v>
      </c>
      <c r="O5" s="45" t="s">
        <v>93</v>
      </c>
      <c r="P5" s="45" t="s">
        <v>80</v>
      </c>
      <c r="Q5" s="45" t="s">
        <v>80</v>
      </c>
      <c r="R5" s="45" t="s">
        <v>102</v>
      </c>
      <c r="S5" s="45" t="s">
        <v>148</v>
      </c>
      <c r="T5" s="45" t="s">
        <v>140</v>
      </c>
      <c r="U5" s="45" t="s">
        <v>93</v>
      </c>
      <c r="V5" s="45" t="s">
        <v>102</v>
      </c>
      <c r="W5" s="45" t="s">
        <v>80</v>
      </c>
      <c r="X5" s="45" t="s">
        <v>28</v>
      </c>
      <c r="Y5" s="45" t="s">
        <v>141</v>
      </c>
      <c r="Z5" s="45" t="s">
        <v>80</v>
      </c>
      <c r="AA5" s="45" t="s">
        <v>59</v>
      </c>
      <c r="AB5" s="45" t="s">
        <v>140</v>
      </c>
      <c r="AC5" s="45" t="s">
        <v>90</v>
      </c>
      <c r="AD5" s="45" t="s">
        <v>151</v>
      </c>
      <c r="AE5" s="45" t="s">
        <v>57</v>
      </c>
      <c r="AF5" s="45" t="s">
        <v>71</v>
      </c>
      <c r="AG5" s="45" t="s">
        <v>74</v>
      </c>
      <c r="AH5" s="45" t="s">
        <v>41</v>
      </c>
      <c r="AI5" s="45" t="s">
        <v>132</v>
      </c>
      <c r="AJ5" s="45" t="s">
        <v>87</v>
      </c>
      <c r="AK5" s="45" t="s">
        <v>137</v>
      </c>
      <c r="AL5" s="45" t="s">
        <v>32</v>
      </c>
      <c r="AM5" s="45" t="s">
        <v>32</v>
      </c>
      <c r="AN5" s="45" t="s">
        <v>94</v>
      </c>
      <c r="AO5" s="45" t="s">
        <v>94</v>
      </c>
      <c r="AP5" s="45" t="s">
        <v>141</v>
      </c>
      <c r="AQ5" s="45" t="s">
        <v>41</v>
      </c>
      <c r="AR5" s="45" t="s">
        <v>151</v>
      </c>
      <c r="AS5" s="45" t="s">
        <v>41</v>
      </c>
      <c r="AT5" s="45" t="s">
        <v>41</v>
      </c>
      <c r="AU5" s="45" t="s">
        <v>94</v>
      </c>
      <c r="AV5" s="45" t="s">
        <v>56</v>
      </c>
      <c r="AW5" s="45" t="s">
        <v>66</v>
      </c>
      <c r="AX5" s="45" t="s">
        <v>66</v>
      </c>
      <c r="AY5" s="45" t="s">
        <v>147</v>
      </c>
      <c r="AZ5" s="45" t="s">
        <v>101</v>
      </c>
      <c r="BA5" s="45" t="s">
        <v>151</v>
      </c>
      <c r="BB5" s="45" t="s">
        <v>87</v>
      </c>
      <c r="BC5" s="45" t="s">
        <v>125</v>
      </c>
      <c r="BD5" s="45" t="s">
        <v>28</v>
      </c>
      <c r="BE5" s="45" t="s">
        <v>62</v>
      </c>
      <c r="BF5" s="45" t="s">
        <v>85</v>
      </c>
      <c r="BG5" s="45" t="s">
        <v>85</v>
      </c>
      <c r="BH5" s="45" t="s">
        <v>139</v>
      </c>
      <c r="BI5" s="45" t="s">
        <v>86</v>
      </c>
      <c r="BJ5" s="45" t="s">
        <v>87</v>
      </c>
      <c r="BK5" s="45" t="s">
        <v>48</v>
      </c>
      <c r="BL5" s="45" t="s">
        <v>54</v>
      </c>
      <c r="BM5" s="45" t="s">
        <v>59</v>
      </c>
      <c r="BN5" s="45" t="s">
        <v>94</v>
      </c>
      <c r="BO5" s="45" t="s">
        <v>101</v>
      </c>
      <c r="BP5" s="45" t="s">
        <v>64</v>
      </c>
      <c r="BQ5" s="45" t="s">
        <v>129</v>
      </c>
      <c r="BR5" s="45" t="s">
        <v>31</v>
      </c>
      <c r="BS5" s="45" t="s">
        <v>34</v>
      </c>
      <c r="BT5" s="45" t="s">
        <v>151</v>
      </c>
      <c r="BU5" s="45" t="s">
        <v>91</v>
      </c>
      <c r="BV5" s="45" t="s">
        <v>150</v>
      </c>
      <c r="BW5" s="45" t="s">
        <v>114</v>
      </c>
      <c r="BX5" s="45" t="s">
        <v>137</v>
      </c>
      <c r="BY5" s="45" t="s">
        <v>150</v>
      </c>
      <c r="BZ5" s="45" t="s">
        <v>128</v>
      </c>
      <c r="CA5" s="45" t="s">
        <v>63</v>
      </c>
      <c r="CB5" s="45" t="s">
        <v>63</v>
      </c>
      <c r="CC5" s="45" t="s">
        <v>28</v>
      </c>
      <c r="CD5" s="45" t="s">
        <v>111</v>
      </c>
      <c r="CE5" s="45" t="s">
        <v>129</v>
      </c>
      <c r="CF5" s="45" t="s">
        <v>62</v>
      </c>
      <c r="CG5" s="45" t="s">
        <v>38</v>
      </c>
      <c r="CH5" s="45" t="s">
        <v>33</v>
      </c>
      <c r="CI5" s="45" t="s">
        <v>46</v>
      </c>
      <c r="CJ5" s="45" t="s">
        <v>22</v>
      </c>
      <c r="CK5" s="45" t="s">
        <v>29</v>
      </c>
      <c r="CL5" s="45" t="s">
        <v>95</v>
      </c>
      <c r="CM5" s="45" t="s">
        <v>96</v>
      </c>
      <c r="CN5" s="45" t="s">
        <v>61</v>
      </c>
      <c r="CO5" s="45" t="s">
        <v>139</v>
      </c>
      <c r="CP5" s="45" t="s">
        <v>86</v>
      </c>
      <c r="CQ5" s="45" t="s">
        <v>55</v>
      </c>
      <c r="CR5" s="45" t="s">
        <v>126</v>
      </c>
      <c r="CS5" s="45" t="s">
        <v>126</v>
      </c>
      <c r="CT5" s="45" t="s">
        <v>42</v>
      </c>
      <c r="CU5" s="45" t="s">
        <v>42</v>
      </c>
      <c r="CV5" s="45" t="s">
        <v>54</v>
      </c>
      <c r="CW5" s="45" t="s">
        <v>44</v>
      </c>
      <c r="CX5" s="45" t="s">
        <v>96</v>
      </c>
      <c r="CY5" s="45" t="s">
        <v>64</v>
      </c>
      <c r="CZ5" s="45" t="s">
        <v>104</v>
      </c>
      <c r="DA5" s="45" t="s">
        <v>104</v>
      </c>
      <c r="DB5" s="45" t="s">
        <v>111</v>
      </c>
      <c r="DC5" s="45" t="s">
        <v>150</v>
      </c>
      <c r="DD5" s="45" t="s">
        <v>129</v>
      </c>
      <c r="DE5" s="45" t="s">
        <v>108</v>
      </c>
      <c r="DF5" s="45" t="s">
        <v>29</v>
      </c>
      <c r="DG5" s="45" t="s">
        <v>55</v>
      </c>
      <c r="DH5" s="45" t="s">
        <v>55</v>
      </c>
      <c r="DI5" s="45" t="s">
        <v>47</v>
      </c>
      <c r="DJ5" s="45" t="s">
        <v>47</v>
      </c>
      <c r="DK5" s="45" t="s">
        <v>55</v>
      </c>
      <c r="DL5" s="45" t="s">
        <v>147</v>
      </c>
      <c r="DM5" s="45" t="s">
        <v>48</v>
      </c>
      <c r="DN5" s="45" t="s">
        <v>69</v>
      </c>
      <c r="DO5" s="45" t="s">
        <v>85</v>
      </c>
      <c r="DP5" s="45" t="s">
        <v>48</v>
      </c>
      <c r="DQ5" s="45" t="s">
        <v>142</v>
      </c>
      <c r="DR5" s="45" t="s">
        <v>43</v>
      </c>
      <c r="DS5" s="45" t="s">
        <v>89</v>
      </c>
      <c r="DT5" s="45" t="s">
        <v>121</v>
      </c>
      <c r="DU5" s="45" t="s">
        <v>63</v>
      </c>
      <c r="DV5" s="45" t="s">
        <v>108</v>
      </c>
      <c r="DW5" s="45" t="s">
        <v>108</v>
      </c>
      <c r="DX5" s="45" t="s">
        <v>116</v>
      </c>
      <c r="DY5" s="45" t="s">
        <v>58</v>
      </c>
      <c r="DZ5" s="45" t="s">
        <v>43</v>
      </c>
      <c r="EA5" s="45" t="s">
        <v>121</v>
      </c>
      <c r="EB5" s="45" t="s">
        <v>43</v>
      </c>
      <c r="EC5" s="45" t="s">
        <v>31</v>
      </c>
      <c r="ED5" s="45" t="s">
        <v>44</v>
      </c>
      <c r="EE5" s="45" t="s">
        <v>116</v>
      </c>
      <c r="EF5" s="45" t="s">
        <v>13</v>
      </c>
      <c r="EG5" s="45" t="s">
        <v>13</v>
      </c>
      <c r="EH5" s="45" t="s">
        <v>44</v>
      </c>
      <c r="EI5" s="45" t="s">
        <v>36</v>
      </c>
      <c r="EJ5" s="45" t="s">
        <v>13</v>
      </c>
    </row>
    <row r="6" customFormat="false" ht="15.75" hidden="false" customHeight="false" outlineLevel="0" collapsed="false">
      <c r="A6" s="249" t="n">
        <v>4</v>
      </c>
      <c r="B6" s="250" t="s">
        <v>93</v>
      </c>
      <c r="C6" s="45" t="s">
        <v>148</v>
      </c>
      <c r="D6" s="45" t="s">
        <v>148</v>
      </c>
      <c r="E6" s="45" t="s">
        <v>90</v>
      </c>
      <c r="F6" s="45" t="s">
        <v>93</v>
      </c>
      <c r="G6" s="45" t="s">
        <v>71</v>
      </c>
      <c r="H6" s="45" t="s">
        <v>42</v>
      </c>
      <c r="I6" s="45" t="s">
        <v>71</v>
      </c>
      <c r="J6" s="45" t="s">
        <v>141</v>
      </c>
      <c r="K6" s="45" t="s">
        <v>87</v>
      </c>
      <c r="L6" s="45" t="s">
        <v>74</v>
      </c>
      <c r="M6" s="45" t="s">
        <v>55</v>
      </c>
      <c r="N6" s="45" t="s">
        <v>59</v>
      </c>
      <c r="O6" s="45" t="s">
        <v>59</v>
      </c>
      <c r="P6" s="45" t="s">
        <v>141</v>
      </c>
      <c r="Q6" s="45" t="s">
        <v>141</v>
      </c>
      <c r="R6" s="45" t="s">
        <v>93</v>
      </c>
      <c r="S6" s="45" t="s">
        <v>132</v>
      </c>
      <c r="T6" s="45" t="s">
        <v>32</v>
      </c>
      <c r="U6" s="45" t="s">
        <v>56</v>
      </c>
      <c r="V6" s="45" t="s">
        <v>148</v>
      </c>
      <c r="W6" s="45" t="s">
        <v>61</v>
      </c>
      <c r="X6" s="45" t="s">
        <v>57</v>
      </c>
      <c r="Y6" s="45" t="s">
        <v>137</v>
      </c>
      <c r="Z6" s="45" t="s">
        <v>28</v>
      </c>
      <c r="AA6" s="45" t="s">
        <v>80</v>
      </c>
      <c r="AB6" s="45" t="s">
        <v>38</v>
      </c>
      <c r="AC6" s="45" t="s">
        <v>93</v>
      </c>
      <c r="AD6" s="45" t="s">
        <v>101</v>
      </c>
      <c r="AE6" s="45" t="s">
        <v>139</v>
      </c>
      <c r="AF6" s="45" t="s">
        <v>42</v>
      </c>
      <c r="AG6" s="45" t="s">
        <v>114</v>
      </c>
      <c r="AH6" s="45" t="s">
        <v>150</v>
      </c>
      <c r="AI6" s="45" t="s">
        <v>80</v>
      </c>
      <c r="AJ6" s="45" t="s">
        <v>85</v>
      </c>
      <c r="AK6" s="45" t="s">
        <v>85</v>
      </c>
      <c r="AL6" s="45" t="s">
        <v>93</v>
      </c>
      <c r="AM6" s="45" t="s">
        <v>93</v>
      </c>
      <c r="AN6" s="45" t="s">
        <v>31</v>
      </c>
      <c r="AO6" s="45" t="s">
        <v>108</v>
      </c>
      <c r="AP6" s="45" t="s">
        <v>125</v>
      </c>
      <c r="AQ6" s="45" t="s">
        <v>111</v>
      </c>
      <c r="AR6" s="45" t="s">
        <v>150</v>
      </c>
      <c r="AS6" s="45" t="s">
        <v>111</v>
      </c>
      <c r="AT6" s="45" t="s">
        <v>150</v>
      </c>
      <c r="AU6" s="45" t="s">
        <v>48</v>
      </c>
      <c r="AV6" s="45" t="s">
        <v>80</v>
      </c>
      <c r="AW6" s="45" t="s">
        <v>54</v>
      </c>
      <c r="AX6" s="45" t="s">
        <v>54</v>
      </c>
      <c r="AY6" s="45" t="s">
        <v>94</v>
      </c>
      <c r="AZ6" s="45" t="s">
        <v>96</v>
      </c>
      <c r="BA6" s="45" t="s">
        <v>150</v>
      </c>
      <c r="BB6" s="45" t="s">
        <v>85</v>
      </c>
      <c r="BC6" s="45" t="s">
        <v>86</v>
      </c>
      <c r="BD6" s="45" t="s">
        <v>87</v>
      </c>
      <c r="BE6" s="45" t="s">
        <v>151</v>
      </c>
      <c r="BF6" s="45" t="s">
        <v>40</v>
      </c>
      <c r="BG6" s="45" t="s">
        <v>62</v>
      </c>
      <c r="BH6" s="45" t="s">
        <v>41</v>
      </c>
      <c r="BI6" s="45" t="s">
        <v>40</v>
      </c>
      <c r="BJ6" s="45" t="s">
        <v>139</v>
      </c>
      <c r="BK6" s="45" t="s">
        <v>121</v>
      </c>
      <c r="BL6" s="45" t="s">
        <v>55</v>
      </c>
      <c r="BM6" s="45" t="s">
        <v>80</v>
      </c>
      <c r="BN6" s="45" t="s">
        <v>48</v>
      </c>
      <c r="BO6" s="45" t="s">
        <v>96</v>
      </c>
      <c r="BP6" s="45" t="s">
        <v>46</v>
      </c>
      <c r="BQ6" s="45" t="s">
        <v>64</v>
      </c>
      <c r="BR6" s="45" t="s">
        <v>47</v>
      </c>
      <c r="BS6" s="45" t="s">
        <v>89</v>
      </c>
      <c r="BT6" s="45" t="s">
        <v>128</v>
      </c>
      <c r="BU6" s="45" t="s">
        <v>64</v>
      </c>
      <c r="BV6" s="45" t="s">
        <v>129</v>
      </c>
      <c r="BW6" s="45" t="s">
        <v>28</v>
      </c>
      <c r="BX6" s="45" t="s">
        <v>86</v>
      </c>
      <c r="BY6" s="45" t="s">
        <v>129</v>
      </c>
      <c r="BZ6" s="45" t="s">
        <v>91</v>
      </c>
      <c r="CA6" s="45" t="s">
        <v>147</v>
      </c>
      <c r="CB6" s="45" t="s">
        <v>147</v>
      </c>
      <c r="CC6" s="45" t="s">
        <v>87</v>
      </c>
      <c r="CD6" s="45" t="s">
        <v>129</v>
      </c>
      <c r="CE6" s="45" t="s">
        <v>64</v>
      </c>
      <c r="CF6" s="45" t="s">
        <v>151</v>
      </c>
      <c r="CG6" s="45" t="s">
        <v>71</v>
      </c>
      <c r="CH6" s="45" t="s">
        <v>66</v>
      </c>
      <c r="CI6" s="45" t="s">
        <v>63</v>
      </c>
      <c r="CJ6" s="45" t="s">
        <v>63</v>
      </c>
      <c r="CK6" s="45" t="s">
        <v>89</v>
      </c>
      <c r="CL6" s="45" t="s">
        <v>108</v>
      </c>
      <c r="CM6" s="45" t="s">
        <v>46</v>
      </c>
      <c r="CN6" s="45" t="s">
        <v>87</v>
      </c>
      <c r="CO6" s="45" t="s">
        <v>41</v>
      </c>
      <c r="CP6" s="45" t="s">
        <v>69</v>
      </c>
      <c r="CQ6" s="45" t="s">
        <v>95</v>
      </c>
      <c r="CR6" s="45" t="s">
        <v>55</v>
      </c>
      <c r="CS6" s="45" t="s">
        <v>55</v>
      </c>
      <c r="CT6" s="45" t="s">
        <v>141</v>
      </c>
      <c r="CU6" s="45" t="s">
        <v>114</v>
      </c>
      <c r="CV6" s="45" t="s">
        <v>94</v>
      </c>
      <c r="CW6" s="45" t="s">
        <v>116</v>
      </c>
      <c r="CX6" s="45" t="s">
        <v>22</v>
      </c>
      <c r="CY6" s="45" t="s">
        <v>144</v>
      </c>
      <c r="CZ6" s="45" t="s">
        <v>43</v>
      </c>
      <c r="DA6" s="45" t="s">
        <v>43</v>
      </c>
      <c r="DB6" s="45" t="s">
        <v>101</v>
      </c>
      <c r="DC6" s="45" t="s">
        <v>129</v>
      </c>
      <c r="DD6" s="45" t="s">
        <v>96</v>
      </c>
      <c r="DE6" s="45" t="s">
        <v>121</v>
      </c>
      <c r="DF6" s="45" t="s">
        <v>89</v>
      </c>
      <c r="DG6" s="45" t="s">
        <v>94</v>
      </c>
      <c r="DH6" s="45" t="s">
        <v>31</v>
      </c>
      <c r="DI6" s="45" t="s">
        <v>29</v>
      </c>
      <c r="DJ6" s="45" t="s">
        <v>29</v>
      </c>
      <c r="DK6" s="45" t="s">
        <v>94</v>
      </c>
      <c r="DL6" s="45" t="s">
        <v>94</v>
      </c>
      <c r="DM6" s="45" t="s">
        <v>104</v>
      </c>
      <c r="DN6" s="45" t="s">
        <v>41</v>
      </c>
      <c r="DO6" s="45" t="s">
        <v>62</v>
      </c>
      <c r="DP6" s="45" t="s">
        <v>104</v>
      </c>
      <c r="DQ6" s="45" t="s">
        <v>25</v>
      </c>
      <c r="DR6" s="45" t="s">
        <v>44</v>
      </c>
      <c r="DS6" s="45" t="s">
        <v>13</v>
      </c>
      <c r="DT6" s="45" t="s">
        <v>43</v>
      </c>
      <c r="DU6" s="45" t="s">
        <v>54</v>
      </c>
      <c r="DV6" s="45" t="s">
        <v>34</v>
      </c>
      <c r="DW6" s="45" t="s">
        <v>34</v>
      </c>
      <c r="DX6" s="45" t="s">
        <v>120</v>
      </c>
      <c r="DY6" s="45" t="s">
        <v>120</v>
      </c>
      <c r="DZ6" s="45" t="s">
        <v>44</v>
      </c>
      <c r="EA6" s="45" t="s">
        <v>43</v>
      </c>
      <c r="EB6" s="45" t="s">
        <v>44</v>
      </c>
      <c r="EC6" s="45" t="s">
        <v>47</v>
      </c>
      <c r="ED6" s="45" t="s">
        <v>13</v>
      </c>
      <c r="EE6" s="45" t="s">
        <v>142</v>
      </c>
      <c r="EF6" s="45" t="s">
        <v>142</v>
      </c>
      <c r="EG6" s="45" t="s">
        <v>142</v>
      </c>
      <c r="EH6" s="45" t="s">
        <v>116</v>
      </c>
      <c r="EI6" s="45" t="s">
        <v>58</v>
      </c>
      <c r="EJ6" s="45" t="s">
        <v>58</v>
      </c>
    </row>
    <row r="7" customFormat="false" ht="15.75" hidden="false" customHeight="false" outlineLevel="0" collapsed="false">
      <c r="A7" s="249" t="n">
        <v>5</v>
      </c>
      <c r="B7" s="250" t="s">
        <v>59</v>
      </c>
      <c r="C7" s="45" t="s">
        <v>93</v>
      </c>
      <c r="D7" s="45" t="s">
        <v>93</v>
      </c>
      <c r="E7" s="45" t="s">
        <v>148</v>
      </c>
      <c r="F7" s="45" t="s">
        <v>71</v>
      </c>
      <c r="G7" s="45" t="s">
        <v>59</v>
      </c>
      <c r="H7" s="45" t="s">
        <v>80</v>
      </c>
      <c r="I7" s="45" t="s">
        <v>56</v>
      </c>
      <c r="J7" s="45" t="s">
        <v>28</v>
      </c>
      <c r="K7" s="45" t="s">
        <v>57</v>
      </c>
      <c r="L7" s="45" t="s">
        <v>80</v>
      </c>
      <c r="M7" s="45" t="s">
        <v>94</v>
      </c>
      <c r="N7" s="45" t="s">
        <v>42</v>
      </c>
      <c r="O7" s="45" t="s">
        <v>42</v>
      </c>
      <c r="P7" s="45" t="s">
        <v>28</v>
      </c>
      <c r="Q7" s="45" t="s">
        <v>28</v>
      </c>
      <c r="R7" s="45" t="s">
        <v>93</v>
      </c>
      <c r="S7" s="45" t="s">
        <v>59</v>
      </c>
      <c r="T7" s="45" t="s">
        <v>148</v>
      </c>
      <c r="U7" s="45" t="s">
        <v>74</v>
      </c>
      <c r="V7" s="45" t="s">
        <v>93</v>
      </c>
      <c r="W7" s="45" t="s">
        <v>28</v>
      </c>
      <c r="X7" s="45" t="s">
        <v>85</v>
      </c>
      <c r="Y7" s="45" t="s">
        <v>87</v>
      </c>
      <c r="Z7" s="45" t="s">
        <v>125</v>
      </c>
      <c r="AA7" s="45" t="s">
        <v>141</v>
      </c>
      <c r="AB7" s="45" t="s">
        <v>93</v>
      </c>
      <c r="AC7" s="45" t="s">
        <v>71</v>
      </c>
      <c r="AD7" s="45" t="s">
        <v>129</v>
      </c>
      <c r="AE7" s="45" t="s">
        <v>40</v>
      </c>
      <c r="AF7" s="45" t="s">
        <v>80</v>
      </c>
      <c r="AG7" s="45" t="s">
        <v>141</v>
      </c>
      <c r="AH7" s="45" t="s">
        <v>128</v>
      </c>
      <c r="AI7" s="45" t="s">
        <v>80</v>
      </c>
      <c r="AJ7" s="45" t="s">
        <v>139</v>
      </c>
      <c r="AK7" s="45" t="s">
        <v>139</v>
      </c>
      <c r="AL7" s="45" t="s">
        <v>132</v>
      </c>
      <c r="AM7" s="45" t="s">
        <v>132</v>
      </c>
      <c r="AN7" s="45" t="s">
        <v>48</v>
      </c>
      <c r="AO7" s="45" t="s">
        <v>47</v>
      </c>
      <c r="AP7" s="45" t="s">
        <v>87</v>
      </c>
      <c r="AQ7" s="45" t="s">
        <v>150</v>
      </c>
      <c r="AR7" s="45" t="s">
        <v>101</v>
      </c>
      <c r="AS7" s="45" t="s">
        <v>150</v>
      </c>
      <c r="AT7" s="45" t="s">
        <v>101</v>
      </c>
      <c r="AU7" s="45" t="s">
        <v>108</v>
      </c>
      <c r="AV7" s="45" t="s">
        <v>114</v>
      </c>
      <c r="AW7" s="45" t="s">
        <v>147</v>
      </c>
      <c r="AX7" s="45" t="s">
        <v>147</v>
      </c>
      <c r="AY7" s="45" t="s">
        <v>94</v>
      </c>
      <c r="AZ7" s="45" t="s">
        <v>64</v>
      </c>
      <c r="BA7" s="45" t="s">
        <v>101</v>
      </c>
      <c r="BB7" s="45" t="s">
        <v>69</v>
      </c>
      <c r="BC7" s="45" t="s">
        <v>85</v>
      </c>
      <c r="BD7" s="45" t="s">
        <v>86</v>
      </c>
      <c r="BE7" s="45" t="s">
        <v>111</v>
      </c>
      <c r="BF7" s="45" t="s">
        <v>41</v>
      </c>
      <c r="BG7" s="45" t="s">
        <v>41</v>
      </c>
      <c r="BH7" s="45" t="s">
        <v>41</v>
      </c>
      <c r="BI7" s="45" t="s">
        <v>62</v>
      </c>
      <c r="BJ7" s="45" t="s">
        <v>40</v>
      </c>
      <c r="BK7" s="45" t="s">
        <v>29</v>
      </c>
      <c r="BL7" s="45" t="s">
        <v>94</v>
      </c>
      <c r="BM7" s="45" t="s">
        <v>114</v>
      </c>
      <c r="BN7" s="45" t="s">
        <v>108</v>
      </c>
      <c r="BO7" s="45" t="s">
        <v>96</v>
      </c>
      <c r="BP7" s="45" t="s">
        <v>66</v>
      </c>
      <c r="BQ7" s="45" t="s">
        <v>33</v>
      </c>
      <c r="BR7" s="45" t="s">
        <v>121</v>
      </c>
      <c r="BS7" s="45" t="s">
        <v>44</v>
      </c>
      <c r="BT7" s="45" t="s">
        <v>129</v>
      </c>
      <c r="BU7" s="45" t="s">
        <v>22</v>
      </c>
      <c r="BV7" s="45" t="s">
        <v>96</v>
      </c>
      <c r="BW7" s="45" t="s">
        <v>137</v>
      </c>
      <c r="BX7" s="45" t="s">
        <v>85</v>
      </c>
      <c r="BY7" s="45" t="s">
        <v>96</v>
      </c>
      <c r="BZ7" s="45" t="s">
        <v>96</v>
      </c>
      <c r="CA7" s="45" t="s">
        <v>55</v>
      </c>
      <c r="CB7" s="45" t="s">
        <v>55</v>
      </c>
      <c r="CC7" s="45" t="s">
        <v>86</v>
      </c>
      <c r="CD7" s="45" t="s">
        <v>129</v>
      </c>
      <c r="CE7" s="45" t="s">
        <v>33</v>
      </c>
      <c r="CF7" s="45" t="s">
        <v>150</v>
      </c>
      <c r="CG7" s="45" t="s">
        <v>56</v>
      </c>
      <c r="CH7" s="45" t="s">
        <v>63</v>
      </c>
      <c r="CI7" s="45" t="s">
        <v>54</v>
      </c>
      <c r="CJ7" s="45" t="s">
        <v>126</v>
      </c>
      <c r="CK7" s="45" t="s">
        <v>44</v>
      </c>
      <c r="CL7" s="45" t="s">
        <v>104</v>
      </c>
      <c r="CM7" s="45" t="s">
        <v>144</v>
      </c>
      <c r="CN7" s="45" t="s">
        <v>57</v>
      </c>
      <c r="CO7" s="45" t="s">
        <v>151</v>
      </c>
      <c r="CP7" s="45" t="s">
        <v>62</v>
      </c>
      <c r="CQ7" s="45" t="s">
        <v>48</v>
      </c>
      <c r="CR7" s="45" t="s">
        <v>55</v>
      </c>
      <c r="CS7" s="45" t="s">
        <v>94</v>
      </c>
      <c r="CT7" s="45" t="s">
        <v>61</v>
      </c>
      <c r="CU7" s="45" t="s">
        <v>141</v>
      </c>
      <c r="CV7" s="45" t="s">
        <v>94</v>
      </c>
      <c r="CW7" s="45" t="s">
        <v>58</v>
      </c>
      <c r="CX7" s="45" t="s">
        <v>46</v>
      </c>
      <c r="CY7" s="45" t="s">
        <v>63</v>
      </c>
      <c r="CZ7" s="45" t="s">
        <v>43</v>
      </c>
      <c r="DA7" s="45" t="s">
        <v>89</v>
      </c>
      <c r="DB7" s="45" t="s">
        <v>129</v>
      </c>
      <c r="DC7" s="45" t="s">
        <v>91</v>
      </c>
      <c r="DD7" s="45" t="s">
        <v>64</v>
      </c>
      <c r="DE7" s="45" t="s">
        <v>29</v>
      </c>
      <c r="DF7" s="45" t="s">
        <v>44</v>
      </c>
      <c r="DG7" s="45" t="s">
        <v>31</v>
      </c>
      <c r="DH7" s="45" t="s">
        <v>48</v>
      </c>
      <c r="DI7" s="45" t="s">
        <v>43</v>
      </c>
      <c r="DJ7" s="45" t="s">
        <v>43</v>
      </c>
      <c r="DK7" s="45" t="s">
        <v>31</v>
      </c>
      <c r="DL7" s="45" t="s">
        <v>95</v>
      </c>
      <c r="DM7" s="45" t="s">
        <v>34</v>
      </c>
      <c r="DN7" s="45" t="s">
        <v>151</v>
      </c>
      <c r="DO7" s="45" t="s">
        <v>41</v>
      </c>
      <c r="DP7" s="45" t="s">
        <v>121</v>
      </c>
      <c r="DQ7" s="45" t="s">
        <v>25</v>
      </c>
      <c r="DR7" s="45" t="s">
        <v>13</v>
      </c>
      <c r="DS7" s="45" t="s">
        <v>116</v>
      </c>
      <c r="DT7" s="45" t="s">
        <v>89</v>
      </c>
      <c r="DU7" s="45" t="s">
        <v>55</v>
      </c>
      <c r="DV7" s="45" t="s">
        <v>43</v>
      </c>
      <c r="DW7" s="45" t="s">
        <v>29</v>
      </c>
      <c r="DX7" s="45" t="s">
        <v>120</v>
      </c>
      <c r="DY7" s="45" t="s">
        <v>25</v>
      </c>
      <c r="DZ7" s="45" t="s">
        <v>36</v>
      </c>
      <c r="EA7" s="45" t="s">
        <v>89</v>
      </c>
      <c r="EB7" s="45" t="s">
        <v>36</v>
      </c>
      <c r="EC7" s="45" t="s">
        <v>104</v>
      </c>
      <c r="ED7" s="45" t="s">
        <v>58</v>
      </c>
      <c r="EE7" s="45" t="s">
        <v>120</v>
      </c>
      <c r="EF7" s="45" t="s">
        <v>120</v>
      </c>
      <c r="EG7" s="45" t="s">
        <v>120</v>
      </c>
      <c r="EH7" s="45" t="s">
        <v>58</v>
      </c>
      <c r="EI7" s="45" t="s">
        <v>142</v>
      </c>
      <c r="EJ7" s="45" t="s">
        <v>142</v>
      </c>
    </row>
    <row r="8" customFormat="false" ht="15.75" hidden="false" customHeight="false" outlineLevel="0" collapsed="false">
      <c r="A8" s="249" t="n">
        <v>6</v>
      </c>
      <c r="B8" s="250" t="s">
        <v>61</v>
      </c>
      <c r="C8" s="45" t="s">
        <v>59</v>
      </c>
      <c r="D8" s="45" t="s">
        <v>59</v>
      </c>
      <c r="E8" s="45" t="s">
        <v>71</v>
      </c>
      <c r="F8" s="45" t="s">
        <v>42</v>
      </c>
      <c r="G8" s="45" t="s">
        <v>80</v>
      </c>
      <c r="H8" s="45" t="s">
        <v>61</v>
      </c>
      <c r="I8" s="45" t="s">
        <v>80</v>
      </c>
      <c r="J8" s="45" t="s">
        <v>87</v>
      </c>
      <c r="K8" s="45" t="s">
        <v>69</v>
      </c>
      <c r="L8" s="45" t="s">
        <v>141</v>
      </c>
      <c r="M8" s="45" t="s">
        <v>48</v>
      </c>
      <c r="N8" s="45" t="s">
        <v>114</v>
      </c>
      <c r="O8" s="45" t="s">
        <v>141</v>
      </c>
      <c r="P8" s="45" t="s">
        <v>87</v>
      </c>
      <c r="Q8" s="45" t="s">
        <v>87</v>
      </c>
      <c r="R8" s="45" t="s">
        <v>74</v>
      </c>
      <c r="S8" s="45" t="s">
        <v>80</v>
      </c>
      <c r="T8" s="45" t="s">
        <v>132</v>
      </c>
      <c r="U8" s="45" t="s">
        <v>114</v>
      </c>
      <c r="V8" s="45" t="s">
        <v>74</v>
      </c>
      <c r="W8" s="45" t="s">
        <v>57</v>
      </c>
      <c r="X8" s="45" t="s">
        <v>40</v>
      </c>
      <c r="Y8" s="45" t="s">
        <v>85</v>
      </c>
      <c r="Z8" s="45" t="s">
        <v>86</v>
      </c>
      <c r="AA8" s="45" t="s">
        <v>125</v>
      </c>
      <c r="AB8" s="45" t="s">
        <v>56</v>
      </c>
      <c r="AC8" s="45" t="s">
        <v>42</v>
      </c>
      <c r="AD8" s="45" t="s">
        <v>96</v>
      </c>
      <c r="AE8" s="45" t="s">
        <v>151</v>
      </c>
      <c r="AF8" s="45" t="s">
        <v>141</v>
      </c>
      <c r="AG8" s="45" t="s">
        <v>137</v>
      </c>
      <c r="AH8" s="45" t="s">
        <v>91</v>
      </c>
      <c r="AI8" s="45" t="s">
        <v>28</v>
      </c>
      <c r="AJ8" s="45" t="s">
        <v>41</v>
      </c>
      <c r="AK8" s="45" t="s">
        <v>41</v>
      </c>
      <c r="AL8" s="45" t="s">
        <v>80</v>
      </c>
      <c r="AM8" s="45" t="s">
        <v>42</v>
      </c>
      <c r="AN8" s="45" t="s">
        <v>121</v>
      </c>
      <c r="AO8" s="45" t="s">
        <v>29</v>
      </c>
      <c r="AP8" s="45" t="s">
        <v>85</v>
      </c>
      <c r="AQ8" s="45" t="s">
        <v>129</v>
      </c>
      <c r="AR8" s="45" t="s">
        <v>96</v>
      </c>
      <c r="AS8" s="45" t="s">
        <v>129</v>
      </c>
      <c r="AT8" s="45" t="s">
        <v>96</v>
      </c>
      <c r="AU8" s="45" t="s">
        <v>121</v>
      </c>
      <c r="AV8" s="45" t="s">
        <v>28</v>
      </c>
      <c r="AW8" s="45" t="s">
        <v>94</v>
      </c>
      <c r="AX8" s="45" t="s">
        <v>94</v>
      </c>
      <c r="AY8" s="45" t="s">
        <v>108</v>
      </c>
      <c r="AZ8" s="45" t="s">
        <v>46</v>
      </c>
      <c r="BA8" s="45" t="s">
        <v>96</v>
      </c>
      <c r="BB8" s="45" t="s">
        <v>41</v>
      </c>
      <c r="BC8" s="45" t="s">
        <v>62</v>
      </c>
      <c r="BD8" s="45" t="s">
        <v>40</v>
      </c>
      <c r="BE8" s="45" t="s">
        <v>129</v>
      </c>
      <c r="BF8" s="45" t="s">
        <v>111</v>
      </c>
      <c r="BG8" s="45" t="s">
        <v>111</v>
      </c>
      <c r="BH8" s="45" t="s">
        <v>150</v>
      </c>
      <c r="BI8" s="45" t="s">
        <v>151</v>
      </c>
      <c r="BJ8" s="45" t="s">
        <v>41</v>
      </c>
      <c r="BK8" s="45" t="s">
        <v>89</v>
      </c>
      <c r="BL8" s="45" t="s">
        <v>48</v>
      </c>
      <c r="BM8" s="45" t="s">
        <v>28</v>
      </c>
      <c r="BN8" s="45" t="s">
        <v>34</v>
      </c>
      <c r="BO8" s="45" t="s">
        <v>46</v>
      </c>
      <c r="BP8" s="45" t="s">
        <v>54</v>
      </c>
      <c r="BQ8" s="45" t="s">
        <v>66</v>
      </c>
      <c r="BR8" s="45" t="s">
        <v>43</v>
      </c>
      <c r="BS8" s="45" t="s">
        <v>13</v>
      </c>
      <c r="BT8" s="45" t="s">
        <v>96</v>
      </c>
      <c r="BU8" s="45" t="s">
        <v>63</v>
      </c>
      <c r="BV8" s="45" t="s">
        <v>33</v>
      </c>
      <c r="BW8" s="45" t="s">
        <v>86</v>
      </c>
      <c r="BX8" s="45" t="s">
        <v>62</v>
      </c>
      <c r="BY8" s="45" t="s">
        <v>33</v>
      </c>
      <c r="BZ8" s="45" t="s">
        <v>22</v>
      </c>
      <c r="CA8" s="45" t="s">
        <v>94</v>
      </c>
      <c r="CB8" s="45" t="s">
        <v>95</v>
      </c>
      <c r="CC8" s="45" t="s">
        <v>69</v>
      </c>
      <c r="CD8" s="45" t="s">
        <v>64</v>
      </c>
      <c r="CE8" s="45" t="s">
        <v>66</v>
      </c>
      <c r="CF8" s="45" t="s">
        <v>129</v>
      </c>
      <c r="CG8" s="45" t="s">
        <v>80</v>
      </c>
      <c r="CH8" s="45" t="s">
        <v>147</v>
      </c>
      <c r="CI8" s="45" t="s">
        <v>55</v>
      </c>
      <c r="CJ8" s="45" t="s">
        <v>55</v>
      </c>
      <c r="CK8" s="45" t="s">
        <v>116</v>
      </c>
      <c r="CL8" s="45" t="s">
        <v>43</v>
      </c>
      <c r="CM8" s="45" t="s">
        <v>126</v>
      </c>
      <c r="CN8" s="45" t="s">
        <v>139</v>
      </c>
      <c r="CO8" s="45" t="s">
        <v>150</v>
      </c>
      <c r="CP8" s="45" t="s">
        <v>151</v>
      </c>
      <c r="CQ8" s="45" t="s">
        <v>104</v>
      </c>
      <c r="CR8" s="45" t="s">
        <v>31</v>
      </c>
      <c r="CS8" s="45" t="s">
        <v>31</v>
      </c>
      <c r="CT8" s="45" t="s">
        <v>87</v>
      </c>
      <c r="CU8" s="45" t="s">
        <v>137</v>
      </c>
      <c r="CV8" s="45" t="s">
        <v>48</v>
      </c>
      <c r="CW8" s="45" t="s">
        <v>120</v>
      </c>
      <c r="CX8" s="45" t="s">
        <v>126</v>
      </c>
      <c r="CY8" s="45" t="s">
        <v>54</v>
      </c>
      <c r="CZ8" s="45" t="s">
        <v>36</v>
      </c>
      <c r="DA8" s="45" t="s">
        <v>36</v>
      </c>
      <c r="DB8" s="45" t="s">
        <v>30</v>
      </c>
      <c r="DC8" s="45" t="s">
        <v>64</v>
      </c>
      <c r="DD8" s="45" t="s">
        <v>46</v>
      </c>
      <c r="DE8" s="45" t="s">
        <v>89</v>
      </c>
      <c r="DF8" s="45" t="s">
        <v>116</v>
      </c>
      <c r="DG8" s="45" t="s">
        <v>47</v>
      </c>
      <c r="DH8" s="45" t="s">
        <v>104</v>
      </c>
      <c r="DI8" s="45" t="s">
        <v>44</v>
      </c>
      <c r="DJ8" s="45" t="s">
        <v>44</v>
      </c>
      <c r="DK8" s="45" t="s">
        <v>47</v>
      </c>
      <c r="DL8" s="45" t="s">
        <v>108</v>
      </c>
      <c r="DM8" s="45" t="s">
        <v>89</v>
      </c>
      <c r="DN8" s="45" t="s">
        <v>128</v>
      </c>
      <c r="DO8" s="45" t="s">
        <v>150</v>
      </c>
      <c r="DP8" s="45" t="s">
        <v>43</v>
      </c>
      <c r="DQ8" s="45" t="s">
        <v>143</v>
      </c>
      <c r="DR8" s="45" t="s">
        <v>58</v>
      </c>
      <c r="DS8" s="45" t="s">
        <v>120</v>
      </c>
      <c r="DT8" s="45" t="s">
        <v>13</v>
      </c>
      <c r="DU8" s="45" t="s">
        <v>94</v>
      </c>
      <c r="DV8" s="45" t="s">
        <v>44</v>
      </c>
      <c r="DW8" s="45" t="s">
        <v>44</v>
      </c>
      <c r="DX8" s="45" t="s">
        <v>143</v>
      </c>
      <c r="DY8" s="45" t="s">
        <v>143</v>
      </c>
      <c r="DZ8" s="45" t="s">
        <v>58</v>
      </c>
      <c r="EA8" s="45" t="s">
        <v>13</v>
      </c>
      <c r="EB8" s="45" t="s">
        <v>58</v>
      </c>
      <c r="EC8" s="45" t="s">
        <v>43</v>
      </c>
      <c r="ED8" s="45" t="s">
        <v>120</v>
      </c>
      <c r="EE8" s="45" t="s">
        <v>84</v>
      </c>
      <c r="EF8" s="45" t="s">
        <v>25</v>
      </c>
      <c r="EG8" s="45" t="s">
        <v>84</v>
      </c>
      <c r="EH8" s="45" t="s">
        <v>120</v>
      </c>
      <c r="EI8" s="45" t="s">
        <v>25</v>
      </c>
      <c r="EJ8" s="45" t="s">
        <v>25</v>
      </c>
    </row>
    <row r="9" customFormat="false" ht="15.75" hidden="false" customHeight="false" outlineLevel="0" collapsed="false">
      <c r="A9" s="249" t="n">
        <v>7</v>
      </c>
      <c r="B9" s="250" t="s">
        <v>132</v>
      </c>
      <c r="C9" s="45" t="s">
        <v>93</v>
      </c>
      <c r="D9" s="45" t="s">
        <v>93</v>
      </c>
      <c r="E9" s="45" t="s">
        <v>38</v>
      </c>
      <c r="F9" s="45" t="s">
        <v>71</v>
      </c>
      <c r="G9" s="45" t="s">
        <v>56</v>
      </c>
      <c r="H9" s="45" t="s">
        <v>80</v>
      </c>
      <c r="I9" s="45" t="s">
        <v>132</v>
      </c>
      <c r="J9" s="45" t="s">
        <v>61</v>
      </c>
      <c r="K9" s="45" t="s">
        <v>57</v>
      </c>
      <c r="L9" s="45" t="s">
        <v>42</v>
      </c>
      <c r="M9" s="45" t="s">
        <v>94</v>
      </c>
      <c r="N9" s="45" t="s">
        <v>74</v>
      </c>
      <c r="O9" s="45" t="s">
        <v>42</v>
      </c>
      <c r="P9" s="45" t="s">
        <v>28</v>
      </c>
      <c r="Q9" s="45" t="s">
        <v>28</v>
      </c>
      <c r="R9" s="45" t="s">
        <v>93</v>
      </c>
      <c r="S9" s="45" t="s">
        <v>59</v>
      </c>
      <c r="T9" s="45" t="s">
        <v>148</v>
      </c>
      <c r="U9" s="45" t="s">
        <v>59</v>
      </c>
      <c r="V9" s="45" t="s">
        <v>93</v>
      </c>
      <c r="W9" s="45" t="s">
        <v>28</v>
      </c>
      <c r="X9" s="45" t="s">
        <v>86</v>
      </c>
      <c r="Y9" s="45" t="s">
        <v>87</v>
      </c>
      <c r="Z9" s="45" t="s">
        <v>28</v>
      </c>
      <c r="AA9" s="45" t="s">
        <v>114</v>
      </c>
      <c r="AB9" s="45" t="s">
        <v>148</v>
      </c>
      <c r="AC9" s="45" t="s">
        <v>93</v>
      </c>
      <c r="AD9" s="45" t="s">
        <v>129</v>
      </c>
      <c r="AE9" s="45" t="s">
        <v>40</v>
      </c>
      <c r="AF9" s="45" t="s">
        <v>80</v>
      </c>
      <c r="AG9" s="45" t="s">
        <v>141</v>
      </c>
      <c r="AH9" s="45" t="s">
        <v>150</v>
      </c>
      <c r="AI9" s="45" t="s">
        <v>80</v>
      </c>
      <c r="AJ9" s="45" t="s">
        <v>139</v>
      </c>
      <c r="AK9" s="45" t="s">
        <v>85</v>
      </c>
      <c r="AL9" s="45" t="s">
        <v>71</v>
      </c>
      <c r="AM9" s="45" t="s">
        <v>71</v>
      </c>
      <c r="AN9" s="45" t="s">
        <v>48</v>
      </c>
      <c r="AO9" s="45" t="s">
        <v>47</v>
      </c>
      <c r="AP9" s="45" t="s">
        <v>137</v>
      </c>
      <c r="AQ9" s="45" t="s">
        <v>150</v>
      </c>
      <c r="AR9" s="45" t="s">
        <v>101</v>
      </c>
      <c r="AS9" s="45" t="s">
        <v>150</v>
      </c>
      <c r="AT9" s="45" t="s">
        <v>128</v>
      </c>
      <c r="AU9" s="45" t="s">
        <v>48</v>
      </c>
      <c r="AV9" s="45" t="s">
        <v>80</v>
      </c>
      <c r="AW9" s="45" t="s">
        <v>54</v>
      </c>
      <c r="AX9" s="45" t="s">
        <v>147</v>
      </c>
      <c r="AY9" s="45" t="s">
        <v>94</v>
      </c>
      <c r="AZ9" s="45" t="s">
        <v>96</v>
      </c>
      <c r="BA9" s="45" t="s">
        <v>128</v>
      </c>
      <c r="BB9" s="45" t="s">
        <v>139</v>
      </c>
      <c r="BC9" s="45" t="s">
        <v>85</v>
      </c>
      <c r="BD9" s="45" t="s">
        <v>86</v>
      </c>
      <c r="BE9" s="45" t="s">
        <v>111</v>
      </c>
      <c r="BF9" s="45" t="s">
        <v>62</v>
      </c>
      <c r="BG9" s="45" t="s">
        <v>41</v>
      </c>
      <c r="BH9" s="45" t="s">
        <v>41</v>
      </c>
      <c r="BI9" s="45" t="s">
        <v>62</v>
      </c>
      <c r="BJ9" s="45" t="s">
        <v>69</v>
      </c>
      <c r="BK9" s="45" t="s">
        <v>34</v>
      </c>
      <c r="BL9" s="45" t="s">
        <v>94</v>
      </c>
      <c r="BM9" s="45" t="s">
        <v>114</v>
      </c>
      <c r="BN9" s="45" t="s">
        <v>108</v>
      </c>
      <c r="BO9" s="45" t="s">
        <v>96</v>
      </c>
      <c r="BP9" s="45" t="s">
        <v>66</v>
      </c>
      <c r="BQ9" s="45" t="s">
        <v>64</v>
      </c>
      <c r="BR9" s="45" t="s">
        <v>104</v>
      </c>
      <c r="BS9" s="45" t="s">
        <v>89</v>
      </c>
      <c r="BT9" s="45" t="s">
        <v>101</v>
      </c>
      <c r="BU9" s="45" t="s">
        <v>33</v>
      </c>
      <c r="BV9" s="45" t="s">
        <v>91</v>
      </c>
      <c r="BW9" s="45" t="s">
        <v>125</v>
      </c>
      <c r="BX9" s="45" t="s">
        <v>85</v>
      </c>
      <c r="BY9" s="45" t="s">
        <v>96</v>
      </c>
      <c r="BZ9" s="45" t="s">
        <v>96</v>
      </c>
      <c r="CA9" s="45" t="s">
        <v>55</v>
      </c>
      <c r="CB9" s="45" t="s">
        <v>55</v>
      </c>
      <c r="CC9" s="45" t="s">
        <v>57</v>
      </c>
      <c r="CD9" s="45" t="s">
        <v>129</v>
      </c>
      <c r="CE9" s="45" t="s">
        <v>33</v>
      </c>
      <c r="CF9" s="45" t="s">
        <v>111</v>
      </c>
      <c r="CG9" s="45" t="s">
        <v>132</v>
      </c>
      <c r="CH9" s="45" t="s">
        <v>63</v>
      </c>
      <c r="CI9" s="45" t="s">
        <v>126</v>
      </c>
      <c r="CJ9" s="45" t="s">
        <v>63</v>
      </c>
      <c r="CK9" s="45" t="s">
        <v>44</v>
      </c>
      <c r="CL9" s="45" t="s">
        <v>47</v>
      </c>
      <c r="CM9" s="45" t="s">
        <v>46</v>
      </c>
      <c r="CN9" s="45" t="s">
        <v>87</v>
      </c>
      <c r="CO9" s="45" t="s">
        <v>41</v>
      </c>
      <c r="CP9" s="45" t="s">
        <v>40</v>
      </c>
      <c r="CQ9" s="45" t="s">
        <v>31</v>
      </c>
      <c r="CR9" s="45" t="s">
        <v>55</v>
      </c>
      <c r="CS9" s="45" t="s">
        <v>55</v>
      </c>
      <c r="CT9" s="45" t="s">
        <v>141</v>
      </c>
      <c r="CU9" s="45" t="s">
        <v>141</v>
      </c>
      <c r="CV9" s="45" t="s">
        <v>94</v>
      </c>
      <c r="CW9" s="45" t="s">
        <v>58</v>
      </c>
      <c r="CX9" s="45" t="s">
        <v>46</v>
      </c>
      <c r="CY9" s="45" t="s">
        <v>66</v>
      </c>
      <c r="CZ9" s="45" t="s">
        <v>123</v>
      </c>
      <c r="DA9" s="45" t="s">
        <v>43</v>
      </c>
      <c r="DB9" s="45" t="s">
        <v>129</v>
      </c>
      <c r="DC9" s="45" t="s">
        <v>129</v>
      </c>
      <c r="DD9" s="45" t="s">
        <v>64</v>
      </c>
      <c r="DE9" s="45" t="s">
        <v>29</v>
      </c>
      <c r="DF9" s="45" t="s">
        <v>44</v>
      </c>
      <c r="DG9" s="45" t="s">
        <v>95</v>
      </c>
      <c r="DH9" s="45" t="s">
        <v>48</v>
      </c>
      <c r="DI9" s="45" t="s">
        <v>43</v>
      </c>
      <c r="DJ9" s="45" t="s">
        <v>43</v>
      </c>
      <c r="DK9" s="45" t="s">
        <v>31</v>
      </c>
      <c r="DL9" s="45" t="s">
        <v>94</v>
      </c>
      <c r="DM9" s="45" t="s">
        <v>121</v>
      </c>
      <c r="DN9" s="45" t="s">
        <v>151</v>
      </c>
      <c r="DO9" s="45" t="s">
        <v>41</v>
      </c>
      <c r="DP9" s="45" t="s">
        <v>121</v>
      </c>
      <c r="DQ9" s="45" t="s">
        <v>25</v>
      </c>
      <c r="DR9" s="45" t="s">
        <v>36</v>
      </c>
      <c r="DS9" s="45" t="s">
        <v>116</v>
      </c>
      <c r="DT9" s="45" t="s">
        <v>89</v>
      </c>
      <c r="DU9" s="45" t="s">
        <v>147</v>
      </c>
      <c r="DV9" s="45" t="s">
        <v>29</v>
      </c>
      <c r="DW9" s="45" t="s">
        <v>29</v>
      </c>
      <c r="DX9" s="45" t="s">
        <v>120</v>
      </c>
      <c r="DY9" s="45" t="s">
        <v>25</v>
      </c>
      <c r="DZ9" s="45" t="s">
        <v>36</v>
      </c>
      <c r="EA9" s="45" t="s">
        <v>89</v>
      </c>
      <c r="EB9" s="45" t="s">
        <v>44</v>
      </c>
      <c r="EC9" s="45" t="s">
        <v>104</v>
      </c>
      <c r="ED9" s="45" t="s">
        <v>116</v>
      </c>
      <c r="EE9" s="45" t="s">
        <v>120</v>
      </c>
      <c r="EF9" s="45" t="s">
        <v>142</v>
      </c>
      <c r="EG9" s="45" t="s">
        <v>120</v>
      </c>
      <c r="EH9" s="45" t="s">
        <v>58</v>
      </c>
      <c r="EI9" s="45" t="s">
        <v>142</v>
      </c>
      <c r="EJ9" s="45" t="s">
        <v>142</v>
      </c>
    </row>
    <row r="10" customFormat="false" ht="15.75" hidden="false" customHeight="false" outlineLevel="0" collapsed="false">
      <c r="A10" s="249" t="n">
        <v>8</v>
      </c>
      <c r="B10" s="250" t="s">
        <v>139</v>
      </c>
      <c r="C10" s="45" t="s">
        <v>80</v>
      </c>
      <c r="D10" s="45" t="s">
        <v>114</v>
      </c>
      <c r="E10" s="45" t="s">
        <v>80</v>
      </c>
      <c r="F10" s="45" t="s">
        <v>141</v>
      </c>
      <c r="G10" s="45" t="s">
        <v>28</v>
      </c>
      <c r="H10" s="45" t="s">
        <v>87</v>
      </c>
      <c r="I10" s="45" t="s">
        <v>61</v>
      </c>
      <c r="J10" s="45" t="s">
        <v>139</v>
      </c>
      <c r="K10" s="45" t="s">
        <v>41</v>
      </c>
      <c r="L10" s="45" t="s">
        <v>137</v>
      </c>
      <c r="M10" s="45" t="s">
        <v>104</v>
      </c>
      <c r="N10" s="45" t="s">
        <v>125</v>
      </c>
      <c r="O10" s="45" t="s">
        <v>137</v>
      </c>
      <c r="P10" s="45" t="s">
        <v>139</v>
      </c>
      <c r="Q10" s="45" t="s">
        <v>139</v>
      </c>
      <c r="R10" s="45" t="s">
        <v>114</v>
      </c>
      <c r="S10" s="45" t="s">
        <v>28</v>
      </c>
      <c r="T10" s="45" t="s">
        <v>80</v>
      </c>
      <c r="U10" s="45" t="s">
        <v>28</v>
      </c>
      <c r="V10" s="45" t="s">
        <v>114</v>
      </c>
      <c r="W10" s="45" t="s">
        <v>69</v>
      </c>
      <c r="X10" s="45" t="s">
        <v>151</v>
      </c>
      <c r="Y10" s="45" t="s">
        <v>41</v>
      </c>
      <c r="Z10" s="45" t="s">
        <v>40</v>
      </c>
      <c r="AA10" s="45" t="s">
        <v>86</v>
      </c>
      <c r="AB10" s="45" t="s">
        <v>80</v>
      </c>
      <c r="AC10" s="45" t="s">
        <v>141</v>
      </c>
      <c r="AD10" s="45" t="s">
        <v>46</v>
      </c>
      <c r="AE10" s="45" t="s">
        <v>128</v>
      </c>
      <c r="AF10" s="45" t="s">
        <v>87</v>
      </c>
      <c r="AG10" s="45" t="s">
        <v>85</v>
      </c>
      <c r="AH10" s="45" t="s">
        <v>33</v>
      </c>
      <c r="AI10" s="45" t="s">
        <v>87</v>
      </c>
      <c r="AJ10" s="45" t="s">
        <v>150</v>
      </c>
      <c r="AK10" s="45" t="s">
        <v>111</v>
      </c>
      <c r="AL10" s="45" t="s">
        <v>141</v>
      </c>
      <c r="AM10" s="45" t="s">
        <v>141</v>
      </c>
      <c r="AN10" s="45" t="s">
        <v>43</v>
      </c>
      <c r="AO10" s="45" t="s">
        <v>44</v>
      </c>
      <c r="AP10" s="45" t="s">
        <v>62</v>
      </c>
      <c r="AQ10" s="45" t="s">
        <v>64</v>
      </c>
      <c r="AR10" s="45" t="s">
        <v>22</v>
      </c>
      <c r="AS10" s="45" t="s">
        <v>64</v>
      </c>
      <c r="AT10" s="45" t="s">
        <v>33</v>
      </c>
      <c r="AU10" s="45" t="s">
        <v>89</v>
      </c>
      <c r="AV10" s="45" t="s">
        <v>57</v>
      </c>
      <c r="AW10" s="45" t="s">
        <v>48</v>
      </c>
      <c r="AX10" s="45" t="s">
        <v>48</v>
      </c>
      <c r="AY10" s="45" t="s">
        <v>34</v>
      </c>
      <c r="AZ10" s="45" t="s">
        <v>126</v>
      </c>
      <c r="BA10" s="45" t="s">
        <v>22</v>
      </c>
      <c r="BB10" s="45" t="s">
        <v>150</v>
      </c>
      <c r="BC10" s="45" t="s">
        <v>151</v>
      </c>
      <c r="BD10" s="45" t="s">
        <v>151</v>
      </c>
      <c r="BE10" s="45" t="s">
        <v>96</v>
      </c>
      <c r="BF10" s="45" t="s">
        <v>129</v>
      </c>
      <c r="BG10" s="45" t="s">
        <v>129</v>
      </c>
      <c r="BH10" s="45" t="s">
        <v>129</v>
      </c>
      <c r="BI10" s="45" t="s">
        <v>101</v>
      </c>
      <c r="BJ10" s="45" t="s">
        <v>150</v>
      </c>
      <c r="BK10" s="45" t="s">
        <v>13</v>
      </c>
      <c r="BL10" s="45" t="s">
        <v>121</v>
      </c>
      <c r="BM10" s="45" t="s">
        <v>86</v>
      </c>
      <c r="BN10" s="45" t="s">
        <v>89</v>
      </c>
      <c r="BO10" s="45" t="s">
        <v>63</v>
      </c>
      <c r="BP10" s="45" t="s">
        <v>94</v>
      </c>
      <c r="BQ10" s="45" t="s">
        <v>54</v>
      </c>
      <c r="BR10" s="45" t="s">
        <v>36</v>
      </c>
      <c r="BS10" s="45" t="s">
        <v>142</v>
      </c>
      <c r="BT10" s="45" t="s">
        <v>46</v>
      </c>
      <c r="BU10" s="45" t="s">
        <v>147</v>
      </c>
      <c r="BV10" s="45" t="s">
        <v>66</v>
      </c>
      <c r="BW10" s="45" t="s">
        <v>40</v>
      </c>
      <c r="BX10" s="45" t="s">
        <v>111</v>
      </c>
      <c r="BY10" s="45" t="s">
        <v>63</v>
      </c>
      <c r="BZ10" s="45" t="s">
        <v>63</v>
      </c>
      <c r="CA10" s="45" t="s">
        <v>108</v>
      </c>
      <c r="CB10" s="45" t="s">
        <v>47</v>
      </c>
      <c r="CC10" s="45" t="s">
        <v>41</v>
      </c>
      <c r="CD10" s="45" t="s">
        <v>144</v>
      </c>
      <c r="CE10" s="45" t="s">
        <v>54</v>
      </c>
      <c r="CF10" s="45" t="s">
        <v>64</v>
      </c>
      <c r="CG10" s="45" t="s">
        <v>61</v>
      </c>
      <c r="CH10" s="45" t="s">
        <v>94</v>
      </c>
      <c r="CI10" s="45" t="s">
        <v>31</v>
      </c>
      <c r="CJ10" s="45" t="s">
        <v>94</v>
      </c>
      <c r="CK10" s="45" t="s">
        <v>120</v>
      </c>
      <c r="CL10" s="45" t="s">
        <v>44</v>
      </c>
      <c r="CM10" s="45" t="s">
        <v>55</v>
      </c>
      <c r="CN10" s="45" t="s">
        <v>41</v>
      </c>
      <c r="CO10" s="45" t="s">
        <v>91</v>
      </c>
      <c r="CP10" s="45" t="s">
        <v>101</v>
      </c>
      <c r="CQ10" s="45" t="s">
        <v>43</v>
      </c>
      <c r="CR10" s="45" t="s">
        <v>47</v>
      </c>
      <c r="CS10" s="45" t="s">
        <v>104</v>
      </c>
      <c r="CT10" s="45" t="s">
        <v>85</v>
      </c>
      <c r="CU10" s="45" t="s">
        <v>85</v>
      </c>
      <c r="CV10" s="45" t="s">
        <v>121</v>
      </c>
      <c r="CW10" s="45" t="s">
        <v>143</v>
      </c>
      <c r="CX10" s="45" t="s">
        <v>55</v>
      </c>
      <c r="CY10" s="45" t="s">
        <v>94</v>
      </c>
      <c r="CZ10" s="45" t="s">
        <v>58</v>
      </c>
      <c r="DA10" s="45" t="s">
        <v>58</v>
      </c>
      <c r="DB10" s="45" t="s">
        <v>46</v>
      </c>
      <c r="DC10" s="45" t="s">
        <v>66</v>
      </c>
      <c r="DD10" s="45" t="s">
        <v>126</v>
      </c>
      <c r="DE10" s="45" t="s">
        <v>13</v>
      </c>
      <c r="DF10" s="45" t="s">
        <v>120</v>
      </c>
      <c r="DG10" s="45" t="s">
        <v>29</v>
      </c>
      <c r="DH10" s="45" t="s">
        <v>43</v>
      </c>
      <c r="DI10" s="45" t="s">
        <v>116</v>
      </c>
      <c r="DJ10" s="45" t="s">
        <v>58</v>
      </c>
      <c r="DK10" s="45" t="s">
        <v>43</v>
      </c>
      <c r="DL10" s="45" t="s">
        <v>29</v>
      </c>
      <c r="DM10" s="45" t="s">
        <v>13</v>
      </c>
      <c r="DN10" s="45" t="s">
        <v>96</v>
      </c>
      <c r="DO10" s="45" t="s">
        <v>129</v>
      </c>
      <c r="DP10" s="45" t="s">
        <v>36</v>
      </c>
      <c r="DQ10" s="45" t="s">
        <v>26</v>
      </c>
      <c r="DR10" s="45" t="s">
        <v>25</v>
      </c>
      <c r="DS10" s="45" t="s">
        <v>84</v>
      </c>
      <c r="DT10" s="45" t="s">
        <v>142</v>
      </c>
      <c r="DU10" s="45" t="s">
        <v>108</v>
      </c>
      <c r="DV10" s="45" t="s">
        <v>116</v>
      </c>
      <c r="DW10" s="45" t="s">
        <v>116</v>
      </c>
      <c r="DX10" s="45" t="s">
        <v>145</v>
      </c>
      <c r="DY10" s="45" t="s">
        <v>26</v>
      </c>
      <c r="DZ10" s="45" t="s">
        <v>120</v>
      </c>
      <c r="EA10" s="45" t="s">
        <v>142</v>
      </c>
      <c r="EB10" s="45" t="s">
        <v>120</v>
      </c>
      <c r="EC10" s="45" t="s">
        <v>44</v>
      </c>
      <c r="ED10" s="45" t="s">
        <v>84</v>
      </c>
      <c r="EE10" s="45" t="s">
        <v>145</v>
      </c>
      <c r="EF10" s="45" t="s">
        <v>145</v>
      </c>
      <c r="EG10" s="45" t="s">
        <v>145</v>
      </c>
      <c r="EH10" s="45" t="s">
        <v>143</v>
      </c>
      <c r="EI10" s="45" t="s">
        <v>143</v>
      </c>
      <c r="EJ10" s="45" t="s">
        <v>143</v>
      </c>
    </row>
    <row r="11" customFormat="false" ht="15.75" hidden="false" customHeight="false" outlineLevel="0" collapsed="false">
      <c r="A11" s="249" t="n">
        <v>9</v>
      </c>
      <c r="B11" s="250" t="s">
        <v>128</v>
      </c>
      <c r="C11" s="45" t="s">
        <v>125</v>
      </c>
      <c r="D11" s="45" t="s">
        <v>125</v>
      </c>
      <c r="E11" s="45" t="s">
        <v>61</v>
      </c>
      <c r="F11" s="45" t="s">
        <v>87</v>
      </c>
      <c r="G11" s="45" t="s">
        <v>57</v>
      </c>
      <c r="H11" s="45" t="s">
        <v>69</v>
      </c>
      <c r="I11" s="45" t="s">
        <v>57</v>
      </c>
      <c r="J11" s="45" t="s">
        <v>41</v>
      </c>
      <c r="K11" s="45" t="s">
        <v>128</v>
      </c>
      <c r="L11" s="45" t="s">
        <v>139</v>
      </c>
      <c r="M11" s="45" t="s">
        <v>89</v>
      </c>
      <c r="N11" s="45" t="s">
        <v>85</v>
      </c>
      <c r="O11" s="45" t="s">
        <v>85</v>
      </c>
      <c r="P11" s="45" t="s">
        <v>151</v>
      </c>
      <c r="Q11" s="45" t="s">
        <v>151</v>
      </c>
      <c r="R11" s="45" t="s">
        <v>137</v>
      </c>
      <c r="S11" s="45" t="s">
        <v>86</v>
      </c>
      <c r="T11" s="45" t="s">
        <v>28</v>
      </c>
      <c r="U11" s="45" t="s">
        <v>86</v>
      </c>
      <c r="V11" s="45" t="s">
        <v>137</v>
      </c>
      <c r="W11" s="45" t="s">
        <v>151</v>
      </c>
      <c r="X11" s="45" t="s">
        <v>101</v>
      </c>
      <c r="Y11" s="45" t="s">
        <v>150</v>
      </c>
      <c r="Z11" s="45" t="s">
        <v>151</v>
      </c>
      <c r="AA11" s="45" t="s">
        <v>62</v>
      </c>
      <c r="AB11" s="45" t="s">
        <v>28</v>
      </c>
      <c r="AC11" s="45" t="s">
        <v>137</v>
      </c>
      <c r="AD11" s="45" t="s">
        <v>54</v>
      </c>
      <c r="AE11" s="45" t="s">
        <v>96</v>
      </c>
      <c r="AF11" s="45" t="s">
        <v>139</v>
      </c>
      <c r="AG11" s="45" t="s">
        <v>62</v>
      </c>
      <c r="AH11" s="45" t="s">
        <v>63</v>
      </c>
      <c r="AI11" s="45" t="s">
        <v>69</v>
      </c>
      <c r="AJ11" s="45" t="s">
        <v>65</v>
      </c>
      <c r="AK11" s="45" t="s">
        <v>129</v>
      </c>
      <c r="AL11" s="45" t="s">
        <v>87</v>
      </c>
      <c r="AM11" s="45" t="s">
        <v>87</v>
      </c>
      <c r="AN11" s="45" t="s">
        <v>13</v>
      </c>
      <c r="AO11" s="45" t="s">
        <v>116</v>
      </c>
      <c r="AP11" s="45" t="s">
        <v>111</v>
      </c>
      <c r="AQ11" s="45" t="s">
        <v>66</v>
      </c>
      <c r="AR11" s="45" t="s">
        <v>126</v>
      </c>
      <c r="AS11" s="45" t="s">
        <v>66</v>
      </c>
      <c r="AT11" s="45" t="s">
        <v>63</v>
      </c>
      <c r="AU11" s="45" t="s">
        <v>13</v>
      </c>
      <c r="AV11" s="45" t="s">
        <v>40</v>
      </c>
      <c r="AW11" s="45" t="s">
        <v>34</v>
      </c>
      <c r="AX11" s="45" t="s">
        <v>34</v>
      </c>
      <c r="AY11" s="45" t="s">
        <v>44</v>
      </c>
      <c r="AZ11" s="45" t="s">
        <v>55</v>
      </c>
      <c r="BA11" s="45" t="s">
        <v>63</v>
      </c>
      <c r="BB11" s="45" t="s">
        <v>91</v>
      </c>
      <c r="BC11" s="45" t="s">
        <v>129</v>
      </c>
      <c r="BD11" s="45" t="s">
        <v>101</v>
      </c>
      <c r="BE11" s="45" t="s">
        <v>144</v>
      </c>
      <c r="BF11" s="45" t="s">
        <v>64</v>
      </c>
      <c r="BG11" s="45" t="s">
        <v>64</v>
      </c>
      <c r="BH11" s="45" t="s">
        <v>33</v>
      </c>
      <c r="BI11" s="45" t="s">
        <v>64</v>
      </c>
      <c r="BJ11" s="45" t="s">
        <v>96</v>
      </c>
      <c r="BK11" s="45" t="s">
        <v>120</v>
      </c>
      <c r="BL11" s="45" t="s">
        <v>89</v>
      </c>
      <c r="BM11" s="45" t="s">
        <v>40</v>
      </c>
      <c r="BN11" s="45" t="s">
        <v>116</v>
      </c>
      <c r="BO11" s="45" t="s">
        <v>55</v>
      </c>
      <c r="BP11" s="45" t="s">
        <v>48</v>
      </c>
      <c r="BQ11" s="45" t="s">
        <v>94</v>
      </c>
      <c r="BR11" s="45" t="s">
        <v>58</v>
      </c>
      <c r="BS11" s="45" t="s">
        <v>84</v>
      </c>
      <c r="BT11" s="45" t="s">
        <v>126</v>
      </c>
      <c r="BU11" s="45" t="s">
        <v>94</v>
      </c>
      <c r="BV11" s="45" t="s">
        <v>147</v>
      </c>
      <c r="BW11" s="45" t="s">
        <v>111</v>
      </c>
      <c r="BX11" s="45" t="s">
        <v>129</v>
      </c>
      <c r="BY11" s="45" t="s">
        <v>147</v>
      </c>
      <c r="BZ11" s="45" t="s">
        <v>55</v>
      </c>
      <c r="CA11" s="45" t="s">
        <v>29</v>
      </c>
      <c r="CB11" s="45" t="s">
        <v>43</v>
      </c>
      <c r="CC11" s="45" t="s">
        <v>128</v>
      </c>
      <c r="CD11" s="45" t="s">
        <v>54</v>
      </c>
      <c r="CE11" s="45" t="s">
        <v>94</v>
      </c>
      <c r="CF11" s="45" t="s">
        <v>144</v>
      </c>
      <c r="CG11" s="45" t="s">
        <v>57</v>
      </c>
      <c r="CH11" s="45" t="s">
        <v>108</v>
      </c>
      <c r="CI11" s="45" t="s">
        <v>104</v>
      </c>
      <c r="CJ11" s="45" t="s">
        <v>47</v>
      </c>
      <c r="CK11" s="45" t="s">
        <v>143</v>
      </c>
      <c r="CL11" s="45" t="s">
        <v>58</v>
      </c>
      <c r="CM11" s="45" t="s">
        <v>31</v>
      </c>
      <c r="CN11" s="45" t="s">
        <v>150</v>
      </c>
      <c r="CO11" s="45" t="s">
        <v>22</v>
      </c>
      <c r="CP11" s="45" t="s">
        <v>96</v>
      </c>
      <c r="CQ11" s="45" t="s">
        <v>36</v>
      </c>
      <c r="CR11" s="45" t="s">
        <v>43</v>
      </c>
      <c r="CS11" s="45" t="s">
        <v>43</v>
      </c>
      <c r="CT11" s="45" t="s">
        <v>41</v>
      </c>
      <c r="CU11" s="45" t="s">
        <v>41</v>
      </c>
      <c r="CV11" s="45" t="s">
        <v>89</v>
      </c>
      <c r="CW11" s="45" t="s">
        <v>26</v>
      </c>
      <c r="CX11" s="45" t="s">
        <v>31</v>
      </c>
      <c r="CY11" s="45" t="s">
        <v>108</v>
      </c>
      <c r="CZ11" s="45" t="s">
        <v>25</v>
      </c>
      <c r="DA11" s="45" t="s">
        <v>25</v>
      </c>
      <c r="DB11" s="45" t="s">
        <v>54</v>
      </c>
      <c r="DC11" s="45" t="s">
        <v>147</v>
      </c>
      <c r="DD11" s="45" t="s">
        <v>55</v>
      </c>
      <c r="DE11" s="45" t="s">
        <v>120</v>
      </c>
      <c r="DF11" s="45" t="s">
        <v>84</v>
      </c>
      <c r="DG11" s="45" t="s">
        <v>44</v>
      </c>
      <c r="DH11" s="45" t="s">
        <v>36</v>
      </c>
      <c r="DI11" s="45" t="s">
        <v>120</v>
      </c>
      <c r="DJ11" s="45" t="s">
        <v>25</v>
      </c>
      <c r="DK11" s="45" t="s">
        <v>36</v>
      </c>
      <c r="DL11" s="45" t="s">
        <v>44</v>
      </c>
      <c r="DM11" s="45" t="s">
        <v>142</v>
      </c>
      <c r="DN11" s="45" t="s">
        <v>22</v>
      </c>
      <c r="DO11" s="45" t="s">
        <v>33</v>
      </c>
      <c r="DP11" s="45" t="s">
        <v>142</v>
      </c>
      <c r="DQ11" s="45" t="s">
        <v>77</v>
      </c>
      <c r="DR11" s="45" t="s">
        <v>143</v>
      </c>
      <c r="DS11" s="45" t="s">
        <v>145</v>
      </c>
      <c r="DT11" s="45" t="s">
        <v>25</v>
      </c>
      <c r="DU11" s="45" t="s">
        <v>29</v>
      </c>
      <c r="DV11" s="45" t="s">
        <v>120</v>
      </c>
      <c r="DW11" s="45" t="s">
        <v>120</v>
      </c>
      <c r="DX11" s="45" t="s">
        <v>77</v>
      </c>
      <c r="DY11" s="45" t="s">
        <v>77</v>
      </c>
      <c r="DZ11" s="45" t="s">
        <v>143</v>
      </c>
      <c r="EA11" s="45" t="s">
        <v>84</v>
      </c>
      <c r="EB11" s="45" t="s">
        <v>143</v>
      </c>
      <c r="EC11" s="45" t="s">
        <v>58</v>
      </c>
      <c r="ED11" s="45" t="s">
        <v>26</v>
      </c>
      <c r="EE11" s="45" t="s">
        <v>77</v>
      </c>
      <c r="EF11" s="45" t="s">
        <v>26</v>
      </c>
      <c r="EG11" s="45" t="s">
        <v>77</v>
      </c>
      <c r="EH11" s="45" t="s">
        <v>26</v>
      </c>
      <c r="EI11" s="45" t="s">
        <v>26</v>
      </c>
      <c r="EJ11" s="45" t="s">
        <v>26</v>
      </c>
    </row>
    <row r="12" customFormat="false" ht="15.75" hidden="false" customHeight="false" outlineLevel="0" collapsed="false">
      <c r="A12" s="249" t="n">
        <v>10</v>
      </c>
      <c r="B12" s="250" t="s">
        <v>114</v>
      </c>
      <c r="C12" s="45" t="s">
        <v>132</v>
      </c>
      <c r="D12" s="45" t="s">
        <v>56</v>
      </c>
      <c r="E12" s="45" t="s">
        <v>93</v>
      </c>
      <c r="F12" s="45" t="s">
        <v>74</v>
      </c>
      <c r="G12" s="45" t="s">
        <v>80</v>
      </c>
      <c r="H12" s="45" t="s">
        <v>141</v>
      </c>
      <c r="I12" s="45" t="s">
        <v>42</v>
      </c>
      <c r="J12" s="45" t="s">
        <v>137</v>
      </c>
      <c r="K12" s="45" t="s">
        <v>139</v>
      </c>
      <c r="L12" s="45" t="s">
        <v>114</v>
      </c>
      <c r="M12" s="45" t="s">
        <v>31</v>
      </c>
      <c r="N12" s="45" t="s">
        <v>81</v>
      </c>
      <c r="O12" s="45" t="s">
        <v>114</v>
      </c>
      <c r="P12" s="45" t="s">
        <v>87</v>
      </c>
      <c r="Q12" s="45" t="s">
        <v>87</v>
      </c>
      <c r="R12" s="45" t="s">
        <v>59</v>
      </c>
      <c r="S12" s="45" t="s">
        <v>80</v>
      </c>
      <c r="T12" s="45" t="s">
        <v>71</v>
      </c>
      <c r="U12" s="45" t="s">
        <v>80</v>
      </c>
      <c r="V12" s="45" t="s">
        <v>56</v>
      </c>
      <c r="W12" s="45" t="s">
        <v>87</v>
      </c>
      <c r="X12" s="45" t="s">
        <v>69</v>
      </c>
      <c r="Y12" s="45" t="s">
        <v>85</v>
      </c>
      <c r="Z12" s="45" t="s">
        <v>87</v>
      </c>
      <c r="AA12" s="45" t="s">
        <v>28</v>
      </c>
      <c r="AB12" s="45" t="s">
        <v>103</v>
      </c>
      <c r="AC12" s="45" t="s">
        <v>59</v>
      </c>
      <c r="AD12" s="45" t="s">
        <v>96</v>
      </c>
      <c r="AE12" s="45" t="s">
        <v>41</v>
      </c>
      <c r="AF12" s="45" t="s">
        <v>141</v>
      </c>
      <c r="AG12" s="45" t="s">
        <v>28</v>
      </c>
      <c r="AH12" s="45" t="s">
        <v>129</v>
      </c>
      <c r="AI12" s="45" t="s">
        <v>141</v>
      </c>
      <c r="AJ12" s="45" t="s">
        <v>62</v>
      </c>
      <c r="AK12" s="45" t="s">
        <v>62</v>
      </c>
      <c r="AL12" s="45" t="s">
        <v>42</v>
      </c>
      <c r="AM12" s="45" t="s">
        <v>74</v>
      </c>
      <c r="AN12" s="45" t="s">
        <v>104</v>
      </c>
      <c r="AO12" s="45" t="s">
        <v>34</v>
      </c>
      <c r="AP12" s="45" t="s">
        <v>86</v>
      </c>
      <c r="AQ12" s="45" t="s">
        <v>129</v>
      </c>
      <c r="AR12" s="45" t="s">
        <v>91</v>
      </c>
      <c r="AS12" s="45" t="s">
        <v>129</v>
      </c>
      <c r="AT12" s="45" t="s">
        <v>129</v>
      </c>
      <c r="AU12" s="45" t="s">
        <v>104</v>
      </c>
      <c r="AV12" s="45" t="s">
        <v>61</v>
      </c>
      <c r="AW12" s="45" t="s">
        <v>55</v>
      </c>
      <c r="AX12" s="45" t="s">
        <v>94</v>
      </c>
      <c r="AY12" s="45" t="s">
        <v>48</v>
      </c>
      <c r="AZ12" s="45" t="s">
        <v>22</v>
      </c>
      <c r="BA12" s="45" t="s">
        <v>91</v>
      </c>
      <c r="BB12" s="45" t="s">
        <v>41</v>
      </c>
      <c r="BC12" s="45" t="s">
        <v>40</v>
      </c>
      <c r="BD12" s="45" t="s">
        <v>139</v>
      </c>
      <c r="BE12" s="45" t="s">
        <v>101</v>
      </c>
      <c r="BF12" s="45" t="s">
        <v>151</v>
      </c>
      <c r="BG12" s="45" t="s">
        <v>151</v>
      </c>
      <c r="BH12" s="45" t="s">
        <v>111</v>
      </c>
      <c r="BI12" s="45" t="s">
        <v>151</v>
      </c>
      <c r="BJ12" s="45" t="s">
        <v>41</v>
      </c>
      <c r="BK12" s="45" t="s">
        <v>43</v>
      </c>
      <c r="BL12" s="45" t="s">
        <v>31</v>
      </c>
      <c r="BM12" s="45" t="s">
        <v>28</v>
      </c>
      <c r="BN12" s="45" t="s">
        <v>121</v>
      </c>
      <c r="BO12" s="45" t="s">
        <v>33</v>
      </c>
      <c r="BP12" s="45" t="s">
        <v>126</v>
      </c>
      <c r="BQ12" s="45" t="s">
        <v>46</v>
      </c>
      <c r="BR12" s="45" t="s">
        <v>43</v>
      </c>
      <c r="BS12" s="45" t="s">
        <v>13</v>
      </c>
      <c r="BT12" s="45" t="s">
        <v>96</v>
      </c>
      <c r="BU12" s="45" t="s">
        <v>66</v>
      </c>
      <c r="BV12" s="45" t="s">
        <v>64</v>
      </c>
      <c r="BW12" s="45" t="s">
        <v>57</v>
      </c>
      <c r="BX12" s="45" t="s">
        <v>40</v>
      </c>
      <c r="BY12" s="45" t="s">
        <v>64</v>
      </c>
      <c r="BZ12" s="45" t="s">
        <v>33</v>
      </c>
      <c r="CA12" s="45" t="s">
        <v>94</v>
      </c>
      <c r="CB12" s="45" t="s">
        <v>94</v>
      </c>
      <c r="CC12" s="45" t="s">
        <v>139</v>
      </c>
      <c r="CD12" s="45" t="s">
        <v>96</v>
      </c>
      <c r="CE12" s="45" t="s">
        <v>144</v>
      </c>
      <c r="CF12" s="45" t="s">
        <v>101</v>
      </c>
      <c r="CG12" s="45" t="s">
        <v>42</v>
      </c>
      <c r="CH12" s="45" t="s">
        <v>54</v>
      </c>
      <c r="CI12" s="45" t="s">
        <v>55</v>
      </c>
      <c r="CJ12" s="45" t="s">
        <v>147</v>
      </c>
      <c r="CK12" s="45" t="s">
        <v>13</v>
      </c>
      <c r="CL12" s="45" t="s">
        <v>29</v>
      </c>
      <c r="CM12" s="45" t="s">
        <v>63</v>
      </c>
      <c r="CN12" s="45" t="s">
        <v>85</v>
      </c>
      <c r="CO12" s="45" t="s">
        <v>150</v>
      </c>
      <c r="CP12" s="45" t="s">
        <v>41</v>
      </c>
      <c r="CQ12" s="45" t="s">
        <v>47</v>
      </c>
      <c r="CR12" s="45" t="s">
        <v>94</v>
      </c>
      <c r="CS12" s="45" t="s">
        <v>95</v>
      </c>
      <c r="CT12" s="45" t="s">
        <v>137</v>
      </c>
      <c r="CU12" s="45" t="s">
        <v>125</v>
      </c>
      <c r="CV12" s="45" t="s">
        <v>48</v>
      </c>
      <c r="CW12" s="45" t="s">
        <v>120</v>
      </c>
      <c r="CX12" s="45" t="s">
        <v>63</v>
      </c>
      <c r="CY12" s="45" t="s">
        <v>54</v>
      </c>
      <c r="CZ12" s="45" t="s">
        <v>44</v>
      </c>
      <c r="DA12" s="45" t="s">
        <v>44</v>
      </c>
      <c r="DB12" s="45" t="s">
        <v>96</v>
      </c>
      <c r="DC12" s="45" t="s">
        <v>64</v>
      </c>
      <c r="DD12" s="45" t="s">
        <v>46</v>
      </c>
      <c r="DE12" s="45" t="s">
        <v>89</v>
      </c>
      <c r="DF12" s="45" t="s">
        <v>13</v>
      </c>
      <c r="DG12" s="45" t="s">
        <v>108</v>
      </c>
      <c r="DH12" s="45" t="s">
        <v>47</v>
      </c>
      <c r="DI12" s="45" t="s">
        <v>89</v>
      </c>
      <c r="DJ12" s="45" t="s">
        <v>44</v>
      </c>
      <c r="DK12" s="45" t="s">
        <v>108</v>
      </c>
      <c r="DL12" s="45" t="s">
        <v>48</v>
      </c>
      <c r="DM12" s="45" t="s">
        <v>43</v>
      </c>
      <c r="DN12" s="45" t="s">
        <v>150</v>
      </c>
      <c r="DO12" s="45" t="s">
        <v>111</v>
      </c>
      <c r="DP12" s="45" t="s">
        <v>43</v>
      </c>
      <c r="DQ12" s="45" t="s">
        <v>143</v>
      </c>
      <c r="DR12" s="45" t="s">
        <v>58</v>
      </c>
      <c r="DS12" s="45" t="s">
        <v>142</v>
      </c>
      <c r="DT12" s="45" t="s">
        <v>36</v>
      </c>
      <c r="DU12" s="45" t="s">
        <v>94</v>
      </c>
      <c r="DV12" s="45" t="s">
        <v>89</v>
      </c>
      <c r="DW12" s="45" t="s">
        <v>89</v>
      </c>
      <c r="DX12" s="45" t="s">
        <v>84</v>
      </c>
      <c r="DY12" s="45" t="s">
        <v>143</v>
      </c>
      <c r="DZ12" s="45" t="s">
        <v>116</v>
      </c>
      <c r="EA12" s="45" t="s">
        <v>36</v>
      </c>
      <c r="EB12" s="45" t="s">
        <v>116</v>
      </c>
      <c r="EC12" s="45" t="s">
        <v>29</v>
      </c>
      <c r="ED12" s="45" t="s">
        <v>142</v>
      </c>
      <c r="EE12" s="45" t="s">
        <v>25</v>
      </c>
      <c r="EF12" s="45" t="s">
        <v>25</v>
      </c>
      <c r="EG12" s="45" t="s">
        <v>25</v>
      </c>
      <c r="EH12" s="45" t="s">
        <v>120</v>
      </c>
      <c r="EI12" s="45" t="s">
        <v>120</v>
      </c>
      <c r="EJ12" s="45" t="s">
        <v>25</v>
      </c>
    </row>
    <row r="13" customFormat="false" ht="15.75" hidden="false" customHeight="false" outlineLevel="0" collapsed="false">
      <c r="A13" s="249" t="n">
        <v>11</v>
      </c>
      <c r="B13" s="250" t="s">
        <v>115</v>
      </c>
      <c r="C13" s="45" t="s">
        <v>147</v>
      </c>
      <c r="D13" s="45" t="s">
        <v>147</v>
      </c>
      <c r="E13" s="45" t="s">
        <v>54</v>
      </c>
      <c r="F13" s="45" t="s">
        <v>55</v>
      </c>
      <c r="G13" s="45" t="s">
        <v>94</v>
      </c>
      <c r="H13" s="45" t="s">
        <v>48</v>
      </c>
      <c r="I13" s="45" t="s">
        <v>94</v>
      </c>
      <c r="J13" s="45" t="s">
        <v>104</v>
      </c>
      <c r="K13" s="45" t="s">
        <v>89</v>
      </c>
      <c r="L13" s="45" t="s">
        <v>31</v>
      </c>
      <c r="M13" s="45" t="s">
        <v>115</v>
      </c>
      <c r="N13" s="45" t="s">
        <v>94</v>
      </c>
      <c r="O13" s="45" t="s">
        <v>95</v>
      </c>
      <c r="P13" s="45" t="s">
        <v>121</v>
      </c>
      <c r="Q13" s="45" t="s">
        <v>121</v>
      </c>
      <c r="R13" s="45" t="s">
        <v>55</v>
      </c>
      <c r="S13" s="45" t="s">
        <v>94</v>
      </c>
      <c r="T13" s="45" t="s">
        <v>54</v>
      </c>
      <c r="U13" s="45" t="s">
        <v>94</v>
      </c>
      <c r="V13" s="45" t="s">
        <v>147</v>
      </c>
      <c r="W13" s="45" t="s">
        <v>121</v>
      </c>
      <c r="X13" s="45" t="s">
        <v>89</v>
      </c>
      <c r="Y13" s="45" t="s">
        <v>43</v>
      </c>
      <c r="Z13" s="45" t="s">
        <v>34</v>
      </c>
      <c r="AA13" s="45" t="s">
        <v>108</v>
      </c>
      <c r="AB13" s="45" t="s">
        <v>54</v>
      </c>
      <c r="AC13" s="45" t="s">
        <v>55</v>
      </c>
      <c r="AD13" s="45" t="s">
        <v>84</v>
      </c>
      <c r="AE13" s="45" t="s">
        <v>13</v>
      </c>
      <c r="AF13" s="45" t="s">
        <v>31</v>
      </c>
      <c r="AG13" s="45" t="s">
        <v>47</v>
      </c>
      <c r="AH13" s="45" t="s">
        <v>25</v>
      </c>
      <c r="AI13" s="45" t="s">
        <v>48</v>
      </c>
      <c r="AJ13" s="45" t="s">
        <v>36</v>
      </c>
      <c r="AK13" s="45" t="s">
        <v>44</v>
      </c>
      <c r="AL13" s="45" t="s">
        <v>55</v>
      </c>
      <c r="AM13" s="45" t="s">
        <v>55</v>
      </c>
      <c r="AN13" s="45" t="s">
        <v>153</v>
      </c>
      <c r="AO13" s="45" t="s">
        <v>131</v>
      </c>
      <c r="AP13" s="45" t="s">
        <v>43</v>
      </c>
      <c r="AQ13" s="45" t="s">
        <v>120</v>
      </c>
      <c r="AR13" s="45" t="s">
        <v>25</v>
      </c>
      <c r="AS13" s="45" t="s">
        <v>25</v>
      </c>
      <c r="AT13" s="45" t="s">
        <v>25</v>
      </c>
      <c r="AU13" s="45" t="s">
        <v>88</v>
      </c>
      <c r="AV13" s="45" t="s">
        <v>48</v>
      </c>
      <c r="AW13" s="45" t="s">
        <v>133</v>
      </c>
      <c r="AX13" s="45" t="s">
        <v>51</v>
      </c>
      <c r="AY13" s="45" t="s">
        <v>18</v>
      </c>
      <c r="AZ13" s="45" t="s">
        <v>145</v>
      </c>
      <c r="BA13" s="45" t="s">
        <v>25</v>
      </c>
      <c r="BB13" s="45" t="s">
        <v>36</v>
      </c>
      <c r="BC13" s="45" t="s">
        <v>44</v>
      </c>
      <c r="BD13" s="45" t="s">
        <v>89</v>
      </c>
      <c r="BE13" s="45" t="s">
        <v>120</v>
      </c>
      <c r="BF13" s="45" t="s">
        <v>116</v>
      </c>
      <c r="BG13" s="45" t="s">
        <v>58</v>
      </c>
      <c r="BH13" s="45" t="s">
        <v>58</v>
      </c>
      <c r="BI13" s="45" t="s">
        <v>116</v>
      </c>
      <c r="BJ13" s="45" t="s">
        <v>13</v>
      </c>
      <c r="BK13" s="45" t="s">
        <v>110</v>
      </c>
      <c r="BL13" s="45" t="s">
        <v>115</v>
      </c>
      <c r="BM13" s="45" t="s">
        <v>108</v>
      </c>
      <c r="BN13" s="45" t="s">
        <v>152</v>
      </c>
      <c r="BO13" s="45" t="s">
        <v>145</v>
      </c>
      <c r="BP13" s="45" t="s">
        <v>77</v>
      </c>
      <c r="BQ13" s="45" t="s">
        <v>26</v>
      </c>
      <c r="BR13" s="45" t="s">
        <v>131</v>
      </c>
      <c r="BS13" s="45" t="s">
        <v>14</v>
      </c>
      <c r="BT13" s="45" t="s">
        <v>84</v>
      </c>
      <c r="BU13" s="45" t="s">
        <v>26</v>
      </c>
      <c r="BV13" s="45" t="s">
        <v>143</v>
      </c>
      <c r="BW13" s="45" t="s">
        <v>29</v>
      </c>
      <c r="BX13" s="45" t="s">
        <v>44</v>
      </c>
      <c r="BY13" s="45" t="s">
        <v>143</v>
      </c>
      <c r="BZ13" s="45" t="s">
        <v>145</v>
      </c>
      <c r="CA13" s="45" t="s">
        <v>51</v>
      </c>
      <c r="CB13" s="45" t="s">
        <v>51</v>
      </c>
      <c r="CC13" s="45" t="s">
        <v>89</v>
      </c>
      <c r="CD13" s="45" t="s">
        <v>143</v>
      </c>
      <c r="CE13" s="45" t="s">
        <v>26</v>
      </c>
      <c r="CF13" s="45" t="s">
        <v>120</v>
      </c>
      <c r="CG13" s="45" t="s">
        <v>94</v>
      </c>
      <c r="CH13" s="45" t="s">
        <v>77</v>
      </c>
      <c r="CI13" s="45" t="s">
        <v>12</v>
      </c>
      <c r="CJ13" s="45" t="s">
        <v>12</v>
      </c>
      <c r="CK13" s="45" t="s">
        <v>117</v>
      </c>
      <c r="CL13" s="45" t="s">
        <v>131</v>
      </c>
      <c r="CM13" s="45" t="s">
        <v>77</v>
      </c>
      <c r="CN13" s="45" t="s">
        <v>43</v>
      </c>
      <c r="CO13" s="45" t="s">
        <v>142</v>
      </c>
      <c r="CP13" s="45" t="s">
        <v>13</v>
      </c>
      <c r="CQ13" s="45" t="s">
        <v>153</v>
      </c>
      <c r="CR13" s="45" t="s">
        <v>51</v>
      </c>
      <c r="CS13" s="45" t="s">
        <v>115</v>
      </c>
      <c r="CT13" s="45" t="s">
        <v>104</v>
      </c>
      <c r="CU13" s="45" t="s">
        <v>47</v>
      </c>
      <c r="CV13" s="45" t="s">
        <v>67</v>
      </c>
      <c r="CW13" s="45" t="s">
        <v>124</v>
      </c>
      <c r="CX13" s="45" t="s">
        <v>77</v>
      </c>
      <c r="CY13" s="45" t="s">
        <v>77</v>
      </c>
      <c r="CZ13" s="45" t="s">
        <v>138</v>
      </c>
      <c r="DA13" s="45" t="s">
        <v>138</v>
      </c>
      <c r="DB13" s="45" t="s">
        <v>143</v>
      </c>
      <c r="DC13" s="45" t="s">
        <v>143</v>
      </c>
      <c r="DD13" s="45" t="s">
        <v>145</v>
      </c>
      <c r="DE13" s="45" t="s">
        <v>110</v>
      </c>
      <c r="DF13" s="45" t="s">
        <v>14</v>
      </c>
      <c r="DG13" s="45" t="s">
        <v>18</v>
      </c>
      <c r="DH13" s="45" t="s">
        <v>153</v>
      </c>
      <c r="DI13" s="45" t="s">
        <v>138</v>
      </c>
      <c r="DJ13" s="45" t="s">
        <v>138</v>
      </c>
      <c r="DK13" s="45" t="s">
        <v>37</v>
      </c>
      <c r="DL13" s="45" t="s">
        <v>18</v>
      </c>
      <c r="DM13" s="45" t="s">
        <v>106</v>
      </c>
      <c r="DN13" s="45" t="s">
        <v>142</v>
      </c>
      <c r="DO13" s="45" t="s">
        <v>58</v>
      </c>
      <c r="DP13" s="45" t="s">
        <v>106</v>
      </c>
      <c r="DQ13" s="45" t="s">
        <v>105</v>
      </c>
      <c r="DR13" s="45" t="s">
        <v>117</v>
      </c>
      <c r="DS13" s="45" t="s">
        <v>50</v>
      </c>
      <c r="DT13" s="45" t="s">
        <v>14</v>
      </c>
      <c r="DU13" s="45" t="s">
        <v>51</v>
      </c>
      <c r="DV13" s="45" t="s">
        <v>110</v>
      </c>
      <c r="DW13" s="45" t="s">
        <v>110</v>
      </c>
      <c r="DX13" s="45" t="s">
        <v>122</v>
      </c>
      <c r="DY13" s="45" t="s">
        <v>122</v>
      </c>
      <c r="DZ13" s="45" t="s">
        <v>117</v>
      </c>
      <c r="EA13" s="45" t="s">
        <v>14</v>
      </c>
      <c r="EB13" s="45" t="s">
        <v>117</v>
      </c>
      <c r="EC13" s="45" t="s">
        <v>131</v>
      </c>
      <c r="ED13" s="45" t="s">
        <v>50</v>
      </c>
      <c r="EE13" s="45" t="s">
        <v>122</v>
      </c>
      <c r="EF13" s="45" t="s">
        <v>99</v>
      </c>
      <c r="EG13" s="45" t="s">
        <v>99</v>
      </c>
      <c r="EH13" s="45" t="s">
        <v>124</v>
      </c>
      <c r="EI13" s="45" t="s">
        <v>82</v>
      </c>
      <c r="EJ13" s="45" t="s">
        <v>82</v>
      </c>
    </row>
    <row r="14" customFormat="false" ht="15.75" hidden="false" customHeight="false" outlineLevel="0" collapsed="false">
      <c r="A14" s="249" t="n">
        <v>12</v>
      </c>
      <c r="B14" s="250" t="s">
        <v>80</v>
      </c>
      <c r="C14" s="45" t="s">
        <v>71</v>
      </c>
      <c r="D14" s="45" t="s">
        <v>71</v>
      </c>
      <c r="E14" s="45" t="s">
        <v>93</v>
      </c>
      <c r="F14" s="45" t="s">
        <v>59</v>
      </c>
      <c r="G14" s="45" t="s">
        <v>42</v>
      </c>
      <c r="H14" s="45" t="s">
        <v>114</v>
      </c>
      <c r="I14" s="45" t="s">
        <v>74</v>
      </c>
      <c r="J14" s="45" t="s">
        <v>125</v>
      </c>
      <c r="K14" s="45" t="s">
        <v>85</v>
      </c>
      <c r="L14" s="45" t="s">
        <v>81</v>
      </c>
      <c r="M14" s="45" t="s">
        <v>94</v>
      </c>
      <c r="N14" s="45" t="s">
        <v>80</v>
      </c>
      <c r="O14" s="45" t="s">
        <v>80</v>
      </c>
      <c r="P14" s="45" t="s">
        <v>137</v>
      </c>
      <c r="Q14" s="45" t="s">
        <v>137</v>
      </c>
      <c r="R14" s="45" t="s">
        <v>132</v>
      </c>
      <c r="S14" s="45" t="s">
        <v>42</v>
      </c>
      <c r="T14" s="45" t="s">
        <v>93</v>
      </c>
      <c r="U14" s="45" t="s">
        <v>80</v>
      </c>
      <c r="V14" s="45" t="s">
        <v>132</v>
      </c>
      <c r="W14" s="45" t="s">
        <v>137</v>
      </c>
      <c r="X14" s="45" t="s">
        <v>139</v>
      </c>
      <c r="Y14" s="45" t="s">
        <v>86</v>
      </c>
      <c r="Z14" s="45" t="s">
        <v>87</v>
      </c>
      <c r="AA14" s="45" t="s">
        <v>61</v>
      </c>
      <c r="AB14" s="45" t="s">
        <v>93</v>
      </c>
      <c r="AC14" s="45" t="s">
        <v>56</v>
      </c>
      <c r="AD14" s="45" t="s">
        <v>91</v>
      </c>
      <c r="AE14" s="45" t="s">
        <v>41</v>
      </c>
      <c r="AF14" s="45" t="s">
        <v>114</v>
      </c>
      <c r="AG14" s="45" t="s">
        <v>28</v>
      </c>
      <c r="AH14" s="45" t="s">
        <v>129</v>
      </c>
      <c r="AI14" s="45" t="s">
        <v>141</v>
      </c>
      <c r="AJ14" s="45" t="s">
        <v>40</v>
      </c>
      <c r="AK14" s="45" t="s">
        <v>40</v>
      </c>
      <c r="AL14" s="45" t="s">
        <v>59</v>
      </c>
      <c r="AM14" s="45" t="s">
        <v>59</v>
      </c>
      <c r="AN14" s="45" t="s">
        <v>47</v>
      </c>
      <c r="AO14" s="45" t="s">
        <v>121</v>
      </c>
      <c r="AP14" s="45" t="s">
        <v>57</v>
      </c>
      <c r="AQ14" s="45" t="s">
        <v>101</v>
      </c>
      <c r="AR14" s="45" t="s">
        <v>129</v>
      </c>
      <c r="AS14" s="45" t="s">
        <v>101</v>
      </c>
      <c r="AT14" s="45" t="s">
        <v>129</v>
      </c>
      <c r="AU14" s="45" t="s">
        <v>47</v>
      </c>
      <c r="AV14" s="45" t="s">
        <v>141</v>
      </c>
      <c r="AW14" s="45" t="s">
        <v>55</v>
      </c>
      <c r="AX14" s="45" t="s">
        <v>55</v>
      </c>
      <c r="AY14" s="45" t="s">
        <v>31</v>
      </c>
      <c r="AZ14" s="45" t="s">
        <v>33</v>
      </c>
      <c r="BA14" s="45" t="s">
        <v>129</v>
      </c>
      <c r="BB14" s="45" t="s">
        <v>62</v>
      </c>
      <c r="BC14" s="45" t="s">
        <v>139</v>
      </c>
      <c r="BD14" s="45" t="s">
        <v>85</v>
      </c>
      <c r="BE14" s="45" t="s">
        <v>150</v>
      </c>
      <c r="BF14" s="45" t="s">
        <v>41</v>
      </c>
      <c r="BG14" s="45" t="s">
        <v>151</v>
      </c>
      <c r="BH14" s="45" t="s">
        <v>151</v>
      </c>
      <c r="BI14" s="45" t="s">
        <v>41</v>
      </c>
      <c r="BJ14" s="45" t="s">
        <v>62</v>
      </c>
      <c r="BK14" s="45" t="s">
        <v>43</v>
      </c>
      <c r="BL14" s="45" t="s">
        <v>95</v>
      </c>
      <c r="BM14" s="45" t="s">
        <v>141</v>
      </c>
      <c r="BN14" s="45" t="s">
        <v>104</v>
      </c>
      <c r="BO14" s="45" t="s">
        <v>64</v>
      </c>
      <c r="BP14" s="45" t="s">
        <v>63</v>
      </c>
      <c r="BQ14" s="45" t="s">
        <v>46</v>
      </c>
      <c r="BR14" s="45" t="s">
        <v>29</v>
      </c>
      <c r="BS14" s="45" t="s">
        <v>36</v>
      </c>
      <c r="BT14" s="45" t="s">
        <v>129</v>
      </c>
      <c r="BU14" s="45" t="s">
        <v>46</v>
      </c>
      <c r="BV14" s="45" t="s">
        <v>96</v>
      </c>
      <c r="BW14" s="45" t="s">
        <v>87</v>
      </c>
      <c r="BX14" s="45" t="s">
        <v>69</v>
      </c>
      <c r="BY14" s="45" t="s">
        <v>64</v>
      </c>
      <c r="BZ14" s="45" t="s">
        <v>64</v>
      </c>
      <c r="CA14" s="45" t="s">
        <v>94</v>
      </c>
      <c r="CB14" s="45" t="s">
        <v>94</v>
      </c>
      <c r="CC14" s="45" t="s">
        <v>85</v>
      </c>
      <c r="CD14" s="45" t="s">
        <v>96</v>
      </c>
      <c r="CE14" s="45" t="s">
        <v>46</v>
      </c>
      <c r="CF14" s="45" t="s">
        <v>128</v>
      </c>
      <c r="CG14" s="45" t="s">
        <v>74</v>
      </c>
      <c r="CH14" s="45" t="s">
        <v>126</v>
      </c>
      <c r="CI14" s="45" t="s">
        <v>147</v>
      </c>
      <c r="CJ14" s="45" t="s">
        <v>54</v>
      </c>
      <c r="CK14" s="45" t="s">
        <v>13</v>
      </c>
      <c r="CL14" s="45" t="s">
        <v>121</v>
      </c>
      <c r="CM14" s="45" t="s">
        <v>63</v>
      </c>
      <c r="CN14" s="45" t="s">
        <v>85</v>
      </c>
      <c r="CO14" s="45" t="s">
        <v>111</v>
      </c>
      <c r="CP14" s="45" t="s">
        <v>41</v>
      </c>
      <c r="CQ14" s="45" t="s">
        <v>108</v>
      </c>
      <c r="CR14" s="45" t="s">
        <v>94</v>
      </c>
      <c r="CS14" s="45" t="s">
        <v>94</v>
      </c>
      <c r="CT14" s="45" t="s">
        <v>28</v>
      </c>
      <c r="CU14" s="45" t="s">
        <v>28</v>
      </c>
      <c r="CV14" s="45" t="s">
        <v>31</v>
      </c>
      <c r="CW14" s="45" t="s">
        <v>142</v>
      </c>
      <c r="CX14" s="45" t="s">
        <v>66</v>
      </c>
      <c r="CY14" s="45" t="s">
        <v>126</v>
      </c>
      <c r="CZ14" s="45" t="s">
        <v>89</v>
      </c>
      <c r="DA14" s="45" t="s">
        <v>44</v>
      </c>
      <c r="DB14" s="45" t="s">
        <v>96</v>
      </c>
      <c r="DC14" s="45" t="s">
        <v>96</v>
      </c>
      <c r="DD14" s="45" t="s">
        <v>33</v>
      </c>
      <c r="DE14" s="45" t="s">
        <v>43</v>
      </c>
      <c r="DF14" s="45" t="s">
        <v>36</v>
      </c>
      <c r="DG14" s="45" t="s">
        <v>48</v>
      </c>
      <c r="DH14" s="45" t="s">
        <v>108</v>
      </c>
      <c r="DI14" s="45" t="s">
        <v>89</v>
      </c>
      <c r="DJ14" s="45" t="s">
        <v>89</v>
      </c>
      <c r="DK14" s="45" t="s">
        <v>48</v>
      </c>
      <c r="DL14" s="45" t="s">
        <v>48</v>
      </c>
      <c r="DM14" s="45" t="s">
        <v>43</v>
      </c>
      <c r="DN14" s="45" t="s">
        <v>111</v>
      </c>
      <c r="DO14" s="45" t="s">
        <v>151</v>
      </c>
      <c r="DP14" s="45" t="s">
        <v>29</v>
      </c>
      <c r="DQ14" s="45" t="s">
        <v>143</v>
      </c>
      <c r="DR14" s="45" t="s">
        <v>116</v>
      </c>
      <c r="DS14" s="45" t="s">
        <v>58</v>
      </c>
      <c r="DT14" s="45" t="s">
        <v>44</v>
      </c>
      <c r="DU14" s="45" t="s">
        <v>55</v>
      </c>
      <c r="DV14" s="45" t="s">
        <v>43</v>
      </c>
      <c r="DW14" s="45" t="s">
        <v>43</v>
      </c>
      <c r="DX14" s="45" t="s">
        <v>25</v>
      </c>
      <c r="DY14" s="45" t="s">
        <v>84</v>
      </c>
      <c r="DZ14" s="45" t="s">
        <v>13</v>
      </c>
      <c r="EA14" s="45" t="s">
        <v>44</v>
      </c>
      <c r="EB14" s="45" t="s">
        <v>13</v>
      </c>
      <c r="EC14" s="45" t="s">
        <v>34</v>
      </c>
      <c r="ED14" s="45" t="s">
        <v>142</v>
      </c>
      <c r="EE14" s="45" t="s">
        <v>25</v>
      </c>
      <c r="EF14" s="45" t="s">
        <v>120</v>
      </c>
      <c r="EG14" s="45" t="s">
        <v>25</v>
      </c>
      <c r="EH14" s="45" t="s">
        <v>142</v>
      </c>
      <c r="EI14" s="45" t="s">
        <v>120</v>
      </c>
      <c r="EJ14" s="45" t="s">
        <v>120</v>
      </c>
    </row>
    <row r="15" customFormat="false" ht="15.75" hidden="false" customHeight="false" outlineLevel="0" collapsed="false">
      <c r="A15" s="249" t="n">
        <v>12</v>
      </c>
      <c r="B15" s="250" t="s">
        <v>81</v>
      </c>
      <c r="C15" s="45" t="s">
        <v>71</v>
      </c>
      <c r="D15" s="45" t="s">
        <v>132</v>
      </c>
      <c r="E15" s="45" t="s">
        <v>93</v>
      </c>
      <c r="F15" s="45" t="s">
        <v>59</v>
      </c>
      <c r="G15" s="45" t="s">
        <v>42</v>
      </c>
      <c r="H15" s="45" t="s">
        <v>141</v>
      </c>
      <c r="I15" s="45" t="s">
        <v>42</v>
      </c>
      <c r="J15" s="45" t="s">
        <v>137</v>
      </c>
      <c r="K15" s="45" t="s">
        <v>85</v>
      </c>
      <c r="L15" s="45" t="s">
        <v>114</v>
      </c>
      <c r="M15" s="45" t="s">
        <v>95</v>
      </c>
      <c r="N15" s="45" t="s">
        <v>80</v>
      </c>
      <c r="O15" s="45" t="s">
        <v>81</v>
      </c>
      <c r="P15" s="45" t="s">
        <v>137</v>
      </c>
      <c r="Q15" s="45" t="s">
        <v>137</v>
      </c>
      <c r="R15" s="45" t="s">
        <v>56</v>
      </c>
      <c r="S15" s="45" t="s">
        <v>80</v>
      </c>
      <c r="T15" s="45" t="s">
        <v>93</v>
      </c>
      <c r="U15" s="45" t="s">
        <v>80</v>
      </c>
      <c r="V15" s="45" t="s">
        <v>132</v>
      </c>
      <c r="W15" s="45" t="s">
        <v>87</v>
      </c>
      <c r="X15" s="45" t="s">
        <v>139</v>
      </c>
      <c r="Y15" s="45" t="s">
        <v>86</v>
      </c>
      <c r="Z15" s="45" t="s">
        <v>87</v>
      </c>
      <c r="AA15" s="45" t="s">
        <v>28</v>
      </c>
      <c r="AB15" s="45" t="s">
        <v>71</v>
      </c>
      <c r="AC15" s="45" t="s">
        <v>59</v>
      </c>
      <c r="AD15" s="45" t="s">
        <v>96</v>
      </c>
      <c r="AE15" s="45" t="s">
        <v>41</v>
      </c>
      <c r="AF15" s="45" t="s">
        <v>114</v>
      </c>
      <c r="AG15" s="45" t="s">
        <v>28</v>
      </c>
      <c r="AH15" s="45" t="s">
        <v>129</v>
      </c>
      <c r="AI15" s="45" t="s">
        <v>141</v>
      </c>
      <c r="AJ15" s="45" t="s">
        <v>62</v>
      </c>
      <c r="AK15" s="45" t="s">
        <v>40</v>
      </c>
      <c r="AL15" s="45" t="s">
        <v>74</v>
      </c>
      <c r="AM15" s="45" t="s">
        <v>74</v>
      </c>
      <c r="AN15" s="45" t="s">
        <v>47</v>
      </c>
      <c r="AO15" s="45" t="s">
        <v>121</v>
      </c>
      <c r="AP15" s="45" t="s">
        <v>86</v>
      </c>
      <c r="AQ15" s="45" t="s">
        <v>101</v>
      </c>
      <c r="AR15" s="45" t="s">
        <v>129</v>
      </c>
      <c r="AS15" s="45" t="s">
        <v>129</v>
      </c>
      <c r="AT15" s="45" t="s">
        <v>129</v>
      </c>
      <c r="AU15" s="45" t="s">
        <v>104</v>
      </c>
      <c r="AV15" s="45" t="s">
        <v>141</v>
      </c>
      <c r="AW15" s="45" t="s">
        <v>55</v>
      </c>
      <c r="AX15" s="45" t="s">
        <v>55</v>
      </c>
      <c r="AY15" s="45" t="s">
        <v>48</v>
      </c>
      <c r="AZ15" s="45" t="s">
        <v>33</v>
      </c>
      <c r="BA15" s="45" t="s">
        <v>129</v>
      </c>
      <c r="BB15" s="45" t="s">
        <v>62</v>
      </c>
      <c r="BC15" s="45" t="s">
        <v>69</v>
      </c>
      <c r="BD15" s="45" t="s">
        <v>139</v>
      </c>
      <c r="BE15" s="45" t="s">
        <v>128</v>
      </c>
      <c r="BF15" s="45" t="s">
        <v>151</v>
      </c>
      <c r="BG15" s="45" t="s">
        <v>151</v>
      </c>
      <c r="BH15" s="45" t="s">
        <v>111</v>
      </c>
      <c r="BI15" s="45" t="s">
        <v>41</v>
      </c>
      <c r="BJ15" s="45" t="s">
        <v>41</v>
      </c>
      <c r="BK15" s="45" t="s">
        <v>43</v>
      </c>
      <c r="BL15" s="45" t="s">
        <v>31</v>
      </c>
      <c r="BM15" s="45" t="s">
        <v>61</v>
      </c>
      <c r="BN15" s="45" t="s">
        <v>104</v>
      </c>
      <c r="BO15" s="45" t="s">
        <v>33</v>
      </c>
      <c r="BP15" s="45" t="s">
        <v>126</v>
      </c>
      <c r="BQ15" s="45" t="s">
        <v>46</v>
      </c>
      <c r="BR15" s="45" t="s">
        <v>29</v>
      </c>
      <c r="BS15" s="45" t="s">
        <v>36</v>
      </c>
      <c r="BT15" s="45" t="s">
        <v>91</v>
      </c>
      <c r="BU15" s="45" t="s">
        <v>144</v>
      </c>
      <c r="BV15" s="45" t="s">
        <v>64</v>
      </c>
      <c r="BW15" s="45" t="s">
        <v>87</v>
      </c>
      <c r="BX15" s="45" t="s">
        <v>40</v>
      </c>
      <c r="BY15" s="45" t="s">
        <v>64</v>
      </c>
      <c r="BZ15" s="45" t="s">
        <v>64</v>
      </c>
      <c r="CA15" s="45" t="s">
        <v>94</v>
      </c>
      <c r="CB15" s="45" t="s">
        <v>94</v>
      </c>
      <c r="CC15" s="45" t="s">
        <v>85</v>
      </c>
      <c r="CD15" s="45" t="s">
        <v>96</v>
      </c>
      <c r="CE15" s="45" t="s">
        <v>46</v>
      </c>
      <c r="CF15" s="45" t="s">
        <v>101</v>
      </c>
      <c r="CG15" s="45" t="s">
        <v>42</v>
      </c>
      <c r="CH15" s="45" t="s">
        <v>54</v>
      </c>
      <c r="CI15" s="45" t="s">
        <v>147</v>
      </c>
      <c r="CJ15" s="45" t="s">
        <v>54</v>
      </c>
      <c r="CK15" s="45" t="s">
        <v>13</v>
      </c>
      <c r="CL15" s="45" t="s">
        <v>34</v>
      </c>
      <c r="CM15" s="45" t="s">
        <v>63</v>
      </c>
      <c r="CN15" s="45" t="s">
        <v>85</v>
      </c>
      <c r="CO15" s="45" t="s">
        <v>111</v>
      </c>
      <c r="CP15" s="45" t="s">
        <v>41</v>
      </c>
      <c r="CQ15" s="45" t="s">
        <v>108</v>
      </c>
      <c r="CR15" s="45" t="s">
        <v>94</v>
      </c>
      <c r="CS15" s="45" t="s">
        <v>94</v>
      </c>
      <c r="CT15" s="45" t="s">
        <v>125</v>
      </c>
      <c r="CU15" s="45" t="s">
        <v>28</v>
      </c>
      <c r="CV15" s="45" t="s">
        <v>31</v>
      </c>
      <c r="CW15" s="45" t="s">
        <v>142</v>
      </c>
      <c r="CX15" s="45" t="s">
        <v>63</v>
      </c>
      <c r="CY15" s="45" t="s">
        <v>126</v>
      </c>
      <c r="CZ15" s="45" t="s">
        <v>44</v>
      </c>
      <c r="DA15" s="45" t="s">
        <v>44</v>
      </c>
      <c r="DB15" s="45" t="s">
        <v>96</v>
      </c>
      <c r="DC15" s="45" t="s">
        <v>96</v>
      </c>
      <c r="DD15" s="45" t="s">
        <v>22</v>
      </c>
      <c r="DE15" s="45" t="s">
        <v>43</v>
      </c>
      <c r="DF15" s="45" t="s">
        <v>13</v>
      </c>
      <c r="DG15" s="45" t="s">
        <v>48</v>
      </c>
      <c r="DH15" s="45" t="s">
        <v>47</v>
      </c>
      <c r="DI15" s="45" t="s">
        <v>89</v>
      </c>
      <c r="DJ15" s="45" t="s">
        <v>89</v>
      </c>
      <c r="DK15" s="45" t="s">
        <v>108</v>
      </c>
      <c r="DL15" s="45" t="s">
        <v>48</v>
      </c>
      <c r="DM15" s="45" t="s">
        <v>43</v>
      </c>
      <c r="DN15" s="45" t="s">
        <v>150</v>
      </c>
      <c r="DO15" s="45" t="s">
        <v>151</v>
      </c>
      <c r="DP15" s="45" t="s">
        <v>43</v>
      </c>
      <c r="DQ15" s="45" t="s">
        <v>143</v>
      </c>
      <c r="DR15" s="45" t="s">
        <v>116</v>
      </c>
      <c r="DS15" s="45" t="s">
        <v>142</v>
      </c>
      <c r="DT15" s="45" t="s">
        <v>44</v>
      </c>
      <c r="DU15" s="45" t="s">
        <v>94</v>
      </c>
      <c r="DV15" s="45" t="s">
        <v>89</v>
      </c>
      <c r="DW15" s="45" t="s">
        <v>89</v>
      </c>
      <c r="DX15" s="45" t="s">
        <v>25</v>
      </c>
      <c r="DY15" s="45" t="s">
        <v>84</v>
      </c>
      <c r="DZ15" s="45" t="s">
        <v>116</v>
      </c>
      <c r="EA15" s="45" t="s">
        <v>36</v>
      </c>
      <c r="EB15" s="45" t="s">
        <v>13</v>
      </c>
      <c r="EC15" s="45" t="s">
        <v>29</v>
      </c>
      <c r="ED15" s="45" t="s">
        <v>142</v>
      </c>
      <c r="EE15" s="45" t="s">
        <v>25</v>
      </c>
      <c r="EF15" s="45" t="s">
        <v>25</v>
      </c>
      <c r="EG15" s="45" t="s">
        <v>25</v>
      </c>
      <c r="EH15" s="45" t="s">
        <v>120</v>
      </c>
      <c r="EI15" s="45" t="s">
        <v>120</v>
      </c>
      <c r="EJ15" s="45" t="s">
        <v>120</v>
      </c>
    </row>
    <row r="16" customFormat="false" ht="15.75" hidden="false" customHeight="false" outlineLevel="0" collapsed="false">
      <c r="A16" s="249" t="n">
        <v>13</v>
      </c>
      <c r="B16" s="250" t="s">
        <v>69</v>
      </c>
      <c r="C16" s="45" t="s">
        <v>114</v>
      </c>
      <c r="D16" s="45" t="s">
        <v>114</v>
      </c>
      <c r="E16" s="45" t="s">
        <v>80</v>
      </c>
      <c r="F16" s="45" t="s">
        <v>141</v>
      </c>
      <c r="G16" s="45" t="s">
        <v>28</v>
      </c>
      <c r="H16" s="45" t="s">
        <v>87</v>
      </c>
      <c r="I16" s="45" t="s">
        <v>28</v>
      </c>
      <c r="J16" s="45" t="s">
        <v>139</v>
      </c>
      <c r="K16" s="45" t="s">
        <v>151</v>
      </c>
      <c r="L16" s="45" t="s">
        <v>87</v>
      </c>
      <c r="M16" s="45" t="s">
        <v>121</v>
      </c>
      <c r="N16" s="45" t="s">
        <v>137</v>
      </c>
      <c r="O16" s="45" t="s">
        <v>137</v>
      </c>
      <c r="P16" s="45" t="s">
        <v>69</v>
      </c>
      <c r="Q16" s="45" t="s">
        <v>69</v>
      </c>
      <c r="R16" s="45" t="s">
        <v>141</v>
      </c>
      <c r="S16" s="45" t="s">
        <v>28</v>
      </c>
      <c r="T16" s="45" t="s">
        <v>80</v>
      </c>
      <c r="U16" s="45" t="s">
        <v>125</v>
      </c>
      <c r="V16" s="45" t="s">
        <v>114</v>
      </c>
      <c r="W16" s="45" t="s">
        <v>40</v>
      </c>
      <c r="X16" s="45" t="s">
        <v>151</v>
      </c>
      <c r="Y16" s="45" t="s">
        <v>41</v>
      </c>
      <c r="Z16" s="45" t="s">
        <v>40</v>
      </c>
      <c r="AA16" s="45" t="s">
        <v>85</v>
      </c>
      <c r="AB16" s="45" t="s">
        <v>80</v>
      </c>
      <c r="AC16" s="45" t="s">
        <v>141</v>
      </c>
      <c r="AD16" s="45" t="s">
        <v>46</v>
      </c>
      <c r="AE16" s="45" t="s">
        <v>101</v>
      </c>
      <c r="AF16" s="45" t="s">
        <v>87</v>
      </c>
      <c r="AG16" s="45" t="s">
        <v>85</v>
      </c>
      <c r="AH16" s="45" t="s">
        <v>33</v>
      </c>
      <c r="AI16" s="45" t="s">
        <v>57</v>
      </c>
      <c r="AJ16" s="45" t="s">
        <v>150</v>
      </c>
      <c r="AK16" s="45" t="s">
        <v>150</v>
      </c>
      <c r="AL16" s="45" t="s">
        <v>61</v>
      </c>
      <c r="AM16" s="45" t="s">
        <v>61</v>
      </c>
      <c r="AN16" s="45" t="s">
        <v>89</v>
      </c>
      <c r="AO16" s="45" t="s">
        <v>44</v>
      </c>
      <c r="AP16" s="45" t="s">
        <v>41</v>
      </c>
      <c r="AQ16" s="45" t="s">
        <v>64</v>
      </c>
      <c r="AR16" s="45" t="s">
        <v>46</v>
      </c>
      <c r="AS16" s="45" t="s">
        <v>33</v>
      </c>
      <c r="AT16" s="45" t="s">
        <v>22</v>
      </c>
      <c r="AU16" s="45" t="s">
        <v>89</v>
      </c>
      <c r="AV16" s="45" t="s">
        <v>86</v>
      </c>
      <c r="AW16" s="45" t="s">
        <v>48</v>
      </c>
      <c r="AX16" s="45" t="s">
        <v>108</v>
      </c>
      <c r="AY16" s="45" t="s">
        <v>29</v>
      </c>
      <c r="AZ16" s="45" t="s">
        <v>126</v>
      </c>
      <c r="BA16" s="45" t="s">
        <v>22</v>
      </c>
      <c r="BB16" s="45" t="s">
        <v>150</v>
      </c>
      <c r="BC16" s="45" t="s">
        <v>111</v>
      </c>
      <c r="BD16" s="45" t="s">
        <v>151</v>
      </c>
      <c r="BE16" s="45" t="s">
        <v>64</v>
      </c>
      <c r="BF16" s="45" t="s">
        <v>129</v>
      </c>
      <c r="BG16" s="45" t="s">
        <v>129</v>
      </c>
      <c r="BH16" s="45" t="s">
        <v>91</v>
      </c>
      <c r="BI16" s="45" t="s">
        <v>129</v>
      </c>
      <c r="BJ16" s="45" t="s">
        <v>128</v>
      </c>
      <c r="BK16" s="45" t="s">
        <v>13</v>
      </c>
      <c r="BL16" s="45" t="s">
        <v>121</v>
      </c>
      <c r="BM16" s="45" t="s">
        <v>86</v>
      </c>
      <c r="BN16" s="45" t="s">
        <v>89</v>
      </c>
      <c r="BO16" s="45" t="s">
        <v>126</v>
      </c>
      <c r="BP16" s="45" t="s">
        <v>94</v>
      </c>
      <c r="BQ16" s="45" t="s">
        <v>54</v>
      </c>
      <c r="BR16" s="45" t="s">
        <v>36</v>
      </c>
      <c r="BS16" s="45" t="s">
        <v>120</v>
      </c>
      <c r="BT16" s="45" t="s">
        <v>46</v>
      </c>
      <c r="BU16" s="45" t="s">
        <v>147</v>
      </c>
      <c r="BV16" s="45" t="s">
        <v>63</v>
      </c>
      <c r="BW16" s="45" t="s">
        <v>62</v>
      </c>
      <c r="BX16" s="45" t="s">
        <v>111</v>
      </c>
      <c r="BY16" s="45" t="s">
        <v>63</v>
      </c>
      <c r="BZ16" s="45" t="s">
        <v>63</v>
      </c>
      <c r="CA16" s="45" t="s">
        <v>47</v>
      </c>
      <c r="CB16" s="45" t="s">
        <v>47</v>
      </c>
      <c r="CC16" s="45" t="s">
        <v>151</v>
      </c>
      <c r="CD16" s="45" t="s">
        <v>66</v>
      </c>
      <c r="CE16" s="45" t="s">
        <v>147</v>
      </c>
      <c r="CF16" s="45" t="s">
        <v>64</v>
      </c>
      <c r="CG16" s="45" t="s">
        <v>28</v>
      </c>
      <c r="CH16" s="45" t="s">
        <v>94</v>
      </c>
      <c r="CI16" s="45" t="s">
        <v>31</v>
      </c>
      <c r="CJ16" s="45" t="s">
        <v>95</v>
      </c>
      <c r="CK16" s="45" t="s">
        <v>120</v>
      </c>
      <c r="CL16" s="45" t="s">
        <v>44</v>
      </c>
      <c r="CM16" s="45" t="s">
        <v>55</v>
      </c>
      <c r="CN16" s="45" t="s">
        <v>41</v>
      </c>
      <c r="CO16" s="45" t="s">
        <v>96</v>
      </c>
      <c r="CP16" s="45" t="s">
        <v>101</v>
      </c>
      <c r="CQ16" s="45" t="s">
        <v>43</v>
      </c>
      <c r="CR16" s="45" t="s">
        <v>104</v>
      </c>
      <c r="CS16" s="45" t="s">
        <v>104</v>
      </c>
      <c r="CT16" s="45" t="s">
        <v>139</v>
      </c>
      <c r="CU16" s="45" t="s">
        <v>85</v>
      </c>
      <c r="CV16" s="45" t="s">
        <v>34</v>
      </c>
      <c r="CW16" s="45" t="s">
        <v>143</v>
      </c>
      <c r="CX16" s="45" t="s">
        <v>55</v>
      </c>
      <c r="CY16" s="45" t="s">
        <v>94</v>
      </c>
      <c r="CZ16" s="45" t="s">
        <v>58</v>
      </c>
      <c r="DA16" s="45" t="s">
        <v>142</v>
      </c>
      <c r="DB16" s="45" t="s">
        <v>144</v>
      </c>
      <c r="DC16" s="45" t="s">
        <v>66</v>
      </c>
      <c r="DD16" s="45" t="s">
        <v>54</v>
      </c>
      <c r="DE16" s="45" t="s">
        <v>116</v>
      </c>
      <c r="DF16" s="45" t="s">
        <v>120</v>
      </c>
      <c r="DG16" s="45" t="s">
        <v>43</v>
      </c>
      <c r="DH16" s="45" t="s">
        <v>43</v>
      </c>
      <c r="DI16" s="45" t="s">
        <v>58</v>
      </c>
      <c r="DJ16" s="45" t="s">
        <v>58</v>
      </c>
      <c r="DK16" s="45" t="s">
        <v>43</v>
      </c>
      <c r="DL16" s="45" t="s">
        <v>29</v>
      </c>
      <c r="DM16" s="45" t="s">
        <v>13</v>
      </c>
      <c r="DN16" s="45" t="s">
        <v>96</v>
      </c>
      <c r="DO16" s="45" t="s">
        <v>129</v>
      </c>
      <c r="DP16" s="45" t="s">
        <v>13</v>
      </c>
      <c r="DQ16" s="45" t="s">
        <v>26</v>
      </c>
      <c r="DR16" s="45" t="s">
        <v>25</v>
      </c>
      <c r="DS16" s="45" t="s">
        <v>84</v>
      </c>
      <c r="DT16" s="45" t="s">
        <v>142</v>
      </c>
      <c r="DU16" s="45" t="s">
        <v>108</v>
      </c>
      <c r="DV16" s="45" t="s">
        <v>116</v>
      </c>
      <c r="DW16" s="45" t="s">
        <v>116</v>
      </c>
      <c r="DX16" s="45" t="s">
        <v>26</v>
      </c>
      <c r="DY16" s="45" t="s">
        <v>26</v>
      </c>
      <c r="DZ16" s="45" t="s">
        <v>25</v>
      </c>
      <c r="EA16" s="45" t="s">
        <v>142</v>
      </c>
      <c r="EB16" s="45" t="s">
        <v>120</v>
      </c>
      <c r="EC16" s="45" t="s">
        <v>36</v>
      </c>
      <c r="ED16" s="45" t="s">
        <v>143</v>
      </c>
      <c r="EE16" s="45" t="s">
        <v>145</v>
      </c>
      <c r="EF16" s="45" t="s">
        <v>145</v>
      </c>
      <c r="EG16" s="45" t="s">
        <v>145</v>
      </c>
      <c r="EH16" s="45" t="s">
        <v>143</v>
      </c>
      <c r="EI16" s="45" t="s">
        <v>143</v>
      </c>
      <c r="EJ16" s="45" t="s">
        <v>145</v>
      </c>
    </row>
    <row r="17" customFormat="false" ht="15.75" hidden="false" customHeight="false" outlineLevel="0" collapsed="false">
      <c r="A17" s="249" t="n">
        <v>13</v>
      </c>
      <c r="B17" s="251" t="s">
        <v>70</v>
      </c>
      <c r="C17" s="45" t="s">
        <v>114</v>
      </c>
      <c r="D17" s="45" t="s">
        <v>114</v>
      </c>
      <c r="E17" s="45" t="s">
        <v>80</v>
      </c>
      <c r="F17" s="45" t="s">
        <v>141</v>
      </c>
      <c r="G17" s="45" t="s">
        <v>28</v>
      </c>
      <c r="H17" s="45" t="s">
        <v>87</v>
      </c>
      <c r="I17" s="45" t="s">
        <v>28</v>
      </c>
      <c r="J17" s="45" t="s">
        <v>139</v>
      </c>
      <c r="K17" s="45" t="s">
        <v>151</v>
      </c>
      <c r="L17" s="45" t="s">
        <v>87</v>
      </c>
      <c r="M17" s="45" t="s">
        <v>121</v>
      </c>
      <c r="N17" s="45" t="s">
        <v>137</v>
      </c>
      <c r="O17" s="45" t="s">
        <v>137</v>
      </c>
      <c r="P17" s="45" t="s">
        <v>69</v>
      </c>
      <c r="Q17" s="45" t="s">
        <v>70</v>
      </c>
      <c r="R17" s="45" t="s">
        <v>141</v>
      </c>
      <c r="S17" s="45" t="s">
        <v>28</v>
      </c>
      <c r="T17" s="45" t="s">
        <v>80</v>
      </c>
      <c r="U17" s="45" t="s">
        <v>125</v>
      </c>
      <c r="V17" s="45" t="s">
        <v>114</v>
      </c>
      <c r="W17" s="45" t="s">
        <v>40</v>
      </c>
      <c r="X17" s="45" t="s">
        <v>151</v>
      </c>
      <c r="Y17" s="45" t="s">
        <v>41</v>
      </c>
      <c r="Z17" s="45" t="s">
        <v>40</v>
      </c>
      <c r="AA17" s="45" t="s">
        <v>85</v>
      </c>
      <c r="AB17" s="45" t="s">
        <v>80</v>
      </c>
      <c r="AC17" s="45" t="s">
        <v>141</v>
      </c>
      <c r="AD17" s="45" t="s">
        <v>46</v>
      </c>
      <c r="AE17" s="45" t="s">
        <v>101</v>
      </c>
      <c r="AF17" s="45" t="s">
        <v>87</v>
      </c>
      <c r="AG17" s="45" t="s">
        <v>85</v>
      </c>
      <c r="AH17" s="45" t="s">
        <v>33</v>
      </c>
      <c r="AI17" s="45" t="s">
        <v>57</v>
      </c>
      <c r="AJ17" s="45" t="s">
        <v>150</v>
      </c>
      <c r="AK17" s="45" t="s">
        <v>150</v>
      </c>
      <c r="AL17" s="45" t="s">
        <v>61</v>
      </c>
      <c r="AM17" s="45" t="s">
        <v>61</v>
      </c>
      <c r="AN17" s="45" t="s">
        <v>89</v>
      </c>
      <c r="AO17" s="45" t="s">
        <v>44</v>
      </c>
      <c r="AP17" s="45" t="s">
        <v>41</v>
      </c>
      <c r="AQ17" s="45" t="s">
        <v>64</v>
      </c>
      <c r="AR17" s="45" t="s">
        <v>46</v>
      </c>
      <c r="AS17" s="45" t="s">
        <v>33</v>
      </c>
      <c r="AT17" s="45" t="s">
        <v>22</v>
      </c>
      <c r="AU17" s="45" t="s">
        <v>89</v>
      </c>
      <c r="AV17" s="45" t="s">
        <v>86</v>
      </c>
      <c r="AW17" s="45" t="s">
        <v>48</v>
      </c>
      <c r="AX17" s="45" t="s">
        <v>108</v>
      </c>
      <c r="AY17" s="45" t="s">
        <v>29</v>
      </c>
      <c r="AZ17" s="45" t="s">
        <v>126</v>
      </c>
      <c r="BA17" s="45" t="s">
        <v>22</v>
      </c>
      <c r="BB17" s="45" t="s">
        <v>150</v>
      </c>
      <c r="BC17" s="45" t="s">
        <v>111</v>
      </c>
      <c r="BD17" s="45" t="s">
        <v>151</v>
      </c>
      <c r="BE17" s="45" t="s">
        <v>64</v>
      </c>
      <c r="BF17" s="45" t="s">
        <v>129</v>
      </c>
      <c r="BG17" s="45" t="s">
        <v>129</v>
      </c>
      <c r="BH17" s="45" t="s">
        <v>91</v>
      </c>
      <c r="BI17" s="45" t="s">
        <v>129</v>
      </c>
      <c r="BJ17" s="45" t="s">
        <v>128</v>
      </c>
      <c r="BK17" s="45" t="s">
        <v>13</v>
      </c>
      <c r="BL17" s="45" t="s">
        <v>121</v>
      </c>
      <c r="BM17" s="45" t="s">
        <v>86</v>
      </c>
      <c r="BN17" s="45" t="s">
        <v>89</v>
      </c>
      <c r="BO17" s="45" t="s">
        <v>126</v>
      </c>
      <c r="BP17" s="45" t="s">
        <v>94</v>
      </c>
      <c r="BQ17" s="45" t="s">
        <v>54</v>
      </c>
      <c r="BR17" s="45" t="s">
        <v>36</v>
      </c>
      <c r="BS17" s="45" t="s">
        <v>120</v>
      </c>
      <c r="BT17" s="45" t="s">
        <v>46</v>
      </c>
      <c r="BU17" s="45" t="s">
        <v>147</v>
      </c>
      <c r="BV17" s="45" t="s">
        <v>63</v>
      </c>
      <c r="BW17" s="45" t="s">
        <v>62</v>
      </c>
      <c r="BX17" s="45" t="s">
        <v>111</v>
      </c>
      <c r="BY17" s="45" t="s">
        <v>63</v>
      </c>
      <c r="BZ17" s="45" t="s">
        <v>63</v>
      </c>
      <c r="CA17" s="45" t="s">
        <v>47</v>
      </c>
      <c r="CB17" s="45" t="s">
        <v>47</v>
      </c>
      <c r="CC17" s="45" t="s">
        <v>151</v>
      </c>
      <c r="CD17" s="45" t="s">
        <v>66</v>
      </c>
      <c r="CE17" s="45" t="s">
        <v>147</v>
      </c>
      <c r="CF17" s="45" t="s">
        <v>64</v>
      </c>
      <c r="CG17" s="45" t="s">
        <v>28</v>
      </c>
      <c r="CH17" s="45" t="s">
        <v>94</v>
      </c>
      <c r="CI17" s="45" t="s">
        <v>31</v>
      </c>
      <c r="CJ17" s="45" t="s">
        <v>95</v>
      </c>
      <c r="CK17" s="45" t="s">
        <v>120</v>
      </c>
      <c r="CL17" s="45" t="s">
        <v>44</v>
      </c>
      <c r="CM17" s="45" t="s">
        <v>55</v>
      </c>
      <c r="CN17" s="45" t="s">
        <v>41</v>
      </c>
      <c r="CO17" s="45" t="s">
        <v>96</v>
      </c>
      <c r="CP17" s="45" t="s">
        <v>101</v>
      </c>
      <c r="CQ17" s="45" t="s">
        <v>43</v>
      </c>
      <c r="CR17" s="45" t="s">
        <v>104</v>
      </c>
      <c r="CS17" s="45" t="s">
        <v>104</v>
      </c>
      <c r="CT17" s="45" t="s">
        <v>139</v>
      </c>
      <c r="CU17" s="45" t="s">
        <v>85</v>
      </c>
      <c r="CV17" s="45" t="s">
        <v>34</v>
      </c>
      <c r="CW17" s="45" t="s">
        <v>143</v>
      </c>
      <c r="CX17" s="45" t="s">
        <v>55</v>
      </c>
      <c r="CY17" s="45" t="s">
        <v>94</v>
      </c>
      <c r="CZ17" s="45" t="s">
        <v>58</v>
      </c>
      <c r="DA17" s="45" t="s">
        <v>142</v>
      </c>
      <c r="DB17" s="45" t="s">
        <v>144</v>
      </c>
      <c r="DC17" s="45" t="s">
        <v>66</v>
      </c>
      <c r="DD17" s="45" t="s">
        <v>54</v>
      </c>
      <c r="DE17" s="45" t="s">
        <v>116</v>
      </c>
      <c r="DF17" s="45" t="s">
        <v>120</v>
      </c>
      <c r="DG17" s="45" t="s">
        <v>43</v>
      </c>
      <c r="DH17" s="45" t="s">
        <v>43</v>
      </c>
      <c r="DI17" s="45" t="s">
        <v>58</v>
      </c>
      <c r="DJ17" s="45" t="s">
        <v>58</v>
      </c>
      <c r="DK17" s="45" t="s">
        <v>43</v>
      </c>
      <c r="DL17" s="45" t="s">
        <v>29</v>
      </c>
      <c r="DM17" s="45" t="s">
        <v>13</v>
      </c>
      <c r="DN17" s="45" t="s">
        <v>96</v>
      </c>
      <c r="DO17" s="45" t="s">
        <v>129</v>
      </c>
      <c r="DP17" s="45" t="s">
        <v>13</v>
      </c>
      <c r="DQ17" s="45" t="s">
        <v>26</v>
      </c>
      <c r="DR17" s="45" t="s">
        <v>25</v>
      </c>
      <c r="DS17" s="45" t="s">
        <v>84</v>
      </c>
      <c r="DT17" s="45" t="s">
        <v>142</v>
      </c>
      <c r="DU17" s="45" t="s">
        <v>108</v>
      </c>
      <c r="DV17" s="45" t="s">
        <v>116</v>
      </c>
      <c r="DW17" s="45" t="s">
        <v>116</v>
      </c>
      <c r="DX17" s="45" t="s">
        <v>26</v>
      </c>
      <c r="DY17" s="45" t="s">
        <v>26</v>
      </c>
      <c r="DZ17" s="45" t="s">
        <v>25</v>
      </c>
      <c r="EA17" s="45" t="s">
        <v>142</v>
      </c>
      <c r="EB17" s="45" t="s">
        <v>120</v>
      </c>
      <c r="EC17" s="45" t="s">
        <v>36</v>
      </c>
      <c r="ED17" s="45" t="s">
        <v>143</v>
      </c>
      <c r="EE17" s="45" t="s">
        <v>145</v>
      </c>
      <c r="EF17" s="45" t="s">
        <v>145</v>
      </c>
      <c r="EG17" s="45" t="s">
        <v>145</v>
      </c>
      <c r="EH17" s="45" t="s">
        <v>143</v>
      </c>
      <c r="EI17" s="45" t="s">
        <v>143</v>
      </c>
      <c r="EJ17" s="45" t="s">
        <v>145</v>
      </c>
    </row>
    <row r="18" customFormat="false" ht="15.75" hidden="false" customHeight="false" outlineLevel="0" collapsed="false">
      <c r="A18" s="249" t="n">
        <v>14</v>
      </c>
      <c r="B18" s="250" t="s">
        <v>148</v>
      </c>
      <c r="C18" s="45" t="s">
        <v>32</v>
      </c>
      <c r="D18" s="45" t="s">
        <v>38</v>
      </c>
      <c r="E18" s="45" t="s">
        <v>102</v>
      </c>
      <c r="F18" s="45" t="s">
        <v>93</v>
      </c>
      <c r="G18" s="45" t="s">
        <v>93</v>
      </c>
      <c r="H18" s="45" t="s">
        <v>74</v>
      </c>
      <c r="I18" s="45" t="s">
        <v>93</v>
      </c>
      <c r="J18" s="45" t="s">
        <v>114</v>
      </c>
      <c r="K18" s="45" t="s">
        <v>137</v>
      </c>
      <c r="L18" s="45" t="s">
        <v>59</v>
      </c>
      <c r="M18" s="45" t="s">
        <v>55</v>
      </c>
      <c r="N18" s="45" t="s">
        <v>132</v>
      </c>
      <c r="O18" s="45" t="s">
        <v>56</v>
      </c>
      <c r="P18" s="45" t="s">
        <v>141</v>
      </c>
      <c r="Q18" s="45" t="s">
        <v>141</v>
      </c>
      <c r="R18" s="45" t="s">
        <v>148</v>
      </c>
      <c r="S18" s="45" t="s">
        <v>71</v>
      </c>
      <c r="T18" s="45" t="s">
        <v>90</v>
      </c>
      <c r="U18" s="45" t="s">
        <v>71</v>
      </c>
      <c r="V18" s="45" t="s">
        <v>38</v>
      </c>
      <c r="W18" s="45" t="s">
        <v>141</v>
      </c>
      <c r="X18" s="45" t="s">
        <v>87</v>
      </c>
      <c r="Y18" s="45" t="s">
        <v>28</v>
      </c>
      <c r="Z18" s="45" t="s">
        <v>141</v>
      </c>
      <c r="AA18" s="45" t="s">
        <v>80</v>
      </c>
      <c r="AB18" s="45" t="s">
        <v>90</v>
      </c>
      <c r="AC18" s="45" t="s">
        <v>148</v>
      </c>
      <c r="AD18" s="45" t="s">
        <v>150</v>
      </c>
      <c r="AE18" s="45" t="s">
        <v>85</v>
      </c>
      <c r="AF18" s="45" t="s">
        <v>59</v>
      </c>
      <c r="AG18" s="45" t="s">
        <v>80</v>
      </c>
      <c r="AH18" s="45" t="s">
        <v>111</v>
      </c>
      <c r="AI18" s="45" t="s">
        <v>42</v>
      </c>
      <c r="AJ18" s="45" t="s">
        <v>86</v>
      </c>
      <c r="AK18" s="45" t="s">
        <v>86</v>
      </c>
      <c r="AL18" s="45" t="s">
        <v>93</v>
      </c>
      <c r="AM18" s="45" t="s">
        <v>93</v>
      </c>
      <c r="AN18" s="45" t="s">
        <v>95</v>
      </c>
      <c r="AO18" s="45" t="s">
        <v>48</v>
      </c>
      <c r="AP18" s="45" t="s">
        <v>28</v>
      </c>
      <c r="AQ18" s="45" t="s">
        <v>151</v>
      </c>
      <c r="AR18" s="45" t="s">
        <v>150</v>
      </c>
      <c r="AS18" s="45" t="s">
        <v>151</v>
      </c>
      <c r="AT18" s="45" t="s">
        <v>111</v>
      </c>
      <c r="AU18" s="45" t="s">
        <v>31</v>
      </c>
      <c r="AV18" s="45" t="s">
        <v>42</v>
      </c>
      <c r="AW18" s="45" t="s">
        <v>126</v>
      </c>
      <c r="AX18" s="45" t="s">
        <v>126</v>
      </c>
      <c r="AY18" s="45" t="s">
        <v>55</v>
      </c>
      <c r="AZ18" s="45" t="s">
        <v>91</v>
      </c>
      <c r="BA18" s="45" t="s">
        <v>111</v>
      </c>
      <c r="BB18" s="45" t="s">
        <v>85</v>
      </c>
      <c r="BC18" s="45" t="s">
        <v>87</v>
      </c>
      <c r="BD18" s="45" t="s">
        <v>87</v>
      </c>
      <c r="BE18" s="45" t="s">
        <v>41</v>
      </c>
      <c r="BF18" s="45" t="s">
        <v>69</v>
      </c>
      <c r="BG18" s="45" t="s">
        <v>40</v>
      </c>
      <c r="BH18" s="45" t="s">
        <v>62</v>
      </c>
      <c r="BI18" s="45" t="s">
        <v>139</v>
      </c>
      <c r="BJ18" s="45" t="s">
        <v>85</v>
      </c>
      <c r="BK18" s="45" t="s">
        <v>104</v>
      </c>
      <c r="BL18" s="45" t="s">
        <v>55</v>
      </c>
      <c r="BM18" s="45" t="s">
        <v>80</v>
      </c>
      <c r="BN18" s="45" t="s">
        <v>31</v>
      </c>
      <c r="BO18" s="45" t="s">
        <v>129</v>
      </c>
      <c r="BP18" s="45" t="s">
        <v>46</v>
      </c>
      <c r="BQ18" s="45" t="s">
        <v>96</v>
      </c>
      <c r="BR18" s="45" t="s">
        <v>108</v>
      </c>
      <c r="BS18" s="45" t="s">
        <v>43</v>
      </c>
      <c r="BT18" s="45" t="s">
        <v>150</v>
      </c>
      <c r="BU18" s="45" t="s">
        <v>64</v>
      </c>
      <c r="BV18" s="45" t="s">
        <v>129</v>
      </c>
      <c r="BW18" s="45" t="s">
        <v>61</v>
      </c>
      <c r="BX18" s="45" t="s">
        <v>57</v>
      </c>
      <c r="BY18" s="45" t="s">
        <v>129</v>
      </c>
      <c r="BZ18" s="45" t="s">
        <v>129</v>
      </c>
      <c r="CA18" s="45" t="s">
        <v>54</v>
      </c>
      <c r="CB18" s="45" t="s">
        <v>54</v>
      </c>
      <c r="CC18" s="45" t="s">
        <v>137</v>
      </c>
      <c r="CD18" s="45" t="s">
        <v>101</v>
      </c>
      <c r="CE18" s="45" t="s">
        <v>96</v>
      </c>
      <c r="CF18" s="45" t="s">
        <v>151</v>
      </c>
      <c r="CG18" s="45" t="s">
        <v>93</v>
      </c>
      <c r="CH18" s="45" t="s">
        <v>46</v>
      </c>
      <c r="CI18" s="45" t="s">
        <v>63</v>
      </c>
      <c r="CJ18" s="45" t="s">
        <v>66</v>
      </c>
      <c r="CK18" s="45" t="s">
        <v>89</v>
      </c>
      <c r="CL18" s="45" t="s">
        <v>48</v>
      </c>
      <c r="CM18" s="45" t="s">
        <v>33</v>
      </c>
      <c r="CN18" s="45" t="s">
        <v>137</v>
      </c>
      <c r="CO18" s="45" t="s">
        <v>62</v>
      </c>
      <c r="CP18" s="45" t="s">
        <v>139</v>
      </c>
      <c r="CQ18" s="45" t="s">
        <v>94</v>
      </c>
      <c r="CR18" s="45" t="s">
        <v>147</v>
      </c>
      <c r="CS18" s="45" t="s">
        <v>147</v>
      </c>
      <c r="CT18" s="45" t="s">
        <v>114</v>
      </c>
      <c r="CU18" s="45" t="s">
        <v>80</v>
      </c>
      <c r="CV18" s="45" t="s">
        <v>55</v>
      </c>
      <c r="CW18" s="45" t="s">
        <v>13</v>
      </c>
      <c r="CX18" s="45" t="s">
        <v>33</v>
      </c>
      <c r="CY18" s="45" t="s">
        <v>46</v>
      </c>
      <c r="CZ18" s="45" t="s">
        <v>29</v>
      </c>
      <c r="DA18" s="45" t="s">
        <v>29</v>
      </c>
      <c r="DB18" s="45" t="s">
        <v>128</v>
      </c>
      <c r="DC18" s="45" t="s">
        <v>101</v>
      </c>
      <c r="DD18" s="45" t="s">
        <v>96</v>
      </c>
      <c r="DE18" s="45" t="s">
        <v>104</v>
      </c>
      <c r="DF18" s="45" t="s">
        <v>43</v>
      </c>
      <c r="DG18" s="45" t="s">
        <v>94</v>
      </c>
      <c r="DH18" s="45" t="s">
        <v>94</v>
      </c>
      <c r="DI18" s="45" t="s">
        <v>121</v>
      </c>
      <c r="DJ18" s="45" t="s">
        <v>34</v>
      </c>
      <c r="DK18" s="45" t="s">
        <v>94</v>
      </c>
      <c r="DL18" s="45" t="s">
        <v>94</v>
      </c>
      <c r="DM18" s="45" t="s">
        <v>47</v>
      </c>
      <c r="DN18" s="45" t="s">
        <v>41</v>
      </c>
      <c r="DO18" s="45" t="s">
        <v>40</v>
      </c>
      <c r="DP18" s="45" t="s">
        <v>47</v>
      </c>
      <c r="DQ18" s="45" t="s">
        <v>120</v>
      </c>
      <c r="DR18" s="45" t="s">
        <v>44</v>
      </c>
      <c r="DS18" s="45" t="s">
        <v>36</v>
      </c>
      <c r="DT18" s="45" t="s">
        <v>43</v>
      </c>
      <c r="DU18" s="45" t="s">
        <v>54</v>
      </c>
      <c r="DV18" s="45" t="s">
        <v>121</v>
      </c>
      <c r="DW18" s="45" t="s">
        <v>121</v>
      </c>
      <c r="DX18" s="45" t="s">
        <v>142</v>
      </c>
      <c r="DY18" s="45" t="s">
        <v>120</v>
      </c>
      <c r="DZ18" s="45" t="s">
        <v>89</v>
      </c>
      <c r="EA18" s="45" t="s">
        <v>43</v>
      </c>
      <c r="EB18" s="45" t="s">
        <v>89</v>
      </c>
      <c r="EC18" s="45" t="s">
        <v>108</v>
      </c>
      <c r="ED18" s="45" t="s">
        <v>13</v>
      </c>
      <c r="EE18" s="45" t="s">
        <v>142</v>
      </c>
      <c r="EF18" s="45" t="s">
        <v>58</v>
      </c>
      <c r="EG18" s="45" t="s">
        <v>58</v>
      </c>
      <c r="EH18" s="45" t="s">
        <v>13</v>
      </c>
      <c r="EI18" s="45" t="s">
        <v>116</v>
      </c>
      <c r="EJ18" s="45" t="s">
        <v>58</v>
      </c>
    </row>
    <row r="19" customFormat="false" ht="15.75" hidden="false" customHeight="false" outlineLevel="0" collapsed="false">
      <c r="A19" s="249" t="n">
        <v>15</v>
      </c>
      <c r="B19" s="250" t="s">
        <v>74</v>
      </c>
      <c r="C19" s="45" t="s">
        <v>93</v>
      </c>
      <c r="D19" s="45" t="s">
        <v>93</v>
      </c>
      <c r="E19" s="45" t="s">
        <v>148</v>
      </c>
      <c r="F19" s="45" t="s">
        <v>132</v>
      </c>
      <c r="G19" s="45" t="s">
        <v>59</v>
      </c>
      <c r="H19" s="45" t="s">
        <v>80</v>
      </c>
      <c r="I19" s="45" t="s">
        <v>59</v>
      </c>
      <c r="J19" s="45" t="s">
        <v>28</v>
      </c>
      <c r="K19" s="45" t="s">
        <v>86</v>
      </c>
      <c r="L19" s="45" t="s">
        <v>80</v>
      </c>
      <c r="M19" s="45" t="s">
        <v>94</v>
      </c>
      <c r="N19" s="45" t="s">
        <v>42</v>
      </c>
      <c r="O19" s="45" t="s">
        <v>80</v>
      </c>
      <c r="P19" s="45" t="s">
        <v>28</v>
      </c>
      <c r="Q19" s="45" t="s">
        <v>28</v>
      </c>
      <c r="R19" s="45" t="s">
        <v>71</v>
      </c>
      <c r="S19" s="45" t="s">
        <v>74</v>
      </c>
      <c r="T19" s="45" t="s">
        <v>93</v>
      </c>
      <c r="U19" s="45" t="s">
        <v>42</v>
      </c>
      <c r="V19" s="45" t="s">
        <v>71</v>
      </c>
      <c r="W19" s="45" t="s">
        <v>125</v>
      </c>
      <c r="X19" s="45" t="s">
        <v>85</v>
      </c>
      <c r="Y19" s="45" t="s">
        <v>87</v>
      </c>
      <c r="Z19" s="45" t="s">
        <v>137</v>
      </c>
      <c r="AA19" s="45" t="s">
        <v>141</v>
      </c>
      <c r="AB19" s="45" t="s">
        <v>93</v>
      </c>
      <c r="AC19" s="45" t="s">
        <v>71</v>
      </c>
      <c r="AD19" s="45" t="s">
        <v>129</v>
      </c>
      <c r="AE19" s="45" t="s">
        <v>62</v>
      </c>
      <c r="AF19" s="45" t="s">
        <v>80</v>
      </c>
      <c r="AG19" s="45" t="s">
        <v>141</v>
      </c>
      <c r="AH19" s="45" t="s">
        <v>101</v>
      </c>
      <c r="AI19" s="45" t="s">
        <v>114</v>
      </c>
      <c r="AJ19" s="45" t="s">
        <v>69</v>
      </c>
      <c r="AK19" s="45" t="s">
        <v>139</v>
      </c>
      <c r="AL19" s="45" t="s">
        <v>56</v>
      </c>
      <c r="AM19" s="45" t="s">
        <v>56</v>
      </c>
      <c r="AN19" s="45" t="s">
        <v>108</v>
      </c>
      <c r="AO19" s="45" t="s">
        <v>104</v>
      </c>
      <c r="AP19" s="45" t="s">
        <v>87</v>
      </c>
      <c r="AQ19" s="45" t="s">
        <v>150</v>
      </c>
      <c r="AR19" s="45" t="s">
        <v>129</v>
      </c>
      <c r="AS19" s="45" t="s">
        <v>128</v>
      </c>
      <c r="AT19" s="45" t="s">
        <v>101</v>
      </c>
      <c r="AU19" s="45" t="s">
        <v>108</v>
      </c>
      <c r="AV19" s="45" t="s">
        <v>114</v>
      </c>
      <c r="AW19" s="45" t="s">
        <v>147</v>
      </c>
      <c r="AX19" s="45" t="s">
        <v>55</v>
      </c>
      <c r="AY19" s="45" t="s">
        <v>95</v>
      </c>
      <c r="AZ19" s="45" t="s">
        <v>64</v>
      </c>
      <c r="BA19" s="45" t="s">
        <v>101</v>
      </c>
      <c r="BB19" s="45" t="s">
        <v>40</v>
      </c>
      <c r="BC19" s="45" t="s">
        <v>85</v>
      </c>
      <c r="BD19" s="45" t="s">
        <v>85</v>
      </c>
      <c r="BE19" s="45" t="s">
        <v>150</v>
      </c>
      <c r="BF19" s="45" t="s">
        <v>41</v>
      </c>
      <c r="BG19" s="45" t="s">
        <v>41</v>
      </c>
      <c r="BH19" s="45" t="s">
        <v>151</v>
      </c>
      <c r="BI19" s="45" t="s">
        <v>41</v>
      </c>
      <c r="BJ19" s="45" t="s">
        <v>40</v>
      </c>
      <c r="BK19" s="45" t="s">
        <v>29</v>
      </c>
      <c r="BL19" s="45" t="s">
        <v>94</v>
      </c>
      <c r="BM19" s="45" t="s">
        <v>141</v>
      </c>
      <c r="BN19" s="45" t="s">
        <v>47</v>
      </c>
      <c r="BO19" s="45" t="s">
        <v>64</v>
      </c>
      <c r="BP19" s="45" t="s">
        <v>63</v>
      </c>
      <c r="BQ19" s="45" t="s">
        <v>33</v>
      </c>
      <c r="BR19" s="45" t="s">
        <v>121</v>
      </c>
      <c r="BS19" s="45" t="s">
        <v>44</v>
      </c>
      <c r="BT19" s="45" t="s">
        <v>129</v>
      </c>
      <c r="BU19" s="45" t="s">
        <v>46</v>
      </c>
      <c r="BV19" s="45" t="s">
        <v>96</v>
      </c>
      <c r="BW19" s="45" t="s">
        <v>137</v>
      </c>
      <c r="BX19" s="45" t="s">
        <v>139</v>
      </c>
      <c r="BY19" s="45" t="s">
        <v>96</v>
      </c>
      <c r="BZ19" s="45" t="s">
        <v>96</v>
      </c>
      <c r="CA19" s="45" t="s">
        <v>55</v>
      </c>
      <c r="CB19" s="45" t="s">
        <v>55</v>
      </c>
      <c r="CC19" s="45" t="s">
        <v>86</v>
      </c>
      <c r="CD19" s="45" t="s">
        <v>91</v>
      </c>
      <c r="CE19" s="45" t="s">
        <v>22</v>
      </c>
      <c r="CF19" s="45" t="s">
        <v>150</v>
      </c>
      <c r="CG19" s="45" t="s">
        <v>59</v>
      </c>
      <c r="CH19" s="45" t="s">
        <v>63</v>
      </c>
      <c r="CI19" s="45" t="s">
        <v>54</v>
      </c>
      <c r="CJ19" s="45" t="s">
        <v>126</v>
      </c>
      <c r="CK19" s="45" t="s">
        <v>36</v>
      </c>
      <c r="CL19" s="45" t="s">
        <v>104</v>
      </c>
      <c r="CM19" s="45" t="s">
        <v>66</v>
      </c>
      <c r="CN19" s="45" t="s">
        <v>86</v>
      </c>
      <c r="CO19" s="45" t="s">
        <v>151</v>
      </c>
      <c r="CP19" s="45" t="s">
        <v>62</v>
      </c>
      <c r="CQ19" s="45" t="s">
        <v>48</v>
      </c>
      <c r="CR19" s="45" t="s">
        <v>94</v>
      </c>
      <c r="CS19" s="45" t="s">
        <v>94</v>
      </c>
      <c r="CT19" s="45" t="s">
        <v>28</v>
      </c>
      <c r="CU19" s="45" t="s">
        <v>61</v>
      </c>
      <c r="CV19" s="45" t="s">
        <v>94</v>
      </c>
      <c r="CW19" s="45" t="s">
        <v>58</v>
      </c>
      <c r="CX19" s="45" t="s">
        <v>144</v>
      </c>
      <c r="CY19" s="45" t="s">
        <v>63</v>
      </c>
      <c r="CZ19" s="45" t="s">
        <v>89</v>
      </c>
      <c r="DA19" s="45" t="s">
        <v>89</v>
      </c>
      <c r="DB19" s="45" t="s">
        <v>129</v>
      </c>
      <c r="DC19" s="45" t="s">
        <v>96</v>
      </c>
      <c r="DD19" s="45" t="s">
        <v>64</v>
      </c>
      <c r="DE19" s="45" t="s">
        <v>43</v>
      </c>
      <c r="DF19" s="45" t="s">
        <v>44</v>
      </c>
      <c r="DG19" s="45" t="s">
        <v>31</v>
      </c>
      <c r="DH19" s="45" t="s">
        <v>48</v>
      </c>
      <c r="DI19" s="45" t="s">
        <v>43</v>
      </c>
      <c r="DJ19" s="45" t="s">
        <v>43</v>
      </c>
      <c r="DK19" s="45" t="s">
        <v>48</v>
      </c>
      <c r="DL19" s="45" t="s">
        <v>31</v>
      </c>
      <c r="DM19" s="45" t="s">
        <v>29</v>
      </c>
      <c r="DN19" s="45" t="s">
        <v>151</v>
      </c>
      <c r="DO19" s="45" t="s">
        <v>41</v>
      </c>
      <c r="DP19" s="45" t="s">
        <v>34</v>
      </c>
      <c r="DQ19" s="45" t="s">
        <v>84</v>
      </c>
      <c r="DR19" s="45" t="s">
        <v>13</v>
      </c>
      <c r="DS19" s="45" t="s">
        <v>58</v>
      </c>
      <c r="DT19" s="45" t="s">
        <v>89</v>
      </c>
      <c r="DU19" s="45" t="s">
        <v>55</v>
      </c>
      <c r="DV19" s="45" t="s">
        <v>43</v>
      </c>
      <c r="DW19" s="45" t="s">
        <v>43</v>
      </c>
      <c r="DX19" s="45" t="s">
        <v>25</v>
      </c>
      <c r="DY19" s="45" t="s">
        <v>25</v>
      </c>
      <c r="DZ19" s="45" t="s">
        <v>13</v>
      </c>
      <c r="EA19" s="45" t="s">
        <v>44</v>
      </c>
      <c r="EB19" s="45" t="s">
        <v>36</v>
      </c>
      <c r="EC19" s="45" t="s">
        <v>121</v>
      </c>
      <c r="ED19" s="45" t="s">
        <v>58</v>
      </c>
      <c r="EE19" s="45" t="s">
        <v>120</v>
      </c>
      <c r="EF19" s="45" t="s">
        <v>120</v>
      </c>
      <c r="EG19" s="45" t="s">
        <v>120</v>
      </c>
      <c r="EH19" s="45" t="s">
        <v>142</v>
      </c>
      <c r="EI19" s="45" t="s">
        <v>142</v>
      </c>
      <c r="EJ19" s="45" t="s">
        <v>120</v>
      </c>
    </row>
    <row r="20" customFormat="false" ht="15.75" hidden="false" customHeight="false" outlineLevel="0" collapsed="false">
      <c r="A20" s="249" t="n">
        <v>16</v>
      </c>
      <c r="B20" s="250" t="s">
        <v>140</v>
      </c>
      <c r="C20" s="45" t="s">
        <v>102</v>
      </c>
      <c r="D20" s="45" t="s">
        <v>102</v>
      </c>
      <c r="E20" s="45" t="s">
        <v>140</v>
      </c>
      <c r="F20" s="45" t="s">
        <v>32</v>
      </c>
      <c r="G20" s="45" t="s">
        <v>148</v>
      </c>
      <c r="H20" s="45" t="s">
        <v>132</v>
      </c>
      <c r="I20" s="45" t="s">
        <v>148</v>
      </c>
      <c r="J20" s="45" t="s">
        <v>80</v>
      </c>
      <c r="K20" s="45" t="s">
        <v>28</v>
      </c>
      <c r="L20" s="45" t="s">
        <v>71</v>
      </c>
      <c r="M20" s="45" t="s">
        <v>54</v>
      </c>
      <c r="N20" s="45" t="s">
        <v>93</v>
      </c>
      <c r="O20" s="45" t="s">
        <v>93</v>
      </c>
      <c r="P20" s="45" t="s">
        <v>80</v>
      </c>
      <c r="Q20" s="45" t="s">
        <v>80</v>
      </c>
      <c r="R20" s="45" t="s">
        <v>90</v>
      </c>
      <c r="S20" s="45" t="s">
        <v>93</v>
      </c>
      <c r="T20" s="45" t="s">
        <v>140</v>
      </c>
      <c r="U20" s="45" t="s">
        <v>93</v>
      </c>
      <c r="V20" s="45" t="s">
        <v>90</v>
      </c>
      <c r="W20" s="45" t="s">
        <v>80</v>
      </c>
      <c r="X20" s="45" t="s">
        <v>125</v>
      </c>
      <c r="Y20" s="45" t="s">
        <v>141</v>
      </c>
      <c r="Z20" s="45" t="s">
        <v>114</v>
      </c>
      <c r="AA20" s="45" t="s">
        <v>74</v>
      </c>
      <c r="AB20" s="45" t="s">
        <v>102</v>
      </c>
      <c r="AC20" s="45" t="s">
        <v>90</v>
      </c>
      <c r="AD20" s="45" t="s">
        <v>111</v>
      </c>
      <c r="AE20" s="45" t="s">
        <v>86</v>
      </c>
      <c r="AF20" s="45" t="s">
        <v>71</v>
      </c>
      <c r="AG20" s="45" t="s">
        <v>42</v>
      </c>
      <c r="AH20" s="45" t="s">
        <v>41</v>
      </c>
      <c r="AI20" s="45" t="s">
        <v>56</v>
      </c>
      <c r="AJ20" s="45" t="s">
        <v>87</v>
      </c>
      <c r="AK20" s="45" t="s">
        <v>87</v>
      </c>
      <c r="AL20" s="45" t="s">
        <v>38</v>
      </c>
      <c r="AM20" s="45" t="s">
        <v>38</v>
      </c>
      <c r="AN20" s="45" t="s">
        <v>94</v>
      </c>
      <c r="AO20" s="45" t="s">
        <v>95</v>
      </c>
      <c r="AP20" s="45" t="s">
        <v>141</v>
      </c>
      <c r="AQ20" s="45" t="s">
        <v>41</v>
      </c>
      <c r="AR20" s="45" t="s">
        <v>151</v>
      </c>
      <c r="AS20" s="45" t="s">
        <v>41</v>
      </c>
      <c r="AT20" s="45" t="s">
        <v>151</v>
      </c>
      <c r="AU20" s="45" t="s">
        <v>94</v>
      </c>
      <c r="AV20" s="45" t="s">
        <v>59</v>
      </c>
      <c r="AW20" s="45" t="s">
        <v>66</v>
      </c>
      <c r="AX20" s="45" t="s">
        <v>63</v>
      </c>
      <c r="AY20" s="45" t="s">
        <v>147</v>
      </c>
      <c r="AZ20" s="45" t="s">
        <v>129</v>
      </c>
      <c r="BA20" s="45" t="s">
        <v>151</v>
      </c>
      <c r="BB20" s="45" t="s">
        <v>87</v>
      </c>
      <c r="BC20" s="45" t="s">
        <v>137</v>
      </c>
      <c r="BD20" s="45" t="s">
        <v>28</v>
      </c>
      <c r="BE20" s="45" t="s">
        <v>62</v>
      </c>
      <c r="BF20" s="45" t="s">
        <v>85</v>
      </c>
      <c r="BG20" s="45" t="s">
        <v>85</v>
      </c>
      <c r="BH20" s="45" t="s">
        <v>139</v>
      </c>
      <c r="BI20" s="45" t="s">
        <v>85</v>
      </c>
      <c r="BJ20" s="45" t="s">
        <v>57</v>
      </c>
      <c r="BK20" s="45" t="s">
        <v>108</v>
      </c>
      <c r="BL20" s="45" t="s">
        <v>54</v>
      </c>
      <c r="BM20" s="45" t="s">
        <v>59</v>
      </c>
      <c r="BN20" s="45" t="s">
        <v>94</v>
      </c>
      <c r="BO20" s="45" t="s">
        <v>101</v>
      </c>
      <c r="BP20" s="45" t="s">
        <v>64</v>
      </c>
      <c r="BQ20" s="45" t="s">
        <v>129</v>
      </c>
      <c r="BR20" s="45" t="s">
        <v>48</v>
      </c>
      <c r="BS20" s="45" t="s">
        <v>29</v>
      </c>
      <c r="BT20" s="45" t="s">
        <v>151</v>
      </c>
      <c r="BU20" s="45" t="s">
        <v>96</v>
      </c>
      <c r="BV20" s="45" t="s">
        <v>150</v>
      </c>
      <c r="BW20" s="45" t="s">
        <v>114</v>
      </c>
      <c r="BX20" s="45" t="s">
        <v>137</v>
      </c>
      <c r="BY20" s="45" t="s">
        <v>128</v>
      </c>
      <c r="BZ20" s="45" t="s">
        <v>101</v>
      </c>
      <c r="CA20" s="45" t="s">
        <v>63</v>
      </c>
      <c r="CB20" s="45" t="s">
        <v>126</v>
      </c>
      <c r="CC20" s="45" t="s">
        <v>28</v>
      </c>
      <c r="CD20" s="45" t="s">
        <v>150</v>
      </c>
      <c r="CE20" s="45" t="s">
        <v>91</v>
      </c>
      <c r="CF20" s="45" t="s">
        <v>41</v>
      </c>
      <c r="CG20" s="45" t="s">
        <v>148</v>
      </c>
      <c r="CH20" s="45" t="s">
        <v>33</v>
      </c>
      <c r="CI20" s="45" t="s">
        <v>46</v>
      </c>
      <c r="CJ20" s="45" t="s">
        <v>46</v>
      </c>
      <c r="CK20" s="45" t="s">
        <v>43</v>
      </c>
      <c r="CL20" s="45" t="s">
        <v>31</v>
      </c>
      <c r="CM20" s="45" t="s">
        <v>64</v>
      </c>
      <c r="CN20" s="45" t="s">
        <v>28</v>
      </c>
      <c r="CO20" s="45" t="s">
        <v>69</v>
      </c>
      <c r="CP20" s="45" t="s">
        <v>86</v>
      </c>
      <c r="CQ20" s="45" t="s">
        <v>55</v>
      </c>
      <c r="CR20" s="45" t="s">
        <v>126</v>
      </c>
      <c r="CS20" s="45" t="s">
        <v>54</v>
      </c>
      <c r="CT20" s="45" t="s">
        <v>80</v>
      </c>
      <c r="CU20" s="45" t="s">
        <v>42</v>
      </c>
      <c r="CV20" s="45" t="s">
        <v>147</v>
      </c>
      <c r="CW20" s="45" t="s">
        <v>44</v>
      </c>
      <c r="CX20" s="45" t="s">
        <v>96</v>
      </c>
      <c r="CY20" s="45" t="s">
        <v>33</v>
      </c>
      <c r="CZ20" s="45" t="s">
        <v>104</v>
      </c>
      <c r="DA20" s="45" t="s">
        <v>121</v>
      </c>
      <c r="DB20" s="45" t="s">
        <v>111</v>
      </c>
      <c r="DC20" s="45" t="s">
        <v>150</v>
      </c>
      <c r="DD20" s="45" t="s">
        <v>129</v>
      </c>
      <c r="DE20" s="45" t="s">
        <v>108</v>
      </c>
      <c r="DF20" s="45" t="s">
        <v>29</v>
      </c>
      <c r="DG20" s="45" t="s">
        <v>55</v>
      </c>
      <c r="DH20" s="45" t="s">
        <v>94</v>
      </c>
      <c r="DI20" s="45" t="s">
        <v>47</v>
      </c>
      <c r="DJ20" s="45" t="s">
        <v>104</v>
      </c>
      <c r="DK20" s="45" t="s">
        <v>55</v>
      </c>
      <c r="DL20" s="45" t="s">
        <v>55</v>
      </c>
      <c r="DM20" s="45" t="s">
        <v>48</v>
      </c>
      <c r="DN20" s="45" t="s">
        <v>40</v>
      </c>
      <c r="DO20" s="45" t="s">
        <v>139</v>
      </c>
      <c r="DP20" s="45" t="s">
        <v>48</v>
      </c>
      <c r="DQ20" s="45" t="s">
        <v>142</v>
      </c>
      <c r="DR20" s="45" t="s">
        <v>43</v>
      </c>
      <c r="DS20" s="45" t="s">
        <v>44</v>
      </c>
      <c r="DT20" s="45" t="s">
        <v>121</v>
      </c>
      <c r="DU20" s="45" t="s">
        <v>63</v>
      </c>
      <c r="DV20" s="45" t="s">
        <v>47</v>
      </c>
      <c r="DW20" s="45" t="s">
        <v>108</v>
      </c>
      <c r="DX20" s="45" t="s">
        <v>58</v>
      </c>
      <c r="DY20" s="45" t="s">
        <v>58</v>
      </c>
      <c r="DZ20" s="45" t="s">
        <v>43</v>
      </c>
      <c r="EA20" s="45" t="s">
        <v>34</v>
      </c>
      <c r="EB20" s="45" t="s">
        <v>43</v>
      </c>
      <c r="EC20" s="45" t="s">
        <v>31</v>
      </c>
      <c r="ED20" s="45" t="s">
        <v>44</v>
      </c>
      <c r="EE20" s="45" t="s">
        <v>116</v>
      </c>
      <c r="EF20" s="45" t="s">
        <v>13</v>
      </c>
      <c r="EG20" s="45" t="s">
        <v>116</v>
      </c>
      <c r="EH20" s="45" t="s">
        <v>36</v>
      </c>
      <c r="EI20" s="45" t="s">
        <v>13</v>
      </c>
      <c r="EJ20" s="45" t="s">
        <v>13</v>
      </c>
    </row>
    <row r="21" customFormat="false" ht="15.75" hidden="false" customHeight="false" outlineLevel="0" collapsed="false">
      <c r="A21" s="249" t="n">
        <v>17</v>
      </c>
      <c r="B21" s="250" t="s">
        <v>42</v>
      </c>
      <c r="C21" s="45" t="s">
        <v>93</v>
      </c>
      <c r="D21" s="45" t="s">
        <v>71</v>
      </c>
      <c r="E21" s="45" t="s">
        <v>93</v>
      </c>
      <c r="F21" s="45" t="s">
        <v>56</v>
      </c>
      <c r="G21" s="45" t="s">
        <v>74</v>
      </c>
      <c r="H21" s="45" t="s">
        <v>114</v>
      </c>
      <c r="I21" s="45" t="s">
        <v>59</v>
      </c>
      <c r="J21" s="45" t="s">
        <v>28</v>
      </c>
      <c r="K21" s="45" t="s">
        <v>86</v>
      </c>
      <c r="L21" s="45" t="s">
        <v>80</v>
      </c>
      <c r="M21" s="45" t="s">
        <v>94</v>
      </c>
      <c r="N21" s="45" t="s">
        <v>80</v>
      </c>
      <c r="O21" s="45" t="s">
        <v>80</v>
      </c>
      <c r="P21" s="45" t="s">
        <v>125</v>
      </c>
      <c r="Q21" s="45" t="s">
        <v>125</v>
      </c>
      <c r="R21" s="45" t="s">
        <v>71</v>
      </c>
      <c r="S21" s="45" t="s">
        <v>42</v>
      </c>
      <c r="T21" s="45" t="s">
        <v>93</v>
      </c>
      <c r="U21" s="45" t="s">
        <v>42</v>
      </c>
      <c r="V21" s="45" t="s">
        <v>71</v>
      </c>
      <c r="W21" s="45" t="s">
        <v>137</v>
      </c>
      <c r="X21" s="45" t="s">
        <v>85</v>
      </c>
      <c r="Y21" s="45" t="s">
        <v>57</v>
      </c>
      <c r="Z21" s="45" t="s">
        <v>137</v>
      </c>
      <c r="AA21" s="45" t="s">
        <v>141</v>
      </c>
      <c r="AB21" s="45" t="s">
        <v>93</v>
      </c>
      <c r="AC21" s="45" t="s">
        <v>132</v>
      </c>
      <c r="AD21" s="45" t="s">
        <v>129</v>
      </c>
      <c r="AE21" s="45" t="s">
        <v>62</v>
      </c>
      <c r="AF21" s="45" t="s">
        <v>80</v>
      </c>
      <c r="AG21" s="45" t="s">
        <v>61</v>
      </c>
      <c r="AH21" s="45" t="s">
        <v>101</v>
      </c>
      <c r="AI21" s="45" t="s">
        <v>114</v>
      </c>
      <c r="AJ21" s="45" t="s">
        <v>40</v>
      </c>
      <c r="AK21" s="45" t="s">
        <v>69</v>
      </c>
      <c r="AL21" s="45" t="s">
        <v>59</v>
      </c>
      <c r="AM21" s="45" t="s">
        <v>59</v>
      </c>
      <c r="AN21" s="45" t="s">
        <v>108</v>
      </c>
      <c r="AO21" s="45" t="s">
        <v>104</v>
      </c>
      <c r="AP21" s="45" t="s">
        <v>87</v>
      </c>
      <c r="AQ21" s="45" t="s">
        <v>128</v>
      </c>
      <c r="AR21" s="45" t="s">
        <v>129</v>
      </c>
      <c r="AS21" s="45" t="s">
        <v>101</v>
      </c>
      <c r="AT21" s="45" t="s">
        <v>129</v>
      </c>
      <c r="AU21" s="45" t="s">
        <v>47</v>
      </c>
      <c r="AV21" s="45" t="s">
        <v>141</v>
      </c>
      <c r="AW21" s="45" t="s">
        <v>55</v>
      </c>
      <c r="AX21" s="45" t="s">
        <v>55</v>
      </c>
      <c r="AY21" s="45" t="s">
        <v>31</v>
      </c>
      <c r="AZ21" s="45" t="s">
        <v>64</v>
      </c>
      <c r="BA21" s="45" t="s">
        <v>129</v>
      </c>
      <c r="BB21" s="45" t="s">
        <v>40</v>
      </c>
      <c r="BC21" s="45" t="s">
        <v>139</v>
      </c>
      <c r="BD21" s="45" t="s">
        <v>85</v>
      </c>
      <c r="BE21" s="45" t="s">
        <v>150</v>
      </c>
      <c r="BF21" s="45" t="s">
        <v>41</v>
      </c>
      <c r="BG21" s="45" t="s">
        <v>41</v>
      </c>
      <c r="BH21" s="45" t="s">
        <v>151</v>
      </c>
      <c r="BI21" s="45" t="s">
        <v>41</v>
      </c>
      <c r="BJ21" s="45" t="s">
        <v>62</v>
      </c>
      <c r="BK21" s="45" t="s">
        <v>43</v>
      </c>
      <c r="BL21" s="45" t="s">
        <v>94</v>
      </c>
      <c r="BM21" s="45" t="s">
        <v>141</v>
      </c>
      <c r="BN21" s="45" t="s">
        <v>47</v>
      </c>
      <c r="BO21" s="45" t="s">
        <v>64</v>
      </c>
      <c r="BP21" s="45" t="s">
        <v>63</v>
      </c>
      <c r="BQ21" s="45" t="s">
        <v>22</v>
      </c>
      <c r="BR21" s="45" t="s">
        <v>34</v>
      </c>
      <c r="BS21" s="45" t="s">
        <v>44</v>
      </c>
      <c r="BT21" s="45" t="s">
        <v>129</v>
      </c>
      <c r="BU21" s="45" t="s">
        <v>46</v>
      </c>
      <c r="BV21" s="45" t="s">
        <v>96</v>
      </c>
      <c r="BW21" s="45" t="s">
        <v>87</v>
      </c>
      <c r="BX21" s="45" t="s">
        <v>139</v>
      </c>
      <c r="BY21" s="45" t="s">
        <v>96</v>
      </c>
      <c r="BZ21" s="45" t="s">
        <v>64</v>
      </c>
      <c r="CA21" s="45" t="s">
        <v>55</v>
      </c>
      <c r="CB21" s="45" t="s">
        <v>94</v>
      </c>
      <c r="CC21" s="45" t="s">
        <v>85</v>
      </c>
      <c r="CD21" s="45" t="s">
        <v>96</v>
      </c>
      <c r="CE21" s="45" t="s">
        <v>46</v>
      </c>
      <c r="CF21" s="45" t="s">
        <v>150</v>
      </c>
      <c r="CG21" s="45" t="s">
        <v>74</v>
      </c>
      <c r="CH21" s="45" t="s">
        <v>126</v>
      </c>
      <c r="CI21" s="45" t="s">
        <v>54</v>
      </c>
      <c r="CJ21" s="45" t="s">
        <v>54</v>
      </c>
      <c r="CK21" s="45" t="s">
        <v>36</v>
      </c>
      <c r="CL21" s="45" t="s">
        <v>121</v>
      </c>
      <c r="CM21" s="45" t="s">
        <v>66</v>
      </c>
      <c r="CN21" s="45" t="s">
        <v>86</v>
      </c>
      <c r="CO21" s="45" t="s">
        <v>151</v>
      </c>
      <c r="CP21" s="45" t="s">
        <v>41</v>
      </c>
      <c r="CQ21" s="45" t="s">
        <v>48</v>
      </c>
      <c r="CR21" s="45" t="s">
        <v>94</v>
      </c>
      <c r="CS21" s="45" t="s">
        <v>94</v>
      </c>
      <c r="CT21" s="45" t="s">
        <v>28</v>
      </c>
      <c r="CU21" s="45" t="s">
        <v>28</v>
      </c>
      <c r="CV21" s="45" t="s">
        <v>95</v>
      </c>
      <c r="CW21" s="45" t="s">
        <v>142</v>
      </c>
      <c r="CX21" s="45" t="s">
        <v>66</v>
      </c>
      <c r="CY21" s="45" t="s">
        <v>63</v>
      </c>
      <c r="CZ21" s="45" t="s">
        <v>89</v>
      </c>
      <c r="DA21" s="45" t="s">
        <v>89</v>
      </c>
      <c r="DB21" s="45" t="s">
        <v>91</v>
      </c>
      <c r="DC21" s="45" t="s">
        <v>96</v>
      </c>
      <c r="DD21" s="45" t="s">
        <v>33</v>
      </c>
      <c r="DE21" s="45" t="s">
        <v>43</v>
      </c>
      <c r="DF21" s="45" t="s">
        <v>36</v>
      </c>
      <c r="DG21" s="45" t="s">
        <v>48</v>
      </c>
      <c r="DH21" s="45" t="s">
        <v>108</v>
      </c>
      <c r="DI21" s="45" t="s">
        <v>43</v>
      </c>
      <c r="DJ21" s="45" t="s">
        <v>89</v>
      </c>
      <c r="DK21" s="45" t="s">
        <v>48</v>
      </c>
      <c r="DL21" s="45" t="s">
        <v>31</v>
      </c>
      <c r="DM21" s="45" t="s">
        <v>29</v>
      </c>
      <c r="DN21" s="45" t="s">
        <v>111</v>
      </c>
      <c r="DO21" s="45" t="s">
        <v>151</v>
      </c>
      <c r="DP21" s="45" t="s">
        <v>29</v>
      </c>
      <c r="DQ21" s="45" t="s">
        <v>84</v>
      </c>
      <c r="DR21" s="45" t="s">
        <v>13</v>
      </c>
      <c r="DS21" s="45" t="s">
        <v>58</v>
      </c>
      <c r="DT21" s="45" t="s">
        <v>44</v>
      </c>
      <c r="DU21" s="45" t="s">
        <v>55</v>
      </c>
      <c r="DV21" s="45" t="s">
        <v>43</v>
      </c>
      <c r="DW21" s="45" t="s">
        <v>43</v>
      </c>
      <c r="DX21" s="45" t="s">
        <v>25</v>
      </c>
      <c r="DY21" s="45" t="s">
        <v>25</v>
      </c>
      <c r="DZ21" s="45" t="s">
        <v>13</v>
      </c>
      <c r="EA21" s="45" t="s">
        <v>44</v>
      </c>
      <c r="EB21" s="45" t="s">
        <v>13</v>
      </c>
      <c r="EC21" s="45" t="s">
        <v>121</v>
      </c>
      <c r="ED21" s="45" t="s">
        <v>58</v>
      </c>
      <c r="EE21" s="45" t="s">
        <v>25</v>
      </c>
      <c r="EF21" s="45" t="s">
        <v>120</v>
      </c>
      <c r="EG21" s="45" t="s">
        <v>120</v>
      </c>
      <c r="EH21" s="45" t="s">
        <v>142</v>
      </c>
      <c r="EI21" s="45" t="s">
        <v>120</v>
      </c>
      <c r="EJ21" s="45" t="s">
        <v>120</v>
      </c>
    </row>
    <row r="22" customFormat="false" ht="15.75" hidden="false" customHeight="false" outlineLevel="0" collapsed="false">
      <c r="A22" s="249" t="n">
        <v>18</v>
      </c>
      <c r="B22" s="250" t="s">
        <v>38</v>
      </c>
      <c r="C22" s="45" t="s">
        <v>32</v>
      </c>
      <c r="D22" s="45" t="s">
        <v>32</v>
      </c>
      <c r="E22" s="45" t="s">
        <v>102</v>
      </c>
      <c r="F22" s="45" t="s">
        <v>148</v>
      </c>
      <c r="G22" s="45" t="s">
        <v>93</v>
      </c>
      <c r="H22" s="45" t="s">
        <v>74</v>
      </c>
      <c r="I22" s="45" t="s">
        <v>93</v>
      </c>
      <c r="J22" s="45" t="s">
        <v>114</v>
      </c>
      <c r="K22" s="45" t="s">
        <v>137</v>
      </c>
      <c r="L22" s="45" t="s">
        <v>56</v>
      </c>
      <c r="M22" s="45" t="s">
        <v>147</v>
      </c>
      <c r="N22" s="45" t="s">
        <v>132</v>
      </c>
      <c r="O22" s="45" t="s">
        <v>132</v>
      </c>
      <c r="P22" s="45" t="s">
        <v>114</v>
      </c>
      <c r="Q22" s="45" t="s">
        <v>114</v>
      </c>
      <c r="R22" s="45" t="s">
        <v>38</v>
      </c>
      <c r="S22" s="45" t="s">
        <v>71</v>
      </c>
      <c r="T22" s="45" t="s">
        <v>90</v>
      </c>
      <c r="U22" s="45" t="s">
        <v>71</v>
      </c>
      <c r="V22" s="45" t="s">
        <v>38</v>
      </c>
      <c r="W22" s="45" t="s">
        <v>141</v>
      </c>
      <c r="X22" s="45" t="s">
        <v>87</v>
      </c>
      <c r="Y22" s="45" t="s">
        <v>28</v>
      </c>
      <c r="Z22" s="45" t="s">
        <v>141</v>
      </c>
      <c r="AA22" s="45" t="s">
        <v>80</v>
      </c>
      <c r="AB22" s="45" t="s">
        <v>90</v>
      </c>
      <c r="AC22" s="45" t="s">
        <v>148</v>
      </c>
      <c r="AD22" s="45" t="s">
        <v>150</v>
      </c>
      <c r="AE22" s="45" t="s">
        <v>85</v>
      </c>
      <c r="AF22" s="45" t="s">
        <v>59</v>
      </c>
      <c r="AG22" s="45" t="s">
        <v>80</v>
      </c>
      <c r="AH22" s="45" t="s">
        <v>111</v>
      </c>
      <c r="AI22" s="45" t="s">
        <v>74</v>
      </c>
      <c r="AJ22" s="45" t="s">
        <v>86</v>
      </c>
      <c r="AK22" s="45" t="s">
        <v>57</v>
      </c>
      <c r="AL22" s="45" t="s">
        <v>93</v>
      </c>
      <c r="AM22" s="45" t="s">
        <v>93</v>
      </c>
      <c r="AN22" s="45" t="s">
        <v>95</v>
      </c>
      <c r="AO22" s="45" t="s">
        <v>48</v>
      </c>
      <c r="AP22" s="45" t="s">
        <v>28</v>
      </c>
      <c r="AQ22" s="45" t="s">
        <v>151</v>
      </c>
      <c r="AR22" s="45" t="s">
        <v>111</v>
      </c>
      <c r="AS22" s="45" t="s">
        <v>151</v>
      </c>
      <c r="AT22" s="45" t="s">
        <v>111</v>
      </c>
      <c r="AU22" s="45" t="s">
        <v>95</v>
      </c>
      <c r="AV22" s="45" t="s">
        <v>42</v>
      </c>
      <c r="AW22" s="45" t="s">
        <v>126</v>
      </c>
      <c r="AX22" s="45" t="s">
        <v>126</v>
      </c>
      <c r="AY22" s="45" t="s">
        <v>55</v>
      </c>
      <c r="AZ22" s="45" t="s">
        <v>91</v>
      </c>
      <c r="BA22" s="45" t="s">
        <v>111</v>
      </c>
      <c r="BB22" s="45" t="s">
        <v>86</v>
      </c>
      <c r="BC22" s="45" t="s">
        <v>87</v>
      </c>
      <c r="BD22" s="45" t="s">
        <v>137</v>
      </c>
      <c r="BE22" s="45" t="s">
        <v>41</v>
      </c>
      <c r="BF22" s="45" t="s">
        <v>69</v>
      </c>
      <c r="BG22" s="45" t="s">
        <v>69</v>
      </c>
      <c r="BH22" s="45" t="s">
        <v>40</v>
      </c>
      <c r="BI22" s="45" t="s">
        <v>139</v>
      </c>
      <c r="BJ22" s="45" t="s">
        <v>85</v>
      </c>
      <c r="BK22" s="45" t="s">
        <v>47</v>
      </c>
      <c r="BL22" s="45" t="s">
        <v>55</v>
      </c>
      <c r="BM22" s="45" t="s">
        <v>42</v>
      </c>
      <c r="BN22" s="45" t="s">
        <v>31</v>
      </c>
      <c r="BO22" s="45" t="s">
        <v>129</v>
      </c>
      <c r="BP22" s="45" t="s">
        <v>22</v>
      </c>
      <c r="BQ22" s="45" t="s">
        <v>96</v>
      </c>
      <c r="BR22" s="45" t="s">
        <v>108</v>
      </c>
      <c r="BS22" s="45" t="s">
        <v>43</v>
      </c>
      <c r="BT22" s="45" t="s">
        <v>150</v>
      </c>
      <c r="BU22" s="45" t="s">
        <v>64</v>
      </c>
      <c r="BV22" s="45" t="s">
        <v>101</v>
      </c>
      <c r="BW22" s="45" t="s">
        <v>61</v>
      </c>
      <c r="BX22" s="45" t="s">
        <v>57</v>
      </c>
      <c r="BY22" s="45" t="s">
        <v>129</v>
      </c>
      <c r="BZ22" s="45" t="s">
        <v>129</v>
      </c>
      <c r="CA22" s="45" t="s">
        <v>54</v>
      </c>
      <c r="CB22" s="45" t="s">
        <v>54</v>
      </c>
      <c r="CC22" s="45" t="s">
        <v>137</v>
      </c>
      <c r="CD22" s="45" t="s">
        <v>128</v>
      </c>
      <c r="CE22" s="45" t="s">
        <v>96</v>
      </c>
      <c r="CF22" s="45" t="s">
        <v>151</v>
      </c>
      <c r="CG22" s="45" t="s">
        <v>93</v>
      </c>
      <c r="CH22" s="45" t="s">
        <v>46</v>
      </c>
      <c r="CI22" s="45" t="s">
        <v>66</v>
      </c>
      <c r="CJ22" s="45" t="s">
        <v>144</v>
      </c>
      <c r="CK22" s="45" t="s">
        <v>89</v>
      </c>
      <c r="CL22" s="45" t="s">
        <v>48</v>
      </c>
      <c r="CM22" s="45" t="s">
        <v>33</v>
      </c>
      <c r="CN22" s="45" t="s">
        <v>125</v>
      </c>
      <c r="CO22" s="45" t="s">
        <v>62</v>
      </c>
      <c r="CP22" s="45" t="s">
        <v>139</v>
      </c>
      <c r="CQ22" s="45" t="s">
        <v>94</v>
      </c>
      <c r="CR22" s="45" t="s">
        <v>147</v>
      </c>
      <c r="CS22" s="45" t="s">
        <v>147</v>
      </c>
      <c r="CT22" s="45" t="s">
        <v>114</v>
      </c>
      <c r="CU22" s="45" t="s">
        <v>80</v>
      </c>
      <c r="CV22" s="45" t="s">
        <v>55</v>
      </c>
      <c r="CW22" s="45" t="s">
        <v>13</v>
      </c>
      <c r="CX22" s="45" t="s">
        <v>33</v>
      </c>
      <c r="CY22" s="45" t="s">
        <v>46</v>
      </c>
      <c r="CZ22" s="45" t="s">
        <v>34</v>
      </c>
      <c r="DA22" s="45" t="s">
        <v>29</v>
      </c>
      <c r="DB22" s="45" t="s">
        <v>150</v>
      </c>
      <c r="DC22" s="45" t="s">
        <v>101</v>
      </c>
      <c r="DD22" s="45" t="s">
        <v>91</v>
      </c>
      <c r="DE22" s="45" t="s">
        <v>104</v>
      </c>
      <c r="DF22" s="45" t="s">
        <v>43</v>
      </c>
      <c r="DG22" s="45" t="s">
        <v>94</v>
      </c>
      <c r="DH22" s="45" t="s">
        <v>94</v>
      </c>
      <c r="DI22" s="45" t="s">
        <v>121</v>
      </c>
      <c r="DJ22" s="45" t="s">
        <v>34</v>
      </c>
      <c r="DK22" s="45" t="s">
        <v>94</v>
      </c>
      <c r="DL22" s="45" t="s">
        <v>55</v>
      </c>
      <c r="DM22" s="45" t="s">
        <v>47</v>
      </c>
      <c r="DN22" s="45" t="s">
        <v>62</v>
      </c>
      <c r="DO22" s="45" t="s">
        <v>40</v>
      </c>
      <c r="DP22" s="45" t="s">
        <v>108</v>
      </c>
      <c r="DQ22" s="45" t="s">
        <v>120</v>
      </c>
      <c r="DR22" s="45" t="s">
        <v>44</v>
      </c>
      <c r="DS22" s="45" t="s">
        <v>36</v>
      </c>
      <c r="DT22" s="45" t="s">
        <v>29</v>
      </c>
      <c r="DU22" s="45" t="s">
        <v>54</v>
      </c>
      <c r="DV22" s="45" t="s">
        <v>121</v>
      </c>
      <c r="DW22" s="45" t="s">
        <v>104</v>
      </c>
      <c r="DX22" s="45" t="s">
        <v>142</v>
      </c>
      <c r="DY22" s="45" t="s">
        <v>120</v>
      </c>
      <c r="DZ22" s="45" t="s">
        <v>89</v>
      </c>
      <c r="EA22" s="45" t="s">
        <v>43</v>
      </c>
      <c r="EB22" s="45" t="s">
        <v>89</v>
      </c>
      <c r="EC22" s="45" t="s">
        <v>108</v>
      </c>
      <c r="ED22" s="45" t="s">
        <v>36</v>
      </c>
      <c r="EE22" s="45" t="s">
        <v>58</v>
      </c>
      <c r="EF22" s="45" t="s">
        <v>58</v>
      </c>
      <c r="EG22" s="45" t="s">
        <v>58</v>
      </c>
      <c r="EH22" s="45" t="s">
        <v>13</v>
      </c>
      <c r="EI22" s="45" t="s">
        <v>116</v>
      </c>
      <c r="EJ22" s="45" t="s">
        <v>116</v>
      </c>
    </row>
    <row r="23" customFormat="false" ht="15.75" hidden="false" customHeight="false" outlineLevel="0" collapsed="false">
      <c r="A23" s="249" t="n">
        <v>19</v>
      </c>
      <c r="B23" s="250" t="s">
        <v>40</v>
      </c>
      <c r="C23" s="45" t="s">
        <v>114</v>
      </c>
      <c r="D23" s="45" t="s">
        <v>141</v>
      </c>
      <c r="E23" s="45" t="s">
        <v>80</v>
      </c>
      <c r="F23" s="45" t="s">
        <v>61</v>
      </c>
      <c r="G23" s="45" t="s">
        <v>28</v>
      </c>
      <c r="H23" s="45" t="s">
        <v>57</v>
      </c>
      <c r="I23" s="45" t="s">
        <v>28</v>
      </c>
      <c r="J23" s="45" t="s">
        <v>69</v>
      </c>
      <c r="K23" s="45" t="s">
        <v>151</v>
      </c>
      <c r="L23" s="45" t="s">
        <v>87</v>
      </c>
      <c r="M23" s="45" t="s">
        <v>121</v>
      </c>
      <c r="N23" s="45" t="s">
        <v>137</v>
      </c>
      <c r="O23" s="45" t="s">
        <v>87</v>
      </c>
      <c r="P23" s="45" t="s">
        <v>40</v>
      </c>
      <c r="Q23" s="45" t="s">
        <v>40</v>
      </c>
      <c r="R23" s="45" t="s">
        <v>141</v>
      </c>
      <c r="S23" s="45" t="s">
        <v>125</v>
      </c>
      <c r="T23" s="45" t="s">
        <v>80</v>
      </c>
      <c r="U23" s="45" t="s">
        <v>137</v>
      </c>
      <c r="V23" s="45" t="s">
        <v>141</v>
      </c>
      <c r="W23" s="45" t="s">
        <v>40</v>
      </c>
      <c r="X23" s="45" t="s">
        <v>111</v>
      </c>
      <c r="Y23" s="45" t="s">
        <v>41</v>
      </c>
      <c r="Z23" s="45" t="s">
        <v>62</v>
      </c>
      <c r="AA23" s="45" t="s">
        <v>85</v>
      </c>
      <c r="AB23" s="45" t="s">
        <v>114</v>
      </c>
      <c r="AC23" s="45" t="s">
        <v>141</v>
      </c>
      <c r="AD23" s="45" t="s">
        <v>144</v>
      </c>
      <c r="AE23" s="45" t="s">
        <v>101</v>
      </c>
      <c r="AF23" s="45" t="s">
        <v>87</v>
      </c>
      <c r="AG23" s="45" t="s">
        <v>85</v>
      </c>
      <c r="AH23" s="45" t="s">
        <v>22</v>
      </c>
      <c r="AI23" s="45" t="s">
        <v>86</v>
      </c>
      <c r="AJ23" s="45" t="s">
        <v>150</v>
      </c>
      <c r="AK23" s="45" t="s">
        <v>150</v>
      </c>
      <c r="AL23" s="45" t="s">
        <v>28</v>
      </c>
      <c r="AM23" s="45" t="s">
        <v>61</v>
      </c>
      <c r="AN23" s="45" t="s">
        <v>89</v>
      </c>
      <c r="AO23" s="45" t="s">
        <v>44</v>
      </c>
      <c r="AP23" s="45" t="s">
        <v>41</v>
      </c>
      <c r="AQ23" s="45" t="s">
        <v>33</v>
      </c>
      <c r="AR23" s="45" t="s">
        <v>46</v>
      </c>
      <c r="AS23" s="45" t="s">
        <v>33</v>
      </c>
      <c r="AT23" s="45" t="s">
        <v>46</v>
      </c>
      <c r="AU23" s="45" t="s">
        <v>89</v>
      </c>
      <c r="AV23" s="45" t="s">
        <v>86</v>
      </c>
      <c r="AW23" s="45" t="s">
        <v>108</v>
      </c>
      <c r="AX23" s="45" t="s">
        <v>108</v>
      </c>
      <c r="AY23" s="45" t="s">
        <v>29</v>
      </c>
      <c r="AZ23" s="45" t="s">
        <v>54</v>
      </c>
      <c r="BA23" s="45" t="s">
        <v>46</v>
      </c>
      <c r="BB23" s="45" t="s">
        <v>128</v>
      </c>
      <c r="BC23" s="45" t="s">
        <v>111</v>
      </c>
      <c r="BD23" s="45" t="s">
        <v>151</v>
      </c>
      <c r="BE23" s="45" t="s">
        <v>64</v>
      </c>
      <c r="BF23" s="45" t="s">
        <v>129</v>
      </c>
      <c r="BG23" s="45" t="s">
        <v>129</v>
      </c>
      <c r="BH23" s="45" t="s">
        <v>96</v>
      </c>
      <c r="BI23" s="45" t="s">
        <v>129</v>
      </c>
      <c r="BJ23" s="45" t="s">
        <v>101</v>
      </c>
      <c r="BK23" s="45" t="s">
        <v>116</v>
      </c>
      <c r="BL23" s="45" t="s">
        <v>34</v>
      </c>
      <c r="BM23" s="45" t="s">
        <v>85</v>
      </c>
      <c r="BN23" s="45" t="s">
        <v>44</v>
      </c>
      <c r="BO23" s="45" t="s">
        <v>126</v>
      </c>
      <c r="BP23" s="45" t="s">
        <v>94</v>
      </c>
      <c r="BQ23" s="45" t="s">
        <v>147</v>
      </c>
      <c r="BR23" s="45" t="s">
        <v>13</v>
      </c>
      <c r="BS23" s="45" t="s">
        <v>120</v>
      </c>
      <c r="BT23" s="45" t="s">
        <v>46</v>
      </c>
      <c r="BU23" s="45" t="s">
        <v>55</v>
      </c>
      <c r="BV23" s="45" t="s">
        <v>63</v>
      </c>
      <c r="BW23" s="45" t="s">
        <v>62</v>
      </c>
      <c r="BX23" s="45" t="s">
        <v>150</v>
      </c>
      <c r="BY23" s="45" t="s">
        <v>63</v>
      </c>
      <c r="BZ23" s="45" t="s">
        <v>126</v>
      </c>
      <c r="CA23" s="45" t="s">
        <v>47</v>
      </c>
      <c r="CB23" s="45" t="s">
        <v>104</v>
      </c>
      <c r="CC23" s="45" t="s">
        <v>151</v>
      </c>
      <c r="CD23" s="45" t="s">
        <v>66</v>
      </c>
      <c r="CE23" s="45" t="s">
        <v>147</v>
      </c>
      <c r="CF23" s="45" t="s">
        <v>64</v>
      </c>
      <c r="CG23" s="45" t="s">
        <v>28</v>
      </c>
      <c r="CH23" s="45" t="s">
        <v>94</v>
      </c>
      <c r="CI23" s="45" t="s">
        <v>48</v>
      </c>
      <c r="CJ23" s="45" t="s">
        <v>31</v>
      </c>
      <c r="CK23" s="45" t="s">
        <v>120</v>
      </c>
      <c r="CL23" s="45" t="s">
        <v>36</v>
      </c>
      <c r="CM23" s="45" t="s">
        <v>94</v>
      </c>
      <c r="CN23" s="45" t="s">
        <v>151</v>
      </c>
      <c r="CO23" s="45" t="s">
        <v>96</v>
      </c>
      <c r="CP23" s="45" t="s">
        <v>129</v>
      </c>
      <c r="CQ23" s="45" t="s">
        <v>43</v>
      </c>
      <c r="CR23" s="45" t="s">
        <v>104</v>
      </c>
      <c r="CS23" s="45" t="s">
        <v>121</v>
      </c>
      <c r="CT23" s="45" t="s">
        <v>139</v>
      </c>
      <c r="CU23" s="45" t="s">
        <v>139</v>
      </c>
      <c r="CV23" s="45" t="s">
        <v>29</v>
      </c>
      <c r="CW23" s="45" t="s">
        <v>143</v>
      </c>
      <c r="CX23" s="45" t="s">
        <v>55</v>
      </c>
      <c r="CY23" s="45" t="s">
        <v>94</v>
      </c>
      <c r="CZ23" s="45" t="s">
        <v>142</v>
      </c>
      <c r="DA23" s="45" t="s">
        <v>142</v>
      </c>
      <c r="DB23" s="45" t="s">
        <v>66</v>
      </c>
      <c r="DC23" s="45" t="s">
        <v>63</v>
      </c>
      <c r="DD23" s="45" t="s">
        <v>54</v>
      </c>
      <c r="DE23" s="45" t="s">
        <v>116</v>
      </c>
      <c r="DF23" s="45" t="s">
        <v>120</v>
      </c>
      <c r="DG23" s="45" t="s">
        <v>43</v>
      </c>
      <c r="DH23" s="45" t="s">
        <v>89</v>
      </c>
      <c r="DI23" s="45" t="s">
        <v>58</v>
      </c>
      <c r="DJ23" s="45" t="s">
        <v>58</v>
      </c>
      <c r="DK23" s="45" t="s">
        <v>43</v>
      </c>
      <c r="DL23" s="45" t="s">
        <v>43</v>
      </c>
      <c r="DM23" s="45" t="s">
        <v>13</v>
      </c>
      <c r="DN23" s="45" t="s">
        <v>96</v>
      </c>
      <c r="DO23" s="45" t="s">
        <v>91</v>
      </c>
      <c r="DP23" s="45" t="s">
        <v>13</v>
      </c>
      <c r="DQ23" s="45" t="s">
        <v>26</v>
      </c>
      <c r="DR23" s="45" t="s">
        <v>25</v>
      </c>
      <c r="DS23" s="45" t="s">
        <v>143</v>
      </c>
      <c r="DT23" s="45" t="s">
        <v>142</v>
      </c>
      <c r="DU23" s="45" t="s">
        <v>47</v>
      </c>
      <c r="DV23" s="45" t="s">
        <v>58</v>
      </c>
      <c r="DW23" s="45" t="s">
        <v>116</v>
      </c>
      <c r="DX23" s="45" t="s">
        <v>26</v>
      </c>
      <c r="DY23" s="45" t="s">
        <v>26</v>
      </c>
      <c r="DZ23" s="45" t="s">
        <v>25</v>
      </c>
      <c r="EA23" s="45" t="s">
        <v>120</v>
      </c>
      <c r="EB23" s="45" t="s">
        <v>25</v>
      </c>
      <c r="EC23" s="45" t="s">
        <v>36</v>
      </c>
      <c r="ED23" s="45" t="s">
        <v>143</v>
      </c>
      <c r="EE23" s="45" t="s">
        <v>26</v>
      </c>
      <c r="EF23" s="45" t="s">
        <v>145</v>
      </c>
      <c r="EG23" s="45" t="s">
        <v>145</v>
      </c>
      <c r="EH23" s="45" t="s">
        <v>143</v>
      </c>
      <c r="EI23" s="45" t="s">
        <v>145</v>
      </c>
      <c r="EJ23" s="45" t="s">
        <v>145</v>
      </c>
    </row>
    <row r="24" customFormat="false" ht="15.75" hidden="false" customHeight="false" outlineLevel="0" collapsed="false">
      <c r="A24" s="249" t="n">
        <v>20</v>
      </c>
      <c r="B24" s="250" t="s">
        <v>129</v>
      </c>
      <c r="C24" s="45" t="s">
        <v>137</v>
      </c>
      <c r="D24" s="45" t="s">
        <v>87</v>
      </c>
      <c r="E24" s="45" t="s">
        <v>28</v>
      </c>
      <c r="F24" s="45" t="s">
        <v>57</v>
      </c>
      <c r="G24" s="45" t="s">
        <v>85</v>
      </c>
      <c r="H24" s="45" t="s">
        <v>40</v>
      </c>
      <c r="I24" s="45" t="s">
        <v>86</v>
      </c>
      <c r="J24" s="45" t="s">
        <v>151</v>
      </c>
      <c r="K24" s="45" t="s">
        <v>101</v>
      </c>
      <c r="L24" s="45" t="s">
        <v>69</v>
      </c>
      <c r="M24" s="45" t="s">
        <v>89</v>
      </c>
      <c r="N24" s="45" t="s">
        <v>139</v>
      </c>
      <c r="O24" s="45" t="s">
        <v>139</v>
      </c>
      <c r="P24" s="45" t="s">
        <v>151</v>
      </c>
      <c r="Q24" s="45" t="s">
        <v>151</v>
      </c>
      <c r="R24" s="45" t="s">
        <v>87</v>
      </c>
      <c r="S24" s="45" t="s">
        <v>85</v>
      </c>
      <c r="T24" s="45" t="s">
        <v>125</v>
      </c>
      <c r="U24" s="45" t="s">
        <v>85</v>
      </c>
      <c r="V24" s="45" t="s">
        <v>87</v>
      </c>
      <c r="W24" s="45" t="s">
        <v>111</v>
      </c>
      <c r="X24" s="45" t="s">
        <v>129</v>
      </c>
      <c r="Y24" s="45" t="s">
        <v>128</v>
      </c>
      <c r="Z24" s="45" t="s">
        <v>111</v>
      </c>
      <c r="AA24" s="45" t="s">
        <v>41</v>
      </c>
      <c r="AB24" s="45" t="s">
        <v>137</v>
      </c>
      <c r="AC24" s="45" t="s">
        <v>87</v>
      </c>
      <c r="AD24" s="45" t="s">
        <v>54</v>
      </c>
      <c r="AE24" s="45" t="s">
        <v>64</v>
      </c>
      <c r="AF24" s="45" t="s">
        <v>40</v>
      </c>
      <c r="AG24" s="45" t="s">
        <v>41</v>
      </c>
      <c r="AH24" s="45" t="s">
        <v>126</v>
      </c>
      <c r="AI24" s="45" t="s">
        <v>62</v>
      </c>
      <c r="AJ24" s="45" t="s">
        <v>96</v>
      </c>
      <c r="AK24" s="45" t="s">
        <v>96</v>
      </c>
      <c r="AL24" s="45" t="s">
        <v>86</v>
      </c>
      <c r="AM24" s="45" t="s">
        <v>57</v>
      </c>
      <c r="AN24" s="45" t="s">
        <v>116</v>
      </c>
      <c r="AO24" s="45" t="s">
        <v>58</v>
      </c>
      <c r="AP24" s="45" t="s">
        <v>150</v>
      </c>
      <c r="AQ24" s="45" t="s">
        <v>63</v>
      </c>
      <c r="AR24" s="45" t="s">
        <v>54</v>
      </c>
      <c r="AS24" s="45" t="s">
        <v>63</v>
      </c>
      <c r="AT24" s="45" t="s">
        <v>126</v>
      </c>
      <c r="AU24" s="45" t="s">
        <v>116</v>
      </c>
      <c r="AV24" s="45" t="s">
        <v>62</v>
      </c>
      <c r="AW24" s="45" t="s">
        <v>29</v>
      </c>
      <c r="AX24" s="45" t="s">
        <v>43</v>
      </c>
      <c r="AY24" s="45" t="s">
        <v>44</v>
      </c>
      <c r="AZ24" s="45" t="s">
        <v>94</v>
      </c>
      <c r="BA24" s="45" t="s">
        <v>54</v>
      </c>
      <c r="BB24" s="45" t="s">
        <v>96</v>
      </c>
      <c r="BC24" s="45" t="s">
        <v>129</v>
      </c>
      <c r="BD24" s="45" t="s">
        <v>129</v>
      </c>
      <c r="BE24" s="45" t="s">
        <v>66</v>
      </c>
      <c r="BF24" s="45" t="s">
        <v>33</v>
      </c>
      <c r="BG24" s="45" t="s">
        <v>33</v>
      </c>
      <c r="BH24" s="45" t="s">
        <v>46</v>
      </c>
      <c r="BI24" s="45" t="s">
        <v>64</v>
      </c>
      <c r="BJ24" s="45" t="s">
        <v>96</v>
      </c>
      <c r="BK24" s="45" t="s">
        <v>120</v>
      </c>
      <c r="BL24" s="45" t="s">
        <v>44</v>
      </c>
      <c r="BM24" s="45" t="s">
        <v>41</v>
      </c>
      <c r="BN24" s="45" t="s">
        <v>58</v>
      </c>
      <c r="BO24" s="45" t="s">
        <v>94</v>
      </c>
      <c r="BP24" s="45" t="s">
        <v>108</v>
      </c>
      <c r="BQ24" s="45" t="s">
        <v>94</v>
      </c>
      <c r="BR24" s="45" t="s">
        <v>142</v>
      </c>
      <c r="BS24" s="45" t="s">
        <v>143</v>
      </c>
      <c r="BT24" s="45" t="s">
        <v>54</v>
      </c>
      <c r="BU24" s="45" t="s">
        <v>31</v>
      </c>
      <c r="BV24" s="45" t="s">
        <v>55</v>
      </c>
      <c r="BW24" s="45" t="s">
        <v>150</v>
      </c>
      <c r="BX24" s="45" t="s">
        <v>91</v>
      </c>
      <c r="BY24" s="45" t="s">
        <v>55</v>
      </c>
      <c r="BZ24" s="45" t="s">
        <v>55</v>
      </c>
      <c r="CA24" s="45" t="s">
        <v>43</v>
      </c>
      <c r="CB24" s="45" t="s">
        <v>43</v>
      </c>
      <c r="CC24" s="45" t="s">
        <v>129</v>
      </c>
      <c r="CD24" s="45" t="s">
        <v>147</v>
      </c>
      <c r="CE24" s="45" t="s">
        <v>95</v>
      </c>
      <c r="CF24" s="45" t="s">
        <v>63</v>
      </c>
      <c r="CG24" s="45" t="s">
        <v>86</v>
      </c>
      <c r="CH24" s="45" t="s">
        <v>47</v>
      </c>
      <c r="CI24" s="45" t="s">
        <v>121</v>
      </c>
      <c r="CJ24" s="45" t="s">
        <v>104</v>
      </c>
      <c r="CK24" s="45" t="s">
        <v>143</v>
      </c>
      <c r="CL24" s="45" t="s">
        <v>142</v>
      </c>
      <c r="CM24" s="45" t="s">
        <v>48</v>
      </c>
      <c r="CN24" s="45" t="s">
        <v>101</v>
      </c>
      <c r="CO24" s="45" t="s">
        <v>46</v>
      </c>
      <c r="CP24" s="45" t="s">
        <v>64</v>
      </c>
      <c r="CQ24" s="45" t="s">
        <v>13</v>
      </c>
      <c r="CR24" s="45" t="s">
        <v>89</v>
      </c>
      <c r="CS24" s="45" t="s">
        <v>89</v>
      </c>
      <c r="CT24" s="45" t="s">
        <v>151</v>
      </c>
      <c r="CU24" s="45" t="s">
        <v>41</v>
      </c>
      <c r="CV24" s="45" t="s">
        <v>44</v>
      </c>
      <c r="CW24" s="45" t="s">
        <v>26</v>
      </c>
      <c r="CX24" s="45" t="s">
        <v>48</v>
      </c>
      <c r="CY24" s="45" t="s">
        <v>47</v>
      </c>
      <c r="CZ24" s="45" t="s">
        <v>25</v>
      </c>
      <c r="DA24" s="45" t="s">
        <v>84</v>
      </c>
      <c r="DB24" s="45" t="s">
        <v>147</v>
      </c>
      <c r="DC24" s="45" t="s">
        <v>55</v>
      </c>
      <c r="DD24" s="45" t="s">
        <v>94</v>
      </c>
      <c r="DE24" s="45" t="s">
        <v>120</v>
      </c>
      <c r="DF24" s="45" t="s">
        <v>143</v>
      </c>
      <c r="DG24" s="45" t="s">
        <v>36</v>
      </c>
      <c r="DH24" s="45" t="s">
        <v>13</v>
      </c>
      <c r="DI24" s="45" t="s">
        <v>25</v>
      </c>
      <c r="DJ24" s="45" t="s">
        <v>25</v>
      </c>
      <c r="DK24" s="45" t="s">
        <v>13</v>
      </c>
      <c r="DL24" s="45" t="s">
        <v>36</v>
      </c>
      <c r="DM24" s="45" t="s">
        <v>120</v>
      </c>
      <c r="DN24" s="45" t="s">
        <v>46</v>
      </c>
      <c r="DO24" s="45" t="s">
        <v>22</v>
      </c>
      <c r="DP24" s="45" t="s">
        <v>120</v>
      </c>
      <c r="DQ24" s="45" t="s">
        <v>12</v>
      </c>
      <c r="DR24" s="45" t="s">
        <v>145</v>
      </c>
      <c r="DS24" s="45" t="s">
        <v>26</v>
      </c>
      <c r="DT24" s="45" t="s">
        <v>84</v>
      </c>
      <c r="DU24" s="45" t="s">
        <v>43</v>
      </c>
      <c r="DV24" s="45" t="s">
        <v>25</v>
      </c>
      <c r="DW24" s="45" t="s">
        <v>25</v>
      </c>
      <c r="DX24" s="45" t="s">
        <v>77</v>
      </c>
      <c r="DY24" s="45" t="s">
        <v>12</v>
      </c>
      <c r="DZ24" s="45" t="s">
        <v>145</v>
      </c>
      <c r="EA24" s="45" t="s">
        <v>143</v>
      </c>
      <c r="EB24" s="45" t="s">
        <v>143</v>
      </c>
      <c r="EC24" s="45" t="s">
        <v>142</v>
      </c>
      <c r="ED24" s="45" t="s">
        <v>26</v>
      </c>
      <c r="EE24" s="45" t="s">
        <v>77</v>
      </c>
      <c r="EF24" s="45" t="s">
        <v>77</v>
      </c>
      <c r="EG24" s="45" t="s">
        <v>77</v>
      </c>
      <c r="EH24" s="45" t="s">
        <v>26</v>
      </c>
      <c r="EI24" s="45" t="s">
        <v>77</v>
      </c>
      <c r="EJ24" s="45" t="s">
        <v>77</v>
      </c>
    </row>
    <row r="25" customFormat="false" ht="15.75" hidden="false" customHeight="false" outlineLevel="0" collapsed="false">
      <c r="A25" s="249" t="n">
        <v>21</v>
      </c>
      <c r="B25" s="250" t="s">
        <v>111</v>
      </c>
      <c r="C25" s="45" t="s">
        <v>28</v>
      </c>
      <c r="D25" s="45" t="s">
        <v>28</v>
      </c>
      <c r="E25" s="45" t="s">
        <v>141</v>
      </c>
      <c r="F25" s="45" t="s">
        <v>137</v>
      </c>
      <c r="G25" s="45" t="s">
        <v>87</v>
      </c>
      <c r="H25" s="45" t="s">
        <v>85</v>
      </c>
      <c r="I25" s="45" t="s">
        <v>87</v>
      </c>
      <c r="J25" s="45" t="s">
        <v>41</v>
      </c>
      <c r="K25" s="45" t="s">
        <v>150</v>
      </c>
      <c r="L25" s="45" t="s">
        <v>85</v>
      </c>
      <c r="M25" s="45" t="s">
        <v>43</v>
      </c>
      <c r="N25" s="45" t="s">
        <v>86</v>
      </c>
      <c r="O25" s="45" t="s">
        <v>86</v>
      </c>
      <c r="P25" s="45" t="s">
        <v>41</v>
      </c>
      <c r="Q25" s="45" t="s">
        <v>41</v>
      </c>
      <c r="R25" s="45" t="s">
        <v>28</v>
      </c>
      <c r="S25" s="45" t="s">
        <v>87</v>
      </c>
      <c r="T25" s="45" t="s">
        <v>141</v>
      </c>
      <c r="U25" s="45" t="s">
        <v>57</v>
      </c>
      <c r="V25" s="45" t="s">
        <v>28</v>
      </c>
      <c r="W25" s="45" t="s">
        <v>41</v>
      </c>
      <c r="X25" s="45" t="s">
        <v>128</v>
      </c>
      <c r="Y25" s="45" t="s">
        <v>111</v>
      </c>
      <c r="Z25" s="45" t="s">
        <v>41</v>
      </c>
      <c r="AA25" s="45" t="s">
        <v>40</v>
      </c>
      <c r="AB25" s="45" t="s">
        <v>61</v>
      </c>
      <c r="AC25" s="45" t="s">
        <v>125</v>
      </c>
      <c r="AD25" s="45" t="s">
        <v>63</v>
      </c>
      <c r="AE25" s="45" t="s">
        <v>91</v>
      </c>
      <c r="AF25" s="45" t="s">
        <v>85</v>
      </c>
      <c r="AG25" s="45" t="s">
        <v>40</v>
      </c>
      <c r="AH25" s="45" t="s">
        <v>66</v>
      </c>
      <c r="AI25" s="45" t="s">
        <v>139</v>
      </c>
      <c r="AJ25" s="45" t="s">
        <v>129</v>
      </c>
      <c r="AK25" s="45" t="s">
        <v>129</v>
      </c>
      <c r="AL25" s="45" t="s">
        <v>137</v>
      </c>
      <c r="AM25" s="45" t="s">
        <v>137</v>
      </c>
      <c r="AN25" s="45" t="s">
        <v>36</v>
      </c>
      <c r="AO25" s="45" t="s">
        <v>13</v>
      </c>
      <c r="AP25" s="45" t="s">
        <v>151</v>
      </c>
      <c r="AQ25" s="45" t="s">
        <v>46</v>
      </c>
      <c r="AR25" s="45" t="s">
        <v>63</v>
      </c>
      <c r="AS25" s="45" t="s">
        <v>144</v>
      </c>
      <c r="AT25" s="45" t="s">
        <v>66</v>
      </c>
      <c r="AU25" s="45" t="s">
        <v>36</v>
      </c>
      <c r="AV25" s="45" t="s">
        <v>139</v>
      </c>
      <c r="AW25" s="45" t="s">
        <v>104</v>
      </c>
      <c r="AX25" s="45" t="s">
        <v>121</v>
      </c>
      <c r="AY25" s="45" t="s">
        <v>89</v>
      </c>
      <c r="AZ25" s="45" t="s">
        <v>55</v>
      </c>
      <c r="BA25" s="45" t="s">
        <v>66</v>
      </c>
      <c r="BB25" s="45" t="s">
        <v>129</v>
      </c>
      <c r="BC25" s="45" t="s">
        <v>101</v>
      </c>
      <c r="BD25" s="45" t="s">
        <v>150</v>
      </c>
      <c r="BE25" s="45" t="s">
        <v>46</v>
      </c>
      <c r="BF25" s="45" t="s">
        <v>96</v>
      </c>
      <c r="BG25" s="45" t="s">
        <v>96</v>
      </c>
      <c r="BH25" s="45" t="s">
        <v>64</v>
      </c>
      <c r="BI25" s="45" t="s">
        <v>96</v>
      </c>
      <c r="BJ25" s="45" t="s">
        <v>129</v>
      </c>
      <c r="BK25" s="45" t="s">
        <v>142</v>
      </c>
      <c r="BL25" s="45" t="s">
        <v>43</v>
      </c>
      <c r="BM25" s="45" t="s">
        <v>69</v>
      </c>
      <c r="BN25" s="45" t="s">
        <v>13</v>
      </c>
      <c r="BO25" s="45" t="s">
        <v>147</v>
      </c>
      <c r="BP25" s="45" t="s">
        <v>31</v>
      </c>
      <c r="BQ25" s="45" t="s">
        <v>55</v>
      </c>
      <c r="BR25" s="45" t="s">
        <v>58</v>
      </c>
      <c r="BS25" s="45" t="s">
        <v>25</v>
      </c>
      <c r="BT25" s="45" t="s">
        <v>63</v>
      </c>
      <c r="BU25" s="45" t="s">
        <v>94</v>
      </c>
      <c r="BV25" s="45" t="s">
        <v>54</v>
      </c>
      <c r="BW25" s="45" t="s">
        <v>151</v>
      </c>
      <c r="BX25" s="45" t="s">
        <v>101</v>
      </c>
      <c r="BY25" s="45" t="s">
        <v>54</v>
      </c>
      <c r="BZ25" s="45" t="s">
        <v>147</v>
      </c>
      <c r="CA25" s="45" t="s">
        <v>34</v>
      </c>
      <c r="CB25" s="45" t="s">
        <v>29</v>
      </c>
      <c r="CC25" s="45" t="s">
        <v>150</v>
      </c>
      <c r="CD25" s="45" t="s">
        <v>126</v>
      </c>
      <c r="CE25" s="45" t="s">
        <v>94</v>
      </c>
      <c r="CF25" s="45" t="s">
        <v>46</v>
      </c>
      <c r="CG25" s="45" t="s">
        <v>87</v>
      </c>
      <c r="CH25" s="45" t="s">
        <v>48</v>
      </c>
      <c r="CI25" s="45" t="s">
        <v>47</v>
      </c>
      <c r="CJ25" s="45" t="s">
        <v>108</v>
      </c>
      <c r="CK25" s="45" t="s">
        <v>84</v>
      </c>
      <c r="CL25" s="45" t="s">
        <v>116</v>
      </c>
      <c r="CM25" s="45" t="s">
        <v>95</v>
      </c>
      <c r="CN25" s="45" t="s">
        <v>150</v>
      </c>
      <c r="CO25" s="45" t="s">
        <v>64</v>
      </c>
      <c r="CP25" s="45" t="s">
        <v>96</v>
      </c>
      <c r="CQ25" s="45" t="s">
        <v>44</v>
      </c>
      <c r="CR25" s="45" t="s">
        <v>29</v>
      </c>
      <c r="CS25" s="45" t="s">
        <v>43</v>
      </c>
      <c r="CT25" s="45" t="s">
        <v>62</v>
      </c>
      <c r="CU25" s="45" t="s">
        <v>62</v>
      </c>
      <c r="CV25" s="45" t="s">
        <v>43</v>
      </c>
      <c r="CW25" s="45" t="s">
        <v>145</v>
      </c>
      <c r="CX25" s="45" t="s">
        <v>94</v>
      </c>
      <c r="CY25" s="45" t="s">
        <v>48</v>
      </c>
      <c r="CZ25" s="45" t="s">
        <v>120</v>
      </c>
      <c r="DA25" s="45" t="s">
        <v>120</v>
      </c>
      <c r="DB25" s="45" t="s">
        <v>126</v>
      </c>
      <c r="DC25" s="45" t="s">
        <v>54</v>
      </c>
      <c r="DD25" s="45" t="s">
        <v>55</v>
      </c>
      <c r="DE25" s="45" t="s">
        <v>142</v>
      </c>
      <c r="DF25" s="45" t="s">
        <v>25</v>
      </c>
      <c r="DG25" s="45" t="s">
        <v>89</v>
      </c>
      <c r="DH25" s="45" t="s">
        <v>44</v>
      </c>
      <c r="DI25" s="45" t="s">
        <v>120</v>
      </c>
      <c r="DJ25" s="45" t="s">
        <v>120</v>
      </c>
      <c r="DK25" s="45" t="s">
        <v>44</v>
      </c>
      <c r="DL25" s="45" t="s">
        <v>89</v>
      </c>
      <c r="DM25" s="45" t="s">
        <v>58</v>
      </c>
      <c r="DN25" s="45" t="s">
        <v>33</v>
      </c>
      <c r="DO25" s="45" t="s">
        <v>64</v>
      </c>
      <c r="DP25" s="45" t="s">
        <v>58</v>
      </c>
      <c r="DQ25" s="45" t="s">
        <v>77</v>
      </c>
      <c r="DR25" s="45" t="s">
        <v>143</v>
      </c>
      <c r="DS25" s="45" t="s">
        <v>145</v>
      </c>
      <c r="DT25" s="45" t="s">
        <v>25</v>
      </c>
      <c r="DU25" s="45" t="s">
        <v>121</v>
      </c>
      <c r="DV25" s="45" t="s">
        <v>142</v>
      </c>
      <c r="DW25" s="45" t="s">
        <v>142</v>
      </c>
      <c r="DX25" s="45" t="s">
        <v>77</v>
      </c>
      <c r="DY25" s="45" t="s">
        <v>77</v>
      </c>
      <c r="DZ25" s="45" t="s">
        <v>143</v>
      </c>
      <c r="EA25" s="45" t="s">
        <v>25</v>
      </c>
      <c r="EB25" s="45" t="s">
        <v>84</v>
      </c>
      <c r="EC25" s="45" t="s">
        <v>116</v>
      </c>
      <c r="ED25" s="45" t="s">
        <v>145</v>
      </c>
      <c r="EE25" s="45" t="s">
        <v>26</v>
      </c>
      <c r="EF25" s="45" t="s">
        <v>26</v>
      </c>
      <c r="EG25" s="45" t="s">
        <v>26</v>
      </c>
      <c r="EH25" s="45" t="s">
        <v>145</v>
      </c>
      <c r="EI25" s="45" t="s">
        <v>26</v>
      </c>
      <c r="EJ25" s="45" t="s">
        <v>26</v>
      </c>
    </row>
    <row r="26" customFormat="false" ht="15.75" hidden="false" customHeight="false" outlineLevel="0" collapsed="false">
      <c r="A26" s="249" t="n">
        <v>22</v>
      </c>
      <c r="B26" s="250" t="s">
        <v>62</v>
      </c>
      <c r="C26" s="45" t="s">
        <v>141</v>
      </c>
      <c r="D26" s="45" t="s">
        <v>141</v>
      </c>
      <c r="E26" s="45" t="s">
        <v>80</v>
      </c>
      <c r="F26" s="45" t="s">
        <v>28</v>
      </c>
      <c r="G26" s="45" t="s">
        <v>125</v>
      </c>
      <c r="H26" s="45" t="s">
        <v>86</v>
      </c>
      <c r="I26" s="45" t="s">
        <v>28</v>
      </c>
      <c r="J26" s="45" t="s">
        <v>40</v>
      </c>
      <c r="K26" s="45" t="s">
        <v>151</v>
      </c>
      <c r="L26" s="45" t="s">
        <v>87</v>
      </c>
      <c r="M26" s="45" t="s">
        <v>34</v>
      </c>
      <c r="N26" s="45" t="s">
        <v>87</v>
      </c>
      <c r="O26" s="45" t="s">
        <v>87</v>
      </c>
      <c r="P26" s="45" t="s">
        <v>40</v>
      </c>
      <c r="Q26" s="45" t="s">
        <v>40</v>
      </c>
      <c r="R26" s="45" t="s">
        <v>141</v>
      </c>
      <c r="S26" s="45" t="s">
        <v>137</v>
      </c>
      <c r="T26" s="45" t="s">
        <v>114</v>
      </c>
      <c r="U26" s="45" t="s">
        <v>137</v>
      </c>
      <c r="V26" s="45" t="s">
        <v>141</v>
      </c>
      <c r="W26" s="45" t="s">
        <v>62</v>
      </c>
      <c r="X26" s="45" t="s">
        <v>111</v>
      </c>
      <c r="Y26" s="45" t="s">
        <v>41</v>
      </c>
      <c r="Z26" s="45" t="s">
        <v>62</v>
      </c>
      <c r="AA26" s="45" t="s">
        <v>85</v>
      </c>
      <c r="AB26" s="45" t="s">
        <v>114</v>
      </c>
      <c r="AC26" s="45" t="s">
        <v>61</v>
      </c>
      <c r="AD26" s="45" t="s">
        <v>66</v>
      </c>
      <c r="AE26" s="45" t="s">
        <v>129</v>
      </c>
      <c r="AF26" s="45" t="s">
        <v>57</v>
      </c>
      <c r="AG26" s="45" t="s">
        <v>139</v>
      </c>
      <c r="AH26" s="45" t="s">
        <v>46</v>
      </c>
      <c r="AI26" s="45" t="s">
        <v>86</v>
      </c>
      <c r="AJ26" s="45" t="s">
        <v>128</v>
      </c>
      <c r="AK26" s="45" t="s">
        <v>150</v>
      </c>
      <c r="AL26" s="45" t="s">
        <v>28</v>
      </c>
      <c r="AM26" s="45" t="s">
        <v>28</v>
      </c>
      <c r="AN26" s="45" t="s">
        <v>89</v>
      </c>
      <c r="AO26" s="45" t="s">
        <v>36</v>
      </c>
      <c r="AP26" s="45" t="s">
        <v>41</v>
      </c>
      <c r="AQ26" s="45" t="s">
        <v>33</v>
      </c>
      <c r="AR26" s="45" t="s">
        <v>46</v>
      </c>
      <c r="AS26" s="45" t="s">
        <v>22</v>
      </c>
      <c r="AT26" s="45" t="s">
        <v>46</v>
      </c>
      <c r="AU26" s="45" t="s">
        <v>44</v>
      </c>
      <c r="AV26" s="45" t="s">
        <v>85</v>
      </c>
      <c r="AW26" s="45" t="s">
        <v>108</v>
      </c>
      <c r="AX26" s="45" t="s">
        <v>47</v>
      </c>
      <c r="AY26" s="45" t="s">
        <v>43</v>
      </c>
      <c r="AZ26" s="45" t="s">
        <v>54</v>
      </c>
      <c r="BA26" s="45" t="s">
        <v>46</v>
      </c>
      <c r="BB26" s="45" t="s">
        <v>101</v>
      </c>
      <c r="BC26" s="45" t="s">
        <v>150</v>
      </c>
      <c r="BD26" s="45" t="s">
        <v>111</v>
      </c>
      <c r="BE26" s="45" t="s">
        <v>64</v>
      </c>
      <c r="BF26" s="45" t="s">
        <v>129</v>
      </c>
      <c r="BG26" s="45" t="s">
        <v>127</v>
      </c>
      <c r="BH26" s="45" t="s">
        <v>96</v>
      </c>
      <c r="BI26" s="45" t="s">
        <v>129</v>
      </c>
      <c r="BJ26" s="45" t="s">
        <v>101</v>
      </c>
      <c r="BK26" s="45" t="s">
        <v>116</v>
      </c>
      <c r="BL26" s="45" t="s">
        <v>29</v>
      </c>
      <c r="BM26" s="45" t="s">
        <v>85</v>
      </c>
      <c r="BN26" s="45" t="s">
        <v>44</v>
      </c>
      <c r="BO26" s="45" t="s">
        <v>54</v>
      </c>
      <c r="BP26" s="45" t="s">
        <v>94</v>
      </c>
      <c r="BQ26" s="45" t="s">
        <v>147</v>
      </c>
      <c r="BR26" s="45" t="s">
        <v>13</v>
      </c>
      <c r="BS26" s="45" t="s">
        <v>120</v>
      </c>
      <c r="BT26" s="45" t="s">
        <v>144</v>
      </c>
      <c r="BU26" s="45" t="s">
        <v>55</v>
      </c>
      <c r="BV26" s="45" t="s">
        <v>63</v>
      </c>
      <c r="BW26" s="45" t="s">
        <v>41</v>
      </c>
      <c r="BX26" s="45" t="s">
        <v>150</v>
      </c>
      <c r="BY26" s="45" t="s">
        <v>126</v>
      </c>
      <c r="BZ26" s="45" t="s">
        <v>126</v>
      </c>
      <c r="CA26" s="45" t="s">
        <v>104</v>
      </c>
      <c r="CB26" s="45" t="s">
        <v>104</v>
      </c>
      <c r="CC26" s="45" t="s">
        <v>151</v>
      </c>
      <c r="CD26" s="45" t="s">
        <v>63</v>
      </c>
      <c r="CE26" s="45" t="s">
        <v>55</v>
      </c>
      <c r="CF26" s="45" t="s">
        <v>33</v>
      </c>
      <c r="CG26" s="45" t="s">
        <v>125</v>
      </c>
      <c r="CH26" s="45" t="s">
        <v>95</v>
      </c>
      <c r="CI26" s="45" t="s">
        <v>48</v>
      </c>
      <c r="CJ26" s="45" t="s">
        <v>31</v>
      </c>
      <c r="CK26" s="45" t="s">
        <v>25</v>
      </c>
      <c r="CL26" s="45" t="s">
        <v>36</v>
      </c>
      <c r="CM26" s="45" t="s">
        <v>94</v>
      </c>
      <c r="CN26" s="45" t="s">
        <v>151</v>
      </c>
      <c r="CO26" s="45" t="s">
        <v>96</v>
      </c>
      <c r="CP26" s="45" t="s">
        <v>129</v>
      </c>
      <c r="CQ26" s="45" t="s">
        <v>89</v>
      </c>
      <c r="CR26" s="45" t="s">
        <v>121</v>
      </c>
      <c r="CS26" s="45" t="s">
        <v>121</v>
      </c>
      <c r="CT26" s="45" t="s">
        <v>69</v>
      </c>
      <c r="CU26" s="45" t="s">
        <v>139</v>
      </c>
      <c r="CV26" s="45" t="s">
        <v>29</v>
      </c>
      <c r="CW26" s="45" t="s">
        <v>143</v>
      </c>
      <c r="CX26" s="45" t="s">
        <v>94</v>
      </c>
      <c r="CY26" s="45" t="s">
        <v>94</v>
      </c>
      <c r="CZ26" s="45" t="s">
        <v>142</v>
      </c>
      <c r="DA26" s="45" t="s">
        <v>142</v>
      </c>
      <c r="DB26" s="45" t="s">
        <v>66</v>
      </c>
      <c r="DC26" s="45" t="s">
        <v>63</v>
      </c>
      <c r="DD26" s="45" t="s">
        <v>54</v>
      </c>
      <c r="DE26" s="45" t="s">
        <v>58</v>
      </c>
      <c r="DF26" s="45" t="s">
        <v>120</v>
      </c>
      <c r="DG26" s="45" t="s">
        <v>43</v>
      </c>
      <c r="DH26" s="45" t="s">
        <v>89</v>
      </c>
      <c r="DI26" s="45" t="s">
        <v>58</v>
      </c>
      <c r="DJ26" s="45" t="s">
        <v>142</v>
      </c>
      <c r="DK26" s="45" t="s">
        <v>43</v>
      </c>
      <c r="DL26" s="45" t="s">
        <v>43</v>
      </c>
      <c r="DM26" s="45" t="s">
        <v>116</v>
      </c>
      <c r="DN26" s="45" t="s">
        <v>96</v>
      </c>
      <c r="DO26" s="45" t="s">
        <v>96</v>
      </c>
      <c r="DP26" s="45" t="s">
        <v>13</v>
      </c>
      <c r="DQ26" s="45" t="s">
        <v>77</v>
      </c>
      <c r="DR26" s="45" t="s">
        <v>25</v>
      </c>
      <c r="DS26" s="45" t="s">
        <v>143</v>
      </c>
      <c r="DT26" s="45" t="s">
        <v>120</v>
      </c>
      <c r="DU26" s="45" t="s">
        <v>47</v>
      </c>
      <c r="DV26" s="45" t="s">
        <v>58</v>
      </c>
      <c r="DW26" s="45" t="s">
        <v>58</v>
      </c>
      <c r="DX26" s="45" t="s">
        <v>26</v>
      </c>
      <c r="DY26" s="45" t="s">
        <v>26</v>
      </c>
      <c r="DZ26" s="45" t="s">
        <v>25</v>
      </c>
      <c r="EA26" s="45" t="s">
        <v>120</v>
      </c>
      <c r="EB26" s="45" t="s">
        <v>25</v>
      </c>
      <c r="EC26" s="45" t="s">
        <v>13</v>
      </c>
      <c r="ED26" s="45" t="s">
        <v>143</v>
      </c>
      <c r="EE26" s="45" t="s">
        <v>26</v>
      </c>
      <c r="EF26" s="45" t="s">
        <v>145</v>
      </c>
      <c r="EG26" s="45" t="s">
        <v>26</v>
      </c>
      <c r="EH26" s="45" t="s">
        <v>143</v>
      </c>
      <c r="EI26" s="45" t="s">
        <v>145</v>
      </c>
      <c r="EJ26" s="45" t="s">
        <v>145</v>
      </c>
    </row>
    <row r="27" customFormat="false" ht="15.75" hidden="false" customHeight="false" outlineLevel="0" collapsed="false">
      <c r="A27" s="249" t="n">
        <v>23</v>
      </c>
      <c r="B27" s="250" t="s">
        <v>87</v>
      </c>
      <c r="C27" s="45" t="s">
        <v>42</v>
      </c>
      <c r="D27" s="45" t="s">
        <v>80</v>
      </c>
      <c r="E27" s="45" t="s">
        <v>59</v>
      </c>
      <c r="F27" s="45" t="s">
        <v>80</v>
      </c>
      <c r="G27" s="45" t="s">
        <v>141</v>
      </c>
      <c r="H27" s="45" t="s">
        <v>125</v>
      </c>
      <c r="I27" s="45" t="s">
        <v>114</v>
      </c>
      <c r="J27" s="45" t="s">
        <v>86</v>
      </c>
      <c r="K27" s="45" t="s">
        <v>62</v>
      </c>
      <c r="L27" s="45" t="s">
        <v>28</v>
      </c>
      <c r="M27" s="45" t="s">
        <v>108</v>
      </c>
      <c r="N27" s="45" t="s">
        <v>61</v>
      </c>
      <c r="O27" s="45" t="s">
        <v>28</v>
      </c>
      <c r="P27" s="45" t="s">
        <v>85</v>
      </c>
      <c r="Q27" s="45" t="s">
        <v>85</v>
      </c>
      <c r="R27" s="45" t="s">
        <v>80</v>
      </c>
      <c r="S27" s="45" t="s">
        <v>141</v>
      </c>
      <c r="T27" s="45" t="s">
        <v>74</v>
      </c>
      <c r="U27" s="45" t="s">
        <v>141</v>
      </c>
      <c r="V27" s="45" t="s">
        <v>80</v>
      </c>
      <c r="W27" s="45" t="s">
        <v>85</v>
      </c>
      <c r="X27" s="45" t="s">
        <v>41</v>
      </c>
      <c r="Y27" s="45" t="s">
        <v>40</v>
      </c>
      <c r="Z27" s="45" t="s">
        <v>85</v>
      </c>
      <c r="AA27" s="45" t="s">
        <v>87</v>
      </c>
      <c r="AB27" s="45" t="s">
        <v>42</v>
      </c>
      <c r="AC27" s="45" t="s">
        <v>80</v>
      </c>
      <c r="AD27" s="45" t="s">
        <v>33</v>
      </c>
      <c r="AE27" s="45" t="s">
        <v>111</v>
      </c>
      <c r="AF27" s="45" t="s">
        <v>28</v>
      </c>
      <c r="AG27" s="45" t="s">
        <v>87</v>
      </c>
      <c r="AH27" s="45" t="s">
        <v>96</v>
      </c>
      <c r="AI27" s="45" t="s">
        <v>137</v>
      </c>
      <c r="AJ27" s="45" t="s">
        <v>151</v>
      </c>
      <c r="AK27" s="45" t="s">
        <v>151</v>
      </c>
      <c r="AL27" s="45" t="s">
        <v>114</v>
      </c>
      <c r="AM27" s="45" t="s">
        <v>114</v>
      </c>
      <c r="AN27" s="45" t="s">
        <v>29</v>
      </c>
      <c r="AO27" s="45" t="s">
        <v>43</v>
      </c>
      <c r="AP27" s="45" t="s">
        <v>69</v>
      </c>
      <c r="AQ27" s="45" t="s">
        <v>96</v>
      </c>
      <c r="AR27" s="45" t="s">
        <v>64</v>
      </c>
      <c r="AS27" s="45" t="s">
        <v>96</v>
      </c>
      <c r="AT27" s="45" t="s">
        <v>64</v>
      </c>
      <c r="AU27" s="45" t="s">
        <v>43</v>
      </c>
      <c r="AV27" s="45" t="s">
        <v>137</v>
      </c>
      <c r="AW27" s="45" t="s">
        <v>95</v>
      </c>
      <c r="AX27" s="45" t="s">
        <v>31</v>
      </c>
      <c r="AY27" s="45" t="s">
        <v>104</v>
      </c>
      <c r="AZ27" s="45" t="s">
        <v>66</v>
      </c>
      <c r="BA27" s="45" t="s">
        <v>64</v>
      </c>
      <c r="BB27" s="45" t="s">
        <v>151</v>
      </c>
      <c r="BC27" s="45" t="s">
        <v>41</v>
      </c>
      <c r="BD27" s="45" t="s">
        <v>41</v>
      </c>
      <c r="BE27" s="45" t="s">
        <v>91</v>
      </c>
      <c r="BF27" s="45" t="s">
        <v>150</v>
      </c>
      <c r="BG27" s="45" t="s">
        <v>128</v>
      </c>
      <c r="BH27" s="45" t="s">
        <v>101</v>
      </c>
      <c r="BI27" s="45" t="s">
        <v>150</v>
      </c>
      <c r="BJ27" s="45" t="s">
        <v>111</v>
      </c>
      <c r="BK27" s="45" t="s">
        <v>44</v>
      </c>
      <c r="BL27" s="45" t="s">
        <v>47</v>
      </c>
      <c r="BM27" s="45" t="s">
        <v>87</v>
      </c>
      <c r="BN27" s="45" t="s">
        <v>43</v>
      </c>
      <c r="BO27" s="45" t="s">
        <v>66</v>
      </c>
      <c r="BP27" s="45" t="s">
        <v>55</v>
      </c>
      <c r="BQ27" s="45" t="s">
        <v>63</v>
      </c>
      <c r="BR27" s="45" t="s">
        <v>89</v>
      </c>
      <c r="BS27" s="45" t="s">
        <v>58</v>
      </c>
      <c r="BT27" s="45" t="s">
        <v>64</v>
      </c>
      <c r="BU27" s="45" t="s">
        <v>126</v>
      </c>
      <c r="BV27" s="45" t="s">
        <v>46</v>
      </c>
      <c r="BW27" s="45" t="s">
        <v>139</v>
      </c>
      <c r="BX27" s="45" t="s">
        <v>41</v>
      </c>
      <c r="BY27" s="45" t="s">
        <v>46</v>
      </c>
      <c r="BZ27" s="45" t="s">
        <v>144</v>
      </c>
      <c r="CA27" s="45" t="s">
        <v>48</v>
      </c>
      <c r="CB27" s="45" t="s">
        <v>48</v>
      </c>
      <c r="CC27" s="45" t="s">
        <v>62</v>
      </c>
      <c r="CD27" s="45" t="s">
        <v>22</v>
      </c>
      <c r="CE27" s="45" t="s">
        <v>126</v>
      </c>
      <c r="CF27" s="45" t="s">
        <v>96</v>
      </c>
      <c r="CG27" s="45" t="s">
        <v>114</v>
      </c>
      <c r="CH27" s="45" t="s">
        <v>55</v>
      </c>
      <c r="CI27" s="45" t="s">
        <v>94</v>
      </c>
      <c r="CJ27" s="45" t="s">
        <v>94</v>
      </c>
      <c r="CK27" s="45" t="s">
        <v>142</v>
      </c>
      <c r="CL27" s="45" t="s">
        <v>89</v>
      </c>
      <c r="CM27" s="45" t="s">
        <v>147</v>
      </c>
      <c r="CN27" s="45" t="s">
        <v>62</v>
      </c>
      <c r="CO27" s="45" t="s">
        <v>129</v>
      </c>
      <c r="CP27" s="45" t="s">
        <v>150</v>
      </c>
      <c r="CQ27" s="45" t="s">
        <v>34</v>
      </c>
      <c r="CR27" s="45" t="s">
        <v>48</v>
      </c>
      <c r="CS27" s="45" t="s">
        <v>108</v>
      </c>
      <c r="CT27" s="45" t="s">
        <v>86</v>
      </c>
      <c r="CU27" s="45" t="s">
        <v>57</v>
      </c>
      <c r="CV27" s="45" t="s">
        <v>47</v>
      </c>
      <c r="CW27" s="45" t="s">
        <v>25</v>
      </c>
      <c r="CX27" s="45" t="s">
        <v>54</v>
      </c>
      <c r="CY27" s="45" t="s">
        <v>55</v>
      </c>
      <c r="CZ27" s="45" t="s">
        <v>13</v>
      </c>
      <c r="DA27" s="45" t="s">
        <v>116</v>
      </c>
      <c r="DB27" s="45" t="s">
        <v>33</v>
      </c>
      <c r="DC27" s="45" t="s">
        <v>46</v>
      </c>
      <c r="DD27" s="45" t="s">
        <v>63</v>
      </c>
      <c r="DE27" s="45" t="s">
        <v>36</v>
      </c>
      <c r="DF27" s="45" t="s">
        <v>58</v>
      </c>
      <c r="DG27" s="45" t="s">
        <v>121</v>
      </c>
      <c r="DH27" s="45" t="s">
        <v>29</v>
      </c>
      <c r="DI27" s="45" t="s">
        <v>13</v>
      </c>
      <c r="DJ27" s="45" t="s">
        <v>13</v>
      </c>
      <c r="DK27" s="45" t="s">
        <v>121</v>
      </c>
      <c r="DL27" s="45" t="s">
        <v>104</v>
      </c>
      <c r="DM27" s="45" t="s">
        <v>44</v>
      </c>
      <c r="DN27" s="45" t="s">
        <v>129</v>
      </c>
      <c r="DO27" s="45" t="s">
        <v>101</v>
      </c>
      <c r="DP27" s="45" t="s">
        <v>44</v>
      </c>
      <c r="DQ27" s="45" t="s">
        <v>145</v>
      </c>
      <c r="DR27" s="45" t="s">
        <v>120</v>
      </c>
      <c r="DS27" s="45" t="s">
        <v>25</v>
      </c>
      <c r="DT27" s="45" t="s">
        <v>116</v>
      </c>
      <c r="DU27" s="45" t="s">
        <v>31</v>
      </c>
      <c r="DV27" s="45" t="s">
        <v>36</v>
      </c>
      <c r="DW27" s="45" t="s">
        <v>36</v>
      </c>
      <c r="DX27" s="45" t="s">
        <v>143</v>
      </c>
      <c r="DY27" s="45" t="s">
        <v>145</v>
      </c>
      <c r="DZ27" s="45" t="s">
        <v>142</v>
      </c>
      <c r="EA27" s="45" t="s">
        <v>58</v>
      </c>
      <c r="EB27" s="45" t="s">
        <v>142</v>
      </c>
      <c r="EC27" s="45" t="s">
        <v>89</v>
      </c>
      <c r="ED27" s="45" t="s">
        <v>25</v>
      </c>
      <c r="EE27" s="45" t="s">
        <v>143</v>
      </c>
      <c r="EF27" s="45" t="s">
        <v>143</v>
      </c>
      <c r="EG27" s="45" t="s">
        <v>143</v>
      </c>
      <c r="EH27" s="45" t="s">
        <v>25</v>
      </c>
      <c r="EI27" s="45" t="s">
        <v>84</v>
      </c>
      <c r="EJ27" s="45" t="s">
        <v>143</v>
      </c>
    </row>
    <row r="28" customFormat="false" ht="15.75" hidden="false" customHeight="false" outlineLevel="0" collapsed="false">
      <c r="A28" s="249" t="n">
        <v>24</v>
      </c>
      <c r="B28" s="250" t="s">
        <v>102</v>
      </c>
      <c r="C28" s="45" t="s">
        <v>102</v>
      </c>
      <c r="D28" s="45" t="s">
        <v>90</v>
      </c>
      <c r="E28" s="45" t="s">
        <v>140</v>
      </c>
      <c r="F28" s="45" t="s">
        <v>38</v>
      </c>
      <c r="G28" s="45" t="s">
        <v>93</v>
      </c>
      <c r="H28" s="45" t="s">
        <v>56</v>
      </c>
      <c r="I28" s="45" t="s">
        <v>148</v>
      </c>
      <c r="J28" s="45" t="s">
        <v>80</v>
      </c>
      <c r="K28" s="45" t="s">
        <v>28</v>
      </c>
      <c r="L28" s="45" t="s">
        <v>103</v>
      </c>
      <c r="M28" s="45" t="s">
        <v>54</v>
      </c>
      <c r="N28" s="45" t="s">
        <v>93</v>
      </c>
      <c r="O28" s="45" t="s">
        <v>71</v>
      </c>
      <c r="P28" s="45" t="s">
        <v>80</v>
      </c>
      <c r="Q28" s="45" t="s">
        <v>80</v>
      </c>
      <c r="R28" s="45" t="s">
        <v>90</v>
      </c>
      <c r="S28" s="45" t="s">
        <v>93</v>
      </c>
      <c r="T28" s="45" t="s">
        <v>102</v>
      </c>
      <c r="U28" s="45" t="s">
        <v>93</v>
      </c>
      <c r="V28" s="45" t="s">
        <v>90</v>
      </c>
      <c r="W28" s="45" t="s">
        <v>114</v>
      </c>
      <c r="X28" s="45" t="s">
        <v>137</v>
      </c>
      <c r="Y28" s="45" t="s">
        <v>61</v>
      </c>
      <c r="Z28" s="45" t="s">
        <v>114</v>
      </c>
      <c r="AA28" s="45" t="s">
        <v>42</v>
      </c>
      <c r="AB28" s="45" t="s">
        <v>102</v>
      </c>
      <c r="AC28" s="45" t="s">
        <v>32</v>
      </c>
      <c r="AD28" s="45" t="s">
        <v>111</v>
      </c>
      <c r="AE28" s="45" t="s">
        <v>86</v>
      </c>
      <c r="AF28" s="45" t="s">
        <v>132</v>
      </c>
      <c r="AG28" s="45" t="s">
        <v>42</v>
      </c>
      <c r="AH28" s="45" t="s">
        <v>151</v>
      </c>
      <c r="AI28" s="45" t="s">
        <v>59</v>
      </c>
      <c r="AJ28" s="45" t="s">
        <v>87</v>
      </c>
      <c r="AK28" s="45" t="s">
        <v>87</v>
      </c>
      <c r="AL28" s="45" t="s">
        <v>148</v>
      </c>
      <c r="AM28" s="45" t="s">
        <v>148</v>
      </c>
      <c r="AN28" s="45" t="s">
        <v>94</v>
      </c>
      <c r="AO28" s="45" t="s">
        <v>31</v>
      </c>
      <c r="AP28" s="45" t="s">
        <v>141</v>
      </c>
      <c r="AQ28" s="45" t="s">
        <v>41</v>
      </c>
      <c r="AR28" s="45" t="s">
        <v>151</v>
      </c>
      <c r="AS28" s="45" t="s">
        <v>41</v>
      </c>
      <c r="AT28" s="45" t="s">
        <v>151</v>
      </c>
      <c r="AU28" s="45" t="s">
        <v>94</v>
      </c>
      <c r="AV28" s="45" t="s">
        <v>59</v>
      </c>
      <c r="AW28" s="45" t="s">
        <v>63</v>
      </c>
      <c r="AX28" s="45" t="s">
        <v>63</v>
      </c>
      <c r="AY28" s="45" t="s">
        <v>55</v>
      </c>
      <c r="AZ28" s="45" t="s">
        <v>129</v>
      </c>
      <c r="BA28" s="45" t="s">
        <v>151</v>
      </c>
      <c r="BB28" s="45" t="s">
        <v>57</v>
      </c>
      <c r="BC28" s="45" t="s">
        <v>137</v>
      </c>
      <c r="BD28" s="45" t="s">
        <v>125</v>
      </c>
      <c r="BE28" s="45" t="s">
        <v>41</v>
      </c>
      <c r="BF28" s="45" t="s">
        <v>85</v>
      </c>
      <c r="BG28" s="45" t="s">
        <v>139</v>
      </c>
      <c r="BH28" s="45" t="s">
        <v>69</v>
      </c>
      <c r="BI28" s="45" t="s">
        <v>85</v>
      </c>
      <c r="BJ28" s="45" t="s">
        <v>86</v>
      </c>
      <c r="BK28" s="45" t="s">
        <v>108</v>
      </c>
      <c r="BL28" s="45" t="s">
        <v>147</v>
      </c>
      <c r="BM28" s="45" t="s">
        <v>74</v>
      </c>
      <c r="BN28" s="45" t="s">
        <v>94</v>
      </c>
      <c r="BO28" s="45" t="s">
        <v>129</v>
      </c>
      <c r="BP28" s="45" t="s">
        <v>33</v>
      </c>
      <c r="BQ28" s="45" t="s">
        <v>91</v>
      </c>
      <c r="BR28" s="45" t="s">
        <v>48</v>
      </c>
      <c r="BS28" s="45" t="s">
        <v>29</v>
      </c>
      <c r="BT28" s="45" t="s">
        <v>111</v>
      </c>
      <c r="BU28" s="45" t="s">
        <v>96</v>
      </c>
      <c r="BV28" s="45" t="s">
        <v>128</v>
      </c>
      <c r="BW28" s="45" t="s">
        <v>141</v>
      </c>
      <c r="BX28" s="45" t="s">
        <v>87</v>
      </c>
      <c r="BY28" s="45" t="s">
        <v>101</v>
      </c>
      <c r="BZ28" s="45" t="s">
        <v>101</v>
      </c>
      <c r="CA28" s="45" t="s">
        <v>126</v>
      </c>
      <c r="CB28" s="45" t="s">
        <v>126</v>
      </c>
      <c r="CC28" s="45" t="s">
        <v>28</v>
      </c>
      <c r="CD28" s="45" t="s">
        <v>150</v>
      </c>
      <c r="CE28" s="45" t="s">
        <v>96</v>
      </c>
      <c r="CF28" s="45" t="s">
        <v>41</v>
      </c>
      <c r="CG28" s="45" t="s">
        <v>148</v>
      </c>
      <c r="CH28" s="45" t="s">
        <v>22</v>
      </c>
      <c r="CI28" s="45" t="s">
        <v>144</v>
      </c>
      <c r="CJ28" s="45" t="s">
        <v>46</v>
      </c>
      <c r="CK28" s="45" t="s">
        <v>43</v>
      </c>
      <c r="CL28" s="45" t="s">
        <v>31</v>
      </c>
      <c r="CM28" s="45" t="s">
        <v>64</v>
      </c>
      <c r="CN28" s="45" t="s">
        <v>28</v>
      </c>
      <c r="CO28" s="45" t="s">
        <v>40</v>
      </c>
      <c r="CP28" s="45" t="s">
        <v>85</v>
      </c>
      <c r="CQ28" s="45" t="s">
        <v>94</v>
      </c>
      <c r="CR28" s="45" t="s">
        <v>54</v>
      </c>
      <c r="CS28" s="45" t="s">
        <v>54</v>
      </c>
      <c r="CT28" s="45" t="s">
        <v>80</v>
      </c>
      <c r="CU28" s="45" t="s">
        <v>80</v>
      </c>
      <c r="CV28" s="45" t="s">
        <v>147</v>
      </c>
      <c r="CW28" s="45" t="s">
        <v>36</v>
      </c>
      <c r="CX28" s="45" t="s">
        <v>64</v>
      </c>
      <c r="CY28" s="45" t="s">
        <v>33</v>
      </c>
      <c r="CZ28" s="45" t="s">
        <v>121</v>
      </c>
      <c r="DA28" s="45" t="s">
        <v>121</v>
      </c>
      <c r="DB28" s="45" t="s">
        <v>150</v>
      </c>
      <c r="DC28" s="45" t="s">
        <v>150</v>
      </c>
      <c r="DD28" s="45" t="s">
        <v>129</v>
      </c>
      <c r="DE28" s="45" t="s">
        <v>47</v>
      </c>
      <c r="DF28" s="45" t="s">
        <v>43</v>
      </c>
      <c r="DG28" s="45" t="s">
        <v>55</v>
      </c>
      <c r="DH28" s="45" t="s">
        <v>94</v>
      </c>
      <c r="DI28" s="45" t="s">
        <v>104</v>
      </c>
      <c r="DJ28" s="45" t="s">
        <v>104</v>
      </c>
      <c r="DK28" s="45" t="s">
        <v>55</v>
      </c>
      <c r="DL28" s="45" t="s">
        <v>55</v>
      </c>
      <c r="DM28" s="45" t="s">
        <v>108</v>
      </c>
      <c r="DN28" s="45" t="s">
        <v>40</v>
      </c>
      <c r="DO28" s="45" t="s">
        <v>139</v>
      </c>
      <c r="DP28" s="45" t="s">
        <v>48</v>
      </c>
      <c r="DQ28" s="45" t="s">
        <v>142</v>
      </c>
      <c r="DR28" s="45" t="s">
        <v>89</v>
      </c>
      <c r="DS28" s="45" t="s">
        <v>44</v>
      </c>
      <c r="DT28" s="45" t="s">
        <v>34</v>
      </c>
      <c r="DU28" s="45" t="s">
        <v>63</v>
      </c>
      <c r="DV28" s="45" t="s">
        <v>47</v>
      </c>
      <c r="DW28" s="45" t="s">
        <v>47</v>
      </c>
      <c r="DX28" s="45" t="s">
        <v>58</v>
      </c>
      <c r="DY28" s="45" t="s">
        <v>142</v>
      </c>
      <c r="DZ28" s="45" t="s">
        <v>43</v>
      </c>
      <c r="EA28" s="45" t="s">
        <v>29</v>
      </c>
      <c r="EB28" s="45" t="s">
        <v>43</v>
      </c>
      <c r="EC28" s="45" t="s">
        <v>48</v>
      </c>
      <c r="ED28" s="45" t="s">
        <v>44</v>
      </c>
      <c r="EE28" s="45" t="s">
        <v>58</v>
      </c>
      <c r="EF28" s="45" t="s">
        <v>116</v>
      </c>
      <c r="EG28" s="45" t="s">
        <v>116</v>
      </c>
      <c r="EH28" s="45" t="s">
        <v>36</v>
      </c>
      <c r="EI28" s="45" t="s">
        <v>13</v>
      </c>
      <c r="EJ28" s="45" t="s">
        <v>13</v>
      </c>
    </row>
    <row r="29" customFormat="false" ht="15.75" hidden="false" customHeight="false" outlineLevel="0" collapsed="false">
      <c r="A29" s="249" t="n">
        <v>24</v>
      </c>
      <c r="B29" s="250" t="s">
        <v>103</v>
      </c>
      <c r="C29" s="45" t="s">
        <v>38</v>
      </c>
      <c r="D29" s="45" t="s">
        <v>148</v>
      </c>
      <c r="E29" s="45" t="s">
        <v>90</v>
      </c>
      <c r="F29" s="45" t="s">
        <v>93</v>
      </c>
      <c r="G29" s="45" t="s">
        <v>71</v>
      </c>
      <c r="H29" s="45" t="s">
        <v>42</v>
      </c>
      <c r="I29" s="45" t="s">
        <v>93</v>
      </c>
      <c r="J29" s="45" t="s">
        <v>141</v>
      </c>
      <c r="K29" s="45" t="s">
        <v>137</v>
      </c>
      <c r="L29" s="45" t="s">
        <v>59</v>
      </c>
      <c r="M29" s="45" t="s">
        <v>55</v>
      </c>
      <c r="N29" s="45" t="s">
        <v>56</v>
      </c>
      <c r="O29" s="45" t="s">
        <v>59</v>
      </c>
      <c r="P29" s="45" t="s">
        <v>141</v>
      </c>
      <c r="Q29" s="45" t="s">
        <v>141</v>
      </c>
      <c r="R29" s="45" t="s">
        <v>148</v>
      </c>
      <c r="S29" s="45" t="s">
        <v>71</v>
      </c>
      <c r="T29" s="45" t="s">
        <v>90</v>
      </c>
      <c r="U29" s="45" t="s">
        <v>132</v>
      </c>
      <c r="V29" s="45" t="s">
        <v>148</v>
      </c>
      <c r="W29" s="45" t="s">
        <v>141</v>
      </c>
      <c r="X29" s="45" t="s">
        <v>87</v>
      </c>
      <c r="Y29" s="45" t="s">
        <v>125</v>
      </c>
      <c r="Z29" s="45" t="s">
        <v>61</v>
      </c>
      <c r="AA29" s="45" t="s">
        <v>80</v>
      </c>
      <c r="AB29" s="45" t="s">
        <v>32</v>
      </c>
      <c r="AC29" s="45" t="s">
        <v>103</v>
      </c>
      <c r="AD29" s="45" t="s">
        <v>128</v>
      </c>
      <c r="AE29" s="45" t="s">
        <v>139</v>
      </c>
      <c r="AF29" s="45" t="s">
        <v>74</v>
      </c>
      <c r="AG29" s="45" t="s">
        <v>80</v>
      </c>
      <c r="AH29" s="45" t="s">
        <v>111</v>
      </c>
      <c r="AI29" s="45" t="s">
        <v>42</v>
      </c>
      <c r="AJ29" s="45" t="s">
        <v>85</v>
      </c>
      <c r="AK29" s="45" t="s">
        <v>86</v>
      </c>
      <c r="AL29" s="45" t="s">
        <v>93</v>
      </c>
      <c r="AM29" s="45" t="s">
        <v>93</v>
      </c>
      <c r="AN29" s="45" t="s">
        <v>31</v>
      </c>
      <c r="AO29" s="45" t="s">
        <v>48</v>
      </c>
      <c r="AP29" s="45" t="s">
        <v>28</v>
      </c>
      <c r="AQ29" s="45" t="s">
        <v>151</v>
      </c>
      <c r="AR29" s="45" t="s">
        <v>150</v>
      </c>
      <c r="AS29" s="45" t="s">
        <v>111</v>
      </c>
      <c r="AT29" s="45" t="s">
        <v>150</v>
      </c>
      <c r="AU29" s="45" t="s">
        <v>31</v>
      </c>
      <c r="AV29" s="45" t="s">
        <v>80</v>
      </c>
      <c r="AW29" s="45" t="s">
        <v>126</v>
      </c>
      <c r="AX29" s="45" t="s">
        <v>54</v>
      </c>
      <c r="AY29" s="45" t="s">
        <v>94</v>
      </c>
      <c r="AZ29" s="45" t="s">
        <v>96</v>
      </c>
      <c r="BA29" s="45" t="s">
        <v>150</v>
      </c>
      <c r="BB29" s="45" t="s">
        <v>85</v>
      </c>
      <c r="BC29" s="45" t="s">
        <v>57</v>
      </c>
      <c r="BD29" s="45" t="s">
        <v>87</v>
      </c>
      <c r="BE29" s="45" t="s">
        <v>151</v>
      </c>
      <c r="BF29" s="45" t="s">
        <v>40</v>
      </c>
      <c r="BG29" s="45" t="s">
        <v>40</v>
      </c>
      <c r="BH29" s="45" t="s">
        <v>62</v>
      </c>
      <c r="BI29" s="45" t="s">
        <v>69</v>
      </c>
      <c r="BJ29" s="45" t="s">
        <v>85</v>
      </c>
      <c r="BK29" s="45" t="s">
        <v>104</v>
      </c>
      <c r="BL29" s="45" t="s">
        <v>55</v>
      </c>
      <c r="BM29" s="45" t="s">
        <v>80</v>
      </c>
      <c r="BN29" s="45" t="s">
        <v>48</v>
      </c>
      <c r="BO29" s="45" t="s">
        <v>91</v>
      </c>
      <c r="BP29" s="45" t="s">
        <v>46</v>
      </c>
      <c r="BQ29" s="45" t="s">
        <v>96</v>
      </c>
      <c r="BR29" s="45" t="s">
        <v>47</v>
      </c>
      <c r="BS29" s="45" t="s">
        <v>43</v>
      </c>
      <c r="BT29" s="45" t="s">
        <v>150</v>
      </c>
      <c r="BU29" s="45" t="s">
        <v>64</v>
      </c>
      <c r="BV29" s="45" t="s">
        <v>129</v>
      </c>
      <c r="BW29" s="45" t="s">
        <v>28</v>
      </c>
      <c r="BX29" s="45" t="s">
        <v>86</v>
      </c>
      <c r="BY29" s="45" t="s">
        <v>129</v>
      </c>
      <c r="BZ29" s="45" t="s">
        <v>129</v>
      </c>
      <c r="CA29" s="45" t="s">
        <v>54</v>
      </c>
      <c r="CB29" s="45" t="s">
        <v>147</v>
      </c>
      <c r="CC29" s="45" t="s">
        <v>87</v>
      </c>
      <c r="CD29" s="45" t="s">
        <v>101</v>
      </c>
      <c r="CE29" s="45" t="s">
        <v>64</v>
      </c>
      <c r="CF29" s="45" t="s">
        <v>151</v>
      </c>
      <c r="CG29" s="45" t="s">
        <v>71</v>
      </c>
      <c r="CH29" s="45" t="s">
        <v>144</v>
      </c>
      <c r="CI29" s="45" t="s">
        <v>63</v>
      </c>
      <c r="CJ29" s="45" t="s">
        <v>66</v>
      </c>
      <c r="CK29" s="45" t="s">
        <v>89</v>
      </c>
      <c r="CL29" s="45" t="s">
        <v>108</v>
      </c>
      <c r="CM29" s="45" t="s">
        <v>22</v>
      </c>
      <c r="CN29" s="45" t="s">
        <v>137</v>
      </c>
      <c r="CO29" s="45" t="s">
        <v>41</v>
      </c>
      <c r="CP29" s="45" t="s">
        <v>139</v>
      </c>
      <c r="CQ29" s="45" t="s">
        <v>94</v>
      </c>
      <c r="CR29" s="45" t="s">
        <v>147</v>
      </c>
      <c r="CS29" s="45" t="s">
        <v>55</v>
      </c>
      <c r="CT29" s="45" t="s">
        <v>114</v>
      </c>
      <c r="CU29" s="45" t="s">
        <v>114</v>
      </c>
      <c r="CV29" s="45" t="s">
        <v>55</v>
      </c>
      <c r="CW29" s="45" t="s">
        <v>13</v>
      </c>
      <c r="CX29" s="45" t="s">
        <v>33</v>
      </c>
      <c r="CY29" s="45" t="s">
        <v>46</v>
      </c>
      <c r="CZ29" s="45" t="s">
        <v>29</v>
      </c>
      <c r="DA29" s="45" t="s">
        <v>43</v>
      </c>
      <c r="DB29" s="45" t="s">
        <v>101</v>
      </c>
      <c r="DC29" s="45" t="s">
        <v>129</v>
      </c>
      <c r="DD29" s="45" t="s">
        <v>96</v>
      </c>
      <c r="DE29" s="45" t="s">
        <v>121</v>
      </c>
      <c r="DF29" s="45" t="s">
        <v>89</v>
      </c>
      <c r="DG29" s="45" t="s">
        <v>94</v>
      </c>
      <c r="DH29" s="45" t="s">
        <v>95</v>
      </c>
      <c r="DI29" s="45" t="s">
        <v>34</v>
      </c>
      <c r="DJ29" s="45" t="s">
        <v>29</v>
      </c>
      <c r="DK29" s="45" t="s">
        <v>94</v>
      </c>
      <c r="DL29" s="45" t="s">
        <v>94</v>
      </c>
      <c r="DM29" s="45" t="s">
        <v>104</v>
      </c>
      <c r="DN29" s="45" t="s">
        <v>41</v>
      </c>
      <c r="DO29" s="45" t="s">
        <v>62</v>
      </c>
      <c r="DP29" s="45" t="s">
        <v>47</v>
      </c>
      <c r="DQ29" s="45" t="s">
        <v>120</v>
      </c>
      <c r="DR29" s="45" t="s">
        <v>44</v>
      </c>
      <c r="DS29" s="45" t="s">
        <v>13</v>
      </c>
      <c r="DT29" s="45" t="s">
        <v>43</v>
      </c>
      <c r="DU29" s="45" t="s">
        <v>54</v>
      </c>
      <c r="DV29" s="45" t="s">
        <v>121</v>
      </c>
      <c r="DW29" s="45" t="s">
        <v>121</v>
      </c>
      <c r="DX29" s="45" t="s">
        <v>142</v>
      </c>
      <c r="DY29" s="45" t="s">
        <v>120</v>
      </c>
      <c r="DZ29" s="45" t="s">
        <v>44</v>
      </c>
      <c r="EA29" s="45" t="s">
        <v>43</v>
      </c>
      <c r="EB29" s="45" t="s">
        <v>89</v>
      </c>
      <c r="EC29" s="45" t="s">
        <v>108</v>
      </c>
      <c r="ED29" s="45" t="s">
        <v>13</v>
      </c>
      <c r="EE29" s="45" t="s">
        <v>142</v>
      </c>
      <c r="EF29" s="45" t="s">
        <v>58</v>
      </c>
      <c r="EG29" s="45" t="s">
        <v>142</v>
      </c>
      <c r="EH29" s="45" t="s">
        <v>116</v>
      </c>
      <c r="EI29" s="45" t="s">
        <v>58</v>
      </c>
      <c r="EJ29" s="45" t="s">
        <v>58</v>
      </c>
    </row>
    <row r="30" customFormat="false" ht="15.75" hidden="false" customHeight="false" outlineLevel="0" collapsed="false">
      <c r="A30" s="249" t="n">
        <v>25</v>
      </c>
      <c r="B30" s="251" t="s">
        <v>34</v>
      </c>
      <c r="C30" s="45" t="s">
        <v>150</v>
      </c>
      <c r="D30" s="45" t="s">
        <v>150</v>
      </c>
      <c r="E30" s="45" t="s">
        <v>151</v>
      </c>
      <c r="F30" s="45" t="s">
        <v>101</v>
      </c>
      <c r="G30" s="45" t="s">
        <v>129</v>
      </c>
      <c r="H30" s="45" t="s">
        <v>96</v>
      </c>
      <c r="I30" s="45" t="s">
        <v>129</v>
      </c>
      <c r="J30" s="45" t="s">
        <v>46</v>
      </c>
      <c r="K30" s="45" t="s">
        <v>54</v>
      </c>
      <c r="L30" s="45" t="s">
        <v>96</v>
      </c>
      <c r="M30" s="45" t="s">
        <v>84</v>
      </c>
      <c r="N30" s="45" t="s">
        <v>91</v>
      </c>
      <c r="O30" s="45" t="s">
        <v>96</v>
      </c>
      <c r="P30" s="45" t="s">
        <v>46</v>
      </c>
      <c r="Q30" s="45" t="s">
        <v>46</v>
      </c>
      <c r="R30" s="45" t="s">
        <v>150</v>
      </c>
      <c r="S30" s="45" t="s">
        <v>129</v>
      </c>
      <c r="T30" s="45" t="s">
        <v>111</v>
      </c>
      <c r="U30" s="45" t="s">
        <v>129</v>
      </c>
      <c r="V30" s="45" t="s">
        <v>150</v>
      </c>
      <c r="W30" s="45" t="s">
        <v>144</v>
      </c>
      <c r="X30" s="45" t="s">
        <v>54</v>
      </c>
      <c r="Y30" s="45" t="s">
        <v>63</v>
      </c>
      <c r="Z30" s="45" t="s">
        <v>66</v>
      </c>
      <c r="AA30" s="45" t="s">
        <v>33</v>
      </c>
      <c r="AB30" s="45" t="s">
        <v>111</v>
      </c>
      <c r="AC30" s="45" t="s">
        <v>128</v>
      </c>
      <c r="AD30" s="45" t="s">
        <v>34</v>
      </c>
      <c r="AE30" s="45" t="s">
        <v>94</v>
      </c>
      <c r="AF30" s="45" t="s">
        <v>96</v>
      </c>
      <c r="AG30" s="45" t="s">
        <v>33</v>
      </c>
      <c r="AH30" s="45" t="s">
        <v>104</v>
      </c>
      <c r="AI30" s="45" t="s">
        <v>64</v>
      </c>
      <c r="AJ30" s="45" t="s">
        <v>55</v>
      </c>
      <c r="AK30" s="45" t="s">
        <v>55</v>
      </c>
      <c r="AL30" s="45" t="s">
        <v>101</v>
      </c>
      <c r="AM30" s="45" t="s">
        <v>101</v>
      </c>
      <c r="AN30" s="45" t="s">
        <v>145</v>
      </c>
      <c r="AO30" s="45" t="s">
        <v>26</v>
      </c>
      <c r="AP30" s="45" t="s">
        <v>63</v>
      </c>
      <c r="AQ30" s="45" t="s">
        <v>47</v>
      </c>
      <c r="AR30" s="45" t="s">
        <v>121</v>
      </c>
      <c r="AS30" s="45" t="s">
        <v>47</v>
      </c>
      <c r="AT30" s="45" t="s">
        <v>104</v>
      </c>
      <c r="AU30" s="45" t="s">
        <v>26</v>
      </c>
      <c r="AV30" s="45" t="s">
        <v>64</v>
      </c>
      <c r="AW30" s="45" t="s">
        <v>120</v>
      </c>
      <c r="AX30" s="45" t="s">
        <v>120</v>
      </c>
      <c r="AY30" s="45" t="s">
        <v>143</v>
      </c>
      <c r="AZ30" s="45" t="s">
        <v>89</v>
      </c>
      <c r="BA30" s="45" t="s">
        <v>121</v>
      </c>
      <c r="BB30" s="45" t="s">
        <v>55</v>
      </c>
      <c r="BC30" s="45" t="s">
        <v>147</v>
      </c>
      <c r="BD30" s="45" t="s">
        <v>54</v>
      </c>
      <c r="BE30" s="45" t="s">
        <v>108</v>
      </c>
      <c r="BF30" s="45" t="s">
        <v>94</v>
      </c>
      <c r="BG30" s="45" t="s">
        <v>94</v>
      </c>
      <c r="BH30" s="45" t="s">
        <v>31</v>
      </c>
      <c r="BI30" s="45" t="s">
        <v>94</v>
      </c>
      <c r="BJ30" s="45" t="s">
        <v>55</v>
      </c>
      <c r="BK30" s="45" t="s">
        <v>77</v>
      </c>
      <c r="BL30" s="45" t="s">
        <v>143</v>
      </c>
      <c r="BM30" s="45" t="s">
        <v>64</v>
      </c>
      <c r="BN30" s="45" t="s">
        <v>26</v>
      </c>
      <c r="BO30" s="45" t="s">
        <v>89</v>
      </c>
      <c r="BP30" s="45" t="s">
        <v>116</v>
      </c>
      <c r="BQ30" s="45" t="s">
        <v>44</v>
      </c>
      <c r="BR30" s="45" t="s">
        <v>77</v>
      </c>
      <c r="BS30" s="45" t="s">
        <v>133</v>
      </c>
      <c r="BT30" s="45" t="s">
        <v>121</v>
      </c>
      <c r="BU30" s="45" t="s">
        <v>36</v>
      </c>
      <c r="BV30" s="45" t="s">
        <v>43</v>
      </c>
      <c r="BW30" s="45" t="s">
        <v>66</v>
      </c>
      <c r="BX30" s="45" t="s">
        <v>147</v>
      </c>
      <c r="BY30" s="45" t="s">
        <v>43</v>
      </c>
      <c r="BZ30" s="45" t="s">
        <v>43</v>
      </c>
      <c r="CA30" s="45" t="s">
        <v>25</v>
      </c>
      <c r="CB30" s="45" t="s">
        <v>25</v>
      </c>
      <c r="CC30" s="45" t="s">
        <v>54</v>
      </c>
      <c r="CD30" s="45" t="s">
        <v>29</v>
      </c>
      <c r="CE30" s="45" t="s">
        <v>44</v>
      </c>
      <c r="CF30" s="45" t="s">
        <v>108</v>
      </c>
      <c r="CG30" s="45" t="s">
        <v>129</v>
      </c>
      <c r="CH30" s="45" t="s">
        <v>58</v>
      </c>
      <c r="CI30" s="45" t="s">
        <v>142</v>
      </c>
      <c r="CJ30" s="45" t="s">
        <v>142</v>
      </c>
      <c r="CK30" s="45" t="s">
        <v>51</v>
      </c>
      <c r="CL30" s="45" t="s">
        <v>26</v>
      </c>
      <c r="CM30" s="45" t="s">
        <v>13</v>
      </c>
      <c r="CN30" s="45" t="s">
        <v>126</v>
      </c>
      <c r="CO30" s="45" t="s">
        <v>31</v>
      </c>
      <c r="CP30" s="45" t="s">
        <v>94</v>
      </c>
      <c r="CQ30" s="45" t="s">
        <v>145</v>
      </c>
      <c r="CR30" s="45" t="s">
        <v>25</v>
      </c>
      <c r="CS30" s="45" t="s">
        <v>84</v>
      </c>
      <c r="CT30" s="45" t="s">
        <v>46</v>
      </c>
      <c r="CU30" s="45" t="s">
        <v>22</v>
      </c>
      <c r="CV30" s="45" t="s">
        <v>143</v>
      </c>
      <c r="CW30" s="45" t="s">
        <v>18</v>
      </c>
      <c r="CX30" s="45" t="s">
        <v>13</v>
      </c>
      <c r="CY30" s="45" t="s">
        <v>58</v>
      </c>
      <c r="CZ30" s="45" t="s">
        <v>12</v>
      </c>
      <c r="DA30" s="45" t="s">
        <v>12</v>
      </c>
      <c r="DB30" s="45" t="s">
        <v>29</v>
      </c>
      <c r="DC30" s="45" t="s">
        <v>43</v>
      </c>
      <c r="DD30" s="45" t="s">
        <v>89</v>
      </c>
      <c r="DE30" s="45" t="s">
        <v>77</v>
      </c>
      <c r="DF30" s="45" t="s">
        <v>51</v>
      </c>
      <c r="DG30" s="45" t="s">
        <v>143</v>
      </c>
      <c r="DH30" s="45" t="s">
        <v>145</v>
      </c>
      <c r="DI30" s="45" t="s">
        <v>77</v>
      </c>
      <c r="DJ30" s="45" t="s">
        <v>12</v>
      </c>
      <c r="DK30" s="45" t="s">
        <v>145</v>
      </c>
      <c r="DL30" s="45" t="s">
        <v>143</v>
      </c>
      <c r="DM30" s="45" t="s">
        <v>77</v>
      </c>
      <c r="DN30" s="45" t="s">
        <v>48</v>
      </c>
      <c r="DO30" s="45" t="s">
        <v>95</v>
      </c>
      <c r="DP30" s="45" t="s">
        <v>77</v>
      </c>
      <c r="DQ30" s="45" t="s">
        <v>131</v>
      </c>
      <c r="DR30" s="45" t="s">
        <v>51</v>
      </c>
      <c r="DS30" s="45" t="s">
        <v>67</v>
      </c>
      <c r="DT30" s="45" t="s">
        <v>12</v>
      </c>
      <c r="DU30" s="45" t="s">
        <v>25</v>
      </c>
      <c r="DV30" s="45" t="s">
        <v>77</v>
      </c>
      <c r="DW30" s="45" t="s">
        <v>77</v>
      </c>
      <c r="DX30" s="45" t="s">
        <v>152</v>
      </c>
      <c r="DY30" s="45" t="s">
        <v>131</v>
      </c>
      <c r="DZ30" s="45" t="s">
        <v>51</v>
      </c>
      <c r="EA30" s="45" t="s">
        <v>133</v>
      </c>
      <c r="EB30" s="45" t="s">
        <v>51</v>
      </c>
      <c r="EC30" s="45" t="s">
        <v>26</v>
      </c>
      <c r="ED30" s="45" t="s">
        <v>18</v>
      </c>
      <c r="EE30" s="45" t="s">
        <v>152</v>
      </c>
      <c r="EF30" s="45" t="s">
        <v>153</v>
      </c>
      <c r="EG30" s="45" t="s">
        <v>88</v>
      </c>
      <c r="EH30" s="45" t="s">
        <v>18</v>
      </c>
      <c r="EI30" s="45" t="s">
        <v>153</v>
      </c>
      <c r="EJ30" s="45" t="s">
        <v>153</v>
      </c>
    </row>
    <row r="31" customFormat="false" ht="15.75" hidden="false" customHeight="false" outlineLevel="0" collapsed="false">
      <c r="A31" s="249" t="n">
        <v>26</v>
      </c>
      <c r="B31" s="250" t="s">
        <v>46</v>
      </c>
      <c r="C31" s="45" t="s">
        <v>85</v>
      </c>
      <c r="D31" s="45" t="s">
        <v>85</v>
      </c>
      <c r="E31" s="45" t="s">
        <v>57</v>
      </c>
      <c r="F31" s="45" t="s">
        <v>139</v>
      </c>
      <c r="G31" s="45" t="s">
        <v>40</v>
      </c>
      <c r="H31" s="45" t="s">
        <v>151</v>
      </c>
      <c r="I31" s="45" t="s">
        <v>40</v>
      </c>
      <c r="J31" s="45" t="s">
        <v>128</v>
      </c>
      <c r="K31" s="45" t="s">
        <v>96</v>
      </c>
      <c r="L31" s="45" t="s">
        <v>41</v>
      </c>
      <c r="M31" s="45" t="s">
        <v>13</v>
      </c>
      <c r="N31" s="45" t="s">
        <v>41</v>
      </c>
      <c r="O31" s="45" t="s">
        <v>41</v>
      </c>
      <c r="P31" s="45" t="s">
        <v>101</v>
      </c>
      <c r="Q31" s="45" t="s">
        <v>101</v>
      </c>
      <c r="R31" s="45" t="s">
        <v>85</v>
      </c>
      <c r="S31" s="45" t="s">
        <v>62</v>
      </c>
      <c r="T31" s="45" t="s">
        <v>86</v>
      </c>
      <c r="U31" s="45" t="s">
        <v>62</v>
      </c>
      <c r="V31" s="45" t="s">
        <v>85</v>
      </c>
      <c r="W31" s="45" t="s">
        <v>101</v>
      </c>
      <c r="X31" s="45" t="s">
        <v>64</v>
      </c>
      <c r="Y31" s="45" t="s">
        <v>91</v>
      </c>
      <c r="Z31" s="45" t="s">
        <v>129</v>
      </c>
      <c r="AA31" s="45" t="s">
        <v>111</v>
      </c>
      <c r="AB31" s="45" t="s">
        <v>86</v>
      </c>
      <c r="AC31" s="45" t="s">
        <v>139</v>
      </c>
      <c r="AD31" s="45" t="s">
        <v>94</v>
      </c>
      <c r="AE31" s="45" t="s">
        <v>46</v>
      </c>
      <c r="AF31" s="45" t="s">
        <v>41</v>
      </c>
      <c r="AG31" s="45" t="s">
        <v>150</v>
      </c>
      <c r="AH31" s="45" t="s">
        <v>55</v>
      </c>
      <c r="AI31" s="45" t="s">
        <v>151</v>
      </c>
      <c r="AJ31" s="45" t="s">
        <v>33</v>
      </c>
      <c r="AK31" s="45" t="s">
        <v>33</v>
      </c>
      <c r="AL31" s="45" t="s">
        <v>69</v>
      </c>
      <c r="AM31" s="45" t="s">
        <v>69</v>
      </c>
      <c r="AN31" s="45" t="s">
        <v>142</v>
      </c>
      <c r="AO31" s="45" t="s">
        <v>120</v>
      </c>
      <c r="AP31" s="45" t="s">
        <v>129</v>
      </c>
      <c r="AQ31" s="45" t="s">
        <v>147</v>
      </c>
      <c r="AR31" s="45" t="s">
        <v>55</v>
      </c>
      <c r="AS31" s="45" t="s">
        <v>147</v>
      </c>
      <c r="AT31" s="45" t="s">
        <v>55</v>
      </c>
      <c r="AU31" s="45" t="s">
        <v>120</v>
      </c>
      <c r="AV31" s="45" t="s">
        <v>151</v>
      </c>
      <c r="AW31" s="45" t="s">
        <v>89</v>
      </c>
      <c r="AX31" s="45" t="s">
        <v>44</v>
      </c>
      <c r="AY31" s="45" t="s">
        <v>116</v>
      </c>
      <c r="AZ31" s="45" t="s">
        <v>48</v>
      </c>
      <c r="BA31" s="45" t="s">
        <v>55</v>
      </c>
      <c r="BB31" s="45" t="s">
        <v>22</v>
      </c>
      <c r="BC31" s="45" t="s">
        <v>64</v>
      </c>
      <c r="BD31" s="45" t="s">
        <v>96</v>
      </c>
      <c r="BE31" s="45" t="s">
        <v>54</v>
      </c>
      <c r="BF31" s="45" t="s">
        <v>66</v>
      </c>
      <c r="BG31" s="45" t="s">
        <v>66</v>
      </c>
      <c r="BH31" s="45" t="s">
        <v>63</v>
      </c>
      <c r="BI31" s="45" t="s">
        <v>144</v>
      </c>
      <c r="BJ31" s="45" t="s">
        <v>46</v>
      </c>
      <c r="BK31" s="45" t="s">
        <v>84</v>
      </c>
      <c r="BL31" s="45" t="s">
        <v>13</v>
      </c>
      <c r="BM31" s="45" t="s">
        <v>111</v>
      </c>
      <c r="BN31" s="45" t="s">
        <v>120</v>
      </c>
      <c r="BO31" s="45" t="s">
        <v>31</v>
      </c>
      <c r="BP31" s="45" t="s">
        <v>34</v>
      </c>
      <c r="BQ31" s="45" t="s">
        <v>108</v>
      </c>
      <c r="BR31" s="45" t="s">
        <v>25</v>
      </c>
      <c r="BS31" s="45" t="s">
        <v>145</v>
      </c>
      <c r="BT31" s="45" t="s">
        <v>55</v>
      </c>
      <c r="BU31" s="45" t="s">
        <v>47</v>
      </c>
      <c r="BV31" s="45" t="s">
        <v>94</v>
      </c>
      <c r="BW31" s="45" t="s">
        <v>129</v>
      </c>
      <c r="BX31" s="45" t="s">
        <v>64</v>
      </c>
      <c r="BY31" s="45" t="s">
        <v>95</v>
      </c>
      <c r="BZ31" s="45" t="s">
        <v>31</v>
      </c>
      <c r="CA31" s="45" t="s">
        <v>44</v>
      </c>
      <c r="CB31" s="45" t="s">
        <v>36</v>
      </c>
      <c r="CC31" s="45" t="s">
        <v>96</v>
      </c>
      <c r="CD31" s="45" t="s">
        <v>94</v>
      </c>
      <c r="CE31" s="45" t="s">
        <v>108</v>
      </c>
      <c r="CF31" s="45" t="s">
        <v>54</v>
      </c>
      <c r="CG31" s="45" t="s">
        <v>40</v>
      </c>
      <c r="CH31" s="45" t="s">
        <v>29</v>
      </c>
      <c r="CI31" s="45" t="s">
        <v>43</v>
      </c>
      <c r="CJ31" s="45" t="s">
        <v>43</v>
      </c>
      <c r="CK31" s="45" t="s">
        <v>26</v>
      </c>
      <c r="CL31" s="45" t="s">
        <v>25</v>
      </c>
      <c r="CM31" s="45" t="s">
        <v>121</v>
      </c>
      <c r="CN31" s="45" t="s">
        <v>96</v>
      </c>
      <c r="CO31" s="45" t="s">
        <v>63</v>
      </c>
      <c r="CP31" s="45" t="s">
        <v>46</v>
      </c>
      <c r="CQ31" s="45" t="s">
        <v>142</v>
      </c>
      <c r="CR31" s="45" t="s">
        <v>36</v>
      </c>
      <c r="CS31" s="45" t="s">
        <v>13</v>
      </c>
      <c r="CT31" s="45" t="s">
        <v>150</v>
      </c>
      <c r="CU31" s="45" t="s">
        <v>150</v>
      </c>
      <c r="CV31" s="45" t="s">
        <v>116</v>
      </c>
      <c r="CW31" s="45" t="s">
        <v>77</v>
      </c>
      <c r="CX31" s="45" t="s">
        <v>104</v>
      </c>
      <c r="CY31" s="45" t="s">
        <v>29</v>
      </c>
      <c r="CZ31" s="45" t="s">
        <v>143</v>
      </c>
      <c r="DA31" s="45" t="s">
        <v>145</v>
      </c>
      <c r="DB31" s="45" t="s">
        <v>94</v>
      </c>
      <c r="DC31" s="45" t="s">
        <v>94</v>
      </c>
      <c r="DD31" s="45" t="s">
        <v>48</v>
      </c>
      <c r="DE31" s="45" t="s">
        <v>143</v>
      </c>
      <c r="DF31" s="45" t="s">
        <v>26</v>
      </c>
      <c r="DG31" s="45" t="s">
        <v>58</v>
      </c>
      <c r="DH31" s="45" t="s">
        <v>142</v>
      </c>
      <c r="DI31" s="45" t="s">
        <v>143</v>
      </c>
      <c r="DJ31" s="45" t="s">
        <v>143</v>
      </c>
      <c r="DK31" s="45" t="s">
        <v>58</v>
      </c>
      <c r="DL31" s="45" t="s">
        <v>58</v>
      </c>
      <c r="DM31" s="45" t="s">
        <v>84</v>
      </c>
      <c r="DN31" s="45" t="s">
        <v>126</v>
      </c>
      <c r="DO31" s="45" t="s">
        <v>63</v>
      </c>
      <c r="DP31" s="45" t="s">
        <v>25</v>
      </c>
      <c r="DQ31" s="45" t="s">
        <v>51</v>
      </c>
      <c r="DR31" s="45" t="s">
        <v>26</v>
      </c>
      <c r="DS31" s="45" t="s">
        <v>77</v>
      </c>
      <c r="DT31" s="45" t="s">
        <v>145</v>
      </c>
      <c r="DU31" s="45" t="s">
        <v>44</v>
      </c>
      <c r="DV31" s="45" t="s">
        <v>143</v>
      </c>
      <c r="DW31" s="45" t="s">
        <v>143</v>
      </c>
      <c r="DX31" s="45" t="s">
        <v>133</v>
      </c>
      <c r="DY31" s="45" t="s">
        <v>51</v>
      </c>
      <c r="DZ31" s="45" t="s">
        <v>26</v>
      </c>
      <c r="EA31" s="45" t="s">
        <v>145</v>
      </c>
      <c r="EB31" s="45" t="s">
        <v>26</v>
      </c>
      <c r="EC31" s="45" t="s">
        <v>25</v>
      </c>
      <c r="ED31" s="45" t="s">
        <v>77</v>
      </c>
      <c r="EE31" s="45" t="s">
        <v>133</v>
      </c>
      <c r="EF31" s="45" t="s">
        <v>12</v>
      </c>
      <c r="EG31" s="45" t="s">
        <v>12</v>
      </c>
      <c r="EH31" s="45" t="s">
        <v>77</v>
      </c>
      <c r="EI31" s="45" t="s">
        <v>12</v>
      </c>
      <c r="EJ31" s="45" t="s">
        <v>12</v>
      </c>
    </row>
    <row r="32" customFormat="false" ht="15.75" hidden="false" customHeight="false" outlineLevel="0" collapsed="false">
      <c r="A32" s="249" t="n">
        <v>27</v>
      </c>
      <c r="B32" s="250" t="s">
        <v>141</v>
      </c>
      <c r="C32" s="45" t="s">
        <v>56</v>
      </c>
      <c r="D32" s="45" t="s">
        <v>59</v>
      </c>
      <c r="E32" s="45" t="s">
        <v>71</v>
      </c>
      <c r="F32" s="45" t="s">
        <v>42</v>
      </c>
      <c r="G32" s="45" t="s">
        <v>80</v>
      </c>
      <c r="H32" s="45" t="s">
        <v>141</v>
      </c>
      <c r="I32" s="45" t="s">
        <v>80</v>
      </c>
      <c r="J32" s="45" t="s">
        <v>87</v>
      </c>
      <c r="K32" s="45" t="s">
        <v>139</v>
      </c>
      <c r="L32" s="45" t="s">
        <v>141</v>
      </c>
      <c r="M32" s="45" t="s">
        <v>31</v>
      </c>
      <c r="N32" s="45" t="s">
        <v>114</v>
      </c>
      <c r="O32" s="45" t="s">
        <v>114</v>
      </c>
      <c r="P32" s="45" t="s">
        <v>87</v>
      </c>
      <c r="Q32" s="45" t="s">
        <v>87</v>
      </c>
      <c r="R32" s="45" t="s">
        <v>59</v>
      </c>
      <c r="S32" s="45" t="s">
        <v>80</v>
      </c>
      <c r="T32" s="45" t="s">
        <v>71</v>
      </c>
      <c r="U32" s="45" t="s">
        <v>80</v>
      </c>
      <c r="V32" s="45" t="s">
        <v>59</v>
      </c>
      <c r="W32" s="45" t="s">
        <v>87</v>
      </c>
      <c r="X32" s="45" t="s">
        <v>40</v>
      </c>
      <c r="Y32" s="45" t="s">
        <v>85</v>
      </c>
      <c r="Z32" s="45" t="s">
        <v>57</v>
      </c>
      <c r="AA32" s="45" t="s">
        <v>28</v>
      </c>
      <c r="AB32" s="45" t="s">
        <v>132</v>
      </c>
      <c r="AC32" s="45" t="s">
        <v>74</v>
      </c>
      <c r="AD32" s="45" t="s">
        <v>96</v>
      </c>
      <c r="AE32" s="45" t="s">
        <v>41</v>
      </c>
      <c r="AF32" s="45" t="s">
        <v>141</v>
      </c>
      <c r="AG32" s="45" t="s">
        <v>125</v>
      </c>
      <c r="AH32" s="45" t="s">
        <v>129</v>
      </c>
      <c r="AI32" s="45" t="s">
        <v>61</v>
      </c>
      <c r="AJ32" s="45" t="s">
        <v>41</v>
      </c>
      <c r="AK32" s="45" t="s">
        <v>62</v>
      </c>
      <c r="AL32" s="45" t="s">
        <v>42</v>
      </c>
      <c r="AM32" s="45" t="s">
        <v>42</v>
      </c>
      <c r="AN32" s="45" t="s">
        <v>104</v>
      </c>
      <c r="AO32" s="45" t="s">
        <v>29</v>
      </c>
      <c r="AP32" s="45" t="s">
        <v>85</v>
      </c>
      <c r="AQ32" s="45" t="s">
        <v>129</v>
      </c>
      <c r="AR32" s="45" t="s">
        <v>96</v>
      </c>
      <c r="AS32" s="45" t="s">
        <v>129</v>
      </c>
      <c r="AT32" s="45" t="s">
        <v>91</v>
      </c>
      <c r="AU32" s="45" t="s">
        <v>121</v>
      </c>
      <c r="AV32" s="45" t="s">
        <v>28</v>
      </c>
      <c r="AW32" s="45" t="s">
        <v>94</v>
      </c>
      <c r="AX32" s="45" t="s">
        <v>94</v>
      </c>
      <c r="AY32" s="45" t="s">
        <v>48</v>
      </c>
      <c r="AZ32" s="45" t="s">
        <v>46</v>
      </c>
      <c r="BA32" s="45" t="s">
        <v>91</v>
      </c>
      <c r="BB32" s="45" t="s">
        <v>41</v>
      </c>
      <c r="BC32" s="45" t="s">
        <v>40</v>
      </c>
      <c r="BD32" s="45" t="s">
        <v>69</v>
      </c>
      <c r="BE32" s="45" t="s">
        <v>101</v>
      </c>
      <c r="BF32" s="45" t="s">
        <v>151</v>
      </c>
      <c r="BG32" s="45" t="s">
        <v>111</v>
      </c>
      <c r="BH32" s="45" t="s">
        <v>150</v>
      </c>
      <c r="BI32" s="45" t="s">
        <v>151</v>
      </c>
      <c r="BJ32" s="45" t="s">
        <v>41</v>
      </c>
      <c r="BK32" s="45" t="s">
        <v>89</v>
      </c>
      <c r="BL32" s="45" t="s">
        <v>48</v>
      </c>
      <c r="BM32" s="45" t="s">
        <v>28</v>
      </c>
      <c r="BN32" s="45" t="s">
        <v>121</v>
      </c>
      <c r="BO32" s="45" t="s">
        <v>22</v>
      </c>
      <c r="BP32" s="45" t="s">
        <v>54</v>
      </c>
      <c r="BQ32" s="45" t="s">
        <v>144</v>
      </c>
      <c r="BR32" s="45" t="s">
        <v>43</v>
      </c>
      <c r="BS32" s="45" t="s">
        <v>13</v>
      </c>
      <c r="BT32" s="45" t="s">
        <v>96</v>
      </c>
      <c r="BU32" s="45" t="s">
        <v>66</v>
      </c>
      <c r="BV32" s="45" t="s">
        <v>64</v>
      </c>
      <c r="BW32" s="45" t="s">
        <v>86</v>
      </c>
      <c r="BX32" s="45" t="s">
        <v>62</v>
      </c>
      <c r="BY32" s="45" t="s">
        <v>33</v>
      </c>
      <c r="BZ32" s="45" t="s">
        <v>33</v>
      </c>
      <c r="CA32" s="45" t="s">
        <v>94</v>
      </c>
      <c r="CB32" s="45" t="s">
        <v>94</v>
      </c>
      <c r="CC32" s="45" t="s">
        <v>139</v>
      </c>
      <c r="CD32" s="45" t="s">
        <v>64</v>
      </c>
      <c r="CE32" s="45" t="s">
        <v>66</v>
      </c>
      <c r="CF32" s="45" t="s">
        <v>129</v>
      </c>
      <c r="CG32" s="45" t="s">
        <v>80</v>
      </c>
      <c r="CH32" s="45" t="s">
        <v>54</v>
      </c>
      <c r="CI32" s="45" t="s">
        <v>55</v>
      </c>
      <c r="CJ32" s="45" t="s">
        <v>147</v>
      </c>
      <c r="CK32" s="45" t="s">
        <v>116</v>
      </c>
      <c r="CL32" s="45" t="s">
        <v>29</v>
      </c>
      <c r="CM32" s="45" t="s">
        <v>126</v>
      </c>
      <c r="CN32" s="45" t="s">
        <v>139</v>
      </c>
      <c r="CO32" s="45" t="s">
        <v>150</v>
      </c>
      <c r="CP32" s="45" t="s">
        <v>151</v>
      </c>
      <c r="CQ32" s="45" t="s">
        <v>47</v>
      </c>
      <c r="CR32" s="45" t="s">
        <v>95</v>
      </c>
      <c r="CS32" s="45" t="s">
        <v>31</v>
      </c>
      <c r="CT32" s="45" t="s">
        <v>137</v>
      </c>
      <c r="CU32" s="45" t="s">
        <v>137</v>
      </c>
      <c r="CV32" s="45" t="s">
        <v>48</v>
      </c>
      <c r="CW32" s="45" t="s">
        <v>120</v>
      </c>
      <c r="CX32" s="45" t="s">
        <v>63</v>
      </c>
      <c r="CY32" s="45" t="s">
        <v>54</v>
      </c>
      <c r="CZ32" s="45" t="s">
        <v>44</v>
      </c>
      <c r="DA32" s="45" t="s">
        <v>36</v>
      </c>
      <c r="DB32" s="45" t="s">
        <v>96</v>
      </c>
      <c r="DC32" s="45" t="s">
        <v>64</v>
      </c>
      <c r="DD32" s="45" t="s">
        <v>46</v>
      </c>
      <c r="DE32" s="45" t="s">
        <v>89</v>
      </c>
      <c r="DF32" s="45" t="s">
        <v>13</v>
      </c>
      <c r="DG32" s="45" t="s">
        <v>108</v>
      </c>
      <c r="DH32" s="45" t="s">
        <v>104</v>
      </c>
      <c r="DI32" s="45" t="s">
        <v>44</v>
      </c>
      <c r="DJ32" s="45" t="s">
        <v>44</v>
      </c>
      <c r="DK32" s="45" t="s">
        <v>47</v>
      </c>
      <c r="DL32" s="45" t="s">
        <v>108</v>
      </c>
      <c r="DM32" s="45" t="s">
        <v>43</v>
      </c>
      <c r="DN32" s="45" t="s">
        <v>150</v>
      </c>
      <c r="DO32" s="45" t="s">
        <v>111</v>
      </c>
      <c r="DP32" s="45" t="s">
        <v>43</v>
      </c>
      <c r="DQ32" s="45" t="s">
        <v>143</v>
      </c>
      <c r="DR32" s="45" t="s">
        <v>58</v>
      </c>
      <c r="DS32" s="45" t="s">
        <v>142</v>
      </c>
      <c r="DT32" s="45" t="s">
        <v>36</v>
      </c>
      <c r="DU32" s="45" t="s">
        <v>94</v>
      </c>
      <c r="DV32" s="45" t="s">
        <v>89</v>
      </c>
      <c r="DW32" s="45" t="s">
        <v>89</v>
      </c>
      <c r="DX32" s="45" t="s">
        <v>84</v>
      </c>
      <c r="DY32" s="45" t="s">
        <v>143</v>
      </c>
      <c r="DZ32" s="45" t="s">
        <v>58</v>
      </c>
      <c r="EA32" s="45" t="s">
        <v>13</v>
      </c>
      <c r="EB32" s="45" t="s">
        <v>116</v>
      </c>
      <c r="EC32" s="45" t="s">
        <v>43</v>
      </c>
      <c r="ED32" s="45" t="s">
        <v>120</v>
      </c>
      <c r="EE32" s="45" t="s">
        <v>84</v>
      </c>
      <c r="EF32" s="45" t="s">
        <v>25</v>
      </c>
      <c r="EG32" s="45" t="s">
        <v>25</v>
      </c>
      <c r="EH32" s="45" t="s">
        <v>120</v>
      </c>
      <c r="EI32" s="45" t="s">
        <v>25</v>
      </c>
      <c r="EJ32" s="45" t="s">
        <v>25</v>
      </c>
    </row>
    <row r="33" customFormat="false" ht="15.75" hidden="false" customHeight="false" outlineLevel="0" collapsed="false">
      <c r="A33" s="249" t="n">
        <v>28</v>
      </c>
      <c r="B33" s="250" t="s">
        <v>57</v>
      </c>
      <c r="C33" s="45" t="s">
        <v>80</v>
      </c>
      <c r="D33" s="45" t="s">
        <v>80</v>
      </c>
      <c r="E33" s="45" t="s">
        <v>74</v>
      </c>
      <c r="F33" s="45" t="s">
        <v>114</v>
      </c>
      <c r="G33" s="45" t="s">
        <v>141</v>
      </c>
      <c r="H33" s="45" t="s">
        <v>137</v>
      </c>
      <c r="I33" s="45" t="s">
        <v>141</v>
      </c>
      <c r="J33" s="45" t="s">
        <v>85</v>
      </c>
      <c r="K33" s="45" t="s">
        <v>62</v>
      </c>
      <c r="L33" s="45" t="s">
        <v>28</v>
      </c>
      <c r="M33" s="45" t="s">
        <v>47</v>
      </c>
      <c r="N33" s="45" t="s">
        <v>28</v>
      </c>
      <c r="O33" s="45" t="s">
        <v>28</v>
      </c>
      <c r="P33" s="45" t="s">
        <v>85</v>
      </c>
      <c r="Q33" s="45" t="s">
        <v>85</v>
      </c>
      <c r="R33" s="45" t="s">
        <v>80</v>
      </c>
      <c r="S33" s="45" t="s">
        <v>141</v>
      </c>
      <c r="T33" s="45" t="s">
        <v>42</v>
      </c>
      <c r="U33" s="45" t="s">
        <v>61</v>
      </c>
      <c r="V33" s="45" t="s">
        <v>80</v>
      </c>
      <c r="W33" s="45" t="s">
        <v>85</v>
      </c>
      <c r="X33" s="45" t="s">
        <v>41</v>
      </c>
      <c r="Y33" s="45" t="s">
        <v>40</v>
      </c>
      <c r="Z33" s="45" t="s">
        <v>139</v>
      </c>
      <c r="AA33" s="45" t="s">
        <v>87</v>
      </c>
      <c r="AB33" s="45" t="s">
        <v>42</v>
      </c>
      <c r="AC33" s="45" t="s">
        <v>80</v>
      </c>
      <c r="AD33" s="45" t="s">
        <v>33</v>
      </c>
      <c r="AE33" s="45" t="s">
        <v>150</v>
      </c>
      <c r="AF33" s="45" t="s">
        <v>125</v>
      </c>
      <c r="AG33" s="45" t="s">
        <v>57</v>
      </c>
      <c r="AH33" s="45" t="s">
        <v>64</v>
      </c>
      <c r="AI33" s="45" t="s">
        <v>137</v>
      </c>
      <c r="AJ33" s="45" t="s">
        <v>151</v>
      </c>
      <c r="AK33" s="45" t="s">
        <v>151</v>
      </c>
      <c r="AL33" s="45" t="s">
        <v>114</v>
      </c>
      <c r="AM33" s="45" t="s">
        <v>114</v>
      </c>
      <c r="AN33" s="45" t="s">
        <v>43</v>
      </c>
      <c r="AO33" s="45" t="s">
        <v>89</v>
      </c>
      <c r="AP33" s="45" t="s">
        <v>40</v>
      </c>
      <c r="AQ33" s="45" t="s">
        <v>96</v>
      </c>
      <c r="AR33" s="45" t="s">
        <v>64</v>
      </c>
      <c r="AS33" s="45" t="s">
        <v>96</v>
      </c>
      <c r="AT33" s="45" t="s">
        <v>64</v>
      </c>
      <c r="AU33" s="45" t="s">
        <v>43</v>
      </c>
      <c r="AV33" s="45" t="s">
        <v>87</v>
      </c>
      <c r="AW33" s="45" t="s">
        <v>31</v>
      </c>
      <c r="AX33" s="45" t="s">
        <v>31</v>
      </c>
      <c r="AY33" s="45" t="s">
        <v>104</v>
      </c>
      <c r="AZ33" s="45" t="s">
        <v>63</v>
      </c>
      <c r="BA33" s="45" t="s">
        <v>64</v>
      </c>
      <c r="BB33" s="45" t="s">
        <v>111</v>
      </c>
      <c r="BC33" s="45" t="s">
        <v>41</v>
      </c>
      <c r="BD33" s="45" t="s">
        <v>41</v>
      </c>
      <c r="BE33" s="45" t="s">
        <v>96</v>
      </c>
      <c r="BF33" s="45" t="s">
        <v>128</v>
      </c>
      <c r="BG33" s="45" t="s">
        <v>101</v>
      </c>
      <c r="BH33" s="45" t="s">
        <v>129</v>
      </c>
      <c r="BI33" s="45" t="s">
        <v>150</v>
      </c>
      <c r="BJ33" s="45" t="s">
        <v>111</v>
      </c>
      <c r="BK33" s="45" t="s">
        <v>36</v>
      </c>
      <c r="BL33" s="45" t="s">
        <v>47</v>
      </c>
      <c r="BM33" s="45" t="s">
        <v>87</v>
      </c>
      <c r="BN33" s="45" t="s">
        <v>43</v>
      </c>
      <c r="BO33" s="45" t="s">
        <v>66</v>
      </c>
      <c r="BP33" s="45" t="s">
        <v>55</v>
      </c>
      <c r="BQ33" s="45" t="s">
        <v>126</v>
      </c>
      <c r="BR33" s="45" t="s">
        <v>44</v>
      </c>
      <c r="BS33" s="45" t="s">
        <v>58</v>
      </c>
      <c r="BT33" s="45" t="s">
        <v>33</v>
      </c>
      <c r="BU33" s="45" t="s">
        <v>54</v>
      </c>
      <c r="BV33" s="45" t="s">
        <v>46</v>
      </c>
      <c r="BW33" s="45" t="s">
        <v>139</v>
      </c>
      <c r="BX33" s="45" t="s">
        <v>151</v>
      </c>
      <c r="BY33" s="45" t="s">
        <v>144</v>
      </c>
      <c r="BZ33" s="45" t="s">
        <v>66</v>
      </c>
      <c r="CA33" s="45" t="s">
        <v>48</v>
      </c>
      <c r="CB33" s="45" t="s">
        <v>48</v>
      </c>
      <c r="CC33" s="45" t="s">
        <v>41</v>
      </c>
      <c r="CD33" s="45" t="s">
        <v>46</v>
      </c>
      <c r="CE33" s="45" t="s">
        <v>126</v>
      </c>
      <c r="CF33" s="45" t="s">
        <v>96</v>
      </c>
      <c r="CG33" s="45" t="s">
        <v>141</v>
      </c>
      <c r="CH33" s="45" t="s">
        <v>55</v>
      </c>
      <c r="CI33" s="45" t="s">
        <v>94</v>
      </c>
      <c r="CJ33" s="45" t="s">
        <v>94</v>
      </c>
      <c r="CK33" s="45" t="s">
        <v>142</v>
      </c>
      <c r="CL33" s="45" t="s">
        <v>89</v>
      </c>
      <c r="CM33" s="45" t="s">
        <v>147</v>
      </c>
      <c r="CN33" s="45" t="s">
        <v>62</v>
      </c>
      <c r="CO33" s="45" t="s">
        <v>129</v>
      </c>
      <c r="CP33" s="45" t="s">
        <v>150</v>
      </c>
      <c r="CQ33" s="45" t="s">
        <v>29</v>
      </c>
      <c r="CR33" s="45" t="s">
        <v>108</v>
      </c>
      <c r="CS33" s="45" t="s">
        <v>108</v>
      </c>
      <c r="CT33" s="45" t="s">
        <v>86</v>
      </c>
      <c r="CU33" s="45" t="s">
        <v>86</v>
      </c>
      <c r="CV33" s="45" t="s">
        <v>104</v>
      </c>
      <c r="CW33" s="45" t="s">
        <v>25</v>
      </c>
      <c r="CX33" s="45" t="s">
        <v>147</v>
      </c>
      <c r="CY33" s="45" t="s">
        <v>55</v>
      </c>
      <c r="CZ33" s="45" t="s">
        <v>116</v>
      </c>
      <c r="DA33" s="45" t="s">
        <v>116</v>
      </c>
      <c r="DB33" s="45" t="s">
        <v>22</v>
      </c>
      <c r="DC33" s="45" t="s">
        <v>46</v>
      </c>
      <c r="DD33" s="45" t="s">
        <v>63</v>
      </c>
      <c r="DE33" s="45" t="s">
        <v>36</v>
      </c>
      <c r="DF33" s="45" t="s">
        <v>142</v>
      </c>
      <c r="DG33" s="45" t="s">
        <v>121</v>
      </c>
      <c r="DH33" s="45" t="s">
        <v>29</v>
      </c>
      <c r="DI33" s="45" t="s">
        <v>13</v>
      </c>
      <c r="DJ33" s="45" t="s">
        <v>13</v>
      </c>
      <c r="DK33" s="45" t="s">
        <v>34</v>
      </c>
      <c r="DL33" s="45" t="s">
        <v>121</v>
      </c>
      <c r="DM33" s="45" t="s">
        <v>44</v>
      </c>
      <c r="DN33" s="45" t="s">
        <v>129</v>
      </c>
      <c r="DO33" s="45" t="s">
        <v>101</v>
      </c>
      <c r="DP33" s="45" t="s">
        <v>44</v>
      </c>
      <c r="DQ33" s="45" t="s">
        <v>26</v>
      </c>
      <c r="DR33" s="45" t="s">
        <v>120</v>
      </c>
      <c r="DS33" s="45" t="s">
        <v>25</v>
      </c>
      <c r="DT33" s="45" t="s">
        <v>58</v>
      </c>
      <c r="DU33" s="45" t="s">
        <v>48</v>
      </c>
      <c r="DV33" s="45" t="s">
        <v>13</v>
      </c>
      <c r="DW33" s="45" t="s">
        <v>36</v>
      </c>
      <c r="DX33" s="45" t="s">
        <v>145</v>
      </c>
      <c r="DY33" s="45" t="s">
        <v>145</v>
      </c>
      <c r="DZ33" s="45" t="s">
        <v>120</v>
      </c>
      <c r="EA33" s="45" t="s">
        <v>58</v>
      </c>
      <c r="EB33" s="45" t="s">
        <v>142</v>
      </c>
      <c r="EC33" s="45" t="s">
        <v>89</v>
      </c>
      <c r="ED33" s="45" t="s">
        <v>25</v>
      </c>
      <c r="EE33" s="45" t="s">
        <v>143</v>
      </c>
      <c r="EF33" s="45" t="s">
        <v>143</v>
      </c>
      <c r="EG33" s="45" t="s">
        <v>143</v>
      </c>
      <c r="EH33" s="45" t="s">
        <v>84</v>
      </c>
      <c r="EI33" s="45" t="s">
        <v>143</v>
      </c>
      <c r="EJ33" s="45" t="s">
        <v>143</v>
      </c>
    </row>
    <row r="34" customFormat="false" ht="15.75" hidden="false" customHeight="false" outlineLevel="0" collapsed="false">
      <c r="A34" s="249" t="n">
        <v>29</v>
      </c>
      <c r="B34" s="250" t="s">
        <v>108</v>
      </c>
      <c r="C34" s="45" t="s">
        <v>151</v>
      </c>
      <c r="D34" s="45" t="s">
        <v>151</v>
      </c>
      <c r="E34" s="45" t="s">
        <v>41</v>
      </c>
      <c r="F34" s="45" t="s">
        <v>150</v>
      </c>
      <c r="G34" s="45" t="s">
        <v>128</v>
      </c>
      <c r="H34" s="45" t="s">
        <v>91</v>
      </c>
      <c r="I34" s="45" t="s">
        <v>150</v>
      </c>
      <c r="J34" s="45" t="s">
        <v>33</v>
      </c>
      <c r="K34" s="45" t="s">
        <v>63</v>
      </c>
      <c r="L34" s="45" t="s">
        <v>129</v>
      </c>
      <c r="M34" s="45" t="s">
        <v>25</v>
      </c>
      <c r="N34" s="45" t="s">
        <v>129</v>
      </c>
      <c r="O34" s="45" t="s">
        <v>129</v>
      </c>
      <c r="P34" s="45" t="s">
        <v>33</v>
      </c>
      <c r="Q34" s="45" t="s">
        <v>33</v>
      </c>
      <c r="R34" s="45" t="s">
        <v>111</v>
      </c>
      <c r="S34" s="45" t="s">
        <v>101</v>
      </c>
      <c r="T34" s="45" t="s">
        <v>41</v>
      </c>
      <c r="U34" s="45" t="s">
        <v>101</v>
      </c>
      <c r="V34" s="45" t="s">
        <v>111</v>
      </c>
      <c r="W34" s="45" t="s">
        <v>22</v>
      </c>
      <c r="X34" s="45" t="s">
        <v>126</v>
      </c>
      <c r="Y34" s="45" t="s">
        <v>66</v>
      </c>
      <c r="Z34" s="45" t="s">
        <v>46</v>
      </c>
      <c r="AA34" s="45" t="s">
        <v>96</v>
      </c>
      <c r="AB34" s="45" t="s">
        <v>151</v>
      </c>
      <c r="AC34" s="45" t="s">
        <v>111</v>
      </c>
      <c r="AD34" s="45" t="s">
        <v>104</v>
      </c>
      <c r="AE34" s="45" t="s">
        <v>55</v>
      </c>
      <c r="AF34" s="45" t="s">
        <v>129</v>
      </c>
      <c r="AG34" s="45" t="s">
        <v>64</v>
      </c>
      <c r="AH34" s="45" t="s">
        <v>108</v>
      </c>
      <c r="AI34" s="45" t="s">
        <v>96</v>
      </c>
      <c r="AJ34" s="45" t="s">
        <v>54</v>
      </c>
      <c r="AK34" s="45" t="s">
        <v>54</v>
      </c>
      <c r="AL34" s="45" t="s">
        <v>150</v>
      </c>
      <c r="AM34" s="45" t="s">
        <v>150</v>
      </c>
      <c r="AN34" s="45" t="s">
        <v>143</v>
      </c>
      <c r="AO34" s="45" t="s">
        <v>145</v>
      </c>
      <c r="AP34" s="45" t="s">
        <v>144</v>
      </c>
      <c r="AQ34" s="45" t="s">
        <v>48</v>
      </c>
      <c r="AR34" s="45" t="s">
        <v>47</v>
      </c>
      <c r="AS34" s="45" t="s">
        <v>48</v>
      </c>
      <c r="AT34" s="45" t="s">
        <v>108</v>
      </c>
      <c r="AU34" s="45" t="s">
        <v>145</v>
      </c>
      <c r="AV34" s="45" t="s">
        <v>96</v>
      </c>
      <c r="AW34" s="45" t="s">
        <v>142</v>
      </c>
      <c r="AX34" s="45" t="s">
        <v>142</v>
      </c>
      <c r="AY34" s="45" t="s">
        <v>84</v>
      </c>
      <c r="AZ34" s="45" t="s">
        <v>43</v>
      </c>
      <c r="BA34" s="45" t="s">
        <v>108</v>
      </c>
      <c r="BB34" s="45" t="s">
        <v>147</v>
      </c>
      <c r="BC34" s="45" t="s">
        <v>126</v>
      </c>
      <c r="BD34" s="45" t="s">
        <v>63</v>
      </c>
      <c r="BE34" s="45" t="s">
        <v>31</v>
      </c>
      <c r="BF34" s="45" t="s">
        <v>55</v>
      </c>
      <c r="BG34" s="45" t="s">
        <v>94</v>
      </c>
      <c r="BH34" s="45" t="s">
        <v>94</v>
      </c>
      <c r="BI34" s="45" t="s">
        <v>55</v>
      </c>
      <c r="BJ34" s="45" t="s">
        <v>147</v>
      </c>
      <c r="BK34" s="45" t="s">
        <v>26</v>
      </c>
      <c r="BL34" s="45" t="s">
        <v>25</v>
      </c>
      <c r="BM34" s="45" t="s">
        <v>96</v>
      </c>
      <c r="BN34" s="45" t="s">
        <v>145</v>
      </c>
      <c r="BO34" s="45" t="s">
        <v>43</v>
      </c>
      <c r="BP34" s="45" t="s">
        <v>13</v>
      </c>
      <c r="BQ34" s="45" t="s">
        <v>89</v>
      </c>
      <c r="BR34" s="45" t="s">
        <v>26</v>
      </c>
      <c r="BS34" s="45" t="s">
        <v>12</v>
      </c>
      <c r="BT34" s="45" t="s">
        <v>47</v>
      </c>
      <c r="BU34" s="45" t="s">
        <v>89</v>
      </c>
      <c r="BV34" s="45" t="s">
        <v>34</v>
      </c>
      <c r="BW34" s="45" t="s">
        <v>46</v>
      </c>
      <c r="BX34" s="45" t="s">
        <v>54</v>
      </c>
      <c r="BY34" s="45" t="s">
        <v>29</v>
      </c>
      <c r="BZ34" s="45" t="s">
        <v>29</v>
      </c>
      <c r="CA34" s="45" t="s">
        <v>120</v>
      </c>
      <c r="CB34" s="45" t="s">
        <v>120</v>
      </c>
      <c r="CC34" s="45" t="s">
        <v>63</v>
      </c>
      <c r="CD34" s="45" t="s">
        <v>121</v>
      </c>
      <c r="CE34" s="45" t="s">
        <v>89</v>
      </c>
      <c r="CF34" s="45" t="s">
        <v>48</v>
      </c>
      <c r="CG34" s="45" t="s">
        <v>150</v>
      </c>
      <c r="CH34" s="45" t="s">
        <v>13</v>
      </c>
      <c r="CI34" s="45" t="s">
        <v>58</v>
      </c>
      <c r="CJ34" s="45" t="s">
        <v>116</v>
      </c>
      <c r="CK34" s="45" t="s">
        <v>12</v>
      </c>
      <c r="CL34" s="45" t="s">
        <v>26</v>
      </c>
      <c r="CM34" s="45" t="s">
        <v>36</v>
      </c>
      <c r="CN34" s="45" t="s">
        <v>63</v>
      </c>
      <c r="CO34" s="45" t="s">
        <v>94</v>
      </c>
      <c r="CP34" s="45" t="s">
        <v>55</v>
      </c>
      <c r="CQ34" s="45" t="s">
        <v>143</v>
      </c>
      <c r="CR34" s="45" t="s">
        <v>120</v>
      </c>
      <c r="CS34" s="45" t="s">
        <v>25</v>
      </c>
      <c r="CT34" s="45" t="s">
        <v>64</v>
      </c>
      <c r="CU34" s="45" t="s">
        <v>64</v>
      </c>
      <c r="CV34" s="45" t="s">
        <v>25</v>
      </c>
      <c r="CW34" s="45" t="s">
        <v>115</v>
      </c>
      <c r="CX34" s="45" t="s">
        <v>44</v>
      </c>
      <c r="CY34" s="45" t="s">
        <v>13</v>
      </c>
      <c r="CZ34" s="45" t="s">
        <v>77</v>
      </c>
      <c r="DA34" s="45" t="s">
        <v>77</v>
      </c>
      <c r="DB34" s="45" t="s">
        <v>104</v>
      </c>
      <c r="DC34" s="45" t="s">
        <v>121</v>
      </c>
      <c r="DD34" s="45" t="s">
        <v>43</v>
      </c>
      <c r="DE34" s="45" t="s">
        <v>77</v>
      </c>
      <c r="DF34" s="45" t="s">
        <v>12</v>
      </c>
      <c r="DG34" s="45" t="s">
        <v>143</v>
      </c>
      <c r="DH34" s="45" t="s">
        <v>143</v>
      </c>
      <c r="DI34" s="45" t="s">
        <v>77</v>
      </c>
      <c r="DJ34" s="45" t="s">
        <v>77</v>
      </c>
      <c r="DK34" s="45" t="s">
        <v>143</v>
      </c>
      <c r="DL34" s="45" t="s">
        <v>84</v>
      </c>
      <c r="DM34" s="45" t="s">
        <v>26</v>
      </c>
      <c r="DN34" s="45" t="s">
        <v>94</v>
      </c>
      <c r="DO34" s="45" t="s">
        <v>94</v>
      </c>
      <c r="DP34" s="45" t="s">
        <v>26</v>
      </c>
      <c r="DQ34" s="45" t="s">
        <v>152</v>
      </c>
      <c r="DR34" s="45" t="s">
        <v>51</v>
      </c>
      <c r="DS34" s="45" t="s">
        <v>51</v>
      </c>
      <c r="DT34" s="45" t="s">
        <v>77</v>
      </c>
      <c r="DU34" s="45" t="s">
        <v>120</v>
      </c>
      <c r="DV34" s="45" t="s">
        <v>77</v>
      </c>
      <c r="DW34" s="45" t="s">
        <v>77</v>
      </c>
      <c r="DX34" s="45" t="s">
        <v>153</v>
      </c>
      <c r="DY34" s="45" t="s">
        <v>88</v>
      </c>
      <c r="DZ34" s="45" t="s">
        <v>133</v>
      </c>
      <c r="EA34" s="45" t="s">
        <v>12</v>
      </c>
      <c r="EB34" s="45" t="s">
        <v>133</v>
      </c>
      <c r="EC34" s="45" t="s">
        <v>26</v>
      </c>
      <c r="ED34" s="45" t="s">
        <v>115</v>
      </c>
      <c r="EE34" s="45" t="s">
        <v>153</v>
      </c>
      <c r="EF34" s="45" t="s">
        <v>18</v>
      </c>
      <c r="EG34" s="45" t="s">
        <v>37</v>
      </c>
      <c r="EH34" s="45" t="s">
        <v>115</v>
      </c>
      <c r="EI34" s="45" t="s">
        <v>18</v>
      </c>
      <c r="EJ34" s="45" t="s">
        <v>18</v>
      </c>
    </row>
    <row r="35" customFormat="false" ht="15.75" hidden="false" customHeight="false" outlineLevel="0" collapsed="false">
      <c r="A35" s="249" t="n">
        <v>30</v>
      </c>
      <c r="B35" s="250" t="s">
        <v>28</v>
      </c>
      <c r="C35" s="45" t="s">
        <v>59</v>
      </c>
      <c r="D35" s="45" t="s">
        <v>74</v>
      </c>
      <c r="E35" s="45" t="s">
        <v>132</v>
      </c>
      <c r="F35" s="45" t="s">
        <v>80</v>
      </c>
      <c r="G35" s="45" t="s">
        <v>80</v>
      </c>
      <c r="H35" s="45" t="s">
        <v>28</v>
      </c>
      <c r="I35" s="45" t="s">
        <v>80</v>
      </c>
      <c r="J35" s="45" t="s">
        <v>87</v>
      </c>
      <c r="K35" s="45" t="s">
        <v>69</v>
      </c>
      <c r="L35" s="45" t="s">
        <v>141</v>
      </c>
      <c r="M35" s="45" t="s">
        <v>48</v>
      </c>
      <c r="N35" s="45" t="s">
        <v>141</v>
      </c>
      <c r="O35" s="45" t="s">
        <v>141</v>
      </c>
      <c r="P35" s="45" t="s">
        <v>57</v>
      </c>
      <c r="Q35" s="45" t="s">
        <v>57</v>
      </c>
      <c r="R35" s="45" t="s">
        <v>42</v>
      </c>
      <c r="S35" s="45" t="s">
        <v>114</v>
      </c>
      <c r="T35" s="45" t="s">
        <v>56</v>
      </c>
      <c r="U35" s="45" t="s">
        <v>114</v>
      </c>
      <c r="V35" s="45" t="s">
        <v>74</v>
      </c>
      <c r="W35" s="45" t="s">
        <v>86</v>
      </c>
      <c r="X35" s="45" t="s">
        <v>62</v>
      </c>
      <c r="Y35" s="45" t="s">
        <v>139</v>
      </c>
      <c r="Z35" s="45" t="s">
        <v>86</v>
      </c>
      <c r="AA35" s="45" t="s">
        <v>137</v>
      </c>
      <c r="AB35" s="45" t="s">
        <v>59</v>
      </c>
      <c r="AC35" s="45" t="s">
        <v>42</v>
      </c>
      <c r="AD35" s="45" t="s">
        <v>64</v>
      </c>
      <c r="AE35" s="45" t="s">
        <v>151</v>
      </c>
      <c r="AF35" s="45" t="s">
        <v>61</v>
      </c>
      <c r="AG35" s="45" t="s">
        <v>137</v>
      </c>
      <c r="AH35" s="45" t="s">
        <v>96</v>
      </c>
      <c r="AI35" s="45" t="s">
        <v>28</v>
      </c>
      <c r="AJ35" s="45" t="s">
        <v>41</v>
      </c>
      <c r="AK35" s="45" t="s">
        <v>41</v>
      </c>
      <c r="AL35" s="45" t="s">
        <v>80</v>
      </c>
      <c r="AM35" s="45" t="s">
        <v>80</v>
      </c>
      <c r="AN35" s="45" t="s">
        <v>121</v>
      </c>
      <c r="AO35" s="45" t="s">
        <v>43</v>
      </c>
      <c r="AP35" s="45" t="s">
        <v>85</v>
      </c>
      <c r="AQ35" s="45" t="s">
        <v>129</v>
      </c>
      <c r="AR35" s="45" t="s">
        <v>96</v>
      </c>
      <c r="AS35" s="45" t="s">
        <v>91</v>
      </c>
      <c r="AT35" s="45" t="s">
        <v>96</v>
      </c>
      <c r="AU35" s="45" t="s">
        <v>34</v>
      </c>
      <c r="AV35" s="45" t="s">
        <v>28</v>
      </c>
      <c r="AW35" s="45" t="s">
        <v>94</v>
      </c>
      <c r="AX35" s="45" t="s">
        <v>94</v>
      </c>
      <c r="AY35" s="45" t="s">
        <v>108</v>
      </c>
      <c r="AZ35" s="45" t="s">
        <v>46</v>
      </c>
      <c r="BA35" s="45" t="s">
        <v>96</v>
      </c>
      <c r="BB35" s="45" t="s">
        <v>41</v>
      </c>
      <c r="BC35" s="45" t="s">
        <v>62</v>
      </c>
      <c r="BD35" s="45" t="s">
        <v>40</v>
      </c>
      <c r="BE35" s="45" t="s">
        <v>129</v>
      </c>
      <c r="BF35" s="45" t="s">
        <v>111</v>
      </c>
      <c r="BG35" s="45" t="s">
        <v>150</v>
      </c>
      <c r="BH35" s="45" t="s">
        <v>150</v>
      </c>
      <c r="BI35" s="45" t="s">
        <v>111</v>
      </c>
      <c r="BJ35" s="45" t="s">
        <v>151</v>
      </c>
      <c r="BK35" s="45" t="s">
        <v>89</v>
      </c>
      <c r="BL35" s="45" t="s">
        <v>48</v>
      </c>
      <c r="BM35" s="45" t="s">
        <v>125</v>
      </c>
      <c r="BN35" s="45" t="s">
        <v>29</v>
      </c>
      <c r="BO35" s="45" t="s">
        <v>46</v>
      </c>
      <c r="BP35" s="45" t="s">
        <v>54</v>
      </c>
      <c r="BQ35" s="45" t="s">
        <v>66</v>
      </c>
      <c r="BR35" s="45" t="s">
        <v>43</v>
      </c>
      <c r="BS35" s="45" t="s">
        <v>116</v>
      </c>
      <c r="BT35" s="45" t="s">
        <v>96</v>
      </c>
      <c r="BU35" s="45" t="s">
        <v>63</v>
      </c>
      <c r="BV35" s="45" t="s">
        <v>33</v>
      </c>
      <c r="BW35" s="45" t="s">
        <v>85</v>
      </c>
      <c r="BX35" s="45" t="s">
        <v>41</v>
      </c>
      <c r="BY35" s="45" t="s">
        <v>22</v>
      </c>
      <c r="BZ35" s="45" t="s">
        <v>46</v>
      </c>
      <c r="CA35" s="45" t="s">
        <v>95</v>
      </c>
      <c r="CB35" s="45" t="s">
        <v>31</v>
      </c>
      <c r="CC35" s="45" t="s">
        <v>40</v>
      </c>
      <c r="CD35" s="45" t="s">
        <v>64</v>
      </c>
      <c r="CE35" s="45" t="s">
        <v>63</v>
      </c>
      <c r="CF35" s="45" t="s">
        <v>129</v>
      </c>
      <c r="CG35" s="45" t="s">
        <v>80</v>
      </c>
      <c r="CH35" s="45" t="s">
        <v>147</v>
      </c>
      <c r="CI35" s="45" t="s">
        <v>55</v>
      </c>
      <c r="CJ35" s="45" t="s">
        <v>55</v>
      </c>
      <c r="CK35" s="45" t="s">
        <v>58</v>
      </c>
      <c r="CL35" s="45" t="s">
        <v>43</v>
      </c>
      <c r="CM35" s="45" t="s">
        <v>54</v>
      </c>
      <c r="CN35" s="45" t="s">
        <v>69</v>
      </c>
      <c r="CO35" s="45" t="s">
        <v>128</v>
      </c>
      <c r="CP35" s="45" t="s">
        <v>151</v>
      </c>
      <c r="CQ35" s="45" t="s">
        <v>104</v>
      </c>
      <c r="CR35" s="45" t="s">
        <v>31</v>
      </c>
      <c r="CS35" s="45" t="s">
        <v>48</v>
      </c>
      <c r="CT35" s="45" t="s">
        <v>87</v>
      </c>
      <c r="CU35" s="45" t="s">
        <v>87</v>
      </c>
      <c r="CV35" s="45" t="s">
        <v>108</v>
      </c>
      <c r="CW35" s="45" t="s">
        <v>120</v>
      </c>
      <c r="CX35" s="45" t="s">
        <v>126</v>
      </c>
      <c r="CY35" s="45" t="s">
        <v>147</v>
      </c>
      <c r="CZ35" s="45" t="s">
        <v>36</v>
      </c>
      <c r="DA35" s="45" t="s">
        <v>13</v>
      </c>
      <c r="DB35" s="45" t="s">
        <v>64</v>
      </c>
      <c r="DC35" s="45" t="s">
        <v>33</v>
      </c>
      <c r="DD35" s="45" t="s">
        <v>144</v>
      </c>
      <c r="DE35" s="45" t="s">
        <v>44</v>
      </c>
      <c r="DF35" s="45" t="s">
        <v>116</v>
      </c>
      <c r="DG35" s="45" t="s">
        <v>47</v>
      </c>
      <c r="DH35" s="45" t="s">
        <v>121</v>
      </c>
      <c r="DI35" s="45" t="s">
        <v>44</v>
      </c>
      <c r="DJ35" s="45" t="s">
        <v>36</v>
      </c>
      <c r="DK35" s="45" t="s">
        <v>104</v>
      </c>
      <c r="DL35" s="45" t="s">
        <v>47</v>
      </c>
      <c r="DM35" s="45" t="s">
        <v>89</v>
      </c>
      <c r="DN35" s="45" t="s">
        <v>101</v>
      </c>
      <c r="DO35" s="45" t="s">
        <v>150</v>
      </c>
      <c r="DP35" s="45" t="s">
        <v>89</v>
      </c>
      <c r="DQ35" s="45" t="s">
        <v>145</v>
      </c>
      <c r="DR35" s="45" t="s">
        <v>142</v>
      </c>
      <c r="DS35" s="45" t="s">
        <v>120</v>
      </c>
      <c r="DT35" s="45" t="s">
        <v>13</v>
      </c>
      <c r="DU35" s="45" t="s">
        <v>94</v>
      </c>
      <c r="DV35" s="45" t="s">
        <v>44</v>
      </c>
      <c r="DW35" s="45" t="s">
        <v>44</v>
      </c>
      <c r="DX35" s="45" t="s">
        <v>143</v>
      </c>
      <c r="DY35" s="45" t="s">
        <v>143</v>
      </c>
      <c r="DZ35" s="45" t="s">
        <v>58</v>
      </c>
      <c r="EA35" s="45" t="s">
        <v>13</v>
      </c>
      <c r="EB35" s="45" t="s">
        <v>58</v>
      </c>
      <c r="EC35" s="45" t="s">
        <v>43</v>
      </c>
      <c r="ED35" s="45" t="s">
        <v>120</v>
      </c>
      <c r="EE35" s="45" t="s">
        <v>143</v>
      </c>
      <c r="EF35" s="45" t="s">
        <v>84</v>
      </c>
      <c r="EG35" s="45" t="s">
        <v>84</v>
      </c>
      <c r="EH35" s="45" t="s">
        <v>25</v>
      </c>
      <c r="EI35" s="45" t="s">
        <v>25</v>
      </c>
      <c r="EJ35" s="45" t="s">
        <v>25</v>
      </c>
    </row>
    <row r="36" customFormat="false" ht="15.75" hidden="false" customHeight="false" outlineLevel="0" collapsed="false">
      <c r="A36" s="249" t="n">
        <v>31</v>
      </c>
      <c r="B36" s="250" t="s">
        <v>64</v>
      </c>
      <c r="C36" s="45" t="s">
        <v>57</v>
      </c>
      <c r="D36" s="45" t="s">
        <v>86</v>
      </c>
      <c r="E36" s="45" t="s">
        <v>87</v>
      </c>
      <c r="F36" s="45" t="s">
        <v>85</v>
      </c>
      <c r="G36" s="45" t="s">
        <v>139</v>
      </c>
      <c r="H36" s="45" t="s">
        <v>41</v>
      </c>
      <c r="I36" s="45" t="s">
        <v>139</v>
      </c>
      <c r="J36" s="45" t="s">
        <v>150</v>
      </c>
      <c r="K36" s="45" t="s">
        <v>65</v>
      </c>
      <c r="L36" s="45" t="s">
        <v>62</v>
      </c>
      <c r="M36" s="45" t="s">
        <v>36</v>
      </c>
      <c r="N36" s="45" t="s">
        <v>40</v>
      </c>
      <c r="O36" s="45" t="s">
        <v>62</v>
      </c>
      <c r="P36" s="45" t="s">
        <v>150</v>
      </c>
      <c r="Q36" s="45" t="s">
        <v>150</v>
      </c>
      <c r="R36" s="45" t="s">
        <v>86</v>
      </c>
      <c r="S36" s="45" t="s">
        <v>69</v>
      </c>
      <c r="T36" s="45" t="s">
        <v>87</v>
      </c>
      <c r="U36" s="45" t="s">
        <v>40</v>
      </c>
      <c r="V36" s="45" t="s">
        <v>86</v>
      </c>
      <c r="W36" s="45" t="s">
        <v>150</v>
      </c>
      <c r="X36" s="45" t="s">
        <v>96</v>
      </c>
      <c r="Y36" s="45" t="s">
        <v>129</v>
      </c>
      <c r="Z36" s="45" t="s">
        <v>128</v>
      </c>
      <c r="AA36" s="45" t="s">
        <v>151</v>
      </c>
      <c r="AB36" s="45" t="s">
        <v>87</v>
      </c>
      <c r="AC36" s="45" t="s">
        <v>85</v>
      </c>
      <c r="AD36" s="45" t="s">
        <v>55</v>
      </c>
      <c r="AE36" s="45" t="s">
        <v>33</v>
      </c>
      <c r="AF36" s="45" t="s">
        <v>41</v>
      </c>
      <c r="AG36" s="45" t="s">
        <v>151</v>
      </c>
      <c r="AH36" s="45" t="s">
        <v>54</v>
      </c>
      <c r="AI36" s="45" t="s">
        <v>41</v>
      </c>
      <c r="AJ36" s="45" t="s">
        <v>64</v>
      </c>
      <c r="AK36" s="45" t="s">
        <v>64</v>
      </c>
      <c r="AL36" s="45" t="s">
        <v>85</v>
      </c>
      <c r="AM36" s="45" t="s">
        <v>85</v>
      </c>
      <c r="AN36" s="45" t="s">
        <v>58</v>
      </c>
      <c r="AO36" s="45" t="s">
        <v>120</v>
      </c>
      <c r="AP36" s="45" t="s">
        <v>129</v>
      </c>
      <c r="AQ36" s="45" t="s">
        <v>54</v>
      </c>
      <c r="AR36" s="45" t="s">
        <v>147</v>
      </c>
      <c r="AS36" s="45" t="s">
        <v>54</v>
      </c>
      <c r="AT36" s="45" t="s">
        <v>147</v>
      </c>
      <c r="AU36" s="45" t="s">
        <v>142</v>
      </c>
      <c r="AV36" s="45" t="s">
        <v>41</v>
      </c>
      <c r="AW36" s="45" t="s">
        <v>43</v>
      </c>
      <c r="AX36" s="45" t="s">
        <v>89</v>
      </c>
      <c r="AY36" s="45" t="s">
        <v>13</v>
      </c>
      <c r="AZ36" s="45" t="s">
        <v>95</v>
      </c>
      <c r="BA36" s="45" t="s">
        <v>147</v>
      </c>
      <c r="BB36" s="45" t="s">
        <v>64</v>
      </c>
      <c r="BC36" s="45" t="s">
        <v>96</v>
      </c>
      <c r="BD36" s="45" t="s">
        <v>96</v>
      </c>
      <c r="BE36" s="45" t="s">
        <v>126</v>
      </c>
      <c r="BF36" s="45" t="s">
        <v>46</v>
      </c>
      <c r="BG36" s="45" t="s">
        <v>46</v>
      </c>
      <c r="BH36" s="45" t="s">
        <v>66</v>
      </c>
      <c r="BI36" s="45" t="s">
        <v>46</v>
      </c>
      <c r="BJ36" s="45" t="s">
        <v>33</v>
      </c>
      <c r="BK36" s="45" t="s">
        <v>25</v>
      </c>
      <c r="BL36" s="45" t="s">
        <v>36</v>
      </c>
      <c r="BM36" s="45" t="s">
        <v>151</v>
      </c>
      <c r="BN36" s="45" t="s">
        <v>142</v>
      </c>
      <c r="BO36" s="45" t="s">
        <v>94</v>
      </c>
      <c r="BP36" s="45" t="s">
        <v>104</v>
      </c>
      <c r="BQ36" s="45" t="s">
        <v>48</v>
      </c>
      <c r="BR36" s="45" t="s">
        <v>120</v>
      </c>
      <c r="BS36" s="45" t="s">
        <v>145</v>
      </c>
      <c r="BT36" s="45" t="s">
        <v>55</v>
      </c>
      <c r="BU36" s="45" t="s">
        <v>48</v>
      </c>
      <c r="BV36" s="45" t="s">
        <v>94</v>
      </c>
      <c r="BW36" s="45" t="s">
        <v>101</v>
      </c>
      <c r="BX36" s="45" t="s">
        <v>96</v>
      </c>
      <c r="BY36" s="45" t="s">
        <v>94</v>
      </c>
      <c r="BZ36" s="45" t="s">
        <v>94</v>
      </c>
      <c r="CA36" s="45" t="s">
        <v>89</v>
      </c>
      <c r="CB36" s="45" t="s">
        <v>44</v>
      </c>
      <c r="CC36" s="45" t="s">
        <v>91</v>
      </c>
      <c r="CD36" s="45" t="s">
        <v>55</v>
      </c>
      <c r="CE36" s="45" t="s">
        <v>48</v>
      </c>
      <c r="CF36" s="45" t="s">
        <v>126</v>
      </c>
      <c r="CG36" s="45" t="s">
        <v>139</v>
      </c>
      <c r="CH36" s="45" t="s">
        <v>121</v>
      </c>
      <c r="CI36" s="45" t="s">
        <v>43</v>
      </c>
      <c r="CJ36" s="45" t="s">
        <v>29</v>
      </c>
      <c r="CK36" s="45" t="s">
        <v>145</v>
      </c>
      <c r="CL36" s="45" t="s">
        <v>120</v>
      </c>
      <c r="CM36" s="45" t="s">
        <v>47</v>
      </c>
      <c r="CN36" s="45" t="s">
        <v>129</v>
      </c>
      <c r="CO36" s="45" t="s">
        <v>66</v>
      </c>
      <c r="CP36" s="45" t="s">
        <v>22</v>
      </c>
      <c r="CQ36" s="45" t="s">
        <v>58</v>
      </c>
      <c r="CR36" s="45" t="s">
        <v>44</v>
      </c>
      <c r="CS36" s="45" t="s">
        <v>44</v>
      </c>
      <c r="CT36" s="45" t="s">
        <v>111</v>
      </c>
      <c r="CU36" s="45" t="s">
        <v>111</v>
      </c>
      <c r="CV36" s="45" t="s">
        <v>13</v>
      </c>
      <c r="CW36" s="45" t="s">
        <v>77</v>
      </c>
      <c r="CX36" s="45" t="s">
        <v>47</v>
      </c>
      <c r="CY36" s="45" t="s">
        <v>121</v>
      </c>
      <c r="CZ36" s="45" t="s">
        <v>143</v>
      </c>
      <c r="DA36" s="45" t="s">
        <v>143</v>
      </c>
      <c r="DB36" s="45" t="s">
        <v>55</v>
      </c>
      <c r="DC36" s="45" t="s">
        <v>94</v>
      </c>
      <c r="DD36" s="45" t="s">
        <v>31</v>
      </c>
      <c r="DE36" s="45" t="s">
        <v>25</v>
      </c>
      <c r="DF36" s="45" t="s">
        <v>145</v>
      </c>
      <c r="DG36" s="45" t="s">
        <v>116</v>
      </c>
      <c r="DH36" s="45" t="s">
        <v>58</v>
      </c>
      <c r="DI36" s="45" t="s">
        <v>84</v>
      </c>
      <c r="DJ36" s="45" t="s">
        <v>143</v>
      </c>
      <c r="DK36" s="45" t="s">
        <v>116</v>
      </c>
      <c r="DL36" s="45" t="s">
        <v>13</v>
      </c>
      <c r="DM36" s="45" t="s">
        <v>25</v>
      </c>
      <c r="DN36" s="45" t="s">
        <v>63</v>
      </c>
      <c r="DO36" s="45" t="s">
        <v>144</v>
      </c>
      <c r="DP36" s="45" t="s">
        <v>25</v>
      </c>
      <c r="DQ36" s="45" t="s">
        <v>51</v>
      </c>
      <c r="DR36" s="45" t="s">
        <v>26</v>
      </c>
      <c r="DS36" s="45" t="s">
        <v>26</v>
      </c>
      <c r="DT36" s="45" t="s">
        <v>143</v>
      </c>
      <c r="DU36" s="45" t="s">
        <v>89</v>
      </c>
      <c r="DV36" s="45" t="s">
        <v>84</v>
      </c>
      <c r="DW36" s="45" t="s">
        <v>84</v>
      </c>
      <c r="DX36" s="45" t="s">
        <v>12</v>
      </c>
      <c r="DY36" s="45" t="s">
        <v>133</v>
      </c>
      <c r="DZ36" s="45" t="s">
        <v>26</v>
      </c>
      <c r="EA36" s="45" t="s">
        <v>143</v>
      </c>
      <c r="EB36" s="45" t="s">
        <v>145</v>
      </c>
      <c r="EC36" s="45" t="s">
        <v>120</v>
      </c>
      <c r="ED36" s="45" t="s">
        <v>77</v>
      </c>
      <c r="EE36" s="45" t="s">
        <v>12</v>
      </c>
      <c r="EF36" s="45" t="s">
        <v>77</v>
      </c>
      <c r="EG36" s="45" t="s">
        <v>12</v>
      </c>
      <c r="EH36" s="45" t="s">
        <v>77</v>
      </c>
      <c r="EI36" s="45" t="s">
        <v>77</v>
      </c>
      <c r="EJ36" s="45" t="s">
        <v>77</v>
      </c>
    </row>
    <row r="37" customFormat="false" ht="15.75" hidden="false" customHeight="false" outlineLevel="0" collapsed="false">
      <c r="A37" s="249" t="n">
        <v>31</v>
      </c>
      <c r="B37" s="251" t="s">
        <v>65</v>
      </c>
      <c r="C37" s="45" t="s">
        <v>87</v>
      </c>
      <c r="D37" s="45" t="s">
        <v>57</v>
      </c>
      <c r="E37" s="45" t="s">
        <v>137</v>
      </c>
      <c r="F37" s="45" t="s">
        <v>85</v>
      </c>
      <c r="G37" s="45" t="s">
        <v>139</v>
      </c>
      <c r="H37" s="45" t="s">
        <v>41</v>
      </c>
      <c r="I37" s="45" t="s">
        <v>85</v>
      </c>
      <c r="J37" s="45" t="s">
        <v>111</v>
      </c>
      <c r="K37" s="45" t="s">
        <v>129</v>
      </c>
      <c r="L37" s="45" t="s">
        <v>62</v>
      </c>
      <c r="M37" s="45" t="s">
        <v>44</v>
      </c>
      <c r="N37" s="45" t="s">
        <v>40</v>
      </c>
      <c r="O37" s="45" t="s">
        <v>40</v>
      </c>
      <c r="P37" s="45" t="s">
        <v>150</v>
      </c>
      <c r="Q37" s="45" t="s">
        <v>150</v>
      </c>
      <c r="R37" s="45" t="s">
        <v>86</v>
      </c>
      <c r="S37" s="45" t="s">
        <v>139</v>
      </c>
      <c r="T37" s="45" t="s">
        <v>87</v>
      </c>
      <c r="U37" s="45" t="s">
        <v>69</v>
      </c>
      <c r="V37" s="45" t="s">
        <v>57</v>
      </c>
      <c r="W37" s="45" t="s">
        <v>150</v>
      </c>
      <c r="X37" s="45" t="s">
        <v>96</v>
      </c>
      <c r="Y37" s="45" t="s">
        <v>129</v>
      </c>
      <c r="Z37" s="45" t="s">
        <v>150</v>
      </c>
      <c r="AA37" s="45" t="s">
        <v>151</v>
      </c>
      <c r="AB37" s="45" t="s">
        <v>87</v>
      </c>
      <c r="AC37" s="45" t="s">
        <v>86</v>
      </c>
      <c r="AD37" s="45" t="s">
        <v>55</v>
      </c>
      <c r="AE37" s="45" t="s">
        <v>33</v>
      </c>
      <c r="AF37" s="45" t="s">
        <v>62</v>
      </c>
      <c r="AG37" s="45" t="s">
        <v>151</v>
      </c>
      <c r="AH37" s="45" t="s">
        <v>54</v>
      </c>
      <c r="AI37" s="45" t="s">
        <v>41</v>
      </c>
      <c r="AJ37" s="45" t="s">
        <v>64</v>
      </c>
      <c r="AK37" s="45" t="s">
        <v>65</v>
      </c>
      <c r="AL37" s="45" t="s">
        <v>85</v>
      </c>
      <c r="AM37" s="45" t="s">
        <v>85</v>
      </c>
      <c r="AN37" s="45" t="s">
        <v>58</v>
      </c>
      <c r="AO37" s="45" t="s">
        <v>142</v>
      </c>
      <c r="AP37" s="45" t="s">
        <v>101</v>
      </c>
      <c r="AQ37" s="45" t="s">
        <v>126</v>
      </c>
      <c r="AR37" s="45" t="s">
        <v>147</v>
      </c>
      <c r="AS37" s="45" t="s">
        <v>54</v>
      </c>
      <c r="AT37" s="45" t="s">
        <v>54</v>
      </c>
      <c r="AU37" s="45" t="s">
        <v>58</v>
      </c>
      <c r="AV37" s="45" t="s">
        <v>41</v>
      </c>
      <c r="AW37" s="45" t="s">
        <v>43</v>
      </c>
      <c r="AX37" s="45" t="s">
        <v>43</v>
      </c>
      <c r="AY37" s="45" t="s">
        <v>13</v>
      </c>
      <c r="AZ37" s="45" t="s">
        <v>94</v>
      </c>
      <c r="BA37" s="45" t="s">
        <v>147</v>
      </c>
      <c r="BB37" s="45" t="s">
        <v>64</v>
      </c>
      <c r="BC37" s="45" t="s">
        <v>96</v>
      </c>
      <c r="BD37" s="45" t="s">
        <v>91</v>
      </c>
      <c r="BE37" s="45" t="s">
        <v>63</v>
      </c>
      <c r="BF37" s="45" t="s">
        <v>46</v>
      </c>
      <c r="BG37" s="45" t="s">
        <v>46</v>
      </c>
      <c r="BH37" s="45" t="s">
        <v>144</v>
      </c>
      <c r="BI37" s="45" t="s">
        <v>22</v>
      </c>
      <c r="BJ37" s="45" t="s">
        <v>64</v>
      </c>
      <c r="BK37" s="45" t="s">
        <v>25</v>
      </c>
      <c r="BL37" s="45" t="s">
        <v>36</v>
      </c>
      <c r="BM37" s="45" t="s">
        <v>41</v>
      </c>
      <c r="BN37" s="45" t="s">
        <v>142</v>
      </c>
      <c r="BO37" s="45" t="s">
        <v>94</v>
      </c>
      <c r="BP37" s="45" t="s">
        <v>104</v>
      </c>
      <c r="BQ37" s="45" t="s">
        <v>31</v>
      </c>
      <c r="BR37" s="45" t="s">
        <v>120</v>
      </c>
      <c r="BS37" s="45" t="s">
        <v>143</v>
      </c>
      <c r="BT37" s="45" t="s">
        <v>147</v>
      </c>
      <c r="BU37" s="45" t="s">
        <v>48</v>
      </c>
      <c r="BV37" s="45" t="s">
        <v>94</v>
      </c>
      <c r="BW37" s="45" t="s">
        <v>128</v>
      </c>
      <c r="BX37" s="45" t="s">
        <v>96</v>
      </c>
      <c r="BY37" s="45" t="s">
        <v>94</v>
      </c>
      <c r="BZ37" s="45" t="s">
        <v>94</v>
      </c>
      <c r="CA37" s="45" t="s">
        <v>89</v>
      </c>
      <c r="CB37" s="45" t="s">
        <v>89</v>
      </c>
      <c r="CC37" s="45" t="s">
        <v>129</v>
      </c>
      <c r="CD37" s="45" t="s">
        <v>55</v>
      </c>
      <c r="CE37" s="45" t="s">
        <v>48</v>
      </c>
      <c r="CF37" s="45" t="s">
        <v>126</v>
      </c>
      <c r="CG37" s="45" t="s">
        <v>139</v>
      </c>
      <c r="CH37" s="45" t="s">
        <v>121</v>
      </c>
      <c r="CI37" s="45" t="s">
        <v>29</v>
      </c>
      <c r="CJ37" s="45" t="s">
        <v>34</v>
      </c>
      <c r="CK37" s="45" t="s">
        <v>145</v>
      </c>
      <c r="CL37" s="45" t="s">
        <v>120</v>
      </c>
      <c r="CM37" s="45" t="s">
        <v>47</v>
      </c>
      <c r="CN37" s="45" t="s">
        <v>129</v>
      </c>
      <c r="CO37" s="45" t="s">
        <v>66</v>
      </c>
      <c r="CP37" s="45" t="s">
        <v>33</v>
      </c>
      <c r="CQ37" s="45" t="s">
        <v>116</v>
      </c>
      <c r="CR37" s="45" t="s">
        <v>44</v>
      </c>
      <c r="CS37" s="45" t="s">
        <v>44</v>
      </c>
      <c r="CT37" s="45" t="s">
        <v>111</v>
      </c>
      <c r="CU37" s="45" t="s">
        <v>151</v>
      </c>
      <c r="CV37" s="45" t="s">
        <v>36</v>
      </c>
      <c r="CW37" s="45" t="s">
        <v>77</v>
      </c>
      <c r="CX37" s="45" t="s">
        <v>108</v>
      </c>
      <c r="CY37" s="45" t="s">
        <v>104</v>
      </c>
      <c r="CZ37" s="45" t="s">
        <v>143</v>
      </c>
      <c r="DA37" s="45" t="s">
        <v>143</v>
      </c>
      <c r="DB37" s="45" t="s">
        <v>55</v>
      </c>
      <c r="DC37" s="45" t="s">
        <v>55</v>
      </c>
      <c r="DD37" s="45" t="s">
        <v>95</v>
      </c>
      <c r="DE37" s="45" t="s">
        <v>25</v>
      </c>
      <c r="DF37" s="45" t="s">
        <v>145</v>
      </c>
      <c r="DG37" s="45" t="s">
        <v>13</v>
      </c>
      <c r="DH37" s="45" t="s">
        <v>58</v>
      </c>
      <c r="DI37" s="45" t="s">
        <v>84</v>
      </c>
      <c r="DJ37" s="45" t="s">
        <v>84</v>
      </c>
      <c r="DK37" s="45" t="s">
        <v>116</v>
      </c>
      <c r="DL37" s="45" t="s">
        <v>13</v>
      </c>
      <c r="DM37" s="45" t="s">
        <v>25</v>
      </c>
      <c r="DN37" s="45" t="s">
        <v>66</v>
      </c>
      <c r="DO37" s="45" t="s">
        <v>46</v>
      </c>
      <c r="DP37" s="45" t="s">
        <v>120</v>
      </c>
      <c r="DQ37" s="45" t="s">
        <v>133</v>
      </c>
      <c r="DR37" s="45" t="s">
        <v>26</v>
      </c>
      <c r="DS37" s="45" t="s">
        <v>26</v>
      </c>
      <c r="DT37" s="45" t="s">
        <v>143</v>
      </c>
      <c r="DU37" s="45" t="s">
        <v>89</v>
      </c>
      <c r="DV37" s="45" t="s">
        <v>25</v>
      </c>
      <c r="DW37" s="45" t="s">
        <v>25</v>
      </c>
      <c r="DX37" s="45" t="s">
        <v>12</v>
      </c>
      <c r="DY37" s="45" t="s">
        <v>12</v>
      </c>
      <c r="DZ37" s="45" t="s">
        <v>145</v>
      </c>
      <c r="EA37" s="45" t="s">
        <v>143</v>
      </c>
      <c r="EB37" s="45" t="s">
        <v>145</v>
      </c>
      <c r="EC37" s="45" t="s">
        <v>120</v>
      </c>
      <c r="ED37" s="45" t="s">
        <v>26</v>
      </c>
      <c r="EE37" s="45" t="s">
        <v>12</v>
      </c>
      <c r="EF37" s="45" t="s">
        <v>77</v>
      </c>
      <c r="EG37" s="45" t="s">
        <v>77</v>
      </c>
      <c r="EH37" s="45" t="s">
        <v>77</v>
      </c>
      <c r="EI37" s="45" t="s">
        <v>77</v>
      </c>
      <c r="EJ37" s="45" t="s">
        <v>77</v>
      </c>
    </row>
    <row r="38" customFormat="false" ht="15.75" hidden="false" customHeight="false" outlineLevel="0" collapsed="false">
      <c r="A38" s="249" t="n">
        <v>32</v>
      </c>
      <c r="B38" s="250" t="s">
        <v>71</v>
      </c>
      <c r="C38" s="45" t="s">
        <v>148</v>
      </c>
      <c r="D38" s="45" t="s">
        <v>93</v>
      </c>
      <c r="E38" s="45" t="s">
        <v>32</v>
      </c>
      <c r="F38" s="45" t="s">
        <v>93</v>
      </c>
      <c r="G38" s="45" t="s">
        <v>132</v>
      </c>
      <c r="H38" s="45" t="s">
        <v>80</v>
      </c>
      <c r="I38" s="45" t="s">
        <v>71</v>
      </c>
      <c r="J38" s="45" t="s">
        <v>141</v>
      </c>
      <c r="K38" s="45" t="s">
        <v>87</v>
      </c>
      <c r="L38" s="45" t="s">
        <v>42</v>
      </c>
      <c r="M38" s="45" t="s">
        <v>55</v>
      </c>
      <c r="N38" s="45" t="s">
        <v>59</v>
      </c>
      <c r="O38" s="45" t="s">
        <v>74</v>
      </c>
      <c r="P38" s="45" t="s">
        <v>61</v>
      </c>
      <c r="Q38" s="45" t="s">
        <v>61</v>
      </c>
      <c r="R38" s="45" t="s">
        <v>93</v>
      </c>
      <c r="S38" s="45" t="s">
        <v>56</v>
      </c>
      <c r="T38" s="45" t="s">
        <v>38</v>
      </c>
      <c r="U38" s="45" t="s">
        <v>59</v>
      </c>
      <c r="V38" s="45" t="s">
        <v>93</v>
      </c>
      <c r="W38" s="45" t="s">
        <v>28</v>
      </c>
      <c r="X38" s="45" t="s">
        <v>86</v>
      </c>
      <c r="Y38" s="45" t="s">
        <v>137</v>
      </c>
      <c r="Z38" s="45" t="s">
        <v>28</v>
      </c>
      <c r="AA38" s="45" t="s">
        <v>114</v>
      </c>
      <c r="AB38" s="45" t="s">
        <v>148</v>
      </c>
      <c r="AC38" s="45" t="s">
        <v>93</v>
      </c>
      <c r="AD38" s="45" t="s">
        <v>101</v>
      </c>
      <c r="AE38" s="45" t="s">
        <v>69</v>
      </c>
      <c r="AF38" s="45" t="s">
        <v>42</v>
      </c>
      <c r="AG38" s="45" t="s">
        <v>114</v>
      </c>
      <c r="AH38" s="45" t="s">
        <v>150</v>
      </c>
      <c r="AI38" s="45" t="s">
        <v>80</v>
      </c>
      <c r="AJ38" s="45" t="s">
        <v>85</v>
      </c>
      <c r="AK38" s="45" t="s">
        <v>85</v>
      </c>
      <c r="AL38" s="45" t="s">
        <v>71</v>
      </c>
      <c r="AM38" s="45" t="s">
        <v>71</v>
      </c>
      <c r="AN38" s="45" t="s">
        <v>48</v>
      </c>
      <c r="AO38" s="45" t="s">
        <v>108</v>
      </c>
      <c r="AP38" s="45" t="s">
        <v>137</v>
      </c>
      <c r="AQ38" s="45" t="s">
        <v>111</v>
      </c>
      <c r="AR38" s="45" t="s">
        <v>128</v>
      </c>
      <c r="AS38" s="45" t="s">
        <v>49</v>
      </c>
      <c r="AT38" s="45" t="s">
        <v>150</v>
      </c>
      <c r="AU38" s="45" t="s">
        <v>48</v>
      </c>
      <c r="AV38" s="45" t="s">
        <v>80</v>
      </c>
      <c r="AW38" s="45" t="s">
        <v>54</v>
      </c>
      <c r="AX38" s="45" t="s">
        <v>54</v>
      </c>
      <c r="AY38" s="45" t="s">
        <v>94</v>
      </c>
      <c r="AZ38" s="45" t="s">
        <v>96</v>
      </c>
      <c r="BA38" s="45" t="s">
        <v>150</v>
      </c>
      <c r="BB38" s="45" t="s">
        <v>139</v>
      </c>
      <c r="BC38" s="45" t="s">
        <v>86</v>
      </c>
      <c r="BD38" s="45" t="s">
        <v>57</v>
      </c>
      <c r="BE38" s="45" t="s">
        <v>151</v>
      </c>
      <c r="BF38" s="45" t="s">
        <v>62</v>
      </c>
      <c r="BG38" s="45" t="s">
        <v>62</v>
      </c>
      <c r="BH38" s="45" t="s">
        <v>41</v>
      </c>
      <c r="BI38" s="45" t="s">
        <v>40</v>
      </c>
      <c r="BJ38" s="45" t="s">
        <v>139</v>
      </c>
      <c r="BK38" s="45" t="s">
        <v>121</v>
      </c>
      <c r="BL38" s="45" t="s">
        <v>94</v>
      </c>
      <c r="BM38" s="45" t="s">
        <v>72</v>
      </c>
      <c r="BN38" s="45" t="s">
        <v>48</v>
      </c>
      <c r="BO38" s="45" t="s">
        <v>96</v>
      </c>
      <c r="BP38" s="45" t="s">
        <v>144</v>
      </c>
      <c r="BQ38" s="45" t="s">
        <v>64</v>
      </c>
      <c r="BR38" s="45" t="s">
        <v>104</v>
      </c>
      <c r="BS38" s="45" t="s">
        <v>89</v>
      </c>
      <c r="BT38" s="45" t="s">
        <v>101</v>
      </c>
      <c r="BU38" s="45" t="s">
        <v>33</v>
      </c>
      <c r="BV38" s="45" t="s">
        <v>129</v>
      </c>
      <c r="BW38" s="45" t="s">
        <v>28</v>
      </c>
      <c r="BX38" s="45" t="s">
        <v>85</v>
      </c>
      <c r="BY38" s="45" t="s">
        <v>91</v>
      </c>
      <c r="BZ38" s="45" t="s">
        <v>96</v>
      </c>
      <c r="CA38" s="45" t="s">
        <v>147</v>
      </c>
      <c r="CB38" s="45" t="s">
        <v>55</v>
      </c>
      <c r="CC38" s="45" t="s">
        <v>87</v>
      </c>
      <c r="CD38" s="45" t="s">
        <v>129</v>
      </c>
      <c r="CE38" s="45" t="s">
        <v>64</v>
      </c>
      <c r="CF38" s="45" t="s">
        <v>111</v>
      </c>
      <c r="CG38" s="45" t="s">
        <v>132</v>
      </c>
      <c r="CH38" s="45" t="s">
        <v>66</v>
      </c>
      <c r="CI38" s="45" t="s">
        <v>126</v>
      </c>
      <c r="CJ38" s="45" t="s">
        <v>63</v>
      </c>
      <c r="CK38" s="45" t="s">
        <v>44</v>
      </c>
      <c r="CL38" s="45" t="s">
        <v>47</v>
      </c>
      <c r="CM38" s="45" t="s">
        <v>46</v>
      </c>
      <c r="CN38" s="45" t="s">
        <v>87</v>
      </c>
      <c r="CO38" s="45" t="s">
        <v>41</v>
      </c>
      <c r="CP38" s="45" t="s">
        <v>40</v>
      </c>
      <c r="CQ38" s="45" t="s">
        <v>31</v>
      </c>
      <c r="CR38" s="45" t="s">
        <v>55</v>
      </c>
      <c r="CS38" s="45" t="s">
        <v>55</v>
      </c>
      <c r="CT38" s="45" t="s">
        <v>141</v>
      </c>
      <c r="CU38" s="45" t="s">
        <v>141</v>
      </c>
      <c r="CV38" s="45" t="s">
        <v>94</v>
      </c>
      <c r="CW38" s="45" t="s">
        <v>116</v>
      </c>
      <c r="CX38" s="45" t="s">
        <v>46</v>
      </c>
      <c r="CY38" s="45" t="s">
        <v>66</v>
      </c>
      <c r="CZ38" s="45" t="s">
        <v>43</v>
      </c>
      <c r="DA38" s="45" t="s">
        <v>43</v>
      </c>
      <c r="DB38" s="45" t="s">
        <v>129</v>
      </c>
      <c r="DC38" s="45" t="s">
        <v>129</v>
      </c>
      <c r="DD38" s="45" t="s">
        <v>96</v>
      </c>
      <c r="DE38" s="45" t="s">
        <v>34</v>
      </c>
      <c r="DF38" s="45" t="s">
        <v>89</v>
      </c>
      <c r="DG38" s="45" t="s">
        <v>94</v>
      </c>
      <c r="DH38" s="45" t="s">
        <v>31</v>
      </c>
      <c r="DI38" s="45" t="s">
        <v>29</v>
      </c>
      <c r="DJ38" s="45" t="s">
        <v>43</v>
      </c>
      <c r="DK38" s="45" t="s">
        <v>95</v>
      </c>
      <c r="DL38" s="45" t="s">
        <v>94</v>
      </c>
      <c r="DM38" s="45" t="s">
        <v>121</v>
      </c>
      <c r="DN38" s="45" t="s">
        <v>41</v>
      </c>
      <c r="DO38" s="45" t="s">
        <v>41</v>
      </c>
      <c r="DP38" s="45" t="s">
        <v>104</v>
      </c>
      <c r="DQ38" s="45" t="s">
        <v>25</v>
      </c>
      <c r="DR38" s="45" t="s">
        <v>36</v>
      </c>
      <c r="DS38" s="45" t="s">
        <v>13</v>
      </c>
      <c r="DT38" s="45" t="s">
        <v>43</v>
      </c>
      <c r="DU38" s="45" t="s">
        <v>147</v>
      </c>
      <c r="DV38" s="45" t="s">
        <v>29</v>
      </c>
      <c r="DW38" s="45" t="s">
        <v>34</v>
      </c>
      <c r="DX38" s="45" t="s">
        <v>120</v>
      </c>
      <c r="DY38" s="45" t="s">
        <v>120</v>
      </c>
      <c r="DZ38" s="45" t="s">
        <v>44</v>
      </c>
      <c r="EA38" s="45" t="s">
        <v>89</v>
      </c>
      <c r="EB38" s="45" t="s">
        <v>44</v>
      </c>
      <c r="EC38" s="45" t="s">
        <v>47</v>
      </c>
      <c r="ED38" s="45" t="s">
        <v>116</v>
      </c>
      <c r="EE38" s="45" t="s">
        <v>120</v>
      </c>
      <c r="EF38" s="45" t="s">
        <v>142</v>
      </c>
      <c r="EG38" s="45" t="s">
        <v>142</v>
      </c>
      <c r="EH38" s="45" t="s">
        <v>58</v>
      </c>
      <c r="EI38" s="45" t="s">
        <v>58</v>
      </c>
      <c r="EJ38" s="45" t="s">
        <v>142</v>
      </c>
    </row>
    <row r="39" customFormat="false" ht="15.75" hidden="false" customHeight="false" outlineLevel="0" collapsed="false">
      <c r="A39" s="249" t="n">
        <v>32</v>
      </c>
      <c r="B39" s="251" t="s">
        <v>72</v>
      </c>
      <c r="C39" s="45" t="s">
        <v>148</v>
      </c>
      <c r="D39" s="45" t="s">
        <v>148</v>
      </c>
      <c r="E39" s="45" t="s">
        <v>32</v>
      </c>
      <c r="F39" s="45" t="s">
        <v>93</v>
      </c>
      <c r="G39" s="45" t="s">
        <v>132</v>
      </c>
      <c r="H39" s="45" t="s">
        <v>42</v>
      </c>
      <c r="I39" s="45" t="s">
        <v>71</v>
      </c>
      <c r="J39" s="45" t="s">
        <v>141</v>
      </c>
      <c r="K39" s="45" t="s">
        <v>87</v>
      </c>
      <c r="L39" s="45" t="s">
        <v>74</v>
      </c>
      <c r="M39" s="45" t="s">
        <v>55</v>
      </c>
      <c r="N39" s="45" t="s">
        <v>59</v>
      </c>
      <c r="O39" s="45" t="s">
        <v>74</v>
      </c>
      <c r="P39" s="45" t="s">
        <v>61</v>
      </c>
      <c r="Q39" s="45" t="s">
        <v>61</v>
      </c>
      <c r="R39" s="45" t="s">
        <v>93</v>
      </c>
      <c r="S39" s="45" t="s">
        <v>56</v>
      </c>
      <c r="T39" s="45" t="s">
        <v>38</v>
      </c>
      <c r="U39" s="45" t="s">
        <v>59</v>
      </c>
      <c r="V39" s="45" t="s">
        <v>93</v>
      </c>
      <c r="W39" s="45" t="s">
        <v>61</v>
      </c>
      <c r="X39" s="45" t="s">
        <v>57</v>
      </c>
      <c r="Y39" s="45" t="s">
        <v>137</v>
      </c>
      <c r="Z39" s="45" t="s">
        <v>28</v>
      </c>
      <c r="AA39" s="45" t="s">
        <v>114</v>
      </c>
      <c r="AB39" s="45" t="s">
        <v>148</v>
      </c>
      <c r="AC39" s="45" t="s">
        <v>93</v>
      </c>
      <c r="AD39" s="45" t="s">
        <v>101</v>
      </c>
      <c r="AE39" s="45" t="s">
        <v>69</v>
      </c>
      <c r="AF39" s="45" t="s">
        <v>42</v>
      </c>
      <c r="AG39" s="45" t="s">
        <v>114</v>
      </c>
      <c r="AH39" s="45" t="s">
        <v>150</v>
      </c>
      <c r="AI39" s="45" t="s">
        <v>80</v>
      </c>
      <c r="AJ39" s="45" t="s">
        <v>85</v>
      </c>
      <c r="AK39" s="45" t="s">
        <v>85</v>
      </c>
      <c r="AL39" s="45" t="s">
        <v>71</v>
      </c>
      <c r="AM39" s="45" t="s">
        <v>72</v>
      </c>
      <c r="AN39" s="45" t="s">
        <v>31</v>
      </c>
      <c r="AO39" s="45" t="s">
        <v>108</v>
      </c>
      <c r="AP39" s="45" t="s">
        <v>125</v>
      </c>
      <c r="AQ39" s="45" t="s">
        <v>111</v>
      </c>
      <c r="AR39" s="45" t="s">
        <v>128</v>
      </c>
      <c r="AS39" s="45" t="s">
        <v>111</v>
      </c>
      <c r="AT39" s="45" t="s">
        <v>150</v>
      </c>
      <c r="AU39" s="45" t="s">
        <v>48</v>
      </c>
      <c r="AV39" s="45" t="s">
        <v>80</v>
      </c>
      <c r="AW39" s="45" t="s">
        <v>54</v>
      </c>
      <c r="AX39" s="45" t="s">
        <v>54</v>
      </c>
      <c r="AY39" s="45" t="s">
        <v>94</v>
      </c>
      <c r="AZ39" s="45" t="s">
        <v>96</v>
      </c>
      <c r="BA39" s="45" t="s">
        <v>150</v>
      </c>
      <c r="BB39" s="45" t="s">
        <v>139</v>
      </c>
      <c r="BC39" s="45" t="s">
        <v>86</v>
      </c>
      <c r="BD39" s="45" t="s">
        <v>57</v>
      </c>
      <c r="BE39" s="45" t="s">
        <v>151</v>
      </c>
      <c r="BF39" s="45" t="s">
        <v>40</v>
      </c>
      <c r="BG39" s="45" t="s">
        <v>62</v>
      </c>
      <c r="BH39" s="45" t="s">
        <v>41</v>
      </c>
      <c r="BI39" s="45" t="s">
        <v>40</v>
      </c>
      <c r="BJ39" s="45" t="s">
        <v>139</v>
      </c>
      <c r="BK39" s="45" t="s">
        <v>121</v>
      </c>
      <c r="BL39" s="45" t="s">
        <v>55</v>
      </c>
      <c r="BM39" s="45" t="s">
        <v>80</v>
      </c>
      <c r="BN39" s="45" t="s">
        <v>48</v>
      </c>
      <c r="BO39" s="45" t="s">
        <v>96</v>
      </c>
      <c r="BP39" s="45" t="s">
        <v>144</v>
      </c>
      <c r="BQ39" s="45" t="s">
        <v>64</v>
      </c>
      <c r="BR39" s="45" t="s">
        <v>104</v>
      </c>
      <c r="BS39" s="45" t="s">
        <v>89</v>
      </c>
      <c r="BT39" s="45" t="s">
        <v>101</v>
      </c>
      <c r="BU39" s="45" t="s">
        <v>33</v>
      </c>
      <c r="BV39" s="45" t="s">
        <v>129</v>
      </c>
      <c r="BW39" s="45" t="s">
        <v>28</v>
      </c>
      <c r="BX39" s="45" t="s">
        <v>86</v>
      </c>
      <c r="BY39" s="45" t="s">
        <v>91</v>
      </c>
      <c r="BZ39" s="45" t="s">
        <v>91</v>
      </c>
      <c r="CA39" s="45" t="s">
        <v>147</v>
      </c>
      <c r="CB39" s="45" t="s">
        <v>147</v>
      </c>
      <c r="CC39" s="45" t="s">
        <v>87</v>
      </c>
      <c r="CD39" s="45" t="s">
        <v>129</v>
      </c>
      <c r="CE39" s="45" t="s">
        <v>64</v>
      </c>
      <c r="CF39" s="45" t="s">
        <v>111</v>
      </c>
      <c r="CG39" s="45" t="s">
        <v>132</v>
      </c>
      <c r="CH39" s="45" t="s">
        <v>66</v>
      </c>
      <c r="CI39" s="45" t="s">
        <v>126</v>
      </c>
      <c r="CJ39" s="45" t="s">
        <v>63</v>
      </c>
      <c r="CK39" s="45" t="s">
        <v>44</v>
      </c>
      <c r="CL39" s="45" t="s">
        <v>47</v>
      </c>
      <c r="CM39" s="45" t="s">
        <v>46</v>
      </c>
      <c r="CN39" s="45" t="s">
        <v>87</v>
      </c>
      <c r="CO39" s="45" t="s">
        <v>41</v>
      </c>
      <c r="CP39" s="45" t="s">
        <v>69</v>
      </c>
      <c r="CQ39" s="45" t="s">
        <v>95</v>
      </c>
      <c r="CR39" s="45" t="s">
        <v>55</v>
      </c>
      <c r="CS39" s="45" t="s">
        <v>55</v>
      </c>
      <c r="CT39" s="45" t="s">
        <v>141</v>
      </c>
      <c r="CU39" s="45" t="s">
        <v>114</v>
      </c>
      <c r="CV39" s="45" t="s">
        <v>94</v>
      </c>
      <c r="CW39" s="45" t="s">
        <v>116</v>
      </c>
      <c r="CX39" s="45" t="s">
        <v>22</v>
      </c>
      <c r="CY39" s="45" t="s">
        <v>144</v>
      </c>
      <c r="CZ39" s="45" t="s">
        <v>43</v>
      </c>
      <c r="DA39" s="45" t="s">
        <v>43</v>
      </c>
      <c r="DB39" s="45" t="s">
        <v>101</v>
      </c>
      <c r="DC39" s="45" t="s">
        <v>129</v>
      </c>
      <c r="DD39" s="45" t="s">
        <v>96</v>
      </c>
      <c r="DE39" s="45" t="s">
        <v>34</v>
      </c>
      <c r="DF39" s="45" t="s">
        <v>89</v>
      </c>
      <c r="DG39" s="45" t="s">
        <v>94</v>
      </c>
      <c r="DH39" s="45" t="s">
        <v>31</v>
      </c>
      <c r="DI39" s="45" t="s">
        <v>29</v>
      </c>
      <c r="DJ39" s="45" t="s">
        <v>29</v>
      </c>
      <c r="DK39" s="45" t="s">
        <v>95</v>
      </c>
      <c r="DL39" s="45" t="s">
        <v>94</v>
      </c>
      <c r="DM39" s="45" t="s">
        <v>121</v>
      </c>
      <c r="DN39" s="45" t="s">
        <v>41</v>
      </c>
      <c r="DO39" s="45" t="s">
        <v>62</v>
      </c>
      <c r="DP39" s="45" t="s">
        <v>104</v>
      </c>
      <c r="DQ39" s="45" t="s">
        <v>25</v>
      </c>
      <c r="DR39" s="45" t="s">
        <v>36</v>
      </c>
      <c r="DS39" s="45" t="s">
        <v>13</v>
      </c>
      <c r="DT39" s="45" t="s">
        <v>43</v>
      </c>
      <c r="DU39" s="45" t="s">
        <v>147</v>
      </c>
      <c r="DV39" s="45" t="s">
        <v>34</v>
      </c>
      <c r="DW39" s="45" t="s">
        <v>34</v>
      </c>
      <c r="DX39" s="45" t="s">
        <v>120</v>
      </c>
      <c r="DY39" s="45" t="s">
        <v>120</v>
      </c>
      <c r="DZ39" s="45" t="s">
        <v>44</v>
      </c>
      <c r="EA39" s="45" t="s">
        <v>89</v>
      </c>
      <c r="EB39" s="45" t="s">
        <v>44</v>
      </c>
      <c r="EC39" s="45" t="s">
        <v>47</v>
      </c>
      <c r="ED39" s="45" t="s">
        <v>116</v>
      </c>
      <c r="EE39" s="45" t="s">
        <v>120</v>
      </c>
      <c r="EF39" s="45" t="s">
        <v>142</v>
      </c>
      <c r="EG39" s="45" t="s">
        <v>142</v>
      </c>
      <c r="EH39" s="45" t="s">
        <v>116</v>
      </c>
      <c r="EI39" s="45" t="s">
        <v>58</v>
      </c>
      <c r="EJ39" s="45" t="s">
        <v>58</v>
      </c>
    </row>
    <row r="40" customFormat="false" ht="15.75" hidden="false" customHeight="false" outlineLevel="0" collapsed="false">
      <c r="A40" s="249" t="n">
        <v>33</v>
      </c>
      <c r="B40" s="250" t="s">
        <v>106</v>
      </c>
      <c r="C40" s="45" t="s">
        <v>94</v>
      </c>
      <c r="D40" s="45" t="s">
        <v>94</v>
      </c>
      <c r="E40" s="45" t="s">
        <v>94</v>
      </c>
      <c r="F40" s="45" t="s">
        <v>31</v>
      </c>
      <c r="G40" s="45" t="s">
        <v>48</v>
      </c>
      <c r="H40" s="45" t="s">
        <v>121</v>
      </c>
      <c r="I40" s="45" t="s">
        <v>48</v>
      </c>
      <c r="J40" s="45" t="s">
        <v>43</v>
      </c>
      <c r="K40" s="45" t="s">
        <v>13</v>
      </c>
      <c r="L40" s="45" t="s">
        <v>104</v>
      </c>
      <c r="M40" s="45" t="s">
        <v>153</v>
      </c>
      <c r="N40" s="45" t="s">
        <v>47</v>
      </c>
      <c r="O40" s="45" t="s">
        <v>47</v>
      </c>
      <c r="P40" s="45" t="s">
        <v>89</v>
      </c>
      <c r="Q40" s="45" t="s">
        <v>89</v>
      </c>
      <c r="R40" s="45" t="s">
        <v>95</v>
      </c>
      <c r="S40" s="45" t="s">
        <v>108</v>
      </c>
      <c r="T40" s="45" t="s">
        <v>94</v>
      </c>
      <c r="U40" s="45" t="s">
        <v>108</v>
      </c>
      <c r="V40" s="45" t="s">
        <v>95</v>
      </c>
      <c r="W40" s="45" t="s">
        <v>89</v>
      </c>
      <c r="X40" s="45" t="s">
        <v>116</v>
      </c>
      <c r="Y40" s="45" t="s">
        <v>36</v>
      </c>
      <c r="Z40" s="45" t="s">
        <v>89</v>
      </c>
      <c r="AA40" s="45" t="s">
        <v>29</v>
      </c>
      <c r="AB40" s="45" t="s">
        <v>94</v>
      </c>
      <c r="AC40" s="45" t="s">
        <v>31</v>
      </c>
      <c r="AD40" s="45" t="s">
        <v>145</v>
      </c>
      <c r="AE40" s="45" t="s">
        <v>142</v>
      </c>
      <c r="AF40" s="45" t="s">
        <v>104</v>
      </c>
      <c r="AG40" s="45" t="s">
        <v>43</v>
      </c>
      <c r="AH40" s="45" t="s">
        <v>143</v>
      </c>
      <c r="AI40" s="45" t="s">
        <v>121</v>
      </c>
      <c r="AJ40" s="45" t="s">
        <v>58</v>
      </c>
      <c r="AK40" s="45" t="s">
        <v>58</v>
      </c>
      <c r="AL40" s="45" t="s">
        <v>48</v>
      </c>
      <c r="AM40" s="45" t="s">
        <v>31</v>
      </c>
      <c r="AN40" s="45" t="s">
        <v>106</v>
      </c>
      <c r="AO40" s="45" t="s">
        <v>138</v>
      </c>
      <c r="AP40" s="45" t="s">
        <v>44</v>
      </c>
      <c r="AQ40" s="45" t="s">
        <v>143</v>
      </c>
      <c r="AR40" s="45" t="s">
        <v>145</v>
      </c>
      <c r="AS40" s="45" t="s">
        <v>143</v>
      </c>
      <c r="AT40" s="45" t="s">
        <v>145</v>
      </c>
      <c r="AU40" s="45" t="s">
        <v>110</v>
      </c>
      <c r="AV40" s="45" t="s">
        <v>34</v>
      </c>
      <c r="AW40" s="45" t="s">
        <v>67</v>
      </c>
      <c r="AX40" s="45" t="s">
        <v>18</v>
      </c>
      <c r="AY40" s="45" t="s">
        <v>152</v>
      </c>
      <c r="AZ40" s="45" t="s">
        <v>77</v>
      </c>
      <c r="BA40" s="45" t="s">
        <v>145</v>
      </c>
      <c r="BB40" s="45" t="s">
        <v>142</v>
      </c>
      <c r="BC40" s="45" t="s">
        <v>116</v>
      </c>
      <c r="BD40" s="45" t="s">
        <v>13</v>
      </c>
      <c r="BE40" s="45" t="s">
        <v>143</v>
      </c>
      <c r="BF40" s="45" t="s">
        <v>120</v>
      </c>
      <c r="BG40" s="45" t="s">
        <v>120</v>
      </c>
      <c r="BH40" s="45" t="s">
        <v>25</v>
      </c>
      <c r="BI40" s="45" t="s">
        <v>120</v>
      </c>
      <c r="BJ40" s="45" t="s">
        <v>142</v>
      </c>
      <c r="BK40" s="45" t="s">
        <v>14</v>
      </c>
      <c r="BL40" s="45" t="s">
        <v>88</v>
      </c>
      <c r="BM40" s="45" t="s">
        <v>29</v>
      </c>
      <c r="BN40" s="45" t="s">
        <v>110</v>
      </c>
      <c r="BO40" s="45" t="s">
        <v>77</v>
      </c>
      <c r="BP40" s="45" t="s">
        <v>133</v>
      </c>
      <c r="BQ40" s="45" t="s">
        <v>77</v>
      </c>
      <c r="BR40" s="45" t="s">
        <v>138</v>
      </c>
      <c r="BS40" s="45" t="s">
        <v>50</v>
      </c>
      <c r="BT40" s="45" t="s">
        <v>145</v>
      </c>
      <c r="BU40" s="45" t="s">
        <v>68</v>
      </c>
      <c r="BV40" s="45" t="s">
        <v>26</v>
      </c>
      <c r="BW40" s="45" t="s">
        <v>44</v>
      </c>
      <c r="BX40" s="45" t="s">
        <v>58</v>
      </c>
      <c r="BY40" s="45" t="s">
        <v>26</v>
      </c>
      <c r="BZ40" s="45" t="s">
        <v>26</v>
      </c>
      <c r="CA40" s="45" t="s">
        <v>18</v>
      </c>
      <c r="CB40" s="45" t="s">
        <v>37</v>
      </c>
      <c r="CC40" s="45" t="s">
        <v>13</v>
      </c>
      <c r="CD40" s="45" t="s">
        <v>26</v>
      </c>
      <c r="CE40" s="45" t="s">
        <v>77</v>
      </c>
      <c r="CF40" s="45" t="s">
        <v>143</v>
      </c>
      <c r="CG40" s="45" t="s">
        <v>48</v>
      </c>
      <c r="CH40" s="45" t="s">
        <v>51</v>
      </c>
      <c r="CI40" s="45" t="s">
        <v>115</v>
      </c>
      <c r="CJ40" s="45" t="s">
        <v>51</v>
      </c>
      <c r="CK40" s="45" t="s">
        <v>124</v>
      </c>
      <c r="CL40" s="45" t="s">
        <v>138</v>
      </c>
      <c r="CM40" s="45" t="s">
        <v>12</v>
      </c>
      <c r="CN40" s="45" t="s">
        <v>13</v>
      </c>
      <c r="CO40" s="45" t="s">
        <v>25</v>
      </c>
      <c r="CP40" s="45" t="s">
        <v>120</v>
      </c>
      <c r="CQ40" s="45" t="s">
        <v>131</v>
      </c>
      <c r="CR40" s="45" t="s">
        <v>153</v>
      </c>
      <c r="CS40" s="45" t="s">
        <v>153</v>
      </c>
      <c r="CT40" s="45" t="s">
        <v>43</v>
      </c>
      <c r="CU40" s="45" t="s">
        <v>43</v>
      </c>
      <c r="CV40" s="45" t="s">
        <v>152</v>
      </c>
      <c r="CW40" s="45" t="s">
        <v>122</v>
      </c>
      <c r="CX40" s="45" t="s">
        <v>12</v>
      </c>
      <c r="CY40" s="45" t="s">
        <v>51</v>
      </c>
      <c r="CZ40" s="45" t="s">
        <v>117</v>
      </c>
      <c r="DA40" s="45" t="s">
        <v>119</v>
      </c>
      <c r="DB40" s="45" t="s">
        <v>26</v>
      </c>
      <c r="DC40" s="45" t="s">
        <v>26</v>
      </c>
      <c r="DD40" s="45" t="s">
        <v>97</v>
      </c>
      <c r="DE40" s="45" t="s">
        <v>14</v>
      </c>
      <c r="DF40" s="45" t="s">
        <v>50</v>
      </c>
      <c r="DG40" s="45" t="s">
        <v>131</v>
      </c>
      <c r="DH40" s="45" t="s">
        <v>106</v>
      </c>
      <c r="DI40" s="45" t="s">
        <v>117</v>
      </c>
      <c r="DJ40" s="45" t="s">
        <v>117</v>
      </c>
      <c r="DK40" s="45" t="s">
        <v>131</v>
      </c>
      <c r="DL40" s="45" t="s">
        <v>131</v>
      </c>
      <c r="DM40" s="45" t="s">
        <v>14</v>
      </c>
      <c r="DN40" s="45" t="s">
        <v>25</v>
      </c>
      <c r="DO40" s="45" t="s">
        <v>25</v>
      </c>
      <c r="DP40" s="45" t="s">
        <v>14</v>
      </c>
      <c r="DQ40" s="45" t="s">
        <v>20</v>
      </c>
      <c r="DR40" s="45" t="s">
        <v>82</v>
      </c>
      <c r="DS40" s="45" t="s">
        <v>122</v>
      </c>
      <c r="DT40" s="45" t="s">
        <v>149</v>
      </c>
      <c r="DU40" s="45" t="s">
        <v>18</v>
      </c>
      <c r="DV40" s="45" t="s">
        <v>117</v>
      </c>
      <c r="DW40" s="45" t="s">
        <v>14</v>
      </c>
      <c r="DX40" s="45" t="s">
        <v>20</v>
      </c>
      <c r="DY40" s="45" t="s">
        <v>20</v>
      </c>
      <c r="DZ40" s="45" t="s">
        <v>107</v>
      </c>
      <c r="EA40" s="45" t="s">
        <v>149</v>
      </c>
      <c r="EB40" s="45" t="s">
        <v>124</v>
      </c>
      <c r="EC40" s="45" t="s">
        <v>138</v>
      </c>
      <c r="ED40" s="45" t="s">
        <v>122</v>
      </c>
      <c r="EE40" s="45" t="s">
        <v>105</v>
      </c>
      <c r="EF40" s="45" t="s">
        <v>105</v>
      </c>
      <c r="EG40" s="45" t="s">
        <v>105</v>
      </c>
      <c r="EH40" s="45" t="s">
        <v>122</v>
      </c>
      <c r="EI40" s="45" t="s">
        <v>105</v>
      </c>
      <c r="EJ40" s="45" t="s">
        <v>105</v>
      </c>
    </row>
    <row r="41" customFormat="false" ht="15.75" hidden="false" customHeight="false" outlineLevel="0" collapsed="false">
      <c r="A41" s="249" t="n">
        <v>33</v>
      </c>
      <c r="B41" s="250" t="s">
        <v>107</v>
      </c>
      <c r="C41" s="45" t="s">
        <v>31</v>
      </c>
      <c r="D41" s="45" t="s">
        <v>48</v>
      </c>
      <c r="E41" s="45" t="s">
        <v>94</v>
      </c>
      <c r="F41" s="45" t="s">
        <v>108</v>
      </c>
      <c r="G41" s="45" t="s">
        <v>47</v>
      </c>
      <c r="H41" s="45" t="s">
        <v>29</v>
      </c>
      <c r="I41" s="45" t="s">
        <v>47</v>
      </c>
      <c r="J41" s="45" t="s">
        <v>44</v>
      </c>
      <c r="K41" s="45" t="s">
        <v>116</v>
      </c>
      <c r="L41" s="45" t="s">
        <v>34</v>
      </c>
      <c r="M41" s="45" t="s">
        <v>131</v>
      </c>
      <c r="N41" s="45" t="s">
        <v>121</v>
      </c>
      <c r="O41" s="45" t="s">
        <v>121</v>
      </c>
      <c r="P41" s="45" t="s">
        <v>44</v>
      </c>
      <c r="Q41" s="45" t="s">
        <v>44</v>
      </c>
      <c r="R41" s="45" t="s">
        <v>48</v>
      </c>
      <c r="S41" s="45" t="s">
        <v>104</v>
      </c>
      <c r="T41" s="45" t="s">
        <v>95</v>
      </c>
      <c r="U41" s="45" t="s">
        <v>104</v>
      </c>
      <c r="V41" s="45" t="s">
        <v>48</v>
      </c>
      <c r="W41" s="45" t="s">
        <v>44</v>
      </c>
      <c r="X41" s="45" t="s">
        <v>58</v>
      </c>
      <c r="Y41" s="45" t="s">
        <v>13</v>
      </c>
      <c r="Z41" s="45" t="s">
        <v>36</v>
      </c>
      <c r="AA41" s="45" t="s">
        <v>43</v>
      </c>
      <c r="AB41" s="45" t="s">
        <v>31</v>
      </c>
      <c r="AC41" s="45" t="s">
        <v>48</v>
      </c>
      <c r="AD41" s="45" t="s">
        <v>26</v>
      </c>
      <c r="AE41" s="45" t="s">
        <v>120</v>
      </c>
      <c r="AF41" s="45" t="s">
        <v>29</v>
      </c>
      <c r="AG41" s="45" t="s">
        <v>89</v>
      </c>
      <c r="AH41" s="45" t="s">
        <v>145</v>
      </c>
      <c r="AI41" s="45" t="s">
        <v>43</v>
      </c>
      <c r="AJ41" s="45" t="s">
        <v>120</v>
      </c>
      <c r="AK41" s="45" t="s">
        <v>142</v>
      </c>
      <c r="AL41" s="45" t="s">
        <v>108</v>
      </c>
      <c r="AM41" s="45" t="s">
        <v>108</v>
      </c>
      <c r="AN41" s="45" t="s">
        <v>138</v>
      </c>
      <c r="AO41" s="45" t="s">
        <v>107</v>
      </c>
      <c r="AP41" s="45" t="s">
        <v>13</v>
      </c>
      <c r="AQ41" s="45" t="s">
        <v>145</v>
      </c>
      <c r="AR41" s="45" t="s">
        <v>26</v>
      </c>
      <c r="AS41" s="45" t="s">
        <v>145</v>
      </c>
      <c r="AT41" s="45" t="s">
        <v>26</v>
      </c>
      <c r="AU41" s="45" t="s">
        <v>138</v>
      </c>
      <c r="AV41" s="45" t="s">
        <v>43</v>
      </c>
      <c r="AW41" s="45" t="s">
        <v>37</v>
      </c>
      <c r="AX41" s="45" t="s">
        <v>153</v>
      </c>
      <c r="AY41" s="45" t="s">
        <v>131</v>
      </c>
      <c r="AZ41" s="45" t="s">
        <v>77</v>
      </c>
      <c r="BA41" s="45" t="s">
        <v>26</v>
      </c>
      <c r="BB41" s="45" t="s">
        <v>120</v>
      </c>
      <c r="BC41" s="45" t="s">
        <v>142</v>
      </c>
      <c r="BD41" s="45" t="s">
        <v>58</v>
      </c>
      <c r="BE41" s="45" t="s">
        <v>143</v>
      </c>
      <c r="BF41" s="45" t="s">
        <v>25</v>
      </c>
      <c r="BG41" s="45" t="s">
        <v>25</v>
      </c>
      <c r="BH41" s="45" t="s">
        <v>84</v>
      </c>
      <c r="BI41" s="45" t="s">
        <v>25</v>
      </c>
      <c r="BJ41" s="45" t="s">
        <v>120</v>
      </c>
      <c r="BK41" s="45" t="s">
        <v>117</v>
      </c>
      <c r="BL41" s="45" t="s">
        <v>131</v>
      </c>
      <c r="BM41" s="45" t="s">
        <v>43</v>
      </c>
      <c r="BN41" s="45" t="s">
        <v>138</v>
      </c>
      <c r="BO41" s="45" t="s">
        <v>77</v>
      </c>
      <c r="BP41" s="45" t="s">
        <v>51</v>
      </c>
      <c r="BQ41" s="45" t="s">
        <v>12</v>
      </c>
      <c r="BR41" s="45" t="s">
        <v>14</v>
      </c>
      <c r="BS41" s="45" t="s">
        <v>82</v>
      </c>
      <c r="BT41" s="45" t="s">
        <v>26</v>
      </c>
      <c r="BU41" s="45" t="s">
        <v>12</v>
      </c>
      <c r="BV41" s="45" t="s">
        <v>77</v>
      </c>
      <c r="BW41" s="45" t="s">
        <v>36</v>
      </c>
      <c r="BX41" s="45" t="s">
        <v>142</v>
      </c>
      <c r="BY41" s="45" t="s">
        <v>77</v>
      </c>
      <c r="BZ41" s="45" t="s">
        <v>77</v>
      </c>
      <c r="CA41" s="45" t="s">
        <v>153</v>
      </c>
      <c r="CB41" s="45" t="s">
        <v>88</v>
      </c>
      <c r="CC41" s="45" t="s">
        <v>58</v>
      </c>
      <c r="CD41" s="45" t="s">
        <v>26</v>
      </c>
      <c r="CE41" s="45" t="s">
        <v>12</v>
      </c>
      <c r="CF41" s="45" t="s">
        <v>145</v>
      </c>
      <c r="CG41" s="45" t="s">
        <v>47</v>
      </c>
      <c r="CH41" s="45" t="s">
        <v>115</v>
      </c>
      <c r="CI41" s="45" t="s">
        <v>18</v>
      </c>
      <c r="CJ41" s="45" t="s">
        <v>115</v>
      </c>
      <c r="CK41" s="45" t="s">
        <v>82</v>
      </c>
      <c r="CL41" s="45" t="s">
        <v>14</v>
      </c>
      <c r="CM41" s="45" t="s">
        <v>51</v>
      </c>
      <c r="CN41" s="45" t="s">
        <v>116</v>
      </c>
      <c r="CO41" s="45" t="s">
        <v>143</v>
      </c>
      <c r="CP41" s="45" t="s">
        <v>25</v>
      </c>
      <c r="CQ41" s="45" t="s">
        <v>110</v>
      </c>
      <c r="CR41" s="45" t="s">
        <v>152</v>
      </c>
      <c r="CS41" s="45" t="s">
        <v>152</v>
      </c>
      <c r="CT41" s="45" t="s">
        <v>89</v>
      </c>
      <c r="CU41" s="45" t="s">
        <v>89</v>
      </c>
      <c r="CV41" s="45" t="s">
        <v>131</v>
      </c>
      <c r="CW41" s="45" t="s">
        <v>105</v>
      </c>
      <c r="CX41" s="45" t="s">
        <v>51</v>
      </c>
      <c r="CY41" s="45" t="s">
        <v>51</v>
      </c>
      <c r="CZ41" s="45" t="s">
        <v>50</v>
      </c>
      <c r="DA41" s="45" t="s">
        <v>50</v>
      </c>
      <c r="DB41" s="45" t="s">
        <v>26</v>
      </c>
      <c r="DC41" s="45" t="s">
        <v>77</v>
      </c>
      <c r="DD41" s="45" t="s">
        <v>77</v>
      </c>
      <c r="DE41" s="45" t="s">
        <v>117</v>
      </c>
      <c r="DF41" s="45" t="s">
        <v>82</v>
      </c>
      <c r="DG41" s="45" t="s">
        <v>106</v>
      </c>
      <c r="DH41" s="45" t="s">
        <v>110</v>
      </c>
      <c r="DI41" s="45" t="s">
        <v>149</v>
      </c>
      <c r="DJ41" s="45" t="s">
        <v>149</v>
      </c>
      <c r="DK41" s="45" t="s">
        <v>110</v>
      </c>
      <c r="DL41" s="45" t="s">
        <v>106</v>
      </c>
      <c r="DM41" s="45" t="s">
        <v>117</v>
      </c>
      <c r="DN41" s="45" t="s">
        <v>143</v>
      </c>
      <c r="DO41" s="45" t="s">
        <v>84</v>
      </c>
      <c r="DP41" s="45" t="s">
        <v>117</v>
      </c>
      <c r="DQ41" s="45" t="s">
        <v>73</v>
      </c>
      <c r="DR41" s="45" t="s">
        <v>122</v>
      </c>
      <c r="DS41" s="45" t="s">
        <v>122</v>
      </c>
      <c r="DT41" s="45" t="s">
        <v>124</v>
      </c>
      <c r="DU41" s="45" t="s">
        <v>153</v>
      </c>
      <c r="DV41" s="45" t="s">
        <v>119</v>
      </c>
      <c r="DW41" s="45" t="s">
        <v>119</v>
      </c>
      <c r="DX41" s="45" t="s">
        <v>20</v>
      </c>
      <c r="DY41" s="45" t="s">
        <v>20</v>
      </c>
      <c r="DZ41" s="45" t="s">
        <v>99</v>
      </c>
      <c r="EA41" s="45" t="s">
        <v>124</v>
      </c>
      <c r="EB41" s="45" t="s">
        <v>99</v>
      </c>
      <c r="EC41" s="45" t="s">
        <v>14</v>
      </c>
      <c r="ED41" s="45" t="s">
        <v>105</v>
      </c>
      <c r="EE41" s="45" t="s">
        <v>20</v>
      </c>
      <c r="EF41" s="45" t="s">
        <v>20</v>
      </c>
      <c r="EG41" s="45" t="s">
        <v>20</v>
      </c>
      <c r="EH41" s="45" t="s">
        <v>105</v>
      </c>
      <c r="EI41" s="45" t="s">
        <v>105</v>
      </c>
      <c r="EJ41" s="45" t="s">
        <v>20</v>
      </c>
    </row>
    <row r="42" customFormat="false" ht="15.75" hidden="false" customHeight="false" outlineLevel="0" collapsed="false">
      <c r="A42" s="249" t="n">
        <v>34</v>
      </c>
      <c r="B42" s="250" t="s">
        <v>151</v>
      </c>
      <c r="C42" s="45" t="s">
        <v>61</v>
      </c>
      <c r="D42" s="45" t="s">
        <v>28</v>
      </c>
      <c r="E42" s="45" t="s">
        <v>141</v>
      </c>
      <c r="F42" s="45" t="s">
        <v>125</v>
      </c>
      <c r="G42" s="45" t="s">
        <v>87</v>
      </c>
      <c r="H42" s="45" t="s">
        <v>85</v>
      </c>
      <c r="I42" s="45" t="s">
        <v>137</v>
      </c>
      <c r="J42" s="45" t="s">
        <v>62</v>
      </c>
      <c r="K42" s="45" t="s">
        <v>111</v>
      </c>
      <c r="L42" s="45" t="s">
        <v>86</v>
      </c>
      <c r="M42" s="45" t="s">
        <v>43</v>
      </c>
      <c r="N42" s="45" t="s">
        <v>57</v>
      </c>
      <c r="O42" s="45" t="s">
        <v>86</v>
      </c>
      <c r="P42" s="45" t="s">
        <v>41</v>
      </c>
      <c r="Q42" s="45" t="s">
        <v>41</v>
      </c>
      <c r="R42" s="45" t="s">
        <v>28</v>
      </c>
      <c r="S42" s="45" t="s">
        <v>87</v>
      </c>
      <c r="T42" s="45" t="s">
        <v>141</v>
      </c>
      <c r="U42" s="45" t="s">
        <v>87</v>
      </c>
      <c r="V42" s="45" t="s">
        <v>28</v>
      </c>
      <c r="W42" s="45" t="s">
        <v>41</v>
      </c>
      <c r="X42" s="45" t="s">
        <v>150</v>
      </c>
      <c r="Y42" s="45" t="s">
        <v>151</v>
      </c>
      <c r="Z42" s="45" t="s">
        <v>41</v>
      </c>
      <c r="AA42" s="45" t="s">
        <v>69</v>
      </c>
      <c r="AB42" s="45" t="s">
        <v>141</v>
      </c>
      <c r="AC42" s="45" t="s">
        <v>28</v>
      </c>
      <c r="AD42" s="45" t="s">
        <v>63</v>
      </c>
      <c r="AE42" s="45" t="s">
        <v>129</v>
      </c>
      <c r="AF42" s="45" t="s">
        <v>85</v>
      </c>
      <c r="AG42" s="45" t="s">
        <v>40</v>
      </c>
      <c r="AH42" s="45" t="s">
        <v>144</v>
      </c>
      <c r="AI42" s="45" t="s">
        <v>85</v>
      </c>
      <c r="AJ42" s="45" t="s">
        <v>129</v>
      </c>
      <c r="AK42" s="45" t="s">
        <v>101</v>
      </c>
      <c r="AL42" s="45" t="s">
        <v>137</v>
      </c>
      <c r="AM42" s="45" t="s">
        <v>125</v>
      </c>
      <c r="AN42" s="45" t="s">
        <v>44</v>
      </c>
      <c r="AO42" s="45" t="s">
        <v>13</v>
      </c>
      <c r="AP42" s="45" t="s">
        <v>151</v>
      </c>
      <c r="AQ42" s="45" t="s">
        <v>46</v>
      </c>
      <c r="AR42" s="45" t="s">
        <v>66</v>
      </c>
      <c r="AS42" s="45" t="s">
        <v>46</v>
      </c>
      <c r="AT42" s="45" t="s">
        <v>66</v>
      </c>
      <c r="AU42" s="45" t="s">
        <v>36</v>
      </c>
      <c r="AV42" s="45" t="s">
        <v>139</v>
      </c>
      <c r="AW42" s="45" t="s">
        <v>104</v>
      </c>
      <c r="AX42" s="45" t="s">
        <v>104</v>
      </c>
      <c r="AY42" s="45" t="s">
        <v>43</v>
      </c>
      <c r="AZ42" s="45" t="s">
        <v>147</v>
      </c>
      <c r="BA42" s="45" t="s">
        <v>66</v>
      </c>
      <c r="BB42" s="45" t="s">
        <v>129</v>
      </c>
      <c r="BC42" s="45" t="s">
        <v>128</v>
      </c>
      <c r="BD42" s="45" t="s">
        <v>150</v>
      </c>
      <c r="BE42" s="45" t="s">
        <v>22</v>
      </c>
      <c r="BF42" s="45" t="s">
        <v>96</v>
      </c>
      <c r="BG42" s="45" t="s">
        <v>96</v>
      </c>
      <c r="BH42" s="45" t="s">
        <v>64</v>
      </c>
      <c r="BI42" s="45" t="s">
        <v>96</v>
      </c>
      <c r="BJ42" s="45" t="s">
        <v>129</v>
      </c>
      <c r="BK42" s="45" t="s">
        <v>58</v>
      </c>
      <c r="BL42" s="45" t="s">
        <v>43</v>
      </c>
      <c r="BM42" s="45" t="s">
        <v>139</v>
      </c>
      <c r="BN42" s="45" t="s">
        <v>36</v>
      </c>
      <c r="BO42" s="45" t="s">
        <v>147</v>
      </c>
      <c r="BP42" s="45" t="s">
        <v>31</v>
      </c>
      <c r="BQ42" s="45" t="s">
        <v>55</v>
      </c>
      <c r="BR42" s="45" t="s">
        <v>116</v>
      </c>
      <c r="BS42" s="45" t="s">
        <v>25</v>
      </c>
      <c r="BT42" s="45" t="s">
        <v>63</v>
      </c>
      <c r="BU42" s="45" t="s">
        <v>94</v>
      </c>
      <c r="BV42" s="45" t="s">
        <v>54</v>
      </c>
      <c r="BW42" s="45" t="s">
        <v>41</v>
      </c>
      <c r="BX42" s="45" t="s">
        <v>101</v>
      </c>
      <c r="BY42" s="45" t="s">
        <v>54</v>
      </c>
      <c r="BZ42" s="45" t="s">
        <v>54</v>
      </c>
      <c r="CA42" s="45" t="s">
        <v>121</v>
      </c>
      <c r="CB42" s="45" t="s">
        <v>34</v>
      </c>
      <c r="CC42" s="45" t="s">
        <v>150</v>
      </c>
      <c r="CD42" s="45" t="s">
        <v>126</v>
      </c>
      <c r="CE42" s="45" t="s">
        <v>55</v>
      </c>
      <c r="CF42" s="45" t="s">
        <v>46</v>
      </c>
      <c r="CG42" s="45" t="s">
        <v>137</v>
      </c>
      <c r="CH42" s="45" t="s">
        <v>48</v>
      </c>
      <c r="CI42" s="45" t="s">
        <v>108</v>
      </c>
      <c r="CJ42" s="45" t="s">
        <v>48</v>
      </c>
      <c r="CK42" s="45" t="s">
        <v>25</v>
      </c>
      <c r="CL42" s="45" t="s">
        <v>13</v>
      </c>
      <c r="CM42" s="45" t="s">
        <v>94</v>
      </c>
      <c r="CN42" s="45" t="s">
        <v>111</v>
      </c>
      <c r="CO42" s="45" t="s">
        <v>64</v>
      </c>
      <c r="CP42" s="45" t="s">
        <v>91</v>
      </c>
      <c r="CQ42" s="45" t="s">
        <v>44</v>
      </c>
      <c r="CR42" s="45" t="s">
        <v>29</v>
      </c>
      <c r="CS42" s="45" t="s">
        <v>29</v>
      </c>
      <c r="CT42" s="45" t="s">
        <v>62</v>
      </c>
      <c r="CU42" s="45" t="s">
        <v>40</v>
      </c>
      <c r="CV42" s="45" t="s">
        <v>43</v>
      </c>
      <c r="CW42" s="45" t="s">
        <v>145</v>
      </c>
      <c r="CX42" s="45" t="s">
        <v>94</v>
      </c>
      <c r="CY42" s="45" t="s">
        <v>31</v>
      </c>
      <c r="CZ42" s="45" t="s">
        <v>120</v>
      </c>
      <c r="DA42" s="45" t="s">
        <v>120</v>
      </c>
      <c r="DB42" s="45" t="s">
        <v>63</v>
      </c>
      <c r="DC42" s="45" t="s">
        <v>126</v>
      </c>
      <c r="DD42" s="45" t="s">
        <v>55</v>
      </c>
      <c r="DE42" s="45" t="s">
        <v>142</v>
      </c>
      <c r="DF42" s="45" t="s">
        <v>25</v>
      </c>
      <c r="DG42" s="45" t="s">
        <v>89</v>
      </c>
      <c r="DH42" s="45" t="s">
        <v>44</v>
      </c>
      <c r="DI42" s="45" t="s">
        <v>142</v>
      </c>
      <c r="DJ42" s="45" t="s">
        <v>120</v>
      </c>
      <c r="DK42" s="45" t="s">
        <v>89</v>
      </c>
      <c r="DL42" s="45" t="s">
        <v>89</v>
      </c>
      <c r="DM42" s="45" t="s">
        <v>58</v>
      </c>
      <c r="DN42" s="45" t="s">
        <v>64</v>
      </c>
      <c r="DO42" s="45" t="s">
        <v>96</v>
      </c>
      <c r="DP42" s="45" t="s">
        <v>58</v>
      </c>
      <c r="DQ42" s="45" t="s">
        <v>77</v>
      </c>
      <c r="DR42" s="45" t="s">
        <v>143</v>
      </c>
      <c r="DS42" s="45" t="s">
        <v>143</v>
      </c>
      <c r="DT42" s="45" t="s">
        <v>120</v>
      </c>
      <c r="DU42" s="45" t="s">
        <v>121</v>
      </c>
      <c r="DV42" s="45" t="s">
        <v>142</v>
      </c>
      <c r="DW42" s="45" t="s">
        <v>142</v>
      </c>
      <c r="DX42" s="45" t="s">
        <v>26</v>
      </c>
      <c r="DY42" s="45" t="s">
        <v>77</v>
      </c>
      <c r="DZ42" s="45" t="s">
        <v>84</v>
      </c>
      <c r="EA42" s="45" t="s">
        <v>25</v>
      </c>
      <c r="EB42" s="45" t="s">
        <v>84</v>
      </c>
      <c r="EC42" s="45" t="s">
        <v>116</v>
      </c>
      <c r="ED42" s="45" t="s">
        <v>145</v>
      </c>
      <c r="EE42" s="45" t="s">
        <v>26</v>
      </c>
      <c r="EF42" s="45" t="s">
        <v>26</v>
      </c>
      <c r="EG42" s="45" t="s">
        <v>26</v>
      </c>
      <c r="EH42" s="45" t="s">
        <v>145</v>
      </c>
      <c r="EI42" s="45" t="s">
        <v>26</v>
      </c>
      <c r="EJ42" s="45" t="s">
        <v>26</v>
      </c>
    </row>
    <row r="43" customFormat="false" ht="15.75" hidden="false" customHeight="false" outlineLevel="0" collapsed="false">
      <c r="A43" s="249" t="n">
        <v>35</v>
      </c>
      <c r="B43" s="250" t="s">
        <v>31</v>
      </c>
      <c r="C43" s="45" t="s">
        <v>41</v>
      </c>
      <c r="D43" s="45" t="s">
        <v>151</v>
      </c>
      <c r="E43" s="45" t="s">
        <v>41</v>
      </c>
      <c r="F43" s="45" t="s">
        <v>111</v>
      </c>
      <c r="G43" s="45" t="s">
        <v>150</v>
      </c>
      <c r="H43" s="45" t="s">
        <v>129</v>
      </c>
      <c r="I43" s="45" t="s">
        <v>150</v>
      </c>
      <c r="J43" s="45" t="s">
        <v>64</v>
      </c>
      <c r="K43" s="45" t="s">
        <v>66</v>
      </c>
      <c r="L43" s="45" t="s">
        <v>129</v>
      </c>
      <c r="M43" s="45" t="s">
        <v>120</v>
      </c>
      <c r="N43" s="45" t="s">
        <v>101</v>
      </c>
      <c r="O43" s="45" t="s">
        <v>101</v>
      </c>
      <c r="P43" s="45" t="s">
        <v>64</v>
      </c>
      <c r="Q43" s="45" t="s">
        <v>64</v>
      </c>
      <c r="R43" s="45" t="s">
        <v>151</v>
      </c>
      <c r="S43" s="45" t="s">
        <v>150</v>
      </c>
      <c r="T43" s="45" t="s">
        <v>41</v>
      </c>
      <c r="U43" s="45" t="s">
        <v>128</v>
      </c>
      <c r="V43" s="45" t="s">
        <v>151</v>
      </c>
      <c r="W43" s="45" t="s">
        <v>33</v>
      </c>
      <c r="X43" s="45" t="s">
        <v>63</v>
      </c>
      <c r="Y43" s="45" t="s">
        <v>46</v>
      </c>
      <c r="Z43" s="45" t="s">
        <v>33</v>
      </c>
      <c r="AA43" s="45" t="s">
        <v>96</v>
      </c>
      <c r="AB43" s="45" t="s">
        <v>41</v>
      </c>
      <c r="AC43" s="45" t="s">
        <v>151</v>
      </c>
      <c r="AD43" s="45" t="s">
        <v>47</v>
      </c>
      <c r="AE43" s="45" t="s">
        <v>147</v>
      </c>
      <c r="AF43" s="45" t="s">
        <v>129</v>
      </c>
      <c r="AG43" s="45" t="s">
        <v>96</v>
      </c>
      <c r="AH43" s="45" t="s">
        <v>48</v>
      </c>
      <c r="AI43" s="45" t="s">
        <v>129</v>
      </c>
      <c r="AJ43" s="45" t="s">
        <v>54</v>
      </c>
      <c r="AK43" s="45" t="s">
        <v>126</v>
      </c>
      <c r="AL43" s="45" t="s">
        <v>111</v>
      </c>
      <c r="AM43" s="45" t="s">
        <v>111</v>
      </c>
      <c r="AN43" s="45" t="s">
        <v>143</v>
      </c>
      <c r="AO43" s="45" t="s">
        <v>145</v>
      </c>
      <c r="AP43" s="45" t="s">
        <v>46</v>
      </c>
      <c r="AQ43" s="45" t="s">
        <v>31</v>
      </c>
      <c r="AR43" s="45" t="s">
        <v>108</v>
      </c>
      <c r="AS43" s="45" t="s">
        <v>48</v>
      </c>
      <c r="AT43" s="45" t="s">
        <v>48</v>
      </c>
      <c r="AU43" s="45" t="s">
        <v>143</v>
      </c>
      <c r="AV43" s="45" t="s">
        <v>91</v>
      </c>
      <c r="AW43" s="45" t="s">
        <v>58</v>
      </c>
      <c r="AX43" s="45" t="s">
        <v>142</v>
      </c>
      <c r="AY43" s="45" t="s">
        <v>25</v>
      </c>
      <c r="AZ43" s="45" t="s">
        <v>29</v>
      </c>
      <c r="BA43" s="45" t="s">
        <v>108</v>
      </c>
      <c r="BB43" s="45" t="s">
        <v>54</v>
      </c>
      <c r="BC43" s="45" t="s">
        <v>63</v>
      </c>
      <c r="BD43" s="45" t="s">
        <v>63</v>
      </c>
      <c r="BE43" s="45" t="s">
        <v>95</v>
      </c>
      <c r="BF43" s="45" t="s">
        <v>55</v>
      </c>
      <c r="BG43" s="45" t="s">
        <v>55</v>
      </c>
      <c r="BH43" s="45" t="s">
        <v>94</v>
      </c>
      <c r="BI43" s="45" t="s">
        <v>55</v>
      </c>
      <c r="BJ43" s="45" t="s">
        <v>54</v>
      </c>
      <c r="BK43" s="45" t="s">
        <v>26</v>
      </c>
      <c r="BL43" s="45" t="s">
        <v>25</v>
      </c>
      <c r="BM43" s="45" t="s">
        <v>96</v>
      </c>
      <c r="BN43" s="45" t="s">
        <v>143</v>
      </c>
      <c r="BO43" s="45" t="s">
        <v>29</v>
      </c>
      <c r="BP43" s="45" t="s">
        <v>36</v>
      </c>
      <c r="BQ43" s="45" t="s">
        <v>43</v>
      </c>
      <c r="BR43" s="45" t="s">
        <v>26</v>
      </c>
      <c r="BS43" s="45" t="s">
        <v>77</v>
      </c>
      <c r="BT43" s="45" t="s">
        <v>108</v>
      </c>
      <c r="BU43" s="45" t="s">
        <v>89</v>
      </c>
      <c r="BV43" s="45" t="s">
        <v>121</v>
      </c>
      <c r="BW43" s="45" t="s">
        <v>22</v>
      </c>
      <c r="BX43" s="45" t="s">
        <v>126</v>
      </c>
      <c r="BY43" s="45" t="s">
        <v>121</v>
      </c>
      <c r="BZ43" s="45" t="s">
        <v>34</v>
      </c>
      <c r="CA43" s="45" t="s">
        <v>142</v>
      </c>
      <c r="CB43" s="45" t="s">
        <v>120</v>
      </c>
      <c r="CC43" s="45" t="s">
        <v>66</v>
      </c>
      <c r="CD43" s="45" t="s">
        <v>104</v>
      </c>
      <c r="CE43" s="45" t="s">
        <v>43</v>
      </c>
      <c r="CF43" s="45" t="s">
        <v>31</v>
      </c>
      <c r="CG43" s="45" t="s">
        <v>150</v>
      </c>
      <c r="CH43" s="45" t="s">
        <v>13</v>
      </c>
      <c r="CI43" s="45" t="s">
        <v>116</v>
      </c>
      <c r="CJ43" s="45" t="s">
        <v>13</v>
      </c>
      <c r="CK43" s="45" t="s">
        <v>12</v>
      </c>
      <c r="CL43" s="45" t="s">
        <v>145</v>
      </c>
      <c r="CM43" s="45" t="s">
        <v>44</v>
      </c>
      <c r="CN43" s="45" t="s">
        <v>66</v>
      </c>
      <c r="CO43" s="45" t="s">
        <v>94</v>
      </c>
      <c r="CP43" s="45" t="s">
        <v>147</v>
      </c>
      <c r="CQ43" s="45" t="s">
        <v>143</v>
      </c>
      <c r="CR43" s="45" t="s">
        <v>120</v>
      </c>
      <c r="CS43" s="45" t="s">
        <v>120</v>
      </c>
      <c r="CT43" s="45" t="s">
        <v>64</v>
      </c>
      <c r="CU43" s="45" t="s">
        <v>96</v>
      </c>
      <c r="CV43" s="45" t="s">
        <v>25</v>
      </c>
      <c r="CW43" s="45" t="s">
        <v>51</v>
      </c>
      <c r="CX43" s="45" t="s">
        <v>44</v>
      </c>
      <c r="CY43" s="45" t="s">
        <v>36</v>
      </c>
      <c r="CZ43" s="45" t="s">
        <v>77</v>
      </c>
      <c r="DA43" s="45" t="s">
        <v>77</v>
      </c>
      <c r="DB43" s="45" t="s">
        <v>47</v>
      </c>
      <c r="DC43" s="45" t="s">
        <v>104</v>
      </c>
      <c r="DD43" s="45" t="s">
        <v>43</v>
      </c>
      <c r="DE43" s="45" t="s">
        <v>26</v>
      </c>
      <c r="DF43" s="45" t="s">
        <v>12</v>
      </c>
      <c r="DG43" s="45" t="s">
        <v>84</v>
      </c>
      <c r="DH43" s="45" t="s">
        <v>143</v>
      </c>
      <c r="DI43" s="45" t="s">
        <v>77</v>
      </c>
      <c r="DJ43" s="45" t="s">
        <v>77</v>
      </c>
      <c r="DK43" s="45" t="s">
        <v>84</v>
      </c>
      <c r="DL43" s="45" t="s">
        <v>25</v>
      </c>
      <c r="DM43" s="45" t="s">
        <v>26</v>
      </c>
      <c r="DN43" s="45" t="s">
        <v>94</v>
      </c>
      <c r="DO43" s="45" t="s">
        <v>55</v>
      </c>
      <c r="DP43" s="45" t="s">
        <v>26</v>
      </c>
      <c r="DQ43" s="45" t="s">
        <v>88</v>
      </c>
      <c r="DR43" s="45" t="s">
        <v>133</v>
      </c>
      <c r="DS43" s="45" t="s">
        <v>51</v>
      </c>
      <c r="DT43" s="45" t="s">
        <v>77</v>
      </c>
      <c r="DU43" s="45" t="s">
        <v>142</v>
      </c>
      <c r="DV43" s="45" t="s">
        <v>26</v>
      </c>
      <c r="DW43" s="45" t="s">
        <v>26</v>
      </c>
      <c r="DX43" s="45" t="s">
        <v>37</v>
      </c>
      <c r="DY43" s="45" t="s">
        <v>153</v>
      </c>
      <c r="DZ43" s="45" t="s">
        <v>12</v>
      </c>
      <c r="EA43" s="45" t="s">
        <v>77</v>
      </c>
      <c r="EB43" s="45" t="s">
        <v>12</v>
      </c>
      <c r="EC43" s="45" t="s">
        <v>145</v>
      </c>
      <c r="ED43" s="45" t="s">
        <v>51</v>
      </c>
      <c r="EE43" s="45" t="s">
        <v>18</v>
      </c>
      <c r="EF43" s="45" t="s">
        <v>18</v>
      </c>
      <c r="EG43" s="45" t="s">
        <v>18</v>
      </c>
      <c r="EH43" s="45" t="s">
        <v>115</v>
      </c>
      <c r="EI43" s="45" t="s">
        <v>115</v>
      </c>
      <c r="EJ43" s="45" t="s">
        <v>67</v>
      </c>
    </row>
    <row r="44" customFormat="false" ht="15.75" hidden="false" customHeight="false" outlineLevel="0" collapsed="false">
      <c r="A44" s="249" t="n">
        <v>36</v>
      </c>
      <c r="B44" s="250" t="s">
        <v>104</v>
      </c>
      <c r="C44" s="45" t="s">
        <v>111</v>
      </c>
      <c r="D44" s="45" t="s">
        <v>111</v>
      </c>
      <c r="E44" s="45" t="s">
        <v>151</v>
      </c>
      <c r="F44" s="45" t="s">
        <v>150</v>
      </c>
      <c r="G44" s="45" t="s">
        <v>101</v>
      </c>
      <c r="H44" s="45" t="s">
        <v>96</v>
      </c>
      <c r="I44" s="45" t="s">
        <v>101</v>
      </c>
      <c r="J44" s="45" t="s">
        <v>22</v>
      </c>
      <c r="K44" s="45" t="s">
        <v>126</v>
      </c>
      <c r="L44" s="45" t="s">
        <v>91</v>
      </c>
      <c r="M44" s="45" t="s">
        <v>25</v>
      </c>
      <c r="N44" s="45" t="s">
        <v>129</v>
      </c>
      <c r="O44" s="45" t="s">
        <v>129</v>
      </c>
      <c r="P44" s="45" t="s">
        <v>46</v>
      </c>
      <c r="Q44" s="45" t="s">
        <v>46</v>
      </c>
      <c r="R44" s="45" t="s">
        <v>150</v>
      </c>
      <c r="S44" s="45" t="s">
        <v>129</v>
      </c>
      <c r="T44" s="45" t="s">
        <v>151</v>
      </c>
      <c r="U44" s="45" t="s">
        <v>129</v>
      </c>
      <c r="V44" s="45" t="s">
        <v>111</v>
      </c>
      <c r="W44" s="45" t="s">
        <v>46</v>
      </c>
      <c r="X44" s="45" t="s">
        <v>54</v>
      </c>
      <c r="Y44" s="45" t="s">
        <v>63</v>
      </c>
      <c r="Z44" s="45" t="s">
        <v>46</v>
      </c>
      <c r="AA44" s="45" t="s">
        <v>64</v>
      </c>
      <c r="AB44" s="45" t="s">
        <v>151</v>
      </c>
      <c r="AC44" s="45" t="s">
        <v>150</v>
      </c>
      <c r="AD44" s="45" t="s">
        <v>121</v>
      </c>
      <c r="AE44" s="45" t="s">
        <v>55</v>
      </c>
      <c r="AF44" s="45" t="s">
        <v>96</v>
      </c>
      <c r="AG44" s="45" t="s">
        <v>64</v>
      </c>
      <c r="AH44" s="45" t="s">
        <v>47</v>
      </c>
      <c r="AI44" s="45" t="s">
        <v>96</v>
      </c>
      <c r="AJ44" s="45" t="s">
        <v>147</v>
      </c>
      <c r="AK44" s="45" t="s">
        <v>147</v>
      </c>
      <c r="AL44" s="45" t="s">
        <v>128</v>
      </c>
      <c r="AM44" s="45" t="s">
        <v>128</v>
      </c>
      <c r="AN44" s="45" t="s">
        <v>145</v>
      </c>
      <c r="AO44" s="45" t="s">
        <v>26</v>
      </c>
      <c r="AP44" s="45" t="s">
        <v>66</v>
      </c>
      <c r="AQ44" s="45" t="s">
        <v>108</v>
      </c>
      <c r="AR44" s="45" t="s">
        <v>104</v>
      </c>
      <c r="AS44" s="45" t="s">
        <v>108</v>
      </c>
      <c r="AT44" s="45" t="s">
        <v>47</v>
      </c>
      <c r="AU44" s="45" t="s">
        <v>145</v>
      </c>
      <c r="AV44" s="45" t="s">
        <v>96</v>
      </c>
      <c r="AW44" s="45" t="s">
        <v>120</v>
      </c>
      <c r="AX44" s="45" t="s">
        <v>120</v>
      </c>
      <c r="AY44" s="45" t="s">
        <v>143</v>
      </c>
      <c r="AZ44" s="45" t="s">
        <v>43</v>
      </c>
      <c r="BA44" s="45" t="s">
        <v>47</v>
      </c>
      <c r="BB44" s="45" t="s">
        <v>55</v>
      </c>
      <c r="BC44" s="45" t="s">
        <v>54</v>
      </c>
      <c r="BD44" s="45" t="s">
        <v>126</v>
      </c>
      <c r="BE44" s="45" t="s">
        <v>48</v>
      </c>
      <c r="BF44" s="45" t="s">
        <v>94</v>
      </c>
      <c r="BG44" s="45" t="s">
        <v>94</v>
      </c>
      <c r="BH44" s="45" t="s">
        <v>94</v>
      </c>
      <c r="BI44" s="45" t="s">
        <v>94</v>
      </c>
      <c r="BJ44" s="45" t="s">
        <v>55</v>
      </c>
      <c r="BK44" s="45" t="s">
        <v>77</v>
      </c>
      <c r="BL44" s="45" t="s">
        <v>84</v>
      </c>
      <c r="BM44" s="45" t="s">
        <v>64</v>
      </c>
      <c r="BN44" s="45" t="s">
        <v>145</v>
      </c>
      <c r="BO44" s="45" t="s">
        <v>43</v>
      </c>
      <c r="BP44" s="45" t="s">
        <v>13</v>
      </c>
      <c r="BQ44" s="45" t="s">
        <v>89</v>
      </c>
      <c r="BR44" s="45" t="s">
        <v>26</v>
      </c>
      <c r="BS44" s="45" t="s">
        <v>12</v>
      </c>
      <c r="BT44" s="45" t="s">
        <v>104</v>
      </c>
      <c r="BU44" s="45" t="s">
        <v>44</v>
      </c>
      <c r="BV44" s="45" t="s">
        <v>29</v>
      </c>
      <c r="BW44" s="45" t="s">
        <v>144</v>
      </c>
      <c r="BX44" s="45" t="s">
        <v>54</v>
      </c>
      <c r="BY44" s="45" t="s">
        <v>43</v>
      </c>
      <c r="BZ44" s="45" t="s">
        <v>43</v>
      </c>
      <c r="CA44" s="45" t="s">
        <v>120</v>
      </c>
      <c r="CB44" s="45" t="s">
        <v>25</v>
      </c>
      <c r="CC44" s="45" t="s">
        <v>126</v>
      </c>
      <c r="CD44" s="45" t="s">
        <v>34</v>
      </c>
      <c r="CE44" s="45" t="s">
        <v>44</v>
      </c>
      <c r="CF44" s="45" t="s">
        <v>48</v>
      </c>
      <c r="CG44" s="45" t="s">
        <v>101</v>
      </c>
      <c r="CH44" s="45" t="s">
        <v>116</v>
      </c>
      <c r="CI44" s="45" t="s">
        <v>142</v>
      </c>
      <c r="CJ44" s="45" t="s">
        <v>58</v>
      </c>
      <c r="CK44" s="45" t="s">
        <v>133</v>
      </c>
      <c r="CL44" s="45" t="s">
        <v>26</v>
      </c>
      <c r="CM44" s="45" t="s">
        <v>13</v>
      </c>
      <c r="CN44" s="45" t="s">
        <v>63</v>
      </c>
      <c r="CO44" s="45" t="s">
        <v>95</v>
      </c>
      <c r="CP44" s="45" t="s">
        <v>55</v>
      </c>
      <c r="CQ44" s="45" t="s">
        <v>143</v>
      </c>
      <c r="CR44" s="45" t="s">
        <v>25</v>
      </c>
      <c r="CS44" s="45" t="s">
        <v>25</v>
      </c>
      <c r="CT44" s="45" t="s">
        <v>33</v>
      </c>
      <c r="CU44" s="45" t="s">
        <v>33</v>
      </c>
      <c r="CV44" s="45" t="s">
        <v>84</v>
      </c>
      <c r="CW44" s="45" t="s">
        <v>67</v>
      </c>
      <c r="CX44" s="45" t="s">
        <v>36</v>
      </c>
      <c r="CY44" s="45" t="s">
        <v>116</v>
      </c>
      <c r="CZ44" s="45" t="s">
        <v>77</v>
      </c>
      <c r="DA44" s="45" t="s">
        <v>12</v>
      </c>
      <c r="DB44" s="45" t="s">
        <v>121</v>
      </c>
      <c r="DC44" s="45" t="s">
        <v>29</v>
      </c>
      <c r="DD44" s="45" t="s">
        <v>89</v>
      </c>
      <c r="DE44" s="45" t="s">
        <v>77</v>
      </c>
      <c r="DF44" s="45" t="s">
        <v>133</v>
      </c>
      <c r="DG44" s="45" t="s">
        <v>143</v>
      </c>
      <c r="DH44" s="45" t="s">
        <v>145</v>
      </c>
      <c r="DI44" s="45" t="s">
        <v>77</v>
      </c>
      <c r="DJ44" s="45" t="s">
        <v>77</v>
      </c>
      <c r="DK44" s="45" t="s">
        <v>143</v>
      </c>
      <c r="DL44" s="45" t="s">
        <v>143</v>
      </c>
      <c r="DM44" s="45" t="s">
        <v>77</v>
      </c>
      <c r="DN44" s="45" t="s">
        <v>31</v>
      </c>
      <c r="DO44" s="45" t="s">
        <v>94</v>
      </c>
      <c r="DP44" s="45" t="s">
        <v>26</v>
      </c>
      <c r="DQ44" s="45" t="s">
        <v>131</v>
      </c>
      <c r="DR44" s="45" t="s">
        <v>51</v>
      </c>
      <c r="DS44" s="45" t="s">
        <v>115</v>
      </c>
      <c r="DT44" s="45" t="s">
        <v>12</v>
      </c>
      <c r="DU44" s="45" t="s">
        <v>120</v>
      </c>
      <c r="DV44" s="45" t="s">
        <v>77</v>
      </c>
      <c r="DW44" s="45" t="s">
        <v>77</v>
      </c>
      <c r="DX44" s="45" t="s">
        <v>88</v>
      </c>
      <c r="DY44" s="45" t="s">
        <v>152</v>
      </c>
      <c r="DZ44" s="45" t="s">
        <v>51</v>
      </c>
      <c r="EA44" s="45" t="s">
        <v>12</v>
      </c>
      <c r="EB44" s="45" t="s">
        <v>51</v>
      </c>
      <c r="EC44" s="45" t="s">
        <v>26</v>
      </c>
      <c r="ED44" s="45" t="s">
        <v>115</v>
      </c>
      <c r="EE44" s="45" t="s">
        <v>153</v>
      </c>
      <c r="EF44" s="45" t="s">
        <v>153</v>
      </c>
      <c r="EG44" s="45" t="s">
        <v>153</v>
      </c>
      <c r="EH44" s="45" t="s">
        <v>18</v>
      </c>
      <c r="EI44" s="45" t="s">
        <v>18</v>
      </c>
      <c r="EJ44" s="45" t="s">
        <v>37</v>
      </c>
    </row>
    <row r="45" customFormat="false" ht="15.75" hidden="false" customHeight="false" outlineLevel="0" collapsed="false">
      <c r="A45" s="249" t="n">
        <v>37</v>
      </c>
      <c r="B45" s="250" t="s">
        <v>48</v>
      </c>
      <c r="C45" s="45" t="s">
        <v>151</v>
      </c>
      <c r="D45" s="45" t="s">
        <v>151</v>
      </c>
      <c r="E45" s="45" t="s">
        <v>41</v>
      </c>
      <c r="F45" s="45" t="s">
        <v>111</v>
      </c>
      <c r="G45" s="45" t="s">
        <v>150</v>
      </c>
      <c r="H45" s="45" t="s">
        <v>129</v>
      </c>
      <c r="I45" s="45" t="s">
        <v>150</v>
      </c>
      <c r="J45" s="45" t="s">
        <v>64</v>
      </c>
      <c r="K45" s="45" t="s">
        <v>66</v>
      </c>
      <c r="L45" s="45" t="s">
        <v>129</v>
      </c>
      <c r="M45" s="45" t="s">
        <v>25</v>
      </c>
      <c r="N45" s="45" t="s">
        <v>101</v>
      </c>
      <c r="O45" s="45" t="s">
        <v>129</v>
      </c>
      <c r="P45" s="45" t="s">
        <v>33</v>
      </c>
      <c r="Q45" s="45" t="s">
        <v>33</v>
      </c>
      <c r="R45" s="45" t="s">
        <v>151</v>
      </c>
      <c r="S45" s="45" t="s">
        <v>128</v>
      </c>
      <c r="T45" s="45" t="s">
        <v>41</v>
      </c>
      <c r="U45" s="45" t="s">
        <v>101</v>
      </c>
      <c r="V45" s="45" t="s">
        <v>151</v>
      </c>
      <c r="W45" s="45" t="s">
        <v>33</v>
      </c>
      <c r="X45" s="45" t="s">
        <v>63</v>
      </c>
      <c r="Y45" s="45" t="s">
        <v>144</v>
      </c>
      <c r="Z45" s="45" t="s">
        <v>22</v>
      </c>
      <c r="AA45" s="45" t="s">
        <v>96</v>
      </c>
      <c r="AB45" s="45" t="s">
        <v>41</v>
      </c>
      <c r="AC45" s="45" t="s">
        <v>111</v>
      </c>
      <c r="AD45" s="45" t="s">
        <v>47</v>
      </c>
      <c r="AE45" s="45" t="s">
        <v>147</v>
      </c>
      <c r="AF45" s="45" t="s">
        <v>129</v>
      </c>
      <c r="AG45" s="45" t="s">
        <v>96</v>
      </c>
      <c r="AH45" s="45" t="s">
        <v>48</v>
      </c>
      <c r="AI45" s="45" t="s">
        <v>91</v>
      </c>
      <c r="AJ45" s="45" t="s">
        <v>54</v>
      </c>
      <c r="AK45" s="45" t="s">
        <v>54</v>
      </c>
      <c r="AL45" s="45" t="s">
        <v>49</v>
      </c>
      <c r="AM45" s="45" t="s">
        <v>111</v>
      </c>
      <c r="AN45" s="45" t="s">
        <v>143</v>
      </c>
      <c r="AO45" s="45" t="s">
        <v>145</v>
      </c>
      <c r="AP45" s="45" t="s">
        <v>46</v>
      </c>
      <c r="AQ45" s="45" t="s">
        <v>48</v>
      </c>
      <c r="AR45" s="45" t="s">
        <v>108</v>
      </c>
      <c r="AS45" s="45" t="s">
        <v>48</v>
      </c>
      <c r="AT45" s="45" t="s">
        <v>108</v>
      </c>
      <c r="AU45" s="45" t="s">
        <v>143</v>
      </c>
      <c r="AV45" s="45" t="s">
        <v>96</v>
      </c>
      <c r="AW45" s="45" t="s">
        <v>142</v>
      </c>
      <c r="AX45" s="45" t="s">
        <v>142</v>
      </c>
      <c r="AY45" s="45" t="s">
        <v>25</v>
      </c>
      <c r="AZ45" s="45" t="s">
        <v>43</v>
      </c>
      <c r="BA45" s="45" t="s">
        <v>108</v>
      </c>
      <c r="BB45" s="45" t="s">
        <v>54</v>
      </c>
      <c r="BC45" s="45" t="s">
        <v>126</v>
      </c>
      <c r="BD45" s="45" t="s">
        <v>63</v>
      </c>
      <c r="BE45" s="45" t="s">
        <v>31</v>
      </c>
      <c r="BF45" s="45" t="s">
        <v>55</v>
      </c>
      <c r="BG45" s="45" t="s">
        <v>55</v>
      </c>
      <c r="BH45" s="45" t="s">
        <v>94</v>
      </c>
      <c r="BI45" s="45" t="s">
        <v>55</v>
      </c>
      <c r="BJ45" s="45" t="s">
        <v>147</v>
      </c>
      <c r="BK45" s="45" t="s">
        <v>26</v>
      </c>
      <c r="BL45" s="45" t="s">
        <v>25</v>
      </c>
      <c r="BM45" s="45" t="s">
        <v>96</v>
      </c>
      <c r="BN45" s="45" t="s">
        <v>145</v>
      </c>
      <c r="BO45" s="45" t="s">
        <v>29</v>
      </c>
      <c r="BP45" s="45" t="s">
        <v>36</v>
      </c>
      <c r="BQ45" s="45" t="s">
        <v>43</v>
      </c>
      <c r="BR45" s="45" t="s">
        <v>26</v>
      </c>
      <c r="BS45" s="45" t="s">
        <v>12</v>
      </c>
      <c r="BT45" s="45" t="s">
        <v>47</v>
      </c>
      <c r="BU45" s="45" t="s">
        <v>89</v>
      </c>
      <c r="BV45" s="45" t="s">
        <v>121</v>
      </c>
      <c r="BW45" s="45" t="s">
        <v>46</v>
      </c>
      <c r="BX45" s="45" t="s">
        <v>126</v>
      </c>
      <c r="BY45" s="45" t="s">
        <v>34</v>
      </c>
      <c r="BZ45" s="45" t="s">
        <v>29</v>
      </c>
      <c r="CA45" s="45" t="s">
        <v>120</v>
      </c>
      <c r="CB45" s="45" t="s">
        <v>120</v>
      </c>
      <c r="CC45" s="45" t="s">
        <v>63</v>
      </c>
      <c r="CD45" s="45" t="s">
        <v>104</v>
      </c>
      <c r="CE45" s="45" t="s">
        <v>89</v>
      </c>
      <c r="CF45" s="45" t="s">
        <v>31</v>
      </c>
      <c r="CG45" s="45" t="s">
        <v>150</v>
      </c>
      <c r="CH45" s="45" t="s">
        <v>13</v>
      </c>
      <c r="CI45" s="45" t="s">
        <v>58</v>
      </c>
      <c r="CJ45" s="45" t="s">
        <v>116</v>
      </c>
      <c r="CK45" s="45" t="s">
        <v>12</v>
      </c>
      <c r="CL45" s="45" t="s">
        <v>145</v>
      </c>
      <c r="CM45" s="45" t="s">
        <v>44</v>
      </c>
      <c r="CN45" s="45" t="s">
        <v>66</v>
      </c>
      <c r="CO45" s="45" t="s">
        <v>94</v>
      </c>
      <c r="CP45" s="45" t="s">
        <v>55</v>
      </c>
      <c r="CQ45" s="45" t="s">
        <v>143</v>
      </c>
      <c r="CR45" s="45" t="s">
        <v>120</v>
      </c>
      <c r="CS45" s="45" t="s">
        <v>120</v>
      </c>
      <c r="CT45" s="45" t="s">
        <v>64</v>
      </c>
      <c r="CU45" s="45" t="s">
        <v>64</v>
      </c>
      <c r="CV45" s="45" t="s">
        <v>25</v>
      </c>
      <c r="CW45" s="45" t="s">
        <v>115</v>
      </c>
      <c r="CX45" s="45" t="s">
        <v>44</v>
      </c>
      <c r="CY45" s="45" t="s">
        <v>13</v>
      </c>
      <c r="CZ45" s="45" t="s">
        <v>77</v>
      </c>
      <c r="DA45" s="45" t="s">
        <v>77</v>
      </c>
      <c r="DB45" s="45" t="s">
        <v>104</v>
      </c>
      <c r="DC45" s="45" t="s">
        <v>121</v>
      </c>
      <c r="DD45" s="45" t="s">
        <v>43</v>
      </c>
      <c r="DE45" s="45" t="s">
        <v>26</v>
      </c>
      <c r="DF45" s="45" t="s">
        <v>12</v>
      </c>
      <c r="DG45" s="45" t="s">
        <v>84</v>
      </c>
      <c r="DH45" s="45" t="s">
        <v>143</v>
      </c>
      <c r="DI45" s="45" t="s">
        <v>77</v>
      </c>
      <c r="DJ45" s="45" t="s">
        <v>77</v>
      </c>
      <c r="DK45" s="45" t="s">
        <v>143</v>
      </c>
      <c r="DL45" s="45" t="s">
        <v>84</v>
      </c>
      <c r="DM45" s="45" t="s">
        <v>26</v>
      </c>
      <c r="DN45" s="45" t="s">
        <v>94</v>
      </c>
      <c r="DO45" s="45" t="s">
        <v>94</v>
      </c>
      <c r="DP45" s="45" t="s">
        <v>26</v>
      </c>
      <c r="DQ45" s="45" t="s">
        <v>152</v>
      </c>
      <c r="DR45" s="45" t="s">
        <v>133</v>
      </c>
      <c r="DS45" s="45" t="s">
        <v>51</v>
      </c>
      <c r="DT45" s="45" t="s">
        <v>77</v>
      </c>
      <c r="DU45" s="45" t="s">
        <v>142</v>
      </c>
      <c r="DV45" s="45" t="s">
        <v>77</v>
      </c>
      <c r="DW45" s="45" t="s">
        <v>26</v>
      </c>
      <c r="DX45" s="45" t="s">
        <v>153</v>
      </c>
      <c r="DY45" s="45" t="s">
        <v>153</v>
      </c>
      <c r="DZ45" s="45" t="s">
        <v>133</v>
      </c>
      <c r="EA45" s="45" t="s">
        <v>77</v>
      </c>
      <c r="EB45" s="45" t="s">
        <v>12</v>
      </c>
      <c r="EC45" s="45" t="s">
        <v>26</v>
      </c>
      <c r="ED45" s="45" t="s">
        <v>51</v>
      </c>
      <c r="EE45" s="45" t="s">
        <v>37</v>
      </c>
      <c r="EF45" s="45" t="s">
        <v>18</v>
      </c>
      <c r="EG45" s="45" t="s">
        <v>18</v>
      </c>
      <c r="EH45" s="45" t="s">
        <v>115</v>
      </c>
      <c r="EI45" s="45" t="s">
        <v>67</v>
      </c>
      <c r="EJ45" s="45" t="s">
        <v>18</v>
      </c>
    </row>
    <row r="46" customFormat="false" ht="15.75" hidden="false" customHeight="false" outlineLevel="0" collapsed="false">
      <c r="A46" s="249" t="n">
        <v>37</v>
      </c>
      <c r="B46" s="251" t="s">
        <v>49</v>
      </c>
      <c r="C46" s="45" t="s">
        <v>151</v>
      </c>
      <c r="D46" s="45" t="s">
        <v>111</v>
      </c>
      <c r="E46" s="45" t="s">
        <v>41</v>
      </c>
      <c r="F46" s="45" t="s">
        <v>150</v>
      </c>
      <c r="G46" s="45" t="s">
        <v>101</v>
      </c>
      <c r="H46" s="45" t="s">
        <v>96</v>
      </c>
      <c r="I46" s="45" t="s">
        <v>128</v>
      </c>
      <c r="J46" s="45" t="s">
        <v>33</v>
      </c>
      <c r="K46" s="45" t="s">
        <v>63</v>
      </c>
      <c r="L46" s="45" t="s">
        <v>129</v>
      </c>
      <c r="M46" s="45" t="s">
        <v>25</v>
      </c>
      <c r="N46" s="45" t="s">
        <v>129</v>
      </c>
      <c r="O46" s="45" t="s">
        <v>129</v>
      </c>
      <c r="P46" s="45" t="s">
        <v>22</v>
      </c>
      <c r="Q46" s="45" t="s">
        <v>22</v>
      </c>
      <c r="R46" s="45" t="s">
        <v>111</v>
      </c>
      <c r="S46" s="45" t="s">
        <v>101</v>
      </c>
      <c r="T46" s="45" t="s">
        <v>151</v>
      </c>
      <c r="U46" s="45" t="s">
        <v>129</v>
      </c>
      <c r="V46" s="45" t="s">
        <v>111</v>
      </c>
      <c r="W46" s="45" t="s">
        <v>46</v>
      </c>
      <c r="X46" s="45" t="s">
        <v>126</v>
      </c>
      <c r="Y46" s="45" t="s">
        <v>66</v>
      </c>
      <c r="Z46" s="45" t="s">
        <v>46</v>
      </c>
      <c r="AA46" s="45" t="s">
        <v>64</v>
      </c>
      <c r="AB46" s="45" t="s">
        <v>151</v>
      </c>
      <c r="AC46" s="45" t="s">
        <v>150</v>
      </c>
      <c r="AD46" s="45" t="s">
        <v>104</v>
      </c>
      <c r="AE46" s="45" t="s">
        <v>55</v>
      </c>
      <c r="AF46" s="45" t="s">
        <v>91</v>
      </c>
      <c r="AG46" s="45" t="s">
        <v>64</v>
      </c>
      <c r="AH46" s="45" t="s">
        <v>108</v>
      </c>
      <c r="AI46" s="45" t="s">
        <v>96</v>
      </c>
      <c r="AJ46" s="45" t="s">
        <v>147</v>
      </c>
      <c r="AK46" s="45" t="s">
        <v>54</v>
      </c>
      <c r="AL46" s="45" t="s">
        <v>150</v>
      </c>
      <c r="AM46" s="45" t="s">
        <v>150</v>
      </c>
      <c r="AN46" s="45" t="s">
        <v>145</v>
      </c>
      <c r="AO46" s="45" t="s">
        <v>26</v>
      </c>
      <c r="AP46" s="45" t="s">
        <v>66</v>
      </c>
      <c r="AQ46" s="45" t="s">
        <v>48</v>
      </c>
      <c r="AR46" s="45" t="s">
        <v>47</v>
      </c>
      <c r="AS46" s="45" t="s">
        <v>108</v>
      </c>
      <c r="AT46" s="45" t="s">
        <v>49</v>
      </c>
      <c r="AU46" s="45" t="s">
        <v>145</v>
      </c>
      <c r="AV46" s="45" t="s">
        <v>96</v>
      </c>
      <c r="AW46" s="45" t="s">
        <v>142</v>
      </c>
      <c r="AX46" s="45" t="s">
        <v>120</v>
      </c>
      <c r="AY46" s="45" t="s">
        <v>84</v>
      </c>
      <c r="AZ46" s="45" t="s">
        <v>43</v>
      </c>
      <c r="BA46" s="45" t="s">
        <v>47</v>
      </c>
      <c r="BB46" s="45" t="s">
        <v>147</v>
      </c>
      <c r="BC46" s="45" t="s">
        <v>54</v>
      </c>
      <c r="BD46" s="45" t="s">
        <v>126</v>
      </c>
      <c r="BE46" s="45" t="s">
        <v>48</v>
      </c>
      <c r="BF46" s="45" t="s">
        <v>94</v>
      </c>
      <c r="BG46" s="45" t="s">
        <v>94</v>
      </c>
      <c r="BH46" s="45" t="s">
        <v>94</v>
      </c>
      <c r="BI46" s="45" t="s">
        <v>55</v>
      </c>
      <c r="BJ46" s="45" t="s">
        <v>55</v>
      </c>
      <c r="BK46" s="45" t="s">
        <v>77</v>
      </c>
      <c r="BL46" s="45" t="s">
        <v>25</v>
      </c>
      <c r="BM46" s="45" t="s">
        <v>96</v>
      </c>
      <c r="BN46" s="45" t="s">
        <v>145</v>
      </c>
      <c r="BO46" s="45" t="s">
        <v>43</v>
      </c>
      <c r="BP46" s="45" t="s">
        <v>13</v>
      </c>
      <c r="BQ46" s="45" t="s">
        <v>89</v>
      </c>
      <c r="BR46" s="45" t="s">
        <v>26</v>
      </c>
      <c r="BS46" s="45" t="s">
        <v>12</v>
      </c>
      <c r="BT46" s="45" t="s">
        <v>104</v>
      </c>
      <c r="BU46" s="45" t="s">
        <v>44</v>
      </c>
      <c r="BV46" s="45" t="s">
        <v>29</v>
      </c>
      <c r="BW46" s="45" t="s">
        <v>46</v>
      </c>
      <c r="BX46" s="45" t="s">
        <v>54</v>
      </c>
      <c r="BY46" s="45" t="s">
        <v>29</v>
      </c>
      <c r="BZ46" s="45" t="s">
        <v>43</v>
      </c>
      <c r="CA46" s="45" t="s">
        <v>120</v>
      </c>
      <c r="CB46" s="45" t="s">
        <v>120</v>
      </c>
      <c r="CC46" s="45" t="s">
        <v>63</v>
      </c>
      <c r="CD46" s="45" t="s">
        <v>121</v>
      </c>
      <c r="CE46" s="45" t="s">
        <v>89</v>
      </c>
      <c r="CF46" s="45" t="s">
        <v>48</v>
      </c>
      <c r="CG46" s="45" t="s">
        <v>128</v>
      </c>
      <c r="CH46" s="45" t="s">
        <v>116</v>
      </c>
      <c r="CI46" s="45" t="s">
        <v>58</v>
      </c>
      <c r="CJ46" s="45" t="s">
        <v>58</v>
      </c>
      <c r="CK46" s="45" t="s">
        <v>133</v>
      </c>
      <c r="CL46" s="45" t="s">
        <v>26</v>
      </c>
      <c r="CM46" s="45" t="s">
        <v>36</v>
      </c>
      <c r="CN46" s="45" t="s">
        <v>63</v>
      </c>
      <c r="CO46" s="45" t="s">
        <v>94</v>
      </c>
      <c r="CP46" s="45" t="s">
        <v>55</v>
      </c>
      <c r="CQ46" s="45" t="s">
        <v>143</v>
      </c>
      <c r="CR46" s="45" t="s">
        <v>25</v>
      </c>
      <c r="CS46" s="45" t="s">
        <v>25</v>
      </c>
      <c r="CT46" s="45" t="s">
        <v>33</v>
      </c>
      <c r="CU46" s="45" t="s">
        <v>64</v>
      </c>
      <c r="CV46" s="45" t="s">
        <v>84</v>
      </c>
      <c r="CW46" s="45" t="s">
        <v>115</v>
      </c>
      <c r="CX46" s="45" t="s">
        <v>36</v>
      </c>
      <c r="CY46" s="45" t="s">
        <v>13</v>
      </c>
      <c r="CZ46" s="45" t="s">
        <v>77</v>
      </c>
      <c r="DA46" s="45" t="s">
        <v>77</v>
      </c>
      <c r="DB46" s="45" t="s">
        <v>121</v>
      </c>
      <c r="DC46" s="45" t="s">
        <v>34</v>
      </c>
      <c r="DD46" s="45" t="s">
        <v>43</v>
      </c>
      <c r="DE46" s="45" t="s">
        <v>77</v>
      </c>
      <c r="DF46" s="45" t="s">
        <v>12</v>
      </c>
      <c r="DG46" s="45" t="s">
        <v>143</v>
      </c>
      <c r="DH46" s="45" t="s">
        <v>143</v>
      </c>
      <c r="DI46" s="45" t="s">
        <v>77</v>
      </c>
      <c r="DJ46" s="45" t="s">
        <v>77</v>
      </c>
      <c r="DK46" s="45" t="s">
        <v>143</v>
      </c>
      <c r="DL46" s="45" t="s">
        <v>143</v>
      </c>
      <c r="DM46" s="45" t="s">
        <v>26</v>
      </c>
      <c r="DN46" s="45" t="s">
        <v>95</v>
      </c>
      <c r="DO46" s="45" t="s">
        <v>94</v>
      </c>
      <c r="DP46" s="45" t="s">
        <v>26</v>
      </c>
      <c r="DQ46" s="45" t="s">
        <v>131</v>
      </c>
      <c r="DR46" s="45" t="s">
        <v>51</v>
      </c>
      <c r="DS46" s="45" t="s">
        <v>115</v>
      </c>
      <c r="DT46" s="45" t="s">
        <v>12</v>
      </c>
      <c r="DU46" s="45" t="s">
        <v>120</v>
      </c>
      <c r="DV46" s="45" t="s">
        <v>77</v>
      </c>
      <c r="DW46" s="45" t="s">
        <v>77</v>
      </c>
      <c r="DX46" s="45" t="s">
        <v>153</v>
      </c>
      <c r="DY46" s="45" t="s">
        <v>152</v>
      </c>
      <c r="DZ46" s="45" t="s">
        <v>51</v>
      </c>
      <c r="EA46" s="45" t="s">
        <v>12</v>
      </c>
      <c r="EB46" s="45" t="s">
        <v>133</v>
      </c>
      <c r="EC46" s="45" t="s">
        <v>26</v>
      </c>
      <c r="ED46" s="45" t="s">
        <v>115</v>
      </c>
      <c r="EE46" s="45" t="s">
        <v>153</v>
      </c>
      <c r="EF46" s="45" t="s">
        <v>37</v>
      </c>
      <c r="EG46" s="45" t="s">
        <v>153</v>
      </c>
      <c r="EH46" s="45" t="s">
        <v>67</v>
      </c>
      <c r="EI46" s="45" t="s">
        <v>18</v>
      </c>
      <c r="EJ46" s="45" t="s">
        <v>18</v>
      </c>
    </row>
    <row r="47" customFormat="false" ht="15.75" hidden="false" customHeight="false" outlineLevel="0" collapsed="false">
      <c r="A47" s="249" t="n">
        <v>38</v>
      </c>
      <c r="B47" s="250" t="s">
        <v>110</v>
      </c>
      <c r="C47" s="45" t="s">
        <v>94</v>
      </c>
      <c r="D47" s="45" t="s">
        <v>95</v>
      </c>
      <c r="E47" s="45" t="s">
        <v>94</v>
      </c>
      <c r="F47" s="45" t="s">
        <v>48</v>
      </c>
      <c r="G47" s="45" t="s">
        <v>108</v>
      </c>
      <c r="H47" s="45" t="s">
        <v>121</v>
      </c>
      <c r="I47" s="45" t="s">
        <v>48</v>
      </c>
      <c r="J47" s="45" t="s">
        <v>89</v>
      </c>
      <c r="K47" s="45" t="s">
        <v>13</v>
      </c>
      <c r="L47" s="45" t="s">
        <v>104</v>
      </c>
      <c r="M47" s="45" t="s">
        <v>88</v>
      </c>
      <c r="N47" s="45" t="s">
        <v>47</v>
      </c>
      <c r="O47" s="45" t="s">
        <v>104</v>
      </c>
      <c r="P47" s="45" t="s">
        <v>89</v>
      </c>
      <c r="Q47" s="45" t="s">
        <v>89</v>
      </c>
      <c r="R47" s="45" t="s">
        <v>31</v>
      </c>
      <c r="S47" s="45" t="s">
        <v>108</v>
      </c>
      <c r="T47" s="45" t="s">
        <v>94</v>
      </c>
      <c r="U47" s="45" t="s">
        <v>47</v>
      </c>
      <c r="V47" s="45" t="s">
        <v>95</v>
      </c>
      <c r="W47" s="45" t="s">
        <v>89</v>
      </c>
      <c r="X47" s="45" t="s">
        <v>116</v>
      </c>
      <c r="Y47" s="45" t="s">
        <v>36</v>
      </c>
      <c r="Z47" s="45" t="s">
        <v>44</v>
      </c>
      <c r="AA47" s="45" t="s">
        <v>43</v>
      </c>
      <c r="AB47" s="45" t="s">
        <v>94</v>
      </c>
      <c r="AC47" s="45" t="s">
        <v>31</v>
      </c>
      <c r="AD47" s="45" t="s">
        <v>26</v>
      </c>
      <c r="AE47" s="45" t="s">
        <v>120</v>
      </c>
      <c r="AF47" s="45" t="s">
        <v>121</v>
      </c>
      <c r="AG47" s="45" t="s">
        <v>43</v>
      </c>
      <c r="AH47" s="45" t="s">
        <v>145</v>
      </c>
      <c r="AI47" s="45" t="s">
        <v>34</v>
      </c>
      <c r="AJ47" s="45" t="s">
        <v>142</v>
      </c>
      <c r="AK47" s="45" t="s">
        <v>58</v>
      </c>
      <c r="AL47" s="45" t="s">
        <v>48</v>
      </c>
      <c r="AM47" s="45" t="s">
        <v>48</v>
      </c>
      <c r="AN47" s="45" t="s">
        <v>110</v>
      </c>
      <c r="AO47" s="45" t="s">
        <v>138</v>
      </c>
      <c r="AP47" s="45" t="s">
        <v>36</v>
      </c>
      <c r="AQ47" s="45" t="s">
        <v>143</v>
      </c>
      <c r="AR47" s="45" t="s">
        <v>145</v>
      </c>
      <c r="AS47" s="45" t="s">
        <v>143</v>
      </c>
      <c r="AT47" s="45" t="s">
        <v>145</v>
      </c>
      <c r="AU47" s="45" t="s">
        <v>110</v>
      </c>
      <c r="AV47" s="45" t="s">
        <v>29</v>
      </c>
      <c r="AW47" s="45" t="s">
        <v>18</v>
      </c>
      <c r="AX47" s="45" t="s">
        <v>18</v>
      </c>
      <c r="AY47" s="45" t="s">
        <v>131</v>
      </c>
      <c r="AZ47" s="45" t="s">
        <v>77</v>
      </c>
      <c r="BA47" s="45" t="s">
        <v>145</v>
      </c>
      <c r="BB47" s="45" t="s">
        <v>142</v>
      </c>
      <c r="BC47" s="45" t="s">
        <v>58</v>
      </c>
      <c r="BD47" s="45" t="s">
        <v>116</v>
      </c>
      <c r="BE47" s="45" t="s">
        <v>143</v>
      </c>
      <c r="BF47" s="45" t="s">
        <v>120</v>
      </c>
      <c r="BG47" s="45" t="s">
        <v>25</v>
      </c>
      <c r="BH47" s="45" t="s">
        <v>25</v>
      </c>
      <c r="BI47" s="45" t="s">
        <v>120</v>
      </c>
      <c r="BJ47" s="45" t="s">
        <v>142</v>
      </c>
      <c r="BK47" s="45" t="s">
        <v>14</v>
      </c>
      <c r="BL47" s="45" t="s">
        <v>152</v>
      </c>
      <c r="BM47" s="45" t="s">
        <v>29</v>
      </c>
      <c r="BN47" s="45" t="s">
        <v>110</v>
      </c>
      <c r="BO47" s="45" t="s">
        <v>77</v>
      </c>
      <c r="BP47" s="45" t="s">
        <v>51</v>
      </c>
      <c r="BQ47" s="45" t="s">
        <v>77</v>
      </c>
      <c r="BR47" s="45" t="s">
        <v>14</v>
      </c>
      <c r="BS47" s="45" t="s">
        <v>50</v>
      </c>
      <c r="BT47" s="45" t="s">
        <v>145</v>
      </c>
      <c r="BU47" s="45" t="s">
        <v>12</v>
      </c>
      <c r="BV47" s="45" t="s">
        <v>26</v>
      </c>
      <c r="BW47" s="45" t="s">
        <v>44</v>
      </c>
      <c r="BX47" s="45" t="s">
        <v>58</v>
      </c>
      <c r="BY47" s="45" t="s">
        <v>26</v>
      </c>
      <c r="BZ47" s="45" t="s">
        <v>77</v>
      </c>
      <c r="CA47" s="45" t="s">
        <v>37</v>
      </c>
      <c r="CB47" s="45" t="s">
        <v>153</v>
      </c>
      <c r="CC47" s="45" t="s">
        <v>13</v>
      </c>
      <c r="CD47" s="45" t="s">
        <v>26</v>
      </c>
      <c r="CE47" s="45" t="s">
        <v>77</v>
      </c>
      <c r="CF47" s="45" t="s">
        <v>143</v>
      </c>
      <c r="CG47" s="45" t="s">
        <v>108</v>
      </c>
      <c r="CH47" s="45" t="s">
        <v>51</v>
      </c>
      <c r="CI47" s="45" t="s">
        <v>115</v>
      </c>
      <c r="CJ47" s="45" t="s">
        <v>51</v>
      </c>
      <c r="CK47" s="45" t="s">
        <v>124</v>
      </c>
      <c r="CL47" s="45" t="s">
        <v>138</v>
      </c>
      <c r="CM47" s="45" t="s">
        <v>133</v>
      </c>
      <c r="CN47" s="45" t="s">
        <v>13</v>
      </c>
      <c r="CO47" s="45" t="s">
        <v>25</v>
      </c>
      <c r="CP47" s="45" t="s">
        <v>120</v>
      </c>
      <c r="CQ47" s="45" t="s">
        <v>106</v>
      </c>
      <c r="CR47" s="45" t="s">
        <v>153</v>
      </c>
      <c r="CS47" s="45" t="s">
        <v>153</v>
      </c>
      <c r="CT47" s="45" t="s">
        <v>43</v>
      </c>
      <c r="CU47" s="45" t="s">
        <v>43</v>
      </c>
      <c r="CV47" s="45" t="s">
        <v>152</v>
      </c>
      <c r="CW47" s="45" t="s">
        <v>122</v>
      </c>
      <c r="CX47" s="45" t="s">
        <v>12</v>
      </c>
      <c r="CY47" s="45" t="s">
        <v>51</v>
      </c>
      <c r="CZ47" s="45" t="s">
        <v>119</v>
      </c>
      <c r="DA47" s="45" t="s">
        <v>149</v>
      </c>
      <c r="DB47" s="45" t="s">
        <v>26</v>
      </c>
      <c r="DC47" s="45" t="s">
        <v>26</v>
      </c>
      <c r="DD47" s="45" t="s">
        <v>77</v>
      </c>
      <c r="DE47" s="45" t="s">
        <v>117</v>
      </c>
      <c r="DF47" s="45" t="s">
        <v>124</v>
      </c>
      <c r="DG47" s="45" t="s">
        <v>131</v>
      </c>
      <c r="DH47" s="45" t="s">
        <v>106</v>
      </c>
      <c r="DI47" s="45" t="s">
        <v>117</v>
      </c>
      <c r="DJ47" s="45" t="s">
        <v>117</v>
      </c>
      <c r="DK47" s="45" t="s">
        <v>131</v>
      </c>
      <c r="DL47" s="45" t="s">
        <v>131</v>
      </c>
      <c r="DM47" s="45" t="s">
        <v>14</v>
      </c>
      <c r="DN47" s="45" t="s">
        <v>84</v>
      </c>
      <c r="DO47" s="45" t="s">
        <v>25</v>
      </c>
      <c r="DP47" s="45" t="s">
        <v>14</v>
      </c>
      <c r="DQ47" s="45" t="s">
        <v>20</v>
      </c>
      <c r="DR47" s="45" t="s">
        <v>82</v>
      </c>
      <c r="DS47" s="45" t="s">
        <v>122</v>
      </c>
      <c r="DT47" s="45" t="s">
        <v>149</v>
      </c>
      <c r="DU47" s="45" t="s">
        <v>18</v>
      </c>
      <c r="DV47" s="45" t="s">
        <v>117</v>
      </c>
      <c r="DW47" s="45" t="s">
        <v>117</v>
      </c>
      <c r="DX47" s="45" t="s">
        <v>20</v>
      </c>
      <c r="DY47" s="45" t="s">
        <v>20</v>
      </c>
      <c r="DZ47" s="45" t="s">
        <v>82</v>
      </c>
      <c r="EA47" s="45" t="s">
        <v>50</v>
      </c>
      <c r="EB47" s="45" t="s">
        <v>82</v>
      </c>
      <c r="EC47" s="45" t="s">
        <v>138</v>
      </c>
      <c r="ED47" s="45" t="s">
        <v>122</v>
      </c>
      <c r="EE47" s="45" t="s">
        <v>20</v>
      </c>
      <c r="EF47" s="45" t="s">
        <v>105</v>
      </c>
      <c r="EG47" s="45" t="s">
        <v>105</v>
      </c>
      <c r="EH47" s="45" t="s">
        <v>122</v>
      </c>
      <c r="EI47" s="45" t="s">
        <v>105</v>
      </c>
      <c r="EJ47" s="45" t="s">
        <v>105</v>
      </c>
    </row>
    <row r="48" customFormat="false" ht="15.75" hidden="false" customHeight="false" outlineLevel="0" collapsed="false">
      <c r="A48" s="249" t="n">
        <v>39</v>
      </c>
      <c r="B48" s="250" t="s">
        <v>125</v>
      </c>
      <c r="C48" s="45" t="s">
        <v>74</v>
      </c>
      <c r="D48" s="45" t="s">
        <v>42</v>
      </c>
      <c r="E48" s="45" t="s">
        <v>56</v>
      </c>
      <c r="F48" s="45" t="s">
        <v>80</v>
      </c>
      <c r="G48" s="45" t="s">
        <v>114</v>
      </c>
      <c r="H48" s="45" t="s">
        <v>28</v>
      </c>
      <c r="I48" s="45" t="s">
        <v>80</v>
      </c>
      <c r="J48" s="45" t="s">
        <v>57</v>
      </c>
      <c r="K48" s="45" t="s">
        <v>40</v>
      </c>
      <c r="L48" s="45" t="s">
        <v>61</v>
      </c>
      <c r="M48" s="45" t="s">
        <v>48</v>
      </c>
      <c r="N48" s="45" t="s">
        <v>141</v>
      </c>
      <c r="O48" s="45" t="s">
        <v>141</v>
      </c>
      <c r="P48" s="45" t="s">
        <v>86</v>
      </c>
      <c r="Q48" s="45" t="s">
        <v>86</v>
      </c>
      <c r="R48" s="45" t="s">
        <v>42</v>
      </c>
      <c r="S48" s="45" t="s">
        <v>114</v>
      </c>
      <c r="T48" s="45" t="s">
        <v>59</v>
      </c>
      <c r="U48" s="45" t="s">
        <v>141</v>
      </c>
      <c r="V48" s="45" t="s">
        <v>42</v>
      </c>
      <c r="W48" s="45" t="s">
        <v>86</v>
      </c>
      <c r="X48" s="45" t="s">
        <v>62</v>
      </c>
      <c r="Y48" s="45" t="s">
        <v>139</v>
      </c>
      <c r="Z48" s="45" t="s">
        <v>85</v>
      </c>
      <c r="AA48" s="45" t="s">
        <v>137</v>
      </c>
      <c r="AB48" s="45" t="s">
        <v>59</v>
      </c>
      <c r="AC48" s="45" t="s">
        <v>80</v>
      </c>
      <c r="AD48" s="45" t="s">
        <v>64</v>
      </c>
      <c r="AE48" s="45" t="s">
        <v>151</v>
      </c>
      <c r="AF48" s="45" t="s">
        <v>28</v>
      </c>
      <c r="AG48" s="45" t="s">
        <v>87</v>
      </c>
      <c r="AH48" s="45" t="s">
        <v>96</v>
      </c>
      <c r="AI48" s="45" t="s">
        <v>28</v>
      </c>
      <c r="AJ48" s="45" t="s">
        <v>41</v>
      </c>
      <c r="AK48" s="45" t="s">
        <v>41</v>
      </c>
      <c r="AL48" s="45" t="s">
        <v>80</v>
      </c>
      <c r="AM48" s="45" t="s">
        <v>80</v>
      </c>
      <c r="AN48" s="45" t="s">
        <v>34</v>
      </c>
      <c r="AO48" s="45" t="s">
        <v>43</v>
      </c>
      <c r="AP48" s="45" t="s">
        <v>139</v>
      </c>
      <c r="AQ48" s="45" t="s">
        <v>91</v>
      </c>
      <c r="AR48" s="45" t="s">
        <v>96</v>
      </c>
      <c r="AS48" s="45" t="s">
        <v>96</v>
      </c>
      <c r="AT48" s="45" t="s">
        <v>96</v>
      </c>
      <c r="AU48" s="45" t="s">
        <v>29</v>
      </c>
      <c r="AV48" s="45" t="s">
        <v>125</v>
      </c>
      <c r="AW48" s="45" t="s">
        <v>94</v>
      </c>
      <c r="AX48" s="45" t="s">
        <v>94</v>
      </c>
      <c r="AY48" s="45" t="s">
        <v>47</v>
      </c>
      <c r="AZ48" s="45" t="s">
        <v>144</v>
      </c>
      <c r="BA48" s="45" t="s">
        <v>96</v>
      </c>
      <c r="BB48" s="45" t="s">
        <v>151</v>
      </c>
      <c r="BC48" s="45" t="s">
        <v>41</v>
      </c>
      <c r="BD48" s="45" t="s">
        <v>62</v>
      </c>
      <c r="BE48" s="45" t="s">
        <v>129</v>
      </c>
      <c r="BF48" s="45" t="s">
        <v>150</v>
      </c>
      <c r="BG48" s="45" t="s">
        <v>150</v>
      </c>
      <c r="BH48" s="45" t="s">
        <v>128</v>
      </c>
      <c r="BI48" s="45" t="s">
        <v>111</v>
      </c>
      <c r="BJ48" s="45" t="s">
        <v>151</v>
      </c>
      <c r="BK48" s="45" t="s">
        <v>44</v>
      </c>
      <c r="BL48" s="45" t="s">
        <v>108</v>
      </c>
      <c r="BM48" s="45" t="s">
        <v>137</v>
      </c>
      <c r="BN48" s="45" t="s">
        <v>29</v>
      </c>
      <c r="BO48" s="45" t="s">
        <v>46</v>
      </c>
      <c r="BP48" s="45" t="s">
        <v>147</v>
      </c>
      <c r="BQ48" s="45" t="s">
        <v>63</v>
      </c>
      <c r="BR48" s="45" t="s">
        <v>89</v>
      </c>
      <c r="BS48" s="45" t="s">
        <v>116</v>
      </c>
      <c r="BT48" s="45" t="s">
        <v>64</v>
      </c>
      <c r="BU48" s="45" t="s">
        <v>63</v>
      </c>
      <c r="BV48" s="45" t="s">
        <v>22</v>
      </c>
      <c r="BW48" s="45" t="s">
        <v>85</v>
      </c>
      <c r="BX48" s="45" t="s">
        <v>41</v>
      </c>
      <c r="BY48" s="45" t="s">
        <v>46</v>
      </c>
      <c r="BZ48" s="45" t="s">
        <v>46</v>
      </c>
      <c r="CA48" s="45" t="s">
        <v>31</v>
      </c>
      <c r="CB48" s="45" t="s">
        <v>31</v>
      </c>
      <c r="CC48" s="45" t="s">
        <v>40</v>
      </c>
      <c r="CD48" s="45" t="s">
        <v>33</v>
      </c>
      <c r="CE48" s="45" t="s">
        <v>63</v>
      </c>
      <c r="CF48" s="45" t="s">
        <v>129</v>
      </c>
      <c r="CG48" s="45" t="s">
        <v>114</v>
      </c>
      <c r="CH48" s="45" t="s">
        <v>55</v>
      </c>
      <c r="CI48" s="45" t="s">
        <v>94</v>
      </c>
      <c r="CJ48" s="45" t="s">
        <v>55</v>
      </c>
      <c r="CK48" s="45" t="s">
        <v>58</v>
      </c>
      <c r="CL48" s="45" t="s">
        <v>43</v>
      </c>
      <c r="CM48" s="45" t="s">
        <v>54</v>
      </c>
      <c r="CN48" s="45" t="s">
        <v>40</v>
      </c>
      <c r="CO48" s="45" t="s">
        <v>101</v>
      </c>
      <c r="CP48" s="45" t="s">
        <v>111</v>
      </c>
      <c r="CQ48" s="45" t="s">
        <v>121</v>
      </c>
      <c r="CR48" s="45" t="s">
        <v>48</v>
      </c>
      <c r="CS48" s="45" t="s">
        <v>48</v>
      </c>
      <c r="CT48" s="45" t="s">
        <v>87</v>
      </c>
      <c r="CU48" s="45" t="s">
        <v>87</v>
      </c>
      <c r="CV48" s="45" t="s">
        <v>108</v>
      </c>
      <c r="CW48" s="45" t="s">
        <v>25</v>
      </c>
      <c r="CX48" s="45" t="s">
        <v>54</v>
      </c>
      <c r="CY48" s="45" t="s">
        <v>147</v>
      </c>
      <c r="CZ48" s="45" t="s">
        <v>13</v>
      </c>
      <c r="DA48" s="45" t="s">
        <v>13</v>
      </c>
      <c r="DB48" s="45" t="s">
        <v>64</v>
      </c>
      <c r="DC48" s="45" t="s">
        <v>33</v>
      </c>
      <c r="DD48" s="45" t="s">
        <v>66</v>
      </c>
      <c r="DE48" s="45" t="s">
        <v>44</v>
      </c>
      <c r="DF48" s="45" t="s">
        <v>58</v>
      </c>
      <c r="DG48" s="45" t="s">
        <v>104</v>
      </c>
      <c r="DH48" s="45" t="s">
        <v>121</v>
      </c>
      <c r="DI48" s="45" t="s">
        <v>36</v>
      </c>
      <c r="DJ48" s="45" t="s">
        <v>36</v>
      </c>
      <c r="DK48" s="45" t="s">
        <v>104</v>
      </c>
      <c r="DL48" s="45" t="s">
        <v>47</v>
      </c>
      <c r="DM48" s="45" t="s">
        <v>89</v>
      </c>
      <c r="DN48" s="45" t="s">
        <v>101</v>
      </c>
      <c r="DO48" s="45" t="s">
        <v>150</v>
      </c>
      <c r="DP48" s="45" t="s">
        <v>89</v>
      </c>
      <c r="DQ48" s="45" t="s">
        <v>145</v>
      </c>
      <c r="DR48" s="45" t="s">
        <v>142</v>
      </c>
      <c r="DS48" s="45" t="s">
        <v>120</v>
      </c>
      <c r="DT48" s="45" t="s">
        <v>13</v>
      </c>
      <c r="DU48" s="45" t="s">
        <v>95</v>
      </c>
      <c r="DV48" s="45" t="s">
        <v>44</v>
      </c>
      <c r="DW48" s="45" t="s">
        <v>44</v>
      </c>
      <c r="DX48" s="45" t="s">
        <v>143</v>
      </c>
      <c r="DY48" s="45" t="s">
        <v>143</v>
      </c>
      <c r="DZ48" s="45" t="s">
        <v>142</v>
      </c>
      <c r="EA48" s="45" t="s">
        <v>116</v>
      </c>
      <c r="EB48" s="45" t="s">
        <v>58</v>
      </c>
      <c r="EC48" s="45" t="s">
        <v>43</v>
      </c>
      <c r="ED48" s="45" t="s">
        <v>120</v>
      </c>
      <c r="EE48" s="45" t="s">
        <v>143</v>
      </c>
      <c r="EF48" s="45" t="s">
        <v>84</v>
      </c>
      <c r="EG48" s="45" t="s">
        <v>143</v>
      </c>
      <c r="EH48" s="45" t="s">
        <v>25</v>
      </c>
      <c r="EI48" s="45" t="s">
        <v>25</v>
      </c>
      <c r="EJ48" s="45" t="s">
        <v>84</v>
      </c>
    </row>
    <row r="49" customFormat="false" ht="15.75" hidden="false" customHeight="false" outlineLevel="0" collapsed="false">
      <c r="A49" s="249" t="n">
        <v>40</v>
      </c>
      <c r="B49" s="250" t="s">
        <v>77</v>
      </c>
      <c r="C49" s="45" t="s">
        <v>63</v>
      </c>
      <c r="D49" s="45" t="s">
        <v>63</v>
      </c>
      <c r="E49" s="45" t="s">
        <v>66</v>
      </c>
      <c r="F49" s="45" t="s">
        <v>54</v>
      </c>
      <c r="G49" s="45" t="s">
        <v>147</v>
      </c>
      <c r="H49" s="45" t="s">
        <v>94</v>
      </c>
      <c r="I49" s="45" t="s">
        <v>54</v>
      </c>
      <c r="J49" s="45" t="s">
        <v>48</v>
      </c>
      <c r="K49" s="45" t="s">
        <v>34</v>
      </c>
      <c r="L49" s="45" t="s">
        <v>55</v>
      </c>
      <c r="M49" s="45" t="s">
        <v>133</v>
      </c>
      <c r="N49" s="45" t="s">
        <v>55</v>
      </c>
      <c r="O49" s="45" t="s">
        <v>55</v>
      </c>
      <c r="P49" s="45" t="s">
        <v>48</v>
      </c>
      <c r="Q49" s="45" t="s">
        <v>48</v>
      </c>
      <c r="R49" s="45" t="s">
        <v>126</v>
      </c>
      <c r="S49" s="45" t="s">
        <v>147</v>
      </c>
      <c r="T49" s="45" t="s">
        <v>66</v>
      </c>
      <c r="U49" s="45" t="s">
        <v>55</v>
      </c>
      <c r="V49" s="45" t="s">
        <v>126</v>
      </c>
      <c r="W49" s="45" t="s">
        <v>108</v>
      </c>
      <c r="X49" s="45" t="s">
        <v>29</v>
      </c>
      <c r="Y49" s="45" t="s">
        <v>104</v>
      </c>
      <c r="Z49" s="45" t="s">
        <v>108</v>
      </c>
      <c r="AA49" s="45" t="s">
        <v>95</v>
      </c>
      <c r="AB49" s="45" t="s">
        <v>63</v>
      </c>
      <c r="AC49" s="45" t="s">
        <v>126</v>
      </c>
      <c r="AD49" s="45" t="s">
        <v>120</v>
      </c>
      <c r="AE49" s="45" t="s">
        <v>89</v>
      </c>
      <c r="AF49" s="45" t="s">
        <v>94</v>
      </c>
      <c r="AG49" s="45" t="s">
        <v>31</v>
      </c>
      <c r="AH49" s="45" t="s">
        <v>142</v>
      </c>
      <c r="AI49" s="45" t="s">
        <v>94</v>
      </c>
      <c r="AJ49" s="45" t="s">
        <v>43</v>
      </c>
      <c r="AK49" s="45" t="s">
        <v>43</v>
      </c>
      <c r="AL49" s="45" t="s">
        <v>54</v>
      </c>
      <c r="AM49" s="45" t="s">
        <v>54</v>
      </c>
      <c r="AN49" s="45" t="s">
        <v>67</v>
      </c>
      <c r="AO49" s="45" t="s">
        <v>37</v>
      </c>
      <c r="AP49" s="45" t="s">
        <v>104</v>
      </c>
      <c r="AQ49" s="45" t="s">
        <v>58</v>
      </c>
      <c r="AR49" s="45" t="s">
        <v>120</v>
      </c>
      <c r="AS49" s="45" t="s">
        <v>142</v>
      </c>
      <c r="AT49" s="45" t="s">
        <v>142</v>
      </c>
      <c r="AU49" s="45" t="s">
        <v>18</v>
      </c>
      <c r="AV49" s="45" t="s">
        <v>94</v>
      </c>
      <c r="AW49" s="45" t="s">
        <v>77</v>
      </c>
      <c r="AX49" s="45" t="s">
        <v>77</v>
      </c>
      <c r="AY49" s="45" t="s">
        <v>51</v>
      </c>
      <c r="AZ49" s="45" t="s">
        <v>143</v>
      </c>
      <c r="BA49" s="45" t="s">
        <v>120</v>
      </c>
      <c r="BB49" s="45" t="s">
        <v>89</v>
      </c>
      <c r="BC49" s="45" t="s">
        <v>43</v>
      </c>
      <c r="BD49" s="45" t="s">
        <v>29</v>
      </c>
      <c r="BE49" s="45" t="s">
        <v>58</v>
      </c>
      <c r="BF49" s="45" t="s">
        <v>44</v>
      </c>
      <c r="BG49" s="45" t="s">
        <v>36</v>
      </c>
      <c r="BH49" s="45" t="s">
        <v>13</v>
      </c>
      <c r="BI49" s="45" t="s">
        <v>44</v>
      </c>
      <c r="BJ49" s="45" t="s">
        <v>89</v>
      </c>
      <c r="BK49" s="45" t="s">
        <v>152</v>
      </c>
      <c r="BL49" s="45" t="s">
        <v>51</v>
      </c>
      <c r="BM49" s="45" t="s">
        <v>94</v>
      </c>
      <c r="BN49" s="45" t="s">
        <v>18</v>
      </c>
      <c r="BO49" s="45" t="s">
        <v>84</v>
      </c>
      <c r="BP49" s="45" t="s">
        <v>26</v>
      </c>
      <c r="BQ49" s="45" t="s">
        <v>143</v>
      </c>
      <c r="BR49" s="45" t="s">
        <v>153</v>
      </c>
      <c r="BS49" s="45" t="s">
        <v>110</v>
      </c>
      <c r="BT49" s="45" t="s">
        <v>120</v>
      </c>
      <c r="BU49" s="45" t="s">
        <v>145</v>
      </c>
      <c r="BV49" s="45" t="s">
        <v>25</v>
      </c>
      <c r="BW49" s="45" t="s">
        <v>47</v>
      </c>
      <c r="BX49" s="45" t="s">
        <v>43</v>
      </c>
      <c r="BY49" s="45" t="s">
        <v>25</v>
      </c>
      <c r="BZ49" s="45" t="s">
        <v>84</v>
      </c>
      <c r="CA49" s="45" t="s">
        <v>12</v>
      </c>
      <c r="CB49" s="45" t="s">
        <v>12</v>
      </c>
      <c r="CC49" s="45" t="s">
        <v>78</v>
      </c>
      <c r="CD49" s="45" t="s">
        <v>25</v>
      </c>
      <c r="CE49" s="45" t="s">
        <v>143</v>
      </c>
      <c r="CF49" s="45" t="s">
        <v>58</v>
      </c>
      <c r="CG49" s="45" t="s">
        <v>147</v>
      </c>
      <c r="CH49" s="45" t="s">
        <v>26</v>
      </c>
      <c r="CI49" s="45" t="s">
        <v>77</v>
      </c>
      <c r="CJ49" s="45" t="s">
        <v>77</v>
      </c>
      <c r="CK49" s="45" t="s">
        <v>138</v>
      </c>
      <c r="CL49" s="45" t="s">
        <v>153</v>
      </c>
      <c r="CM49" s="45" t="s">
        <v>26</v>
      </c>
      <c r="CN49" s="45" t="s">
        <v>121</v>
      </c>
      <c r="CO49" s="45" t="s">
        <v>13</v>
      </c>
      <c r="CP49" s="45" t="s">
        <v>44</v>
      </c>
      <c r="CQ49" s="45" t="s">
        <v>115</v>
      </c>
      <c r="CR49" s="45" t="s">
        <v>12</v>
      </c>
      <c r="CS49" s="45" t="s">
        <v>133</v>
      </c>
      <c r="CT49" s="45" t="s">
        <v>48</v>
      </c>
      <c r="CU49" s="45" t="s">
        <v>31</v>
      </c>
      <c r="CV49" s="45" t="s">
        <v>51</v>
      </c>
      <c r="CW49" s="45" t="s">
        <v>117</v>
      </c>
      <c r="CX49" s="45" t="s">
        <v>145</v>
      </c>
      <c r="CY49" s="45" t="s">
        <v>26</v>
      </c>
      <c r="CZ49" s="45" t="s">
        <v>106</v>
      </c>
      <c r="DA49" s="45" t="s">
        <v>106</v>
      </c>
      <c r="DB49" s="45" t="s">
        <v>120</v>
      </c>
      <c r="DC49" s="45" t="s">
        <v>25</v>
      </c>
      <c r="DD49" s="45" t="s">
        <v>143</v>
      </c>
      <c r="DE49" s="45" t="s">
        <v>131</v>
      </c>
      <c r="DF49" s="45" t="s">
        <v>138</v>
      </c>
      <c r="DG49" s="45" t="s">
        <v>51</v>
      </c>
      <c r="DH49" s="45" t="s">
        <v>115</v>
      </c>
      <c r="DI49" s="45" t="s">
        <v>131</v>
      </c>
      <c r="DJ49" s="45" t="s">
        <v>131</v>
      </c>
      <c r="DK49" s="45" t="s">
        <v>115</v>
      </c>
      <c r="DL49" s="45" t="s">
        <v>51</v>
      </c>
      <c r="DM49" s="45" t="s">
        <v>152</v>
      </c>
      <c r="DN49" s="45" t="s">
        <v>13</v>
      </c>
      <c r="DO49" s="45" t="s">
        <v>36</v>
      </c>
      <c r="DP49" s="45" t="s">
        <v>88</v>
      </c>
      <c r="DQ49" s="45" t="s">
        <v>99</v>
      </c>
      <c r="DR49" s="45" t="s">
        <v>14</v>
      </c>
      <c r="DS49" s="45" t="s">
        <v>117</v>
      </c>
      <c r="DT49" s="45" t="s">
        <v>110</v>
      </c>
      <c r="DU49" s="45" t="s">
        <v>12</v>
      </c>
      <c r="DV49" s="45" t="s">
        <v>131</v>
      </c>
      <c r="DW49" s="45" t="s">
        <v>131</v>
      </c>
      <c r="DX49" s="45" t="s">
        <v>124</v>
      </c>
      <c r="DY49" s="45" t="s">
        <v>82</v>
      </c>
      <c r="DZ49" s="45" t="s">
        <v>138</v>
      </c>
      <c r="EA49" s="45" t="s">
        <v>110</v>
      </c>
      <c r="EB49" s="45" t="s">
        <v>138</v>
      </c>
      <c r="EC49" s="45" t="s">
        <v>153</v>
      </c>
      <c r="ED49" s="45" t="s">
        <v>117</v>
      </c>
      <c r="EE49" s="45" t="s">
        <v>124</v>
      </c>
      <c r="EF49" s="45" t="s">
        <v>50</v>
      </c>
      <c r="EG49" s="45" t="s">
        <v>50</v>
      </c>
      <c r="EH49" s="45" t="s">
        <v>117</v>
      </c>
      <c r="EI49" s="45" t="s">
        <v>149</v>
      </c>
      <c r="EJ49" s="45" t="s">
        <v>149</v>
      </c>
    </row>
    <row r="50" customFormat="false" ht="15.75" hidden="false" customHeight="false" outlineLevel="0" collapsed="false">
      <c r="A50" s="249" t="n">
        <v>40</v>
      </c>
      <c r="B50" s="250" t="s">
        <v>78</v>
      </c>
      <c r="C50" s="45" t="s">
        <v>63</v>
      </c>
      <c r="D50" s="45" t="s">
        <v>126</v>
      </c>
      <c r="E50" s="45" t="s">
        <v>66</v>
      </c>
      <c r="F50" s="45" t="s">
        <v>54</v>
      </c>
      <c r="G50" s="45" t="s">
        <v>147</v>
      </c>
      <c r="H50" s="45" t="s">
        <v>94</v>
      </c>
      <c r="I50" s="45" t="s">
        <v>147</v>
      </c>
      <c r="J50" s="45" t="s">
        <v>48</v>
      </c>
      <c r="K50" s="45" t="s">
        <v>34</v>
      </c>
      <c r="L50" s="45" t="s">
        <v>94</v>
      </c>
      <c r="M50" s="45" t="s">
        <v>51</v>
      </c>
      <c r="N50" s="45" t="s">
        <v>55</v>
      </c>
      <c r="O50" s="45" t="s">
        <v>55</v>
      </c>
      <c r="P50" s="45" t="s">
        <v>108</v>
      </c>
      <c r="Q50" s="45" t="s">
        <v>108</v>
      </c>
      <c r="R50" s="45" t="s">
        <v>126</v>
      </c>
      <c r="S50" s="45" t="s">
        <v>55</v>
      </c>
      <c r="T50" s="45" t="s">
        <v>63</v>
      </c>
      <c r="U50" s="45" t="s">
        <v>55</v>
      </c>
      <c r="V50" s="45" t="s">
        <v>126</v>
      </c>
      <c r="W50" s="45" t="s">
        <v>108</v>
      </c>
      <c r="X50" s="45" t="s">
        <v>43</v>
      </c>
      <c r="Y50" s="45" t="s">
        <v>121</v>
      </c>
      <c r="Z50" s="45" t="s">
        <v>47</v>
      </c>
      <c r="AA50" s="45" t="s">
        <v>31</v>
      </c>
      <c r="AB50" s="45" t="s">
        <v>63</v>
      </c>
      <c r="AC50" s="45" t="s">
        <v>54</v>
      </c>
      <c r="AD50" s="45" t="s">
        <v>120</v>
      </c>
      <c r="AE50" s="45" t="s">
        <v>44</v>
      </c>
      <c r="AF50" s="45" t="s">
        <v>94</v>
      </c>
      <c r="AG50" s="45" t="s">
        <v>31</v>
      </c>
      <c r="AH50" s="45" t="s">
        <v>142</v>
      </c>
      <c r="AI50" s="45" t="s">
        <v>94</v>
      </c>
      <c r="AJ50" s="45" t="s">
        <v>89</v>
      </c>
      <c r="AK50" s="45" t="s">
        <v>43</v>
      </c>
      <c r="AL50" s="45" t="s">
        <v>54</v>
      </c>
      <c r="AM50" s="45" t="s">
        <v>54</v>
      </c>
      <c r="AN50" s="45" t="s">
        <v>18</v>
      </c>
      <c r="AO50" s="45" t="s">
        <v>153</v>
      </c>
      <c r="AP50" s="45" t="s">
        <v>104</v>
      </c>
      <c r="AQ50" s="45" t="s">
        <v>142</v>
      </c>
      <c r="AR50" s="45" t="s">
        <v>120</v>
      </c>
      <c r="AS50" s="45" t="s">
        <v>142</v>
      </c>
      <c r="AT50" s="45" t="s">
        <v>120</v>
      </c>
      <c r="AU50" s="45" t="s">
        <v>18</v>
      </c>
      <c r="AV50" s="45" t="s">
        <v>94</v>
      </c>
      <c r="AW50" s="45" t="s">
        <v>77</v>
      </c>
      <c r="AX50" s="45" t="s">
        <v>78</v>
      </c>
      <c r="AY50" s="45" t="s">
        <v>51</v>
      </c>
      <c r="AZ50" s="45" t="s">
        <v>143</v>
      </c>
      <c r="BA50" s="45" t="s">
        <v>120</v>
      </c>
      <c r="BB50" s="45" t="s">
        <v>89</v>
      </c>
      <c r="BC50" s="45" t="s">
        <v>43</v>
      </c>
      <c r="BD50" s="45" t="s">
        <v>29</v>
      </c>
      <c r="BE50" s="45" t="s">
        <v>58</v>
      </c>
      <c r="BF50" s="45" t="s">
        <v>36</v>
      </c>
      <c r="BG50" s="45" t="s">
        <v>36</v>
      </c>
      <c r="BH50" s="45" t="s">
        <v>13</v>
      </c>
      <c r="BI50" s="45" t="s">
        <v>44</v>
      </c>
      <c r="BJ50" s="45" t="s">
        <v>89</v>
      </c>
      <c r="BK50" s="45" t="s">
        <v>131</v>
      </c>
      <c r="BL50" s="45" t="s">
        <v>51</v>
      </c>
      <c r="BM50" s="45" t="s">
        <v>95</v>
      </c>
      <c r="BN50" s="45" t="s">
        <v>18</v>
      </c>
      <c r="BO50" s="45" t="s">
        <v>143</v>
      </c>
      <c r="BP50" s="45" t="s">
        <v>26</v>
      </c>
      <c r="BQ50" s="45" t="s">
        <v>143</v>
      </c>
      <c r="BR50" s="45" t="s">
        <v>88</v>
      </c>
      <c r="BS50" s="45" t="s">
        <v>138</v>
      </c>
      <c r="BT50" s="45" t="s">
        <v>120</v>
      </c>
      <c r="BU50" s="45" t="s">
        <v>145</v>
      </c>
      <c r="BV50" s="45" t="s">
        <v>25</v>
      </c>
      <c r="BW50" s="45" t="s">
        <v>47</v>
      </c>
      <c r="BX50" s="45" t="s">
        <v>43</v>
      </c>
      <c r="BY50" s="45" t="s">
        <v>84</v>
      </c>
      <c r="BZ50" s="45" t="s">
        <v>84</v>
      </c>
      <c r="CA50" s="45" t="s">
        <v>12</v>
      </c>
      <c r="CB50" s="45" t="s">
        <v>12</v>
      </c>
      <c r="CC50" s="45" t="s">
        <v>29</v>
      </c>
      <c r="CD50" s="45" t="s">
        <v>25</v>
      </c>
      <c r="CE50" s="45" t="s">
        <v>145</v>
      </c>
      <c r="CF50" s="45" t="s">
        <v>58</v>
      </c>
      <c r="CG50" s="45" t="s">
        <v>147</v>
      </c>
      <c r="CH50" s="45" t="s">
        <v>26</v>
      </c>
      <c r="CI50" s="45" t="s">
        <v>77</v>
      </c>
      <c r="CJ50" s="45" t="s">
        <v>77</v>
      </c>
      <c r="CK50" s="45" t="s">
        <v>138</v>
      </c>
      <c r="CL50" s="45" t="s">
        <v>153</v>
      </c>
      <c r="CM50" s="45" t="s">
        <v>26</v>
      </c>
      <c r="CN50" s="45" t="s">
        <v>34</v>
      </c>
      <c r="CO50" s="45" t="s">
        <v>13</v>
      </c>
      <c r="CP50" s="45" t="s">
        <v>44</v>
      </c>
      <c r="CQ50" s="45" t="s">
        <v>115</v>
      </c>
      <c r="CR50" s="45" t="s">
        <v>133</v>
      </c>
      <c r="CS50" s="45" t="s">
        <v>133</v>
      </c>
      <c r="CT50" s="45" t="s">
        <v>48</v>
      </c>
      <c r="CU50" s="45" t="s">
        <v>48</v>
      </c>
      <c r="CV50" s="45" t="s">
        <v>51</v>
      </c>
      <c r="CW50" s="45" t="s">
        <v>117</v>
      </c>
      <c r="CX50" s="45" t="s">
        <v>26</v>
      </c>
      <c r="CY50" s="45" t="s">
        <v>26</v>
      </c>
      <c r="CZ50" s="45" t="s">
        <v>106</v>
      </c>
      <c r="DA50" s="45" t="s">
        <v>110</v>
      </c>
      <c r="DB50" s="45" t="s">
        <v>25</v>
      </c>
      <c r="DC50" s="45" t="s">
        <v>25</v>
      </c>
      <c r="DD50" s="45" t="s">
        <v>143</v>
      </c>
      <c r="DE50" s="45" t="s">
        <v>131</v>
      </c>
      <c r="DF50" s="45" t="s">
        <v>138</v>
      </c>
      <c r="DG50" s="45" t="s">
        <v>115</v>
      </c>
      <c r="DH50" s="45" t="s">
        <v>67</v>
      </c>
      <c r="DI50" s="45" t="s">
        <v>131</v>
      </c>
      <c r="DJ50" s="45" t="s">
        <v>106</v>
      </c>
      <c r="DK50" s="45" t="s">
        <v>115</v>
      </c>
      <c r="DL50" s="45" t="s">
        <v>51</v>
      </c>
      <c r="DM50" s="45" t="s">
        <v>152</v>
      </c>
      <c r="DN50" s="45" t="s">
        <v>116</v>
      </c>
      <c r="DO50" s="45" t="s">
        <v>13</v>
      </c>
      <c r="DP50" s="45" t="s">
        <v>152</v>
      </c>
      <c r="DQ50" s="45" t="s">
        <v>99</v>
      </c>
      <c r="DR50" s="45" t="s">
        <v>14</v>
      </c>
      <c r="DS50" s="45" t="s">
        <v>117</v>
      </c>
      <c r="DT50" s="45" t="s">
        <v>110</v>
      </c>
      <c r="DU50" s="45" t="s">
        <v>12</v>
      </c>
      <c r="DV50" s="45" t="s">
        <v>131</v>
      </c>
      <c r="DW50" s="45" t="s">
        <v>131</v>
      </c>
      <c r="DX50" s="45" t="s">
        <v>82</v>
      </c>
      <c r="DY50" s="45" t="s">
        <v>82</v>
      </c>
      <c r="DZ50" s="45" t="s">
        <v>14</v>
      </c>
      <c r="EA50" s="45" t="s">
        <v>110</v>
      </c>
      <c r="EB50" s="45" t="s">
        <v>138</v>
      </c>
      <c r="EC50" s="45" t="s">
        <v>153</v>
      </c>
      <c r="ED50" s="45" t="s">
        <v>117</v>
      </c>
      <c r="EE50" s="45" t="s">
        <v>124</v>
      </c>
      <c r="EF50" s="45" t="s">
        <v>50</v>
      </c>
      <c r="EG50" s="45" t="s">
        <v>124</v>
      </c>
      <c r="EH50" s="45" t="s">
        <v>119</v>
      </c>
      <c r="EI50" s="45" t="s">
        <v>149</v>
      </c>
      <c r="EJ50" s="45" t="s">
        <v>50</v>
      </c>
    </row>
    <row r="51" customFormat="false" ht="15.75" hidden="false" customHeight="false" outlineLevel="0" collapsed="false">
      <c r="A51" s="249" t="n">
        <v>41</v>
      </c>
      <c r="B51" s="250" t="s">
        <v>37</v>
      </c>
      <c r="C51" s="45" t="s">
        <v>55</v>
      </c>
      <c r="D51" s="45" t="s">
        <v>55</v>
      </c>
      <c r="E51" s="45" t="s">
        <v>147</v>
      </c>
      <c r="F51" s="45" t="s">
        <v>94</v>
      </c>
      <c r="G51" s="45" t="s">
        <v>94</v>
      </c>
      <c r="H51" s="45" t="s">
        <v>108</v>
      </c>
      <c r="I51" s="45" t="s">
        <v>94</v>
      </c>
      <c r="J51" s="45" t="s">
        <v>34</v>
      </c>
      <c r="K51" s="45" t="s">
        <v>44</v>
      </c>
      <c r="L51" s="45" t="s">
        <v>48</v>
      </c>
      <c r="M51" s="45" t="s">
        <v>18</v>
      </c>
      <c r="N51" s="45" t="s">
        <v>31</v>
      </c>
      <c r="O51" s="45" t="s">
        <v>48</v>
      </c>
      <c r="P51" s="45" t="s">
        <v>29</v>
      </c>
      <c r="Q51" s="45" t="s">
        <v>29</v>
      </c>
      <c r="R51" s="45" t="s">
        <v>55</v>
      </c>
      <c r="S51" s="45" t="s">
        <v>95</v>
      </c>
      <c r="T51" s="45" t="s">
        <v>147</v>
      </c>
      <c r="U51" s="45" t="s">
        <v>31</v>
      </c>
      <c r="V51" s="45" t="s">
        <v>55</v>
      </c>
      <c r="W51" s="45" t="s">
        <v>29</v>
      </c>
      <c r="X51" s="45" t="s">
        <v>44</v>
      </c>
      <c r="Y51" s="45" t="s">
        <v>89</v>
      </c>
      <c r="Z51" s="45" t="s">
        <v>43</v>
      </c>
      <c r="AA51" s="45" t="s">
        <v>104</v>
      </c>
      <c r="AB51" s="45" t="s">
        <v>55</v>
      </c>
      <c r="AC51" s="45" t="s">
        <v>94</v>
      </c>
      <c r="AD51" s="45" t="s">
        <v>143</v>
      </c>
      <c r="AE51" s="45" t="s">
        <v>116</v>
      </c>
      <c r="AF51" s="45" t="s">
        <v>48</v>
      </c>
      <c r="AG51" s="45" t="s">
        <v>104</v>
      </c>
      <c r="AH51" s="45" t="s">
        <v>84</v>
      </c>
      <c r="AI51" s="45" t="s">
        <v>108</v>
      </c>
      <c r="AJ51" s="45" t="s">
        <v>13</v>
      </c>
      <c r="AK51" s="45" t="s">
        <v>13</v>
      </c>
      <c r="AL51" s="45" t="s">
        <v>94</v>
      </c>
      <c r="AM51" s="45" t="s">
        <v>94</v>
      </c>
      <c r="AN51" s="45" t="s">
        <v>152</v>
      </c>
      <c r="AO51" s="45" t="s">
        <v>131</v>
      </c>
      <c r="AP51" s="45" t="s">
        <v>43</v>
      </c>
      <c r="AQ51" s="45" t="s">
        <v>25</v>
      </c>
      <c r="AR51" s="45" t="s">
        <v>143</v>
      </c>
      <c r="AS51" s="45" t="s">
        <v>25</v>
      </c>
      <c r="AT51" s="45" t="s">
        <v>84</v>
      </c>
      <c r="AU51" s="45" t="s">
        <v>131</v>
      </c>
      <c r="AV51" s="45" t="s">
        <v>47</v>
      </c>
      <c r="AW51" s="45" t="s">
        <v>51</v>
      </c>
      <c r="AX51" s="45" t="s">
        <v>51</v>
      </c>
      <c r="AY51" s="45" t="s">
        <v>37</v>
      </c>
      <c r="AZ51" s="45" t="s">
        <v>26</v>
      </c>
      <c r="BA51" s="45" t="s">
        <v>84</v>
      </c>
      <c r="BB51" s="45" t="s">
        <v>13</v>
      </c>
      <c r="BC51" s="45" t="s">
        <v>36</v>
      </c>
      <c r="BD51" s="45" t="s">
        <v>44</v>
      </c>
      <c r="BE51" s="45" t="s">
        <v>25</v>
      </c>
      <c r="BF51" s="45" t="s">
        <v>58</v>
      </c>
      <c r="BG51" s="45" t="s">
        <v>142</v>
      </c>
      <c r="BH51" s="45" t="s">
        <v>142</v>
      </c>
      <c r="BI51" s="45" t="s">
        <v>58</v>
      </c>
      <c r="BJ51" s="45" t="s">
        <v>116</v>
      </c>
      <c r="BK51" s="45" t="s">
        <v>138</v>
      </c>
      <c r="BL51" s="45" t="s">
        <v>18</v>
      </c>
      <c r="BM51" s="45" t="s">
        <v>47</v>
      </c>
      <c r="BN51" s="45" t="s">
        <v>131</v>
      </c>
      <c r="BO51" s="45" t="s">
        <v>26</v>
      </c>
      <c r="BP51" s="45" t="s">
        <v>77</v>
      </c>
      <c r="BQ51" s="45" t="s">
        <v>26</v>
      </c>
      <c r="BR51" s="45" t="s">
        <v>110</v>
      </c>
      <c r="BS51" s="45" t="s">
        <v>117</v>
      </c>
      <c r="BT51" s="45" t="s">
        <v>143</v>
      </c>
      <c r="BU51" s="45" t="s">
        <v>77</v>
      </c>
      <c r="BV51" s="45" t="s">
        <v>145</v>
      </c>
      <c r="BW51" s="45" t="s">
        <v>43</v>
      </c>
      <c r="BX51" s="45" t="s">
        <v>36</v>
      </c>
      <c r="BY51" s="45" t="s">
        <v>145</v>
      </c>
      <c r="BZ51" s="45" t="s">
        <v>145</v>
      </c>
      <c r="CA51" s="45" t="s">
        <v>115</v>
      </c>
      <c r="CB51" s="45" t="s">
        <v>115</v>
      </c>
      <c r="CC51" s="45" t="s">
        <v>44</v>
      </c>
      <c r="CD51" s="45" t="s">
        <v>143</v>
      </c>
      <c r="CE51" s="45" t="s">
        <v>26</v>
      </c>
      <c r="CF51" s="45" t="s">
        <v>25</v>
      </c>
      <c r="CG51" s="45" t="s">
        <v>94</v>
      </c>
      <c r="CH51" s="45" t="s">
        <v>12</v>
      </c>
      <c r="CI51" s="45" t="s">
        <v>133</v>
      </c>
      <c r="CJ51" s="45" t="s">
        <v>12</v>
      </c>
      <c r="CK51" s="45" t="s">
        <v>117</v>
      </c>
      <c r="CL51" s="45" t="s">
        <v>106</v>
      </c>
      <c r="CM51" s="45" t="s">
        <v>77</v>
      </c>
      <c r="CN51" s="45" t="s">
        <v>89</v>
      </c>
      <c r="CO51" s="45" t="s">
        <v>120</v>
      </c>
      <c r="CP51" s="45" t="s">
        <v>58</v>
      </c>
      <c r="CQ51" s="45" t="s">
        <v>88</v>
      </c>
      <c r="CR51" s="45" t="s">
        <v>115</v>
      </c>
      <c r="CS51" s="45" t="s">
        <v>67</v>
      </c>
      <c r="CT51" s="45" t="s">
        <v>121</v>
      </c>
      <c r="CU51" s="45" t="s">
        <v>121</v>
      </c>
      <c r="CV51" s="45" t="s">
        <v>18</v>
      </c>
      <c r="CW51" s="45" t="s">
        <v>82</v>
      </c>
      <c r="CX51" s="45" t="s">
        <v>77</v>
      </c>
      <c r="CY51" s="45" t="s">
        <v>12</v>
      </c>
      <c r="CZ51" s="45" t="s">
        <v>14</v>
      </c>
      <c r="DA51" s="45" t="s">
        <v>14</v>
      </c>
      <c r="DB51" s="45" t="s">
        <v>143</v>
      </c>
      <c r="DC51" s="45" t="s">
        <v>145</v>
      </c>
      <c r="DD51" s="45" t="s">
        <v>26</v>
      </c>
      <c r="DE51" s="45" t="s">
        <v>138</v>
      </c>
      <c r="DF51" s="45" t="s">
        <v>117</v>
      </c>
      <c r="DG51" s="45" t="s">
        <v>153</v>
      </c>
      <c r="DH51" s="45" t="s">
        <v>152</v>
      </c>
      <c r="DI51" s="45" t="s">
        <v>138</v>
      </c>
      <c r="DJ51" s="45" t="s">
        <v>14</v>
      </c>
      <c r="DK51" s="45" t="s">
        <v>153</v>
      </c>
      <c r="DL51" s="45" t="s">
        <v>153</v>
      </c>
      <c r="DM51" s="45" t="s">
        <v>110</v>
      </c>
      <c r="DN51" s="45" t="s">
        <v>120</v>
      </c>
      <c r="DO51" s="45" t="s">
        <v>142</v>
      </c>
      <c r="DP51" s="45" t="s">
        <v>110</v>
      </c>
      <c r="DQ51" s="45" t="s">
        <v>105</v>
      </c>
      <c r="DR51" s="45" t="s">
        <v>149</v>
      </c>
      <c r="DS51" s="45" t="s">
        <v>124</v>
      </c>
      <c r="DT51" s="45" t="s">
        <v>14</v>
      </c>
      <c r="DU51" s="45" t="s">
        <v>51</v>
      </c>
      <c r="DV51" s="45" t="s">
        <v>138</v>
      </c>
      <c r="DW51" s="45" t="s">
        <v>138</v>
      </c>
      <c r="DX51" s="45" t="s">
        <v>122</v>
      </c>
      <c r="DY51" s="45" t="s">
        <v>105</v>
      </c>
      <c r="DZ51" s="45" t="s">
        <v>149</v>
      </c>
      <c r="EA51" s="45" t="s">
        <v>117</v>
      </c>
      <c r="EB51" s="45" t="s">
        <v>119</v>
      </c>
      <c r="EC51" s="45" t="s">
        <v>106</v>
      </c>
      <c r="ED51" s="45" t="s">
        <v>82</v>
      </c>
      <c r="EE51" s="45" t="s">
        <v>122</v>
      </c>
      <c r="EF51" s="45" t="s">
        <v>122</v>
      </c>
      <c r="EG51" s="45" t="s">
        <v>122</v>
      </c>
      <c r="EH51" s="45" t="s">
        <v>82</v>
      </c>
      <c r="EI51" s="45" t="s">
        <v>99</v>
      </c>
      <c r="EJ51" s="45" t="s">
        <v>122</v>
      </c>
    </row>
    <row r="52" customFormat="false" ht="15.75" hidden="false" customHeight="false" outlineLevel="0" collapsed="false">
      <c r="A52" s="249" t="n">
        <v>42</v>
      </c>
      <c r="B52" s="250" t="s">
        <v>13</v>
      </c>
      <c r="C52" s="45" t="s">
        <v>129</v>
      </c>
      <c r="D52" s="45" t="s">
        <v>129</v>
      </c>
      <c r="E52" s="45" t="s">
        <v>101</v>
      </c>
      <c r="F52" s="45" t="s">
        <v>96</v>
      </c>
      <c r="G52" s="45" t="s">
        <v>64</v>
      </c>
      <c r="H52" s="45" t="s">
        <v>46</v>
      </c>
      <c r="I52" s="45" t="s">
        <v>96</v>
      </c>
      <c r="J52" s="45" t="s">
        <v>126</v>
      </c>
      <c r="K52" s="45" t="s">
        <v>55</v>
      </c>
      <c r="L52" s="45" t="s">
        <v>22</v>
      </c>
      <c r="M52" s="45" t="s">
        <v>145</v>
      </c>
      <c r="N52" s="45" t="s">
        <v>33</v>
      </c>
      <c r="O52" s="45" t="s">
        <v>33</v>
      </c>
      <c r="P52" s="45" t="s">
        <v>126</v>
      </c>
      <c r="Q52" s="45" t="s">
        <v>126</v>
      </c>
      <c r="R52" s="45" t="s">
        <v>91</v>
      </c>
      <c r="S52" s="45" t="s">
        <v>64</v>
      </c>
      <c r="T52" s="45" t="s">
        <v>129</v>
      </c>
      <c r="U52" s="45" t="s">
        <v>64</v>
      </c>
      <c r="V52" s="45" t="s">
        <v>91</v>
      </c>
      <c r="W52" s="45" t="s">
        <v>54</v>
      </c>
      <c r="X52" s="45" t="s">
        <v>94</v>
      </c>
      <c r="Y52" s="45" t="s">
        <v>55</v>
      </c>
      <c r="Z52" s="45" t="s">
        <v>54</v>
      </c>
      <c r="AA52" s="45" t="s">
        <v>66</v>
      </c>
      <c r="AB52" s="45" t="s">
        <v>129</v>
      </c>
      <c r="AC52" s="45" t="s">
        <v>96</v>
      </c>
      <c r="AD52" s="45" t="s">
        <v>89</v>
      </c>
      <c r="AE52" s="45" t="s">
        <v>48</v>
      </c>
      <c r="AF52" s="45" t="s">
        <v>46</v>
      </c>
      <c r="AG52" s="45" t="s">
        <v>63</v>
      </c>
      <c r="AH52" s="45" t="s">
        <v>43</v>
      </c>
      <c r="AI52" s="45" t="s">
        <v>46</v>
      </c>
      <c r="AJ52" s="45" t="s">
        <v>95</v>
      </c>
      <c r="AK52" s="45" t="s">
        <v>94</v>
      </c>
      <c r="AL52" s="45" t="s">
        <v>96</v>
      </c>
      <c r="AM52" s="45" t="s">
        <v>96</v>
      </c>
      <c r="AN52" s="45" t="s">
        <v>77</v>
      </c>
      <c r="AO52" s="45" t="s">
        <v>77</v>
      </c>
      <c r="AP52" s="45" t="s">
        <v>147</v>
      </c>
      <c r="AQ52" s="45" t="s">
        <v>29</v>
      </c>
      <c r="AR52" s="45" t="s">
        <v>43</v>
      </c>
      <c r="AS52" s="45" t="s">
        <v>43</v>
      </c>
      <c r="AT52" s="45" t="s">
        <v>43</v>
      </c>
      <c r="AU52" s="45" t="s">
        <v>77</v>
      </c>
      <c r="AV52" s="45" t="s">
        <v>144</v>
      </c>
      <c r="AW52" s="45" t="s">
        <v>143</v>
      </c>
      <c r="AX52" s="45" t="s">
        <v>143</v>
      </c>
      <c r="AY52" s="45" t="s">
        <v>26</v>
      </c>
      <c r="AZ52" s="45" t="s">
        <v>13</v>
      </c>
      <c r="BA52" s="45" t="s">
        <v>43</v>
      </c>
      <c r="BB52" s="45" t="s">
        <v>31</v>
      </c>
      <c r="BC52" s="45" t="s">
        <v>94</v>
      </c>
      <c r="BD52" s="45" t="s">
        <v>94</v>
      </c>
      <c r="BE52" s="45" t="s">
        <v>34</v>
      </c>
      <c r="BF52" s="45" t="s">
        <v>108</v>
      </c>
      <c r="BG52" s="45" t="s">
        <v>108</v>
      </c>
      <c r="BH52" s="45" t="s">
        <v>47</v>
      </c>
      <c r="BI52" s="45" t="s">
        <v>48</v>
      </c>
      <c r="BJ52" s="45" t="s">
        <v>31</v>
      </c>
      <c r="BK52" s="45" t="s">
        <v>133</v>
      </c>
      <c r="BL52" s="45" t="s">
        <v>145</v>
      </c>
      <c r="BM52" s="45" t="s">
        <v>66</v>
      </c>
      <c r="BN52" s="45" t="s">
        <v>77</v>
      </c>
      <c r="BO52" s="45" t="s">
        <v>13</v>
      </c>
      <c r="BP52" s="45" t="s">
        <v>120</v>
      </c>
      <c r="BQ52" s="45" t="s">
        <v>116</v>
      </c>
      <c r="BR52" s="45" t="s">
        <v>12</v>
      </c>
      <c r="BS52" s="45" t="s">
        <v>115</v>
      </c>
      <c r="BT52" s="45" t="s">
        <v>89</v>
      </c>
      <c r="BU52" s="45" t="s">
        <v>58</v>
      </c>
      <c r="BV52" s="45" t="s">
        <v>44</v>
      </c>
      <c r="BW52" s="45" t="s">
        <v>54</v>
      </c>
      <c r="BX52" s="45" t="s">
        <v>94</v>
      </c>
      <c r="BY52" s="45" t="s">
        <v>36</v>
      </c>
      <c r="BZ52" s="45" t="s">
        <v>36</v>
      </c>
      <c r="CA52" s="45" t="s">
        <v>143</v>
      </c>
      <c r="CB52" s="45" t="s">
        <v>143</v>
      </c>
      <c r="CC52" s="45" t="s">
        <v>55</v>
      </c>
      <c r="CD52" s="45" t="s">
        <v>44</v>
      </c>
      <c r="CE52" s="45" t="s">
        <v>58</v>
      </c>
      <c r="CF52" s="45" t="s">
        <v>29</v>
      </c>
      <c r="CG52" s="45" t="s">
        <v>64</v>
      </c>
      <c r="CH52" s="45" t="s">
        <v>120</v>
      </c>
      <c r="CI52" s="45" t="s">
        <v>25</v>
      </c>
      <c r="CJ52" s="45" t="s">
        <v>25</v>
      </c>
      <c r="CK52" s="45" t="s">
        <v>18</v>
      </c>
      <c r="CL52" s="45" t="s">
        <v>77</v>
      </c>
      <c r="CM52" s="45" t="s">
        <v>142</v>
      </c>
      <c r="CN52" s="45" t="s">
        <v>55</v>
      </c>
      <c r="CO52" s="45" t="s">
        <v>104</v>
      </c>
      <c r="CP52" s="45" t="s">
        <v>48</v>
      </c>
      <c r="CQ52" s="45" t="s">
        <v>26</v>
      </c>
      <c r="CR52" s="45" t="s">
        <v>145</v>
      </c>
      <c r="CS52" s="45" t="s">
        <v>145</v>
      </c>
      <c r="CT52" s="45" t="s">
        <v>63</v>
      </c>
      <c r="CU52" s="45" t="s">
        <v>63</v>
      </c>
      <c r="CV52" s="45" t="s">
        <v>26</v>
      </c>
      <c r="CW52" s="45" t="s">
        <v>152</v>
      </c>
      <c r="CX52" s="45" t="s">
        <v>142</v>
      </c>
      <c r="CY52" s="45" t="s">
        <v>120</v>
      </c>
      <c r="CZ52" s="45" t="s">
        <v>51</v>
      </c>
      <c r="DA52" s="45" t="s">
        <v>51</v>
      </c>
      <c r="DB52" s="45" t="s">
        <v>89</v>
      </c>
      <c r="DC52" s="45" t="s">
        <v>44</v>
      </c>
      <c r="DD52" s="45" t="s">
        <v>13</v>
      </c>
      <c r="DE52" s="45" t="s">
        <v>133</v>
      </c>
      <c r="DF52" s="45" t="s">
        <v>67</v>
      </c>
      <c r="DG52" s="45" t="s">
        <v>26</v>
      </c>
      <c r="DH52" s="45" t="s">
        <v>77</v>
      </c>
      <c r="DI52" s="45" t="s">
        <v>51</v>
      </c>
      <c r="DJ52" s="45" t="s">
        <v>51</v>
      </c>
      <c r="DK52" s="45" t="s">
        <v>26</v>
      </c>
      <c r="DL52" s="45" t="s">
        <v>26</v>
      </c>
      <c r="DM52" s="45" t="s">
        <v>12</v>
      </c>
      <c r="DN52" s="45" t="s">
        <v>104</v>
      </c>
      <c r="DO52" s="45" t="s">
        <v>47</v>
      </c>
      <c r="DP52" s="45" t="s">
        <v>12</v>
      </c>
      <c r="DQ52" s="45" t="s">
        <v>138</v>
      </c>
      <c r="DR52" s="45" t="s">
        <v>37</v>
      </c>
      <c r="DS52" s="45" t="s">
        <v>88</v>
      </c>
      <c r="DT52" s="45" t="s">
        <v>115</v>
      </c>
      <c r="DU52" s="45" t="s">
        <v>143</v>
      </c>
      <c r="DV52" s="45" t="s">
        <v>51</v>
      </c>
      <c r="DW52" s="45" t="s">
        <v>133</v>
      </c>
      <c r="DX52" s="45" t="s">
        <v>110</v>
      </c>
      <c r="DY52" s="45" t="s">
        <v>138</v>
      </c>
      <c r="DZ52" s="45" t="s">
        <v>18</v>
      </c>
      <c r="EA52" s="45" t="s">
        <v>115</v>
      </c>
      <c r="EB52" s="45" t="s">
        <v>18</v>
      </c>
      <c r="EC52" s="45" t="s">
        <v>12</v>
      </c>
      <c r="ED52" s="45" t="s">
        <v>152</v>
      </c>
      <c r="EE52" s="45" t="s">
        <v>110</v>
      </c>
      <c r="EF52" s="45" t="s">
        <v>106</v>
      </c>
      <c r="EG52" s="45" t="s">
        <v>106</v>
      </c>
      <c r="EH52" s="45" t="s">
        <v>131</v>
      </c>
      <c r="EI52" s="45" t="s">
        <v>131</v>
      </c>
      <c r="EJ52" s="45" t="s">
        <v>131</v>
      </c>
    </row>
    <row r="53" customFormat="false" ht="15.75" hidden="false" customHeight="false" outlineLevel="0" collapsed="false">
      <c r="A53" s="249" t="n">
        <v>43</v>
      </c>
      <c r="B53" s="250" t="s">
        <v>47</v>
      </c>
      <c r="C53" s="45" t="s">
        <v>111</v>
      </c>
      <c r="D53" s="45" t="s">
        <v>111</v>
      </c>
      <c r="E53" s="45" t="s">
        <v>151</v>
      </c>
      <c r="F53" s="45" t="s">
        <v>150</v>
      </c>
      <c r="G53" s="45" t="s">
        <v>101</v>
      </c>
      <c r="H53" s="45" t="s">
        <v>96</v>
      </c>
      <c r="I53" s="45" t="s">
        <v>128</v>
      </c>
      <c r="J53" s="45" t="s">
        <v>22</v>
      </c>
      <c r="K53" s="45" t="s">
        <v>63</v>
      </c>
      <c r="L53" s="45" t="s">
        <v>91</v>
      </c>
      <c r="M53" s="45" t="s">
        <v>25</v>
      </c>
      <c r="N53" s="45" t="s">
        <v>129</v>
      </c>
      <c r="O53" s="45" t="s">
        <v>129</v>
      </c>
      <c r="P53" s="45" t="s">
        <v>22</v>
      </c>
      <c r="Q53" s="45" t="s">
        <v>22</v>
      </c>
      <c r="R53" s="45" t="s">
        <v>111</v>
      </c>
      <c r="S53" s="45" t="s">
        <v>101</v>
      </c>
      <c r="T53" s="45" t="s">
        <v>151</v>
      </c>
      <c r="U53" s="45" t="s">
        <v>129</v>
      </c>
      <c r="V53" s="45" t="s">
        <v>111</v>
      </c>
      <c r="W53" s="45" t="s">
        <v>46</v>
      </c>
      <c r="X53" s="45" t="s">
        <v>54</v>
      </c>
      <c r="Y53" s="45" t="s">
        <v>66</v>
      </c>
      <c r="Z53" s="45" t="s">
        <v>46</v>
      </c>
      <c r="AA53" s="45" t="s">
        <v>64</v>
      </c>
      <c r="AB53" s="45" t="s">
        <v>151</v>
      </c>
      <c r="AC53" s="45" t="s">
        <v>150</v>
      </c>
      <c r="AD53" s="45" t="s">
        <v>121</v>
      </c>
      <c r="AE53" s="45" t="s">
        <v>55</v>
      </c>
      <c r="AF53" s="45" t="s">
        <v>91</v>
      </c>
      <c r="AG53" s="45" t="s">
        <v>64</v>
      </c>
      <c r="AH53" s="45" t="s">
        <v>108</v>
      </c>
      <c r="AI53" s="45" t="s">
        <v>96</v>
      </c>
      <c r="AJ53" s="45" t="s">
        <v>147</v>
      </c>
      <c r="AK53" s="45" t="s">
        <v>147</v>
      </c>
      <c r="AL53" s="45" t="s">
        <v>150</v>
      </c>
      <c r="AM53" s="45" t="s">
        <v>150</v>
      </c>
      <c r="AN53" s="45" t="s">
        <v>145</v>
      </c>
      <c r="AO53" s="45" t="s">
        <v>26</v>
      </c>
      <c r="AP53" s="45" t="s">
        <v>66</v>
      </c>
      <c r="AQ53" s="45" t="s">
        <v>108</v>
      </c>
      <c r="AR53" s="45" t="s">
        <v>47</v>
      </c>
      <c r="AS53" s="45" t="s">
        <v>108</v>
      </c>
      <c r="AT53" s="45" t="s">
        <v>47</v>
      </c>
      <c r="AU53" s="45" t="s">
        <v>145</v>
      </c>
      <c r="AV53" s="45" t="s">
        <v>96</v>
      </c>
      <c r="AW53" s="45" t="s">
        <v>120</v>
      </c>
      <c r="AX53" s="45" t="s">
        <v>120</v>
      </c>
      <c r="AY53" s="45" t="s">
        <v>84</v>
      </c>
      <c r="AZ53" s="45" t="s">
        <v>43</v>
      </c>
      <c r="BA53" s="45" t="s">
        <v>47</v>
      </c>
      <c r="BB53" s="45" t="s">
        <v>147</v>
      </c>
      <c r="BC53" s="45" t="s">
        <v>54</v>
      </c>
      <c r="BD53" s="45" t="s">
        <v>126</v>
      </c>
      <c r="BE53" s="45" t="s">
        <v>48</v>
      </c>
      <c r="BF53" s="45" t="s">
        <v>94</v>
      </c>
      <c r="BG53" s="45" t="s">
        <v>94</v>
      </c>
      <c r="BH53" s="45" t="s">
        <v>94</v>
      </c>
      <c r="BI53" s="45" t="s">
        <v>55</v>
      </c>
      <c r="BJ53" s="45" t="s">
        <v>55</v>
      </c>
      <c r="BK53" s="45" t="s">
        <v>77</v>
      </c>
      <c r="BL53" s="45" t="s">
        <v>84</v>
      </c>
      <c r="BM53" s="45" t="s">
        <v>64</v>
      </c>
      <c r="BN53" s="45" t="s">
        <v>145</v>
      </c>
      <c r="BO53" s="45" t="s">
        <v>43</v>
      </c>
      <c r="BP53" s="45" t="s">
        <v>13</v>
      </c>
      <c r="BQ53" s="45" t="s">
        <v>89</v>
      </c>
      <c r="BR53" s="45" t="s">
        <v>26</v>
      </c>
      <c r="BS53" s="45" t="s">
        <v>12</v>
      </c>
      <c r="BT53" s="45" t="s">
        <v>104</v>
      </c>
      <c r="BU53" s="45" t="s">
        <v>44</v>
      </c>
      <c r="BV53" s="45" t="s">
        <v>29</v>
      </c>
      <c r="BW53" s="45" t="s">
        <v>144</v>
      </c>
      <c r="BX53" s="45" t="s">
        <v>54</v>
      </c>
      <c r="BY53" s="45" t="s">
        <v>29</v>
      </c>
      <c r="BZ53" s="45" t="s">
        <v>43</v>
      </c>
      <c r="CA53" s="45" t="s">
        <v>134</v>
      </c>
      <c r="CB53" s="45" t="s">
        <v>25</v>
      </c>
      <c r="CC53" s="45" t="s">
        <v>126</v>
      </c>
      <c r="CD53" s="45" t="s">
        <v>34</v>
      </c>
      <c r="CE53" s="45" t="s">
        <v>44</v>
      </c>
      <c r="CF53" s="45" t="s">
        <v>48</v>
      </c>
      <c r="CG53" s="45" t="s">
        <v>101</v>
      </c>
      <c r="CH53" s="45" t="s">
        <v>116</v>
      </c>
      <c r="CI53" s="45" t="s">
        <v>58</v>
      </c>
      <c r="CJ53" s="45" t="s">
        <v>58</v>
      </c>
      <c r="CK53" s="45" t="s">
        <v>133</v>
      </c>
      <c r="CL53" s="45" t="s">
        <v>26</v>
      </c>
      <c r="CM53" s="45" t="s">
        <v>36</v>
      </c>
      <c r="CN53" s="45" t="s">
        <v>63</v>
      </c>
      <c r="CO53" s="45" t="s">
        <v>95</v>
      </c>
      <c r="CP53" s="45" t="s">
        <v>55</v>
      </c>
      <c r="CQ53" s="45" t="s">
        <v>143</v>
      </c>
      <c r="CR53" s="45" t="s">
        <v>25</v>
      </c>
      <c r="CS53" s="45" t="s">
        <v>25</v>
      </c>
      <c r="CT53" s="45" t="s">
        <v>33</v>
      </c>
      <c r="CU53" s="45" t="s">
        <v>33</v>
      </c>
      <c r="CV53" s="45" t="s">
        <v>84</v>
      </c>
      <c r="CW53" s="45" t="s">
        <v>67</v>
      </c>
      <c r="CX53" s="45" t="s">
        <v>36</v>
      </c>
      <c r="CY53" s="45" t="s">
        <v>116</v>
      </c>
      <c r="CZ53" s="45" t="s">
        <v>77</v>
      </c>
      <c r="DA53" s="45" t="s">
        <v>77</v>
      </c>
      <c r="DB53" s="45" t="s">
        <v>121</v>
      </c>
      <c r="DC53" s="45" t="s">
        <v>34</v>
      </c>
      <c r="DD53" s="45" t="s">
        <v>89</v>
      </c>
      <c r="DE53" s="45" t="s">
        <v>77</v>
      </c>
      <c r="DF53" s="45" t="s">
        <v>133</v>
      </c>
      <c r="DG53" s="45" t="s">
        <v>143</v>
      </c>
      <c r="DH53" s="45" t="s">
        <v>145</v>
      </c>
      <c r="DI53" s="45" t="s">
        <v>77</v>
      </c>
      <c r="DJ53" s="45" t="s">
        <v>77</v>
      </c>
      <c r="DK53" s="45" t="s">
        <v>143</v>
      </c>
      <c r="DL53" s="45" t="s">
        <v>143</v>
      </c>
      <c r="DM53" s="45" t="s">
        <v>26</v>
      </c>
      <c r="DN53" s="45" t="s">
        <v>95</v>
      </c>
      <c r="DO53" s="45" t="s">
        <v>94</v>
      </c>
      <c r="DP53" s="45" t="s">
        <v>26</v>
      </c>
      <c r="DQ53" s="45" t="s">
        <v>131</v>
      </c>
      <c r="DR53" s="45" t="s">
        <v>51</v>
      </c>
      <c r="DS53" s="45" t="s">
        <v>115</v>
      </c>
      <c r="DT53" s="45" t="s">
        <v>12</v>
      </c>
      <c r="DU53" s="45" t="s">
        <v>120</v>
      </c>
      <c r="DV53" s="45" t="s">
        <v>77</v>
      </c>
      <c r="DW53" s="45" t="s">
        <v>77</v>
      </c>
      <c r="DX53" s="45" t="s">
        <v>88</v>
      </c>
      <c r="DY53" s="45" t="s">
        <v>152</v>
      </c>
      <c r="DZ53" s="45" t="s">
        <v>51</v>
      </c>
      <c r="EA53" s="45" t="s">
        <v>12</v>
      </c>
      <c r="EB53" s="45" t="s">
        <v>133</v>
      </c>
      <c r="EC53" s="45" t="s">
        <v>26</v>
      </c>
      <c r="ED53" s="45" t="s">
        <v>115</v>
      </c>
      <c r="EE53" s="45" t="s">
        <v>153</v>
      </c>
      <c r="EF53" s="45" t="s">
        <v>37</v>
      </c>
      <c r="EG53" s="45" t="s">
        <v>153</v>
      </c>
      <c r="EH53" s="45" t="s">
        <v>67</v>
      </c>
      <c r="EI53" s="45" t="s">
        <v>18</v>
      </c>
      <c r="EJ53" s="45" t="s">
        <v>37</v>
      </c>
    </row>
    <row r="54" customFormat="false" ht="15.75" hidden="false" customHeight="false" outlineLevel="0" collapsed="false">
      <c r="A54" s="249" t="n">
        <v>44</v>
      </c>
      <c r="B54" s="250" t="s">
        <v>33</v>
      </c>
      <c r="C54" s="45" t="s">
        <v>86</v>
      </c>
      <c r="D54" s="45" t="s">
        <v>86</v>
      </c>
      <c r="E54" s="45" t="s">
        <v>87</v>
      </c>
      <c r="F54" s="45" t="s">
        <v>85</v>
      </c>
      <c r="G54" s="45" t="s">
        <v>69</v>
      </c>
      <c r="H54" s="45" t="s">
        <v>41</v>
      </c>
      <c r="I54" s="45" t="s">
        <v>139</v>
      </c>
      <c r="J54" s="45" t="s">
        <v>150</v>
      </c>
      <c r="K54" s="45" t="s">
        <v>91</v>
      </c>
      <c r="L54" s="45" t="s">
        <v>41</v>
      </c>
      <c r="M54" s="45" t="s">
        <v>36</v>
      </c>
      <c r="N54" s="45" t="s">
        <v>62</v>
      </c>
      <c r="O54" s="45" t="s">
        <v>62</v>
      </c>
      <c r="P54" s="45" t="s">
        <v>150</v>
      </c>
      <c r="Q54" s="45" t="s">
        <v>150</v>
      </c>
      <c r="R54" s="45" t="s">
        <v>85</v>
      </c>
      <c r="S54" s="45" t="s">
        <v>40</v>
      </c>
      <c r="T54" s="45" t="s">
        <v>87</v>
      </c>
      <c r="U54" s="45" t="s">
        <v>40</v>
      </c>
      <c r="V54" s="45" t="s">
        <v>86</v>
      </c>
      <c r="W54" s="45" t="s">
        <v>128</v>
      </c>
      <c r="X54" s="45" t="s">
        <v>96</v>
      </c>
      <c r="Y54" s="45" t="s">
        <v>129</v>
      </c>
      <c r="Z54" s="45" t="s">
        <v>101</v>
      </c>
      <c r="AA54" s="45" t="s">
        <v>151</v>
      </c>
      <c r="AB54" s="45" t="s">
        <v>57</v>
      </c>
      <c r="AC54" s="45" t="s">
        <v>85</v>
      </c>
      <c r="AD54" s="45" t="s">
        <v>55</v>
      </c>
      <c r="AE54" s="45" t="s">
        <v>22</v>
      </c>
      <c r="AF54" s="45" t="s">
        <v>41</v>
      </c>
      <c r="AG54" s="45" t="s">
        <v>111</v>
      </c>
      <c r="AH54" s="45" t="s">
        <v>147</v>
      </c>
      <c r="AI54" s="45" t="s">
        <v>41</v>
      </c>
      <c r="AJ54" s="45" t="s">
        <v>64</v>
      </c>
      <c r="AK54" s="45" t="s">
        <v>64</v>
      </c>
      <c r="AL54" s="45" t="s">
        <v>139</v>
      </c>
      <c r="AM54" s="45" t="s">
        <v>139</v>
      </c>
      <c r="AN54" s="45" t="s">
        <v>142</v>
      </c>
      <c r="AO54" s="45" t="s">
        <v>120</v>
      </c>
      <c r="AP54" s="45" t="s">
        <v>129</v>
      </c>
      <c r="AQ54" s="45" t="s">
        <v>54</v>
      </c>
      <c r="AR54" s="45" t="s">
        <v>55</v>
      </c>
      <c r="AS54" s="45" t="s">
        <v>54</v>
      </c>
      <c r="AT54" s="45" t="s">
        <v>147</v>
      </c>
      <c r="AU54" s="45" t="s">
        <v>142</v>
      </c>
      <c r="AV54" s="45" t="s">
        <v>151</v>
      </c>
      <c r="AW54" s="45" t="s">
        <v>89</v>
      </c>
      <c r="AX54" s="45" t="s">
        <v>89</v>
      </c>
      <c r="AY54" s="45" t="s">
        <v>13</v>
      </c>
      <c r="AZ54" s="45" t="s">
        <v>31</v>
      </c>
      <c r="BA54" s="45" t="s">
        <v>147</v>
      </c>
      <c r="BB54" s="45" t="s">
        <v>33</v>
      </c>
      <c r="BC54" s="45" t="s">
        <v>96</v>
      </c>
      <c r="BD54" s="45" t="s">
        <v>96</v>
      </c>
      <c r="BE54" s="45" t="s">
        <v>126</v>
      </c>
      <c r="BF54" s="45" t="s">
        <v>46</v>
      </c>
      <c r="BG54" s="45" t="s">
        <v>144</v>
      </c>
      <c r="BH54" s="45" t="s">
        <v>66</v>
      </c>
      <c r="BI54" s="45" t="s">
        <v>46</v>
      </c>
      <c r="BJ54" s="45" t="s">
        <v>33</v>
      </c>
      <c r="BK54" s="45" t="s">
        <v>25</v>
      </c>
      <c r="BL54" s="45" t="s">
        <v>13</v>
      </c>
      <c r="BM54" s="45" t="s">
        <v>151</v>
      </c>
      <c r="BN54" s="45" t="s">
        <v>142</v>
      </c>
      <c r="BO54" s="45" t="s">
        <v>95</v>
      </c>
      <c r="BP54" s="45" t="s">
        <v>121</v>
      </c>
      <c r="BQ54" s="45" t="s">
        <v>48</v>
      </c>
      <c r="BR54" s="45" t="s">
        <v>25</v>
      </c>
      <c r="BS54" s="45" t="s">
        <v>145</v>
      </c>
      <c r="BT54" s="45" t="s">
        <v>55</v>
      </c>
      <c r="BU54" s="45" t="s">
        <v>108</v>
      </c>
      <c r="BV54" s="45" t="s">
        <v>94</v>
      </c>
      <c r="BW54" s="45" t="s">
        <v>101</v>
      </c>
      <c r="BX54" s="45" t="s">
        <v>64</v>
      </c>
      <c r="BY54" s="45" t="s">
        <v>94</v>
      </c>
      <c r="BZ54" s="45" t="s">
        <v>94</v>
      </c>
      <c r="CA54" s="45" t="s">
        <v>44</v>
      </c>
      <c r="CB54" s="45" t="s">
        <v>44</v>
      </c>
      <c r="CC54" s="45" t="s">
        <v>96</v>
      </c>
      <c r="CD54" s="45" t="s">
        <v>94</v>
      </c>
      <c r="CE54" s="45" t="s">
        <v>48</v>
      </c>
      <c r="CF54" s="45" t="s">
        <v>54</v>
      </c>
      <c r="CG54" s="45" t="s">
        <v>69</v>
      </c>
      <c r="CH54" s="45" t="s">
        <v>34</v>
      </c>
      <c r="CI54" s="45" t="s">
        <v>43</v>
      </c>
      <c r="CJ54" s="45" t="s">
        <v>29</v>
      </c>
      <c r="CK54" s="45" t="s">
        <v>145</v>
      </c>
      <c r="CL54" s="45" t="s">
        <v>120</v>
      </c>
      <c r="CM54" s="45" t="s">
        <v>104</v>
      </c>
      <c r="CN54" s="45" t="s">
        <v>91</v>
      </c>
      <c r="CO54" s="45" t="s">
        <v>63</v>
      </c>
      <c r="CP54" s="45" t="s">
        <v>46</v>
      </c>
      <c r="CQ54" s="45" t="s">
        <v>58</v>
      </c>
      <c r="CR54" s="45" t="s">
        <v>44</v>
      </c>
      <c r="CS54" s="45" t="s">
        <v>36</v>
      </c>
      <c r="CT54" s="45" t="s">
        <v>150</v>
      </c>
      <c r="CU54" s="45" t="s">
        <v>111</v>
      </c>
      <c r="CV54" s="45" t="s">
        <v>13</v>
      </c>
      <c r="CW54" s="45" t="s">
        <v>77</v>
      </c>
      <c r="CX54" s="45" t="s">
        <v>47</v>
      </c>
      <c r="CY54" s="45" t="s">
        <v>121</v>
      </c>
      <c r="CZ54" s="45" t="s">
        <v>143</v>
      </c>
      <c r="DA54" s="45" t="s">
        <v>143</v>
      </c>
      <c r="DB54" s="45" t="s">
        <v>55</v>
      </c>
      <c r="DC54" s="45" t="s">
        <v>94</v>
      </c>
      <c r="DD54" s="45" t="s">
        <v>31</v>
      </c>
      <c r="DE54" s="45" t="s">
        <v>84</v>
      </c>
      <c r="DF54" s="45" t="s">
        <v>145</v>
      </c>
      <c r="DG54" s="45" t="s">
        <v>116</v>
      </c>
      <c r="DH54" s="45" t="s">
        <v>58</v>
      </c>
      <c r="DI54" s="45" t="s">
        <v>143</v>
      </c>
      <c r="DJ54" s="45" t="s">
        <v>143</v>
      </c>
      <c r="DK54" s="45" t="s">
        <v>58</v>
      </c>
      <c r="DL54" s="45" t="s">
        <v>116</v>
      </c>
      <c r="DM54" s="45" t="s">
        <v>25</v>
      </c>
      <c r="DN54" s="45" t="s">
        <v>63</v>
      </c>
      <c r="DO54" s="45" t="s">
        <v>66</v>
      </c>
      <c r="DP54" s="45" t="s">
        <v>25</v>
      </c>
      <c r="DQ54" s="45" t="s">
        <v>51</v>
      </c>
      <c r="DR54" s="45" t="s">
        <v>26</v>
      </c>
      <c r="DS54" s="45" t="s">
        <v>77</v>
      </c>
      <c r="DT54" s="45" t="s">
        <v>143</v>
      </c>
      <c r="DU54" s="45" t="s">
        <v>89</v>
      </c>
      <c r="DV54" s="45" t="s">
        <v>84</v>
      </c>
      <c r="DW54" s="45" t="s">
        <v>84</v>
      </c>
      <c r="DX54" s="45" t="s">
        <v>12</v>
      </c>
      <c r="DY54" s="45" t="s">
        <v>133</v>
      </c>
      <c r="DZ54" s="45" t="s">
        <v>26</v>
      </c>
      <c r="EA54" s="45" t="s">
        <v>145</v>
      </c>
      <c r="EB54" s="45" t="s">
        <v>26</v>
      </c>
      <c r="EC54" s="45" t="s">
        <v>120</v>
      </c>
      <c r="ED54" s="45" t="s">
        <v>77</v>
      </c>
      <c r="EE54" s="45" t="s">
        <v>12</v>
      </c>
      <c r="EF54" s="45" t="s">
        <v>12</v>
      </c>
      <c r="EG54" s="45" t="s">
        <v>12</v>
      </c>
      <c r="EH54" s="45" t="s">
        <v>77</v>
      </c>
      <c r="EI54" s="45" t="s">
        <v>77</v>
      </c>
      <c r="EJ54" s="45" t="s">
        <v>77</v>
      </c>
    </row>
    <row r="55" customFormat="false" ht="15.75" hidden="false" customHeight="false" outlineLevel="0" collapsed="false">
      <c r="A55" s="249" t="n">
        <v>45</v>
      </c>
      <c r="B55" s="250" t="s">
        <v>91</v>
      </c>
      <c r="C55" s="45" t="s">
        <v>87</v>
      </c>
      <c r="D55" s="45" t="s">
        <v>87</v>
      </c>
      <c r="E55" s="45" t="s">
        <v>125</v>
      </c>
      <c r="F55" s="45" t="s">
        <v>86</v>
      </c>
      <c r="G55" s="45" t="s">
        <v>85</v>
      </c>
      <c r="H55" s="45" t="s">
        <v>62</v>
      </c>
      <c r="I55" s="45" t="s">
        <v>85</v>
      </c>
      <c r="J55" s="45" t="s">
        <v>151</v>
      </c>
      <c r="K55" s="45" t="s">
        <v>129</v>
      </c>
      <c r="L55" s="45" t="s">
        <v>40</v>
      </c>
      <c r="M55" s="45" t="s">
        <v>44</v>
      </c>
      <c r="N55" s="45" t="s">
        <v>139</v>
      </c>
      <c r="O55" s="45" t="s">
        <v>69</v>
      </c>
      <c r="P55" s="45" t="s">
        <v>111</v>
      </c>
      <c r="Q55" s="45" t="s">
        <v>111</v>
      </c>
      <c r="R55" s="45" t="s">
        <v>87</v>
      </c>
      <c r="S55" s="45" t="s">
        <v>85</v>
      </c>
      <c r="T55" s="45" t="s">
        <v>137</v>
      </c>
      <c r="U55" s="45" t="s">
        <v>139</v>
      </c>
      <c r="V55" s="45" t="s">
        <v>87</v>
      </c>
      <c r="W55" s="45" t="s">
        <v>111</v>
      </c>
      <c r="X55" s="45" t="s">
        <v>129</v>
      </c>
      <c r="Y55" s="45" t="s">
        <v>101</v>
      </c>
      <c r="Z55" s="45" t="s">
        <v>150</v>
      </c>
      <c r="AA55" s="45" t="s">
        <v>41</v>
      </c>
      <c r="AB55" s="45" t="s">
        <v>137</v>
      </c>
      <c r="AC55" s="45" t="s">
        <v>57</v>
      </c>
      <c r="AD55" s="45" t="s">
        <v>147</v>
      </c>
      <c r="AE55" s="45" t="s">
        <v>64</v>
      </c>
      <c r="AF55" s="45" t="s">
        <v>40</v>
      </c>
      <c r="AG55" s="45" t="s">
        <v>41</v>
      </c>
      <c r="AH55" s="45" t="s">
        <v>126</v>
      </c>
      <c r="AI55" s="45" t="s">
        <v>62</v>
      </c>
      <c r="AJ55" s="45" t="s">
        <v>96</v>
      </c>
      <c r="AK55" s="45" t="s">
        <v>96</v>
      </c>
      <c r="AL55" s="45" t="s">
        <v>86</v>
      </c>
      <c r="AM55" s="45" t="s">
        <v>86</v>
      </c>
      <c r="AN55" s="45" t="s">
        <v>116</v>
      </c>
      <c r="AO55" s="45" t="s">
        <v>142</v>
      </c>
      <c r="AP55" s="45" t="s">
        <v>128</v>
      </c>
      <c r="AQ55" s="45" t="s">
        <v>63</v>
      </c>
      <c r="AR55" s="45" t="s">
        <v>54</v>
      </c>
      <c r="AS55" s="45" t="s">
        <v>126</v>
      </c>
      <c r="AT55" s="45" t="s">
        <v>54</v>
      </c>
      <c r="AU55" s="45" t="s">
        <v>58</v>
      </c>
      <c r="AV55" s="45" t="s">
        <v>41</v>
      </c>
      <c r="AW55" s="45" t="s">
        <v>43</v>
      </c>
      <c r="AX55" s="45" t="s">
        <v>43</v>
      </c>
      <c r="AY55" s="45" t="s">
        <v>36</v>
      </c>
      <c r="AZ55" s="45" t="s">
        <v>94</v>
      </c>
      <c r="BA55" s="45" t="s">
        <v>54</v>
      </c>
      <c r="BB55" s="45" t="s">
        <v>96</v>
      </c>
      <c r="BC55" s="45" t="s">
        <v>91</v>
      </c>
      <c r="BD55" s="45" t="s">
        <v>129</v>
      </c>
      <c r="BE55" s="45" t="s">
        <v>63</v>
      </c>
      <c r="BF55" s="45" t="s">
        <v>33</v>
      </c>
      <c r="BG55" s="45" t="s">
        <v>22</v>
      </c>
      <c r="BH55" s="45" t="s">
        <v>46</v>
      </c>
      <c r="BI55" s="45" t="s">
        <v>33</v>
      </c>
      <c r="BJ55" s="45" t="s">
        <v>64</v>
      </c>
      <c r="BK55" s="45" t="s">
        <v>120</v>
      </c>
      <c r="BL55" s="45" t="s">
        <v>44</v>
      </c>
      <c r="BM55" s="45" t="s">
        <v>41</v>
      </c>
      <c r="BN55" s="45" t="s">
        <v>58</v>
      </c>
      <c r="BO55" s="45" t="s">
        <v>94</v>
      </c>
      <c r="BP55" s="45" t="s">
        <v>47</v>
      </c>
      <c r="BQ55" s="45" t="s">
        <v>95</v>
      </c>
      <c r="BR55" s="45" t="s">
        <v>120</v>
      </c>
      <c r="BS55" s="45" t="s">
        <v>143</v>
      </c>
      <c r="BT55" s="45" t="s">
        <v>54</v>
      </c>
      <c r="BU55" s="45" t="s">
        <v>31</v>
      </c>
      <c r="BV55" s="45" t="s">
        <v>55</v>
      </c>
      <c r="BW55" s="45" t="s">
        <v>150</v>
      </c>
      <c r="BX55" s="45" t="s">
        <v>96</v>
      </c>
      <c r="BY55" s="45" t="s">
        <v>55</v>
      </c>
      <c r="BZ55" s="45" t="s">
        <v>94</v>
      </c>
      <c r="CA55" s="45" t="s">
        <v>43</v>
      </c>
      <c r="CB55" s="45" t="s">
        <v>89</v>
      </c>
      <c r="CC55" s="45" t="s">
        <v>129</v>
      </c>
      <c r="CD55" s="45" t="s">
        <v>55</v>
      </c>
      <c r="CE55" s="45" t="s">
        <v>31</v>
      </c>
      <c r="CF55" s="45" t="s">
        <v>63</v>
      </c>
      <c r="CG55" s="45" t="s">
        <v>92</v>
      </c>
      <c r="CH55" s="45" t="s">
        <v>104</v>
      </c>
      <c r="CI55" s="45" t="s">
        <v>34</v>
      </c>
      <c r="CJ55" s="45" t="s">
        <v>121</v>
      </c>
      <c r="CK55" s="45" t="s">
        <v>143</v>
      </c>
      <c r="CL55" s="45" t="s">
        <v>142</v>
      </c>
      <c r="CM55" s="45" t="s">
        <v>108</v>
      </c>
      <c r="CN55" s="45" t="s">
        <v>129</v>
      </c>
      <c r="CO55" s="45" t="s">
        <v>46</v>
      </c>
      <c r="CP55" s="45" t="s">
        <v>64</v>
      </c>
      <c r="CQ55" s="45" t="s">
        <v>13</v>
      </c>
      <c r="CR55" s="45" t="s">
        <v>89</v>
      </c>
      <c r="CS55" s="45" t="s">
        <v>89</v>
      </c>
      <c r="CT55" s="45" t="s">
        <v>151</v>
      </c>
      <c r="CU55" s="45" t="s">
        <v>151</v>
      </c>
      <c r="CV55" s="45" t="s">
        <v>44</v>
      </c>
      <c r="CW55" s="45" t="s">
        <v>26</v>
      </c>
      <c r="CX55" s="45" t="s">
        <v>48</v>
      </c>
      <c r="CY55" s="45" t="s">
        <v>47</v>
      </c>
      <c r="CZ55" s="45" t="s">
        <v>84</v>
      </c>
      <c r="DA55" s="45" t="s">
        <v>84</v>
      </c>
      <c r="DB55" s="45" t="s">
        <v>147</v>
      </c>
      <c r="DC55" s="45" t="s">
        <v>55</v>
      </c>
      <c r="DD55" s="45" t="s">
        <v>94</v>
      </c>
      <c r="DE55" s="45" t="s">
        <v>25</v>
      </c>
      <c r="DF55" s="45" t="s">
        <v>143</v>
      </c>
      <c r="DG55" s="45" t="s">
        <v>13</v>
      </c>
      <c r="DH55" s="45" t="s">
        <v>116</v>
      </c>
      <c r="DI55" s="45" t="s">
        <v>25</v>
      </c>
      <c r="DJ55" s="45" t="s">
        <v>25</v>
      </c>
      <c r="DK55" s="45" t="s">
        <v>13</v>
      </c>
      <c r="DL55" s="45" t="s">
        <v>36</v>
      </c>
      <c r="DM55" s="45" t="s">
        <v>120</v>
      </c>
      <c r="DN55" s="45" t="s">
        <v>144</v>
      </c>
      <c r="DO55" s="45" t="s">
        <v>46</v>
      </c>
      <c r="DP55" s="45" t="s">
        <v>120</v>
      </c>
      <c r="DQ55" s="45" t="s">
        <v>12</v>
      </c>
      <c r="DR55" s="45" t="s">
        <v>145</v>
      </c>
      <c r="DS55" s="45" t="s">
        <v>26</v>
      </c>
      <c r="DT55" s="45" t="s">
        <v>143</v>
      </c>
      <c r="DU55" s="45" t="s">
        <v>43</v>
      </c>
      <c r="DV55" s="45" t="s">
        <v>25</v>
      </c>
      <c r="DW55" s="45" t="s">
        <v>25</v>
      </c>
      <c r="DX55" s="45" t="s">
        <v>77</v>
      </c>
      <c r="DY55" s="45" t="s">
        <v>12</v>
      </c>
      <c r="DZ55" s="45" t="s">
        <v>145</v>
      </c>
      <c r="EA55" s="45" t="s">
        <v>143</v>
      </c>
      <c r="EB55" s="45" t="s">
        <v>145</v>
      </c>
      <c r="EC55" s="45" t="s">
        <v>142</v>
      </c>
      <c r="ED55" s="45" t="s">
        <v>26</v>
      </c>
      <c r="EE55" s="45" t="s">
        <v>77</v>
      </c>
      <c r="EF55" s="45" t="s">
        <v>77</v>
      </c>
      <c r="EG55" s="45" t="s">
        <v>77</v>
      </c>
      <c r="EH55" s="45" t="s">
        <v>26</v>
      </c>
      <c r="EI55" s="45" t="s">
        <v>77</v>
      </c>
      <c r="EJ55" s="45" t="s">
        <v>77</v>
      </c>
    </row>
    <row r="56" customFormat="false" ht="15.75" hidden="false" customHeight="false" outlineLevel="0" collapsed="false">
      <c r="A56" s="249" t="n">
        <v>45</v>
      </c>
      <c r="B56" s="250" t="s">
        <v>92</v>
      </c>
      <c r="C56" s="45" t="s">
        <v>137</v>
      </c>
      <c r="D56" s="45" t="s">
        <v>137</v>
      </c>
      <c r="E56" s="45" t="s">
        <v>28</v>
      </c>
      <c r="F56" s="45" t="s">
        <v>87</v>
      </c>
      <c r="G56" s="45" t="s">
        <v>86</v>
      </c>
      <c r="H56" s="45" t="s">
        <v>40</v>
      </c>
      <c r="I56" s="45" t="s">
        <v>86</v>
      </c>
      <c r="J56" s="45" t="s">
        <v>151</v>
      </c>
      <c r="K56" s="45" t="s">
        <v>101</v>
      </c>
      <c r="L56" s="45" t="s">
        <v>139</v>
      </c>
      <c r="M56" s="45" t="s">
        <v>89</v>
      </c>
      <c r="N56" s="45" t="s">
        <v>85</v>
      </c>
      <c r="O56" s="45" t="s">
        <v>139</v>
      </c>
      <c r="P56" s="45" t="s">
        <v>151</v>
      </c>
      <c r="Q56" s="45" t="s">
        <v>151</v>
      </c>
      <c r="R56" s="45" t="s">
        <v>87</v>
      </c>
      <c r="S56" s="45" t="s">
        <v>85</v>
      </c>
      <c r="T56" s="45" t="s">
        <v>28</v>
      </c>
      <c r="U56" s="45" t="s">
        <v>85</v>
      </c>
      <c r="V56" s="45" t="s">
        <v>137</v>
      </c>
      <c r="W56" s="45" t="s">
        <v>151</v>
      </c>
      <c r="X56" s="45" t="s">
        <v>129</v>
      </c>
      <c r="Y56" s="45" t="s">
        <v>150</v>
      </c>
      <c r="Z56" s="45" t="s">
        <v>111</v>
      </c>
      <c r="AA56" s="45" t="s">
        <v>41</v>
      </c>
      <c r="AB56" s="45" t="s">
        <v>125</v>
      </c>
      <c r="AC56" s="45" t="s">
        <v>87</v>
      </c>
      <c r="AD56" s="45" t="s">
        <v>54</v>
      </c>
      <c r="AE56" s="45" t="s">
        <v>96</v>
      </c>
      <c r="AF56" s="45" t="s">
        <v>69</v>
      </c>
      <c r="AG56" s="45" t="s">
        <v>41</v>
      </c>
      <c r="AH56" s="45" t="s">
        <v>63</v>
      </c>
      <c r="AI56" s="45" t="s">
        <v>40</v>
      </c>
      <c r="AJ56" s="45" t="s">
        <v>96</v>
      </c>
      <c r="AK56" s="45" t="s">
        <v>91</v>
      </c>
      <c r="AL56" s="45" t="s">
        <v>57</v>
      </c>
      <c r="AM56" s="45" t="s">
        <v>57</v>
      </c>
      <c r="AN56" s="45" t="s">
        <v>13</v>
      </c>
      <c r="AO56" s="45" t="s">
        <v>58</v>
      </c>
      <c r="AP56" s="45" t="s">
        <v>150</v>
      </c>
      <c r="AQ56" s="45" t="s">
        <v>63</v>
      </c>
      <c r="AR56" s="45" t="s">
        <v>126</v>
      </c>
      <c r="AS56" s="45" t="s">
        <v>63</v>
      </c>
      <c r="AT56" s="45" t="s">
        <v>126</v>
      </c>
      <c r="AU56" s="45" t="s">
        <v>116</v>
      </c>
      <c r="AV56" s="45" t="s">
        <v>62</v>
      </c>
      <c r="AW56" s="45" t="s">
        <v>29</v>
      </c>
      <c r="AX56" s="45" t="s">
        <v>29</v>
      </c>
      <c r="AY56" s="45" t="s">
        <v>44</v>
      </c>
      <c r="AZ56" s="45" t="s">
        <v>94</v>
      </c>
      <c r="BA56" s="45" t="s">
        <v>126</v>
      </c>
      <c r="BB56" s="45" t="s">
        <v>96</v>
      </c>
      <c r="BC56" s="45" t="s">
        <v>129</v>
      </c>
      <c r="BD56" s="45" t="s">
        <v>92</v>
      </c>
      <c r="BE56" s="45" t="s">
        <v>66</v>
      </c>
      <c r="BF56" s="45" t="s">
        <v>64</v>
      </c>
      <c r="BG56" s="45" t="s">
        <v>33</v>
      </c>
      <c r="BH56" s="45" t="s">
        <v>22</v>
      </c>
      <c r="BI56" s="45" t="s">
        <v>64</v>
      </c>
      <c r="BJ56" s="45" t="s">
        <v>96</v>
      </c>
      <c r="BK56" s="45" t="s">
        <v>120</v>
      </c>
      <c r="BL56" s="45" t="s">
        <v>89</v>
      </c>
      <c r="BM56" s="45" t="s">
        <v>62</v>
      </c>
      <c r="BN56" s="45" t="s">
        <v>116</v>
      </c>
      <c r="BO56" s="45" t="s">
        <v>55</v>
      </c>
      <c r="BP56" s="45" t="s">
        <v>108</v>
      </c>
      <c r="BQ56" s="45" t="s">
        <v>94</v>
      </c>
      <c r="BR56" s="45" t="s">
        <v>142</v>
      </c>
      <c r="BS56" s="45" t="s">
        <v>143</v>
      </c>
      <c r="BT56" s="45" t="s">
        <v>54</v>
      </c>
      <c r="BU56" s="45" t="s">
        <v>95</v>
      </c>
      <c r="BV56" s="45" t="s">
        <v>55</v>
      </c>
      <c r="BW56" s="45" t="s">
        <v>111</v>
      </c>
      <c r="BX56" s="45" t="s">
        <v>129</v>
      </c>
      <c r="BY56" s="45" t="s">
        <v>55</v>
      </c>
      <c r="BZ56" s="45" t="s">
        <v>55</v>
      </c>
      <c r="CA56" s="45" t="s">
        <v>43</v>
      </c>
      <c r="CB56" s="45" t="s">
        <v>43</v>
      </c>
      <c r="CC56" s="45" t="s">
        <v>101</v>
      </c>
      <c r="CD56" s="45" t="s">
        <v>147</v>
      </c>
      <c r="CE56" s="45" t="s">
        <v>94</v>
      </c>
      <c r="CF56" s="45" t="s">
        <v>66</v>
      </c>
      <c r="CG56" s="45" t="s">
        <v>86</v>
      </c>
      <c r="CH56" s="45" t="s">
        <v>47</v>
      </c>
      <c r="CI56" s="45" t="s">
        <v>121</v>
      </c>
      <c r="CJ56" s="45" t="s">
        <v>104</v>
      </c>
      <c r="CK56" s="45" t="s">
        <v>143</v>
      </c>
      <c r="CL56" s="45" t="s">
        <v>58</v>
      </c>
      <c r="CM56" s="45" t="s">
        <v>48</v>
      </c>
      <c r="CN56" s="45" t="s">
        <v>101</v>
      </c>
      <c r="CO56" s="45" t="s">
        <v>46</v>
      </c>
      <c r="CP56" s="45" t="s">
        <v>64</v>
      </c>
      <c r="CQ56" s="45" t="s">
        <v>13</v>
      </c>
      <c r="CR56" s="45" t="s">
        <v>43</v>
      </c>
      <c r="CS56" s="45" t="s">
        <v>89</v>
      </c>
      <c r="CT56" s="45" t="s">
        <v>41</v>
      </c>
      <c r="CU56" s="45" t="s">
        <v>41</v>
      </c>
      <c r="CV56" s="45" t="s">
        <v>44</v>
      </c>
      <c r="CW56" s="45" t="s">
        <v>26</v>
      </c>
      <c r="CX56" s="45" t="s">
        <v>48</v>
      </c>
      <c r="CY56" s="45" t="s">
        <v>108</v>
      </c>
      <c r="CZ56" s="45" t="s">
        <v>25</v>
      </c>
      <c r="DA56" s="45" t="s">
        <v>25</v>
      </c>
      <c r="DB56" s="45" t="s">
        <v>54</v>
      </c>
      <c r="DC56" s="45" t="s">
        <v>147</v>
      </c>
      <c r="DD56" s="45" t="s">
        <v>94</v>
      </c>
      <c r="DE56" s="45" t="s">
        <v>120</v>
      </c>
      <c r="DF56" s="45" t="s">
        <v>143</v>
      </c>
      <c r="DG56" s="45" t="s">
        <v>36</v>
      </c>
      <c r="DH56" s="45" t="s">
        <v>13</v>
      </c>
      <c r="DI56" s="45" t="s">
        <v>25</v>
      </c>
      <c r="DJ56" s="45" t="s">
        <v>25</v>
      </c>
      <c r="DK56" s="45" t="s">
        <v>36</v>
      </c>
      <c r="DL56" s="45" t="s">
        <v>44</v>
      </c>
      <c r="DM56" s="45" t="s">
        <v>120</v>
      </c>
      <c r="DN56" s="45" t="s">
        <v>46</v>
      </c>
      <c r="DO56" s="45" t="s">
        <v>33</v>
      </c>
      <c r="DP56" s="45" t="s">
        <v>142</v>
      </c>
      <c r="DQ56" s="45" t="s">
        <v>12</v>
      </c>
      <c r="DR56" s="45" t="s">
        <v>145</v>
      </c>
      <c r="DS56" s="45" t="s">
        <v>26</v>
      </c>
      <c r="DT56" s="45" t="s">
        <v>84</v>
      </c>
      <c r="DU56" s="45" t="s">
        <v>43</v>
      </c>
      <c r="DV56" s="45" t="s">
        <v>120</v>
      </c>
      <c r="DW56" s="45" t="s">
        <v>120</v>
      </c>
      <c r="DX56" s="45" t="s">
        <v>77</v>
      </c>
      <c r="DY56" s="45" t="s">
        <v>77</v>
      </c>
      <c r="DZ56" s="45" t="s">
        <v>143</v>
      </c>
      <c r="EA56" s="45" t="s">
        <v>84</v>
      </c>
      <c r="EB56" s="45" t="s">
        <v>143</v>
      </c>
      <c r="EC56" s="45" t="s">
        <v>142</v>
      </c>
      <c r="ED56" s="45" t="s">
        <v>26</v>
      </c>
      <c r="EE56" s="45" t="s">
        <v>77</v>
      </c>
      <c r="EF56" s="45" t="s">
        <v>77</v>
      </c>
      <c r="EG56" s="45" t="s">
        <v>77</v>
      </c>
      <c r="EH56" s="45" t="s">
        <v>26</v>
      </c>
      <c r="EI56" s="45" t="s">
        <v>26</v>
      </c>
      <c r="EJ56" s="45" t="s">
        <v>77</v>
      </c>
    </row>
    <row r="57" customFormat="false" ht="15.75" hidden="false" customHeight="false" outlineLevel="0" collapsed="false">
      <c r="A57" s="249" t="n">
        <v>46</v>
      </c>
      <c r="B57" s="250" t="s">
        <v>94</v>
      </c>
      <c r="C57" s="45" t="s">
        <v>41</v>
      </c>
      <c r="D57" s="45" t="s">
        <v>41</v>
      </c>
      <c r="E57" s="45" t="s">
        <v>62</v>
      </c>
      <c r="F57" s="45" t="s">
        <v>151</v>
      </c>
      <c r="G57" s="45" t="s">
        <v>111</v>
      </c>
      <c r="H57" s="45" t="s">
        <v>129</v>
      </c>
      <c r="I57" s="45" t="s">
        <v>111</v>
      </c>
      <c r="J57" s="45" t="s">
        <v>96</v>
      </c>
      <c r="K57" s="45" t="s">
        <v>144</v>
      </c>
      <c r="L57" s="45" t="s">
        <v>101</v>
      </c>
      <c r="M57" s="45" t="s">
        <v>120</v>
      </c>
      <c r="N57" s="45" t="s">
        <v>150</v>
      </c>
      <c r="O57" s="45" t="s">
        <v>128</v>
      </c>
      <c r="P57" s="45" t="s">
        <v>64</v>
      </c>
      <c r="Q57" s="45" t="s">
        <v>64</v>
      </c>
      <c r="R57" s="45" t="s">
        <v>41</v>
      </c>
      <c r="S57" s="45" t="s">
        <v>150</v>
      </c>
      <c r="T57" s="45" t="s">
        <v>62</v>
      </c>
      <c r="U57" s="45" t="s">
        <v>150</v>
      </c>
      <c r="V57" s="45" t="s">
        <v>41</v>
      </c>
      <c r="W57" s="45" t="s">
        <v>64</v>
      </c>
      <c r="X57" s="45" t="s">
        <v>66</v>
      </c>
      <c r="Y57" s="45" t="s">
        <v>46</v>
      </c>
      <c r="Z57" s="45" t="s">
        <v>64</v>
      </c>
      <c r="AA57" s="45" t="s">
        <v>91</v>
      </c>
      <c r="AB57" s="45" t="s">
        <v>41</v>
      </c>
      <c r="AC57" s="45" t="s">
        <v>151</v>
      </c>
      <c r="AD57" s="45" t="s">
        <v>108</v>
      </c>
      <c r="AE57" s="45" t="s">
        <v>54</v>
      </c>
      <c r="AF57" s="45" t="s">
        <v>101</v>
      </c>
      <c r="AG57" s="45" t="s">
        <v>96</v>
      </c>
      <c r="AH57" s="45" t="s">
        <v>31</v>
      </c>
      <c r="AI57" s="45" t="s">
        <v>129</v>
      </c>
      <c r="AJ57" s="45" t="s">
        <v>126</v>
      </c>
      <c r="AK57" s="45" t="s">
        <v>63</v>
      </c>
      <c r="AL57" s="45" t="s">
        <v>151</v>
      </c>
      <c r="AM57" s="45" t="s">
        <v>151</v>
      </c>
      <c r="AN57" s="45" t="s">
        <v>143</v>
      </c>
      <c r="AO57" s="45" t="s">
        <v>143</v>
      </c>
      <c r="AP57" s="45" t="s">
        <v>22</v>
      </c>
      <c r="AQ57" s="45" t="s">
        <v>95</v>
      </c>
      <c r="AR57" s="45" t="s">
        <v>48</v>
      </c>
      <c r="AS57" s="45" t="s">
        <v>31</v>
      </c>
      <c r="AT57" s="45" t="s">
        <v>48</v>
      </c>
      <c r="AU57" s="45" t="s">
        <v>143</v>
      </c>
      <c r="AV57" s="45" t="s">
        <v>129</v>
      </c>
      <c r="AW57" s="45" t="s">
        <v>58</v>
      </c>
      <c r="AX57" s="45" t="s">
        <v>58</v>
      </c>
      <c r="AY57" s="45" t="s">
        <v>25</v>
      </c>
      <c r="AZ57" s="45" t="s">
        <v>34</v>
      </c>
      <c r="BA57" s="45" t="s">
        <v>48</v>
      </c>
      <c r="BB57" s="45" t="s">
        <v>126</v>
      </c>
      <c r="BC57" s="45" t="s">
        <v>63</v>
      </c>
      <c r="BD57" s="45" t="s">
        <v>66</v>
      </c>
      <c r="BE57" s="45" t="s">
        <v>94</v>
      </c>
      <c r="BF57" s="45" t="s">
        <v>147</v>
      </c>
      <c r="BG57" s="45" t="s">
        <v>55</v>
      </c>
      <c r="BH57" s="45" t="s">
        <v>55</v>
      </c>
      <c r="BI57" s="45" t="s">
        <v>147</v>
      </c>
      <c r="BJ57" s="45" t="s">
        <v>54</v>
      </c>
      <c r="BK57" s="45" t="s">
        <v>26</v>
      </c>
      <c r="BL57" s="45" t="s">
        <v>120</v>
      </c>
      <c r="BM57" s="45" t="s">
        <v>129</v>
      </c>
      <c r="BN57" s="45" t="s">
        <v>143</v>
      </c>
      <c r="BO57" s="45" t="s">
        <v>121</v>
      </c>
      <c r="BP57" s="45" t="s">
        <v>44</v>
      </c>
      <c r="BQ57" s="45" t="s">
        <v>43</v>
      </c>
      <c r="BR57" s="45" t="s">
        <v>145</v>
      </c>
      <c r="BS57" s="45" t="s">
        <v>77</v>
      </c>
      <c r="BT57" s="45" t="s">
        <v>48</v>
      </c>
      <c r="BU57" s="45" t="s">
        <v>43</v>
      </c>
      <c r="BV57" s="45" t="s">
        <v>104</v>
      </c>
      <c r="BW57" s="45" t="s">
        <v>33</v>
      </c>
      <c r="BX57" s="45" t="s">
        <v>63</v>
      </c>
      <c r="BY57" s="45" t="s">
        <v>104</v>
      </c>
      <c r="BZ57" s="45" t="s">
        <v>121</v>
      </c>
      <c r="CA57" s="45" t="s">
        <v>142</v>
      </c>
      <c r="CB57" s="45" t="s">
        <v>142</v>
      </c>
      <c r="CC57" s="45" t="s">
        <v>144</v>
      </c>
      <c r="CD57" s="45" t="s">
        <v>47</v>
      </c>
      <c r="CE57" s="45" t="s">
        <v>43</v>
      </c>
      <c r="CF57" s="45" t="s">
        <v>94</v>
      </c>
      <c r="CG57" s="45" t="s">
        <v>111</v>
      </c>
      <c r="CH57" s="45" t="s">
        <v>36</v>
      </c>
      <c r="CI57" s="45" t="s">
        <v>13</v>
      </c>
      <c r="CJ57" s="45" t="s">
        <v>13</v>
      </c>
      <c r="CK57" s="45" t="s">
        <v>77</v>
      </c>
      <c r="CL57" s="45" t="s">
        <v>145</v>
      </c>
      <c r="CM57" s="45" t="s">
        <v>89</v>
      </c>
      <c r="CN57" s="45" t="s">
        <v>46</v>
      </c>
      <c r="CO57" s="45" t="s">
        <v>55</v>
      </c>
      <c r="CP57" s="45" t="s">
        <v>54</v>
      </c>
      <c r="CQ57" s="45" t="s">
        <v>84</v>
      </c>
      <c r="CR57" s="45" t="s">
        <v>142</v>
      </c>
      <c r="CS57" s="45" t="s">
        <v>120</v>
      </c>
      <c r="CT57" s="45" t="s">
        <v>96</v>
      </c>
      <c r="CU57" s="45" t="s">
        <v>96</v>
      </c>
      <c r="CV57" s="45" t="s">
        <v>120</v>
      </c>
      <c r="CW57" s="45" t="s">
        <v>51</v>
      </c>
      <c r="CX57" s="45" t="s">
        <v>89</v>
      </c>
      <c r="CY57" s="45" t="s">
        <v>44</v>
      </c>
      <c r="CZ57" s="45" t="s">
        <v>77</v>
      </c>
      <c r="DA57" s="45" t="s">
        <v>77</v>
      </c>
      <c r="DB57" s="45" t="s">
        <v>108</v>
      </c>
      <c r="DC57" s="45" t="s">
        <v>47</v>
      </c>
      <c r="DD57" s="45" t="s">
        <v>29</v>
      </c>
      <c r="DE57" s="45" t="s">
        <v>26</v>
      </c>
      <c r="DF57" s="45" t="s">
        <v>77</v>
      </c>
      <c r="DG57" s="45" t="s">
        <v>25</v>
      </c>
      <c r="DH57" s="45" t="s">
        <v>84</v>
      </c>
      <c r="DI57" s="45" t="s">
        <v>26</v>
      </c>
      <c r="DJ57" s="45" t="s">
        <v>26</v>
      </c>
      <c r="DK57" s="45" t="s">
        <v>25</v>
      </c>
      <c r="DL57" s="45" t="s">
        <v>25</v>
      </c>
      <c r="DM57" s="45" t="s">
        <v>26</v>
      </c>
      <c r="DN57" s="45" t="s">
        <v>94</v>
      </c>
      <c r="DO57" s="45" t="s">
        <v>55</v>
      </c>
      <c r="DP57" s="45" t="s">
        <v>145</v>
      </c>
      <c r="DQ57" s="45" t="s">
        <v>153</v>
      </c>
      <c r="DR57" s="45" t="s">
        <v>12</v>
      </c>
      <c r="DS57" s="45" t="s">
        <v>51</v>
      </c>
      <c r="DT57" s="45" t="s">
        <v>77</v>
      </c>
      <c r="DU57" s="45" t="s">
        <v>58</v>
      </c>
      <c r="DV57" s="45" t="s">
        <v>26</v>
      </c>
      <c r="DW57" s="45" t="s">
        <v>26</v>
      </c>
      <c r="DX57" s="45" t="s">
        <v>18</v>
      </c>
      <c r="DY57" s="45" t="s">
        <v>37</v>
      </c>
      <c r="DZ57" s="45" t="s">
        <v>12</v>
      </c>
      <c r="EA57" s="45" t="s">
        <v>77</v>
      </c>
      <c r="EB57" s="45" t="s">
        <v>12</v>
      </c>
      <c r="EC57" s="45" t="s">
        <v>145</v>
      </c>
      <c r="ED57" s="45" t="s">
        <v>51</v>
      </c>
      <c r="EE57" s="45" t="s">
        <v>18</v>
      </c>
      <c r="EF57" s="45" t="s">
        <v>115</v>
      </c>
      <c r="EG57" s="45" t="s">
        <v>67</v>
      </c>
      <c r="EH57" s="45" t="s">
        <v>51</v>
      </c>
      <c r="EI57" s="45" t="s">
        <v>115</v>
      </c>
      <c r="EJ57" s="45" t="s">
        <v>115</v>
      </c>
    </row>
    <row r="58" customFormat="false" ht="15.75" hidden="false" customHeight="false" outlineLevel="0" collapsed="false">
      <c r="A58" s="249" t="n">
        <v>47</v>
      </c>
      <c r="B58" s="250" t="s">
        <v>63</v>
      </c>
      <c r="C58" s="45" t="s">
        <v>139</v>
      </c>
      <c r="D58" s="45" t="s">
        <v>139</v>
      </c>
      <c r="E58" s="45" t="s">
        <v>85</v>
      </c>
      <c r="F58" s="45" t="s">
        <v>40</v>
      </c>
      <c r="G58" s="45" t="s">
        <v>41</v>
      </c>
      <c r="H58" s="45" t="s">
        <v>111</v>
      </c>
      <c r="I58" s="45" t="s">
        <v>62</v>
      </c>
      <c r="J58" s="45" t="s">
        <v>129</v>
      </c>
      <c r="K58" s="45" t="s">
        <v>64</v>
      </c>
      <c r="L58" s="45" t="s">
        <v>151</v>
      </c>
      <c r="M58" s="45" t="s">
        <v>116</v>
      </c>
      <c r="N58" s="45" t="s">
        <v>41</v>
      </c>
      <c r="O58" s="45" t="s">
        <v>151</v>
      </c>
      <c r="P58" s="45" t="s">
        <v>129</v>
      </c>
      <c r="Q58" s="45" t="s">
        <v>129</v>
      </c>
      <c r="R58" s="45" t="s">
        <v>69</v>
      </c>
      <c r="S58" s="45" t="s">
        <v>41</v>
      </c>
      <c r="T58" s="45" t="s">
        <v>85</v>
      </c>
      <c r="U58" s="45" t="s">
        <v>41</v>
      </c>
      <c r="V58" s="45" t="s">
        <v>69</v>
      </c>
      <c r="W58" s="45" t="s">
        <v>129</v>
      </c>
      <c r="X58" s="45" t="s">
        <v>33</v>
      </c>
      <c r="Y58" s="45" t="s">
        <v>96</v>
      </c>
      <c r="Z58" s="45" t="s">
        <v>129</v>
      </c>
      <c r="AA58" s="45" t="s">
        <v>150</v>
      </c>
      <c r="AB58" s="45" t="s">
        <v>85</v>
      </c>
      <c r="AC58" s="45" t="s">
        <v>40</v>
      </c>
      <c r="AD58" s="45" t="s">
        <v>94</v>
      </c>
      <c r="AE58" s="45" t="s">
        <v>66</v>
      </c>
      <c r="AF58" s="45" t="s">
        <v>151</v>
      </c>
      <c r="AG58" s="45" t="s">
        <v>128</v>
      </c>
      <c r="AH58" s="45" t="s">
        <v>55</v>
      </c>
      <c r="AI58" s="45" t="s">
        <v>111</v>
      </c>
      <c r="AJ58" s="45" t="s">
        <v>46</v>
      </c>
      <c r="AK58" s="45" t="s">
        <v>46</v>
      </c>
      <c r="AL58" s="45" t="s">
        <v>62</v>
      </c>
      <c r="AM58" s="45" t="s">
        <v>40</v>
      </c>
      <c r="AN58" s="45" t="s">
        <v>120</v>
      </c>
      <c r="AO58" s="45" t="s">
        <v>25</v>
      </c>
      <c r="AP58" s="45" t="s">
        <v>96</v>
      </c>
      <c r="AQ58" s="45" t="s">
        <v>55</v>
      </c>
      <c r="AR58" s="45" t="s">
        <v>94</v>
      </c>
      <c r="AS58" s="45" t="s">
        <v>55</v>
      </c>
      <c r="AT58" s="45" t="s">
        <v>94</v>
      </c>
      <c r="AU58" s="45" t="s">
        <v>120</v>
      </c>
      <c r="AV58" s="45" t="s">
        <v>150</v>
      </c>
      <c r="AW58" s="45" t="s">
        <v>44</v>
      </c>
      <c r="AX58" s="45" t="s">
        <v>36</v>
      </c>
      <c r="AY58" s="45" t="s">
        <v>58</v>
      </c>
      <c r="AZ58" s="45" t="s">
        <v>108</v>
      </c>
      <c r="BA58" s="45" t="s">
        <v>94</v>
      </c>
      <c r="BB58" s="45" t="s">
        <v>46</v>
      </c>
      <c r="BC58" s="45" t="s">
        <v>33</v>
      </c>
      <c r="BD58" s="45" t="s">
        <v>64</v>
      </c>
      <c r="BE58" s="45" t="s">
        <v>147</v>
      </c>
      <c r="BF58" s="45" t="s">
        <v>63</v>
      </c>
      <c r="BG58" s="45" t="s">
        <v>63</v>
      </c>
      <c r="BH58" s="45" t="s">
        <v>126</v>
      </c>
      <c r="BI58" s="45" t="s">
        <v>63</v>
      </c>
      <c r="BJ58" s="45" t="s">
        <v>144</v>
      </c>
      <c r="BK58" s="45" t="s">
        <v>143</v>
      </c>
      <c r="BL58" s="45" t="s">
        <v>58</v>
      </c>
      <c r="BM58" s="45" t="s">
        <v>150</v>
      </c>
      <c r="BN58" s="45" t="s">
        <v>25</v>
      </c>
      <c r="BO58" s="45" t="s">
        <v>48</v>
      </c>
      <c r="BP58" s="45" t="s">
        <v>43</v>
      </c>
      <c r="BQ58" s="45" t="s">
        <v>47</v>
      </c>
      <c r="BR58" s="45" t="s">
        <v>84</v>
      </c>
      <c r="BS58" s="45" t="s">
        <v>26</v>
      </c>
      <c r="BT58" s="45" t="s">
        <v>94</v>
      </c>
      <c r="BU58" s="45" t="s">
        <v>104</v>
      </c>
      <c r="BV58" s="45" t="s">
        <v>31</v>
      </c>
      <c r="BW58" s="45" t="s">
        <v>91</v>
      </c>
      <c r="BX58" s="45" t="s">
        <v>22</v>
      </c>
      <c r="BY58" s="45" t="s">
        <v>48</v>
      </c>
      <c r="BZ58" s="45" t="s">
        <v>48</v>
      </c>
      <c r="CA58" s="45" t="s">
        <v>13</v>
      </c>
      <c r="CB58" s="45" t="s">
        <v>13</v>
      </c>
      <c r="CC58" s="45" t="s">
        <v>64</v>
      </c>
      <c r="CD58" s="45" t="s">
        <v>95</v>
      </c>
      <c r="CE58" s="45" t="s">
        <v>104</v>
      </c>
      <c r="CF58" s="45" t="s">
        <v>55</v>
      </c>
      <c r="CG58" s="45" t="s">
        <v>62</v>
      </c>
      <c r="CH58" s="45" t="s">
        <v>43</v>
      </c>
      <c r="CI58" s="45" t="s">
        <v>89</v>
      </c>
      <c r="CJ58" s="45" t="s">
        <v>89</v>
      </c>
      <c r="CK58" s="45" t="s">
        <v>26</v>
      </c>
      <c r="CL58" s="45" t="s">
        <v>25</v>
      </c>
      <c r="CM58" s="45" t="s">
        <v>29</v>
      </c>
      <c r="CN58" s="45" t="s">
        <v>64</v>
      </c>
      <c r="CO58" s="45" t="s">
        <v>54</v>
      </c>
      <c r="CP58" s="45" t="s">
        <v>66</v>
      </c>
      <c r="CQ58" s="45" t="s">
        <v>120</v>
      </c>
      <c r="CR58" s="45" t="s">
        <v>13</v>
      </c>
      <c r="CS58" s="45" t="s">
        <v>116</v>
      </c>
      <c r="CT58" s="45" t="s">
        <v>101</v>
      </c>
      <c r="CU58" s="45" t="s">
        <v>101</v>
      </c>
      <c r="CV58" s="45" t="s">
        <v>58</v>
      </c>
      <c r="CW58" s="45" t="s">
        <v>12</v>
      </c>
      <c r="CX58" s="45" t="s">
        <v>34</v>
      </c>
      <c r="CY58" s="45" t="s">
        <v>43</v>
      </c>
      <c r="CZ58" s="45" t="s">
        <v>145</v>
      </c>
      <c r="DA58" s="45" t="s">
        <v>145</v>
      </c>
      <c r="DB58" s="45" t="s">
        <v>94</v>
      </c>
      <c r="DC58" s="45" t="s">
        <v>31</v>
      </c>
      <c r="DD58" s="45" t="s">
        <v>108</v>
      </c>
      <c r="DE58" s="45" t="s">
        <v>143</v>
      </c>
      <c r="DF58" s="45" t="s">
        <v>26</v>
      </c>
      <c r="DG58" s="45" t="s">
        <v>142</v>
      </c>
      <c r="DH58" s="45" t="s">
        <v>120</v>
      </c>
      <c r="DI58" s="45" t="s">
        <v>145</v>
      </c>
      <c r="DJ58" s="45" t="s">
        <v>145</v>
      </c>
      <c r="DK58" s="45" t="s">
        <v>142</v>
      </c>
      <c r="DL58" s="45" t="s">
        <v>142</v>
      </c>
      <c r="DM58" s="45" t="s">
        <v>143</v>
      </c>
      <c r="DN58" s="45" t="s">
        <v>54</v>
      </c>
      <c r="DO58" s="45" t="s">
        <v>126</v>
      </c>
      <c r="DP58" s="45" t="s">
        <v>143</v>
      </c>
      <c r="DQ58" s="45" t="s">
        <v>115</v>
      </c>
      <c r="DR58" s="45" t="s">
        <v>77</v>
      </c>
      <c r="DS58" s="45" t="s">
        <v>77</v>
      </c>
      <c r="DT58" s="45" t="s">
        <v>26</v>
      </c>
      <c r="DU58" s="45" t="s">
        <v>36</v>
      </c>
      <c r="DV58" s="45" t="s">
        <v>143</v>
      </c>
      <c r="DW58" s="45" t="s">
        <v>143</v>
      </c>
      <c r="DX58" s="45" t="s">
        <v>51</v>
      </c>
      <c r="DY58" s="45" t="s">
        <v>51</v>
      </c>
      <c r="DZ58" s="45" t="s">
        <v>77</v>
      </c>
      <c r="EA58" s="45" t="s">
        <v>26</v>
      </c>
      <c r="EB58" s="45" t="s">
        <v>26</v>
      </c>
      <c r="EC58" s="45" t="s">
        <v>84</v>
      </c>
      <c r="ED58" s="45" t="s">
        <v>77</v>
      </c>
      <c r="EE58" s="45" t="s">
        <v>51</v>
      </c>
      <c r="EF58" s="45" t="s">
        <v>133</v>
      </c>
      <c r="EG58" s="45" t="s">
        <v>51</v>
      </c>
      <c r="EH58" s="45" t="s">
        <v>12</v>
      </c>
      <c r="EI58" s="45" t="s">
        <v>12</v>
      </c>
      <c r="EJ58" s="45" t="s">
        <v>133</v>
      </c>
    </row>
    <row r="59" customFormat="false" ht="15.75" hidden="false" customHeight="false" outlineLevel="0" collapsed="false">
      <c r="A59" s="249" t="n">
        <v>48</v>
      </c>
      <c r="B59" s="250" t="s">
        <v>126</v>
      </c>
      <c r="C59" s="45" t="s">
        <v>139</v>
      </c>
      <c r="D59" s="45" t="s">
        <v>69</v>
      </c>
      <c r="E59" s="45" t="s">
        <v>85</v>
      </c>
      <c r="F59" s="45" t="s">
        <v>62</v>
      </c>
      <c r="G59" s="45" t="s">
        <v>41</v>
      </c>
      <c r="H59" s="45" t="s">
        <v>111</v>
      </c>
      <c r="I59" s="45" t="s">
        <v>41</v>
      </c>
      <c r="J59" s="45" t="s">
        <v>129</v>
      </c>
      <c r="K59" s="45" t="s">
        <v>64</v>
      </c>
      <c r="L59" s="45" t="s">
        <v>151</v>
      </c>
      <c r="M59" s="45" t="s">
        <v>58</v>
      </c>
      <c r="N59" s="45" t="s">
        <v>151</v>
      </c>
      <c r="O59" s="45" t="s">
        <v>151</v>
      </c>
      <c r="P59" s="45" t="s">
        <v>129</v>
      </c>
      <c r="Q59" s="45" t="s">
        <v>129</v>
      </c>
      <c r="R59" s="45" t="s">
        <v>40</v>
      </c>
      <c r="S59" s="45" t="s">
        <v>41</v>
      </c>
      <c r="T59" s="45" t="s">
        <v>85</v>
      </c>
      <c r="U59" s="45" t="s">
        <v>41</v>
      </c>
      <c r="V59" s="45" t="s">
        <v>69</v>
      </c>
      <c r="W59" s="45" t="s">
        <v>129</v>
      </c>
      <c r="X59" s="45" t="s">
        <v>33</v>
      </c>
      <c r="Y59" s="45" t="s">
        <v>96</v>
      </c>
      <c r="Z59" s="45" t="s">
        <v>127</v>
      </c>
      <c r="AA59" s="45" t="s">
        <v>128</v>
      </c>
      <c r="AB59" s="45" t="s">
        <v>139</v>
      </c>
      <c r="AC59" s="45" t="s">
        <v>40</v>
      </c>
      <c r="AD59" s="45" t="s">
        <v>94</v>
      </c>
      <c r="AE59" s="45" t="s">
        <v>66</v>
      </c>
      <c r="AF59" s="45" t="s">
        <v>111</v>
      </c>
      <c r="AG59" s="45" t="s">
        <v>101</v>
      </c>
      <c r="AH59" s="45" t="s">
        <v>94</v>
      </c>
      <c r="AI59" s="45" t="s">
        <v>150</v>
      </c>
      <c r="AJ59" s="45" t="s">
        <v>46</v>
      </c>
      <c r="AK59" s="45" t="s">
        <v>46</v>
      </c>
      <c r="AL59" s="45" t="s">
        <v>62</v>
      </c>
      <c r="AM59" s="45" t="s">
        <v>62</v>
      </c>
      <c r="AN59" s="45" t="s">
        <v>120</v>
      </c>
      <c r="AO59" s="45" t="s">
        <v>25</v>
      </c>
      <c r="AP59" s="45" t="s">
        <v>96</v>
      </c>
      <c r="AQ59" s="45" t="s">
        <v>55</v>
      </c>
      <c r="AR59" s="45" t="s">
        <v>94</v>
      </c>
      <c r="AS59" s="45" t="s">
        <v>55</v>
      </c>
      <c r="AT59" s="45" t="s">
        <v>94</v>
      </c>
      <c r="AU59" s="45" t="s">
        <v>25</v>
      </c>
      <c r="AV59" s="45" t="s">
        <v>150</v>
      </c>
      <c r="AW59" s="45" t="s">
        <v>36</v>
      </c>
      <c r="AX59" s="45" t="s">
        <v>36</v>
      </c>
      <c r="AY59" s="45" t="s">
        <v>142</v>
      </c>
      <c r="AZ59" s="45" t="s">
        <v>108</v>
      </c>
      <c r="BA59" s="45" t="s">
        <v>94</v>
      </c>
      <c r="BB59" s="45" t="s">
        <v>144</v>
      </c>
      <c r="BC59" s="45" t="s">
        <v>22</v>
      </c>
      <c r="BD59" s="45" t="s">
        <v>33</v>
      </c>
      <c r="BE59" s="45" t="s">
        <v>55</v>
      </c>
      <c r="BF59" s="45" t="s">
        <v>63</v>
      </c>
      <c r="BG59" s="45" t="s">
        <v>126</v>
      </c>
      <c r="BH59" s="45" t="s">
        <v>54</v>
      </c>
      <c r="BI59" s="45" t="s">
        <v>63</v>
      </c>
      <c r="BJ59" s="45" t="s">
        <v>66</v>
      </c>
      <c r="BK59" s="45" t="s">
        <v>143</v>
      </c>
      <c r="BL59" s="45" t="s">
        <v>58</v>
      </c>
      <c r="BM59" s="45" t="s">
        <v>150</v>
      </c>
      <c r="BN59" s="45" t="s">
        <v>25</v>
      </c>
      <c r="BO59" s="45" t="s">
        <v>108</v>
      </c>
      <c r="BP59" s="45" t="s">
        <v>43</v>
      </c>
      <c r="BQ59" s="45" t="s">
        <v>104</v>
      </c>
      <c r="BR59" s="45" t="s">
        <v>143</v>
      </c>
      <c r="BS59" s="45" t="s">
        <v>26</v>
      </c>
      <c r="BT59" s="45" t="s">
        <v>94</v>
      </c>
      <c r="BU59" s="45" t="s">
        <v>121</v>
      </c>
      <c r="BV59" s="45" t="s">
        <v>48</v>
      </c>
      <c r="BW59" s="45" t="s">
        <v>96</v>
      </c>
      <c r="BX59" s="45" t="s">
        <v>46</v>
      </c>
      <c r="BY59" s="45" t="s">
        <v>48</v>
      </c>
      <c r="BZ59" s="45" t="s">
        <v>48</v>
      </c>
      <c r="CA59" s="45" t="s">
        <v>13</v>
      </c>
      <c r="CB59" s="45" t="s">
        <v>13</v>
      </c>
      <c r="CC59" s="45" t="s">
        <v>64</v>
      </c>
      <c r="CD59" s="45" t="s">
        <v>31</v>
      </c>
      <c r="CE59" s="45" t="s">
        <v>104</v>
      </c>
      <c r="CF59" s="45" t="s">
        <v>55</v>
      </c>
      <c r="CG59" s="45" t="s">
        <v>41</v>
      </c>
      <c r="CH59" s="45" t="s">
        <v>43</v>
      </c>
      <c r="CI59" s="45" t="s">
        <v>44</v>
      </c>
      <c r="CJ59" s="45" t="s">
        <v>89</v>
      </c>
      <c r="CK59" s="45" t="s">
        <v>26</v>
      </c>
      <c r="CL59" s="45" t="s">
        <v>84</v>
      </c>
      <c r="CM59" s="45" t="s">
        <v>29</v>
      </c>
      <c r="CN59" s="45" t="s">
        <v>64</v>
      </c>
      <c r="CO59" s="45" t="s">
        <v>54</v>
      </c>
      <c r="CP59" s="45" t="s">
        <v>63</v>
      </c>
      <c r="CQ59" s="45" t="s">
        <v>120</v>
      </c>
      <c r="CR59" s="45" t="s">
        <v>116</v>
      </c>
      <c r="CS59" s="45" t="s">
        <v>116</v>
      </c>
      <c r="CT59" s="45" t="s">
        <v>129</v>
      </c>
      <c r="CU59" s="45" t="s">
        <v>101</v>
      </c>
      <c r="CV59" s="45" t="s">
        <v>58</v>
      </c>
      <c r="CW59" s="45" t="s">
        <v>12</v>
      </c>
      <c r="CX59" s="45" t="s">
        <v>29</v>
      </c>
      <c r="CY59" s="45" t="s">
        <v>43</v>
      </c>
      <c r="CZ59" s="45" t="s">
        <v>145</v>
      </c>
      <c r="DA59" s="45" t="s">
        <v>26</v>
      </c>
      <c r="DB59" s="45" t="s">
        <v>95</v>
      </c>
      <c r="DC59" s="45" t="s">
        <v>31</v>
      </c>
      <c r="DD59" s="45" t="s">
        <v>47</v>
      </c>
      <c r="DE59" s="45" t="s">
        <v>143</v>
      </c>
      <c r="DF59" s="45" t="s">
        <v>26</v>
      </c>
      <c r="DG59" s="45" t="s">
        <v>142</v>
      </c>
      <c r="DH59" s="45" t="s">
        <v>120</v>
      </c>
      <c r="DI59" s="45" t="s">
        <v>145</v>
      </c>
      <c r="DJ59" s="45" t="s">
        <v>145</v>
      </c>
      <c r="DK59" s="45" t="s">
        <v>120</v>
      </c>
      <c r="DL59" s="45" t="s">
        <v>142</v>
      </c>
      <c r="DM59" s="45" t="s">
        <v>143</v>
      </c>
      <c r="DN59" s="45" t="s">
        <v>54</v>
      </c>
      <c r="DO59" s="45" t="s">
        <v>126</v>
      </c>
      <c r="DP59" s="45" t="s">
        <v>143</v>
      </c>
      <c r="DQ59" s="45" t="s">
        <v>115</v>
      </c>
      <c r="DR59" s="45" t="s">
        <v>77</v>
      </c>
      <c r="DS59" s="45" t="s">
        <v>77</v>
      </c>
      <c r="DT59" s="45" t="s">
        <v>26</v>
      </c>
      <c r="DU59" s="45" t="s">
        <v>13</v>
      </c>
      <c r="DV59" s="45" t="s">
        <v>145</v>
      </c>
      <c r="DW59" s="45" t="s">
        <v>145</v>
      </c>
      <c r="DX59" s="45" t="s">
        <v>51</v>
      </c>
      <c r="DY59" s="45" t="s">
        <v>115</v>
      </c>
      <c r="DZ59" s="45" t="s">
        <v>77</v>
      </c>
      <c r="EA59" s="45" t="s">
        <v>26</v>
      </c>
      <c r="EB59" s="45" t="s">
        <v>77</v>
      </c>
      <c r="EC59" s="45" t="s">
        <v>84</v>
      </c>
      <c r="ED59" s="45" t="s">
        <v>12</v>
      </c>
      <c r="EE59" s="45" t="s">
        <v>51</v>
      </c>
      <c r="EF59" s="45" t="s">
        <v>51</v>
      </c>
      <c r="EG59" s="45" t="s">
        <v>51</v>
      </c>
      <c r="EH59" s="45" t="s">
        <v>12</v>
      </c>
      <c r="EI59" s="45" t="s">
        <v>133</v>
      </c>
      <c r="EJ59" s="45" t="s">
        <v>133</v>
      </c>
    </row>
    <row r="60" customFormat="false" ht="15.75" hidden="false" customHeight="false" outlineLevel="0" collapsed="false">
      <c r="A60" s="249" t="n">
        <v>48</v>
      </c>
      <c r="B60" s="250" t="s">
        <v>127</v>
      </c>
      <c r="C60" s="45" t="s">
        <v>40</v>
      </c>
      <c r="D60" s="45" t="s">
        <v>40</v>
      </c>
      <c r="E60" s="45" t="s">
        <v>139</v>
      </c>
      <c r="F60" s="45" t="s">
        <v>41</v>
      </c>
      <c r="G60" s="45" t="s">
        <v>41</v>
      </c>
      <c r="H60" s="45" t="s">
        <v>150</v>
      </c>
      <c r="I60" s="45" t="s">
        <v>41</v>
      </c>
      <c r="J60" s="45" t="s">
        <v>129</v>
      </c>
      <c r="K60" s="45" t="s">
        <v>33</v>
      </c>
      <c r="L60" s="45" t="s">
        <v>111</v>
      </c>
      <c r="M60" s="45" t="s">
        <v>58</v>
      </c>
      <c r="N60" s="45" t="s">
        <v>151</v>
      </c>
      <c r="O60" s="45" t="s">
        <v>111</v>
      </c>
      <c r="P60" s="45" t="s">
        <v>91</v>
      </c>
      <c r="Q60" s="45" t="s">
        <v>91</v>
      </c>
      <c r="R60" s="45" t="s">
        <v>62</v>
      </c>
      <c r="S60" s="45" t="s">
        <v>151</v>
      </c>
      <c r="T60" s="45" t="s">
        <v>139</v>
      </c>
      <c r="U60" s="45" t="s">
        <v>151</v>
      </c>
      <c r="V60" s="45" t="s">
        <v>40</v>
      </c>
      <c r="W60" s="45" t="s">
        <v>96</v>
      </c>
      <c r="X60" s="45" t="s">
        <v>46</v>
      </c>
      <c r="Y60" s="45" t="s">
        <v>64</v>
      </c>
      <c r="Z60" s="45" t="s">
        <v>96</v>
      </c>
      <c r="AA60" s="45" t="s">
        <v>101</v>
      </c>
      <c r="AB60" s="45" t="s">
        <v>69</v>
      </c>
      <c r="AC60" s="45" t="s">
        <v>62</v>
      </c>
      <c r="AD60" s="45" t="s">
        <v>31</v>
      </c>
      <c r="AE60" s="45" t="s">
        <v>63</v>
      </c>
      <c r="AF60" s="45" t="s">
        <v>150</v>
      </c>
      <c r="AG60" s="45" t="s">
        <v>129</v>
      </c>
      <c r="AH60" s="45" t="s">
        <v>94</v>
      </c>
      <c r="AI60" s="45" t="s">
        <v>150</v>
      </c>
      <c r="AJ60" s="45" t="s">
        <v>66</v>
      </c>
      <c r="AK60" s="45" t="s">
        <v>144</v>
      </c>
      <c r="AL60" s="45" t="s">
        <v>41</v>
      </c>
      <c r="AM60" s="45" t="s">
        <v>41</v>
      </c>
      <c r="AN60" s="45" t="s">
        <v>25</v>
      </c>
      <c r="AO60" s="45" t="s">
        <v>84</v>
      </c>
      <c r="AP60" s="45" t="s">
        <v>64</v>
      </c>
      <c r="AQ60" s="45" t="s">
        <v>94</v>
      </c>
      <c r="AR60" s="45" t="s">
        <v>94</v>
      </c>
      <c r="AS60" s="45" t="s">
        <v>94</v>
      </c>
      <c r="AT60" s="45" t="s">
        <v>94</v>
      </c>
      <c r="AU60" s="45" t="s">
        <v>25</v>
      </c>
      <c r="AV60" s="45" t="s">
        <v>128</v>
      </c>
      <c r="AW60" s="45" t="s">
        <v>13</v>
      </c>
      <c r="AX60" s="45" t="s">
        <v>13</v>
      </c>
      <c r="AY60" s="45" t="s">
        <v>142</v>
      </c>
      <c r="AZ60" s="45" t="s">
        <v>47</v>
      </c>
      <c r="BA60" s="45" t="s">
        <v>94</v>
      </c>
      <c r="BB60" s="45" t="s">
        <v>66</v>
      </c>
      <c r="BC60" s="45" t="s">
        <v>46</v>
      </c>
      <c r="BD60" s="45" t="s">
        <v>22</v>
      </c>
      <c r="BE60" s="45" t="s">
        <v>55</v>
      </c>
      <c r="BF60" s="45" t="s">
        <v>126</v>
      </c>
      <c r="BG60" s="45" t="s">
        <v>54</v>
      </c>
      <c r="BH60" s="45" t="s">
        <v>127</v>
      </c>
      <c r="BI60" s="45" t="s">
        <v>126</v>
      </c>
      <c r="BJ60" s="45" t="s">
        <v>63</v>
      </c>
      <c r="BK60" s="45" t="s">
        <v>145</v>
      </c>
      <c r="BL60" s="45" t="s">
        <v>142</v>
      </c>
      <c r="BM60" s="45" t="s">
        <v>101</v>
      </c>
      <c r="BN60" s="45" t="s">
        <v>25</v>
      </c>
      <c r="BO60" s="45" t="s">
        <v>47</v>
      </c>
      <c r="BP60" s="45" t="s">
        <v>43</v>
      </c>
      <c r="BQ60" s="45" t="s">
        <v>121</v>
      </c>
      <c r="BR60" s="45" t="s">
        <v>143</v>
      </c>
      <c r="BS60" s="45" t="s">
        <v>26</v>
      </c>
      <c r="BT60" s="45" t="s">
        <v>95</v>
      </c>
      <c r="BU60" s="45" t="s">
        <v>34</v>
      </c>
      <c r="BV60" s="45" t="s">
        <v>48</v>
      </c>
      <c r="BW60" s="45" t="s">
        <v>96</v>
      </c>
      <c r="BX60" s="45" t="s">
        <v>46</v>
      </c>
      <c r="BY60" s="45" t="s">
        <v>108</v>
      </c>
      <c r="BZ60" s="45" t="s">
        <v>108</v>
      </c>
      <c r="CA60" s="45" t="s">
        <v>116</v>
      </c>
      <c r="CB60" s="45" t="s">
        <v>116</v>
      </c>
      <c r="CC60" s="45" t="s">
        <v>33</v>
      </c>
      <c r="CD60" s="45" t="s">
        <v>48</v>
      </c>
      <c r="CE60" s="45" t="s">
        <v>121</v>
      </c>
      <c r="CF60" s="45" t="s">
        <v>55</v>
      </c>
      <c r="CG60" s="45" t="s">
        <v>41</v>
      </c>
      <c r="CH60" s="45" t="s">
        <v>89</v>
      </c>
      <c r="CI60" s="45" t="s">
        <v>44</v>
      </c>
      <c r="CJ60" s="45" t="s">
        <v>44</v>
      </c>
      <c r="CK60" s="45" t="s">
        <v>77</v>
      </c>
      <c r="CL60" s="45" t="s">
        <v>143</v>
      </c>
      <c r="CM60" s="45" t="s">
        <v>43</v>
      </c>
      <c r="CN60" s="45" t="s">
        <v>33</v>
      </c>
      <c r="CO60" s="45" t="s">
        <v>147</v>
      </c>
      <c r="CP60" s="45" t="s">
        <v>63</v>
      </c>
      <c r="CQ60" s="45" t="s">
        <v>120</v>
      </c>
      <c r="CR60" s="45" t="s">
        <v>58</v>
      </c>
      <c r="CS60" s="45" t="s">
        <v>58</v>
      </c>
      <c r="CT60" s="45" t="s">
        <v>129</v>
      </c>
      <c r="CU60" s="45" t="s">
        <v>129</v>
      </c>
      <c r="CV60" s="45" t="s">
        <v>142</v>
      </c>
      <c r="CW60" s="45" t="s">
        <v>12</v>
      </c>
      <c r="CX60" s="45" t="s">
        <v>43</v>
      </c>
      <c r="CY60" s="45" t="s">
        <v>89</v>
      </c>
      <c r="CZ60" s="45" t="s">
        <v>26</v>
      </c>
      <c r="DA60" s="45" t="s">
        <v>26</v>
      </c>
      <c r="DB60" s="45" t="s">
        <v>31</v>
      </c>
      <c r="DC60" s="45" t="s">
        <v>48</v>
      </c>
      <c r="DD60" s="45" t="s">
        <v>104</v>
      </c>
      <c r="DE60" s="45" t="s">
        <v>145</v>
      </c>
      <c r="DF60" s="45" t="s">
        <v>77</v>
      </c>
      <c r="DG60" s="45" t="s">
        <v>120</v>
      </c>
      <c r="DH60" s="45" t="s">
        <v>25</v>
      </c>
      <c r="DI60" s="45" t="s">
        <v>145</v>
      </c>
      <c r="DJ60" s="45" t="s">
        <v>26</v>
      </c>
      <c r="DK60" s="45" t="s">
        <v>120</v>
      </c>
      <c r="DL60" s="45" t="s">
        <v>120</v>
      </c>
      <c r="DM60" s="45" t="s">
        <v>143</v>
      </c>
      <c r="DN60" s="45" t="s">
        <v>147</v>
      </c>
      <c r="DO60" s="45" t="s">
        <v>54</v>
      </c>
      <c r="DP60" s="45" t="s">
        <v>143</v>
      </c>
      <c r="DQ60" s="45" t="s">
        <v>18</v>
      </c>
      <c r="DR60" s="45" t="s">
        <v>77</v>
      </c>
      <c r="DS60" s="45" t="s">
        <v>12</v>
      </c>
      <c r="DT60" s="45" t="s">
        <v>26</v>
      </c>
      <c r="DU60" s="45" t="s">
        <v>13</v>
      </c>
      <c r="DV60" s="45" t="s">
        <v>145</v>
      </c>
      <c r="DW60" s="45" t="s">
        <v>145</v>
      </c>
      <c r="DX60" s="45" t="s">
        <v>115</v>
      </c>
      <c r="DY60" s="45" t="s">
        <v>115</v>
      </c>
      <c r="DZ60" s="45" t="s">
        <v>77</v>
      </c>
      <c r="EA60" s="45" t="s">
        <v>26</v>
      </c>
      <c r="EB60" s="45" t="s">
        <v>77</v>
      </c>
      <c r="EC60" s="45" t="s">
        <v>143</v>
      </c>
      <c r="ED60" s="45" t="s">
        <v>12</v>
      </c>
      <c r="EE60" s="45" t="s">
        <v>51</v>
      </c>
      <c r="EF60" s="45" t="s">
        <v>51</v>
      </c>
      <c r="EG60" s="45" t="s">
        <v>51</v>
      </c>
      <c r="EH60" s="45" t="s">
        <v>133</v>
      </c>
      <c r="EI60" s="45" t="s">
        <v>51</v>
      </c>
      <c r="EJ60" s="45" t="s">
        <v>51</v>
      </c>
    </row>
    <row r="61" customFormat="false" ht="15.75" hidden="false" customHeight="false" outlineLevel="0" collapsed="false">
      <c r="A61" s="249" t="n">
        <v>49</v>
      </c>
      <c r="B61" s="250" t="s">
        <v>66</v>
      </c>
      <c r="C61" s="45" t="s">
        <v>85</v>
      </c>
      <c r="D61" s="45" t="s">
        <v>139</v>
      </c>
      <c r="E61" s="45" t="s">
        <v>86</v>
      </c>
      <c r="F61" s="45" t="s">
        <v>40</v>
      </c>
      <c r="G61" s="45" t="s">
        <v>62</v>
      </c>
      <c r="H61" s="45" t="s">
        <v>151</v>
      </c>
      <c r="I61" s="45" t="s">
        <v>62</v>
      </c>
      <c r="J61" s="45" t="s">
        <v>101</v>
      </c>
      <c r="K61" s="45" t="s">
        <v>64</v>
      </c>
      <c r="L61" s="45" t="s">
        <v>151</v>
      </c>
      <c r="M61" s="45" t="s">
        <v>116</v>
      </c>
      <c r="N61" s="45" t="s">
        <v>41</v>
      </c>
      <c r="O61" s="45" t="s">
        <v>41</v>
      </c>
      <c r="P61" s="45" t="s">
        <v>129</v>
      </c>
      <c r="Q61" s="45" t="s">
        <v>129</v>
      </c>
      <c r="R61" s="45" t="s">
        <v>139</v>
      </c>
      <c r="S61" s="45" t="s">
        <v>41</v>
      </c>
      <c r="T61" s="45" t="s">
        <v>85</v>
      </c>
      <c r="U61" s="45" t="s">
        <v>41</v>
      </c>
      <c r="V61" s="45" t="s">
        <v>139</v>
      </c>
      <c r="W61" s="45" t="s">
        <v>129</v>
      </c>
      <c r="X61" s="45" t="s">
        <v>64</v>
      </c>
      <c r="Y61" s="45" t="s">
        <v>96</v>
      </c>
      <c r="Z61" s="45" t="s">
        <v>129</v>
      </c>
      <c r="AA61" s="45" t="s">
        <v>150</v>
      </c>
      <c r="AB61" s="45" t="s">
        <v>85</v>
      </c>
      <c r="AC61" s="45" t="s">
        <v>69</v>
      </c>
      <c r="AD61" s="45" t="s">
        <v>94</v>
      </c>
      <c r="AE61" s="45" t="s">
        <v>144</v>
      </c>
      <c r="AF61" s="45" t="s">
        <v>151</v>
      </c>
      <c r="AG61" s="45" t="s">
        <v>150</v>
      </c>
      <c r="AH61" s="45" t="s">
        <v>55</v>
      </c>
      <c r="AI61" s="45" t="s">
        <v>111</v>
      </c>
      <c r="AJ61" s="45" t="s">
        <v>46</v>
      </c>
      <c r="AK61" s="45" t="s">
        <v>22</v>
      </c>
      <c r="AL61" s="45" t="s">
        <v>40</v>
      </c>
      <c r="AM61" s="45" t="s">
        <v>40</v>
      </c>
      <c r="AN61" s="45" t="s">
        <v>120</v>
      </c>
      <c r="AO61" s="45" t="s">
        <v>25</v>
      </c>
      <c r="AP61" s="45" t="s">
        <v>96</v>
      </c>
      <c r="AQ61" s="45" t="s">
        <v>55</v>
      </c>
      <c r="AR61" s="45" t="s">
        <v>94</v>
      </c>
      <c r="AS61" s="45" t="s">
        <v>55</v>
      </c>
      <c r="AT61" s="45" t="s">
        <v>55</v>
      </c>
      <c r="AU61" s="45" t="s">
        <v>120</v>
      </c>
      <c r="AV61" s="45" t="s">
        <v>111</v>
      </c>
      <c r="AW61" s="45" t="s">
        <v>44</v>
      </c>
      <c r="AX61" s="45" t="s">
        <v>44</v>
      </c>
      <c r="AY61" s="45" t="s">
        <v>58</v>
      </c>
      <c r="AZ61" s="45" t="s">
        <v>48</v>
      </c>
      <c r="BA61" s="45" t="s">
        <v>55</v>
      </c>
      <c r="BB61" s="45" t="s">
        <v>46</v>
      </c>
      <c r="BC61" s="45" t="s">
        <v>33</v>
      </c>
      <c r="BD61" s="45" t="s">
        <v>64</v>
      </c>
      <c r="BE61" s="45" t="s">
        <v>147</v>
      </c>
      <c r="BF61" s="45" t="s">
        <v>63</v>
      </c>
      <c r="BG61" s="45" t="s">
        <v>63</v>
      </c>
      <c r="BH61" s="45" t="s">
        <v>126</v>
      </c>
      <c r="BI61" s="45" t="s">
        <v>66</v>
      </c>
      <c r="BJ61" s="45" t="s">
        <v>46</v>
      </c>
      <c r="BK61" s="45" t="s">
        <v>143</v>
      </c>
      <c r="BL61" s="45" t="s">
        <v>116</v>
      </c>
      <c r="BM61" s="45" t="s">
        <v>150</v>
      </c>
      <c r="BN61" s="45" t="s">
        <v>120</v>
      </c>
      <c r="BO61" s="45" t="s">
        <v>48</v>
      </c>
      <c r="BP61" s="45" t="s">
        <v>29</v>
      </c>
      <c r="BQ61" s="45" t="s">
        <v>47</v>
      </c>
      <c r="BR61" s="45" t="s">
        <v>84</v>
      </c>
      <c r="BS61" s="45" t="s">
        <v>26</v>
      </c>
      <c r="BT61" s="45" t="s">
        <v>94</v>
      </c>
      <c r="BU61" s="45" t="s">
        <v>104</v>
      </c>
      <c r="BV61" s="45" t="s">
        <v>31</v>
      </c>
      <c r="BW61" s="45" t="s">
        <v>129</v>
      </c>
      <c r="BX61" s="45" t="s">
        <v>33</v>
      </c>
      <c r="BY61" s="45" t="s">
        <v>31</v>
      </c>
      <c r="BZ61" s="45" t="s">
        <v>48</v>
      </c>
      <c r="CA61" s="45" t="s">
        <v>36</v>
      </c>
      <c r="CB61" s="45" t="s">
        <v>13</v>
      </c>
      <c r="CC61" s="45" t="s">
        <v>64</v>
      </c>
      <c r="CD61" s="45" t="s">
        <v>94</v>
      </c>
      <c r="CE61" s="45" t="s">
        <v>47</v>
      </c>
      <c r="CF61" s="45" t="s">
        <v>147</v>
      </c>
      <c r="CG61" s="45" t="s">
        <v>62</v>
      </c>
      <c r="CH61" s="45" t="s">
        <v>43</v>
      </c>
      <c r="CI61" s="45" t="s">
        <v>89</v>
      </c>
      <c r="CJ61" s="45" t="s">
        <v>43</v>
      </c>
      <c r="CK61" s="45" t="s">
        <v>26</v>
      </c>
      <c r="CL61" s="45" t="s">
        <v>25</v>
      </c>
      <c r="CM61" s="45" t="s">
        <v>34</v>
      </c>
      <c r="CN61" s="45" t="s">
        <v>96</v>
      </c>
      <c r="CO61" s="45" t="s">
        <v>126</v>
      </c>
      <c r="CP61" s="45" t="s">
        <v>66</v>
      </c>
      <c r="CQ61" s="45" t="s">
        <v>142</v>
      </c>
      <c r="CR61" s="45" t="s">
        <v>13</v>
      </c>
      <c r="CS61" s="45" t="s">
        <v>13</v>
      </c>
      <c r="CT61" s="45" t="s">
        <v>101</v>
      </c>
      <c r="CU61" s="45" t="s">
        <v>128</v>
      </c>
      <c r="CV61" s="45" t="s">
        <v>58</v>
      </c>
      <c r="CW61" s="45" t="s">
        <v>77</v>
      </c>
      <c r="CX61" s="45" t="s">
        <v>121</v>
      </c>
      <c r="CY61" s="45" t="s">
        <v>43</v>
      </c>
      <c r="CZ61" s="45" t="s">
        <v>145</v>
      </c>
      <c r="DA61" s="45" t="s">
        <v>145</v>
      </c>
      <c r="DB61" s="45" t="s">
        <v>94</v>
      </c>
      <c r="DC61" s="45" t="s">
        <v>95</v>
      </c>
      <c r="DD61" s="45" t="s">
        <v>108</v>
      </c>
      <c r="DE61" s="45" t="s">
        <v>143</v>
      </c>
      <c r="DF61" s="45" t="s">
        <v>26</v>
      </c>
      <c r="DG61" s="45" t="s">
        <v>142</v>
      </c>
      <c r="DH61" s="45" t="s">
        <v>120</v>
      </c>
      <c r="DI61" s="45" t="s">
        <v>143</v>
      </c>
      <c r="DJ61" s="45" t="s">
        <v>145</v>
      </c>
      <c r="DK61" s="45" t="s">
        <v>142</v>
      </c>
      <c r="DL61" s="45" t="s">
        <v>58</v>
      </c>
      <c r="DM61" s="45" t="s">
        <v>143</v>
      </c>
      <c r="DN61" s="45" t="s">
        <v>54</v>
      </c>
      <c r="DO61" s="45" t="s">
        <v>63</v>
      </c>
      <c r="DP61" s="45" t="s">
        <v>84</v>
      </c>
      <c r="DQ61" s="45" t="s">
        <v>115</v>
      </c>
      <c r="DR61" s="45" t="s">
        <v>77</v>
      </c>
      <c r="DS61" s="45" t="s">
        <v>77</v>
      </c>
      <c r="DT61" s="45" t="s">
        <v>145</v>
      </c>
      <c r="DU61" s="45" t="s">
        <v>36</v>
      </c>
      <c r="DV61" s="45" t="s">
        <v>143</v>
      </c>
      <c r="DW61" s="45" t="s">
        <v>143</v>
      </c>
      <c r="DX61" s="45" t="s">
        <v>51</v>
      </c>
      <c r="DY61" s="45" t="s">
        <v>51</v>
      </c>
      <c r="DZ61" s="45" t="s">
        <v>26</v>
      </c>
      <c r="EA61" s="45" t="s">
        <v>26</v>
      </c>
      <c r="EB61" s="45" t="s">
        <v>26</v>
      </c>
      <c r="EC61" s="45" t="s">
        <v>25</v>
      </c>
      <c r="ED61" s="45" t="s">
        <v>77</v>
      </c>
      <c r="EE61" s="45" t="s">
        <v>51</v>
      </c>
      <c r="EF61" s="45" t="s">
        <v>133</v>
      </c>
      <c r="EG61" s="45" t="s">
        <v>133</v>
      </c>
      <c r="EH61" s="45" t="s">
        <v>12</v>
      </c>
      <c r="EI61" s="45" t="s">
        <v>12</v>
      </c>
      <c r="EJ61" s="45" t="s">
        <v>12</v>
      </c>
    </row>
    <row r="62" customFormat="false" ht="15.75" hidden="false" customHeight="false" outlineLevel="0" collapsed="false">
      <c r="A62" s="249" t="n">
        <v>50</v>
      </c>
      <c r="B62" s="250" t="s">
        <v>22</v>
      </c>
      <c r="C62" s="45" t="s">
        <v>86</v>
      </c>
      <c r="D62" s="45" t="s">
        <v>85</v>
      </c>
      <c r="E62" s="45" t="s">
        <v>87</v>
      </c>
      <c r="F62" s="45" t="s">
        <v>139</v>
      </c>
      <c r="G62" s="45" t="s">
        <v>40</v>
      </c>
      <c r="H62" s="45" t="s">
        <v>41</v>
      </c>
      <c r="I62" s="45" t="s">
        <v>69</v>
      </c>
      <c r="J62" s="45" t="s">
        <v>150</v>
      </c>
      <c r="K62" s="45" t="s">
        <v>96</v>
      </c>
      <c r="L62" s="45" t="s">
        <v>41</v>
      </c>
      <c r="M62" s="45" t="s">
        <v>13</v>
      </c>
      <c r="N62" s="45" t="s">
        <v>62</v>
      </c>
      <c r="O62" s="45" t="s">
        <v>41</v>
      </c>
      <c r="P62" s="45" t="s">
        <v>128</v>
      </c>
      <c r="Q62" s="45" t="s">
        <v>128</v>
      </c>
      <c r="R62" s="45" t="s">
        <v>85</v>
      </c>
      <c r="S62" s="45" t="s">
        <v>40</v>
      </c>
      <c r="T62" s="45" t="s">
        <v>57</v>
      </c>
      <c r="U62" s="45" t="s">
        <v>62</v>
      </c>
      <c r="V62" s="45" t="s">
        <v>85</v>
      </c>
      <c r="W62" s="45" t="s">
        <v>101</v>
      </c>
      <c r="X62" s="45" t="s">
        <v>96</v>
      </c>
      <c r="Y62" s="45" t="s">
        <v>129</v>
      </c>
      <c r="Z62" s="45" t="s">
        <v>101</v>
      </c>
      <c r="AA62" s="45" t="s">
        <v>111</v>
      </c>
      <c r="AB62" s="45" t="s">
        <v>86</v>
      </c>
      <c r="AC62" s="45" t="s">
        <v>85</v>
      </c>
      <c r="AD62" s="45" t="s">
        <v>55</v>
      </c>
      <c r="AE62" s="45" t="s">
        <v>46</v>
      </c>
      <c r="AF62" s="45" t="s">
        <v>41</v>
      </c>
      <c r="AG62" s="45" t="s">
        <v>111</v>
      </c>
      <c r="AH62" s="45" t="s">
        <v>147</v>
      </c>
      <c r="AI62" s="45" t="s">
        <v>151</v>
      </c>
      <c r="AJ62" s="45" t="s">
        <v>33</v>
      </c>
      <c r="AK62" s="45" t="s">
        <v>64</v>
      </c>
      <c r="AL62" s="45" t="s">
        <v>139</v>
      </c>
      <c r="AM62" s="45" t="s">
        <v>139</v>
      </c>
      <c r="AN62" s="45" t="s">
        <v>142</v>
      </c>
      <c r="AO62" s="45" t="s">
        <v>120</v>
      </c>
      <c r="AP62" s="45" t="s">
        <v>129</v>
      </c>
      <c r="AQ62" s="45" t="s">
        <v>54</v>
      </c>
      <c r="AR62" s="45" t="s">
        <v>55</v>
      </c>
      <c r="AS62" s="45" t="s">
        <v>147</v>
      </c>
      <c r="AT62" s="45" t="s">
        <v>55</v>
      </c>
      <c r="AU62" s="45" t="s">
        <v>142</v>
      </c>
      <c r="AV62" s="45" t="s">
        <v>151</v>
      </c>
      <c r="AW62" s="45" t="s">
        <v>89</v>
      </c>
      <c r="AX62" s="45" t="s">
        <v>89</v>
      </c>
      <c r="AY62" s="45" t="s">
        <v>116</v>
      </c>
      <c r="AZ62" s="45" t="s">
        <v>31</v>
      </c>
      <c r="BA62" s="45" t="s">
        <v>55</v>
      </c>
      <c r="BB62" s="45" t="s">
        <v>33</v>
      </c>
      <c r="BC62" s="45" t="s">
        <v>64</v>
      </c>
      <c r="BD62" s="45" t="s">
        <v>96</v>
      </c>
      <c r="BE62" s="45" t="s">
        <v>54</v>
      </c>
      <c r="BF62" s="45" t="s">
        <v>144</v>
      </c>
      <c r="BG62" s="45" t="s">
        <v>66</v>
      </c>
      <c r="BH62" s="45" t="s">
        <v>63</v>
      </c>
      <c r="BI62" s="45" t="s">
        <v>46</v>
      </c>
      <c r="BJ62" s="45" t="s">
        <v>22</v>
      </c>
      <c r="BK62" s="45" t="s">
        <v>84</v>
      </c>
      <c r="BL62" s="45" t="s">
        <v>13</v>
      </c>
      <c r="BM62" s="45" t="s">
        <v>151</v>
      </c>
      <c r="BN62" s="45" t="s">
        <v>120</v>
      </c>
      <c r="BO62" s="45" t="s">
        <v>31</v>
      </c>
      <c r="BP62" s="45" t="s">
        <v>121</v>
      </c>
      <c r="BQ62" s="45" t="s">
        <v>48</v>
      </c>
      <c r="BR62" s="45" t="s">
        <v>25</v>
      </c>
      <c r="BS62" s="45" t="s">
        <v>145</v>
      </c>
      <c r="BT62" s="45" t="s">
        <v>55</v>
      </c>
      <c r="BU62" s="45" t="s">
        <v>108</v>
      </c>
      <c r="BV62" s="45" t="s">
        <v>94</v>
      </c>
      <c r="BW62" s="45" t="s">
        <v>129</v>
      </c>
      <c r="BX62" s="45" t="s">
        <v>64</v>
      </c>
      <c r="BY62" s="45" t="s">
        <v>94</v>
      </c>
      <c r="BZ62" s="45" t="s">
        <v>95</v>
      </c>
      <c r="CA62" s="45" t="s">
        <v>44</v>
      </c>
      <c r="CB62" s="45" t="s">
        <v>44</v>
      </c>
      <c r="CC62" s="45" t="s">
        <v>96</v>
      </c>
      <c r="CD62" s="45" t="s">
        <v>94</v>
      </c>
      <c r="CE62" s="45" t="s">
        <v>108</v>
      </c>
      <c r="CF62" s="45" t="s">
        <v>54</v>
      </c>
      <c r="CG62" s="45" t="s">
        <v>69</v>
      </c>
      <c r="CH62" s="45" t="s">
        <v>29</v>
      </c>
      <c r="CI62" s="45" t="s">
        <v>43</v>
      </c>
      <c r="CJ62" s="45" t="s">
        <v>43</v>
      </c>
      <c r="CK62" s="45" t="s">
        <v>26</v>
      </c>
      <c r="CL62" s="45" t="s">
        <v>120</v>
      </c>
      <c r="CM62" s="45" t="s">
        <v>104</v>
      </c>
      <c r="CN62" s="45" t="s">
        <v>96</v>
      </c>
      <c r="CO62" s="45" t="s">
        <v>63</v>
      </c>
      <c r="CP62" s="45" t="s">
        <v>46</v>
      </c>
      <c r="CQ62" s="45" t="s">
        <v>58</v>
      </c>
      <c r="CR62" s="45" t="s">
        <v>36</v>
      </c>
      <c r="CS62" s="45" t="s">
        <v>36</v>
      </c>
      <c r="CT62" s="45" t="s">
        <v>150</v>
      </c>
      <c r="CU62" s="45" t="s">
        <v>150</v>
      </c>
      <c r="CV62" s="45" t="s">
        <v>13</v>
      </c>
      <c r="CW62" s="45" t="s">
        <v>77</v>
      </c>
      <c r="CX62" s="45" t="s">
        <v>104</v>
      </c>
      <c r="CY62" s="45" t="s">
        <v>34</v>
      </c>
      <c r="CZ62" s="45" t="s">
        <v>143</v>
      </c>
      <c r="DA62" s="45" t="s">
        <v>143</v>
      </c>
      <c r="DB62" s="45" t="s">
        <v>94</v>
      </c>
      <c r="DC62" s="45" t="s">
        <v>94</v>
      </c>
      <c r="DD62" s="45" t="s">
        <v>48</v>
      </c>
      <c r="DE62" s="45" t="s">
        <v>84</v>
      </c>
      <c r="DF62" s="45" t="s">
        <v>145</v>
      </c>
      <c r="DG62" s="45" t="s">
        <v>58</v>
      </c>
      <c r="DH62" s="45" t="s">
        <v>142</v>
      </c>
      <c r="DI62" s="45" t="s">
        <v>143</v>
      </c>
      <c r="DJ62" s="45" t="s">
        <v>143</v>
      </c>
      <c r="DK62" s="45" t="s">
        <v>58</v>
      </c>
      <c r="DL62" s="45" t="s">
        <v>116</v>
      </c>
      <c r="DM62" s="45" t="s">
        <v>25</v>
      </c>
      <c r="DN62" s="45" t="s">
        <v>63</v>
      </c>
      <c r="DO62" s="45" t="s">
        <v>66</v>
      </c>
      <c r="DP62" s="45" t="s">
        <v>25</v>
      </c>
      <c r="DQ62" s="45" t="s">
        <v>51</v>
      </c>
      <c r="DR62" s="45" t="s">
        <v>26</v>
      </c>
      <c r="DS62" s="45" t="s">
        <v>77</v>
      </c>
      <c r="DT62" s="45" t="s">
        <v>145</v>
      </c>
      <c r="DU62" s="45" t="s">
        <v>44</v>
      </c>
      <c r="DV62" s="45" t="s">
        <v>143</v>
      </c>
      <c r="DW62" s="45" t="s">
        <v>84</v>
      </c>
      <c r="DX62" s="45" t="s">
        <v>133</v>
      </c>
      <c r="DY62" s="45" t="s">
        <v>51</v>
      </c>
      <c r="DZ62" s="45" t="s">
        <v>26</v>
      </c>
      <c r="EA62" s="45" t="s">
        <v>145</v>
      </c>
      <c r="EB62" s="45" t="s">
        <v>26</v>
      </c>
      <c r="EC62" s="45" t="s">
        <v>25</v>
      </c>
      <c r="ED62" s="45" t="s">
        <v>77</v>
      </c>
      <c r="EE62" s="45" t="s">
        <v>12</v>
      </c>
      <c r="EF62" s="45" t="s">
        <v>12</v>
      </c>
      <c r="EG62" s="45" t="s">
        <v>12</v>
      </c>
      <c r="EH62" s="45" t="s">
        <v>77</v>
      </c>
      <c r="EI62" s="45" t="s">
        <v>77</v>
      </c>
      <c r="EJ62" s="45" t="s">
        <v>12</v>
      </c>
    </row>
    <row r="63" customFormat="false" ht="15.75" hidden="false" customHeight="false" outlineLevel="0" collapsed="false">
      <c r="A63" s="249" t="n">
        <v>51</v>
      </c>
      <c r="B63" s="250" t="s">
        <v>50</v>
      </c>
      <c r="C63" s="45" t="s">
        <v>47</v>
      </c>
      <c r="D63" s="45" t="s">
        <v>47</v>
      </c>
      <c r="E63" s="45" t="s">
        <v>48</v>
      </c>
      <c r="F63" s="45" t="s">
        <v>121</v>
      </c>
      <c r="G63" s="45" t="s">
        <v>29</v>
      </c>
      <c r="H63" s="45" t="s">
        <v>89</v>
      </c>
      <c r="I63" s="45" t="s">
        <v>34</v>
      </c>
      <c r="J63" s="45" t="s">
        <v>13</v>
      </c>
      <c r="K63" s="45" t="s">
        <v>120</v>
      </c>
      <c r="L63" s="45" t="s">
        <v>43</v>
      </c>
      <c r="M63" s="45" t="s">
        <v>110</v>
      </c>
      <c r="N63" s="45" t="s">
        <v>43</v>
      </c>
      <c r="O63" s="45" t="s">
        <v>43</v>
      </c>
      <c r="P63" s="45" t="s">
        <v>13</v>
      </c>
      <c r="Q63" s="45" t="s">
        <v>13</v>
      </c>
      <c r="R63" s="45" t="s">
        <v>104</v>
      </c>
      <c r="S63" s="45" t="s">
        <v>29</v>
      </c>
      <c r="T63" s="45" t="s">
        <v>108</v>
      </c>
      <c r="U63" s="45" t="s">
        <v>43</v>
      </c>
      <c r="V63" s="45" t="s">
        <v>47</v>
      </c>
      <c r="W63" s="45" t="s">
        <v>116</v>
      </c>
      <c r="X63" s="45" t="s">
        <v>120</v>
      </c>
      <c r="Y63" s="45" t="s">
        <v>142</v>
      </c>
      <c r="Z63" s="45" t="s">
        <v>116</v>
      </c>
      <c r="AA63" s="45" t="s">
        <v>44</v>
      </c>
      <c r="AB63" s="45" t="s">
        <v>108</v>
      </c>
      <c r="AC63" s="45" t="s">
        <v>104</v>
      </c>
      <c r="AD63" s="45" t="s">
        <v>77</v>
      </c>
      <c r="AE63" s="45" t="s">
        <v>84</v>
      </c>
      <c r="AF63" s="45" t="s">
        <v>89</v>
      </c>
      <c r="AG63" s="45" t="s">
        <v>36</v>
      </c>
      <c r="AH63" s="45" t="s">
        <v>26</v>
      </c>
      <c r="AI63" s="45" t="s">
        <v>89</v>
      </c>
      <c r="AJ63" s="45" t="s">
        <v>25</v>
      </c>
      <c r="AK63" s="45" t="s">
        <v>25</v>
      </c>
      <c r="AL63" s="45" t="s">
        <v>121</v>
      </c>
      <c r="AM63" s="45" t="s">
        <v>121</v>
      </c>
      <c r="AN63" s="45" t="s">
        <v>14</v>
      </c>
      <c r="AO63" s="45" t="s">
        <v>117</v>
      </c>
      <c r="AP63" s="45" t="s">
        <v>58</v>
      </c>
      <c r="AQ63" s="45" t="s">
        <v>26</v>
      </c>
      <c r="AR63" s="45" t="s">
        <v>77</v>
      </c>
      <c r="AS63" s="45" t="s">
        <v>26</v>
      </c>
      <c r="AT63" s="45" t="s">
        <v>77</v>
      </c>
      <c r="AU63" s="45" t="s">
        <v>14</v>
      </c>
      <c r="AV63" s="45" t="s">
        <v>44</v>
      </c>
      <c r="AW63" s="45" t="s">
        <v>152</v>
      </c>
      <c r="AX63" s="45" t="s">
        <v>131</v>
      </c>
      <c r="AY63" s="45" t="s">
        <v>138</v>
      </c>
      <c r="AZ63" s="45" t="s">
        <v>133</v>
      </c>
      <c r="BA63" s="45" t="s">
        <v>77</v>
      </c>
      <c r="BB63" s="45" t="s">
        <v>25</v>
      </c>
      <c r="BC63" s="45" t="s">
        <v>120</v>
      </c>
      <c r="BD63" s="45" t="s">
        <v>120</v>
      </c>
      <c r="BE63" s="45" t="s">
        <v>26</v>
      </c>
      <c r="BF63" s="45" t="s">
        <v>143</v>
      </c>
      <c r="BG63" s="45" t="s">
        <v>143</v>
      </c>
      <c r="BH63" s="45" t="s">
        <v>145</v>
      </c>
      <c r="BI63" s="45" t="s">
        <v>143</v>
      </c>
      <c r="BJ63" s="45" t="s">
        <v>84</v>
      </c>
      <c r="BK63" s="45" t="s">
        <v>50</v>
      </c>
      <c r="BL63" s="45" t="s">
        <v>110</v>
      </c>
      <c r="BM63" s="45" t="s">
        <v>44</v>
      </c>
      <c r="BN63" s="45" t="s">
        <v>117</v>
      </c>
      <c r="BO63" s="45" t="s">
        <v>12</v>
      </c>
      <c r="BP63" s="45" t="s">
        <v>18</v>
      </c>
      <c r="BQ63" s="45" t="s">
        <v>51</v>
      </c>
      <c r="BR63" s="45" t="s">
        <v>149</v>
      </c>
      <c r="BS63" s="45" t="s">
        <v>122</v>
      </c>
      <c r="BT63" s="45" t="s">
        <v>77</v>
      </c>
      <c r="BU63" s="45" t="s">
        <v>51</v>
      </c>
      <c r="BV63" s="45" t="s">
        <v>12</v>
      </c>
      <c r="BW63" s="45" t="s">
        <v>58</v>
      </c>
      <c r="BX63" s="45" t="s">
        <v>25</v>
      </c>
      <c r="BY63" s="45" t="s">
        <v>12</v>
      </c>
      <c r="BZ63" s="45" t="s">
        <v>12</v>
      </c>
      <c r="CA63" s="45" t="s">
        <v>131</v>
      </c>
      <c r="CB63" s="45" t="s">
        <v>131</v>
      </c>
      <c r="CC63" s="45" t="s">
        <v>120</v>
      </c>
      <c r="CD63" s="45" t="s">
        <v>77</v>
      </c>
      <c r="CE63" s="45" t="s">
        <v>51</v>
      </c>
      <c r="CF63" s="45" t="s">
        <v>26</v>
      </c>
      <c r="CG63" s="45" t="s">
        <v>34</v>
      </c>
      <c r="CH63" s="45" t="s">
        <v>18</v>
      </c>
      <c r="CI63" s="45" t="s">
        <v>153</v>
      </c>
      <c r="CJ63" s="45" t="s">
        <v>153</v>
      </c>
      <c r="CK63" s="45" t="s">
        <v>122</v>
      </c>
      <c r="CL63" s="45" t="s">
        <v>117</v>
      </c>
      <c r="CM63" s="45" t="s">
        <v>115</v>
      </c>
      <c r="CN63" s="45" t="s">
        <v>142</v>
      </c>
      <c r="CO63" s="45" t="s">
        <v>145</v>
      </c>
      <c r="CP63" s="45" t="s">
        <v>143</v>
      </c>
      <c r="CQ63" s="45" t="s">
        <v>14</v>
      </c>
      <c r="CR63" s="45" t="s">
        <v>106</v>
      </c>
      <c r="CS63" s="45" t="s">
        <v>106</v>
      </c>
      <c r="CT63" s="45" t="s">
        <v>13</v>
      </c>
      <c r="CU63" s="45" t="s">
        <v>36</v>
      </c>
      <c r="CV63" s="45" t="s">
        <v>110</v>
      </c>
      <c r="CW63" s="45" t="s">
        <v>20</v>
      </c>
      <c r="CX63" s="45" t="s">
        <v>115</v>
      </c>
      <c r="CY63" s="45" t="s">
        <v>18</v>
      </c>
      <c r="CZ63" s="45" t="s">
        <v>82</v>
      </c>
      <c r="DA63" s="45" t="s">
        <v>99</v>
      </c>
      <c r="DB63" s="45" t="s">
        <v>77</v>
      </c>
      <c r="DC63" s="45" t="s">
        <v>77</v>
      </c>
      <c r="DD63" s="45" t="s">
        <v>133</v>
      </c>
      <c r="DE63" s="45" t="s">
        <v>124</v>
      </c>
      <c r="DF63" s="45" t="s">
        <v>122</v>
      </c>
      <c r="DG63" s="45" t="s">
        <v>138</v>
      </c>
      <c r="DH63" s="45" t="s">
        <v>14</v>
      </c>
      <c r="DI63" s="45" t="s">
        <v>82</v>
      </c>
      <c r="DJ63" s="45" t="s">
        <v>82</v>
      </c>
      <c r="DK63" s="45" t="s">
        <v>138</v>
      </c>
      <c r="DL63" s="45" t="s">
        <v>138</v>
      </c>
      <c r="DM63" s="45" t="s">
        <v>50</v>
      </c>
      <c r="DN63" s="45" t="s">
        <v>145</v>
      </c>
      <c r="DO63" s="45" t="s">
        <v>143</v>
      </c>
      <c r="DP63" s="45" t="s">
        <v>149</v>
      </c>
      <c r="DQ63" s="45" t="s">
        <v>15</v>
      </c>
      <c r="DR63" s="45" t="s">
        <v>105</v>
      </c>
      <c r="DS63" s="45" t="s">
        <v>20</v>
      </c>
      <c r="DT63" s="45" t="s">
        <v>99</v>
      </c>
      <c r="DU63" s="45" t="s">
        <v>131</v>
      </c>
      <c r="DV63" s="45" t="s">
        <v>124</v>
      </c>
      <c r="DW63" s="45" t="s">
        <v>124</v>
      </c>
      <c r="DX63" s="45" t="s">
        <v>73</v>
      </c>
      <c r="DY63" s="45" t="s">
        <v>73</v>
      </c>
      <c r="DZ63" s="45" t="s">
        <v>105</v>
      </c>
      <c r="EA63" s="45" t="s">
        <v>122</v>
      </c>
      <c r="EB63" s="45" t="s">
        <v>122</v>
      </c>
      <c r="EC63" s="45" t="s">
        <v>119</v>
      </c>
      <c r="ED63" s="45" t="s">
        <v>20</v>
      </c>
      <c r="EE63" s="45" t="s">
        <v>73</v>
      </c>
      <c r="EF63" s="45" t="s">
        <v>20</v>
      </c>
      <c r="EG63" s="45" t="s">
        <v>73</v>
      </c>
      <c r="EH63" s="45" t="s">
        <v>20</v>
      </c>
      <c r="EI63" s="45" t="s">
        <v>20</v>
      </c>
      <c r="EJ63" s="45" t="s">
        <v>20</v>
      </c>
    </row>
    <row r="64" customFormat="false" ht="15.75" hidden="false" customHeight="false" outlineLevel="0" collapsed="false">
      <c r="A64" s="249" t="n">
        <v>52</v>
      </c>
      <c r="B64" s="250" t="s">
        <v>67</v>
      </c>
      <c r="C64" s="45" t="s">
        <v>147</v>
      </c>
      <c r="D64" s="45" t="s">
        <v>55</v>
      </c>
      <c r="E64" s="45" t="s">
        <v>54</v>
      </c>
      <c r="F64" s="45" t="s">
        <v>55</v>
      </c>
      <c r="G64" s="45" t="s">
        <v>94</v>
      </c>
      <c r="H64" s="45" t="s">
        <v>48</v>
      </c>
      <c r="I64" s="45" t="s">
        <v>94</v>
      </c>
      <c r="J64" s="45" t="s">
        <v>121</v>
      </c>
      <c r="K64" s="45" t="s">
        <v>89</v>
      </c>
      <c r="L64" s="45" t="s">
        <v>31</v>
      </c>
      <c r="M64" s="45" t="s">
        <v>115</v>
      </c>
      <c r="N64" s="45" t="s">
        <v>95</v>
      </c>
      <c r="O64" s="45" t="s">
        <v>31</v>
      </c>
      <c r="P64" s="45" t="s">
        <v>121</v>
      </c>
      <c r="Q64" s="45" t="s">
        <v>121</v>
      </c>
      <c r="R64" s="45" t="s">
        <v>55</v>
      </c>
      <c r="S64" s="45" t="s">
        <v>94</v>
      </c>
      <c r="T64" s="45" t="s">
        <v>54</v>
      </c>
      <c r="U64" s="45" t="s">
        <v>94</v>
      </c>
      <c r="V64" s="45" t="s">
        <v>55</v>
      </c>
      <c r="W64" s="45" t="s">
        <v>34</v>
      </c>
      <c r="X64" s="45" t="s">
        <v>44</v>
      </c>
      <c r="Y64" s="45" t="s">
        <v>43</v>
      </c>
      <c r="Z64" s="45" t="s">
        <v>29</v>
      </c>
      <c r="AA64" s="45" t="s">
        <v>47</v>
      </c>
      <c r="AB64" s="45" t="s">
        <v>147</v>
      </c>
      <c r="AC64" s="45" t="s">
        <v>55</v>
      </c>
      <c r="AD64" s="45" t="s">
        <v>143</v>
      </c>
      <c r="AE64" s="45" t="s">
        <v>13</v>
      </c>
      <c r="AF64" s="45" t="s">
        <v>48</v>
      </c>
      <c r="AG64" s="45" t="s">
        <v>47</v>
      </c>
      <c r="AH64" s="45" t="s">
        <v>25</v>
      </c>
      <c r="AI64" s="45" t="s">
        <v>48</v>
      </c>
      <c r="AJ64" s="45" t="s">
        <v>36</v>
      </c>
      <c r="AK64" s="45" t="s">
        <v>36</v>
      </c>
      <c r="AL64" s="45" t="s">
        <v>94</v>
      </c>
      <c r="AM64" s="45" t="s">
        <v>55</v>
      </c>
      <c r="AN64" s="45" t="s">
        <v>88</v>
      </c>
      <c r="AO64" s="45" t="s">
        <v>131</v>
      </c>
      <c r="AP64" s="45" t="s">
        <v>43</v>
      </c>
      <c r="AQ64" s="45" t="s">
        <v>25</v>
      </c>
      <c r="AR64" s="45" t="s">
        <v>84</v>
      </c>
      <c r="AS64" s="45" t="s">
        <v>25</v>
      </c>
      <c r="AT64" s="45" t="s">
        <v>25</v>
      </c>
      <c r="AU64" s="45" t="s">
        <v>152</v>
      </c>
      <c r="AV64" s="45" t="s">
        <v>108</v>
      </c>
      <c r="AW64" s="45" t="s">
        <v>51</v>
      </c>
      <c r="AX64" s="45" t="s">
        <v>51</v>
      </c>
      <c r="AY64" s="45" t="s">
        <v>18</v>
      </c>
      <c r="AZ64" s="45" t="s">
        <v>145</v>
      </c>
      <c r="BA64" s="45" t="s">
        <v>84</v>
      </c>
      <c r="BB64" s="45" t="s">
        <v>13</v>
      </c>
      <c r="BC64" s="45" t="s">
        <v>44</v>
      </c>
      <c r="BD64" s="45" t="s">
        <v>89</v>
      </c>
      <c r="BE64" s="45" t="s">
        <v>120</v>
      </c>
      <c r="BF64" s="45" t="s">
        <v>58</v>
      </c>
      <c r="BG64" s="45" t="s">
        <v>58</v>
      </c>
      <c r="BH64" s="45" t="s">
        <v>142</v>
      </c>
      <c r="BI64" s="45" t="s">
        <v>116</v>
      </c>
      <c r="BJ64" s="45" t="s">
        <v>13</v>
      </c>
      <c r="BK64" s="45" t="s">
        <v>110</v>
      </c>
      <c r="BL64" s="45" t="s">
        <v>67</v>
      </c>
      <c r="BM64" s="45" t="s">
        <v>108</v>
      </c>
      <c r="BN64" s="45" t="s">
        <v>152</v>
      </c>
      <c r="BO64" s="45" t="s">
        <v>145</v>
      </c>
      <c r="BP64" s="45" t="s">
        <v>77</v>
      </c>
      <c r="BQ64" s="45" t="s">
        <v>26</v>
      </c>
      <c r="BR64" s="45" t="s">
        <v>106</v>
      </c>
      <c r="BS64" s="45" t="s">
        <v>14</v>
      </c>
      <c r="BT64" s="45" t="s">
        <v>84</v>
      </c>
      <c r="BU64" s="45" t="s">
        <v>26</v>
      </c>
      <c r="BV64" s="45" t="s">
        <v>143</v>
      </c>
      <c r="BW64" s="45" t="s">
        <v>29</v>
      </c>
      <c r="BX64" s="45" t="s">
        <v>44</v>
      </c>
      <c r="BY64" s="45" t="s">
        <v>145</v>
      </c>
      <c r="BZ64" s="45" t="s">
        <v>145</v>
      </c>
      <c r="CA64" s="45" t="s">
        <v>51</v>
      </c>
      <c r="CB64" s="45" t="s">
        <v>51</v>
      </c>
      <c r="CC64" s="45" t="s">
        <v>89</v>
      </c>
      <c r="CD64" s="45" t="s">
        <v>143</v>
      </c>
      <c r="CE64" s="45" t="s">
        <v>26</v>
      </c>
      <c r="CF64" s="45" t="s">
        <v>120</v>
      </c>
      <c r="CG64" s="45" t="s">
        <v>94</v>
      </c>
      <c r="CH64" s="45" t="s">
        <v>77</v>
      </c>
      <c r="CI64" s="45" t="s">
        <v>12</v>
      </c>
      <c r="CJ64" s="45" t="s">
        <v>12</v>
      </c>
      <c r="CK64" s="45" t="s">
        <v>117</v>
      </c>
      <c r="CL64" s="45" t="s">
        <v>131</v>
      </c>
      <c r="CM64" s="45" t="s">
        <v>77</v>
      </c>
      <c r="CN64" s="45" t="s">
        <v>89</v>
      </c>
      <c r="CO64" s="45" t="s">
        <v>142</v>
      </c>
      <c r="CP64" s="45" t="s">
        <v>116</v>
      </c>
      <c r="CQ64" s="45" t="s">
        <v>153</v>
      </c>
      <c r="CR64" s="45" t="s">
        <v>115</v>
      </c>
      <c r="CS64" s="45" t="s">
        <v>115</v>
      </c>
      <c r="CT64" s="45" t="s">
        <v>104</v>
      </c>
      <c r="CU64" s="45" t="s">
        <v>104</v>
      </c>
      <c r="CV64" s="45" t="s">
        <v>18</v>
      </c>
      <c r="CW64" s="45" t="s">
        <v>124</v>
      </c>
      <c r="CX64" s="45" t="s">
        <v>77</v>
      </c>
      <c r="CY64" s="45" t="s">
        <v>77</v>
      </c>
      <c r="CZ64" s="45" t="s">
        <v>138</v>
      </c>
      <c r="DA64" s="45" t="s">
        <v>14</v>
      </c>
      <c r="DB64" s="45" t="s">
        <v>143</v>
      </c>
      <c r="DC64" s="45" t="s">
        <v>143</v>
      </c>
      <c r="DD64" s="45" t="s">
        <v>26</v>
      </c>
      <c r="DE64" s="45" t="s">
        <v>110</v>
      </c>
      <c r="DF64" s="45" t="s">
        <v>117</v>
      </c>
      <c r="DG64" s="45" t="s">
        <v>37</v>
      </c>
      <c r="DH64" s="45" t="s">
        <v>153</v>
      </c>
      <c r="DI64" s="45" t="s">
        <v>138</v>
      </c>
      <c r="DJ64" s="45" t="s">
        <v>138</v>
      </c>
      <c r="DK64" s="45" t="s">
        <v>153</v>
      </c>
      <c r="DL64" s="45" t="s">
        <v>18</v>
      </c>
      <c r="DM64" s="45" t="s">
        <v>110</v>
      </c>
      <c r="DN64" s="45" t="s">
        <v>142</v>
      </c>
      <c r="DO64" s="45" t="s">
        <v>58</v>
      </c>
      <c r="DP64" s="45" t="s">
        <v>106</v>
      </c>
      <c r="DQ64" s="45" t="s">
        <v>105</v>
      </c>
      <c r="DR64" s="45" t="s">
        <v>119</v>
      </c>
      <c r="DS64" s="45" t="s">
        <v>50</v>
      </c>
      <c r="DT64" s="45" t="s">
        <v>14</v>
      </c>
      <c r="DU64" s="45" t="s">
        <v>51</v>
      </c>
      <c r="DV64" s="45" t="s">
        <v>138</v>
      </c>
      <c r="DW64" s="45" t="s">
        <v>138</v>
      </c>
      <c r="DX64" s="45" t="s">
        <v>122</v>
      </c>
      <c r="DY64" s="45" t="s">
        <v>122</v>
      </c>
      <c r="DZ64" s="45" t="s">
        <v>117</v>
      </c>
      <c r="EA64" s="45" t="s">
        <v>14</v>
      </c>
      <c r="EB64" s="45" t="s">
        <v>117</v>
      </c>
      <c r="EC64" s="45" t="s">
        <v>131</v>
      </c>
      <c r="ED64" s="45" t="s">
        <v>124</v>
      </c>
      <c r="EE64" s="45" t="s">
        <v>122</v>
      </c>
      <c r="EF64" s="45" t="s">
        <v>99</v>
      </c>
      <c r="EG64" s="45" t="s">
        <v>122</v>
      </c>
      <c r="EH64" s="45" t="s">
        <v>82</v>
      </c>
      <c r="EI64" s="45" t="s">
        <v>82</v>
      </c>
      <c r="EJ64" s="45" t="s">
        <v>99</v>
      </c>
    </row>
    <row r="65" customFormat="false" ht="15.75" hidden="false" customHeight="false" outlineLevel="0" collapsed="false">
      <c r="A65" s="249" t="n">
        <v>53</v>
      </c>
      <c r="B65" s="250" t="s">
        <v>137</v>
      </c>
      <c r="C65" s="45" t="s">
        <v>42</v>
      </c>
      <c r="D65" s="45" t="s">
        <v>42</v>
      </c>
      <c r="E65" s="45" t="s">
        <v>59</v>
      </c>
      <c r="F65" s="45" t="s">
        <v>80</v>
      </c>
      <c r="G65" s="45" t="s">
        <v>114</v>
      </c>
      <c r="H65" s="45" t="s">
        <v>28</v>
      </c>
      <c r="I65" s="45" t="s">
        <v>114</v>
      </c>
      <c r="J65" s="45" t="s">
        <v>86</v>
      </c>
      <c r="K65" s="45" t="s">
        <v>40</v>
      </c>
      <c r="L65" s="45" t="s">
        <v>28</v>
      </c>
      <c r="M65" s="45" t="s">
        <v>108</v>
      </c>
      <c r="N65" s="45" t="s">
        <v>141</v>
      </c>
      <c r="O65" s="45" t="s">
        <v>61</v>
      </c>
      <c r="P65" s="45" t="s">
        <v>86</v>
      </c>
      <c r="Q65" s="45" t="s">
        <v>86</v>
      </c>
      <c r="R65" s="45" t="s">
        <v>80</v>
      </c>
      <c r="S65" s="45" t="s">
        <v>141</v>
      </c>
      <c r="T65" s="45" t="s">
        <v>59</v>
      </c>
      <c r="U65" s="45" t="s">
        <v>141</v>
      </c>
      <c r="V65" s="45" t="s">
        <v>42</v>
      </c>
      <c r="W65" s="45" t="s">
        <v>85</v>
      </c>
      <c r="X65" s="45" t="s">
        <v>41</v>
      </c>
      <c r="Y65" s="45" t="s">
        <v>69</v>
      </c>
      <c r="Z65" s="45" t="s">
        <v>85</v>
      </c>
      <c r="AA65" s="45" t="s">
        <v>87</v>
      </c>
      <c r="AB65" s="45" t="s">
        <v>74</v>
      </c>
      <c r="AC65" s="45" t="s">
        <v>80</v>
      </c>
      <c r="AD65" s="45" t="s">
        <v>64</v>
      </c>
      <c r="AE65" s="45" t="s">
        <v>111</v>
      </c>
      <c r="AF65" s="45" t="s">
        <v>28</v>
      </c>
      <c r="AG65" s="45" t="s">
        <v>87</v>
      </c>
      <c r="AH65" s="45" t="s">
        <v>96</v>
      </c>
      <c r="AI65" s="45" t="s">
        <v>125</v>
      </c>
      <c r="AJ65" s="45" t="s">
        <v>151</v>
      </c>
      <c r="AK65" s="45" t="s">
        <v>41</v>
      </c>
      <c r="AL65" s="45" t="s">
        <v>72</v>
      </c>
      <c r="AM65" s="45" t="s">
        <v>80</v>
      </c>
      <c r="AN65" s="45" t="s">
        <v>29</v>
      </c>
      <c r="AO65" s="45" t="s">
        <v>43</v>
      </c>
      <c r="AP65" s="45" t="s">
        <v>139</v>
      </c>
      <c r="AQ65" s="45" t="s">
        <v>96</v>
      </c>
      <c r="AR65" s="45" t="s">
        <v>64</v>
      </c>
      <c r="AS65" s="45" t="s">
        <v>96</v>
      </c>
      <c r="AT65" s="45" t="s">
        <v>96</v>
      </c>
      <c r="AU65" s="45" t="s">
        <v>29</v>
      </c>
      <c r="AV65" s="45" t="s">
        <v>137</v>
      </c>
      <c r="AW65" s="45" t="s">
        <v>94</v>
      </c>
      <c r="AX65" s="45" t="s">
        <v>95</v>
      </c>
      <c r="AY65" s="45" t="s">
        <v>47</v>
      </c>
      <c r="AZ65" s="45" t="s">
        <v>66</v>
      </c>
      <c r="BA65" s="45" t="s">
        <v>64</v>
      </c>
      <c r="BB65" s="45" t="s">
        <v>151</v>
      </c>
      <c r="BC65" s="45" t="s">
        <v>41</v>
      </c>
      <c r="BD65" s="45" t="s">
        <v>62</v>
      </c>
      <c r="BE65" s="45" t="s">
        <v>129</v>
      </c>
      <c r="BF65" s="45" t="s">
        <v>150</v>
      </c>
      <c r="BG65" s="45" t="s">
        <v>150</v>
      </c>
      <c r="BH65" s="45" t="s">
        <v>101</v>
      </c>
      <c r="BI65" s="45" t="s">
        <v>150</v>
      </c>
      <c r="BJ65" s="45" t="s">
        <v>151</v>
      </c>
      <c r="BK65" s="45" t="s">
        <v>44</v>
      </c>
      <c r="BL65" s="45" t="s">
        <v>108</v>
      </c>
      <c r="BM65" s="45" t="s">
        <v>137</v>
      </c>
      <c r="BN65" s="45" t="s">
        <v>43</v>
      </c>
      <c r="BO65" s="45" t="s">
        <v>144</v>
      </c>
      <c r="BP65" s="45" t="s">
        <v>147</v>
      </c>
      <c r="BQ65" s="45" t="s">
        <v>63</v>
      </c>
      <c r="BR65" s="45" t="s">
        <v>89</v>
      </c>
      <c r="BS65" s="45" t="s">
        <v>58</v>
      </c>
      <c r="BT65" s="45" t="s">
        <v>64</v>
      </c>
      <c r="BU65" s="45" t="s">
        <v>126</v>
      </c>
      <c r="BV65" s="45" t="s">
        <v>46</v>
      </c>
      <c r="BW65" s="45" t="s">
        <v>85</v>
      </c>
      <c r="BX65" s="45" t="s">
        <v>41</v>
      </c>
      <c r="BY65" s="45" t="s">
        <v>46</v>
      </c>
      <c r="BZ65" s="45" t="s">
        <v>46</v>
      </c>
      <c r="CA65" s="45" t="s">
        <v>31</v>
      </c>
      <c r="CB65" s="45" t="s">
        <v>48</v>
      </c>
      <c r="CC65" s="45" t="s">
        <v>62</v>
      </c>
      <c r="CD65" s="45" t="s">
        <v>33</v>
      </c>
      <c r="CE65" s="45" t="s">
        <v>63</v>
      </c>
      <c r="CF65" s="45" t="s">
        <v>91</v>
      </c>
      <c r="CG65" s="45" t="s">
        <v>114</v>
      </c>
      <c r="CH65" s="45" t="s">
        <v>55</v>
      </c>
      <c r="CI65" s="45" t="s">
        <v>94</v>
      </c>
      <c r="CJ65" s="45" t="s">
        <v>55</v>
      </c>
      <c r="CK65" s="45" t="s">
        <v>58</v>
      </c>
      <c r="CL65" s="45" t="s">
        <v>43</v>
      </c>
      <c r="CM65" s="45" t="s">
        <v>54</v>
      </c>
      <c r="CN65" s="45" t="s">
        <v>40</v>
      </c>
      <c r="CO65" s="45" t="s">
        <v>101</v>
      </c>
      <c r="CP65" s="45" t="s">
        <v>111</v>
      </c>
      <c r="CQ65" s="45" t="s">
        <v>121</v>
      </c>
      <c r="CR65" s="45" t="s">
        <v>48</v>
      </c>
      <c r="CS65" s="45" t="s">
        <v>48</v>
      </c>
      <c r="CT65" s="45" t="s">
        <v>57</v>
      </c>
      <c r="CU65" s="45" t="s">
        <v>87</v>
      </c>
      <c r="CV65" s="45" t="s">
        <v>47</v>
      </c>
      <c r="CW65" s="45" t="s">
        <v>25</v>
      </c>
      <c r="CX65" s="45" t="s">
        <v>54</v>
      </c>
      <c r="CY65" s="45" t="s">
        <v>55</v>
      </c>
      <c r="CZ65" s="45" t="s">
        <v>13</v>
      </c>
      <c r="DA65" s="45" t="s">
        <v>13</v>
      </c>
      <c r="DB65" s="45" t="s">
        <v>33</v>
      </c>
      <c r="DC65" s="45" t="s">
        <v>22</v>
      </c>
      <c r="DD65" s="45" t="s">
        <v>66</v>
      </c>
      <c r="DE65" s="45" t="s">
        <v>44</v>
      </c>
      <c r="DF65" s="45" t="s">
        <v>58</v>
      </c>
      <c r="DG65" s="45" t="s">
        <v>104</v>
      </c>
      <c r="DH65" s="45" t="s">
        <v>34</v>
      </c>
      <c r="DI65" s="45" t="s">
        <v>36</v>
      </c>
      <c r="DJ65" s="45" t="s">
        <v>13</v>
      </c>
      <c r="DK65" s="45" t="s">
        <v>121</v>
      </c>
      <c r="DL65" s="45" t="s">
        <v>104</v>
      </c>
      <c r="DM65" s="45" t="s">
        <v>44</v>
      </c>
      <c r="DN65" s="45" t="s">
        <v>129</v>
      </c>
      <c r="DO65" s="45" t="s">
        <v>128</v>
      </c>
      <c r="DP65" s="45" t="s">
        <v>89</v>
      </c>
      <c r="DQ65" s="45" t="s">
        <v>145</v>
      </c>
      <c r="DR65" s="45" t="s">
        <v>142</v>
      </c>
      <c r="DS65" s="45" t="s">
        <v>120</v>
      </c>
      <c r="DT65" s="45" t="s">
        <v>116</v>
      </c>
      <c r="DU65" s="45" t="s">
        <v>31</v>
      </c>
      <c r="DV65" s="45" t="s">
        <v>36</v>
      </c>
      <c r="DW65" s="45" t="s">
        <v>36</v>
      </c>
      <c r="DX65" s="45" t="s">
        <v>143</v>
      </c>
      <c r="DY65" s="45" t="s">
        <v>145</v>
      </c>
      <c r="DZ65" s="45" t="s">
        <v>142</v>
      </c>
      <c r="EA65" s="45" t="s">
        <v>116</v>
      </c>
      <c r="EB65" s="45" t="s">
        <v>142</v>
      </c>
      <c r="EC65" s="45" t="s">
        <v>89</v>
      </c>
      <c r="ED65" s="45" t="s">
        <v>25</v>
      </c>
      <c r="EE65" s="45" t="s">
        <v>143</v>
      </c>
      <c r="EF65" s="45" t="s">
        <v>143</v>
      </c>
      <c r="EG65" s="45" t="s">
        <v>143</v>
      </c>
      <c r="EH65" s="45" t="s">
        <v>25</v>
      </c>
      <c r="EI65" s="45" t="s">
        <v>84</v>
      </c>
      <c r="EJ65" s="45" t="s">
        <v>84</v>
      </c>
    </row>
    <row r="66" customFormat="false" ht="15.75" hidden="false" customHeight="false" outlineLevel="0" collapsed="false">
      <c r="A66" s="249" t="n">
        <v>54</v>
      </c>
      <c r="B66" s="250" t="s">
        <v>138</v>
      </c>
      <c r="C66" s="45" t="s">
        <v>95</v>
      </c>
      <c r="D66" s="45" t="s">
        <v>31</v>
      </c>
      <c r="E66" s="45" t="s">
        <v>94</v>
      </c>
      <c r="F66" s="45" t="s">
        <v>48</v>
      </c>
      <c r="G66" s="45" t="s">
        <v>108</v>
      </c>
      <c r="H66" s="45" t="s">
        <v>34</v>
      </c>
      <c r="I66" s="45" t="s">
        <v>108</v>
      </c>
      <c r="J66" s="45" t="s">
        <v>89</v>
      </c>
      <c r="K66" s="45" t="s">
        <v>116</v>
      </c>
      <c r="L66" s="45" t="s">
        <v>121</v>
      </c>
      <c r="M66" s="45" t="s">
        <v>152</v>
      </c>
      <c r="N66" s="45" t="s">
        <v>104</v>
      </c>
      <c r="O66" s="45" t="s">
        <v>104</v>
      </c>
      <c r="P66" s="45" t="s">
        <v>89</v>
      </c>
      <c r="Q66" s="45" t="s">
        <v>89</v>
      </c>
      <c r="R66" s="45" t="s">
        <v>31</v>
      </c>
      <c r="S66" s="45" t="s">
        <v>47</v>
      </c>
      <c r="T66" s="45" t="s">
        <v>94</v>
      </c>
      <c r="U66" s="45" t="s">
        <v>47</v>
      </c>
      <c r="V66" s="45" t="s">
        <v>31</v>
      </c>
      <c r="W66" s="45" t="s">
        <v>44</v>
      </c>
      <c r="X66" s="45" t="s">
        <v>58</v>
      </c>
      <c r="Y66" s="45" t="s">
        <v>13</v>
      </c>
      <c r="Z66" s="45" t="s">
        <v>44</v>
      </c>
      <c r="AA66" s="45" t="s">
        <v>43</v>
      </c>
      <c r="AB66" s="45" t="s">
        <v>94</v>
      </c>
      <c r="AC66" s="45" t="s">
        <v>48</v>
      </c>
      <c r="AD66" s="45" t="s">
        <v>26</v>
      </c>
      <c r="AE66" s="45" t="s">
        <v>120</v>
      </c>
      <c r="AF66" s="45" t="s">
        <v>121</v>
      </c>
      <c r="AG66" s="45" t="s">
        <v>43</v>
      </c>
      <c r="AH66" s="45" t="s">
        <v>145</v>
      </c>
      <c r="AI66" s="45" t="s">
        <v>29</v>
      </c>
      <c r="AJ66" s="45" t="s">
        <v>142</v>
      </c>
      <c r="AK66" s="45" t="s">
        <v>142</v>
      </c>
      <c r="AL66" s="45" t="s">
        <v>48</v>
      </c>
      <c r="AM66" s="45" t="s">
        <v>48</v>
      </c>
      <c r="AN66" s="45" t="s">
        <v>110</v>
      </c>
      <c r="AO66" s="45" t="s">
        <v>138</v>
      </c>
      <c r="AP66" s="45" t="s">
        <v>36</v>
      </c>
      <c r="AQ66" s="45" t="s">
        <v>143</v>
      </c>
      <c r="AR66" s="45" t="s">
        <v>145</v>
      </c>
      <c r="AS66" s="45" t="s">
        <v>145</v>
      </c>
      <c r="AT66" s="45" t="s">
        <v>145</v>
      </c>
      <c r="AU66" s="45" t="s">
        <v>110</v>
      </c>
      <c r="AV66" s="45" t="s">
        <v>29</v>
      </c>
      <c r="AW66" s="45" t="s">
        <v>18</v>
      </c>
      <c r="AX66" s="45" t="s">
        <v>18</v>
      </c>
      <c r="AY66" s="45" t="s">
        <v>131</v>
      </c>
      <c r="AZ66" s="45" t="s">
        <v>77</v>
      </c>
      <c r="BA66" s="45" t="s">
        <v>145</v>
      </c>
      <c r="BB66" s="45" t="s">
        <v>142</v>
      </c>
      <c r="BC66" s="45" t="s">
        <v>58</v>
      </c>
      <c r="BD66" s="45" t="s">
        <v>116</v>
      </c>
      <c r="BE66" s="45" t="s">
        <v>143</v>
      </c>
      <c r="BF66" s="45" t="s">
        <v>25</v>
      </c>
      <c r="BG66" s="45" t="s">
        <v>25</v>
      </c>
      <c r="BH66" s="45" t="s">
        <v>25</v>
      </c>
      <c r="BI66" s="45" t="s">
        <v>120</v>
      </c>
      <c r="BJ66" s="45" t="s">
        <v>120</v>
      </c>
      <c r="BK66" s="45" t="s">
        <v>117</v>
      </c>
      <c r="BL66" s="45" t="s">
        <v>152</v>
      </c>
      <c r="BM66" s="45" t="s">
        <v>43</v>
      </c>
      <c r="BN66" s="45" t="s">
        <v>138</v>
      </c>
      <c r="BO66" s="45" t="s">
        <v>77</v>
      </c>
      <c r="BP66" s="45" t="s">
        <v>51</v>
      </c>
      <c r="BQ66" s="45" t="s">
        <v>77</v>
      </c>
      <c r="BR66" s="45" t="s">
        <v>14</v>
      </c>
      <c r="BS66" s="45" t="s">
        <v>124</v>
      </c>
      <c r="BT66" s="45" t="s">
        <v>26</v>
      </c>
      <c r="BU66" s="45" t="s">
        <v>12</v>
      </c>
      <c r="BV66" s="45" t="s">
        <v>26</v>
      </c>
      <c r="BW66" s="45" t="s">
        <v>44</v>
      </c>
      <c r="BX66" s="45" t="s">
        <v>58</v>
      </c>
      <c r="BY66" s="45" t="s">
        <v>77</v>
      </c>
      <c r="BZ66" s="45" t="s">
        <v>77</v>
      </c>
      <c r="CA66" s="45" t="s">
        <v>153</v>
      </c>
      <c r="CB66" s="45" t="s">
        <v>153</v>
      </c>
      <c r="CC66" s="45" t="s">
        <v>116</v>
      </c>
      <c r="CD66" s="45" t="s">
        <v>26</v>
      </c>
      <c r="CE66" s="45" t="s">
        <v>12</v>
      </c>
      <c r="CF66" s="45" t="s">
        <v>143</v>
      </c>
      <c r="CG66" s="45" t="s">
        <v>108</v>
      </c>
      <c r="CH66" s="45" t="s">
        <v>51</v>
      </c>
      <c r="CI66" s="45" t="s">
        <v>115</v>
      </c>
      <c r="CJ66" s="45" t="s">
        <v>115</v>
      </c>
      <c r="CK66" s="45" t="s">
        <v>82</v>
      </c>
      <c r="CL66" s="45" t="s">
        <v>138</v>
      </c>
      <c r="CM66" s="45" t="s">
        <v>133</v>
      </c>
      <c r="CN66" s="45" t="s">
        <v>13</v>
      </c>
      <c r="CO66" s="45" t="s">
        <v>84</v>
      </c>
      <c r="CP66" s="45" t="s">
        <v>120</v>
      </c>
      <c r="CQ66" s="45" t="s">
        <v>106</v>
      </c>
      <c r="CR66" s="45" t="s">
        <v>153</v>
      </c>
      <c r="CS66" s="45" t="s">
        <v>88</v>
      </c>
      <c r="CT66" s="45" t="s">
        <v>89</v>
      </c>
      <c r="CU66" s="45" t="s">
        <v>43</v>
      </c>
      <c r="CV66" s="45" t="s">
        <v>131</v>
      </c>
      <c r="CW66" s="45" t="s">
        <v>122</v>
      </c>
      <c r="CX66" s="45" t="s">
        <v>133</v>
      </c>
      <c r="CY66" s="45" t="s">
        <v>51</v>
      </c>
      <c r="CZ66" s="45" t="s">
        <v>149</v>
      </c>
      <c r="DA66" s="45" t="s">
        <v>149</v>
      </c>
      <c r="DB66" s="45" t="s">
        <v>26</v>
      </c>
      <c r="DC66" s="45" t="s">
        <v>26</v>
      </c>
      <c r="DD66" s="45" t="s">
        <v>77</v>
      </c>
      <c r="DE66" s="45" t="s">
        <v>117</v>
      </c>
      <c r="DF66" s="45" t="s">
        <v>124</v>
      </c>
      <c r="DG66" s="45" t="s">
        <v>131</v>
      </c>
      <c r="DH66" s="45" t="s">
        <v>110</v>
      </c>
      <c r="DI66" s="45" t="s">
        <v>117</v>
      </c>
      <c r="DJ66" s="45" t="s">
        <v>119</v>
      </c>
      <c r="DK66" s="45" t="s">
        <v>106</v>
      </c>
      <c r="DL66" s="45" t="s">
        <v>131</v>
      </c>
      <c r="DM66" s="45" t="s">
        <v>14</v>
      </c>
      <c r="DN66" s="45" t="s">
        <v>84</v>
      </c>
      <c r="DO66" s="45" t="s">
        <v>25</v>
      </c>
      <c r="DP66" s="45" t="s">
        <v>14</v>
      </c>
      <c r="DQ66" s="45" t="s">
        <v>20</v>
      </c>
      <c r="DR66" s="45" t="s">
        <v>99</v>
      </c>
      <c r="DS66" s="45" t="s">
        <v>122</v>
      </c>
      <c r="DT66" s="45" t="s">
        <v>50</v>
      </c>
      <c r="DU66" s="45" t="s">
        <v>37</v>
      </c>
      <c r="DV66" s="45" t="s">
        <v>117</v>
      </c>
      <c r="DW66" s="45" t="s">
        <v>117</v>
      </c>
      <c r="DX66" s="45" t="s">
        <v>20</v>
      </c>
      <c r="DY66" s="45" t="s">
        <v>20</v>
      </c>
      <c r="DZ66" s="45" t="s">
        <v>82</v>
      </c>
      <c r="EA66" s="45" t="s">
        <v>50</v>
      </c>
      <c r="EB66" s="45" t="s">
        <v>82</v>
      </c>
      <c r="EC66" s="45" t="s">
        <v>14</v>
      </c>
      <c r="ED66" s="45" t="s">
        <v>122</v>
      </c>
      <c r="EE66" s="45" t="s">
        <v>20</v>
      </c>
      <c r="EF66" s="45" t="s">
        <v>105</v>
      </c>
      <c r="EG66" s="45" t="s">
        <v>20</v>
      </c>
      <c r="EH66" s="45" t="s">
        <v>105</v>
      </c>
      <c r="EI66" s="45" t="s">
        <v>105</v>
      </c>
      <c r="EJ66" s="45" t="s">
        <v>105</v>
      </c>
    </row>
    <row r="67" customFormat="false" ht="15.75" hidden="false" customHeight="false" outlineLevel="0" collapsed="false">
      <c r="A67" s="249" t="n">
        <v>55</v>
      </c>
      <c r="B67" s="250" t="s">
        <v>36</v>
      </c>
      <c r="C67" s="45" t="s">
        <v>129</v>
      </c>
      <c r="D67" s="45" t="s">
        <v>129</v>
      </c>
      <c r="E67" s="45" t="s">
        <v>101</v>
      </c>
      <c r="F67" s="45" t="s">
        <v>96</v>
      </c>
      <c r="G67" s="45" t="s">
        <v>96</v>
      </c>
      <c r="H67" s="45" t="s">
        <v>46</v>
      </c>
      <c r="I67" s="45" t="s">
        <v>96</v>
      </c>
      <c r="J67" s="45" t="s">
        <v>63</v>
      </c>
      <c r="K67" s="45" t="s">
        <v>55</v>
      </c>
      <c r="L67" s="45" t="s">
        <v>33</v>
      </c>
      <c r="M67" s="45" t="s">
        <v>145</v>
      </c>
      <c r="N67" s="45" t="s">
        <v>64</v>
      </c>
      <c r="O67" s="45" t="s">
        <v>33</v>
      </c>
      <c r="P67" s="45" t="s">
        <v>126</v>
      </c>
      <c r="Q67" s="45" t="s">
        <v>126</v>
      </c>
      <c r="R67" s="45" t="s">
        <v>129</v>
      </c>
      <c r="S67" s="45" t="s">
        <v>64</v>
      </c>
      <c r="T67" s="45" t="s">
        <v>101</v>
      </c>
      <c r="U67" s="45" t="s">
        <v>64</v>
      </c>
      <c r="V67" s="45" t="s">
        <v>129</v>
      </c>
      <c r="W67" s="45" t="s">
        <v>126</v>
      </c>
      <c r="X67" s="45" t="s">
        <v>94</v>
      </c>
      <c r="Y67" s="45" t="s">
        <v>147</v>
      </c>
      <c r="Z67" s="45" t="s">
        <v>54</v>
      </c>
      <c r="AA67" s="45" t="s">
        <v>66</v>
      </c>
      <c r="AB67" s="45" t="s">
        <v>129</v>
      </c>
      <c r="AC67" s="45" t="s">
        <v>91</v>
      </c>
      <c r="AD67" s="45" t="s">
        <v>89</v>
      </c>
      <c r="AE67" s="45" t="s">
        <v>31</v>
      </c>
      <c r="AF67" s="45" t="s">
        <v>22</v>
      </c>
      <c r="AG67" s="45" t="s">
        <v>66</v>
      </c>
      <c r="AH67" s="45" t="s">
        <v>43</v>
      </c>
      <c r="AI67" s="45" t="s">
        <v>46</v>
      </c>
      <c r="AJ67" s="45" t="s">
        <v>94</v>
      </c>
      <c r="AK67" s="45" t="s">
        <v>94</v>
      </c>
      <c r="AL67" s="45" t="s">
        <v>96</v>
      </c>
      <c r="AM67" s="45" t="s">
        <v>96</v>
      </c>
      <c r="AN67" s="45" t="s">
        <v>77</v>
      </c>
      <c r="AO67" s="45" t="s">
        <v>77</v>
      </c>
      <c r="AP67" s="45" t="s">
        <v>147</v>
      </c>
      <c r="AQ67" s="45" t="s">
        <v>29</v>
      </c>
      <c r="AR67" s="45" t="s">
        <v>43</v>
      </c>
      <c r="AS67" s="45" t="s">
        <v>29</v>
      </c>
      <c r="AT67" s="45" t="s">
        <v>43</v>
      </c>
      <c r="AU67" s="45" t="s">
        <v>77</v>
      </c>
      <c r="AV67" s="45" t="s">
        <v>46</v>
      </c>
      <c r="AW67" s="45" t="s">
        <v>84</v>
      </c>
      <c r="AX67" s="45" t="s">
        <v>143</v>
      </c>
      <c r="AY67" s="45" t="s">
        <v>26</v>
      </c>
      <c r="AZ67" s="45" t="s">
        <v>13</v>
      </c>
      <c r="BA67" s="45" t="s">
        <v>43</v>
      </c>
      <c r="BB67" s="45" t="s">
        <v>95</v>
      </c>
      <c r="BC67" s="45" t="s">
        <v>94</v>
      </c>
      <c r="BD67" s="45" t="s">
        <v>55</v>
      </c>
      <c r="BE67" s="45" t="s">
        <v>121</v>
      </c>
      <c r="BF67" s="45" t="s">
        <v>48</v>
      </c>
      <c r="BG67" s="45" t="s">
        <v>108</v>
      </c>
      <c r="BH67" s="45" t="s">
        <v>47</v>
      </c>
      <c r="BI67" s="45" t="s">
        <v>48</v>
      </c>
      <c r="BJ67" s="45" t="s">
        <v>31</v>
      </c>
      <c r="BK67" s="45" t="s">
        <v>12</v>
      </c>
      <c r="BL67" s="45" t="s">
        <v>145</v>
      </c>
      <c r="BM67" s="45" t="s">
        <v>144</v>
      </c>
      <c r="BN67" s="45" t="s">
        <v>77</v>
      </c>
      <c r="BO67" s="45" t="s">
        <v>36</v>
      </c>
      <c r="BP67" s="45" t="s">
        <v>120</v>
      </c>
      <c r="BQ67" s="45" t="s">
        <v>116</v>
      </c>
      <c r="BR67" s="45" t="s">
        <v>12</v>
      </c>
      <c r="BS67" s="45" t="s">
        <v>115</v>
      </c>
      <c r="BT67" s="45" t="s">
        <v>43</v>
      </c>
      <c r="BU67" s="45" t="s">
        <v>58</v>
      </c>
      <c r="BV67" s="45" t="s">
        <v>44</v>
      </c>
      <c r="BW67" s="45" t="s">
        <v>54</v>
      </c>
      <c r="BX67" s="45" t="s">
        <v>94</v>
      </c>
      <c r="BY67" s="45" t="s">
        <v>44</v>
      </c>
      <c r="BZ67" s="45" t="s">
        <v>36</v>
      </c>
      <c r="CA67" s="45" t="s">
        <v>143</v>
      </c>
      <c r="CB67" s="45" t="s">
        <v>143</v>
      </c>
      <c r="CC67" s="45" t="s">
        <v>55</v>
      </c>
      <c r="CD67" s="45" t="s">
        <v>89</v>
      </c>
      <c r="CE67" s="45" t="s">
        <v>116</v>
      </c>
      <c r="CF67" s="45" t="s">
        <v>34</v>
      </c>
      <c r="CG67" s="45" t="s">
        <v>96</v>
      </c>
      <c r="CH67" s="45" t="s">
        <v>120</v>
      </c>
      <c r="CI67" s="45" t="s">
        <v>25</v>
      </c>
      <c r="CJ67" s="45" t="s">
        <v>25</v>
      </c>
      <c r="CK67" s="45" t="s">
        <v>67</v>
      </c>
      <c r="CL67" s="45" t="s">
        <v>77</v>
      </c>
      <c r="CM67" s="45" t="s">
        <v>142</v>
      </c>
      <c r="CN67" s="45" t="s">
        <v>55</v>
      </c>
      <c r="CO67" s="45" t="s">
        <v>47</v>
      </c>
      <c r="CP67" s="45" t="s">
        <v>48</v>
      </c>
      <c r="CQ67" s="45" t="s">
        <v>26</v>
      </c>
      <c r="CR67" s="45" t="s">
        <v>143</v>
      </c>
      <c r="CS67" s="45" t="s">
        <v>145</v>
      </c>
      <c r="CT67" s="45" t="s">
        <v>63</v>
      </c>
      <c r="CU67" s="45" t="s">
        <v>63</v>
      </c>
      <c r="CV67" s="45" t="s">
        <v>145</v>
      </c>
      <c r="CW67" s="45" t="s">
        <v>152</v>
      </c>
      <c r="CX67" s="45" t="s">
        <v>142</v>
      </c>
      <c r="CY67" s="45" t="s">
        <v>120</v>
      </c>
      <c r="CZ67" s="45" t="s">
        <v>51</v>
      </c>
      <c r="DA67" s="45" t="s">
        <v>51</v>
      </c>
      <c r="DB67" s="45" t="s">
        <v>89</v>
      </c>
      <c r="DC67" s="45" t="s">
        <v>44</v>
      </c>
      <c r="DD67" s="45" t="s">
        <v>13</v>
      </c>
      <c r="DE67" s="45" t="s">
        <v>133</v>
      </c>
      <c r="DF67" s="45" t="s">
        <v>115</v>
      </c>
      <c r="DG67" s="45" t="s">
        <v>26</v>
      </c>
      <c r="DH67" s="45" t="s">
        <v>26</v>
      </c>
      <c r="DI67" s="45" t="s">
        <v>51</v>
      </c>
      <c r="DJ67" s="45" t="s">
        <v>51</v>
      </c>
      <c r="DK67" s="45" t="s">
        <v>26</v>
      </c>
      <c r="DL67" s="45" t="s">
        <v>26</v>
      </c>
      <c r="DM67" s="45" t="s">
        <v>12</v>
      </c>
      <c r="DN67" s="45" t="s">
        <v>104</v>
      </c>
      <c r="DO67" s="45" t="s">
        <v>108</v>
      </c>
      <c r="DP67" s="45" t="s">
        <v>12</v>
      </c>
      <c r="DQ67" s="45" t="s">
        <v>138</v>
      </c>
      <c r="DR67" s="45" t="s">
        <v>18</v>
      </c>
      <c r="DS67" s="45" t="s">
        <v>153</v>
      </c>
      <c r="DT67" s="45" t="s">
        <v>51</v>
      </c>
      <c r="DU67" s="45" t="s">
        <v>143</v>
      </c>
      <c r="DV67" s="45" t="s">
        <v>133</v>
      </c>
      <c r="DW67" s="45" t="s">
        <v>133</v>
      </c>
      <c r="DX67" s="45" t="s">
        <v>110</v>
      </c>
      <c r="DY67" s="45" t="s">
        <v>110</v>
      </c>
      <c r="DZ67" s="45" t="s">
        <v>18</v>
      </c>
      <c r="EA67" s="45" t="s">
        <v>115</v>
      </c>
      <c r="EB67" s="45" t="s">
        <v>18</v>
      </c>
      <c r="EC67" s="45" t="s">
        <v>77</v>
      </c>
      <c r="ED67" s="45" t="s">
        <v>88</v>
      </c>
      <c r="EE67" s="45" t="s">
        <v>106</v>
      </c>
      <c r="EF67" s="45" t="s">
        <v>131</v>
      </c>
      <c r="EG67" s="45" t="s">
        <v>106</v>
      </c>
      <c r="EH67" s="45" t="s">
        <v>152</v>
      </c>
      <c r="EI67" s="45" t="s">
        <v>131</v>
      </c>
      <c r="EJ67" s="45" t="s">
        <v>131</v>
      </c>
    </row>
    <row r="68" customFormat="false" ht="15.75" hidden="false" customHeight="false" outlineLevel="0" collapsed="false">
      <c r="A68" s="249" t="n">
        <v>56</v>
      </c>
      <c r="B68" s="250" t="s">
        <v>143</v>
      </c>
      <c r="C68" s="45" t="s">
        <v>33</v>
      </c>
      <c r="D68" s="45" t="s">
        <v>22</v>
      </c>
      <c r="E68" s="45" t="s">
        <v>64</v>
      </c>
      <c r="F68" s="45" t="s">
        <v>46</v>
      </c>
      <c r="G68" s="45" t="s">
        <v>66</v>
      </c>
      <c r="H68" s="45" t="s">
        <v>54</v>
      </c>
      <c r="I68" s="45" t="s">
        <v>66</v>
      </c>
      <c r="J68" s="45" t="s">
        <v>94</v>
      </c>
      <c r="K68" s="45" t="s">
        <v>48</v>
      </c>
      <c r="L68" s="45" t="s">
        <v>126</v>
      </c>
      <c r="M68" s="45" t="s">
        <v>77</v>
      </c>
      <c r="N68" s="45" t="s">
        <v>63</v>
      </c>
      <c r="O68" s="45" t="s">
        <v>126</v>
      </c>
      <c r="P68" s="45" t="s">
        <v>94</v>
      </c>
      <c r="Q68" s="45" t="s">
        <v>94</v>
      </c>
      <c r="R68" s="45" t="s">
        <v>46</v>
      </c>
      <c r="S68" s="45" t="s">
        <v>63</v>
      </c>
      <c r="T68" s="45" t="s">
        <v>64</v>
      </c>
      <c r="U68" s="45" t="s">
        <v>63</v>
      </c>
      <c r="V68" s="45" t="s">
        <v>22</v>
      </c>
      <c r="W68" s="45" t="s">
        <v>94</v>
      </c>
      <c r="X68" s="45" t="s">
        <v>108</v>
      </c>
      <c r="Y68" s="45" t="s">
        <v>31</v>
      </c>
      <c r="Z68" s="45" t="s">
        <v>94</v>
      </c>
      <c r="AA68" s="45" t="s">
        <v>55</v>
      </c>
      <c r="AB68" s="45" t="s">
        <v>33</v>
      </c>
      <c r="AC68" s="45" t="s">
        <v>46</v>
      </c>
      <c r="AD68" s="45" t="s">
        <v>116</v>
      </c>
      <c r="AE68" s="45" t="s">
        <v>34</v>
      </c>
      <c r="AF68" s="45" t="s">
        <v>54</v>
      </c>
      <c r="AG68" s="45" t="s">
        <v>55</v>
      </c>
      <c r="AH68" s="45" t="s">
        <v>13</v>
      </c>
      <c r="AI68" s="45" t="s">
        <v>54</v>
      </c>
      <c r="AJ68" s="45" t="s">
        <v>104</v>
      </c>
      <c r="AK68" s="45" t="s">
        <v>104</v>
      </c>
      <c r="AL68" s="45" t="s">
        <v>144</v>
      </c>
      <c r="AM68" s="45" t="s">
        <v>144</v>
      </c>
      <c r="AN68" s="45" t="s">
        <v>133</v>
      </c>
      <c r="AO68" s="45" t="s">
        <v>51</v>
      </c>
      <c r="AP68" s="45" t="s">
        <v>31</v>
      </c>
      <c r="AQ68" s="45" t="s">
        <v>36</v>
      </c>
      <c r="AR68" s="45" t="s">
        <v>13</v>
      </c>
      <c r="AS68" s="45" t="s">
        <v>36</v>
      </c>
      <c r="AT68" s="45" t="s">
        <v>13</v>
      </c>
      <c r="AU68" s="45" t="s">
        <v>51</v>
      </c>
      <c r="AV68" s="45" t="s">
        <v>147</v>
      </c>
      <c r="AW68" s="45" t="s">
        <v>26</v>
      </c>
      <c r="AX68" s="45" t="s">
        <v>26</v>
      </c>
      <c r="AY68" s="45" t="s">
        <v>77</v>
      </c>
      <c r="AZ68" s="45" t="s">
        <v>120</v>
      </c>
      <c r="BA68" s="45" t="s">
        <v>13</v>
      </c>
      <c r="BB68" s="45" t="s">
        <v>121</v>
      </c>
      <c r="BC68" s="45" t="s">
        <v>47</v>
      </c>
      <c r="BD68" s="45" t="s">
        <v>108</v>
      </c>
      <c r="BE68" s="45" t="s">
        <v>44</v>
      </c>
      <c r="BF68" s="45" t="s">
        <v>43</v>
      </c>
      <c r="BG68" s="45" t="s">
        <v>43</v>
      </c>
      <c r="BH68" s="45" t="s">
        <v>43</v>
      </c>
      <c r="BI68" s="45" t="s">
        <v>29</v>
      </c>
      <c r="BJ68" s="45" t="s">
        <v>121</v>
      </c>
      <c r="BK68" s="45" t="s">
        <v>18</v>
      </c>
      <c r="BL68" s="45" t="s">
        <v>77</v>
      </c>
      <c r="BM68" s="45" t="s">
        <v>147</v>
      </c>
      <c r="BN68" s="45" t="s">
        <v>51</v>
      </c>
      <c r="BO68" s="45" t="s">
        <v>120</v>
      </c>
      <c r="BP68" s="45" t="s">
        <v>143</v>
      </c>
      <c r="BQ68" s="45" t="s">
        <v>25</v>
      </c>
      <c r="BR68" s="45" t="s">
        <v>115</v>
      </c>
      <c r="BS68" s="45" t="s">
        <v>152</v>
      </c>
      <c r="BT68" s="45" t="s">
        <v>116</v>
      </c>
      <c r="BU68" s="45" t="s">
        <v>25</v>
      </c>
      <c r="BV68" s="45" t="s">
        <v>142</v>
      </c>
      <c r="BW68" s="45" t="s">
        <v>94</v>
      </c>
      <c r="BX68" s="45" t="s">
        <v>47</v>
      </c>
      <c r="BY68" s="45" t="s">
        <v>142</v>
      </c>
      <c r="BZ68" s="45" t="s">
        <v>142</v>
      </c>
      <c r="CA68" s="45" t="s">
        <v>26</v>
      </c>
      <c r="CB68" s="45" t="s">
        <v>77</v>
      </c>
      <c r="CC68" s="45" t="s">
        <v>48</v>
      </c>
      <c r="CD68" s="45" t="s">
        <v>58</v>
      </c>
      <c r="CE68" s="45" t="s">
        <v>25</v>
      </c>
      <c r="CF68" s="45" t="s">
        <v>44</v>
      </c>
      <c r="CG68" s="45" t="s">
        <v>66</v>
      </c>
      <c r="CH68" s="45" t="s">
        <v>143</v>
      </c>
      <c r="CI68" s="45" t="s">
        <v>145</v>
      </c>
      <c r="CJ68" s="45" t="s">
        <v>145</v>
      </c>
      <c r="CK68" s="45" t="s">
        <v>131</v>
      </c>
      <c r="CL68" s="45" t="s">
        <v>51</v>
      </c>
      <c r="CM68" s="45" t="s">
        <v>143</v>
      </c>
      <c r="CN68" s="45" t="s">
        <v>48</v>
      </c>
      <c r="CO68" s="45" t="s">
        <v>89</v>
      </c>
      <c r="CP68" s="45" t="s">
        <v>29</v>
      </c>
      <c r="CQ68" s="45" t="s">
        <v>12</v>
      </c>
      <c r="CR68" s="45" t="s">
        <v>77</v>
      </c>
      <c r="CS68" s="45" t="s">
        <v>77</v>
      </c>
      <c r="CT68" s="45" t="s">
        <v>55</v>
      </c>
      <c r="CU68" s="45" t="s">
        <v>55</v>
      </c>
      <c r="CV68" s="45" t="s">
        <v>77</v>
      </c>
      <c r="CW68" s="45" t="s">
        <v>138</v>
      </c>
      <c r="CX68" s="45" t="s">
        <v>84</v>
      </c>
      <c r="CY68" s="45" t="s">
        <v>143</v>
      </c>
      <c r="CZ68" s="45" t="s">
        <v>153</v>
      </c>
      <c r="DA68" s="45" t="s">
        <v>153</v>
      </c>
      <c r="DB68" s="45" t="s">
        <v>58</v>
      </c>
      <c r="DC68" s="45" t="s">
        <v>58</v>
      </c>
      <c r="DD68" s="45" t="s">
        <v>120</v>
      </c>
      <c r="DE68" s="45" t="s">
        <v>18</v>
      </c>
      <c r="DF68" s="45" t="s">
        <v>131</v>
      </c>
      <c r="DG68" s="45" t="s">
        <v>12</v>
      </c>
      <c r="DH68" s="45" t="s">
        <v>133</v>
      </c>
      <c r="DI68" s="45" t="s">
        <v>37</v>
      </c>
      <c r="DJ68" s="45" t="s">
        <v>153</v>
      </c>
      <c r="DK68" s="45" t="s">
        <v>12</v>
      </c>
      <c r="DL68" s="45" t="s">
        <v>12</v>
      </c>
      <c r="DM68" s="45" t="s">
        <v>67</v>
      </c>
      <c r="DN68" s="45" t="s">
        <v>89</v>
      </c>
      <c r="DO68" s="45" t="s">
        <v>43</v>
      </c>
      <c r="DP68" s="45" t="s">
        <v>115</v>
      </c>
      <c r="DQ68" s="45" t="s">
        <v>149</v>
      </c>
      <c r="DR68" s="45" t="s">
        <v>106</v>
      </c>
      <c r="DS68" s="45" t="s">
        <v>110</v>
      </c>
      <c r="DT68" s="45" t="s">
        <v>88</v>
      </c>
      <c r="DU68" s="45" t="s">
        <v>26</v>
      </c>
      <c r="DV68" s="45" t="s">
        <v>18</v>
      </c>
      <c r="DW68" s="45" t="s">
        <v>18</v>
      </c>
      <c r="DX68" s="45" t="s">
        <v>117</v>
      </c>
      <c r="DY68" s="45" t="s">
        <v>117</v>
      </c>
      <c r="DZ68" s="45" t="s">
        <v>131</v>
      </c>
      <c r="EA68" s="45" t="s">
        <v>152</v>
      </c>
      <c r="EB68" s="45" t="s">
        <v>131</v>
      </c>
      <c r="EC68" s="45" t="s">
        <v>115</v>
      </c>
      <c r="ED68" s="45" t="s">
        <v>138</v>
      </c>
      <c r="EE68" s="45" t="s">
        <v>117</v>
      </c>
      <c r="EF68" s="45" t="s">
        <v>14</v>
      </c>
      <c r="EG68" s="45" t="s">
        <v>14</v>
      </c>
      <c r="EH68" s="45" t="s">
        <v>138</v>
      </c>
      <c r="EI68" s="45" t="s">
        <v>14</v>
      </c>
      <c r="EJ68" s="45" t="s">
        <v>14</v>
      </c>
    </row>
    <row r="69" customFormat="false" ht="15.75" hidden="false" customHeight="false" outlineLevel="0" collapsed="false">
      <c r="A69" s="249" t="n">
        <v>57</v>
      </c>
      <c r="B69" s="250" t="s">
        <v>58</v>
      </c>
      <c r="C69" s="45" t="s">
        <v>96</v>
      </c>
      <c r="D69" s="45" t="s">
        <v>96</v>
      </c>
      <c r="E69" s="45" t="s">
        <v>129</v>
      </c>
      <c r="F69" s="45" t="s">
        <v>64</v>
      </c>
      <c r="G69" s="45" t="s">
        <v>33</v>
      </c>
      <c r="H69" s="45" t="s">
        <v>66</v>
      </c>
      <c r="I69" s="45" t="s">
        <v>64</v>
      </c>
      <c r="J69" s="45" t="s">
        <v>54</v>
      </c>
      <c r="K69" s="45" t="s">
        <v>94</v>
      </c>
      <c r="L69" s="45" t="s">
        <v>46</v>
      </c>
      <c r="M69" s="45" t="s">
        <v>26</v>
      </c>
      <c r="N69" s="45" t="s">
        <v>46</v>
      </c>
      <c r="O69" s="45" t="s">
        <v>46</v>
      </c>
      <c r="P69" s="45" t="s">
        <v>54</v>
      </c>
      <c r="Q69" s="45" t="s">
        <v>54</v>
      </c>
      <c r="R69" s="45" t="s">
        <v>96</v>
      </c>
      <c r="S69" s="45" t="s">
        <v>33</v>
      </c>
      <c r="T69" s="45" t="s">
        <v>129</v>
      </c>
      <c r="U69" s="45" t="s">
        <v>22</v>
      </c>
      <c r="V69" s="45" t="s">
        <v>96</v>
      </c>
      <c r="W69" s="45" t="s">
        <v>147</v>
      </c>
      <c r="X69" s="45" t="s">
        <v>94</v>
      </c>
      <c r="Y69" s="45" t="s">
        <v>55</v>
      </c>
      <c r="Z69" s="45" t="s">
        <v>147</v>
      </c>
      <c r="AA69" s="45" t="s">
        <v>63</v>
      </c>
      <c r="AB69" s="45" t="s">
        <v>91</v>
      </c>
      <c r="AC69" s="45" t="s">
        <v>96</v>
      </c>
      <c r="AD69" s="45" t="s">
        <v>44</v>
      </c>
      <c r="AE69" s="45" t="s">
        <v>108</v>
      </c>
      <c r="AF69" s="45" t="s">
        <v>144</v>
      </c>
      <c r="AG69" s="45" t="s">
        <v>126</v>
      </c>
      <c r="AH69" s="45" t="s">
        <v>89</v>
      </c>
      <c r="AI69" s="45" t="s">
        <v>66</v>
      </c>
      <c r="AJ69" s="45" t="s">
        <v>48</v>
      </c>
      <c r="AK69" s="45" t="s">
        <v>31</v>
      </c>
      <c r="AL69" s="45" t="s">
        <v>64</v>
      </c>
      <c r="AM69" s="45" t="s">
        <v>64</v>
      </c>
      <c r="AN69" s="45" t="s">
        <v>77</v>
      </c>
      <c r="AO69" s="45" t="s">
        <v>12</v>
      </c>
      <c r="AP69" s="45" t="s">
        <v>55</v>
      </c>
      <c r="AQ69" s="45" t="s">
        <v>43</v>
      </c>
      <c r="AR69" s="45" t="s">
        <v>89</v>
      </c>
      <c r="AS69" s="45" t="s">
        <v>43</v>
      </c>
      <c r="AT69" s="45" t="s">
        <v>89</v>
      </c>
      <c r="AU69" s="45" t="s">
        <v>77</v>
      </c>
      <c r="AV69" s="45" t="s">
        <v>63</v>
      </c>
      <c r="AW69" s="45" t="s">
        <v>143</v>
      </c>
      <c r="AX69" s="45" t="s">
        <v>143</v>
      </c>
      <c r="AY69" s="45" t="s">
        <v>26</v>
      </c>
      <c r="AZ69" s="45" t="s">
        <v>116</v>
      </c>
      <c r="BA69" s="45" t="s">
        <v>89</v>
      </c>
      <c r="BB69" s="45" t="s">
        <v>48</v>
      </c>
      <c r="BC69" s="45" t="s">
        <v>95</v>
      </c>
      <c r="BD69" s="45" t="s">
        <v>94</v>
      </c>
      <c r="BE69" s="45" t="s">
        <v>43</v>
      </c>
      <c r="BF69" s="45" t="s">
        <v>47</v>
      </c>
      <c r="BG69" s="45" t="s">
        <v>104</v>
      </c>
      <c r="BH69" s="45" t="s">
        <v>121</v>
      </c>
      <c r="BI69" s="45" t="s">
        <v>47</v>
      </c>
      <c r="BJ69" s="45" t="s">
        <v>48</v>
      </c>
      <c r="BK69" s="45" t="s">
        <v>51</v>
      </c>
      <c r="BL69" s="45" t="s">
        <v>26</v>
      </c>
      <c r="BM69" s="45" t="s">
        <v>63</v>
      </c>
      <c r="BN69" s="45" t="s">
        <v>77</v>
      </c>
      <c r="BO69" s="45" t="s">
        <v>116</v>
      </c>
      <c r="BP69" s="45" t="s">
        <v>25</v>
      </c>
      <c r="BQ69" s="45" t="s">
        <v>58</v>
      </c>
      <c r="BR69" s="45" t="s">
        <v>133</v>
      </c>
      <c r="BS69" s="45" t="s">
        <v>18</v>
      </c>
      <c r="BT69" s="45" t="s">
        <v>44</v>
      </c>
      <c r="BU69" s="45" t="s">
        <v>142</v>
      </c>
      <c r="BV69" s="45" t="s">
        <v>13</v>
      </c>
      <c r="BW69" s="45" t="s">
        <v>55</v>
      </c>
      <c r="BX69" s="45" t="s">
        <v>31</v>
      </c>
      <c r="BY69" s="45" t="s">
        <v>13</v>
      </c>
      <c r="BZ69" s="45" t="s">
        <v>13</v>
      </c>
      <c r="CA69" s="45" t="s">
        <v>145</v>
      </c>
      <c r="CB69" s="45" t="s">
        <v>145</v>
      </c>
      <c r="CC69" s="45" t="s">
        <v>94</v>
      </c>
      <c r="CD69" s="45" t="s">
        <v>36</v>
      </c>
      <c r="CE69" s="45" t="s">
        <v>142</v>
      </c>
      <c r="CF69" s="45" t="s">
        <v>43</v>
      </c>
      <c r="CG69" s="45" t="s">
        <v>33</v>
      </c>
      <c r="CH69" s="45" t="s">
        <v>146</v>
      </c>
      <c r="CI69" s="45" t="s">
        <v>143</v>
      </c>
      <c r="CJ69" s="45" t="s">
        <v>84</v>
      </c>
      <c r="CK69" s="45" t="s">
        <v>37</v>
      </c>
      <c r="CL69" s="45" t="s">
        <v>12</v>
      </c>
      <c r="CM69" s="45" t="s">
        <v>120</v>
      </c>
      <c r="CN69" s="45" t="s">
        <v>94</v>
      </c>
      <c r="CO69" s="45" t="s">
        <v>121</v>
      </c>
      <c r="CP69" s="45" t="s">
        <v>108</v>
      </c>
      <c r="CQ69" s="45" t="s">
        <v>77</v>
      </c>
      <c r="CR69" s="45" t="s">
        <v>145</v>
      </c>
      <c r="CS69" s="45" t="s">
        <v>26</v>
      </c>
      <c r="CT69" s="45" t="s">
        <v>54</v>
      </c>
      <c r="CU69" s="45" t="s">
        <v>126</v>
      </c>
      <c r="CV69" s="45" t="s">
        <v>26</v>
      </c>
      <c r="CW69" s="45" t="s">
        <v>131</v>
      </c>
      <c r="CX69" s="45" t="s">
        <v>120</v>
      </c>
      <c r="CY69" s="45" t="s">
        <v>25</v>
      </c>
      <c r="CZ69" s="45" t="s">
        <v>115</v>
      </c>
      <c r="DA69" s="45" t="s">
        <v>115</v>
      </c>
      <c r="DB69" s="45" t="s">
        <v>44</v>
      </c>
      <c r="DC69" s="45" t="s">
        <v>36</v>
      </c>
      <c r="DD69" s="45" t="s">
        <v>58</v>
      </c>
      <c r="DE69" s="45" t="s">
        <v>76</v>
      </c>
      <c r="DF69" s="45" t="s">
        <v>18</v>
      </c>
      <c r="DG69" s="45" t="s">
        <v>77</v>
      </c>
      <c r="DH69" s="45" t="s">
        <v>77</v>
      </c>
      <c r="DI69" s="45" t="s">
        <v>51</v>
      </c>
      <c r="DJ69" s="45" t="s">
        <v>115</v>
      </c>
      <c r="DK69" s="45" t="s">
        <v>77</v>
      </c>
      <c r="DL69" s="45" t="s">
        <v>26</v>
      </c>
      <c r="DM69" s="45" t="s">
        <v>51</v>
      </c>
      <c r="DN69" s="45" t="s">
        <v>34</v>
      </c>
      <c r="DO69" s="45" t="s">
        <v>104</v>
      </c>
      <c r="DP69" s="45" t="s">
        <v>133</v>
      </c>
      <c r="DQ69" s="45" t="s">
        <v>14</v>
      </c>
      <c r="DR69" s="45" t="s">
        <v>153</v>
      </c>
      <c r="DS69" s="45" t="s">
        <v>131</v>
      </c>
      <c r="DT69" s="45" t="s">
        <v>67</v>
      </c>
      <c r="DU69" s="45" t="s">
        <v>145</v>
      </c>
      <c r="DV69" s="45" t="s">
        <v>51</v>
      </c>
      <c r="DW69" s="45" t="s">
        <v>51</v>
      </c>
      <c r="DX69" s="45" t="s">
        <v>138</v>
      </c>
      <c r="DY69" s="45" t="s">
        <v>138</v>
      </c>
      <c r="DZ69" s="45" t="s">
        <v>153</v>
      </c>
      <c r="EA69" s="45" t="s">
        <v>18</v>
      </c>
      <c r="EB69" s="45" t="s">
        <v>153</v>
      </c>
      <c r="EC69" s="45" t="s">
        <v>12</v>
      </c>
      <c r="ED69" s="45" t="s">
        <v>131</v>
      </c>
      <c r="EE69" s="45" t="s">
        <v>138</v>
      </c>
      <c r="EF69" s="45" t="s">
        <v>110</v>
      </c>
      <c r="EG69" s="45" t="s">
        <v>110</v>
      </c>
      <c r="EH69" s="45" t="s">
        <v>131</v>
      </c>
      <c r="EI69" s="45" t="s">
        <v>106</v>
      </c>
      <c r="EJ69" s="45" t="s">
        <v>110</v>
      </c>
    </row>
    <row r="70" customFormat="false" ht="15.75" hidden="false" customHeight="false" outlineLevel="0" collapsed="false">
      <c r="A70" s="249" t="n">
        <v>58</v>
      </c>
      <c r="B70" s="250" t="s">
        <v>117</v>
      </c>
      <c r="C70" s="45" t="s">
        <v>48</v>
      </c>
      <c r="D70" s="45" t="s">
        <v>108</v>
      </c>
      <c r="E70" s="45" t="s">
        <v>31</v>
      </c>
      <c r="F70" s="45" t="s">
        <v>47</v>
      </c>
      <c r="G70" s="45" t="s">
        <v>121</v>
      </c>
      <c r="H70" s="45" t="s">
        <v>43</v>
      </c>
      <c r="I70" s="45" t="s">
        <v>104</v>
      </c>
      <c r="J70" s="45" t="s">
        <v>36</v>
      </c>
      <c r="K70" s="45" t="s">
        <v>58</v>
      </c>
      <c r="L70" s="45" t="s">
        <v>43</v>
      </c>
      <c r="M70" s="45" t="s">
        <v>131</v>
      </c>
      <c r="N70" s="45" t="s">
        <v>29</v>
      </c>
      <c r="O70" s="45" t="s">
        <v>29</v>
      </c>
      <c r="P70" s="45" t="s">
        <v>36</v>
      </c>
      <c r="Q70" s="45" t="s">
        <v>36</v>
      </c>
      <c r="R70" s="45" t="s">
        <v>108</v>
      </c>
      <c r="S70" s="45" t="s">
        <v>121</v>
      </c>
      <c r="T70" s="45" t="s">
        <v>48</v>
      </c>
      <c r="U70" s="45" t="s">
        <v>34</v>
      </c>
      <c r="V70" s="45" t="s">
        <v>108</v>
      </c>
      <c r="W70" s="45" t="s">
        <v>13</v>
      </c>
      <c r="X70" s="45" t="s">
        <v>142</v>
      </c>
      <c r="Y70" s="45" t="s">
        <v>58</v>
      </c>
      <c r="Z70" s="45" t="s">
        <v>13</v>
      </c>
      <c r="AA70" s="45" t="s">
        <v>89</v>
      </c>
      <c r="AB70" s="45" t="s">
        <v>48</v>
      </c>
      <c r="AC70" s="45" t="s">
        <v>47</v>
      </c>
      <c r="AD70" s="45" t="s">
        <v>77</v>
      </c>
      <c r="AE70" s="45" t="s">
        <v>25</v>
      </c>
      <c r="AF70" s="45" t="s">
        <v>43</v>
      </c>
      <c r="AG70" s="45" t="s">
        <v>44</v>
      </c>
      <c r="AH70" s="45" t="s">
        <v>26</v>
      </c>
      <c r="AI70" s="45" t="s">
        <v>43</v>
      </c>
      <c r="AJ70" s="45" t="s">
        <v>120</v>
      </c>
      <c r="AK70" s="45" t="s">
        <v>120</v>
      </c>
      <c r="AL70" s="45" t="s">
        <v>104</v>
      </c>
      <c r="AM70" s="45" t="s">
        <v>104</v>
      </c>
      <c r="AN70" s="45" t="s">
        <v>138</v>
      </c>
      <c r="AO70" s="45" t="s">
        <v>14</v>
      </c>
      <c r="AP70" s="45" t="s">
        <v>116</v>
      </c>
      <c r="AQ70" s="45" t="s">
        <v>26</v>
      </c>
      <c r="AR70" s="45" t="s">
        <v>26</v>
      </c>
      <c r="AS70" s="45" t="s">
        <v>26</v>
      </c>
      <c r="AT70" s="45" t="s">
        <v>26</v>
      </c>
      <c r="AU70" s="45" t="s">
        <v>14</v>
      </c>
      <c r="AV70" s="45" t="s">
        <v>89</v>
      </c>
      <c r="AW70" s="45" t="s">
        <v>153</v>
      </c>
      <c r="AX70" s="45" t="s">
        <v>88</v>
      </c>
      <c r="AY70" s="45" t="s">
        <v>110</v>
      </c>
      <c r="AZ70" s="45" t="s">
        <v>12</v>
      </c>
      <c r="BA70" s="45" t="s">
        <v>26</v>
      </c>
      <c r="BB70" s="45" t="s">
        <v>25</v>
      </c>
      <c r="BC70" s="45" t="s">
        <v>120</v>
      </c>
      <c r="BD70" s="45" t="s">
        <v>142</v>
      </c>
      <c r="BE70" s="45" t="s">
        <v>145</v>
      </c>
      <c r="BF70" s="45" t="s">
        <v>84</v>
      </c>
      <c r="BG70" s="45" t="s">
        <v>143</v>
      </c>
      <c r="BH70" s="45" t="s">
        <v>143</v>
      </c>
      <c r="BI70" s="45" t="s">
        <v>84</v>
      </c>
      <c r="BJ70" s="45" t="s">
        <v>25</v>
      </c>
      <c r="BK70" s="45" t="s">
        <v>149</v>
      </c>
      <c r="BL70" s="45" t="s">
        <v>106</v>
      </c>
      <c r="BM70" s="45" t="s">
        <v>89</v>
      </c>
      <c r="BN70" s="45" t="s">
        <v>14</v>
      </c>
      <c r="BO70" s="45" t="s">
        <v>12</v>
      </c>
      <c r="BP70" s="45" t="s">
        <v>115</v>
      </c>
      <c r="BQ70" s="45" t="s">
        <v>133</v>
      </c>
      <c r="BR70" s="45" t="s">
        <v>117</v>
      </c>
      <c r="BS70" s="45" t="s">
        <v>99</v>
      </c>
      <c r="BT70" s="45" t="s">
        <v>26</v>
      </c>
      <c r="BU70" s="45" t="s">
        <v>51</v>
      </c>
      <c r="BV70" s="45" t="s">
        <v>77</v>
      </c>
      <c r="BW70" s="45" t="s">
        <v>13</v>
      </c>
      <c r="BX70" s="45" t="s">
        <v>120</v>
      </c>
      <c r="BY70" s="45" t="s">
        <v>77</v>
      </c>
      <c r="BZ70" s="45" t="s">
        <v>77</v>
      </c>
      <c r="CA70" s="45" t="s">
        <v>152</v>
      </c>
      <c r="CB70" s="45" t="s">
        <v>131</v>
      </c>
      <c r="CC70" s="45" t="s">
        <v>142</v>
      </c>
      <c r="CD70" s="45" t="s">
        <v>77</v>
      </c>
      <c r="CE70" s="45" t="s">
        <v>133</v>
      </c>
      <c r="CF70" s="45" t="s">
        <v>145</v>
      </c>
      <c r="CG70" s="45" t="s">
        <v>121</v>
      </c>
      <c r="CH70" s="45" t="s">
        <v>67</v>
      </c>
      <c r="CI70" s="45" t="s">
        <v>37</v>
      </c>
      <c r="CJ70" s="45" t="s">
        <v>18</v>
      </c>
      <c r="CK70" s="45" t="s">
        <v>122</v>
      </c>
      <c r="CL70" s="45" t="s">
        <v>117</v>
      </c>
      <c r="CM70" s="45" t="s">
        <v>118</v>
      </c>
      <c r="CN70" s="45" t="s">
        <v>58</v>
      </c>
      <c r="CO70" s="45" t="s">
        <v>143</v>
      </c>
      <c r="CP70" s="45" t="s">
        <v>25</v>
      </c>
      <c r="CQ70" s="45" t="s">
        <v>138</v>
      </c>
      <c r="CR70" s="45" t="s">
        <v>131</v>
      </c>
      <c r="CS70" s="45" t="s">
        <v>131</v>
      </c>
      <c r="CT70" s="45" t="s">
        <v>44</v>
      </c>
      <c r="CU70" s="45" t="s">
        <v>44</v>
      </c>
      <c r="CV70" s="45" t="s">
        <v>106</v>
      </c>
      <c r="CW70" s="45" t="s">
        <v>105</v>
      </c>
      <c r="CX70" s="45" t="s">
        <v>51</v>
      </c>
      <c r="CY70" s="45" t="s">
        <v>115</v>
      </c>
      <c r="CZ70" s="45" t="s">
        <v>124</v>
      </c>
      <c r="DA70" s="45" t="s">
        <v>82</v>
      </c>
      <c r="DB70" s="45" t="s">
        <v>77</v>
      </c>
      <c r="DC70" s="45" t="s">
        <v>77</v>
      </c>
      <c r="DD70" s="45" t="s">
        <v>12</v>
      </c>
      <c r="DE70" s="45" t="s">
        <v>149</v>
      </c>
      <c r="DF70" s="45" t="s">
        <v>99</v>
      </c>
      <c r="DG70" s="45" t="s">
        <v>110</v>
      </c>
      <c r="DH70" s="45" t="s">
        <v>138</v>
      </c>
      <c r="DI70" s="45" t="s">
        <v>50</v>
      </c>
      <c r="DJ70" s="45" t="s">
        <v>124</v>
      </c>
      <c r="DK70" s="45" t="s">
        <v>138</v>
      </c>
      <c r="DL70" s="45" t="s">
        <v>110</v>
      </c>
      <c r="DM70" s="45" t="s">
        <v>119</v>
      </c>
      <c r="DN70" s="45" t="s">
        <v>143</v>
      </c>
      <c r="DO70" s="45" t="s">
        <v>143</v>
      </c>
      <c r="DP70" s="45" t="s">
        <v>117</v>
      </c>
      <c r="DQ70" s="45" t="s">
        <v>73</v>
      </c>
      <c r="DR70" s="45" t="s">
        <v>122</v>
      </c>
      <c r="DS70" s="45" t="s">
        <v>105</v>
      </c>
      <c r="DT70" s="45" t="s">
        <v>82</v>
      </c>
      <c r="DU70" s="45" t="s">
        <v>152</v>
      </c>
      <c r="DV70" s="45" t="s">
        <v>50</v>
      </c>
      <c r="DW70" s="45" t="s">
        <v>149</v>
      </c>
      <c r="DX70" s="45" t="s">
        <v>20</v>
      </c>
      <c r="DY70" s="45" t="s">
        <v>73</v>
      </c>
      <c r="DZ70" s="45" t="s">
        <v>122</v>
      </c>
      <c r="EA70" s="45" t="s">
        <v>82</v>
      </c>
      <c r="EB70" s="45" t="s">
        <v>122</v>
      </c>
      <c r="EC70" s="45" t="s">
        <v>117</v>
      </c>
      <c r="ED70" s="45" t="s">
        <v>105</v>
      </c>
      <c r="EE70" s="45" t="s">
        <v>20</v>
      </c>
      <c r="EF70" s="45" t="s">
        <v>20</v>
      </c>
      <c r="EG70" s="45" t="s">
        <v>20</v>
      </c>
      <c r="EH70" s="45" t="s">
        <v>20</v>
      </c>
      <c r="EI70" s="45" t="s">
        <v>20</v>
      </c>
      <c r="EJ70" s="45" t="s">
        <v>20</v>
      </c>
    </row>
    <row r="71" customFormat="false" ht="15.75" hidden="false" customHeight="false" outlineLevel="0" collapsed="false">
      <c r="A71" s="249" t="n">
        <v>58</v>
      </c>
      <c r="B71" s="250" t="s">
        <v>118</v>
      </c>
      <c r="C71" s="45" t="s">
        <v>43</v>
      </c>
      <c r="D71" s="45" t="s">
        <v>43</v>
      </c>
      <c r="E71" s="45" t="s">
        <v>34</v>
      </c>
      <c r="F71" s="45" t="s">
        <v>89</v>
      </c>
      <c r="G71" s="45" t="s">
        <v>44</v>
      </c>
      <c r="H71" s="45" t="s">
        <v>13</v>
      </c>
      <c r="I71" s="45" t="s">
        <v>89</v>
      </c>
      <c r="J71" s="45" t="s">
        <v>142</v>
      </c>
      <c r="K71" s="45" t="s">
        <v>84</v>
      </c>
      <c r="L71" s="45" t="s">
        <v>13</v>
      </c>
      <c r="M71" s="45" t="s">
        <v>14</v>
      </c>
      <c r="N71" s="45" t="s">
        <v>36</v>
      </c>
      <c r="O71" s="45" t="s">
        <v>36</v>
      </c>
      <c r="P71" s="45" t="s">
        <v>120</v>
      </c>
      <c r="Q71" s="45" t="s">
        <v>120</v>
      </c>
      <c r="R71" s="45" t="s">
        <v>43</v>
      </c>
      <c r="S71" s="45" t="s">
        <v>44</v>
      </c>
      <c r="T71" s="45" t="s">
        <v>29</v>
      </c>
      <c r="U71" s="45" t="s">
        <v>44</v>
      </c>
      <c r="V71" s="45" t="s">
        <v>43</v>
      </c>
      <c r="W71" s="45" t="s">
        <v>120</v>
      </c>
      <c r="X71" s="45" t="s">
        <v>143</v>
      </c>
      <c r="Y71" s="45" t="s">
        <v>25</v>
      </c>
      <c r="Z71" s="45" t="s">
        <v>120</v>
      </c>
      <c r="AA71" s="45" t="s">
        <v>58</v>
      </c>
      <c r="AB71" s="45" t="s">
        <v>29</v>
      </c>
      <c r="AC71" s="45" t="s">
        <v>43</v>
      </c>
      <c r="AD71" s="45" t="s">
        <v>133</v>
      </c>
      <c r="AE71" s="45" t="s">
        <v>145</v>
      </c>
      <c r="AF71" s="45" t="s">
        <v>13</v>
      </c>
      <c r="AG71" s="45" t="s">
        <v>58</v>
      </c>
      <c r="AH71" s="45" t="s">
        <v>12</v>
      </c>
      <c r="AI71" s="45" t="s">
        <v>116</v>
      </c>
      <c r="AJ71" s="45" t="s">
        <v>145</v>
      </c>
      <c r="AK71" s="45" t="s">
        <v>143</v>
      </c>
      <c r="AL71" s="45" t="s">
        <v>89</v>
      </c>
      <c r="AM71" s="45" t="s">
        <v>89</v>
      </c>
      <c r="AN71" s="45" t="s">
        <v>50</v>
      </c>
      <c r="AO71" s="45" t="s">
        <v>82</v>
      </c>
      <c r="AP71" s="45" t="s">
        <v>25</v>
      </c>
      <c r="AQ71" s="45" t="s">
        <v>77</v>
      </c>
      <c r="AR71" s="45" t="s">
        <v>12</v>
      </c>
      <c r="AS71" s="45" t="s">
        <v>12</v>
      </c>
      <c r="AT71" s="45" t="s">
        <v>12</v>
      </c>
      <c r="AU71" s="45" t="s">
        <v>50</v>
      </c>
      <c r="AV71" s="45" t="s">
        <v>116</v>
      </c>
      <c r="AW71" s="45" t="s">
        <v>110</v>
      </c>
      <c r="AX71" s="45" t="s">
        <v>138</v>
      </c>
      <c r="AY71" s="45" t="s">
        <v>117</v>
      </c>
      <c r="AZ71" s="45" t="s">
        <v>115</v>
      </c>
      <c r="BA71" s="45" t="s">
        <v>12</v>
      </c>
      <c r="BB71" s="45" t="s">
        <v>145</v>
      </c>
      <c r="BC71" s="45" t="s">
        <v>143</v>
      </c>
      <c r="BD71" s="45" t="s">
        <v>143</v>
      </c>
      <c r="BE71" s="45" t="s">
        <v>77</v>
      </c>
      <c r="BF71" s="45" t="s">
        <v>26</v>
      </c>
      <c r="BG71" s="45" t="s">
        <v>26</v>
      </c>
      <c r="BH71" s="45" t="s">
        <v>26</v>
      </c>
      <c r="BI71" s="45" t="s">
        <v>26</v>
      </c>
      <c r="BJ71" s="45" t="s">
        <v>145</v>
      </c>
      <c r="BK71" s="45" t="s">
        <v>122</v>
      </c>
      <c r="BL71" s="45" t="s">
        <v>14</v>
      </c>
      <c r="BM71" s="45" t="s">
        <v>58</v>
      </c>
      <c r="BN71" s="45" t="s">
        <v>124</v>
      </c>
      <c r="BO71" s="45" t="s">
        <v>115</v>
      </c>
      <c r="BP71" s="45" t="s">
        <v>152</v>
      </c>
      <c r="BQ71" s="45" t="s">
        <v>18</v>
      </c>
      <c r="BR71" s="45" t="s">
        <v>99</v>
      </c>
      <c r="BS71" s="45" t="s">
        <v>118</v>
      </c>
      <c r="BT71" s="45" t="s">
        <v>133</v>
      </c>
      <c r="BU71" s="45" t="s">
        <v>37</v>
      </c>
      <c r="BV71" s="45" t="s">
        <v>51</v>
      </c>
      <c r="BW71" s="45" t="s">
        <v>120</v>
      </c>
      <c r="BX71" s="45" t="s">
        <v>143</v>
      </c>
      <c r="BY71" s="45" t="s">
        <v>51</v>
      </c>
      <c r="BZ71" s="45" t="s">
        <v>115</v>
      </c>
      <c r="CA71" s="45" t="s">
        <v>138</v>
      </c>
      <c r="CB71" s="45" t="s">
        <v>138</v>
      </c>
      <c r="CC71" s="45" t="s">
        <v>84</v>
      </c>
      <c r="CD71" s="45" t="s">
        <v>51</v>
      </c>
      <c r="CE71" s="45" t="s">
        <v>18</v>
      </c>
      <c r="CF71" s="45" t="s">
        <v>77</v>
      </c>
      <c r="CG71" s="45" t="s">
        <v>44</v>
      </c>
      <c r="CH71" s="45" t="s">
        <v>131</v>
      </c>
      <c r="CI71" s="45" t="s">
        <v>106</v>
      </c>
      <c r="CJ71" s="45" t="s">
        <v>131</v>
      </c>
      <c r="CK71" s="45" t="s">
        <v>20</v>
      </c>
      <c r="CL71" s="45" t="s">
        <v>82</v>
      </c>
      <c r="CM71" s="45" t="s">
        <v>88</v>
      </c>
      <c r="CN71" s="45" t="s">
        <v>84</v>
      </c>
      <c r="CO71" s="45" t="s">
        <v>77</v>
      </c>
      <c r="CP71" s="45" t="s">
        <v>26</v>
      </c>
      <c r="CQ71" s="45" t="s">
        <v>149</v>
      </c>
      <c r="CR71" s="45" t="s">
        <v>14</v>
      </c>
      <c r="CS71" s="45" t="s">
        <v>14</v>
      </c>
      <c r="CT71" s="45" t="s">
        <v>142</v>
      </c>
      <c r="CU71" s="45" t="s">
        <v>142</v>
      </c>
      <c r="CV71" s="45" t="s">
        <v>117</v>
      </c>
      <c r="CW71" s="45" t="s">
        <v>73</v>
      </c>
      <c r="CX71" s="45" t="s">
        <v>153</v>
      </c>
      <c r="CY71" s="45" t="s">
        <v>131</v>
      </c>
      <c r="CZ71" s="45" t="s">
        <v>105</v>
      </c>
      <c r="DA71" s="45" t="s">
        <v>105</v>
      </c>
      <c r="DB71" s="45" t="s">
        <v>51</v>
      </c>
      <c r="DC71" s="45" t="s">
        <v>51</v>
      </c>
      <c r="DD71" s="45" t="s">
        <v>67</v>
      </c>
      <c r="DE71" s="45" t="s">
        <v>122</v>
      </c>
      <c r="DF71" s="45" t="s">
        <v>20</v>
      </c>
      <c r="DG71" s="45" t="s">
        <v>117</v>
      </c>
      <c r="DH71" s="45" t="s">
        <v>149</v>
      </c>
      <c r="DI71" s="45" t="s">
        <v>122</v>
      </c>
      <c r="DJ71" s="45" t="s">
        <v>105</v>
      </c>
      <c r="DK71" s="45" t="s">
        <v>119</v>
      </c>
      <c r="DL71" s="45" t="s">
        <v>117</v>
      </c>
      <c r="DM71" s="45" t="s">
        <v>122</v>
      </c>
      <c r="DN71" s="45" t="s">
        <v>77</v>
      </c>
      <c r="DO71" s="45" t="s">
        <v>26</v>
      </c>
      <c r="DP71" s="45" t="s">
        <v>99</v>
      </c>
      <c r="DQ71" s="45" t="s">
        <v>39</v>
      </c>
      <c r="DR71" s="45" t="s">
        <v>20</v>
      </c>
      <c r="DS71" s="45" t="s">
        <v>73</v>
      </c>
      <c r="DT71" s="45" t="s">
        <v>105</v>
      </c>
      <c r="DU71" s="45" t="s">
        <v>138</v>
      </c>
      <c r="DV71" s="45" t="s">
        <v>122</v>
      </c>
      <c r="DW71" s="45" t="s">
        <v>122</v>
      </c>
      <c r="DX71" s="45" t="s">
        <v>15</v>
      </c>
      <c r="DY71" s="45" t="s">
        <v>39</v>
      </c>
      <c r="DZ71" s="45" t="s">
        <v>20</v>
      </c>
      <c r="EA71" s="45" t="s">
        <v>105</v>
      </c>
      <c r="EB71" s="45" t="s">
        <v>20</v>
      </c>
      <c r="EC71" s="45" t="s">
        <v>82</v>
      </c>
      <c r="ED71" s="45" t="s">
        <v>73</v>
      </c>
      <c r="EE71" s="45" t="s">
        <v>15</v>
      </c>
      <c r="EF71" s="45" t="s">
        <v>15</v>
      </c>
      <c r="EG71" s="45" t="s">
        <v>15</v>
      </c>
      <c r="EH71" s="45" t="s">
        <v>73</v>
      </c>
      <c r="EI71" s="45" t="s">
        <v>15</v>
      </c>
      <c r="EJ71" s="45" t="s">
        <v>15</v>
      </c>
    </row>
    <row r="72" customFormat="false" ht="15.75" hidden="false" customHeight="false" outlineLevel="0" collapsed="false">
      <c r="A72" s="249" t="n">
        <v>59</v>
      </c>
      <c r="B72" s="250" t="s">
        <v>121</v>
      </c>
      <c r="C72" s="45" t="s">
        <v>111</v>
      </c>
      <c r="D72" s="45" t="s">
        <v>150</v>
      </c>
      <c r="E72" s="45" t="s">
        <v>151</v>
      </c>
      <c r="F72" s="45" t="s">
        <v>128</v>
      </c>
      <c r="G72" s="45" t="s">
        <v>129</v>
      </c>
      <c r="H72" s="45" t="s">
        <v>96</v>
      </c>
      <c r="I72" s="45" t="s">
        <v>101</v>
      </c>
      <c r="J72" s="45" t="s">
        <v>46</v>
      </c>
      <c r="K72" s="45" t="s">
        <v>126</v>
      </c>
      <c r="L72" s="45" t="s">
        <v>96</v>
      </c>
      <c r="M72" s="45" t="s">
        <v>84</v>
      </c>
      <c r="N72" s="45" t="s">
        <v>129</v>
      </c>
      <c r="O72" s="45" t="s">
        <v>91</v>
      </c>
      <c r="P72" s="45" t="s">
        <v>46</v>
      </c>
      <c r="Q72" s="45" t="s">
        <v>46</v>
      </c>
      <c r="R72" s="45" t="s">
        <v>150</v>
      </c>
      <c r="S72" s="45" t="s">
        <v>129</v>
      </c>
      <c r="T72" s="45" t="s">
        <v>151</v>
      </c>
      <c r="U72" s="45" t="s">
        <v>129</v>
      </c>
      <c r="V72" s="45" t="s">
        <v>150</v>
      </c>
      <c r="W72" s="45" t="s">
        <v>46</v>
      </c>
      <c r="X72" s="45" t="s">
        <v>54</v>
      </c>
      <c r="Y72" s="45" t="s">
        <v>63</v>
      </c>
      <c r="Z72" s="45" t="s">
        <v>144</v>
      </c>
      <c r="AA72" s="45" t="s">
        <v>64</v>
      </c>
      <c r="AB72" s="45" t="s">
        <v>111</v>
      </c>
      <c r="AC72" s="45" t="s">
        <v>150</v>
      </c>
      <c r="AD72" s="45" t="s">
        <v>121</v>
      </c>
      <c r="AE72" s="45" t="s">
        <v>55</v>
      </c>
      <c r="AF72" s="45" t="s">
        <v>96</v>
      </c>
      <c r="AG72" s="45" t="s">
        <v>33</v>
      </c>
      <c r="AH72" s="45" t="s">
        <v>47</v>
      </c>
      <c r="AI72" s="45" t="s">
        <v>96</v>
      </c>
      <c r="AJ72" s="45" t="s">
        <v>55</v>
      </c>
      <c r="AK72" s="45" t="s">
        <v>147</v>
      </c>
      <c r="AL72" s="45" t="s">
        <v>101</v>
      </c>
      <c r="AM72" s="45" t="s">
        <v>101</v>
      </c>
      <c r="AN72" s="45" t="s">
        <v>145</v>
      </c>
      <c r="AO72" s="45" t="s">
        <v>26</v>
      </c>
      <c r="AP72" s="45" t="s">
        <v>63</v>
      </c>
      <c r="AQ72" s="45" t="s">
        <v>108</v>
      </c>
      <c r="AR72" s="45" t="s">
        <v>104</v>
      </c>
      <c r="AS72" s="45" t="s">
        <v>47</v>
      </c>
      <c r="AT72" s="45" t="s">
        <v>104</v>
      </c>
      <c r="AU72" s="45" t="s">
        <v>145</v>
      </c>
      <c r="AV72" s="45" t="s">
        <v>64</v>
      </c>
      <c r="AW72" s="45" t="s">
        <v>120</v>
      </c>
      <c r="AX72" s="45" t="s">
        <v>120</v>
      </c>
      <c r="AY72" s="45" t="s">
        <v>143</v>
      </c>
      <c r="AZ72" s="45" t="s">
        <v>89</v>
      </c>
      <c r="BA72" s="45" t="s">
        <v>104</v>
      </c>
      <c r="BB72" s="45" t="s">
        <v>55</v>
      </c>
      <c r="BC72" s="45" t="s">
        <v>54</v>
      </c>
      <c r="BD72" s="45" t="s">
        <v>54</v>
      </c>
      <c r="BE72" s="45" t="s">
        <v>48</v>
      </c>
      <c r="BF72" s="45" t="s">
        <v>94</v>
      </c>
      <c r="BG72" s="45" t="s">
        <v>94</v>
      </c>
      <c r="BH72" s="45" t="s">
        <v>95</v>
      </c>
      <c r="BI72" s="45" t="s">
        <v>94</v>
      </c>
      <c r="BJ72" s="45" t="s">
        <v>55</v>
      </c>
      <c r="BK72" s="45" t="s">
        <v>77</v>
      </c>
      <c r="BL72" s="45" t="s">
        <v>84</v>
      </c>
      <c r="BM72" s="45" t="s">
        <v>64</v>
      </c>
      <c r="BN72" s="45" t="s">
        <v>26</v>
      </c>
      <c r="BO72" s="45" t="s">
        <v>43</v>
      </c>
      <c r="BP72" s="45" t="s">
        <v>116</v>
      </c>
      <c r="BQ72" s="45" t="s">
        <v>44</v>
      </c>
      <c r="BR72" s="45" t="s">
        <v>26</v>
      </c>
      <c r="BS72" s="45" t="s">
        <v>133</v>
      </c>
      <c r="BT72" s="45" t="s">
        <v>121</v>
      </c>
      <c r="BU72" s="45" t="s">
        <v>44</v>
      </c>
      <c r="BV72" s="45" t="s">
        <v>43</v>
      </c>
      <c r="BW72" s="45" t="s">
        <v>66</v>
      </c>
      <c r="BX72" s="45" t="s">
        <v>147</v>
      </c>
      <c r="BY72" s="45" t="s">
        <v>43</v>
      </c>
      <c r="BZ72" s="45" t="s">
        <v>43</v>
      </c>
      <c r="CA72" s="45" t="s">
        <v>25</v>
      </c>
      <c r="CB72" s="45" t="s">
        <v>25</v>
      </c>
      <c r="CC72" s="45" t="s">
        <v>126</v>
      </c>
      <c r="CD72" s="45" t="s">
        <v>29</v>
      </c>
      <c r="CE72" s="45" t="s">
        <v>44</v>
      </c>
      <c r="CF72" s="45" t="s">
        <v>108</v>
      </c>
      <c r="CG72" s="45" t="s">
        <v>101</v>
      </c>
      <c r="CH72" s="45" t="s">
        <v>58</v>
      </c>
      <c r="CI72" s="45" t="s">
        <v>142</v>
      </c>
      <c r="CJ72" s="45" t="s">
        <v>58</v>
      </c>
      <c r="CK72" s="45" t="s">
        <v>51</v>
      </c>
      <c r="CL72" s="45" t="s">
        <v>26</v>
      </c>
      <c r="CM72" s="45" t="s">
        <v>13</v>
      </c>
      <c r="CN72" s="45" t="s">
        <v>126</v>
      </c>
      <c r="CO72" s="45" t="s">
        <v>31</v>
      </c>
      <c r="CP72" s="45" t="s">
        <v>94</v>
      </c>
      <c r="CQ72" s="45" t="s">
        <v>145</v>
      </c>
      <c r="CR72" s="45" t="s">
        <v>25</v>
      </c>
      <c r="CS72" s="45" t="s">
        <v>25</v>
      </c>
      <c r="CT72" s="45" t="s">
        <v>22</v>
      </c>
      <c r="CU72" s="45" t="s">
        <v>33</v>
      </c>
      <c r="CV72" s="45" t="s">
        <v>143</v>
      </c>
      <c r="CW72" s="45" t="s">
        <v>18</v>
      </c>
      <c r="CX72" s="45" t="s">
        <v>13</v>
      </c>
      <c r="CY72" s="45" t="s">
        <v>116</v>
      </c>
      <c r="CZ72" s="45" t="s">
        <v>12</v>
      </c>
      <c r="DA72" s="45" t="s">
        <v>12</v>
      </c>
      <c r="DB72" s="45" t="s">
        <v>34</v>
      </c>
      <c r="DC72" s="45" t="s">
        <v>29</v>
      </c>
      <c r="DD72" s="45" t="s">
        <v>89</v>
      </c>
      <c r="DE72" s="45" t="s">
        <v>77</v>
      </c>
      <c r="DF72" s="45" t="s">
        <v>133</v>
      </c>
      <c r="DG72" s="45" t="s">
        <v>75</v>
      </c>
      <c r="DH72" s="45" t="s">
        <v>145</v>
      </c>
      <c r="DI72" s="45" t="s">
        <v>77</v>
      </c>
      <c r="DJ72" s="45" t="s">
        <v>77</v>
      </c>
      <c r="DK72" s="45" t="s">
        <v>143</v>
      </c>
      <c r="DL72" s="45" t="s">
        <v>143</v>
      </c>
      <c r="DM72" s="45" t="s">
        <v>77</v>
      </c>
      <c r="DN72" s="45" t="s">
        <v>31</v>
      </c>
      <c r="DO72" s="45" t="s">
        <v>94</v>
      </c>
      <c r="DP72" s="45" t="s">
        <v>77</v>
      </c>
      <c r="DQ72" s="45" t="s">
        <v>131</v>
      </c>
      <c r="DR72" s="45" t="s">
        <v>51</v>
      </c>
      <c r="DS72" s="45" t="s">
        <v>115</v>
      </c>
      <c r="DT72" s="45" t="s">
        <v>12</v>
      </c>
      <c r="DU72" s="45" t="s">
        <v>120</v>
      </c>
      <c r="DV72" s="45" t="s">
        <v>77</v>
      </c>
      <c r="DW72" s="45" t="s">
        <v>77</v>
      </c>
      <c r="DX72" s="45" t="s">
        <v>152</v>
      </c>
      <c r="DY72" s="45" t="s">
        <v>131</v>
      </c>
      <c r="DZ72" s="45" t="s">
        <v>51</v>
      </c>
      <c r="EA72" s="45" t="s">
        <v>12</v>
      </c>
      <c r="EB72" s="45" t="s">
        <v>51</v>
      </c>
      <c r="EC72" s="45" t="s">
        <v>26</v>
      </c>
      <c r="ED72" s="45" t="s">
        <v>67</v>
      </c>
      <c r="EE72" s="45" t="s">
        <v>88</v>
      </c>
      <c r="EF72" s="45" t="s">
        <v>153</v>
      </c>
      <c r="EG72" s="45" t="s">
        <v>153</v>
      </c>
      <c r="EH72" s="45" t="s">
        <v>18</v>
      </c>
      <c r="EI72" s="45" t="s">
        <v>37</v>
      </c>
      <c r="EJ72" s="45" t="s">
        <v>153</v>
      </c>
    </row>
    <row r="73" customFormat="false" ht="15.75" hidden="false" customHeight="false" outlineLevel="0" collapsed="false">
      <c r="A73" s="249" t="n">
        <v>60</v>
      </c>
      <c r="B73" s="250" t="s">
        <v>120</v>
      </c>
      <c r="C73" s="45" t="s">
        <v>96</v>
      </c>
      <c r="D73" s="45" t="s">
        <v>96</v>
      </c>
      <c r="E73" s="45" t="s">
        <v>91</v>
      </c>
      <c r="F73" s="45" t="s">
        <v>64</v>
      </c>
      <c r="G73" s="45" t="s">
        <v>22</v>
      </c>
      <c r="H73" s="45" t="s">
        <v>63</v>
      </c>
      <c r="I73" s="45" t="s">
        <v>33</v>
      </c>
      <c r="J73" s="45" t="s">
        <v>147</v>
      </c>
      <c r="K73" s="45" t="s">
        <v>94</v>
      </c>
      <c r="L73" s="45" t="s">
        <v>66</v>
      </c>
      <c r="M73" s="45" t="s">
        <v>26</v>
      </c>
      <c r="N73" s="45" t="s">
        <v>46</v>
      </c>
      <c r="O73" s="45" t="s">
        <v>144</v>
      </c>
      <c r="P73" s="45" t="s">
        <v>147</v>
      </c>
      <c r="Q73" s="45" t="s">
        <v>147</v>
      </c>
      <c r="R73" s="45" t="s">
        <v>64</v>
      </c>
      <c r="S73" s="45" t="s">
        <v>46</v>
      </c>
      <c r="T73" s="45" t="s">
        <v>96</v>
      </c>
      <c r="U73" s="45" t="s">
        <v>46</v>
      </c>
      <c r="V73" s="45" t="s">
        <v>64</v>
      </c>
      <c r="W73" s="45" t="s">
        <v>55</v>
      </c>
      <c r="X73" s="45" t="s">
        <v>31</v>
      </c>
      <c r="Y73" s="45" t="s">
        <v>94</v>
      </c>
      <c r="Z73" s="45" t="s">
        <v>55</v>
      </c>
      <c r="AA73" s="45" t="s">
        <v>126</v>
      </c>
      <c r="AB73" s="45" t="s">
        <v>96</v>
      </c>
      <c r="AC73" s="45" t="s">
        <v>64</v>
      </c>
      <c r="AD73" s="45" t="s">
        <v>36</v>
      </c>
      <c r="AE73" s="45" t="s">
        <v>47</v>
      </c>
      <c r="AF73" s="45" t="s">
        <v>66</v>
      </c>
      <c r="AG73" s="45" t="s">
        <v>54</v>
      </c>
      <c r="AH73" s="45" t="s">
        <v>89</v>
      </c>
      <c r="AI73" s="45" t="s">
        <v>63</v>
      </c>
      <c r="AJ73" s="45" t="s">
        <v>48</v>
      </c>
      <c r="AK73" s="45" t="s">
        <v>48</v>
      </c>
      <c r="AL73" s="45" t="s">
        <v>33</v>
      </c>
      <c r="AM73" s="45" t="s">
        <v>33</v>
      </c>
      <c r="AN73" s="45" t="s">
        <v>68</v>
      </c>
      <c r="AO73" s="45" t="s">
        <v>12</v>
      </c>
      <c r="AP73" s="45" t="s">
        <v>94</v>
      </c>
      <c r="AQ73" s="45" t="s">
        <v>89</v>
      </c>
      <c r="AR73" s="45" t="s">
        <v>44</v>
      </c>
      <c r="AS73" s="45" t="s">
        <v>89</v>
      </c>
      <c r="AT73" s="45" t="s">
        <v>44</v>
      </c>
      <c r="AU73" s="45" t="s">
        <v>12</v>
      </c>
      <c r="AV73" s="45" t="s">
        <v>63</v>
      </c>
      <c r="AW73" s="45" t="s">
        <v>145</v>
      </c>
      <c r="AX73" s="45" t="s">
        <v>145</v>
      </c>
      <c r="AY73" s="45" t="s">
        <v>77</v>
      </c>
      <c r="AZ73" s="45" t="s">
        <v>58</v>
      </c>
      <c r="BA73" s="45" t="s">
        <v>44</v>
      </c>
      <c r="BB73" s="45" t="s">
        <v>108</v>
      </c>
      <c r="BC73" s="45" t="s">
        <v>31</v>
      </c>
      <c r="BD73" s="45" t="s">
        <v>95</v>
      </c>
      <c r="BE73" s="45" t="s">
        <v>43</v>
      </c>
      <c r="BF73" s="45" t="s">
        <v>104</v>
      </c>
      <c r="BG73" s="45" t="s">
        <v>121</v>
      </c>
      <c r="BH73" s="45" t="s">
        <v>34</v>
      </c>
      <c r="BI73" s="45" t="s">
        <v>104</v>
      </c>
      <c r="BJ73" s="45" t="s">
        <v>108</v>
      </c>
      <c r="BK73" s="45" t="s">
        <v>51</v>
      </c>
      <c r="BL73" s="45" t="s">
        <v>26</v>
      </c>
      <c r="BM73" s="45" t="s">
        <v>126</v>
      </c>
      <c r="BN73" s="45" t="s">
        <v>12</v>
      </c>
      <c r="BO73" s="45" t="s">
        <v>58</v>
      </c>
      <c r="BP73" s="45" t="s">
        <v>25</v>
      </c>
      <c r="BQ73" s="45" t="s">
        <v>142</v>
      </c>
      <c r="BR73" s="45" t="s">
        <v>51</v>
      </c>
      <c r="BS73" s="45" t="s">
        <v>37</v>
      </c>
      <c r="BT73" s="45" t="s">
        <v>44</v>
      </c>
      <c r="BU73" s="45" t="s">
        <v>120</v>
      </c>
      <c r="BV73" s="45" t="s">
        <v>13</v>
      </c>
      <c r="BW73" s="45" t="s">
        <v>55</v>
      </c>
      <c r="BX73" s="45" t="s">
        <v>48</v>
      </c>
      <c r="BY73" s="45" t="s">
        <v>45</v>
      </c>
      <c r="BZ73" s="45" t="s">
        <v>116</v>
      </c>
      <c r="CA73" s="45" t="s">
        <v>145</v>
      </c>
      <c r="CB73" s="45" t="s">
        <v>26</v>
      </c>
      <c r="CC73" s="45" t="s">
        <v>94</v>
      </c>
      <c r="CD73" s="45" t="s">
        <v>13</v>
      </c>
      <c r="CE73" s="45" t="s">
        <v>142</v>
      </c>
      <c r="CF73" s="45" t="s">
        <v>43</v>
      </c>
      <c r="CG73" s="45" t="s">
        <v>22</v>
      </c>
      <c r="CH73" s="45" t="s">
        <v>84</v>
      </c>
      <c r="CI73" s="45" t="s">
        <v>143</v>
      </c>
      <c r="CJ73" s="45" t="s">
        <v>143</v>
      </c>
      <c r="CK73" s="45" t="s">
        <v>153</v>
      </c>
      <c r="CL73" s="45" t="s">
        <v>133</v>
      </c>
      <c r="CM73" s="45" t="s">
        <v>25</v>
      </c>
      <c r="CN73" s="45" t="s">
        <v>94</v>
      </c>
      <c r="CO73" s="45" t="s">
        <v>29</v>
      </c>
      <c r="CP73" s="45" t="s">
        <v>47</v>
      </c>
      <c r="CQ73" s="45" t="s">
        <v>77</v>
      </c>
      <c r="CR73" s="45" t="s">
        <v>26</v>
      </c>
      <c r="CS73" s="45" t="s">
        <v>26</v>
      </c>
      <c r="CT73" s="45" t="s">
        <v>54</v>
      </c>
      <c r="CU73" s="45" t="s">
        <v>54</v>
      </c>
      <c r="CV73" s="45" t="s">
        <v>26</v>
      </c>
      <c r="CW73" s="45" t="s">
        <v>106</v>
      </c>
      <c r="CX73" s="45" t="s">
        <v>120</v>
      </c>
      <c r="CY73" s="45" t="s">
        <v>25</v>
      </c>
      <c r="CZ73" s="45" t="s">
        <v>67</v>
      </c>
      <c r="DA73" s="45" t="s">
        <v>18</v>
      </c>
      <c r="DB73" s="45" t="s">
        <v>36</v>
      </c>
      <c r="DC73" s="45" t="s">
        <v>13</v>
      </c>
      <c r="DD73" s="45" t="s">
        <v>58</v>
      </c>
      <c r="DE73" s="45" t="s">
        <v>51</v>
      </c>
      <c r="DF73" s="45" t="s">
        <v>153</v>
      </c>
      <c r="DG73" s="45" t="s">
        <v>77</v>
      </c>
      <c r="DH73" s="45" t="s">
        <v>77</v>
      </c>
      <c r="DI73" s="45" t="s">
        <v>115</v>
      </c>
      <c r="DJ73" s="45" t="s">
        <v>115</v>
      </c>
      <c r="DK73" s="45" t="s">
        <v>77</v>
      </c>
      <c r="DL73" s="45" t="s">
        <v>77</v>
      </c>
      <c r="DM73" s="45" t="s">
        <v>51</v>
      </c>
      <c r="DN73" s="45" t="s">
        <v>29</v>
      </c>
      <c r="DO73" s="45" t="s">
        <v>121</v>
      </c>
      <c r="DP73" s="45" t="s">
        <v>51</v>
      </c>
      <c r="DQ73" s="45" t="s">
        <v>14</v>
      </c>
      <c r="DR73" s="45" t="s">
        <v>152</v>
      </c>
      <c r="DS73" s="45" t="s">
        <v>131</v>
      </c>
      <c r="DT73" s="45" t="s">
        <v>18</v>
      </c>
      <c r="DU73" s="45" t="s">
        <v>145</v>
      </c>
      <c r="DV73" s="45" t="s">
        <v>115</v>
      </c>
      <c r="DW73" s="45" t="s">
        <v>115</v>
      </c>
      <c r="DX73" s="45" t="s">
        <v>138</v>
      </c>
      <c r="DY73" s="45" t="s">
        <v>14</v>
      </c>
      <c r="DZ73" s="45" t="s">
        <v>88</v>
      </c>
      <c r="EA73" s="45" t="s">
        <v>18</v>
      </c>
      <c r="EB73" s="45" t="s">
        <v>153</v>
      </c>
      <c r="EC73" s="45" t="s">
        <v>133</v>
      </c>
      <c r="ED73" s="45" t="s">
        <v>131</v>
      </c>
      <c r="EE73" s="45" t="s">
        <v>138</v>
      </c>
      <c r="EF73" s="45" t="s">
        <v>138</v>
      </c>
      <c r="EG73" s="45" t="s">
        <v>138</v>
      </c>
      <c r="EH73" s="45" t="s">
        <v>106</v>
      </c>
      <c r="EI73" s="45" t="s">
        <v>110</v>
      </c>
      <c r="EJ73" s="45" t="s">
        <v>110</v>
      </c>
    </row>
    <row r="74" customFormat="false" ht="15.75" hidden="false" customHeight="false" outlineLevel="0" collapsed="false">
      <c r="A74" s="249" t="n">
        <v>61</v>
      </c>
      <c r="B74" s="250" t="s">
        <v>89</v>
      </c>
      <c r="C74" s="45" t="s">
        <v>101</v>
      </c>
      <c r="D74" s="45" t="s">
        <v>101</v>
      </c>
      <c r="E74" s="45" t="s">
        <v>150</v>
      </c>
      <c r="F74" s="45" t="s">
        <v>129</v>
      </c>
      <c r="G74" s="45" t="s">
        <v>96</v>
      </c>
      <c r="H74" s="45" t="s">
        <v>33</v>
      </c>
      <c r="I74" s="45" t="s">
        <v>91</v>
      </c>
      <c r="J74" s="45" t="s">
        <v>66</v>
      </c>
      <c r="K74" s="45" t="s">
        <v>147</v>
      </c>
      <c r="L74" s="45" t="s">
        <v>64</v>
      </c>
      <c r="M74" s="45" t="s">
        <v>143</v>
      </c>
      <c r="N74" s="45" t="s">
        <v>96</v>
      </c>
      <c r="O74" s="45" t="s">
        <v>64</v>
      </c>
      <c r="P74" s="45" t="s">
        <v>63</v>
      </c>
      <c r="Q74" s="45" t="s">
        <v>63</v>
      </c>
      <c r="R74" s="45" t="s">
        <v>129</v>
      </c>
      <c r="S74" s="45" t="s">
        <v>96</v>
      </c>
      <c r="T74" s="45" t="s">
        <v>150</v>
      </c>
      <c r="U74" s="45" t="s">
        <v>96</v>
      </c>
      <c r="V74" s="45" t="s">
        <v>101</v>
      </c>
      <c r="W74" s="45" t="s">
        <v>63</v>
      </c>
      <c r="X74" s="45" t="s">
        <v>55</v>
      </c>
      <c r="Y74" s="45" t="s">
        <v>54</v>
      </c>
      <c r="Z74" s="45" t="s">
        <v>63</v>
      </c>
      <c r="AA74" s="45" t="s">
        <v>46</v>
      </c>
      <c r="AB74" s="45" t="s">
        <v>128</v>
      </c>
      <c r="AC74" s="45" t="s">
        <v>129</v>
      </c>
      <c r="AD74" s="45" t="s">
        <v>43</v>
      </c>
      <c r="AE74" s="45" t="s">
        <v>94</v>
      </c>
      <c r="AF74" s="45" t="s">
        <v>64</v>
      </c>
      <c r="AG74" s="45" t="s">
        <v>46</v>
      </c>
      <c r="AH74" s="45" t="s">
        <v>34</v>
      </c>
      <c r="AI74" s="45" t="s">
        <v>33</v>
      </c>
      <c r="AJ74" s="45" t="s">
        <v>94</v>
      </c>
      <c r="AK74" s="45" t="s">
        <v>94</v>
      </c>
      <c r="AL74" s="45" t="s">
        <v>129</v>
      </c>
      <c r="AM74" s="45" t="s">
        <v>129</v>
      </c>
      <c r="AN74" s="45" t="s">
        <v>26</v>
      </c>
      <c r="AO74" s="45" t="s">
        <v>77</v>
      </c>
      <c r="AP74" s="45" t="s">
        <v>54</v>
      </c>
      <c r="AQ74" s="45" t="s">
        <v>121</v>
      </c>
      <c r="AR74" s="45" t="s">
        <v>29</v>
      </c>
      <c r="AS74" s="45" t="s">
        <v>121</v>
      </c>
      <c r="AT74" s="45" t="s">
        <v>29</v>
      </c>
      <c r="AU74" s="45" t="s">
        <v>26</v>
      </c>
      <c r="AV74" s="45" t="s">
        <v>22</v>
      </c>
      <c r="AW74" s="45" t="s">
        <v>25</v>
      </c>
      <c r="AX74" s="45" t="s">
        <v>25</v>
      </c>
      <c r="AY74" s="45" t="s">
        <v>145</v>
      </c>
      <c r="AZ74" s="45" t="s">
        <v>44</v>
      </c>
      <c r="BA74" s="45" t="s">
        <v>29</v>
      </c>
      <c r="BB74" s="45" t="s">
        <v>94</v>
      </c>
      <c r="BC74" s="45" t="s">
        <v>55</v>
      </c>
      <c r="BD74" s="45" t="s">
        <v>55</v>
      </c>
      <c r="BE74" s="45" t="s">
        <v>104</v>
      </c>
      <c r="BF74" s="45" t="s">
        <v>31</v>
      </c>
      <c r="BG74" s="45" t="s">
        <v>48</v>
      </c>
      <c r="BH74" s="45" t="s">
        <v>48</v>
      </c>
      <c r="BI74" s="45" t="s">
        <v>31</v>
      </c>
      <c r="BJ74" s="45" t="s">
        <v>94</v>
      </c>
      <c r="BK74" s="45" t="s">
        <v>12</v>
      </c>
      <c r="BL74" s="45" t="s">
        <v>143</v>
      </c>
      <c r="BM74" s="45" t="s">
        <v>46</v>
      </c>
      <c r="BN74" s="45" t="s">
        <v>26</v>
      </c>
      <c r="BO74" s="45" t="s">
        <v>44</v>
      </c>
      <c r="BP74" s="45" t="s">
        <v>142</v>
      </c>
      <c r="BQ74" s="45" t="s">
        <v>13</v>
      </c>
      <c r="BR74" s="45" t="s">
        <v>77</v>
      </c>
      <c r="BS74" s="45" t="s">
        <v>51</v>
      </c>
      <c r="BT74" s="45" t="s">
        <v>43</v>
      </c>
      <c r="BU74" s="45" t="s">
        <v>13</v>
      </c>
      <c r="BV74" s="45" t="s">
        <v>89</v>
      </c>
      <c r="BW74" s="45" t="s">
        <v>126</v>
      </c>
      <c r="BX74" s="45" t="s">
        <v>55</v>
      </c>
      <c r="BY74" s="45" t="s">
        <v>89</v>
      </c>
      <c r="BZ74" s="45" t="s">
        <v>44</v>
      </c>
      <c r="CA74" s="45" t="s">
        <v>84</v>
      </c>
      <c r="CB74" s="45" t="s">
        <v>143</v>
      </c>
      <c r="CC74" s="45" t="s">
        <v>147</v>
      </c>
      <c r="CD74" s="45" t="s">
        <v>43</v>
      </c>
      <c r="CE74" s="45" t="s">
        <v>13</v>
      </c>
      <c r="CF74" s="45" t="s">
        <v>104</v>
      </c>
      <c r="CG74" s="45" t="s">
        <v>91</v>
      </c>
      <c r="CH74" s="45" t="s">
        <v>142</v>
      </c>
      <c r="CI74" s="45" t="s">
        <v>120</v>
      </c>
      <c r="CJ74" s="45" t="s">
        <v>120</v>
      </c>
      <c r="CK74" s="45" t="s">
        <v>115</v>
      </c>
      <c r="CL74" s="45" t="s">
        <v>77</v>
      </c>
      <c r="CM74" s="45" t="s">
        <v>58</v>
      </c>
      <c r="CN74" s="45" t="s">
        <v>147</v>
      </c>
      <c r="CO74" s="45" t="s">
        <v>108</v>
      </c>
      <c r="CP74" s="45" t="s">
        <v>95</v>
      </c>
      <c r="CQ74" s="45" t="s">
        <v>26</v>
      </c>
      <c r="CR74" s="45" t="s">
        <v>143</v>
      </c>
      <c r="CS74" s="45" t="s">
        <v>143</v>
      </c>
      <c r="CT74" s="45" t="s">
        <v>66</v>
      </c>
      <c r="CU74" s="45" t="s">
        <v>144</v>
      </c>
      <c r="CV74" s="45" t="s">
        <v>145</v>
      </c>
      <c r="CW74" s="45" t="s">
        <v>153</v>
      </c>
      <c r="CX74" s="45" t="s">
        <v>58</v>
      </c>
      <c r="CY74" s="45" t="s">
        <v>142</v>
      </c>
      <c r="CZ74" s="45" t="s">
        <v>133</v>
      </c>
      <c r="DA74" s="45" t="s">
        <v>51</v>
      </c>
      <c r="DB74" s="45" t="s">
        <v>43</v>
      </c>
      <c r="DC74" s="45" t="s">
        <v>89</v>
      </c>
      <c r="DD74" s="45" t="s">
        <v>36</v>
      </c>
      <c r="DE74" s="45" t="s">
        <v>12</v>
      </c>
      <c r="DF74" s="45" t="s">
        <v>51</v>
      </c>
      <c r="DG74" s="45" t="s">
        <v>145</v>
      </c>
      <c r="DH74" s="45" t="s">
        <v>26</v>
      </c>
      <c r="DI74" s="45" t="s">
        <v>12</v>
      </c>
      <c r="DJ74" s="45" t="s">
        <v>133</v>
      </c>
      <c r="DK74" s="45" t="s">
        <v>26</v>
      </c>
      <c r="DL74" s="45" t="s">
        <v>145</v>
      </c>
      <c r="DM74" s="45" t="s">
        <v>77</v>
      </c>
      <c r="DN74" s="45" t="s">
        <v>108</v>
      </c>
      <c r="DO74" s="45" t="s">
        <v>48</v>
      </c>
      <c r="DP74" s="45" t="s">
        <v>77</v>
      </c>
      <c r="DQ74" s="45" t="s">
        <v>110</v>
      </c>
      <c r="DR74" s="45" t="s">
        <v>67</v>
      </c>
      <c r="DS74" s="45" t="s">
        <v>130</v>
      </c>
      <c r="DT74" s="45" t="s">
        <v>51</v>
      </c>
      <c r="DU74" s="45" t="s">
        <v>84</v>
      </c>
      <c r="DV74" s="45" t="s">
        <v>12</v>
      </c>
      <c r="DW74" s="45" t="s">
        <v>12</v>
      </c>
      <c r="DX74" s="45" t="s">
        <v>131</v>
      </c>
      <c r="DY74" s="45" t="s">
        <v>106</v>
      </c>
      <c r="DZ74" s="45" t="s">
        <v>115</v>
      </c>
      <c r="EA74" s="45" t="s">
        <v>51</v>
      </c>
      <c r="EB74" s="45" t="s">
        <v>115</v>
      </c>
      <c r="EC74" s="45" t="s">
        <v>77</v>
      </c>
      <c r="ED74" s="45" t="s">
        <v>153</v>
      </c>
      <c r="EE74" s="45" t="s">
        <v>131</v>
      </c>
      <c r="EF74" s="45" t="s">
        <v>131</v>
      </c>
      <c r="EG74" s="45" t="s">
        <v>131</v>
      </c>
      <c r="EH74" s="45" t="s">
        <v>153</v>
      </c>
      <c r="EI74" s="45" t="s">
        <v>152</v>
      </c>
      <c r="EJ74" s="45" t="s">
        <v>152</v>
      </c>
    </row>
    <row r="75" customFormat="false" ht="15.75" hidden="false" customHeight="false" outlineLevel="0" collapsed="false">
      <c r="A75" s="249" t="n">
        <v>62</v>
      </c>
      <c r="B75" s="250" t="s">
        <v>41</v>
      </c>
      <c r="C75" s="45" t="s">
        <v>141</v>
      </c>
      <c r="D75" s="45" t="s">
        <v>141</v>
      </c>
      <c r="E75" s="45" t="s">
        <v>114</v>
      </c>
      <c r="F75" s="45" t="s">
        <v>28</v>
      </c>
      <c r="G75" s="45" t="s">
        <v>137</v>
      </c>
      <c r="H75" s="45" t="s">
        <v>86</v>
      </c>
      <c r="I75" s="45" t="s">
        <v>125</v>
      </c>
      <c r="J75" s="45" t="s">
        <v>40</v>
      </c>
      <c r="K75" s="45" t="s">
        <v>111</v>
      </c>
      <c r="L75" s="45" t="s">
        <v>57</v>
      </c>
      <c r="M75" s="45" t="s">
        <v>29</v>
      </c>
      <c r="N75" s="45" t="s">
        <v>87</v>
      </c>
      <c r="O75" s="45" t="s">
        <v>87</v>
      </c>
      <c r="P75" s="45" t="s">
        <v>62</v>
      </c>
      <c r="Q75" s="45" t="s">
        <v>62</v>
      </c>
      <c r="R75" s="45" t="s">
        <v>61</v>
      </c>
      <c r="S75" s="45" t="s">
        <v>137</v>
      </c>
      <c r="T75" s="45" t="s">
        <v>114</v>
      </c>
      <c r="U75" s="45" t="s">
        <v>87</v>
      </c>
      <c r="V75" s="45" t="s">
        <v>61</v>
      </c>
      <c r="W75" s="45" t="s">
        <v>62</v>
      </c>
      <c r="X75" s="45" t="s">
        <v>150</v>
      </c>
      <c r="Y75" s="45" t="s">
        <v>151</v>
      </c>
      <c r="Z75" s="45" t="s">
        <v>41</v>
      </c>
      <c r="AA75" s="45" t="s">
        <v>139</v>
      </c>
      <c r="AB75" s="45" t="s">
        <v>141</v>
      </c>
      <c r="AC75" s="45" t="s">
        <v>28</v>
      </c>
      <c r="AD75" s="45" t="s">
        <v>66</v>
      </c>
      <c r="AE75" s="45" t="s">
        <v>129</v>
      </c>
      <c r="AF75" s="45" t="s">
        <v>86</v>
      </c>
      <c r="AG75" s="45" t="s">
        <v>139</v>
      </c>
      <c r="AH75" s="45" t="s">
        <v>46</v>
      </c>
      <c r="AI75" s="45" t="s">
        <v>85</v>
      </c>
      <c r="AJ75" s="45" t="s">
        <v>101</v>
      </c>
      <c r="AK75" s="45" t="s">
        <v>128</v>
      </c>
      <c r="AL75" s="45" t="s">
        <v>28</v>
      </c>
      <c r="AM75" s="45" t="s">
        <v>28</v>
      </c>
      <c r="AN75" s="45" t="s">
        <v>44</v>
      </c>
      <c r="AO75" s="45" t="s">
        <v>36</v>
      </c>
      <c r="AP75" s="45" t="s">
        <v>41</v>
      </c>
      <c r="AQ75" s="45" t="s">
        <v>22</v>
      </c>
      <c r="AR75" s="45" t="s">
        <v>144</v>
      </c>
      <c r="AS75" s="45" t="s">
        <v>46</v>
      </c>
      <c r="AT75" s="45" t="s">
        <v>46</v>
      </c>
      <c r="AU75" s="45" t="s">
        <v>44</v>
      </c>
      <c r="AV75" s="45" t="s">
        <v>85</v>
      </c>
      <c r="AW75" s="45" t="s">
        <v>47</v>
      </c>
      <c r="AX75" s="45" t="s">
        <v>47</v>
      </c>
      <c r="AY75" s="45" t="s">
        <v>43</v>
      </c>
      <c r="AZ75" s="45" t="s">
        <v>54</v>
      </c>
      <c r="BA75" s="45" t="s">
        <v>144</v>
      </c>
      <c r="BB75" s="45" t="s">
        <v>101</v>
      </c>
      <c r="BC75" s="45" t="s">
        <v>150</v>
      </c>
      <c r="BD75" s="45" t="s">
        <v>111</v>
      </c>
      <c r="BE75" s="45" t="s">
        <v>33</v>
      </c>
      <c r="BF75" s="45" t="s">
        <v>91</v>
      </c>
      <c r="BG75" s="45" t="s">
        <v>96</v>
      </c>
      <c r="BH75" s="45" t="s">
        <v>96</v>
      </c>
      <c r="BI75" s="45" t="s">
        <v>129</v>
      </c>
      <c r="BJ75" s="45" t="s">
        <v>129</v>
      </c>
      <c r="BK75" s="45" t="s">
        <v>58</v>
      </c>
      <c r="BL75" s="45" t="s">
        <v>29</v>
      </c>
      <c r="BM75" s="45" t="s">
        <v>85</v>
      </c>
      <c r="BN75" s="45" t="s">
        <v>44</v>
      </c>
      <c r="BO75" s="45" t="s">
        <v>54</v>
      </c>
      <c r="BP75" s="45" t="s">
        <v>94</v>
      </c>
      <c r="BQ75" s="45" t="s">
        <v>55</v>
      </c>
      <c r="BR75" s="45" t="s">
        <v>13</v>
      </c>
      <c r="BS75" s="45" t="s">
        <v>120</v>
      </c>
      <c r="BT75" s="45" t="s">
        <v>66</v>
      </c>
      <c r="BU75" s="45" t="s">
        <v>55</v>
      </c>
      <c r="BV75" s="45" t="s">
        <v>126</v>
      </c>
      <c r="BW75" s="45" t="s">
        <v>41</v>
      </c>
      <c r="BX75" s="45" t="s">
        <v>150</v>
      </c>
      <c r="BY75" s="45" t="s">
        <v>126</v>
      </c>
      <c r="BZ75" s="45" t="s">
        <v>54</v>
      </c>
      <c r="CA75" s="45" t="s">
        <v>104</v>
      </c>
      <c r="CB75" s="45" t="s">
        <v>121</v>
      </c>
      <c r="CC75" s="45" t="s">
        <v>111</v>
      </c>
      <c r="CD75" s="45" t="s">
        <v>63</v>
      </c>
      <c r="CE75" s="45" t="s">
        <v>55</v>
      </c>
      <c r="CF75" s="45" t="s">
        <v>33</v>
      </c>
      <c r="CG75" s="45" t="s">
        <v>125</v>
      </c>
      <c r="CH75" s="45" t="s">
        <v>31</v>
      </c>
      <c r="CI75" s="45" t="s">
        <v>48</v>
      </c>
      <c r="CJ75" s="45" t="s">
        <v>48</v>
      </c>
      <c r="CK75" s="45" t="s">
        <v>25</v>
      </c>
      <c r="CL75" s="45" t="s">
        <v>13</v>
      </c>
      <c r="CM75" s="45" t="s">
        <v>94</v>
      </c>
      <c r="CN75" s="45" t="s">
        <v>151</v>
      </c>
      <c r="CO75" s="45" t="s">
        <v>96</v>
      </c>
      <c r="CP75" s="45" t="s">
        <v>129</v>
      </c>
      <c r="CQ75" s="45" t="s">
        <v>89</v>
      </c>
      <c r="CR75" s="45" t="s">
        <v>121</v>
      </c>
      <c r="CS75" s="45" t="s">
        <v>34</v>
      </c>
      <c r="CT75" s="45" t="s">
        <v>40</v>
      </c>
      <c r="CU75" s="45" t="s">
        <v>69</v>
      </c>
      <c r="CV75" s="45" t="s">
        <v>43</v>
      </c>
      <c r="CW75" s="45" t="s">
        <v>143</v>
      </c>
      <c r="CX75" s="45" t="s">
        <v>94</v>
      </c>
      <c r="CY75" s="45" t="s">
        <v>95</v>
      </c>
      <c r="CZ75" s="45" t="s">
        <v>142</v>
      </c>
      <c r="DA75" s="45" t="s">
        <v>120</v>
      </c>
      <c r="DB75" s="45" t="s">
        <v>63</v>
      </c>
      <c r="DC75" s="45" t="s">
        <v>63</v>
      </c>
      <c r="DD75" s="45" t="s">
        <v>147</v>
      </c>
      <c r="DE75" s="45" t="s">
        <v>58</v>
      </c>
      <c r="DF75" s="45" t="s">
        <v>25</v>
      </c>
      <c r="DG75" s="45" t="s">
        <v>43</v>
      </c>
      <c r="DH75" s="45" t="s">
        <v>89</v>
      </c>
      <c r="DI75" s="45" t="s">
        <v>142</v>
      </c>
      <c r="DJ75" s="45" t="s">
        <v>142</v>
      </c>
      <c r="DK75" s="45" t="s">
        <v>89</v>
      </c>
      <c r="DL75" s="45" t="s">
        <v>43</v>
      </c>
      <c r="DM75" s="45" t="s">
        <v>116</v>
      </c>
      <c r="DN75" s="45" t="s">
        <v>64</v>
      </c>
      <c r="DO75" s="45" t="s">
        <v>96</v>
      </c>
      <c r="DP75" s="45" t="s">
        <v>116</v>
      </c>
      <c r="DQ75" s="45" t="s">
        <v>77</v>
      </c>
      <c r="DR75" s="45" t="s">
        <v>84</v>
      </c>
      <c r="DS75" s="45" t="s">
        <v>143</v>
      </c>
      <c r="DT75" s="45" t="s">
        <v>120</v>
      </c>
      <c r="DU75" s="45" t="s">
        <v>104</v>
      </c>
      <c r="DV75" s="45" t="s">
        <v>58</v>
      </c>
      <c r="DW75" s="45" t="s">
        <v>58</v>
      </c>
      <c r="DX75" s="45" t="s">
        <v>26</v>
      </c>
      <c r="DY75" s="45" t="s">
        <v>26</v>
      </c>
      <c r="DZ75" s="45" t="s">
        <v>25</v>
      </c>
      <c r="EA75" s="45" t="s">
        <v>120</v>
      </c>
      <c r="EB75" s="45" t="s">
        <v>25</v>
      </c>
      <c r="EC75" s="45" t="s">
        <v>13</v>
      </c>
      <c r="ED75" s="45" t="s">
        <v>143</v>
      </c>
      <c r="EE75" s="45" t="s">
        <v>26</v>
      </c>
      <c r="EF75" s="45" t="s">
        <v>26</v>
      </c>
      <c r="EG75" s="45" t="s">
        <v>26</v>
      </c>
      <c r="EH75" s="45" t="s">
        <v>145</v>
      </c>
      <c r="EI75" s="45" t="s">
        <v>145</v>
      </c>
      <c r="EJ75" s="45" t="s">
        <v>145</v>
      </c>
    </row>
    <row r="76" customFormat="false" ht="15.75" hidden="false" customHeight="false" outlineLevel="0" collapsed="false">
      <c r="A76" s="249" t="n">
        <v>63</v>
      </c>
      <c r="B76" s="250" t="s">
        <v>96</v>
      </c>
      <c r="C76" s="45" t="s">
        <v>87</v>
      </c>
      <c r="D76" s="45" t="s">
        <v>87</v>
      </c>
      <c r="E76" s="45" t="s">
        <v>137</v>
      </c>
      <c r="F76" s="45" t="s">
        <v>86</v>
      </c>
      <c r="G76" s="45" t="s">
        <v>85</v>
      </c>
      <c r="H76" s="45" t="s">
        <v>62</v>
      </c>
      <c r="I76" s="45" t="s">
        <v>85</v>
      </c>
      <c r="J76" s="45" t="s">
        <v>111</v>
      </c>
      <c r="K76" s="45" t="s">
        <v>129</v>
      </c>
      <c r="L76" s="45" t="s">
        <v>40</v>
      </c>
      <c r="M76" s="45" t="s">
        <v>44</v>
      </c>
      <c r="N76" s="45" t="s">
        <v>69</v>
      </c>
      <c r="O76" s="45" t="s">
        <v>40</v>
      </c>
      <c r="P76" s="45" t="s">
        <v>111</v>
      </c>
      <c r="Q76" s="45" t="s">
        <v>111</v>
      </c>
      <c r="R76" s="45" t="s">
        <v>57</v>
      </c>
      <c r="S76" s="45" t="s">
        <v>139</v>
      </c>
      <c r="T76" s="45" t="s">
        <v>137</v>
      </c>
      <c r="U76" s="45" t="s">
        <v>139</v>
      </c>
      <c r="V76" s="45" t="s">
        <v>57</v>
      </c>
      <c r="W76" s="45" t="s">
        <v>150</v>
      </c>
      <c r="X76" s="45" t="s">
        <v>91</v>
      </c>
      <c r="Y76" s="45" t="s">
        <v>101</v>
      </c>
      <c r="Z76" s="45" t="s">
        <v>150</v>
      </c>
      <c r="AA76" s="45" t="s">
        <v>41</v>
      </c>
      <c r="AB76" s="45" t="s">
        <v>87</v>
      </c>
      <c r="AC76" s="45" t="s">
        <v>86</v>
      </c>
      <c r="AD76" s="45" t="s">
        <v>147</v>
      </c>
      <c r="AE76" s="45" t="s">
        <v>64</v>
      </c>
      <c r="AF76" s="45" t="s">
        <v>62</v>
      </c>
      <c r="AG76" s="45" t="s">
        <v>151</v>
      </c>
      <c r="AH76" s="45" t="s">
        <v>54</v>
      </c>
      <c r="AI76" s="45" t="s">
        <v>41</v>
      </c>
      <c r="AJ76" s="45" t="s">
        <v>96</v>
      </c>
      <c r="AK76" s="45" t="s">
        <v>96</v>
      </c>
      <c r="AL76" s="45" t="s">
        <v>85</v>
      </c>
      <c r="AM76" s="45" t="s">
        <v>86</v>
      </c>
      <c r="AN76" s="45" t="s">
        <v>58</v>
      </c>
      <c r="AO76" s="45" t="s">
        <v>142</v>
      </c>
      <c r="AP76" s="45" t="s">
        <v>101</v>
      </c>
      <c r="AQ76" s="45" t="s">
        <v>126</v>
      </c>
      <c r="AR76" s="45" t="s">
        <v>54</v>
      </c>
      <c r="AS76" s="45" t="s">
        <v>126</v>
      </c>
      <c r="AT76" s="45" t="s">
        <v>54</v>
      </c>
      <c r="AU76" s="45" t="s">
        <v>58</v>
      </c>
      <c r="AV76" s="45" t="s">
        <v>41</v>
      </c>
      <c r="AW76" s="45" t="s">
        <v>43</v>
      </c>
      <c r="AX76" s="45" t="s">
        <v>43</v>
      </c>
      <c r="AY76" s="45" t="s">
        <v>36</v>
      </c>
      <c r="AZ76" s="45" t="s">
        <v>94</v>
      </c>
      <c r="BA76" s="45" t="s">
        <v>54</v>
      </c>
      <c r="BB76" s="45" t="s">
        <v>64</v>
      </c>
      <c r="BC76" s="45" t="s">
        <v>96</v>
      </c>
      <c r="BD76" s="45" t="s">
        <v>129</v>
      </c>
      <c r="BE76" s="45" t="s">
        <v>63</v>
      </c>
      <c r="BF76" s="45" t="s">
        <v>22</v>
      </c>
      <c r="BG76" s="45" t="s">
        <v>46</v>
      </c>
      <c r="BH76" s="45" t="s">
        <v>46</v>
      </c>
      <c r="BI76" s="45" t="s">
        <v>33</v>
      </c>
      <c r="BJ76" s="45" t="s">
        <v>64</v>
      </c>
      <c r="BK76" s="45" t="s">
        <v>25</v>
      </c>
      <c r="BL76" s="45" t="s">
        <v>44</v>
      </c>
      <c r="BM76" s="45" t="s">
        <v>41</v>
      </c>
      <c r="BN76" s="45" t="s">
        <v>58</v>
      </c>
      <c r="BO76" s="45" t="s">
        <v>94</v>
      </c>
      <c r="BP76" s="45" t="s">
        <v>47</v>
      </c>
      <c r="BQ76" s="45" t="s">
        <v>31</v>
      </c>
      <c r="BR76" s="45" t="s">
        <v>120</v>
      </c>
      <c r="BS76" s="45" t="s">
        <v>143</v>
      </c>
      <c r="BT76" s="45" t="s">
        <v>147</v>
      </c>
      <c r="BU76" s="45" t="s">
        <v>48</v>
      </c>
      <c r="BV76" s="45" t="s">
        <v>55</v>
      </c>
      <c r="BW76" s="45" t="s">
        <v>150</v>
      </c>
      <c r="BX76" s="45" t="s">
        <v>96</v>
      </c>
      <c r="BY76" s="45" t="s">
        <v>94</v>
      </c>
      <c r="BZ76" s="45" t="s">
        <v>94</v>
      </c>
      <c r="CA76" s="45" t="s">
        <v>89</v>
      </c>
      <c r="CB76" s="45" t="s">
        <v>89</v>
      </c>
      <c r="CC76" s="45" t="s">
        <v>129</v>
      </c>
      <c r="CD76" s="45" t="s">
        <v>55</v>
      </c>
      <c r="CE76" s="45" t="s">
        <v>31</v>
      </c>
      <c r="CF76" s="45" t="s">
        <v>63</v>
      </c>
      <c r="CG76" s="45" t="s">
        <v>85</v>
      </c>
      <c r="CH76" s="45" t="s">
        <v>104</v>
      </c>
      <c r="CI76" s="45" t="s">
        <v>29</v>
      </c>
      <c r="CJ76" s="45" t="s">
        <v>121</v>
      </c>
      <c r="CK76" s="45" t="s">
        <v>145</v>
      </c>
      <c r="CL76" s="45" t="s">
        <v>142</v>
      </c>
      <c r="CM76" s="45" t="s">
        <v>108</v>
      </c>
      <c r="CN76" s="45" t="s">
        <v>129</v>
      </c>
      <c r="CO76" s="45" t="s">
        <v>144</v>
      </c>
      <c r="CP76" s="45" t="s">
        <v>33</v>
      </c>
      <c r="CQ76" s="45" t="s">
        <v>116</v>
      </c>
      <c r="CR76" s="45" t="s">
        <v>89</v>
      </c>
      <c r="CS76" s="45" t="s">
        <v>44</v>
      </c>
      <c r="CT76" s="45" t="s">
        <v>151</v>
      </c>
      <c r="CU76" s="45" t="s">
        <v>151</v>
      </c>
      <c r="CV76" s="45" t="s">
        <v>36</v>
      </c>
      <c r="CW76" s="45" t="s">
        <v>26</v>
      </c>
      <c r="CX76" s="45" t="s">
        <v>108</v>
      </c>
      <c r="CY76" s="45" t="s">
        <v>104</v>
      </c>
      <c r="CZ76" s="45" t="s">
        <v>84</v>
      </c>
      <c r="DA76" s="45" t="s">
        <v>143</v>
      </c>
      <c r="DB76" s="45" t="s">
        <v>55</v>
      </c>
      <c r="DC76" s="45" t="s">
        <v>55</v>
      </c>
      <c r="DD76" s="45" t="s">
        <v>94</v>
      </c>
      <c r="DE76" s="45" t="s">
        <v>25</v>
      </c>
      <c r="DF76" s="45" t="s">
        <v>143</v>
      </c>
      <c r="DG76" s="45" t="s">
        <v>13</v>
      </c>
      <c r="DH76" s="45" t="s">
        <v>116</v>
      </c>
      <c r="DI76" s="45" t="s">
        <v>25</v>
      </c>
      <c r="DJ76" s="45" t="s">
        <v>84</v>
      </c>
      <c r="DK76" s="45" t="s">
        <v>13</v>
      </c>
      <c r="DL76" s="45" t="s">
        <v>13</v>
      </c>
      <c r="DM76" s="45" t="s">
        <v>120</v>
      </c>
      <c r="DN76" s="45" t="s">
        <v>66</v>
      </c>
      <c r="DO76" s="45" t="s">
        <v>46</v>
      </c>
      <c r="DP76" s="45" t="s">
        <v>120</v>
      </c>
      <c r="DQ76" s="45" t="s">
        <v>133</v>
      </c>
      <c r="DR76" s="45" t="s">
        <v>145</v>
      </c>
      <c r="DS76" s="45" t="s">
        <v>26</v>
      </c>
      <c r="DT76" s="45" t="s">
        <v>143</v>
      </c>
      <c r="DU76" s="45" t="s">
        <v>43</v>
      </c>
      <c r="DV76" s="45" t="s">
        <v>25</v>
      </c>
      <c r="DW76" s="45" t="s">
        <v>25</v>
      </c>
      <c r="DX76" s="45" t="s">
        <v>12</v>
      </c>
      <c r="DY76" s="45" t="s">
        <v>12</v>
      </c>
      <c r="DZ76" s="45" t="s">
        <v>145</v>
      </c>
      <c r="EA76" s="45" t="s">
        <v>143</v>
      </c>
      <c r="EB76" s="45" t="s">
        <v>145</v>
      </c>
      <c r="EC76" s="45" t="s">
        <v>120</v>
      </c>
      <c r="ED76" s="45" t="s">
        <v>26</v>
      </c>
      <c r="EE76" s="45" t="s">
        <v>77</v>
      </c>
      <c r="EF76" s="45" t="s">
        <v>77</v>
      </c>
      <c r="EG76" s="45" t="s">
        <v>77</v>
      </c>
      <c r="EH76" s="45" t="s">
        <v>77</v>
      </c>
      <c r="EI76" s="45" t="s">
        <v>77</v>
      </c>
      <c r="EJ76" s="45" t="s">
        <v>77</v>
      </c>
    </row>
    <row r="77" customFormat="false" ht="15.75" hidden="false" customHeight="false" outlineLevel="0" collapsed="false">
      <c r="A77" s="249" t="n">
        <v>64</v>
      </c>
      <c r="B77" s="250" t="s">
        <v>44</v>
      </c>
      <c r="C77" s="45" t="s">
        <v>101</v>
      </c>
      <c r="D77" s="45" t="s">
        <v>129</v>
      </c>
      <c r="E77" s="45" t="s">
        <v>150</v>
      </c>
      <c r="F77" s="45" t="s">
        <v>129</v>
      </c>
      <c r="G77" s="45" t="s">
        <v>96</v>
      </c>
      <c r="H77" s="45" t="s">
        <v>33</v>
      </c>
      <c r="I77" s="45" t="s">
        <v>96</v>
      </c>
      <c r="J77" s="45" t="s">
        <v>63</v>
      </c>
      <c r="K77" s="45" t="s">
        <v>147</v>
      </c>
      <c r="L77" s="45" t="s">
        <v>64</v>
      </c>
      <c r="M77" s="45" t="s">
        <v>143</v>
      </c>
      <c r="N77" s="45" t="s">
        <v>64</v>
      </c>
      <c r="O77" s="45" t="s">
        <v>64</v>
      </c>
      <c r="P77" s="45" t="s">
        <v>63</v>
      </c>
      <c r="Q77" s="45" t="s">
        <v>63</v>
      </c>
      <c r="R77" s="45" t="s">
        <v>129</v>
      </c>
      <c r="S77" s="45" t="s">
        <v>96</v>
      </c>
      <c r="T77" s="45" t="s">
        <v>128</v>
      </c>
      <c r="U77" s="45" t="s">
        <v>96</v>
      </c>
      <c r="V77" s="45" t="s">
        <v>129</v>
      </c>
      <c r="W77" s="45" t="s">
        <v>63</v>
      </c>
      <c r="X77" s="45" t="s">
        <v>55</v>
      </c>
      <c r="Y77" s="45" t="s">
        <v>54</v>
      </c>
      <c r="Z77" s="45" t="s">
        <v>126</v>
      </c>
      <c r="AA77" s="45" t="s">
        <v>46</v>
      </c>
      <c r="AB77" s="45" t="s">
        <v>101</v>
      </c>
      <c r="AC77" s="45" t="s">
        <v>129</v>
      </c>
      <c r="AD77" s="45" t="s">
        <v>43</v>
      </c>
      <c r="AE77" s="45" t="s">
        <v>95</v>
      </c>
      <c r="AF77" s="45" t="s">
        <v>33</v>
      </c>
      <c r="AG77" s="45" t="s">
        <v>144</v>
      </c>
      <c r="AH77" s="45" t="s">
        <v>29</v>
      </c>
      <c r="AI77" s="45" t="s">
        <v>22</v>
      </c>
      <c r="AJ77" s="45" t="s">
        <v>94</v>
      </c>
      <c r="AK77" s="45" t="s">
        <v>94</v>
      </c>
      <c r="AL77" s="45" t="s">
        <v>91</v>
      </c>
      <c r="AM77" s="45" t="s">
        <v>91</v>
      </c>
      <c r="AN77" s="45" t="s">
        <v>26</v>
      </c>
      <c r="AO77" s="45" t="s">
        <v>77</v>
      </c>
      <c r="AP77" s="45" t="s">
        <v>54</v>
      </c>
      <c r="AQ77" s="45" t="s">
        <v>121</v>
      </c>
      <c r="AR77" s="45" t="s">
        <v>43</v>
      </c>
      <c r="AS77" s="45" t="s">
        <v>34</v>
      </c>
      <c r="AT77" s="45" t="s">
        <v>29</v>
      </c>
      <c r="AU77" s="45" t="s">
        <v>26</v>
      </c>
      <c r="AV77" s="45" t="s">
        <v>46</v>
      </c>
      <c r="AW77" s="45" t="s">
        <v>25</v>
      </c>
      <c r="AX77" s="45" t="s">
        <v>84</v>
      </c>
      <c r="AY77" s="45" t="s">
        <v>145</v>
      </c>
      <c r="AZ77" s="45" t="s">
        <v>36</v>
      </c>
      <c r="BA77" s="45" t="s">
        <v>29</v>
      </c>
      <c r="BB77" s="45" t="s">
        <v>94</v>
      </c>
      <c r="BC77" s="45" t="s">
        <v>55</v>
      </c>
      <c r="BD77" s="45" t="s">
        <v>55</v>
      </c>
      <c r="BE77" s="45" t="s">
        <v>104</v>
      </c>
      <c r="BF77" s="45" t="s">
        <v>48</v>
      </c>
      <c r="BG77" s="45" t="s">
        <v>48</v>
      </c>
      <c r="BH77" s="45" t="s">
        <v>108</v>
      </c>
      <c r="BI77" s="45" t="s">
        <v>31</v>
      </c>
      <c r="BJ77" s="45" t="s">
        <v>94</v>
      </c>
      <c r="BK77" s="45" t="s">
        <v>12</v>
      </c>
      <c r="BL77" s="45" t="s">
        <v>145</v>
      </c>
      <c r="BM77" s="45" t="s">
        <v>46</v>
      </c>
      <c r="BN77" s="45" t="s">
        <v>77</v>
      </c>
      <c r="BO77" s="45" t="s">
        <v>44</v>
      </c>
      <c r="BP77" s="45" t="s">
        <v>142</v>
      </c>
      <c r="BQ77" s="45" t="s">
        <v>13</v>
      </c>
      <c r="BR77" s="45" t="s">
        <v>77</v>
      </c>
      <c r="BS77" s="45" t="s">
        <v>51</v>
      </c>
      <c r="BT77" s="45" t="s">
        <v>43</v>
      </c>
      <c r="BU77" s="45" t="s">
        <v>45</v>
      </c>
      <c r="BV77" s="45" t="s">
        <v>89</v>
      </c>
      <c r="BW77" s="45" t="s">
        <v>126</v>
      </c>
      <c r="BX77" s="45" t="s">
        <v>94</v>
      </c>
      <c r="BY77" s="45" t="s">
        <v>44</v>
      </c>
      <c r="BZ77" s="45" t="s">
        <v>44</v>
      </c>
      <c r="CA77" s="45" t="s">
        <v>143</v>
      </c>
      <c r="CB77" s="45" t="s">
        <v>143</v>
      </c>
      <c r="CC77" s="45" t="s">
        <v>55</v>
      </c>
      <c r="CD77" s="45" t="s">
        <v>89</v>
      </c>
      <c r="CE77" s="45" t="s">
        <v>13</v>
      </c>
      <c r="CF77" s="45" t="s">
        <v>121</v>
      </c>
      <c r="CG77" s="45" t="s">
        <v>96</v>
      </c>
      <c r="CH77" s="45" t="s">
        <v>120</v>
      </c>
      <c r="CI77" s="45" t="s">
        <v>25</v>
      </c>
      <c r="CJ77" s="45" t="s">
        <v>120</v>
      </c>
      <c r="CK77" s="45" t="s">
        <v>115</v>
      </c>
      <c r="CL77" s="45" t="s">
        <v>77</v>
      </c>
      <c r="CM77" s="45" t="s">
        <v>58</v>
      </c>
      <c r="CN77" s="45" t="s">
        <v>147</v>
      </c>
      <c r="CO77" s="45" t="s">
        <v>108</v>
      </c>
      <c r="CP77" s="45" t="s">
        <v>31</v>
      </c>
      <c r="CQ77" s="45" t="s">
        <v>26</v>
      </c>
      <c r="CR77" s="45" t="s">
        <v>143</v>
      </c>
      <c r="CS77" s="45" t="s">
        <v>143</v>
      </c>
      <c r="CT77" s="45" t="s">
        <v>66</v>
      </c>
      <c r="CU77" s="45" t="s">
        <v>66</v>
      </c>
      <c r="CV77" s="45" t="s">
        <v>145</v>
      </c>
      <c r="CW77" s="45" t="s">
        <v>153</v>
      </c>
      <c r="CX77" s="45" t="s">
        <v>58</v>
      </c>
      <c r="CY77" s="45" t="s">
        <v>142</v>
      </c>
      <c r="CZ77" s="45" t="s">
        <v>51</v>
      </c>
      <c r="DA77" s="45" t="s">
        <v>51</v>
      </c>
      <c r="DB77" s="45" t="s">
        <v>43</v>
      </c>
      <c r="DC77" s="45" t="s">
        <v>89</v>
      </c>
      <c r="DD77" s="45" t="s">
        <v>36</v>
      </c>
      <c r="DE77" s="45" t="s">
        <v>12</v>
      </c>
      <c r="DF77" s="45" t="s">
        <v>115</v>
      </c>
      <c r="DG77" s="45" t="s">
        <v>26</v>
      </c>
      <c r="DH77" s="45" t="s">
        <v>26</v>
      </c>
      <c r="DI77" s="45" t="s">
        <v>133</v>
      </c>
      <c r="DJ77" s="45" t="s">
        <v>133</v>
      </c>
      <c r="DK77" s="45" t="s">
        <v>26</v>
      </c>
      <c r="DL77" s="45" t="s">
        <v>145</v>
      </c>
      <c r="DM77" s="45" t="s">
        <v>12</v>
      </c>
      <c r="DN77" s="45" t="s">
        <v>47</v>
      </c>
      <c r="DO77" s="45" t="s">
        <v>48</v>
      </c>
      <c r="DP77" s="45" t="s">
        <v>77</v>
      </c>
      <c r="DQ77" s="45" t="s">
        <v>110</v>
      </c>
      <c r="DR77" s="45" t="s">
        <v>18</v>
      </c>
      <c r="DS77" s="45" t="s">
        <v>153</v>
      </c>
      <c r="DT77" s="45" t="s">
        <v>51</v>
      </c>
      <c r="DU77" s="45" t="s">
        <v>84</v>
      </c>
      <c r="DV77" s="45" t="s">
        <v>12</v>
      </c>
      <c r="DW77" s="45" t="s">
        <v>12</v>
      </c>
      <c r="DX77" s="45" t="s">
        <v>106</v>
      </c>
      <c r="DY77" s="45" t="s">
        <v>110</v>
      </c>
      <c r="DZ77" s="45" t="s">
        <v>67</v>
      </c>
      <c r="EA77" s="45" t="s">
        <v>51</v>
      </c>
      <c r="EB77" s="45" t="s">
        <v>115</v>
      </c>
      <c r="EC77" s="45" t="s">
        <v>77</v>
      </c>
      <c r="ED77" s="45" t="s">
        <v>153</v>
      </c>
      <c r="EE77" s="45" t="s">
        <v>131</v>
      </c>
      <c r="EF77" s="45" t="s">
        <v>131</v>
      </c>
      <c r="EG77" s="45" t="s">
        <v>131</v>
      </c>
      <c r="EH77" s="45" t="s">
        <v>88</v>
      </c>
      <c r="EI77" s="45" t="s">
        <v>152</v>
      </c>
      <c r="EJ77" s="45" t="s">
        <v>131</v>
      </c>
    </row>
    <row r="78" customFormat="false" ht="15.75" hidden="false" customHeight="false" outlineLevel="0" collapsed="false">
      <c r="A78" s="249" t="n">
        <v>64</v>
      </c>
      <c r="B78" s="250" t="s">
        <v>45</v>
      </c>
      <c r="C78" s="45" t="s">
        <v>129</v>
      </c>
      <c r="D78" s="45" t="s">
        <v>129</v>
      </c>
      <c r="E78" s="45" t="s">
        <v>128</v>
      </c>
      <c r="F78" s="45" t="s">
        <v>91</v>
      </c>
      <c r="G78" s="45" t="s">
        <v>96</v>
      </c>
      <c r="H78" s="45" t="s">
        <v>22</v>
      </c>
      <c r="I78" s="45" t="s">
        <v>96</v>
      </c>
      <c r="J78" s="45" t="s">
        <v>63</v>
      </c>
      <c r="K78" s="45" t="s">
        <v>55</v>
      </c>
      <c r="L78" s="45" t="s">
        <v>33</v>
      </c>
      <c r="M78" s="45" t="s">
        <v>145</v>
      </c>
      <c r="N78" s="45" t="s">
        <v>64</v>
      </c>
      <c r="O78" s="45" t="s">
        <v>64</v>
      </c>
      <c r="P78" s="45" t="s">
        <v>63</v>
      </c>
      <c r="Q78" s="45" t="s">
        <v>63</v>
      </c>
      <c r="R78" s="45" t="s">
        <v>129</v>
      </c>
      <c r="S78" s="45" t="s">
        <v>96</v>
      </c>
      <c r="T78" s="45" t="s">
        <v>101</v>
      </c>
      <c r="U78" s="45" t="s">
        <v>64</v>
      </c>
      <c r="V78" s="45" t="s">
        <v>129</v>
      </c>
      <c r="W78" s="45" t="s">
        <v>126</v>
      </c>
      <c r="X78" s="45" t="s">
        <v>55</v>
      </c>
      <c r="Y78" s="45" t="s">
        <v>147</v>
      </c>
      <c r="Z78" s="45" t="s">
        <v>126</v>
      </c>
      <c r="AA78" s="45" t="s">
        <v>144</v>
      </c>
      <c r="AB78" s="45" t="s">
        <v>101</v>
      </c>
      <c r="AC78" s="45" t="s">
        <v>129</v>
      </c>
      <c r="AD78" s="45" t="s">
        <v>43</v>
      </c>
      <c r="AE78" s="45" t="s">
        <v>31</v>
      </c>
      <c r="AF78" s="45" t="s">
        <v>33</v>
      </c>
      <c r="AG78" s="45" t="s">
        <v>66</v>
      </c>
      <c r="AH78" s="45" t="s">
        <v>29</v>
      </c>
      <c r="AI78" s="45" t="s">
        <v>46</v>
      </c>
      <c r="AJ78" s="45" t="s">
        <v>94</v>
      </c>
      <c r="AK78" s="45" t="s">
        <v>94</v>
      </c>
      <c r="AL78" s="45" t="s">
        <v>96</v>
      </c>
      <c r="AM78" s="45" t="s">
        <v>91</v>
      </c>
      <c r="AN78" s="45" t="s">
        <v>26</v>
      </c>
      <c r="AO78" s="45" t="s">
        <v>77</v>
      </c>
      <c r="AP78" s="45" t="s">
        <v>54</v>
      </c>
      <c r="AQ78" s="45" t="s">
        <v>34</v>
      </c>
      <c r="AR78" s="45" t="s">
        <v>43</v>
      </c>
      <c r="AS78" s="45" t="s">
        <v>29</v>
      </c>
      <c r="AT78" s="45" t="s">
        <v>43</v>
      </c>
      <c r="AU78" s="45" t="s">
        <v>77</v>
      </c>
      <c r="AV78" s="45" t="s">
        <v>46</v>
      </c>
      <c r="AW78" s="45" t="s">
        <v>84</v>
      </c>
      <c r="AX78" s="45" t="s">
        <v>84</v>
      </c>
      <c r="AY78" s="45" t="s">
        <v>145</v>
      </c>
      <c r="AZ78" s="45" t="s">
        <v>36</v>
      </c>
      <c r="BA78" s="45" t="s">
        <v>43</v>
      </c>
      <c r="BB78" s="45" t="s">
        <v>94</v>
      </c>
      <c r="BC78" s="45" t="s">
        <v>94</v>
      </c>
      <c r="BD78" s="45" t="s">
        <v>55</v>
      </c>
      <c r="BE78" s="45" t="s">
        <v>121</v>
      </c>
      <c r="BF78" s="45" t="s">
        <v>48</v>
      </c>
      <c r="BG78" s="45" t="s">
        <v>48</v>
      </c>
      <c r="BH78" s="45" t="s">
        <v>108</v>
      </c>
      <c r="BI78" s="45" t="s">
        <v>48</v>
      </c>
      <c r="BJ78" s="45" t="s">
        <v>95</v>
      </c>
      <c r="BK78" s="45" t="s">
        <v>12</v>
      </c>
      <c r="BL78" s="45" t="s">
        <v>145</v>
      </c>
      <c r="BM78" s="45" t="s">
        <v>46</v>
      </c>
      <c r="BN78" s="45" t="s">
        <v>77</v>
      </c>
      <c r="BO78" s="45" t="s">
        <v>36</v>
      </c>
      <c r="BP78" s="45" t="s">
        <v>142</v>
      </c>
      <c r="BQ78" s="45" t="s">
        <v>13</v>
      </c>
      <c r="BR78" s="45" t="s">
        <v>77</v>
      </c>
      <c r="BS78" s="45" t="s">
        <v>115</v>
      </c>
      <c r="BT78" s="45" t="s">
        <v>43</v>
      </c>
      <c r="BU78" s="45" t="s">
        <v>116</v>
      </c>
      <c r="BV78" s="45" t="s">
        <v>44</v>
      </c>
      <c r="BW78" s="45" t="s">
        <v>54</v>
      </c>
      <c r="BX78" s="45" t="s">
        <v>94</v>
      </c>
      <c r="BY78" s="45" t="s">
        <v>44</v>
      </c>
      <c r="BZ78" s="45" t="s">
        <v>45</v>
      </c>
      <c r="CA78" s="45" t="s">
        <v>143</v>
      </c>
      <c r="CB78" s="45" t="s">
        <v>143</v>
      </c>
      <c r="CC78" s="45" t="s">
        <v>55</v>
      </c>
      <c r="CD78" s="45" t="s">
        <v>89</v>
      </c>
      <c r="CE78" s="45" t="s">
        <v>116</v>
      </c>
      <c r="CF78" s="45" t="s">
        <v>121</v>
      </c>
      <c r="CG78" s="45" t="s">
        <v>96</v>
      </c>
      <c r="CH78" s="45" t="s">
        <v>120</v>
      </c>
      <c r="CI78" s="45" t="s">
        <v>25</v>
      </c>
      <c r="CJ78" s="45" t="s">
        <v>120</v>
      </c>
      <c r="CK78" s="45" t="s">
        <v>115</v>
      </c>
      <c r="CL78" s="45" t="s">
        <v>77</v>
      </c>
      <c r="CM78" s="45" t="s">
        <v>142</v>
      </c>
      <c r="CN78" s="45" t="s">
        <v>55</v>
      </c>
      <c r="CO78" s="45" t="s">
        <v>47</v>
      </c>
      <c r="CP78" s="45" t="s">
        <v>31</v>
      </c>
      <c r="CQ78" s="45" t="s">
        <v>26</v>
      </c>
      <c r="CR78" s="45" t="s">
        <v>143</v>
      </c>
      <c r="CS78" s="45" t="s">
        <v>143</v>
      </c>
      <c r="CT78" s="45" t="s">
        <v>63</v>
      </c>
      <c r="CU78" s="45" t="s">
        <v>66</v>
      </c>
      <c r="CV78" s="45" t="s">
        <v>145</v>
      </c>
      <c r="CW78" s="45" t="s">
        <v>88</v>
      </c>
      <c r="CX78" s="45" t="s">
        <v>58</v>
      </c>
      <c r="CY78" s="45" t="s">
        <v>120</v>
      </c>
      <c r="CZ78" s="45" t="s">
        <v>51</v>
      </c>
      <c r="DA78" s="45" t="s">
        <v>51</v>
      </c>
      <c r="DB78" s="45" t="s">
        <v>89</v>
      </c>
      <c r="DC78" s="45" t="s">
        <v>89</v>
      </c>
      <c r="DD78" s="45" t="s">
        <v>13</v>
      </c>
      <c r="DE78" s="45" t="s">
        <v>12</v>
      </c>
      <c r="DF78" s="45" t="s">
        <v>115</v>
      </c>
      <c r="DG78" s="45" t="s">
        <v>26</v>
      </c>
      <c r="DH78" s="45" t="s">
        <v>26</v>
      </c>
      <c r="DI78" s="45" t="s">
        <v>133</v>
      </c>
      <c r="DJ78" s="45" t="s">
        <v>51</v>
      </c>
      <c r="DK78" s="45" t="s">
        <v>26</v>
      </c>
      <c r="DL78" s="45" t="s">
        <v>26</v>
      </c>
      <c r="DM78" s="45" t="s">
        <v>12</v>
      </c>
      <c r="DN78" s="45" t="s">
        <v>47</v>
      </c>
      <c r="DO78" s="45" t="s">
        <v>108</v>
      </c>
      <c r="DP78" s="45" t="s">
        <v>12</v>
      </c>
      <c r="DQ78" s="45" t="s">
        <v>138</v>
      </c>
      <c r="DR78" s="45" t="s">
        <v>18</v>
      </c>
      <c r="DS78" s="45" t="s">
        <v>153</v>
      </c>
      <c r="DT78" s="45" t="s">
        <v>51</v>
      </c>
      <c r="DU78" s="45" t="s">
        <v>143</v>
      </c>
      <c r="DV78" s="45" t="s">
        <v>133</v>
      </c>
      <c r="DW78" s="45" t="s">
        <v>133</v>
      </c>
      <c r="DX78" s="45" t="s">
        <v>106</v>
      </c>
      <c r="DY78" s="45" t="s">
        <v>110</v>
      </c>
      <c r="DZ78" s="45" t="s">
        <v>18</v>
      </c>
      <c r="EA78" s="45" t="s">
        <v>51</v>
      </c>
      <c r="EB78" s="45" t="s">
        <v>67</v>
      </c>
      <c r="EC78" s="45" t="s">
        <v>77</v>
      </c>
      <c r="ED78" s="45" t="s">
        <v>153</v>
      </c>
      <c r="EE78" s="45" t="s">
        <v>106</v>
      </c>
      <c r="EF78" s="45" t="s">
        <v>131</v>
      </c>
      <c r="EG78" s="45" t="s">
        <v>131</v>
      </c>
      <c r="EH78" s="45" t="s">
        <v>152</v>
      </c>
      <c r="EI78" s="45" t="s">
        <v>131</v>
      </c>
      <c r="EJ78" s="45" t="s">
        <v>131</v>
      </c>
    </row>
    <row r="79" customFormat="false" ht="15.75" hidden="false" customHeight="false" outlineLevel="0" collapsed="false">
      <c r="A79" s="249" t="n">
        <v>65</v>
      </c>
      <c r="B79" s="250" t="s">
        <v>133</v>
      </c>
      <c r="C79" s="45" t="s">
        <v>126</v>
      </c>
      <c r="D79" s="45" t="s">
        <v>54</v>
      </c>
      <c r="E79" s="45" t="s">
        <v>63</v>
      </c>
      <c r="F79" s="45" t="s">
        <v>147</v>
      </c>
      <c r="G79" s="45" t="s">
        <v>55</v>
      </c>
      <c r="H79" s="45" t="s">
        <v>94</v>
      </c>
      <c r="I79" s="45" t="s">
        <v>55</v>
      </c>
      <c r="J79" s="45" t="s">
        <v>108</v>
      </c>
      <c r="K79" s="45" t="s">
        <v>29</v>
      </c>
      <c r="L79" s="45" t="s">
        <v>94</v>
      </c>
      <c r="M79" s="45" t="s">
        <v>51</v>
      </c>
      <c r="N79" s="45" t="s">
        <v>94</v>
      </c>
      <c r="O79" s="45" t="s">
        <v>94</v>
      </c>
      <c r="P79" s="45" t="s">
        <v>47</v>
      </c>
      <c r="Q79" s="45" t="s">
        <v>47</v>
      </c>
      <c r="R79" s="45" t="s">
        <v>54</v>
      </c>
      <c r="S79" s="45" t="s">
        <v>55</v>
      </c>
      <c r="T79" s="45" t="s">
        <v>63</v>
      </c>
      <c r="U79" s="45" t="s">
        <v>55</v>
      </c>
      <c r="V79" s="45" t="s">
        <v>54</v>
      </c>
      <c r="W79" s="45" t="s">
        <v>47</v>
      </c>
      <c r="X79" s="45" t="s">
        <v>43</v>
      </c>
      <c r="Y79" s="45" t="s">
        <v>34</v>
      </c>
      <c r="Z79" s="45" t="s">
        <v>104</v>
      </c>
      <c r="AA79" s="45" t="s">
        <v>48</v>
      </c>
      <c r="AB79" s="45" t="s">
        <v>126</v>
      </c>
      <c r="AC79" s="45" t="s">
        <v>54</v>
      </c>
      <c r="AD79" s="45" t="s">
        <v>25</v>
      </c>
      <c r="AE79" s="45" t="s">
        <v>44</v>
      </c>
      <c r="AF79" s="45" t="s">
        <v>94</v>
      </c>
      <c r="AG79" s="45" t="s">
        <v>48</v>
      </c>
      <c r="AH79" s="45" t="s">
        <v>120</v>
      </c>
      <c r="AI79" s="45" t="s">
        <v>95</v>
      </c>
      <c r="AJ79" s="45" t="s">
        <v>89</v>
      </c>
      <c r="AK79" s="45" t="s">
        <v>89</v>
      </c>
      <c r="AL79" s="45" t="s">
        <v>147</v>
      </c>
      <c r="AM79" s="45" t="s">
        <v>147</v>
      </c>
      <c r="AN79" s="45" t="s">
        <v>18</v>
      </c>
      <c r="AO79" s="45" t="s">
        <v>153</v>
      </c>
      <c r="AP79" s="45" t="s">
        <v>121</v>
      </c>
      <c r="AQ79" s="45" t="s">
        <v>142</v>
      </c>
      <c r="AR79" s="45" t="s">
        <v>120</v>
      </c>
      <c r="AS79" s="45" t="s">
        <v>120</v>
      </c>
      <c r="AT79" s="45" t="s">
        <v>120</v>
      </c>
      <c r="AU79" s="45" t="s">
        <v>37</v>
      </c>
      <c r="AV79" s="45" t="s">
        <v>31</v>
      </c>
      <c r="AW79" s="45" t="s">
        <v>12</v>
      </c>
      <c r="AX79" s="45" t="s">
        <v>12</v>
      </c>
      <c r="AY79" s="45" t="s">
        <v>115</v>
      </c>
      <c r="AZ79" s="45" t="s">
        <v>143</v>
      </c>
      <c r="BA79" s="45" t="s">
        <v>134</v>
      </c>
      <c r="BB79" s="45" t="s">
        <v>44</v>
      </c>
      <c r="BC79" s="45" t="s">
        <v>43</v>
      </c>
      <c r="BD79" s="45" t="s">
        <v>43</v>
      </c>
      <c r="BE79" s="45" t="s">
        <v>142</v>
      </c>
      <c r="BF79" s="45" t="s">
        <v>13</v>
      </c>
      <c r="BG79" s="45" t="s">
        <v>13</v>
      </c>
      <c r="BH79" s="45" t="s">
        <v>116</v>
      </c>
      <c r="BI79" s="45" t="s">
        <v>36</v>
      </c>
      <c r="BJ79" s="45" t="s">
        <v>44</v>
      </c>
      <c r="BK79" s="45" t="s">
        <v>131</v>
      </c>
      <c r="BL79" s="45" t="s">
        <v>51</v>
      </c>
      <c r="BM79" s="45" t="s">
        <v>31</v>
      </c>
      <c r="BN79" s="45" t="s">
        <v>153</v>
      </c>
      <c r="BO79" s="45" t="s">
        <v>143</v>
      </c>
      <c r="BP79" s="45" t="s">
        <v>26</v>
      </c>
      <c r="BQ79" s="45" t="s">
        <v>145</v>
      </c>
      <c r="BR79" s="45" t="s">
        <v>152</v>
      </c>
      <c r="BS79" s="45" t="s">
        <v>138</v>
      </c>
      <c r="BT79" s="45" t="s">
        <v>25</v>
      </c>
      <c r="BU79" s="45" t="s">
        <v>145</v>
      </c>
      <c r="BV79" s="45" t="s">
        <v>84</v>
      </c>
      <c r="BW79" s="45" t="s">
        <v>104</v>
      </c>
      <c r="BX79" s="45" t="s">
        <v>89</v>
      </c>
      <c r="BY79" s="45" t="s">
        <v>143</v>
      </c>
      <c r="BZ79" s="45" t="s">
        <v>143</v>
      </c>
      <c r="CA79" s="45" t="s">
        <v>133</v>
      </c>
      <c r="CB79" s="45" t="s">
        <v>133</v>
      </c>
      <c r="CC79" s="45" t="s">
        <v>43</v>
      </c>
      <c r="CD79" s="45" t="s">
        <v>25</v>
      </c>
      <c r="CE79" s="45" t="s">
        <v>145</v>
      </c>
      <c r="CF79" s="45" t="s">
        <v>142</v>
      </c>
      <c r="CG79" s="45" t="s">
        <v>55</v>
      </c>
      <c r="CH79" s="45" t="s">
        <v>77</v>
      </c>
      <c r="CI79" s="45" t="s">
        <v>77</v>
      </c>
      <c r="CJ79" s="45" t="s">
        <v>77</v>
      </c>
      <c r="CK79" s="45" t="s">
        <v>14</v>
      </c>
      <c r="CL79" s="45" t="s">
        <v>88</v>
      </c>
      <c r="CM79" s="45" t="s">
        <v>26</v>
      </c>
      <c r="CN79" s="45" t="s">
        <v>29</v>
      </c>
      <c r="CO79" s="45" t="s">
        <v>116</v>
      </c>
      <c r="CP79" s="45" t="s">
        <v>36</v>
      </c>
      <c r="CQ79" s="45" t="s">
        <v>18</v>
      </c>
      <c r="CR79" s="45" t="s">
        <v>52</v>
      </c>
      <c r="CS79" s="45" t="s">
        <v>51</v>
      </c>
      <c r="CT79" s="45" t="s">
        <v>108</v>
      </c>
      <c r="CU79" s="45" t="s">
        <v>48</v>
      </c>
      <c r="CV79" s="45" t="s">
        <v>51</v>
      </c>
      <c r="CW79" s="45" t="s">
        <v>149</v>
      </c>
      <c r="CX79" s="45" t="s">
        <v>26</v>
      </c>
      <c r="CY79" s="45" t="s">
        <v>77</v>
      </c>
      <c r="CZ79" s="45" t="s">
        <v>110</v>
      </c>
      <c r="DA79" s="45" t="s">
        <v>110</v>
      </c>
      <c r="DB79" s="45" t="s">
        <v>25</v>
      </c>
      <c r="DC79" s="45" t="s">
        <v>84</v>
      </c>
      <c r="DD79" s="45" t="s">
        <v>143</v>
      </c>
      <c r="DE79" s="45" t="s">
        <v>131</v>
      </c>
      <c r="DF79" s="45" t="s">
        <v>138</v>
      </c>
      <c r="DG79" s="45" t="s">
        <v>115</v>
      </c>
      <c r="DH79" s="45" t="s">
        <v>18</v>
      </c>
      <c r="DI79" s="45" t="s">
        <v>106</v>
      </c>
      <c r="DJ79" s="45" t="s">
        <v>110</v>
      </c>
      <c r="DK79" s="45" t="s">
        <v>67</v>
      </c>
      <c r="DL79" s="45" t="s">
        <v>115</v>
      </c>
      <c r="DM79" s="45" t="s">
        <v>131</v>
      </c>
      <c r="DN79" s="45" t="s">
        <v>58</v>
      </c>
      <c r="DO79" s="45" t="s">
        <v>13</v>
      </c>
      <c r="DP79" s="45" t="s">
        <v>131</v>
      </c>
      <c r="DQ79" s="45" t="s">
        <v>122</v>
      </c>
      <c r="DR79" s="45" t="s">
        <v>14</v>
      </c>
      <c r="DS79" s="45" t="s">
        <v>117</v>
      </c>
      <c r="DT79" s="45" t="s">
        <v>138</v>
      </c>
      <c r="DU79" s="45" t="s">
        <v>12</v>
      </c>
      <c r="DV79" s="45" t="s">
        <v>106</v>
      </c>
      <c r="DW79" s="45" t="s">
        <v>106</v>
      </c>
      <c r="DX79" s="45" t="s">
        <v>82</v>
      </c>
      <c r="DY79" s="45" t="s">
        <v>99</v>
      </c>
      <c r="DZ79" s="45" t="s">
        <v>14</v>
      </c>
      <c r="EA79" s="45" t="s">
        <v>138</v>
      </c>
      <c r="EB79" s="45" t="s">
        <v>14</v>
      </c>
      <c r="EC79" s="45" t="s">
        <v>152</v>
      </c>
      <c r="ED79" s="45" t="s">
        <v>119</v>
      </c>
      <c r="EE79" s="45" t="s">
        <v>82</v>
      </c>
      <c r="EF79" s="45" t="s">
        <v>124</v>
      </c>
      <c r="EG79" s="45" t="s">
        <v>82</v>
      </c>
      <c r="EH79" s="45" t="s">
        <v>149</v>
      </c>
      <c r="EI79" s="45" t="s">
        <v>50</v>
      </c>
      <c r="EJ79" s="45" t="s">
        <v>124</v>
      </c>
    </row>
    <row r="80" customFormat="false" ht="15.75" hidden="false" customHeight="false" outlineLevel="0" collapsed="false">
      <c r="A80" s="249" t="n">
        <v>65</v>
      </c>
      <c r="B80" s="250" t="s">
        <v>134</v>
      </c>
      <c r="C80" s="45" t="s">
        <v>54</v>
      </c>
      <c r="D80" s="45" t="s">
        <v>54</v>
      </c>
      <c r="E80" s="45" t="s">
        <v>63</v>
      </c>
      <c r="F80" s="45" t="s">
        <v>147</v>
      </c>
      <c r="G80" s="45" t="s">
        <v>55</v>
      </c>
      <c r="H80" s="45" t="s">
        <v>95</v>
      </c>
      <c r="I80" s="45" t="s">
        <v>55</v>
      </c>
      <c r="J80" s="45" t="s">
        <v>47</v>
      </c>
      <c r="K80" s="45" t="s">
        <v>43</v>
      </c>
      <c r="L80" s="45" t="s">
        <v>94</v>
      </c>
      <c r="M80" s="45" t="s">
        <v>51</v>
      </c>
      <c r="N80" s="45" t="s">
        <v>94</v>
      </c>
      <c r="O80" s="45" t="s">
        <v>94</v>
      </c>
      <c r="P80" s="45" t="s">
        <v>47</v>
      </c>
      <c r="Q80" s="45" t="s">
        <v>47</v>
      </c>
      <c r="R80" s="45" t="s">
        <v>54</v>
      </c>
      <c r="S80" s="45" t="s">
        <v>55</v>
      </c>
      <c r="T80" s="45" t="s">
        <v>126</v>
      </c>
      <c r="U80" s="45" t="s">
        <v>94</v>
      </c>
      <c r="V80" s="45" t="s">
        <v>54</v>
      </c>
      <c r="W80" s="45" t="s">
        <v>104</v>
      </c>
      <c r="X80" s="45" t="s">
        <v>43</v>
      </c>
      <c r="Y80" s="45" t="s">
        <v>29</v>
      </c>
      <c r="Z80" s="45" t="s">
        <v>104</v>
      </c>
      <c r="AA80" s="45" t="s">
        <v>48</v>
      </c>
      <c r="AB80" s="45" t="s">
        <v>126</v>
      </c>
      <c r="AC80" s="45" t="s">
        <v>147</v>
      </c>
      <c r="AD80" s="45" t="s">
        <v>25</v>
      </c>
      <c r="AE80" s="45" t="s">
        <v>36</v>
      </c>
      <c r="AF80" s="45" t="s">
        <v>94</v>
      </c>
      <c r="AG80" s="45" t="s">
        <v>48</v>
      </c>
      <c r="AH80" s="45" t="s">
        <v>120</v>
      </c>
      <c r="AI80" s="45" t="s">
        <v>31</v>
      </c>
      <c r="AJ80" s="45" t="s">
        <v>44</v>
      </c>
      <c r="AK80" s="45" t="s">
        <v>89</v>
      </c>
      <c r="AL80" s="45" t="s">
        <v>55</v>
      </c>
      <c r="AM80" s="45" t="s">
        <v>147</v>
      </c>
      <c r="AN80" s="45" t="s">
        <v>37</v>
      </c>
      <c r="AO80" s="45" t="s">
        <v>88</v>
      </c>
      <c r="AP80" s="45" t="s">
        <v>34</v>
      </c>
      <c r="AQ80" s="45" t="s">
        <v>120</v>
      </c>
      <c r="AR80" s="45" t="s">
        <v>25</v>
      </c>
      <c r="AS80" s="45" t="s">
        <v>120</v>
      </c>
      <c r="AT80" s="45" t="s">
        <v>120</v>
      </c>
      <c r="AU80" s="45" t="s">
        <v>153</v>
      </c>
      <c r="AV80" s="45" t="s">
        <v>31</v>
      </c>
      <c r="AW80" s="45" t="s">
        <v>12</v>
      </c>
      <c r="AX80" s="45" t="s">
        <v>12</v>
      </c>
      <c r="AY80" s="45" t="s">
        <v>115</v>
      </c>
      <c r="AZ80" s="45" t="s">
        <v>143</v>
      </c>
      <c r="BA80" s="45" t="s">
        <v>25</v>
      </c>
      <c r="BB80" s="45" t="s">
        <v>44</v>
      </c>
      <c r="BC80" s="45" t="s">
        <v>89</v>
      </c>
      <c r="BD80" s="45" t="s">
        <v>43</v>
      </c>
      <c r="BE80" s="45" t="s">
        <v>142</v>
      </c>
      <c r="BF80" s="45" t="s">
        <v>13</v>
      </c>
      <c r="BG80" s="45" t="s">
        <v>13</v>
      </c>
      <c r="BH80" s="45" t="s">
        <v>116</v>
      </c>
      <c r="BI80" s="45" t="s">
        <v>13</v>
      </c>
      <c r="BJ80" s="45" t="s">
        <v>44</v>
      </c>
      <c r="BK80" s="45" t="s">
        <v>131</v>
      </c>
      <c r="BL80" s="45" t="s">
        <v>51</v>
      </c>
      <c r="BM80" s="45" t="s">
        <v>48</v>
      </c>
      <c r="BN80" s="45" t="s">
        <v>153</v>
      </c>
      <c r="BO80" s="45" t="s">
        <v>143</v>
      </c>
      <c r="BP80" s="45" t="s">
        <v>77</v>
      </c>
      <c r="BQ80" s="45" t="s">
        <v>145</v>
      </c>
      <c r="BR80" s="45" t="s">
        <v>131</v>
      </c>
      <c r="BS80" s="45" t="s">
        <v>138</v>
      </c>
      <c r="BT80" s="45" t="s">
        <v>25</v>
      </c>
      <c r="BU80" s="45" t="s">
        <v>26</v>
      </c>
      <c r="BV80" s="45" t="s">
        <v>143</v>
      </c>
      <c r="BW80" s="45" t="s">
        <v>121</v>
      </c>
      <c r="BX80" s="45" t="s">
        <v>89</v>
      </c>
      <c r="BY80" s="45" t="s">
        <v>143</v>
      </c>
      <c r="BZ80" s="45" t="s">
        <v>143</v>
      </c>
      <c r="CA80" s="45" t="s">
        <v>133</v>
      </c>
      <c r="CB80" s="45" t="s">
        <v>134</v>
      </c>
      <c r="CC80" s="45" t="s">
        <v>43</v>
      </c>
      <c r="CD80" s="45" t="s">
        <v>84</v>
      </c>
      <c r="CE80" s="45" t="s">
        <v>145</v>
      </c>
      <c r="CF80" s="45" t="s">
        <v>142</v>
      </c>
      <c r="CG80" s="45" t="s">
        <v>55</v>
      </c>
      <c r="CH80" s="45" t="s">
        <v>77</v>
      </c>
      <c r="CI80" s="45" t="s">
        <v>77</v>
      </c>
      <c r="CJ80" s="45" t="s">
        <v>77</v>
      </c>
      <c r="CK80" s="45" t="s">
        <v>14</v>
      </c>
      <c r="CL80" s="45" t="s">
        <v>152</v>
      </c>
      <c r="CM80" s="45" t="s">
        <v>26</v>
      </c>
      <c r="CN80" s="45" t="s">
        <v>43</v>
      </c>
      <c r="CO80" s="45" t="s">
        <v>58</v>
      </c>
      <c r="CP80" s="45" t="s">
        <v>36</v>
      </c>
      <c r="CQ80" s="45" t="s">
        <v>18</v>
      </c>
      <c r="CR80" s="45" t="s">
        <v>51</v>
      </c>
      <c r="CS80" s="45" t="s">
        <v>51</v>
      </c>
      <c r="CT80" s="45" t="s">
        <v>108</v>
      </c>
      <c r="CU80" s="45" t="s">
        <v>108</v>
      </c>
      <c r="CV80" s="45" t="s">
        <v>115</v>
      </c>
      <c r="CW80" s="45" t="s">
        <v>149</v>
      </c>
      <c r="CX80" s="45" t="s">
        <v>26</v>
      </c>
      <c r="CY80" s="45" t="s">
        <v>77</v>
      </c>
      <c r="CZ80" s="45" t="s">
        <v>110</v>
      </c>
      <c r="DA80" s="45" t="s">
        <v>138</v>
      </c>
      <c r="DB80" s="45" t="s">
        <v>25</v>
      </c>
      <c r="DC80" s="45" t="s">
        <v>84</v>
      </c>
      <c r="DD80" s="45" t="s">
        <v>145</v>
      </c>
      <c r="DE80" s="45" t="s">
        <v>106</v>
      </c>
      <c r="DF80" s="45" t="s">
        <v>14</v>
      </c>
      <c r="DG80" s="45" t="s">
        <v>67</v>
      </c>
      <c r="DH80" s="45" t="s">
        <v>18</v>
      </c>
      <c r="DI80" s="45" t="s">
        <v>110</v>
      </c>
      <c r="DJ80" s="45" t="s">
        <v>110</v>
      </c>
      <c r="DK80" s="45" t="s">
        <v>18</v>
      </c>
      <c r="DL80" s="45" t="s">
        <v>115</v>
      </c>
      <c r="DM80" s="45" t="s">
        <v>131</v>
      </c>
      <c r="DN80" s="45" t="s">
        <v>58</v>
      </c>
      <c r="DO80" s="45" t="s">
        <v>116</v>
      </c>
      <c r="DP80" s="45" t="s">
        <v>131</v>
      </c>
      <c r="DQ80" s="45" t="s">
        <v>122</v>
      </c>
      <c r="DR80" s="45" t="s">
        <v>117</v>
      </c>
      <c r="DS80" s="45" t="s">
        <v>119</v>
      </c>
      <c r="DT80" s="45" t="s">
        <v>138</v>
      </c>
      <c r="DU80" s="45" t="s">
        <v>133</v>
      </c>
      <c r="DV80" s="45" t="s">
        <v>106</v>
      </c>
      <c r="DW80" s="45" t="s">
        <v>106</v>
      </c>
      <c r="DX80" s="45" t="s">
        <v>99</v>
      </c>
      <c r="DY80" s="45" t="s">
        <v>122</v>
      </c>
      <c r="DZ80" s="45" t="s">
        <v>14</v>
      </c>
      <c r="EA80" s="45" t="s">
        <v>138</v>
      </c>
      <c r="EB80" s="45" t="s">
        <v>14</v>
      </c>
      <c r="EC80" s="45" t="s">
        <v>152</v>
      </c>
      <c r="ED80" s="45" t="s">
        <v>149</v>
      </c>
      <c r="EE80" s="45" t="s">
        <v>82</v>
      </c>
      <c r="EF80" s="45" t="s">
        <v>82</v>
      </c>
      <c r="EG80" s="45" t="s">
        <v>82</v>
      </c>
      <c r="EH80" s="45" t="s">
        <v>50</v>
      </c>
      <c r="EI80" s="45" t="s">
        <v>124</v>
      </c>
      <c r="EJ80" s="45" t="s">
        <v>124</v>
      </c>
    </row>
    <row r="81" customFormat="false" ht="15.75" hidden="false" customHeight="false" outlineLevel="0" collapsed="false">
      <c r="A81" s="249" t="n">
        <v>66</v>
      </c>
      <c r="B81" s="250" t="s">
        <v>101</v>
      </c>
      <c r="C81" s="45" t="s">
        <v>125</v>
      </c>
      <c r="D81" s="45" t="s">
        <v>137</v>
      </c>
      <c r="E81" s="45" t="s">
        <v>28</v>
      </c>
      <c r="F81" s="45" t="s">
        <v>87</v>
      </c>
      <c r="G81" s="45" t="s">
        <v>86</v>
      </c>
      <c r="H81" s="45" t="s">
        <v>69</v>
      </c>
      <c r="I81" s="45" t="s">
        <v>57</v>
      </c>
      <c r="J81" s="45" t="s">
        <v>41</v>
      </c>
      <c r="K81" s="45" t="s">
        <v>128</v>
      </c>
      <c r="L81" s="45" t="s">
        <v>139</v>
      </c>
      <c r="M81" s="45" t="s">
        <v>89</v>
      </c>
      <c r="N81" s="45" t="s">
        <v>85</v>
      </c>
      <c r="O81" s="45" t="s">
        <v>85</v>
      </c>
      <c r="P81" s="45" t="s">
        <v>151</v>
      </c>
      <c r="Q81" s="45" t="s">
        <v>151</v>
      </c>
      <c r="R81" s="45" t="s">
        <v>137</v>
      </c>
      <c r="S81" s="45" t="s">
        <v>86</v>
      </c>
      <c r="T81" s="45" t="s">
        <v>28</v>
      </c>
      <c r="U81" s="45" t="s">
        <v>85</v>
      </c>
      <c r="V81" s="45" t="s">
        <v>137</v>
      </c>
      <c r="W81" s="45" t="s">
        <v>151</v>
      </c>
      <c r="X81" s="45" t="s">
        <v>129</v>
      </c>
      <c r="Y81" s="45" t="s">
        <v>150</v>
      </c>
      <c r="Z81" s="45" t="s">
        <v>151</v>
      </c>
      <c r="AA81" s="45" t="s">
        <v>62</v>
      </c>
      <c r="AB81" s="45" t="s">
        <v>28</v>
      </c>
      <c r="AC81" s="45" t="s">
        <v>87</v>
      </c>
      <c r="AD81" s="45" t="s">
        <v>54</v>
      </c>
      <c r="AE81" s="45" t="s">
        <v>96</v>
      </c>
      <c r="AF81" s="45" t="s">
        <v>139</v>
      </c>
      <c r="AG81" s="45" t="s">
        <v>41</v>
      </c>
      <c r="AH81" s="45" t="s">
        <v>63</v>
      </c>
      <c r="AI81" s="45" t="s">
        <v>40</v>
      </c>
      <c r="AJ81" s="45" t="s">
        <v>91</v>
      </c>
      <c r="AK81" s="45" t="s">
        <v>129</v>
      </c>
      <c r="AL81" s="45" t="s">
        <v>87</v>
      </c>
      <c r="AM81" s="45" t="s">
        <v>87</v>
      </c>
      <c r="AN81" s="45" t="s">
        <v>13</v>
      </c>
      <c r="AO81" s="45" t="s">
        <v>58</v>
      </c>
      <c r="AP81" s="45" t="s">
        <v>150</v>
      </c>
      <c r="AQ81" s="45" t="s">
        <v>66</v>
      </c>
      <c r="AR81" s="45" t="s">
        <v>126</v>
      </c>
      <c r="AS81" s="45" t="s">
        <v>63</v>
      </c>
      <c r="AT81" s="45" t="s">
        <v>63</v>
      </c>
      <c r="AU81" s="45" t="s">
        <v>13</v>
      </c>
      <c r="AV81" s="45" t="s">
        <v>40</v>
      </c>
      <c r="AW81" s="45" t="s">
        <v>78</v>
      </c>
      <c r="AX81" s="45" t="s">
        <v>29</v>
      </c>
      <c r="AY81" s="45" t="s">
        <v>44</v>
      </c>
      <c r="AZ81" s="45" t="s">
        <v>55</v>
      </c>
      <c r="BA81" s="45" t="s">
        <v>126</v>
      </c>
      <c r="BB81" s="45" t="s">
        <v>96</v>
      </c>
      <c r="BC81" s="45" t="s">
        <v>129</v>
      </c>
      <c r="BD81" s="45" t="s">
        <v>101</v>
      </c>
      <c r="BE81" s="45" t="s">
        <v>144</v>
      </c>
      <c r="BF81" s="45" t="s">
        <v>64</v>
      </c>
      <c r="BG81" s="45" t="s">
        <v>64</v>
      </c>
      <c r="BH81" s="45" t="s">
        <v>33</v>
      </c>
      <c r="BI81" s="45" t="s">
        <v>64</v>
      </c>
      <c r="BJ81" s="45" t="s">
        <v>96</v>
      </c>
      <c r="BK81" s="45" t="s">
        <v>120</v>
      </c>
      <c r="BL81" s="45" t="s">
        <v>89</v>
      </c>
      <c r="BM81" s="45" t="s">
        <v>62</v>
      </c>
      <c r="BN81" s="45" t="s">
        <v>116</v>
      </c>
      <c r="BO81" s="45" t="s">
        <v>55</v>
      </c>
      <c r="BP81" s="45" t="s">
        <v>48</v>
      </c>
      <c r="BQ81" s="45" t="s">
        <v>94</v>
      </c>
      <c r="BR81" s="45" t="s">
        <v>142</v>
      </c>
      <c r="BS81" s="45" t="s">
        <v>84</v>
      </c>
      <c r="BT81" s="45" t="s">
        <v>126</v>
      </c>
      <c r="BU81" s="45" t="s">
        <v>94</v>
      </c>
      <c r="BV81" s="45" t="s">
        <v>147</v>
      </c>
      <c r="BW81" s="45" t="s">
        <v>111</v>
      </c>
      <c r="BX81" s="45" t="s">
        <v>129</v>
      </c>
      <c r="BY81" s="45" t="s">
        <v>55</v>
      </c>
      <c r="BZ81" s="45" t="s">
        <v>55</v>
      </c>
      <c r="CA81" s="45" t="s">
        <v>43</v>
      </c>
      <c r="CB81" s="45" t="s">
        <v>43</v>
      </c>
      <c r="CC81" s="45" t="s">
        <v>101</v>
      </c>
      <c r="CD81" s="45" t="s">
        <v>54</v>
      </c>
      <c r="CE81" s="45" t="s">
        <v>94</v>
      </c>
      <c r="CF81" s="45" t="s">
        <v>66</v>
      </c>
      <c r="CG81" s="45" t="s">
        <v>57</v>
      </c>
      <c r="CH81" s="45" t="s">
        <v>108</v>
      </c>
      <c r="CI81" s="45" t="s">
        <v>104</v>
      </c>
      <c r="CJ81" s="45" t="s">
        <v>47</v>
      </c>
      <c r="CK81" s="45" t="s">
        <v>143</v>
      </c>
      <c r="CL81" s="45" t="s">
        <v>58</v>
      </c>
      <c r="CM81" s="45" t="s">
        <v>48</v>
      </c>
      <c r="CN81" s="45" t="s">
        <v>128</v>
      </c>
      <c r="CO81" s="45" t="s">
        <v>22</v>
      </c>
      <c r="CP81" s="45" t="s">
        <v>96</v>
      </c>
      <c r="CQ81" s="45" t="s">
        <v>36</v>
      </c>
      <c r="CR81" s="45" t="s">
        <v>43</v>
      </c>
      <c r="CS81" s="45" t="s">
        <v>43</v>
      </c>
      <c r="CT81" s="45" t="s">
        <v>41</v>
      </c>
      <c r="CU81" s="45" t="s">
        <v>41</v>
      </c>
      <c r="CV81" s="45" t="s">
        <v>89</v>
      </c>
      <c r="CW81" s="45" t="s">
        <v>26</v>
      </c>
      <c r="CX81" s="45" t="s">
        <v>31</v>
      </c>
      <c r="CY81" s="45" t="s">
        <v>108</v>
      </c>
      <c r="CZ81" s="45" t="s">
        <v>25</v>
      </c>
      <c r="DA81" s="45" t="s">
        <v>25</v>
      </c>
      <c r="DB81" s="45" t="s">
        <v>54</v>
      </c>
      <c r="DC81" s="45" t="s">
        <v>147</v>
      </c>
      <c r="DD81" s="45" t="s">
        <v>94</v>
      </c>
      <c r="DE81" s="45" t="s">
        <v>120</v>
      </c>
      <c r="DF81" s="45" t="s">
        <v>143</v>
      </c>
      <c r="DG81" s="45" t="s">
        <v>44</v>
      </c>
      <c r="DH81" s="45" t="s">
        <v>13</v>
      </c>
      <c r="DI81" s="45" t="s">
        <v>120</v>
      </c>
      <c r="DJ81" s="45" t="s">
        <v>25</v>
      </c>
      <c r="DK81" s="45" t="s">
        <v>36</v>
      </c>
      <c r="DL81" s="45" t="s">
        <v>44</v>
      </c>
      <c r="DM81" s="45" t="s">
        <v>142</v>
      </c>
      <c r="DN81" s="45" t="s">
        <v>46</v>
      </c>
      <c r="DO81" s="45" t="s">
        <v>33</v>
      </c>
      <c r="DP81" s="45" t="s">
        <v>142</v>
      </c>
      <c r="DQ81" s="45" t="s">
        <v>12</v>
      </c>
      <c r="DR81" s="45" t="s">
        <v>143</v>
      </c>
      <c r="DS81" s="45" t="s">
        <v>145</v>
      </c>
      <c r="DT81" s="45" t="s">
        <v>25</v>
      </c>
      <c r="DU81" s="45" t="s">
        <v>29</v>
      </c>
      <c r="DV81" s="45" t="s">
        <v>120</v>
      </c>
      <c r="DW81" s="45" t="s">
        <v>120</v>
      </c>
      <c r="DX81" s="45" t="s">
        <v>77</v>
      </c>
      <c r="DY81" s="45" t="s">
        <v>77</v>
      </c>
      <c r="DZ81" s="45" t="s">
        <v>143</v>
      </c>
      <c r="EA81" s="45" t="s">
        <v>84</v>
      </c>
      <c r="EB81" s="45" t="s">
        <v>143</v>
      </c>
      <c r="EC81" s="45" t="s">
        <v>58</v>
      </c>
      <c r="ED81" s="45" t="s">
        <v>26</v>
      </c>
      <c r="EE81" s="45" t="s">
        <v>77</v>
      </c>
      <c r="EF81" s="45" t="s">
        <v>77</v>
      </c>
      <c r="EG81" s="45" t="s">
        <v>77</v>
      </c>
      <c r="EH81" s="45" t="s">
        <v>26</v>
      </c>
      <c r="EI81" s="45" t="s">
        <v>26</v>
      </c>
      <c r="EJ81" s="45" t="s">
        <v>26</v>
      </c>
    </row>
    <row r="82" customFormat="false" ht="15.75" hidden="false" customHeight="false" outlineLevel="0" collapsed="false">
      <c r="A82" s="249" t="n">
        <v>67</v>
      </c>
      <c r="B82" s="250" t="s">
        <v>43</v>
      </c>
      <c r="C82" s="45" t="s">
        <v>150</v>
      </c>
      <c r="D82" s="45" t="s">
        <v>128</v>
      </c>
      <c r="E82" s="45" t="s">
        <v>111</v>
      </c>
      <c r="F82" s="45" t="s">
        <v>129</v>
      </c>
      <c r="G82" s="45" t="s">
        <v>129</v>
      </c>
      <c r="H82" s="45" t="s">
        <v>64</v>
      </c>
      <c r="I82" s="45" t="s">
        <v>129</v>
      </c>
      <c r="J82" s="45" t="s">
        <v>144</v>
      </c>
      <c r="K82" s="45" t="s">
        <v>54</v>
      </c>
      <c r="L82" s="45" t="s">
        <v>96</v>
      </c>
      <c r="M82" s="45" t="s">
        <v>143</v>
      </c>
      <c r="N82" s="45" t="s">
        <v>96</v>
      </c>
      <c r="O82" s="45" t="s">
        <v>96</v>
      </c>
      <c r="P82" s="45" t="s">
        <v>66</v>
      </c>
      <c r="Q82" s="45" t="s">
        <v>66</v>
      </c>
      <c r="R82" s="45" t="s">
        <v>101</v>
      </c>
      <c r="S82" s="45" t="s">
        <v>91</v>
      </c>
      <c r="T82" s="45" t="s">
        <v>150</v>
      </c>
      <c r="U82" s="45" t="s">
        <v>96</v>
      </c>
      <c r="V82" s="45" t="s">
        <v>128</v>
      </c>
      <c r="W82" s="45" t="s">
        <v>66</v>
      </c>
      <c r="X82" s="45" t="s">
        <v>147</v>
      </c>
      <c r="Y82" s="45" t="s">
        <v>126</v>
      </c>
      <c r="Z82" s="45" t="s">
        <v>63</v>
      </c>
      <c r="AA82" s="45" t="s">
        <v>22</v>
      </c>
      <c r="AB82" s="45" t="s">
        <v>150</v>
      </c>
      <c r="AC82" s="45" t="s">
        <v>101</v>
      </c>
      <c r="AD82" s="45" t="s">
        <v>29</v>
      </c>
      <c r="AE82" s="45" t="s">
        <v>94</v>
      </c>
      <c r="AF82" s="45" t="s">
        <v>64</v>
      </c>
      <c r="AG82" s="45" t="s">
        <v>46</v>
      </c>
      <c r="AH82" s="45" t="s">
        <v>121</v>
      </c>
      <c r="AI82" s="45" t="s">
        <v>64</v>
      </c>
      <c r="AJ82" s="45" t="s">
        <v>55</v>
      </c>
      <c r="AK82" s="45" t="s">
        <v>55</v>
      </c>
      <c r="AL82" s="45" t="s">
        <v>129</v>
      </c>
      <c r="AM82" s="45" t="s">
        <v>129</v>
      </c>
      <c r="AN82" s="45" t="s">
        <v>26</v>
      </c>
      <c r="AO82" s="45" t="s">
        <v>26</v>
      </c>
      <c r="AP82" s="45" t="s">
        <v>126</v>
      </c>
      <c r="AQ82" s="45" t="s">
        <v>104</v>
      </c>
      <c r="AR82" s="45" t="s">
        <v>34</v>
      </c>
      <c r="AS82" s="45" t="s">
        <v>104</v>
      </c>
      <c r="AT82" s="45" t="s">
        <v>121</v>
      </c>
      <c r="AU82" s="45" t="s">
        <v>26</v>
      </c>
      <c r="AV82" s="45" t="s">
        <v>33</v>
      </c>
      <c r="AW82" s="45" t="s">
        <v>25</v>
      </c>
      <c r="AX82" s="45" t="s">
        <v>25</v>
      </c>
      <c r="AY82" s="45" t="s">
        <v>143</v>
      </c>
      <c r="AZ82" s="45" t="s">
        <v>44</v>
      </c>
      <c r="BA82" s="45" t="s">
        <v>34</v>
      </c>
      <c r="BB82" s="45" t="s">
        <v>94</v>
      </c>
      <c r="BC82" s="45" t="s">
        <v>55</v>
      </c>
      <c r="BD82" s="45" t="s">
        <v>147</v>
      </c>
      <c r="BE82" s="45" t="s">
        <v>47</v>
      </c>
      <c r="BF82" s="45" t="s">
        <v>95</v>
      </c>
      <c r="BG82" s="45" t="s">
        <v>31</v>
      </c>
      <c r="BH82" s="45" t="s">
        <v>48</v>
      </c>
      <c r="BI82" s="45" t="s">
        <v>94</v>
      </c>
      <c r="BJ82" s="45" t="s">
        <v>94</v>
      </c>
      <c r="BK82" s="45" t="s">
        <v>77</v>
      </c>
      <c r="BL82" s="45" t="s">
        <v>143</v>
      </c>
      <c r="BM82" s="45" t="s">
        <v>33</v>
      </c>
      <c r="BN82" s="45" t="s">
        <v>26</v>
      </c>
      <c r="BO82" s="45" t="s">
        <v>89</v>
      </c>
      <c r="BP82" s="45" t="s">
        <v>58</v>
      </c>
      <c r="BQ82" s="45" t="s">
        <v>36</v>
      </c>
      <c r="BR82" s="45" t="s">
        <v>77</v>
      </c>
      <c r="BS82" s="45" t="s">
        <v>51</v>
      </c>
      <c r="BT82" s="45" t="s">
        <v>29</v>
      </c>
      <c r="BU82" s="45" t="s">
        <v>13</v>
      </c>
      <c r="BV82" s="45" t="s">
        <v>43</v>
      </c>
      <c r="BW82" s="45" t="s">
        <v>63</v>
      </c>
      <c r="BX82" s="45" t="s">
        <v>55</v>
      </c>
      <c r="BY82" s="45" t="s">
        <v>89</v>
      </c>
      <c r="BZ82" s="45" t="s">
        <v>89</v>
      </c>
      <c r="CA82" s="45" t="s">
        <v>25</v>
      </c>
      <c r="CB82" s="45" t="s">
        <v>84</v>
      </c>
      <c r="CC82" s="45" t="s">
        <v>54</v>
      </c>
      <c r="CD82" s="45" t="s">
        <v>43</v>
      </c>
      <c r="CE82" s="45" t="s">
        <v>36</v>
      </c>
      <c r="CF82" s="45" t="s">
        <v>47</v>
      </c>
      <c r="CG82" s="45" t="s">
        <v>129</v>
      </c>
      <c r="CH82" s="45" t="s">
        <v>142</v>
      </c>
      <c r="CI82" s="45" t="s">
        <v>120</v>
      </c>
      <c r="CJ82" s="45" t="s">
        <v>142</v>
      </c>
      <c r="CK82" s="45" t="s">
        <v>51</v>
      </c>
      <c r="CL82" s="45" t="s">
        <v>77</v>
      </c>
      <c r="CM82" s="45" t="s">
        <v>116</v>
      </c>
      <c r="CN82" s="45" t="s">
        <v>54</v>
      </c>
      <c r="CO82" s="45" t="s">
        <v>48</v>
      </c>
      <c r="CP82" s="45" t="s">
        <v>94</v>
      </c>
      <c r="CQ82" s="45" t="s">
        <v>145</v>
      </c>
      <c r="CR82" s="45" t="s">
        <v>84</v>
      </c>
      <c r="CS82" s="45" t="s">
        <v>143</v>
      </c>
      <c r="CT82" s="45" t="s">
        <v>46</v>
      </c>
      <c r="CU82" s="45" t="s">
        <v>46</v>
      </c>
      <c r="CV82" s="45" t="s">
        <v>143</v>
      </c>
      <c r="CW82" s="45" t="s">
        <v>37</v>
      </c>
      <c r="CX82" s="45" t="s">
        <v>116</v>
      </c>
      <c r="CY82" s="45" t="s">
        <v>58</v>
      </c>
      <c r="CZ82" s="45" t="s">
        <v>12</v>
      </c>
      <c r="DA82" s="45" t="s">
        <v>133</v>
      </c>
      <c r="DB82" s="45" t="s">
        <v>43</v>
      </c>
      <c r="DC82" s="45" t="s">
        <v>43</v>
      </c>
      <c r="DD82" s="45" t="s">
        <v>44</v>
      </c>
      <c r="DE82" s="45" t="s">
        <v>77</v>
      </c>
      <c r="DF82" s="45" t="s">
        <v>51</v>
      </c>
      <c r="DG82" s="45" t="s">
        <v>145</v>
      </c>
      <c r="DH82" s="45" t="s">
        <v>26</v>
      </c>
      <c r="DI82" s="45" t="s">
        <v>12</v>
      </c>
      <c r="DJ82" s="45" t="s">
        <v>12</v>
      </c>
      <c r="DK82" s="45" t="s">
        <v>145</v>
      </c>
      <c r="DL82" s="45" t="s">
        <v>145</v>
      </c>
      <c r="DM82" s="45" t="s">
        <v>77</v>
      </c>
      <c r="DN82" s="45" t="s">
        <v>48</v>
      </c>
      <c r="DO82" s="45" t="s">
        <v>31</v>
      </c>
      <c r="DP82" s="45" t="s">
        <v>77</v>
      </c>
      <c r="DQ82" s="45" t="s">
        <v>106</v>
      </c>
      <c r="DR82" s="45" t="s">
        <v>115</v>
      </c>
      <c r="DS82" s="45" t="s">
        <v>18</v>
      </c>
      <c r="DT82" s="45" t="s">
        <v>133</v>
      </c>
      <c r="DU82" s="45" t="s">
        <v>25</v>
      </c>
      <c r="DV82" s="45" t="s">
        <v>12</v>
      </c>
      <c r="DW82" s="45" t="s">
        <v>77</v>
      </c>
      <c r="DX82" s="45" t="s">
        <v>131</v>
      </c>
      <c r="DY82" s="45" t="s">
        <v>131</v>
      </c>
      <c r="DZ82" s="45" t="s">
        <v>115</v>
      </c>
      <c r="EA82" s="45" t="s">
        <v>51</v>
      </c>
      <c r="EB82" s="45" t="s">
        <v>51</v>
      </c>
      <c r="EC82" s="45" t="s">
        <v>77</v>
      </c>
      <c r="ED82" s="45" t="s">
        <v>18</v>
      </c>
      <c r="EE82" s="45" t="s">
        <v>131</v>
      </c>
      <c r="EF82" s="45" t="s">
        <v>152</v>
      </c>
      <c r="EG82" s="45" t="s">
        <v>152</v>
      </c>
      <c r="EH82" s="45" t="s">
        <v>153</v>
      </c>
      <c r="EI82" s="45" t="s">
        <v>153</v>
      </c>
      <c r="EJ82" s="45" t="s">
        <v>88</v>
      </c>
    </row>
    <row r="83" customFormat="false" ht="15.75" hidden="false" customHeight="false" outlineLevel="0" collapsed="false">
      <c r="A83" s="249" t="n">
        <v>68</v>
      </c>
      <c r="B83" s="250" t="s">
        <v>142</v>
      </c>
      <c r="C83" s="45" t="s">
        <v>96</v>
      </c>
      <c r="D83" s="45" t="s">
        <v>96</v>
      </c>
      <c r="E83" s="45" t="s">
        <v>129</v>
      </c>
      <c r="F83" s="45" t="s">
        <v>64</v>
      </c>
      <c r="G83" s="45" t="s">
        <v>33</v>
      </c>
      <c r="H83" s="45" t="s">
        <v>66</v>
      </c>
      <c r="I83" s="45" t="s">
        <v>33</v>
      </c>
      <c r="J83" s="45" t="s">
        <v>54</v>
      </c>
      <c r="K83" s="45" t="s">
        <v>94</v>
      </c>
      <c r="L83" s="45" t="s">
        <v>144</v>
      </c>
      <c r="M83" s="45" t="s">
        <v>26</v>
      </c>
      <c r="N83" s="45" t="s">
        <v>46</v>
      </c>
      <c r="O83" s="45" t="s">
        <v>46</v>
      </c>
      <c r="P83" s="45" t="s">
        <v>147</v>
      </c>
      <c r="Q83" s="45" t="s">
        <v>147</v>
      </c>
      <c r="R83" s="45" t="s">
        <v>96</v>
      </c>
      <c r="S83" s="45" t="s">
        <v>22</v>
      </c>
      <c r="T83" s="45" t="s">
        <v>91</v>
      </c>
      <c r="U83" s="45" t="s">
        <v>46</v>
      </c>
      <c r="V83" s="45" t="s">
        <v>96</v>
      </c>
      <c r="W83" s="45" t="s">
        <v>147</v>
      </c>
      <c r="X83" s="45" t="s">
        <v>95</v>
      </c>
      <c r="Y83" s="45" t="s">
        <v>94</v>
      </c>
      <c r="Z83" s="45" t="s">
        <v>55</v>
      </c>
      <c r="AA83" s="45" t="s">
        <v>126</v>
      </c>
      <c r="AB83" s="45" t="s">
        <v>96</v>
      </c>
      <c r="AC83" s="45" t="s">
        <v>64</v>
      </c>
      <c r="AD83" s="45" t="s">
        <v>44</v>
      </c>
      <c r="AE83" s="45" t="s">
        <v>108</v>
      </c>
      <c r="AF83" s="45" t="s">
        <v>66</v>
      </c>
      <c r="AG83" s="45" t="s">
        <v>126</v>
      </c>
      <c r="AH83" s="45" t="s">
        <v>89</v>
      </c>
      <c r="AI83" s="45" t="s">
        <v>63</v>
      </c>
      <c r="AJ83" s="45" t="s">
        <v>48</v>
      </c>
      <c r="AK83" s="45" t="s">
        <v>48</v>
      </c>
      <c r="AL83" s="45" t="s">
        <v>64</v>
      </c>
      <c r="AM83" s="45" t="s">
        <v>64</v>
      </c>
      <c r="AN83" s="45" t="s">
        <v>77</v>
      </c>
      <c r="AO83" s="45" t="s">
        <v>12</v>
      </c>
      <c r="AP83" s="45" t="s">
        <v>55</v>
      </c>
      <c r="AQ83" s="45" t="s">
        <v>43</v>
      </c>
      <c r="AR83" s="45" t="s">
        <v>44</v>
      </c>
      <c r="AS83" s="45" t="s">
        <v>89</v>
      </c>
      <c r="AT83" s="45" t="s">
        <v>89</v>
      </c>
      <c r="AU83" s="45" t="s">
        <v>77</v>
      </c>
      <c r="AV83" s="45" t="s">
        <v>63</v>
      </c>
      <c r="AW83" s="45" t="s">
        <v>143</v>
      </c>
      <c r="AX83" s="45" t="s">
        <v>145</v>
      </c>
      <c r="AY83" s="45" t="s">
        <v>26</v>
      </c>
      <c r="AZ83" s="45" t="s">
        <v>58</v>
      </c>
      <c r="BA83" s="45" t="s">
        <v>44</v>
      </c>
      <c r="BB83" s="45" t="s">
        <v>48</v>
      </c>
      <c r="BC83" s="45" t="s">
        <v>31</v>
      </c>
      <c r="BD83" s="45" t="s">
        <v>94</v>
      </c>
      <c r="BE83" s="45" t="s">
        <v>43</v>
      </c>
      <c r="BF83" s="45" t="s">
        <v>104</v>
      </c>
      <c r="BG83" s="45" t="s">
        <v>104</v>
      </c>
      <c r="BH83" s="45" t="s">
        <v>121</v>
      </c>
      <c r="BI83" s="45" t="s">
        <v>47</v>
      </c>
      <c r="BJ83" s="45" t="s">
        <v>108</v>
      </c>
      <c r="BK83" s="45" t="s">
        <v>51</v>
      </c>
      <c r="BL83" s="45" t="s">
        <v>26</v>
      </c>
      <c r="BM83" s="45" t="s">
        <v>63</v>
      </c>
      <c r="BN83" s="45" t="s">
        <v>12</v>
      </c>
      <c r="BO83" s="45" t="s">
        <v>116</v>
      </c>
      <c r="BP83" s="45" t="s">
        <v>25</v>
      </c>
      <c r="BQ83" s="45" t="s">
        <v>142</v>
      </c>
      <c r="BR83" s="45" t="s">
        <v>133</v>
      </c>
      <c r="BS83" s="45" t="s">
        <v>18</v>
      </c>
      <c r="BT83" s="45" t="s">
        <v>44</v>
      </c>
      <c r="BU83" s="45" t="s">
        <v>142</v>
      </c>
      <c r="BV83" s="45" t="s">
        <v>13</v>
      </c>
      <c r="BW83" s="45" t="s">
        <v>55</v>
      </c>
      <c r="BX83" s="45" t="s">
        <v>31</v>
      </c>
      <c r="BY83" s="45" t="s">
        <v>13</v>
      </c>
      <c r="BZ83" s="45" t="s">
        <v>116</v>
      </c>
      <c r="CA83" s="45" t="s">
        <v>145</v>
      </c>
      <c r="CB83" s="45" t="s">
        <v>145</v>
      </c>
      <c r="CC83" s="45" t="s">
        <v>94</v>
      </c>
      <c r="CD83" s="45" t="s">
        <v>36</v>
      </c>
      <c r="CE83" s="45" t="s">
        <v>142</v>
      </c>
      <c r="CF83" s="45" t="s">
        <v>43</v>
      </c>
      <c r="CG83" s="45" t="s">
        <v>33</v>
      </c>
      <c r="CH83" s="45" t="s">
        <v>25</v>
      </c>
      <c r="CI83" s="45" t="s">
        <v>143</v>
      </c>
      <c r="CJ83" s="45" t="s">
        <v>84</v>
      </c>
      <c r="CK83" s="45" t="s">
        <v>153</v>
      </c>
      <c r="CL83" s="45" t="s">
        <v>12</v>
      </c>
      <c r="CM83" s="45" t="s">
        <v>120</v>
      </c>
      <c r="CN83" s="45" t="s">
        <v>94</v>
      </c>
      <c r="CO83" s="45" t="s">
        <v>34</v>
      </c>
      <c r="CP83" s="45" t="s">
        <v>47</v>
      </c>
      <c r="CQ83" s="45" t="s">
        <v>77</v>
      </c>
      <c r="CR83" s="45" t="s">
        <v>26</v>
      </c>
      <c r="CS83" s="45" t="s">
        <v>26</v>
      </c>
      <c r="CT83" s="45" t="s">
        <v>54</v>
      </c>
      <c r="CU83" s="45" t="s">
        <v>54</v>
      </c>
      <c r="CV83" s="45" t="s">
        <v>26</v>
      </c>
      <c r="CW83" s="45" t="s">
        <v>131</v>
      </c>
      <c r="CX83" s="45" t="s">
        <v>120</v>
      </c>
      <c r="CY83" s="45" t="s">
        <v>25</v>
      </c>
      <c r="CZ83" s="45" t="s">
        <v>115</v>
      </c>
      <c r="DA83" s="45" t="s">
        <v>67</v>
      </c>
      <c r="DB83" s="45" t="s">
        <v>36</v>
      </c>
      <c r="DC83" s="45" t="s">
        <v>13</v>
      </c>
      <c r="DD83" s="45" t="s">
        <v>58</v>
      </c>
      <c r="DE83" s="45" t="s">
        <v>51</v>
      </c>
      <c r="DF83" s="45" t="s">
        <v>37</v>
      </c>
      <c r="DG83" s="45" t="s">
        <v>77</v>
      </c>
      <c r="DH83" s="45" t="s">
        <v>77</v>
      </c>
      <c r="DI83" s="45" t="s">
        <v>115</v>
      </c>
      <c r="DJ83" s="45" t="s">
        <v>115</v>
      </c>
      <c r="DK83" s="45" t="s">
        <v>77</v>
      </c>
      <c r="DL83" s="45" t="s">
        <v>77</v>
      </c>
      <c r="DM83" s="45" t="s">
        <v>51</v>
      </c>
      <c r="DN83" s="45" t="s">
        <v>29</v>
      </c>
      <c r="DO83" s="45" t="s">
        <v>121</v>
      </c>
      <c r="DP83" s="45" t="s">
        <v>51</v>
      </c>
      <c r="DQ83" s="45" t="s">
        <v>14</v>
      </c>
      <c r="DR83" s="45" t="s">
        <v>88</v>
      </c>
      <c r="DS83" s="45" t="s">
        <v>131</v>
      </c>
      <c r="DT83" s="45" t="s">
        <v>18</v>
      </c>
      <c r="DU83" s="45" t="s">
        <v>145</v>
      </c>
      <c r="DV83" s="45" t="s">
        <v>51</v>
      </c>
      <c r="DW83" s="45" t="s">
        <v>51</v>
      </c>
      <c r="DX83" s="45" t="s">
        <v>138</v>
      </c>
      <c r="DY83" s="45" t="s">
        <v>14</v>
      </c>
      <c r="DZ83" s="45" t="s">
        <v>153</v>
      </c>
      <c r="EA83" s="45" t="s">
        <v>18</v>
      </c>
      <c r="EB83" s="45" t="s">
        <v>153</v>
      </c>
      <c r="EC83" s="45" t="s">
        <v>133</v>
      </c>
      <c r="ED83" s="45" t="s">
        <v>131</v>
      </c>
      <c r="EE83" s="45" t="s">
        <v>138</v>
      </c>
      <c r="EF83" s="45" t="s">
        <v>110</v>
      </c>
      <c r="EG83" s="45" t="s">
        <v>138</v>
      </c>
      <c r="EH83" s="45" t="s">
        <v>106</v>
      </c>
      <c r="EI83" s="45" t="s">
        <v>110</v>
      </c>
      <c r="EJ83" s="45" t="s">
        <v>110</v>
      </c>
    </row>
    <row r="84" customFormat="false" ht="15.75" hidden="false" customHeight="false" outlineLevel="0" collapsed="false">
      <c r="A84" s="249" t="n">
        <v>69</v>
      </c>
      <c r="B84" s="250" t="s">
        <v>95</v>
      </c>
      <c r="C84" s="45" t="s">
        <v>41</v>
      </c>
      <c r="D84" s="45" t="s">
        <v>41</v>
      </c>
      <c r="E84" s="45" t="s">
        <v>62</v>
      </c>
      <c r="F84" s="45" t="s">
        <v>151</v>
      </c>
      <c r="G84" s="45" t="s">
        <v>150</v>
      </c>
      <c r="H84" s="45" t="s">
        <v>129</v>
      </c>
      <c r="I84" s="45" t="s">
        <v>111</v>
      </c>
      <c r="J84" s="45" t="s">
        <v>64</v>
      </c>
      <c r="K84" s="45" t="s">
        <v>144</v>
      </c>
      <c r="L84" s="45" t="s">
        <v>101</v>
      </c>
      <c r="M84" s="45" t="s">
        <v>120</v>
      </c>
      <c r="N84" s="45" t="s">
        <v>128</v>
      </c>
      <c r="O84" s="45" t="s">
        <v>101</v>
      </c>
      <c r="P84" s="45" t="s">
        <v>64</v>
      </c>
      <c r="Q84" s="45" t="s">
        <v>64</v>
      </c>
      <c r="R84" s="45" t="s">
        <v>151</v>
      </c>
      <c r="S84" s="45" t="s">
        <v>150</v>
      </c>
      <c r="T84" s="45" t="s">
        <v>41</v>
      </c>
      <c r="U84" s="45" t="s">
        <v>150</v>
      </c>
      <c r="V84" s="45" t="s">
        <v>151</v>
      </c>
      <c r="W84" s="45" t="s">
        <v>64</v>
      </c>
      <c r="X84" s="45" t="s">
        <v>63</v>
      </c>
      <c r="Y84" s="45" t="s">
        <v>46</v>
      </c>
      <c r="Z84" s="45" t="s">
        <v>33</v>
      </c>
      <c r="AA84" s="45" t="s">
        <v>96</v>
      </c>
      <c r="AB84" s="45" t="s">
        <v>41</v>
      </c>
      <c r="AC84" s="45" t="s">
        <v>151</v>
      </c>
      <c r="AD84" s="45" t="s">
        <v>108</v>
      </c>
      <c r="AE84" s="45" t="s">
        <v>54</v>
      </c>
      <c r="AF84" s="45" t="s">
        <v>129</v>
      </c>
      <c r="AG84" s="45" t="s">
        <v>96</v>
      </c>
      <c r="AH84" s="45" t="s">
        <v>48</v>
      </c>
      <c r="AI84" s="45" t="s">
        <v>129</v>
      </c>
      <c r="AJ84" s="45" t="s">
        <v>126</v>
      </c>
      <c r="AK84" s="45" t="s">
        <v>126</v>
      </c>
      <c r="AL84" s="45" t="s">
        <v>111</v>
      </c>
      <c r="AM84" s="45" t="s">
        <v>111</v>
      </c>
      <c r="AN84" s="45" t="s">
        <v>143</v>
      </c>
      <c r="AO84" s="45" t="s">
        <v>145</v>
      </c>
      <c r="AP84" s="45" t="s">
        <v>46</v>
      </c>
      <c r="AQ84" s="45" t="s">
        <v>31</v>
      </c>
      <c r="AR84" s="45" t="s">
        <v>48</v>
      </c>
      <c r="AS84" s="45" t="s">
        <v>31</v>
      </c>
      <c r="AT84" s="45" t="s">
        <v>48</v>
      </c>
      <c r="AU84" s="45" t="s">
        <v>143</v>
      </c>
      <c r="AV84" s="45" t="s">
        <v>129</v>
      </c>
      <c r="AW84" s="45" t="s">
        <v>58</v>
      </c>
      <c r="AX84" s="45" t="s">
        <v>58</v>
      </c>
      <c r="AY84" s="45" t="s">
        <v>25</v>
      </c>
      <c r="AZ84" s="45" t="s">
        <v>29</v>
      </c>
      <c r="BA84" s="45" t="s">
        <v>48</v>
      </c>
      <c r="BB84" s="45" t="s">
        <v>54</v>
      </c>
      <c r="BC84" s="45" t="s">
        <v>63</v>
      </c>
      <c r="BD84" s="45" t="s">
        <v>66</v>
      </c>
      <c r="BE84" s="45" t="s">
        <v>94</v>
      </c>
      <c r="BF84" s="45" t="s">
        <v>55</v>
      </c>
      <c r="BG84" s="45" t="s">
        <v>55</v>
      </c>
      <c r="BH84" s="45" t="s">
        <v>55</v>
      </c>
      <c r="BI84" s="45" t="s">
        <v>147</v>
      </c>
      <c r="BJ84" s="45" t="s">
        <v>54</v>
      </c>
      <c r="BK84" s="45" t="s">
        <v>26</v>
      </c>
      <c r="BL84" s="45" t="s">
        <v>120</v>
      </c>
      <c r="BM84" s="45" t="s">
        <v>91</v>
      </c>
      <c r="BN84" s="45" t="s">
        <v>143</v>
      </c>
      <c r="BO84" s="45" t="s">
        <v>34</v>
      </c>
      <c r="BP84" s="45" t="s">
        <v>44</v>
      </c>
      <c r="BQ84" s="45" t="s">
        <v>43</v>
      </c>
      <c r="BR84" s="45" t="s">
        <v>145</v>
      </c>
      <c r="BS84" s="45" t="s">
        <v>77</v>
      </c>
      <c r="BT84" s="45" t="s">
        <v>108</v>
      </c>
      <c r="BU84" s="45" t="s">
        <v>43</v>
      </c>
      <c r="BV84" s="45" t="s">
        <v>104</v>
      </c>
      <c r="BW84" s="45" t="s">
        <v>33</v>
      </c>
      <c r="BX84" s="45" t="s">
        <v>63</v>
      </c>
      <c r="BY84" s="45" t="s">
        <v>121</v>
      </c>
      <c r="BZ84" s="45" t="s">
        <v>121</v>
      </c>
      <c r="CA84" s="45" t="s">
        <v>142</v>
      </c>
      <c r="CB84" s="45" t="s">
        <v>142</v>
      </c>
      <c r="CC84" s="45" t="s">
        <v>66</v>
      </c>
      <c r="CD84" s="45" t="s">
        <v>47</v>
      </c>
      <c r="CE84" s="45" t="s">
        <v>43</v>
      </c>
      <c r="CF84" s="45" t="s">
        <v>95</v>
      </c>
      <c r="CG84" s="45" t="s">
        <v>111</v>
      </c>
      <c r="CH84" s="45" t="s">
        <v>36</v>
      </c>
      <c r="CI84" s="45" t="s">
        <v>116</v>
      </c>
      <c r="CJ84" s="45" t="s">
        <v>13</v>
      </c>
      <c r="CK84" s="45" t="s">
        <v>12</v>
      </c>
      <c r="CL84" s="45" t="s">
        <v>145</v>
      </c>
      <c r="CM84" s="45" t="s">
        <v>44</v>
      </c>
      <c r="CN84" s="45" t="s">
        <v>144</v>
      </c>
      <c r="CO84" s="45" t="s">
        <v>94</v>
      </c>
      <c r="CP84" s="45" t="s">
        <v>147</v>
      </c>
      <c r="CQ84" s="45" t="s">
        <v>84</v>
      </c>
      <c r="CR84" s="45" t="s">
        <v>120</v>
      </c>
      <c r="CS84" s="45" t="s">
        <v>120</v>
      </c>
      <c r="CT84" s="45" t="s">
        <v>96</v>
      </c>
      <c r="CU84" s="45" t="s">
        <v>96</v>
      </c>
      <c r="CV84" s="45" t="s">
        <v>25</v>
      </c>
      <c r="CW84" s="45" t="s">
        <v>51</v>
      </c>
      <c r="CX84" s="45" t="s">
        <v>89</v>
      </c>
      <c r="CY84" s="45" t="s">
        <v>36</v>
      </c>
      <c r="CZ84" s="45" t="s">
        <v>77</v>
      </c>
      <c r="DA84" s="45" t="s">
        <v>77</v>
      </c>
      <c r="DB84" s="45" t="s">
        <v>47</v>
      </c>
      <c r="DC84" s="45" t="s">
        <v>104</v>
      </c>
      <c r="DD84" s="45" t="s">
        <v>29</v>
      </c>
      <c r="DE84" s="45" t="s">
        <v>26</v>
      </c>
      <c r="DF84" s="45" t="s">
        <v>77</v>
      </c>
      <c r="DG84" s="45" t="s">
        <v>25</v>
      </c>
      <c r="DH84" s="45" t="s">
        <v>143</v>
      </c>
      <c r="DI84" s="45" t="s">
        <v>26</v>
      </c>
      <c r="DJ84" s="45" t="s">
        <v>77</v>
      </c>
      <c r="DK84" s="45" t="s">
        <v>84</v>
      </c>
      <c r="DL84" s="45" t="s">
        <v>25</v>
      </c>
      <c r="DM84" s="45" t="s">
        <v>26</v>
      </c>
      <c r="DN84" s="45" t="s">
        <v>94</v>
      </c>
      <c r="DO84" s="45" t="s">
        <v>55</v>
      </c>
      <c r="DP84" s="45" t="s">
        <v>26</v>
      </c>
      <c r="DQ84" s="45" t="s">
        <v>153</v>
      </c>
      <c r="DR84" s="45" t="s">
        <v>12</v>
      </c>
      <c r="DS84" s="45" t="s">
        <v>51</v>
      </c>
      <c r="DT84" s="45" t="s">
        <v>77</v>
      </c>
      <c r="DU84" s="45" t="s">
        <v>142</v>
      </c>
      <c r="DV84" s="45" t="s">
        <v>26</v>
      </c>
      <c r="DW84" s="45" t="s">
        <v>26</v>
      </c>
      <c r="DX84" s="45" t="s">
        <v>18</v>
      </c>
      <c r="DY84" s="45" t="s">
        <v>153</v>
      </c>
      <c r="DZ84" s="45" t="s">
        <v>12</v>
      </c>
      <c r="EA84" s="45" t="s">
        <v>77</v>
      </c>
      <c r="EB84" s="45" t="s">
        <v>12</v>
      </c>
      <c r="EC84" s="45" t="s">
        <v>145</v>
      </c>
      <c r="ED84" s="45" t="s">
        <v>51</v>
      </c>
      <c r="EE84" s="45" t="s">
        <v>18</v>
      </c>
      <c r="EF84" s="45" t="s">
        <v>67</v>
      </c>
      <c r="EG84" s="45" t="s">
        <v>18</v>
      </c>
      <c r="EH84" s="45" t="s">
        <v>51</v>
      </c>
      <c r="EI84" s="45" t="s">
        <v>115</v>
      </c>
      <c r="EJ84" s="45" t="s">
        <v>115</v>
      </c>
    </row>
    <row r="85" customFormat="false" ht="15.75" hidden="false" customHeight="false" outlineLevel="0" collapsed="false">
      <c r="A85" s="249" t="n">
        <v>70</v>
      </c>
      <c r="B85" s="250" t="s">
        <v>56</v>
      </c>
      <c r="C85" s="45" t="s">
        <v>93</v>
      </c>
      <c r="D85" s="45" t="s">
        <v>93</v>
      </c>
      <c r="E85" s="45" t="s">
        <v>38</v>
      </c>
      <c r="F85" s="45" t="s">
        <v>71</v>
      </c>
      <c r="G85" s="45" t="s">
        <v>56</v>
      </c>
      <c r="H85" s="45" t="s">
        <v>80</v>
      </c>
      <c r="I85" s="45" t="s">
        <v>132</v>
      </c>
      <c r="J85" s="45" t="s">
        <v>61</v>
      </c>
      <c r="K85" s="45" t="s">
        <v>57</v>
      </c>
      <c r="L85" s="45" t="s">
        <v>42</v>
      </c>
      <c r="M85" s="45" t="s">
        <v>94</v>
      </c>
      <c r="N85" s="45" t="s">
        <v>74</v>
      </c>
      <c r="O85" s="45" t="s">
        <v>42</v>
      </c>
      <c r="P85" s="45" t="s">
        <v>28</v>
      </c>
      <c r="Q85" s="45" t="s">
        <v>28</v>
      </c>
      <c r="R85" s="45" t="s">
        <v>93</v>
      </c>
      <c r="S85" s="45" t="s">
        <v>59</v>
      </c>
      <c r="T85" s="45" t="s">
        <v>148</v>
      </c>
      <c r="U85" s="45" t="s">
        <v>74</v>
      </c>
      <c r="V85" s="45" t="s">
        <v>93</v>
      </c>
      <c r="W85" s="45" t="s">
        <v>28</v>
      </c>
      <c r="X85" s="45" t="s">
        <v>86</v>
      </c>
      <c r="Y85" s="45" t="s">
        <v>87</v>
      </c>
      <c r="Z85" s="45" t="s">
        <v>125</v>
      </c>
      <c r="AA85" s="45" t="s">
        <v>114</v>
      </c>
      <c r="AB85" s="45" t="s">
        <v>148</v>
      </c>
      <c r="AC85" s="45" t="s">
        <v>71</v>
      </c>
      <c r="AD85" s="45" t="s">
        <v>129</v>
      </c>
      <c r="AE85" s="45" t="s">
        <v>40</v>
      </c>
      <c r="AF85" s="45" t="s">
        <v>80</v>
      </c>
      <c r="AG85" s="45" t="s">
        <v>141</v>
      </c>
      <c r="AH85" s="45" t="s">
        <v>150</v>
      </c>
      <c r="AI85" s="45" t="s">
        <v>80</v>
      </c>
      <c r="AJ85" s="45" t="s">
        <v>139</v>
      </c>
      <c r="AK85" s="45" t="s">
        <v>139</v>
      </c>
      <c r="AL85" s="45" t="s">
        <v>132</v>
      </c>
      <c r="AM85" s="45" t="s">
        <v>132</v>
      </c>
      <c r="AN85" s="45" t="s">
        <v>48</v>
      </c>
      <c r="AO85" s="45" t="s">
        <v>47</v>
      </c>
      <c r="AP85" s="45" t="s">
        <v>137</v>
      </c>
      <c r="AQ85" s="45" t="s">
        <v>150</v>
      </c>
      <c r="AR85" s="45" t="s">
        <v>101</v>
      </c>
      <c r="AS85" s="45" t="s">
        <v>150</v>
      </c>
      <c r="AT85" s="45" t="s">
        <v>128</v>
      </c>
      <c r="AU85" s="45" t="s">
        <v>108</v>
      </c>
      <c r="AV85" s="45" t="s">
        <v>114</v>
      </c>
      <c r="AW85" s="45" t="s">
        <v>147</v>
      </c>
      <c r="AX85" s="45" t="s">
        <v>147</v>
      </c>
      <c r="AY85" s="45" t="s">
        <v>94</v>
      </c>
      <c r="AZ85" s="45" t="s">
        <v>64</v>
      </c>
      <c r="BA85" s="45" t="s">
        <v>101</v>
      </c>
      <c r="BB85" s="45" t="s">
        <v>69</v>
      </c>
      <c r="BC85" s="45" t="s">
        <v>92</v>
      </c>
      <c r="BD85" s="45" t="s">
        <v>86</v>
      </c>
      <c r="BE85" s="45" t="s">
        <v>111</v>
      </c>
      <c r="BF85" s="45" t="s">
        <v>62</v>
      </c>
      <c r="BG85" s="45" t="s">
        <v>41</v>
      </c>
      <c r="BH85" s="45" t="s">
        <v>41</v>
      </c>
      <c r="BI85" s="45" t="s">
        <v>62</v>
      </c>
      <c r="BJ85" s="45" t="s">
        <v>69</v>
      </c>
      <c r="BK85" s="45" t="s">
        <v>34</v>
      </c>
      <c r="BL85" s="45" t="s">
        <v>94</v>
      </c>
      <c r="BM85" s="45" t="s">
        <v>114</v>
      </c>
      <c r="BN85" s="45" t="s">
        <v>108</v>
      </c>
      <c r="BO85" s="45" t="s">
        <v>96</v>
      </c>
      <c r="BP85" s="45" t="s">
        <v>66</v>
      </c>
      <c r="BQ85" s="45" t="s">
        <v>33</v>
      </c>
      <c r="BR85" s="45" t="s">
        <v>121</v>
      </c>
      <c r="BS85" s="45" t="s">
        <v>44</v>
      </c>
      <c r="BT85" s="45" t="s">
        <v>101</v>
      </c>
      <c r="BU85" s="45" t="s">
        <v>22</v>
      </c>
      <c r="BV85" s="45" t="s">
        <v>91</v>
      </c>
      <c r="BW85" s="45" t="s">
        <v>125</v>
      </c>
      <c r="BX85" s="45" t="s">
        <v>85</v>
      </c>
      <c r="BY85" s="45" t="s">
        <v>96</v>
      </c>
      <c r="BZ85" s="45" t="s">
        <v>96</v>
      </c>
      <c r="CA85" s="45" t="s">
        <v>55</v>
      </c>
      <c r="CB85" s="45" t="s">
        <v>55</v>
      </c>
      <c r="CC85" s="45" t="s">
        <v>57</v>
      </c>
      <c r="CD85" s="45" t="s">
        <v>129</v>
      </c>
      <c r="CE85" s="45" t="s">
        <v>33</v>
      </c>
      <c r="CF85" s="45" t="s">
        <v>111</v>
      </c>
      <c r="CG85" s="45" t="s">
        <v>56</v>
      </c>
      <c r="CH85" s="45" t="s">
        <v>63</v>
      </c>
      <c r="CI85" s="45" t="s">
        <v>54</v>
      </c>
      <c r="CJ85" s="45" t="s">
        <v>126</v>
      </c>
      <c r="CK85" s="45" t="s">
        <v>44</v>
      </c>
      <c r="CL85" s="45" t="s">
        <v>47</v>
      </c>
      <c r="CM85" s="45" t="s">
        <v>144</v>
      </c>
      <c r="CN85" s="45" t="s">
        <v>57</v>
      </c>
      <c r="CO85" s="45" t="s">
        <v>151</v>
      </c>
      <c r="CP85" s="45" t="s">
        <v>40</v>
      </c>
      <c r="CQ85" s="45" t="s">
        <v>31</v>
      </c>
      <c r="CR85" s="45" t="s">
        <v>55</v>
      </c>
      <c r="CS85" s="45" t="s">
        <v>55</v>
      </c>
      <c r="CT85" s="45" t="s">
        <v>61</v>
      </c>
      <c r="CU85" s="45" t="s">
        <v>141</v>
      </c>
      <c r="CV85" s="45" t="s">
        <v>94</v>
      </c>
      <c r="CW85" s="45" t="s">
        <v>58</v>
      </c>
      <c r="CX85" s="45" t="s">
        <v>46</v>
      </c>
      <c r="CY85" s="45" t="s">
        <v>66</v>
      </c>
      <c r="CZ85" s="45" t="s">
        <v>43</v>
      </c>
      <c r="DA85" s="45" t="s">
        <v>89</v>
      </c>
      <c r="DB85" s="45" t="s">
        <v>129</v>
      </c>
      <c r="DC85" s="45" t="s">
        <v>91</v>
      </c>
      <c r="DD85" s="45" t="s">
        <v>64</v>
      </c>
      <c r="DE85" s="45" t="s">
        <v>29</v>
      </c>
      <c r="DF85" s="45" t="s">
        <v>44</v>
      </c>
      <c r="DG85" s="45" t="s">
        <v>95</v>
      </c>
      <c r="DH85" s="45" t="s">
        <v>48</v>
      </c>
      <c r="DI85" s="45" t="s">
        <v>43</v>
      </c>
      <c r="DJ85" s="45" t="s">
        <v>43</v>
      </c>
      <c r="DK85" s="45" t="s">
        <v>31</v>
      </c>
      <c r="DL85" s="45" t="s">
        <v>95</v>
      </c>
      <c r="DM85" s="45" t="s">
        <v>34</v>
      </c>
      <c r="DN85" s="45" t="s">
        <v>151</v>
      </c>
      <c r="DO85" s="45" t="s">
        <v>41</v>
      </c>
      <c r="DP85" s="45" t="s">
        <v>121</v>
      </c>
      <c r="DQ85" s="45" t="s">
        <v>25</v>
      </c>
      <c r="DR85" s="45" t="s">
        <v>36</v>
      </c>
      <c r="DS85" s="45" t="s">
        <v>116</v>
      </c>
      <c r="DT85" s="45" t="s">
        <v>89</v>
      </c>
      <c r="DU85" s="45" t="s">
        <v>147</v>
      </c>
      <c r="DV85" s="45" t="s">
        <v>29</v>
      </c>
      <c r="DW85" s="45" t="s">
        <v>29</v>
      </c>
      <c r="DX85" s="45" t="s">
        <v>120</v>
      </c>
      <c r="DY85" s="45" t="s">
        <v>25</v>
      </c>
      <c r="DZ85" s="45" t="s">
        <v>36</v>
      </c>
      <c r="EA85" s="45" t="s">
        <v>89</v>
      </c>
      <c r="EB85" s="45" t="s">
        <v>36</v>
      </c>
      <c r="EC85" s="45" t="s">
        <v>104</v>
      </c>
      <c r="ED85" s="45" t="s">
        <v>116</v>
      </c>
      <c r="EE85" s="45" t="s">
        <v>120</v>
      </c>
      <c r="EF85" s="45" t="s">
        <v>120</v>
      </c>
      <c r="EG85" s="45" t="s">
        <v>120</v>
      </c>
      <c r="EH85" s="45" t="s">
        <v>58</v>
      </c>
      <c r="EI85" s="45" t="s">
        <v>142</v>
      </c>
      <c r="EJ85" s="45" t="s">
        <v>142</v>
      </c>
    </row>
    <row r="86" customFormat="false" ht="15.75" hidden="false" customHeight="false" outlineLevel="0" collapsed="false">
      <c r="A86" s="249" t="n">
        <v>71</v>
      </c>
      <c r="B86" s="250" t="s">
        <v>145</v>
      </c>
      <c r="C86" s="45" t="s">
        <v>46</v>
      </c>
      <c r="D86" s="45" t="s">
        <v>46</v>
      </c>
      <c r="E86" s="45" t="s">
        <v>33</v>
      </c>
      <c r="F86" s="45" t="s">
        <v>66</v>
      </c>
      <c r="G86" s="45" t="s">
        <v>63</v>
      </c>
      <c r="H86" s="45" t="s">
        <v>147</v>
      </c>
      <c r="I86" s="45" t="s">
        <v>63</v>
      </c>
      <c r="J86" s="45" t="s">
        <v>94</v>
      </c>
      <c r="K86" s="45" t="s">
        <v>108</v>
      </c>
      <c r="L86" s="45" t="s">
        <v>54</v>
      </c>
      <c r="M86" s="45" t="s">
        <v>77</v>
      </c>
      <c r="N86" s="45" t="s">
        <v>126</v>
      </c>
      <c r="O86" s="45" t="s">
        <v>54</v>
      </c>
      <c r="P86" s="45" t="s">
        <v>94</v>
      </c>
      <c r="Q86" s="45" t="s">
        <v>94</v>
      </c>
      <c r="R86" s="45" t="s">
        <v>46</v>
      </c>
      <c r="S86" s="45" t="s">
        <v>63</v>
      </c>
      <c r="T86" s="45" t="s">
        <v>33</v>
      </c>
      <c r="U86" s="45" t="s">
        <v>126</v>
      </c>
      <c r="V86" s="45" t="s">
        <v>46</v>
      </c>
      <c r="W86" s="45" t="s">
        <v>94</v>
      </c>
      <c r="X86" s="45" t="s">
        <v>47</v>
      </c>
      <c r="Y86" s="45" t="s">
        <v>48</v>
      </c>
      <c r="Z86" s="45" t="s">
        <v>95</v>
      </c>
      <c r="AA86" s="45" t="s">
        <v>55</v>
      </c>
      <c r="AB86" s="45" t="s">
        <v>22</v>
      </c>
      <c r="AC86" s="45" t="s">
        <v>144</v>
      </c>
      <c r="AD86" s="45" t="s">
        <v>58</v>
      </c>
      <c r="AE86" s="45" t="s">
        <v>29</v>
      </c>
      <c r="AF86" s="45" t="s">
        <v>54</v>
      </c>
      <c r="AG86" s="45" t="s">
        <v>55</v>
      </c>
      <c r="AH86" s="45" t="s">
        <v>13</v>
      </c>
      <c r="AI86" s="45" t="s">
        <v>147</v>
      </c>
      <c r="AJ86" s="45" t="s">
        <v>121</v>
      </c>
      <c r="AK86" s="45" t="s">
        <v>121</v>
      </c>
      <c r="AL86" s="45" t="s">
        <v>66</v>
      </c>
      <c r="AM86" s="45" t="s">
        <v>66</v>
      </c>
      <c r="AN86" s="45" t="s">
        <v>51</v>
      </c>
      <c r="AO86" s="45" t="s">
        <v>115</v>
      </c>
      <c r="AP86" s="45" t="s">
        <v>48</v>
      </c>
      <c r="AQ86" s="45" t="s">
        <v>13</v>
      </c>
      <c r="AR86" s="45" t="s">
        <v>116</v>
      </c>
      <c r="AS86" s="45" t="s">
        <v>13</v>
      </c>
      <c r="AT86" s="45" t="s">
        <v>116</v>
      </c>
      <c r="AU86" s="45" t="s">
        <v>51</v>
      </c>
      <c r="AV86" s="45" t="s">
        <v>55</v>
      </c>
      <c r="AW86" s="45" t="s">
        <v>26</v>
      </c>
      <c r="AX86" s="45" t="s">
        <v>26</v>
      </c>
      <c r="AY86" s="45" t="s">
        <v>12</v>
      </c>
      <c r="AZ86" s="45" t="s">
        <v>120</v>
      </c>
      <c r="BA86" s="45" t="s">
        <v>116</v>
      </c>
      <c r="BB86" s="45" t="s">
        <v>34</v>
      </c>
      <c r="BC86" s="45" t="s">
        <v>104</v>
      </c>
      <c r="BD86" s="45" t="s">
        <v>47</v>
      </c>
      <c r="BE86" s="45" t="s">
        <v>36</v>
      </c>
      <c r="BF86" s="45" t="s">
        <v>43</v>
      </c>
      <c r="BG86" s="45" t="s">
        <v>43</v>
      </c>
      <c r="BH86" s="45" t="s">
        <v>89</v>
      </c>
      <c r="BI86" s="45" t="s">
        <v>43</v>
      </c>
      <c r="BJ86" s="45" t="s">
        <v>29</v>
      </c>
      <c r="BK86" s="45" t="s">
        <v>18</v>
      </c>
      <c r="BL86" s="45" t="s">
        <v>77</v>
      </c>
      <c r="BM86" s="45" t="s">
        <v>55</v>
      </c>
      <c r="BN86" s="45" t="s">
        <v>51</v>
      </c>
      <c r="BO86" s="45" t="s">
        <v>120</v>
      </c>
      <c r="BP86" s="45" t="s">
        <v>143</v>
      </c>
      <c r="BQ86" s="45" t="s">
        <v>146</v>
      </c>
      <c r="BR86" s="45" t="s">
        <v>67</v>
      </c>
      <c r="BS86" s="45" t="s">
        <v>131</v>
      </c>
      <c r="BT86" s="45" t="s">
        <v>58</v>
      </c>
      <c r="BU86" s="45" t="s">
        <v>84</v>
      </c>
      <c r="BV86" s="45" t="s">
        <v>142</v>
      </c>
      <c r="BW86" s="45" t="s">
        <v>31</v>
      </c>
      <c r="BX86" s="45" t="s">
        <v>104</v>
      </c>
      <c r="BY86" s="45" t="s">
        <v>120</v>
      </c>
      <c r="BZ86" s="45" t="s">
        <v>120</v>
      </c>
      <c r="CA86" s="45" t="s">
        <v>77</v>
      </c>
      <c r="CB86" s="45" t="s">
        <v>77</v>
      </c>
      <c r="CC86" s="45" t="s">
        <v>108</v>
      </c>
      <c r="CD86" s="45" t="s">
        <v>142</v>
      </c>
      <c r="CE86" s="45" t="s">
        <v>25</v>
      </c>
      <c r="CF86" s="45" t="s">
        <v>36</v>
      </c>
      <c r="CG86" s="45" t="s">
        <v>63</v>
      </c>
      <c r="CH86" s="45" t="s">
        <v>145</v>
      </c>
      <c r="CI86" s="45" t="s">
        <v>26</v>
      </c>
      <c r="CJ86" s="45" t="s">
        <v>145</v>
      </c>
      <c r="CK86" s="45" t="s">
        <v>131</v>
      </c>
      <c r="CL86" s="45" t="s">
        <v>115</v>
      </c>
      <c r="CM86" s="45" t="s">
        <v>143</v>
      </c>
      <c r="CN86" s="45" t="s">
        <v>108</v>
      </c>
      <c r="CO86" s="45" t="s">
        <v>89</v>
      </c>
      <c r="CP86" s="45" t="s">
        <v>43</v>
      </c>
      <c r="CQ86" s="45" t="s">
        <v>133</v>
      </c>
      <c r="CR86" s="45" t="s">
        <v>77</v>
      </c>
      <c r="CS86" s="45" t="s">
        <v>77</v>
      </c>
      <c r="CT86" s="45" t="s">
        <v>94</v>
      </c>
      <c r="CU86" s="45" t="s">
        <v>94</v>
      </c>
      <c r="CV86" s="45" t="s">
        <v>12</v>
      </c>
      <c r="CW86" s="45" t="s">
        <v>138</v>
      </c>
      <c r="CX86" s="45" t="s">
        <v>143</v>
      </c>
      <c r="CY86" s="45" t="s">
        <v>145</v>
      </c>
      <c r="CZ86" s="45" t="s">
        <v>88</v>
      </c>
      <c r="DA86" s="45" t="s">
        <v>152</v>
      </c>
      <c r="DB86" s="45" t="s">
        <v>58</v>
      </c>
      <c r="DC86" s="45" t="s">
        <v>142</v>
      </c>
      <c r="DD86" s="45" t="s">
        <v>25</v>
      </c>
      <c r="DE86" s="45" t="s">
        <v>37</v>
      </c>
      <c r="DF86" s="45" t="s">
        <v>131</v>
      </c>
      <c r="DG86" s="45" t="s">
        <v>12</v>
      </c>
      <c r="DH86" s="45" t="s">
        <v>51</v>
      </c>
      <c r="DI86" s="45" t="s">
        <v>153</v>
      </c>
      <c r="DJ86" s="45" t="s">
        <v>153</v>
      </c>
      <c r="DK86" s="45" t="s">
        <v>133</v>
      </c>
      <c r="DL86" s="45" t="s">
        <v>12</v>
      </c>
      <c r="DM86" s="45" t="s">
        <v>18</v>
      </c>
      <c r="DN86" s="45" t="s">
        <v>44</v>
      </c>
      <c r="DO86" s="45" t="s">
        <v>89</v>
      </c>
      <c r="DP86" s="45" t="s">
        <v>18</v>
      </c>
      <c r="DQ86" s="45" t="s">
        <v>50</v>
      </c>
      <c r="DR86" s="45" t="s">
        <v>110</v>
      </c>
      <c r="DS86" s="45" t="s">
        <v>138</v>
      </c>
      <c r="DT86" s="45" t="s">
        <v>152</v>
      </c>
      <c r="DU86" s="45" t="s">
        <v>53</v>
      </c>
      <c r="DV86" s="45" t="s">
        <v>153</v>
      </c>
      <c r="DW86" s="45" t="s">
        <v>37</v>
      </c>
      <c r="DX86" s="45" t="s">
        <v>117</v>
      </c>
      <c r="DY86" s="45" t="s">
        <v>149</v>
      </c>
      <c r="DZ86" s="45" t="s">
        <v>106</v>
      </c>
      <c r="EA86" s="45" t="s">
        <v>131</v>
      </c>
      <c r="EB86" s="45" t="s">
        <v>106</v>
      </c>
      <c r="EC86" s="45" t="s">
        <v>115</v>
      </c>
      <c r="ED86" s="45" t="s">
        <v>138</v>
      </c>
      <c r="EE86" s="45" t="s">
        <v>117</v>
      </c>
      <c r="EF86" s="45" t="s">
        <v>117</v>
      </c>
      <c r="EG86" s="45" t="s">
        <v>117</v>
      </c>
      <c r="EH86" s="45" t="s">
        <v>14</v>
      </c>
      <c r="EI86" s="45" t="s">
        <v>14</v>
      </c>
      <c r="EJ86" s="45" t="s">
        <v>14</v>
      </c>
    </row>
    <row r="87" customFormat="false" ht="15.75" hidden="false" customHeight="false" outlineLevel="0" collapsed="false">
      <c r="A87" s="249" t="n">
        <v>71</v>
      </c>
      <c r="B87" s="250" t="s">
        <v>146</v>
      </c>
      <c r="C87" s="45" t="s">
        <v>66</v>
      </c>
      <c r="D87" s="45" t="s">
        <v>66</v>
      </c>
      <c r="E87" s="45" t="s">
        <v>46</v>
      </c>
      <c r="F87" s="45" t="s">
        <v>63</v>
      </c>
      <c r="G87" s="45" t="s">
        <v>54</v>
      </c>
      <c r="H87" s="45" t="s">
        <v>55</v>
      </c>
      <c r="I87" s="45" t="s">
        <v>126</v>
      </c>
      <c r="J87" s="45" t="s">
        <v>31</v>
      </c>
      <c r="K87" s="45" t="s">
        <v>104</v>
      </c>
      <c r="L87" s="45" t="s">
        <v>55</v>
      </c>
      <c r="M87" s="45" t="s">
        <v>12</v>
      </c>
      <c r="N87" s="45" t="s">
        <v>147</v>
      </c>
      <c r="O87" s="45" t="s">
        <v>147</v>
      </c>
      <c r="P87" s="45" t="s">
        <v>31</v>
      </c>
      <c r="Q87" s="45" t="s">
        <v>31</v>
      </c>
      <c r="R87" s="45" t="s">
        <v>63</v>
      </c>
      <c r="S87" s="45" t="s">
        <v>54</v>
      </c>
      <c r="T87" s="45" t="s">
        <v>46</v>
      </c>
      <c r="U87" s="45" t="s">
        <v>54</v>
      </c>
      <c r="V87" s="45" t="s">
        <v>66</v>
      </c>
      <c r="W87" s="45" t="s">
        <v>48</v>
      </c>
      <c r="X87" s="45" t="s">
        <v>121</v>
      </c>
      <c r="Y87" s="45" t="s">
        <v>47</v>
      </c>
      <c r="Z87" s="45" t="s">
        <v>48</v>
      </c>
      <c r="AA87" s="45" t="s">
        <v>94</v>
      </c>
      <c r="AB87" s="45" t="s">
        <v>144</v>
      </c>
      <c r="AC87" s="45" t="s">
        <v>63</v>
      </c>
      <c r="AD87" s="45" t="s">
        <v>142</v>
      </c>
      <c r="AE87" s="45" t="s">
        <v>43</v>
      </c>
      <c r="AF87" s="45" t="s">
        <v>55</v>
      </c>
      <c r="AG87" s="45" t="s">
        <v>94</v>
      </c>
      <c r="AH87" s="45" t="s">
        <v>58</v>
      </c>
      <c r="AI87" s="45" t="s">
        <v>55</v>
      </c>
      <c r="AJ87" s="45" t="s">
        <v>43</v>
      </c>
      <c r="AK87" s="45" t="s">
        <v>29</v>
      </c>
      <c r="AL87" s="45" t="s">
        <v>126</v>
      </c>
      <c r="AM87" s="45" t="s">
        <v>126</v>
      </c>
      <c r="AN87" s="45" t="s">
        <v>115</v>
      </c>
      <c r="AO87" s="45" t="s">
        <v>18</v>
      </c>
      <c r="AP87" s="45" t="s">
        <v>108</v>
      </c>
      <c r="AQ87" s="45" t="s">
        <v>116</v>
      </c>
      <c r="AR87" s="45" t="s">
        <v>142</v>
      </c>
      <c r="AS87" s="45" t="s">
        <v>58</v>
      </c>
      <c r="AT87" s="45" t="s">
        <v>58</v>
      </c>
      <c r="AU87" s="45" t="s">
        <v>115</v>
      </c>
      <c r="AV87" s="45" t="s">
        <v>94</v>
      </c>
      <c r="AW87" s="45" t="s">
        <v>77</v>
      </c>
      <c r="AX87" s="45" t="s">
        <v>77</v>
      </c>
      <c r="AY87" s="45" t="s">
        <v>133</v>
      </c>
      <c r="AZ87" s="45" t="s">
        <v>25</v>
      </c>
      <c r="BA87" s="45" t="s">
        <v>58</v>
      </c>
      <c r="BB87" s="45" t="s">
        <v>43</v>
      </c>
      <c r="BC87" s="45" t="s">
        <v>34</v>
      </c>
      <c r="BD87" s="45" t="s">
        <v>121</v>
      </c>
      <c r="BE87" s="45" t="s">
        <v>13</v>
      </c>
      <c r="BF87" s="45" t="s">
        <v>89</v>
      </c>
      <c r="BG87" s="45" t="s">
        <v>44</v>
      </c>
      <c r="BH87" s="45" t="s">
        <v>44</v>
      </c>
      <c r="BI87" s="45" t="s">
        <v>89</v>
      </c>
      <c r="BJ87" s="45" t="s">
        <v>43</v>
      </c>
      <c r="BK87" s="45" t="s">
        <v>153</v>
      </c>
      <c r="BL87" s="45" t="s">
        <v>12</v>
      </c>
      <c r="BM87" s="45" t="s">
        <v>94</v>
      </c>
      <c r="BN87" s="45" t="s">
        <v>115</v>
      </c>
      <c r="BO87" s="45" t="s">
        <v>25</v>
      </c>
      <c r="BP87" s="45" t="s">
        <v>145</v>
      </c>
      <c r="BQ87" s="45" t="s">
        <v>143</v>
      </c>
      <c r="BR87" s="45" t="s">
        <v>37</v>
      </c>
      <c r="BS87" s="45" t="s">
        <v>106</v>
      </c>
      <c r="BT87" s="45" t="s">
        <v>142</v>
      </c>
      <c r="BU87" s="45" t="s">
        <v>143</v>
      </c>
      <c r="BV87" s="45" t="s">
        <v>120</v>
      </c>
      <c r="BW87" s="45" t="s">
        <v>48</v>
      </c>
      <c r="BX87" s="45" t="s">
        <v>29</v>
      </c>
      <c r="BY87" s="45" t="s">
        <v>25</v>
      </c>
      <c r="BZ87" s="45" t="s">
        <v>25</v>
      </c>
      <c r="CA87" s="45" t="s">
        <v>77</v>
      </c>
      <c r="CB87" s="45" t="s">
        <v>77</v>
      </c>
      <c r="CC87" s="45" t="s">
        <v>104</v>
      </c>
      <c r="CD87" s="45" t="s">
        <v>120</v>
      </c>
      <c r="CE87" s="45" t="s">
        <v>143</v>
      </c>
      <c r="CF87" s="45" t="s">
        <v>116</v>
      </c>
      <c r="CG87" s="45" t="s">
        <v>54</v>
      </c>
      <c r="CH87" s="45" t="s">
        <v>26</v>
      </c>
      <c r="CI87" s="45" t="s">
        <v>146</v>
      </c>
      <c r="CJ87" s="45" t="s">
        <v>26</v>
      </c>
      <c r="CK87" s="45" t="s">
        <v>110</v>
      </c>
      <c r="CL87" s="45" t="s">
        <v>18</v>
      </c>
      <c r="CM87" s="45" t="s">
        <v>145</v>
      </c>
      <c r="CN87" s="45" t="s">
        <v>104</v>
      </c>
      <c r="CO87" s="45" t="s">
        <v>36</v>
      </c>
      <c r="CP87" s="45" t="s">
        <v>89</v>
      </c>
      <c r="CQ87" s="45" t="s">
        <v>51</v>
      </c>
      <c r="CR87" s="45" t="s">
        <v>12</v>
      </c>
      <c r="CS87" s="45" t="s">
        <v>12</v>
      </c>
      <c r="CT87" s="45" t="s">
        <v>95</v>
      </c>
      <c r="CU87" s="45" t="s">
        <v>94</v>
      </c>
      <c r="CV87" s="45" t="s">
        <v>133</v>
      </c>
      <c r="CW87" s="45" t="s">
        <v>14</v>
      </c>
      <c r="CX87" s="45" t="s">
        <v>145</v>
      </c>
      <c r="CY87" s="45" t="s">
        <v>26</v>
      </c>
      <c r="CZ87" s="45" t="s">
        <v>131</v>
      </c>
      <c r="DA87" s="45" t="s">
        <v>131</v>
      </c>
      <c r="DB87" s="45" t="s">
        <v>120</v>
      </c>
      <c r="DC87" s="45" t="s">
        <v>120</v>
      </c>
      <c r="DD87" s="45" t="s">
        <v>84</v>
      </c>
      <c r="DE87" s="45" t="s">
        <v>88</v>
      </c>
      <c r="DF87" s="45" t="s">
        <v>110</v>
      </c>
      <c r="DG87" s="45" t="s">
        <v>51</v>
      </c>
      <c r="DH87" s="45" t="s">
        <v>51</v>
      </c>
      <c r="DI87" s="45" t="s">
        <v>152</v>
      </c>
      <c r="DJ87" s="45" t="s">
        <v>131</v>
      </c>
      <c r="DK87" s="45" t="s">
        <v>51</v>
      </c>
      <c r="DL87" s="45" t="s">
        <v>51</v>
      </c>
      <c r="DM87" s="45" t="s">
        <v>153</v>
      </c>
      <c r="DN87" s="45" t="s">
        <v>36</v>
      </c>
      <c r="DO87" s="45" t="s">
        <v>44</v>
      </c>
      <c r="DP87" s="45" t="s">
        <v>153</v>
      </c>
      <c r="DQ87" s="45" t="s">
        <v>82</v>
      </c>
      <c r="DR87" s="45" t="s">
        <v>138</v>
      </c>
      <c r="DS87" s="45" t="s">
        <v>14</v>
      </c>
      <c r="DT87" s="45" t="s">
        <v>131</v>
      </c>
      <c r="DU87" s="45" t="s">
        <v>77</v>
      </c>
      <c r="DV87" s="45" t="s">
        <v>152</v>
      </c>
      <c r="DW87" s="45" t="s">
        <v>88</v>
      </c>
      <c r="DX87" s="45" t="s">
        <v>50</v>
      </c>
      <c r="DY87" s="45" t="s">
        <v>124</v>
      </c>
      <c r="DZ87" s="45" t="s">
        <v>138</v>
      </c>
      <c r="EA87" s="45" t="s">
        <v>106</v>
      </c>
      <c r="EB87" s="45" t="s">
        <v>110</v>
      </c>
      <c r="EC87" s="45" t="s">
        <v>18</v>
      </c>
      <c r="ED87" s="45" t="s">
        <v>14</v>
      </c>
      <c r="EE87" s="45" t="s">
        <v>149</v>
      </c>
      <c r="EF87" s="45" t="s">
        <v>119</v>
      </c>
      <c r="EG87" s="45" t="s">
        <v>149</v>
      </c>
      <c r="EH87" s="45" t="s">
        <v>117</v>
      </c>
      <c r="EI87" s="45" t="s">
        <v>117</v>
      </c>
      <c r="EJ87" s="45" t="s">
        <v>117</v>
      </c>
    </row>
    <row r="88" customFormat="false" ht="15.75" hidden="false" customHeight="false" outlineLevel="0" collapsed="false">
      <c r="A88" s="249" t="n">
        <v>72</v>
      </c>
      <c r="B88" s="250" t="s">
        <v>26</v>
      </c>
      <c r="C88" s="45" t="s">
        <v>46</v>
      </c>
      <c r="D88" s="45" t="s">
        <v>144</v>
      </c>
      <c r="E88" s="45" t="s">
        <v>22</v>
      </c>
      <c r="F88" s="45" t="s">
        <v>63</v>
      </c>
      <c r="G88" s="45" t="s">
        <v>126</v>
      </c>
      <c r="H88" s="45" t="s">
        <v>55</v>
      </c>
      <c r="I88" s="45" t="s">
        <v>63</v>
      </c>
      <c r="J88" s="45" t="s">
        <v>94</v>
      </c>
      <c r="K88" s="45" t="s">
        <v>47</v>
      </c>
      <c r="L88" s="45" t="s">
        <v>147</v>
      </c>
      <c r="M88" s="45" t="s">
        <v>12</v>
      </c>
      <c r="N88" s="45" t="s">
        <v>54</v>
      </c>
      <c r="O88" s="45" t="s">
        <v>54</v>
      </c>
      <c r="P88" s="45" t="s">
        <v>95</v>
      </c>
      <c r="Q88" s="45" t="s">
        <v>95</v>
      </c>
      <c r="R88" s="45" t="s">
        <v>66</v>
      </c>
      <c r="S88" s="45" t="s">
        <v>126</v>
      </c>
      <c r="T88" s="45" t="s">
        <v>46</v>
      </c>
      <c r="U88" s="45" t="s">
        <v>54</v>
      </c>
      <c r="V88" s="45" t="s">
        <v>144</v>
      </c>
      <c r="W88" s="45" t="s">
        <v>31</v>
      </c>
      <c r="X88" s="45" t="s">
        <v>104</v>
      </c>
      <c r="Y88" s="45" t="s">
        <v>108</v>
      </c>
      <c r="Z88" s="45" t="s">
        <v>31</v>
      </c>
      <c r="AA88" s="45" t="s">
        <v>94</v>
      </c>
      <c r="AB88" s="45" t="s">
        <v>46</v>
      </c>
      <c r="AC88" s="45" t="s">
        <v>66</v>
      </c>
      <c r="AD88" s="45" t="s">
        <v>142</v>
      </c>
      <c r="AE88" s="45" t="s">
        <v>43</v>
      </c>
      <c r="AF88" s="45" t="s">
        <v>147</v>
      </c>
      <c r="AG88" s="45" t="s">
        <v>94</v>
      </c>
      <c r="AH88" s="45" t="s">
        <v>116</v>
      </c>
      <c r="AI88" s="45" t="s">
        <v>55</v>
      </c>
      <c r="AJ88" s="45" t="s">
        <v>29</v>
      </c>
      <c r="AK88" s="45" t="s">
        <v>34</v>
      </c>
      <c r="AL88" s="45" t="s">
        <v>63</v>
      </c>
      <c r="AM88" s="45" t="s">
        <v>63</v>
      </c>
      <c r="AN88" s="45" t="s">
        <v>51</v>
      </c>
      <c r="AO88" s="45" t="s">
        <v>115</v>
      </c>
      <c r="AP88" s="45" t="s">
        <v>48</v>
      </c>
      <c r="AQ88" s="45" t="s">
        <v>13</v>
      </c>
      <c r="AR88" s="45" t="s">
        <v>58</v>
      </c>
      <c r="AS88" s="45" t="s">
        <v>116</v>
      </c>
      <c r="AT88" s="45" t="s">
        <v>58</v>
      </c>
      <c r="AU88" s="45" t="s">
        <v>51</v>
      </c>
      <c r="AV88" s="45" t="s">
        <v>55</v>
      </c>
      <c r="AW88" s="45" t="s">
        <v>77</v>
      </c>
      <c r="AX88" s="45" t="s">
        <v>77</v>
      </c>
      <c r="AY88" s="45" t="s">
        <v>12</v>
      </c>
      <c r="AZ88" s="45" t="s">
        <v>25</v>
      </c>
      <c r="BA88" s="45" t="s">
        <v>58</v>
      </c>
      <c r="BB88" s="45" t="s">
        <v>29</v>
      </c>
      <c r="BC88" s="45" t="s">
        <v>121</v>
      </c>
      <c r="BD88" s="45" t="s">
        <v>104</v>
      </c>
      <c r="BE88" s="45" t="s">
        <v>13</v>
      </c>
      <c r="BF88" s="45" t="s">
        <v>89</v>
      </c>
      <c r="BG88" s="45" t="s">
        <v>89</v>
      </c>
      <c r="BH88" s="45" t="s">
        <v>44</v>
      </c>
      <c r="BI88" s="45" t="s">
        <v>43</v>
      </c>
      <c r="BJ88" s="45" t="s">
        <v>43</v>
      </c>
      <c r="BK88" s="45" t="s">
        <v>153</v>
      </c>
      <c r="BL88" s="45" t="s">
        <v>12</v>
      </c>
      <c r="BM88" s="45" t="s">
        <v>55</v>
      </c>
      <c r="BN88" s="45" t="s">
        <v>115</v>
      </c>
      <c r="BO88" s="45" t="s">
        <v>25</v>
      </c>
      <c r="BP88" s="45" t="s">
        <v>145</v>
      </c>
      <c r="BQ88" s="45" t="s">
        <v>84</v>
      </c>
      <c r="BR88" s="45" t="s">
        <v>18</v>
      </c>
      <c r="BS88" s="45" t="s">
        <v>131</v>
      </c>
      <c r="BT88" s="45" t="s">
        <v>58</v>
      </c>
      <c r="BU88" s="45" t="s">
        <v>143</v>
      </c>
      <c r="BV88" s="45" t="s">
        <v>120</v>
      </c>
      <c r="BW88" s="45" t="s">
        <v>48</v>
      </c>
      <c r="BX88" s="45" t="s">
        <v>121</v>
      </c>
      <c r="BY88" s="45" t="s">
        <v>120</v>
      </c>
      <c r="BZ88" s="45" t="s">
        <v>120</v>
      </c>
      <c r="CA88" s="45" t="s">
        <v>77</v>
      </c>
      <c r="CB88" s="45" t="s">
        <v>77</v>
      </c>
      <c r="CC88" s="45" t="s">
        <v>47</v>
      </c>
      <c r="CD88" s="45" t="s">
        <v>142</v>
      </c>
      <c r="CE88" s="45" t="s">
        <v>84</v>
      </c>
      <c r="CF88" s="45" t="s">
        <v>13</v>
      </c>
      <c r="CG88" s="45" t="s">
        <v>126</v>
      </c>
      <c r="CH88" s="45" t="s">
        <v>145</v>
      </c>
      <c r="CI88" s="45" t="s">
        <v>26</v>
      </c>
      <c r="CJ88" s="45" t="s">
        <v>26</v>
      </c>
      <c r="CK88" s="45" t="s">
        <v>106</v>
      </c>
      <c r="CL88" s="45" t="s">
        <v>67</v>
      </c>
      <c r="CM88" s="45" t="s">
        <v>143</v>
      </c>
      <c r="CN88" s="45" t="s">
        <v>47</v>
      </c>
      <c r="CO88" s="45" t="s">
        <v>44</v>
      </c>
      <c r="CP88" s="45" t="s">
        <v>43</v>
      </c>
      <c r="CQ88" s="45" t="s">
        <v>51</v>
      </c>
      <c r="CR88" s="45" t="s">
        <v>77</v>
      </c>
      <c r="CS88" s="45" t="s">
        <v>77</v>
      </c>
      <c r="CT88" s="45" t="s">
        <v>94</v>
      </c>
      <c r="CU88" s="45" t="s">
        <v>94</v>
      </c>
      <c r="CV88" s="45" t="s">
        <v>12</v>
      </c>
      <c r="CW88" s="45" t="s">
        <v>14</v>
      </c>
      <c r="CX88" s="45" t="s">
        <v>143</v>
      </c>
      <c r="CY88" s="45" t="s">
        <v>145</v>
      </c>
      <c r="CZ88" s="45" t="s">
        <v>152</v>
      </c>
      <c r="DA88" s="45" t="s">
        <v>131</v>
      </c>
      <c r="DB88" s="45" t="s">
        <v>142</v>
      </c>
      <c r="DC88" s="45" t="s">
        <v>120</v>
      </c>
      <c r="DD88" s="45" t="s">
        <v>25</v>
      </c>
      <c r="DE88" s="45" t="s">
        <v>153</v>
      </c>
      <c r="DF88" s="45" t="s">
        <v>106</v>
      </c>
      <c r="DG88" s="45" t="s">
        <v>133</v>
      </c>
      <c r="DH88" s="45" t="s">
        <v>51</v>
      </c>
      <c r="DI88" s="45" t="s">
        <v>88</v>
      </c>
      <c r="DJ88" s="45" t="s">
        <v>152</v>
      </c>
      <c r="DK88" s="45" t="s">
        <v>51</v>
      </c>
      <c r="DL88" s="45" t="s">
        <v>133</v>
      </c>
      <c r="DM88" s="45" t="s">
        <v>37</v>
      </c>
      <c r="DN88" s="45" t="s">
        <v>44</v>
      </c>
      <c r="DO88" s="45" t="s">
        <v>89</v>
      </c>
      <c r="DP88" s="45" t="s">
        <v>18</v>
      </c>
      <c r="DQ88" s="45" t="s">
        <v>124</v>
      </c>
      <c r="DR88" s="45" t="s">
        <v>110</v>
      </c>
      <c r="DS88" s="45" t="s">
        <v>138</v>
      </c>
      <c r="DT88" s="45" t="s">
        <v>131</v>
      </c>
      <c r="DU88" s="45" t="s">
        <v>77</v>
      </c>
      <c r="DV88" s="45" t="s">
        <v>153</v>
      </c>
      <c r="DW88" s="45" t="s">
        <v>153</v>
      </c>
      <c r="DX88" s="45" t="s">
        <v>149</v>
      </c>
      <c r="DY88" s="45" t="s">
        <v>50</v>
      </c>
      <c r="DZ88" s="45" t="s">
        <v>110</v>
      </c>
      <c r="EA88" s="45" t="s">
        <v>131</v>
      </c>
      <c r="EB88" s="45" t="s">
        <v>110</v>
      </c>
      <c r="EC88" s="45" t="s">
        <v>18</v>
      </c>
      <c r="ED88" s="45" t="s">
        <v>14</v>
      </c>
      <c r="EE88" s="45" t="s">
        <v>119</v>
      </c>
      <c r="EF88" s="45" t="s">
        <v>117</v>
      </c>
      <c r="EG88" s="45" t="s">
        <v>117</v>
      </c>
      <c r="EH88" s="45" t="s">
        <v>14</v>
      </c>
      <c r="EI88" s="45" t="s">
        <v>117</v>
      </c>
      <c r="EJ88" s="45" t="s">
        <v>117</v>
      </c>
    </row>
    <row r="89" customFormat="false" ht="15.75" hidden="false" customHeight="false" outlineLevel="0" collapsed="false">
      <c r="A89" s="249" t="n">
        <v>73</v>
      </c>
      <c r="B89" s="250" t="s">
        <v>20</v>
      </c>
      <c r="C89" s="45" t="s">
        <v>43</v>
      </c>
      <c r="D89" s="45" t="s">
        <v>43</v>
      </c>
      <c r="E89" s="45" t="s">
        <v>29</v>
      </c>
      <c r="F89" s="45" t="s">
        <v>89</v>
      </c>
      <c r="G89" s="45" t="s">
        <v>44</v>
      </c>
      <c r="H89" s="45" t="s">
        <v>116</v>
      </c>
      <c r="I89" s="45" t="s">
        <v>44</v>
      </c>
      <c r="J89" s="45" t="s">
        <v>120</v>
      </c>
      <c r="K89" s="45" t="s">
        <v>143</v>
      </c>
      <c r="L89" s="45" t="s">
        <v>13</v>
      </c>
      <c r="M89" s="45" t="s">
        <v>117</v>
      </c>
      <c r="N89" s="45" t="s">
        <v>13</v>
      </c>
      <c r="O89" s="45" t="s">
        <v>13</v>
      </c>
      <c r="P89" s="45" t="s">
        <v>120</v>
      </c>
      <c r="Q89" s="45" t="s">
        <v>120</v>
      </c>
      <c r="R89" s="45" t="s">
        <v>89</v>
      </c>
      <c r="S89" s="45" t="s">
        <v>36</v>
      </c>
      <c r="T89" s="45" t="s">
        <v>43</v>
      </c>
      <c r="U89" s="45" t="s">
        <v>36</v>
      </c>
      <c r="V89" s="45" t="s">
        <v>89</v>
      </c>
      <c r="W89" s="45" t="s">
        <v>120</v>
      </c>
      <c r="X89" s="45" t="s">
        <v>143</v>
      </c>
      <c r="Y89" s="45" t="s">
        <v>84</v>
      </c>
      <c r="Z89" s="45" t="s">
        <v>25</v>
      </c>
      <c r="AA89" s="45" t="s">
        <v>142</v>
      </c>
      <c r="AB89" s="45" t="s">
        <v>43</v>
      </c>
      <c r="AC89" s="45" t="s">
        <v>89</v>
      </c>
      <c r="AD89" s="45" t="s">
        <v>51</v>
      </c>
      <c r="AE89" s="45" t="s">
        <v>26</v>
      </c>
      <c r="AF89" s="45" t="s">
        <v>116</v>
      </c>
      <c r="AG89" s="45" t="s">
        <v>142</v>
      </c>
      <c r="AH89" s="45" t="s">
        <v>12</v>
      </c>
      <c r="AI89" s="45" t="s">
        <v>58</v>
      </c>
      <c r="AJ89" s="45" t="s">
        <v>145</v>
      </c>
      <c r="AK89" s="45" t="s">
        <v>145</v>
      </c>
      <c r="AL89" s="45" t="s">
        <v>44</v>
      </c>
      <c r="AM89" s="45" t="s">
        <v>44</v>
      </c>
      <c r="AN89" s="45" t="s">
        <v>124</v>
      </c>
      <c r="AO89" s="45" t="s">
        <v>82</v>
      </c>
      <c r="AP89" s="45" t="s">
        <v>25</v>
      </c>
      <c r="AQ89" s="45" t="s">
        <v>12</v>
      </c>
      <c r="AR89" s="45" t="s">
        <v>133</v>
      </c>
      <c r="AS89" s="45" t="s">
        <v>12</v>
      </c>
      <c r="AT89" s="45" t="s">
        <v>133</v>
      </c>
      <c r="AU89" s="45" t="s">
        <v>124</v>
      </c>
      <c r="AV89" s="45" t="s">
        <v>58</v>
      </c>
      <c r="AW89" s="45" t="s">
        <v>138</v>
      </c>
      <c r="AX89" s="45" t="s">
        <v>138</v>
      </c>
      <c r="AY89" s="45" t="s">
        <v>117</v>
      </c>
      <c r="AZ89" s="45" t="s">
        <v>18</v>
      </c>
      <c r="BA89" s="45" t="s">
        <v>133</v>
      </c>
      <c r="BB89" s="45" t="s">
        <v>145</v>
      </c>
      <c r="BC89" s="45" t="s">
        <v>143</v>
      </c>
      <c r="BD89" s="45" t="s">
        <v>143</v>
      </c>
      <c r="BE89" s="45" t="s">
        <v>77</v>
      </c>
      <c r="BF89" s="45" t="s">
        <v>26</v>
      </c>
      <c r="BG89" s="45" t="s">
        <v>26</v>
      </c>
      <c r="BH89" s="45" t="s">
        <v>77</v>
      </c>
      <c r="BI89" s="45" t="s">
        <v>26</v>
      </c>
      <c r="BJ89" s="45" t="s">
        <v>26</v>
      </c>
      <c r="BK89" s="45" t="s">
        <v>122</v>
      </c>
      <c r="BL89" s="45" t="s">
        <v>117</v>
      </c>
      <c r="BM89" s="45" t="s">
        <v>58</v>
      </c>
      <c r="BN89" s="45" t="s">
        <v>82</v>
      </c>
      <c r="BO89" s="45" t="s">
        <v>67</v>
      </c>
      <c r="BP89" s="45" t="s">
        <v>131</v>
      </c>
      <c r="BQ89" s="45" t="s">
        <v>37</v>
      </c>
      <c r="BR89" s="45" t="s">
        <v>122</v>
      </c>
      <c r="BS89" s="45" t="s">
        <v>20</v>
      </c>
      <c r="BT89" s="45" t="s">
        <v>51</v>
      </c>
      <c r="BU89" s="45" t="s">
        <v>153</v>
      </c>
      <c r="BV89" s="45" t="s">
        <v>115</v>
      </c>
      <c r="BW89" s="45" t="s">
        <v>25</v>
      </c>
      <c r="BX89" s="45" t="s">
        <v>145</v>
      </c>
      <c r="BY89" s="45" t="s">
        <v>115</v>
      </c>
      <c r="BZ89" s="45" t="s">
        <v>115</v>
      </c>
      <c r="CA89" s="45" t="s">
        <v>14</v>
      </c>
      <c r="CB89" s="45" t="s">
        <v>14</v>
      </c>
      <c r="CC89" s="45" t="s">
        <v>143</v>
      </c>
      <c r="CD89" s="45" t="s">
        <v>51</v>
      </c>
      <c r="CE89" s="45" t="s">
        <v>153</v>
      </c>
      <c r="CF89" s="45" t="s">
        <v>12</v>
      </c>
      <c r="CG89" s="45" t="s">
        <v>44</v>
      </c>
      <c r="CH89" s="45" t="s">
        <v>131</v>
      </c>
      <c r="CI89" s="45" t="s">
        <v>110</v>
      </c>
      <c r="CJ89" s="45" t="s">
        <v>106</v>
      </c>
      <c r="CK89" s="45" t="s">
        <v>20</v>
      </c>
      <c r="CL89" s="45" t="s">
        <v>99</v>
      </c>
      <c r="CM89" s="45" t="s">
        <v>152</v>
      </c>
      <c r="CN89" s="45" t="s">
        <v>143</v>
      </c>
      <c r="CO89" s="45" t="s">
        <v>77</v>
      </c>
      <c r="CP89" s="45" t="s">
        <v>26</v>
      </c>
      <c r="CQ89" s="45" t="s">
        <v>50</v>
      </c>
      <c r="CR89" s="45" t="s">
        <v>14</v>
      </c>
      <c r="CS89" s="45" t="s">
        <v>14</v>
      </c>
      <c r="CT89" s="45" t="s">
        <v>120</v>
      </c>
      <c r="CU89" s="45" t="s">
        <v>142</v>
      </c>
      <c r="CV89" s="45" t="s">
        <v>117</v>
      </c>
      <c r="CW89" s="45" t="s">
        <v>73</v>
      </c>
      <c r="CX89" s="45" t="s">
        <v>152</v>
      </c>
      <c r="CY89" s="45" t="s">
        <v>131</v>
      </c>
      <c r="CZ89" s="45" t="s">
        <v>105</v>
      </c>
      <c r="DA89" s="45" t="s">
        <v>105</v>
      </c>
      <c r="DB89" s="45" t="s">
        <v>51</v>
      </c>
      <c r="DC89" s="45" t="s">
        <v>51</v>
      </c>
      <c r="DD89" s="45" t="s">
        <v>18</v>
      </c>
      <c r="DE89" s="45" t="s">
        <v>122</v>
      </c>
      <c r="DF89" s="45" t="s">
        <v>20</v>
      </c>
      <c r="DG89" s="45" t="s">
        <v>149</v>
      </c>
      <c r="DH89" s="45" t="s">
        <v>50</v>
      </c>
      <c r="DI89" s="45" t="s">
        <v>105</v>
      </c>
      <c r="DJ89" s="45" t="s">
        <v>105</v>
      </c>
      <c r="DK89" s="45" t="s">
        <v>149</v>
      </c>
      <c r="DL89" s="45" t="s">
        <v>119</v>
      </c>
      <c r="DM89" s="45" t="s">
        <v>122</v>
      </c>
      <c r="DN89" s="45" t="s">
        <v>77</v>
      </c>
      <c r="DO89" s="45" t="s">
        <v>77</v>
      </c>
      <c r="DP89" s="45" t="s">
        <v>122</v>
      </c>
      <c r="DQ89" s="45" t="s">
        <v>39</v>
      </c>
      <c r="DR89" s="45" t="s">
        <v>20</v>
      </c>
      <c r="DS89" s="45" t="s">
        <v>73</v>
      </c>
      <c r="DT89" s="45" t="s">
        <v>20</v>
      </c>
      <c r="DU89" s="45" t="s">
        <v>138</v>
      </c>
      <c r="DV89" s="45" t="s">
        <v>105</v>
      </c>
      <c r="DW89" s="45" t="s">
        <v>105</v>
      </c>
      <c r="DX89" s="45" t="s">
        <v>39</v>
      </c>
      <c r="DY89" s="45" t="s">
        <v>39</v>
      </c>
      <c r="DZ89" s="45" t="s">
        <v>20</v>
      </c>
      <c r="EA89" s="45" t="s">
        <v>20</v>
      </c>
      <c r="EB89" s="45" t="s">
        <v>20</v>
      </c>
      <c r="EC89" s="45" t="s">
        <v>99</v>
      </c>
      <c r="ED89" s="45" t="s">
        <v>73</v>
      </c>
      <c r="EE89" s="45" t="s">
        <v>39</v>
      </c>
      <c r="EF89" s="45" t="s">
        <v>15</v>
      </c>
      <c r="EG89" s="45" t="s">
        <v>15</v>
      </c>
      <c r="EH89" s="45" t="s">
        <v>15</v>
      </c>
      <c r="EI89" s="45" t="s">
        <v>15</v>
      </c>
      <c r="EJ89" s="45" t="s">
        <v>15</v>
      </c>
    </row>
    <row r="90" customFormat="false" ht="15.75" hidden="false" customHeight="false" outlineLevel="0" collapsed="false">
      <c r="A90" s="249" t="n">
        <v>74</v>
      </c>
      <c r="B90" s="250" t="s">
        <v>14</v>
      </c>
      <c r="C90" s="45" t="s">
        <v>48</v>
      </c>
      <c r="D90" s="45" t="s">
        <v>48</v>
      </c>
      <c r="E90" s="45" t="s">
        <v>95</v>
      </c>
      <c r="F90" s="45" t="s">
        <v>108</v>
      </c>
      <c r="G90" s="45" t="s">
        <v>104</v>
      </c>
      <c r="H90" s="45" t="s">
        <v>43</v>
      </c>
      <c r="I90" s="45" t="s">
        <v>47</v>
      </c>
      <c r="J90" s="45" t="s">
        <v>44</v>
      </c>
      <c r="K90" s="45" t="s">
        <v>58</v>
      </c>
      <c r="L90" s="45" t="s">
        <v>29</v>
      </c>
      <c r="M90" s="45" t="s">
        <v>131</v>
      </c>
      <c r="N90" s="45" t="s">
        <v>121</v>
      </c>
      <c r="O90" s="45" t="s">
        <v>34</v>
      </c>
      <c r="P90" s="45" t="s">
        <v>44</v>
      </c>
      <c r="Q90" s="45" t="s">
        <v>44</v>
      </c>
      <c r="R90" s="45" t="s">
        <v>48</v>
      </c>
      <c r="S90" s="45" t="s">
        <v>104</v>
      </c>
      <c r="T90" s="45" t="s">
        <v>31</v>
      </c>
      <c r="U90" s="45" t="s">
        <v>121</v>
      </c>
      <c r="V90" s="45" t="s">
        <v>48</v>
      </c>
      <c r="W90" s="45" t="s">
        <v>36</v>
      </c>
      <c r="X90" s="45" t="s">
        <v>142</v>
      </c>
      <c r="Y90" s="45" t="s">
        <v>116</v>
      </c>
      <c r="Z90" s="45" t="s">
        <v>36</v>
      </c>
      <c r="AA90" s="45" t="s">
        <v>89</v>
      </c>
      <c r="AB90" s="45" t="s">
        <v>31</v>
      </c>
      <c r="AC90" s="45" t="s">
        <v>108</v>
      </c>
      <c r="AD90" s="45" t="s">
        <v>26</v>
      </c>
      <c r="AE90" s="45" t="s">
        <v>25</v>
      </c>
      <c r="AF90" s="45" t="s">
        <v>29</v>
      </c>
      <c r="AG90" s="45" t="s">
        <v>89</v>
      </c>
      <c r="AH90" s="45" t="s">
        <v>26</v>
      </c>
      <c r="AI90" s="45" t="s">
        <v>43</v>
      </c>
      <c r="AJ90" s="45" t="s">
        <v>120</v>
      </c>
      <c r="AK90" s="45" t="s">
        <v>120</v>
      </c>
      <c r="AL90" s="45" t="s">
        <v>47</v>
      </c>
      <c r="AM90" s="45" t="s">
        <v>47</v>
      </c>
      <c r="AN90" s="45" t="s">
        <v>138</v>
      </c>
      <c r="AO90" s="45" t="s">
        <v>14</v>
      </c>
      <c r="AP90" s="45" t="s">
        <v>13</v>
      </c>
      <c r="AQ90" s="45" t="s">
        <v>145</v>
      </c>
      <c r="AR90" s="45" t="s">
        <v>26</v>
      </c>
      <c r="AS90" s="45" t="s">
        <v>145</v>
      </c>
      <c r="AT90" s="45" t="s">
        <v>26</v>
      </c>
      <c r="AU90" s="45" t="s">
        <v>138</v>
      </c>
      <c r="AV90" s="45" t="s">
        <v>43</v>
      </c>
      <c r="AW90" s="45" t="s">
        <v>153</v>
      </c>
      <c r="AX90" s="45" t="s">
        <v>153</v>
      </c>
      <c r="AY90" s="45" t="s">
        <v>106</v>
      </c>
      <c r="AZ90" s="45" t="s">
        <v>77</v>
      </c>
      <c r="BA90" s="45" t="s">
        <v>26</v>
      </c>
      <c r="BB90" s="45" t="s">
        <v>120</v>
      </c>
      <c r="BC90" s="45" t="s">
        <v>142</v>
      </c>
      <c r="BD90" s="45" t="s">
        <v>58</v>
      </c>
      <c r="BE90" s="45" t="s">
        <v>145</v>
      </c>
      <c r="BF90" s="45" t="s">
        <v>25</v>
      </c>
      <c r="BG90" s="45" t="s">
        <v>84</v>
      </c>
      <c r="BH90" s="45" t="s">
        <v>143</v>
      </c>
      <c r="BI90" s="45" t="s">
        <v>25</v>
      </c>
      <c r="BJ90" s="45" t="s">
        <v>120</v>
      </c>
      <c r="BK90" s="45" t="s">
        <v>117</v>
      </c>
      <c r="BL90" s="45" t="s">
        <v>131</v>
      </c>
      <c r="BM90" s="45" t="s">
        <v>43</v>
      </c>
      <c r="BN90" s="45" t="s">
        <v>138</v>
      </c>
      <c r="BO90" s="45" t="s">
        <v>77</v>
      </c>
      <c r="BP90" s="45" t="s">
        <v>51</v>
      </c>
      <c r="BQ90" s="45" t="s">
        <v>12</v>
      </c>
      <c r="BR90" s="45" t="s">
        <v>117</v>
      </c>
      <c r="BS90" s="45" t="s">
        <v>82</v>
      </c>
      <c r="BT90" s="45" t="s">
        <v>26</v>
      </c>
      <c r="BU90" s="45" t="s">
        <v>133</v>
      </c>
      <c r="BV90" s="45" t="s">
        <v>77</v>
      </c>
      <c r="BW90" s="45" t="s">
        <v>13</v>
      </c>
      <c r="BX90" s="45" t="s">
        <v>142</v>
      </c>
      <c r="BY90" s="45" t="s">
        <v>77</v>
      </c>
      <c r="BZ90" s="45" t="s">
        <v>77</v>
      </c>
      <c r="CA90" s="45" t="s">
        <v>88</v>
      </c>
      <c r="CB90" s="45" t="s">
        <v>152</v>
      </c>
      <c r="CC90" s="45" t="s">
        <v>58</v>
      </c>
      <c r="CD90" s="45" t="s">
        <v>77</v>
      </c>
      <c r="CE90" s="45" t="s">
        <v>12</v>
      </c>
      <c r="CF90" s="45" t="s">
        <v>145</v>
      </c>
      <c r="CG90" s="45" t="s">
        <v>47</v>
      </c>
      <c r="CH90" s="45" t="s">
        <v>115</v>
      </c>
      <c r="CI90" s="45" t="s">
        <v>18</v>
      </c>
      <c r="CJ90" s="45" t="s">
        <v>67</v>
      </c>
      <c r="CK90" s="45" t="s">
        <v>99</v>
      </c>
      <c r="CL90" s="45" t="s">
        <v>14</v>
      </c>
      <c r="CM90" s="45" t="s">
        <v>51</v>
      </c>
      <c r="CN90" s="45" t="s">
        <v>58</v>
      </c>
      <c r="CO90" s="45" t="s">
        <v>143</v>
      </c>
      <c r="CP90" s="45" t="s">
        <v>25</v>
      </c>
      <c r="CQ90" s="45" t="s">
        <v>110</v>
      </c>
      <c r="CR90" s="45" t="s">
        <v>152</v>
      </c>
      <c r="CS90" s="45" t="s">
        <v>131</v>
      </c>
      <c r="CT90" s="45" t="s">
        <v>44</v>
      </c>
      <c r="CU90" s="45" t="s">
        <v>89</v>
      </c>
      <c r="CV90" s="45" t="s">
        <v>131</v>
      </c>
      <c r="CW90" s="45" t="s">
        <v>105</v>
      </c>
      <c r="CX90" s="45" t="s">
        <v>51</v>
      </c>
      <c r="CY90" s="45" t="s">
        <v>115</v>
      </c>
      <c r="CZ90" s="45" t="s">
        <v>50</v>
      </c>
      <c r="DA90" s="45" t="s">
        <v>124</v>
      </c>
      <c r="DB90" s="45" t="s">
        <v>26</v>
      </c>
      <c r="DC90" s="45" t="s">
        <v>77</v>
      </c>
      <c r="DD90" s="45" t="s">
        <v>12</v>
      </c>
      <c r="DE90" s="45" t="s">
        <v>119</v>
      </c>
      <c r="DF90" s="45" t="s">
        <v>82</v>
      </c>
      <c r="DG90" s="45" t="s">
        <v>110</v>
      </c>
      <c r="DH90" s="45" t="s">
        <v>138</v>
      </c>
      <c r="DI90" s="45" t="s">
        <v>149</v>
      </c>
      <c r="DJ90" s="45" t="s">
        <v>50</v>
      </c>
      <c r="DK90" s="45" t="s">
        <v>110</v>
      </c>
      <c r="DL90" s="45" t="s">
        <v>106</v>
      </c>
      <c r="DM90" s="45" t="s">
        <v>117</v>
      </c>
      <c r="DN90" s="45" t="s">
        <v>143</v>
      </c>
      <c r="DO90" s="45" t="s">
        <v>84</v>
      </c>
      <c r="DP90" s="45" t="s">
        <v>117</v>
      </c>
      <c r="DQ90" s="45" t="s">
        <v>73</v>
      </c>
      <c r="DR90" s="45" t="s">
        <v>122</v>
      </c>
      <c r="DS90" s="45" t="s">
        <v>105</v>
      </c>
      <c r="DT90" s="45" t="s">
        <v>124</v>
      </c>
      <c r="DU90" s="45" t="s">
        <v>153</v>
      </c>
      <c r="DV90" s="45" t="s">
        <v>149</v>
      </c>
      <c r="DW90" s="45" t="s">
        <v>119</v>
      </c>
      <c r="DX90" s="45" t="s">
        <v>20</v>
      </c>
      <c r="DY90" s="45" t="s">
        <v>20</v>
      </c>
      <c r="DZ90" s="45" t="s">
        <v>122</v>
      </c>
      <c r="EA90" s="45" t="s">
        <v>82</v>
      </c>
      <c r="EB90" s="45" t="s">
        <v>99</v>
      </c>
      <c r="EC90" s="45" t="s">
        <v>14</v>
      </c>
      <c r="ED90" s="45" t="s">
        <v>105</v>
      </c>
      <c r="EE90" s="45" t="s">
        <v>20</v>
      </c>
      <c r="EF90" s="45" t="s">
        <v>20</v>
      </c>
      <c r="EG90" s="45" t="s">
        <v>20</v>
      </c>
      <c r="EH90" s="45" t="s">
        <v>105</v>
      </c>
      <c r="EI90" s="45" t="s">
        <v>20</v>
      </c>
      <c r="EJ90" s="45" t="s">
        <v>20</v>
      </c>
    </row>
    <row r="91" customFormat="false" ht="15.75" hidden="false" customHeight="false" outlineLevel="0" collapsed="false">
      <c r="A91" s="249" t="n">
        <v>75</v>
      </c>
      <c r="B91" s="250" t="s">
        <v>84</v>
      </c>
      <c r="C91" s="45" t="s">
        <v>64</v>
      </c>
      <c r="D91" s="45" t="s">
        <v>33</v>
      </c>
      <c r="E91" s="45" t="s">
        <v>96</v>
      </c>
      <c r="F91" s="45" t="s">
        <v>46</v>
      </c>
      <c r="G91" s="45" t="s">
        <v>144</v>
      </c>
      <c r="H91" s="45" t="s">
        <v>126</v>
      </c>
      <c r="I91" s="45" t="s">
        <v>46</v>
      </c>
      <c r="J91" s="45" t="s">
        <v>55</v>
      </c>
      <c r="K91" s="45" t="s">
        <v>31</v>
      </c>
      <c r="L91" s="45" t="s">
        <v>63</v>
      </c>
      <c r="M91" s="45" t="s">
        <v>77</v>
      </c>
      <c r="N91" s="45" t="s">
        <v>63</v>
      </c>
      <c r="O91" s="45" t="s">
        <v>63</v>
      </c>
      <c r="P91" s="45" t="s">
        <v>55</v>
      </c>
      <c r="Q91" s="45" t="s">
        <v>55</v>
      </c>
      <c r="R91" s="45" t="s">
        <v>33</v>
      </c>
      <c r="S91" s="45" t="s">
        <v>66</v>
      </c>
      <c r="T91" s="45" t="s">
        <v>64</v>
      </c>
      <c r="U91" s="45" t="s">
        <v>66</v>
      </c>
      <c r="V91" s="45" t="s">
        <v>33</v>
      </c>
      <c r="W91" s="45" t="s">
        <v>94</v>
      </c>
      <c r="X91" s="45" t="s">
        <v>48</v>
      </c>
      <c r="Y91" s="45" t="s">
        <v>95</v>
      </c>
      <c r="Z91" s="45" t="s">
        <v>94</v>
      </c>
      <c r="AA91" s="45" t="s">
        <v>147</v>
      </c>
      <c r="AB91" s="45" t="s">
        <v>64</v>
      </c>
      <c r="AC91" s="45" t="s">
        <v>22</v>
      </c>
      <c r="AD91" s="45" t="s">
        <v>13</v>
      </c>
      <c r="AE91" s="45" t="s">
        <v>121</v>
      </c>
      <c r="AF91" s="45" t="s">
        <v>126</v>
      </c>
      <c r="AG91" s="45" t="s">
        <v>147</v>
      </c>
      <c r="AH91" s="45" t="s">
        <v>36</v>
      </c>
      <c r="AI91" s="45" t="s">
        <v>54</v>
      </c>
      <c r="AJ91" s="45" t="s">
        <v>47</v>
      </c>
      <c r="AK91" s="45" t="s">
        <v>47</v>
      </c>
      <c r="AL91" s="45" t="s">
        <v>46</v>
      </c>
      <c r="AM91" s="45" t="s">
        <v>46</v>
      </c>
      <c r="AN91" s="45" t="s">
        <v>12</v>
      </c>
      <c r="AO91" s="45" t="s">
        <v>51</v>
      </c>
      <c r="AP91" s="45" t="s">
        <v>94</v>
      </c>
      <c r="AQ91" s="45" t="s">
        <v>44</v>
      </c>
      <c r="AR91" s="45" t="s">
        <v>13</v>
      </c>
      <c r="AS91" s="45" t="s">
        <v>44</v>
      </c>
      <c r="AT91" s="45" t="s">
        <v>36</v>
      </c>
      <c r="AU91" s="45" t="s">
        <v>133</v>
      </c>
      <c r="AV91" s="45" t="s">
        <v>54</v>
      </c>
      <c r="AW91" s="45" t="s">
        <v>26</v>
      </c>
      <c r="AX91" s="45" t="s">
        <v>26</v>
      </c>
      <c r="AY91" s="45" t="s">
        <v>77</v>
      </c>
      <c r="AZ91" s="45" t="s">
        <v>142</v>
      </c>
      <c r="BA91" s="45" t="s">
        <v>36</v>
      </c>
      <c r="BB91" s="45" t="s">
        <v>104</v>
      </c>
      <c r="BC91" s="45" t="s">
        <v>108</v>
      </c>
      <c r="BD91" s="45" t="s">
        <v>48</v>
      </c>
      <c r="BE91" s="45" t="s">
        <v>89</v>
      </c>
      <c r="BF91" s="45" t="s">
        <v>29</v>
      </c>
      <c r="BG91" s="45" t="s">
        <v>29</v>
      </c>
      <c r="BH91" s="45" t="s">
        <v>43</v>
      </c>
      <c r="BI91" s="45" t="s">
        <v>34</v>
      </c>
      <c r="BJ91" s="45" t="s">
        <v>104</v>
      </c>
      <c r="BK91" s="45" t="s">
        <v>115</v>
      </c>
      <c r="BL91" s="45" t="s">
        <v>77</v>
      </c>
      <c r="BM91" s="45" t="s">
        <v>54</v>
      </c>
      <c r="BN91" s="45" t="s">
        <v>133</v>
      </c>
      <c r="BO91" s="45" t="s">
        <v>142</v>
      </c>
      <c r="BP91" s="45" t="s">
        <v>143</v>
      </c>
      <c r="BQ91" s="45" t="s">
        <v>120</v>
      </c>
      <c r="BR91" s="45" t="s">
        <v>118</v>
      </c>
      <c r="BS91" s="45" t="s">
        <v>88</v>
      </c>
      <c r="BT91" s="45" t="s">
        <v>13</v>
      </c>
      <c r="BU91" s="45" t="s">
        <v>25</v>
      </c>
      <c r="BV91" s="45" t="s">
        <v>58</v>
      </c>
      <c r="BW91" s="45" t="s">
        <v>94</v>
      </c>
      <c r="BX91" s="45" t="s">
        <v>108</v>
      </c>
      <c r="BY91" s="45" t="s">
        <v>58</v>
      </c>
      <c r="BZ91" s="45" t="s">
        <v>142</v>
      </c>
      <c r="CA91" s="45" t="s">
        <v>26</v>
      </c>
      <c r="CB91" s="45" t="s">
        <v>26</v>
      </c>
      <c r="CC91" s="45" t="s">
        <v>48</v>
      </c>
      <c r="CD91" s="45" t="s">
        <v>116</v>
      </c>
      <c r="CE91" s="45" t="s">
        <v>120</v>
      </c>
      <c r="CF91" s="45" t="s">
        <v>44</v>
      </c>
      <c r="CG91" s="45" t="s">
        <v>144</v>
      </c>
      <c r="CH91" s="45" t="s">
        <v>143</v>
      </c>
      <c r="CI91" s="45" t="s">
        <v>145</v>
      </c>
      <c r="CJ91" s="45" t="s">
        <v>143</v>
      </c>
      <c r="CK91" s="45" t="s">
        <v>152</v>
      </c>
      <c r="CL91" s="45" t="s">
        <v>51</v>
      </c>
      <c r="CM91" s="45" t="s">
        <v>84</v>
      </c>
      <c r="CN91" s="45" t="s">
        <v>31</v>
      </c>
      <c r="CO91" s="45" t="s">
        <v>43</v>
      </c>
      <c r="CP91" s="45" t="s">
        <v>121</v>
      </c>
      <c r="CQ91" s="45" t="s">
        <v>12</v>
      </c>
      <c r="CR91" s="45" t="s">
        <v>26</v>
      </c>
      <c r="CS91" s="45" t="s">
        <v>77</v>
      </c>
      <c r="CT91" s="45" t="s">
        <v>55</v>
      </c>
      <c r="CU91" s="45" t="s">
        <v>55</v>
      </c>
      <c r="CV91" s="45" t="s">
        <v>77</v>
      </c>
      <c r="CW91" s="45" t="s">
        <v>110</v>
      </c>
      <c r="CX91" s="45" t="s">
        <v>25</v>
      </c>
      <c r="CY91" s="45" t="s">
        <v>143</v>
      </c>
      <c r="CZ91" s="45" t="s">
        <v>37</v>
      </c>
      <c r="DA91" s="45" t="s">
        <v>153</v>
      </c>
      <c r="DB91" s="45" t="s">
        <v>116</v>
      </c>
      <c r="DC91" s="45" t="s">
        <v>58</v>
      </c>
      <c r="DD91" s="45" t="s">
        <v>120</v>
      </c>
      <c r="DE91" s="45" t="s">
        <v>67</v>
      </c>
      <c r="DF91" s="45" t="s">
        <v>152</v>
      </c>
      <c r="DG91" s="45" t="s">
        <v>77</v>
      </c>
      <c r="DH91" s="45" t="s">
        <v>12</v>
      </c>
      <c r="DI91" s="45" t="s">
        <v>18</v>
      </c>
      <c r="DJ91" s="45" t="s">
        <v>18</v>
      </c>
      <c r="DK91" s="45" t="s">
        <v>12</v>
      </c>
      <c r="DL91" s="45" t="s">
        <v>77</v>
      </c>
      <c r="DM91" s="45" t="s">
        <v>115</v>
      </c>
      <c r="DN91" s="45" t="s">
        <v>43</v>
      </c>
      <c r="DO91" s="45" t="s">
        <v>43</v>
      </c>
      <c r="DP91" s="45" t="s">
        <v>115</v>
      </c>
      <c r="DQ91" s="45" t="s">
        <v>117</v>
      </c>
      <c r="DR91" s="45" t="s">
        <v>131</v>
      </c>
      <c r="DS91" s="45" t="s">
        <v>110</v>
      </c>
      <c r="DT91" s="45" t="s">
        <v>153</v>
      </c>
      <c r="DU91" s="45" t="s">
        <v>26</v>
      </c>
      <c r="DV91" s="45" t="s">
        <v>18</v>
      </c>
      <c r="DW91" s="45" t="s">
        <v>67</v>
      </c>
      <c r="DX91" s="45" t="s">
        <v>14</v>
      </c>
      <c r="DY91" s="45" t="s">
        <v>117</v>
      </c>
      <c r="DZ91" s="45" t="s">
        <v>131</v>
      </c>
      <c r="EA91" s="45" t="s">
        <v>153</v>
      </c>
      <c r="EB91" s="45" t="s">
        <v>131</v>
      </c>
      <c r="EC91" s="45" t="s">
        <v>51</v>
      </c>
      <c r="ED91" s="45" t="s">
        <v>110</v>
      </c>
      <c r="EE91" s="45" t="s">
        <v>14</v>
      </c>
      <c r="EF91" s="45" t="s">
        <v>14</v>
      </c>
      <c r="EG91" s="45" t="s">
        <v>14</v>
      </c>
      <c r="EH91" s="45" t="s">
        <v>138</v>
      </c>
      <c r="EI91" s="45" t="s">
        <v>138</v>
      </c>
      <c r="EJ91" s="45" t="s">
        <v>138</v>
      </c>
    </row>
    <row r="92" customFormat="false" ht="15.75" hidden="false" customHeight="false" outlineLevel="0" collapsed="false">
      <c r="A92" s="249" t="n">
        <v>76</v>
      </c>
      <c r="B92" s="250" t="s">
        <v>150</v>
      </c>
      <c r="C92" s="45" t="s">
        <v>28</v>
      </c>
      <c r="D92" s="45" t="s">
        <v>125</v>
      </c>
      <c r="E92" s="45" t="s">
        <v>61</v>
      </c>
      <c r="F92" s="45" t="s">
        <v>87</v>
      </c>
      <c r="G92" s="45" t="s">
        <v>57</v>
      </c>
      <c r="H92" s="45" t="s">
        <v>139</v>
      </c>
      <c r="I92" s="45" t="s">
        <v>87</v>
      </c>
      <c r="J92" s="45" t="s">
        <v>41</v>
      </c>
      <c r="K92" s="45" t="s">
        <v>150</v>
      </c>
      <c r="L92" s="45" t="s">
        <v>85</v>
      </c>
      <c r="M92" s="45" t="s">
        <v>43</v>
      </c>
      <c r="N92" s="45" t="s">
        <v>85</v>
      </c>
      <c r="O92" s="45" t="s">
        <v>85</v>
      </c>
      <c r="P92" s="45" t="s">
        <v>41</v>
      </c>
      <c r="Q92" s="45" t="s">
        <v>41</v>
      </c>
      <c r="R92" s="45" t="s">
        <v>137</v>
      </c>
      <c r="S92" s="45" t="s">
        <v>86</v>
      </c>
      <c r="T92" s="45" t="s">
        <v>28</v>
      </c>
      <c r="U92" s="45" t="s">
        <v>86</v>
      </c>
      <c r="V92" s="45" t="s">
        <v>125</v>
      </c>
      <c r="W92" s="45" t="s">
        <v>151</v>
      </c>
      <c r="X92" s="45" t="s">
        <v>101</v>
      </c>
      <c r="Y92" s="45" t="s">
        <v>150</v>
      </c>
      <c r="Z92" s="45" t="s">
        <v>151</v>
      </c>
      <c r="AA92" s="45" t="s">
        <v>62</v>
      </c>
      <c r="AB92" s="45" t="s">
        <v>28</v>
      </c>
      <c r="AC92" s="45" t="s">
        <v>137</v>
      </c>
      <c r="AD92" s="45" t="s">
        <v>126</v>
      </c>
      <c r="AE92" s="45" t="s">
        <v>96</v>
      </c>
      <c r="AF92" s="45" t="s">
        <v>139</v>
      </c>
      <c r="AG92" s="45" t="s">
        <v>62</v>
      </c>
      <c r="AH92" s="45" t="s">
        <v>63</v>
      </c>
      <c r="AI92" s="45" t="s">
        <v>69</v>
      </c>
      <c r="AJ92" s="45" t="s">
        <v>129</v>
      </c>
      <c r="AK92" s="45" t="s">
        <v>129</v>
      </c>
      <c r="AL92" s="45" t="s">
        <v>87</v>
      </c>
      <c r="AM92" s="45" t="s">
        <v>87</v>
      </c>
      <c r="AN92" s="45" t="s">
        <v>13</v>
      </c>
      <c r="AO92" s="45" t="s">
        <v>116</v>
      </c>
      <c r="AP92" s="45" t="s">
        <v>111</v>
      </c>
      <c r="AQ92" s="45" t="s">
        <v>66</v>
      </c>
      <c r="AR92" s="45" t="s">
        <v>63</v>
      </c>
      <c r="AS92" s="45" t="s">
        <v>66</v>
      </c>
      <c r="AT92" s="45" t="s">
        <v>63</v>
      </c>
      <c r="AU92" s="45" t="s">
        <v>13</v>
      </c>
      <c r="AV92" s="45" t="s">
        <v>40</v>
      </c>
      <c r="AW92" s="45" t="s">
        <v>121</v>
      </c>
      <c r="AX92" s="45" t="s">
        <v>34</v>
      </c>
      <c r="AY92" s="45" t="s">
        <v>89</v>
      </c>
      <c r="AZ92" s="45" t="s">
        <v>55</v>
      </c>
      <c r="BA92" s="45" t="s">
        <v>63</v>
      </c>
      <c r="BB92" s="45" t="s">
        <v>91</v>
      </c>
      <c r="BC92" s="45" t="s">
        <v>129</v>
      </c>
      <c r="BD92" s="45" t="s">
        <v>101</v>
      </c>
      <c r="BE92" s="45" t="s">
        <v>46</v>
      </c>
      <c r="BF92" s="45" t="s">
        <v>64</v>
      </c>
      <c r="BG92" s="45" t="s">
        <v>64</v>
      </c>
      <c r="BH92" s="45" t="s">
        <v>33</v>
      </c>
      <c r="BI92" s="45" t="s">
        <v>96</v>
      </c>
      <c r="BJ92" s="45" t="s">
        <v>96</v>
      </c>
      <c r="BK92" s="45" t="s">
        <v>142</v>
      </c>
      <c r="BL92" s="45" t="s">
        <v>89</v>
      </c>
      <c r="BM92" s="45" t="s">
        <v>40</v>
      </c>
      <c r="BN92" s="45" t="s">
        <v>13</v>
      </c>
      <c r="BO92" s="45" t="s">
        <v>55</v>
      </c>
      <c r="BP92" s="45" t="s">
        <v>48</v>
      </c>
      <c r="BQ92" s="45" t="s">
        <v>94</v>
      </c>
      <c r="BR92" s="45" t="s">
        <v>58</v>
      </c>
      <c r="BS92" s="45" t="s">
        <v>84</v>
      </c>
      <c r="BT92" s="45" t="s">
        <v>126</v>
      </c>
      <c r="BU92" s="45" t="s">
        <v>94</v>
      </c>
      <c r="BV92" s="45" t="s">
        <v>147</v>
      </c>
      <c r="BW92" s="45" t="s">
        <v>151</v>
      </c>
      <c r="BX92" s="45" t="s">
        <v>129</v>
      </c>
      <c r="BY92" s="45" t="s">
        <v>147</v>
      </c>
      <c r="BZ92" s="45" t="s">
        <v>55</v>
      </c>
      <c r="CA92" s="45" t="s">
        <v>29</v>
      </c>
      <c r="CB92" s="45" t="s">
        <v>43</v>
      </c>
      <c r="CC92" s="45" t="s">
        <v>128</v>
      </c>
      <c r="CD92" s="45" t="s">
        <v>54</v>
      </c>
      <c r="CE92" s="45" t="s">
        <v>94</v>
      </c>
      <c r="CF92" s="45" t="s">
        <v>144</v>
      </c>
      <c r="CG92" s="45" t="s">
        <v>57</v>
      </c>
      <c r="CH92" s="45" t="s">
        <v>108</v>
      </c>
      <c r="CI92" s="45" t="s">
        <v>104</v>
      </c>
      <c r="CJ92" s="45" t="s">
        <v>47</v>
      </c>
      <c r="CK92" s="45" t="s">
        <v>143</v>
      </c>
      <c r="CL92" s="45" t="s">
        <v>58</v>
      </c>
      <c r="CM92" s="45" t="s">
        <v>31</v>
      </c>
      <c r="CN92" s="45" t="s">
        <v>150</v>
      </c>
      <c r="CO92" s="45" t="s">
        <v>33</v>
      </c>
      <c r="CP92" s="45" t="s">
        <v>96</v>
      </c>
      <c r="CQ92" s="45" t="s">
        <v>36</v>
      </c>
      <c r="CR92" s="45" t="s">
        <v>43</v>
      </c>
      <c r="CS92" s="45" t="s">
        <v>43</v>
      </c>
      <c r="CT92" s="45" t="s">
        <v>41</v>
      </c>
      <c r="CU92" s="45" t="s">
        <v>41</v>
      </c>
      <c r="CV92" s="45" t="s">
        <v>89</v>
      </c>
      <c r="CW92" s="45" t="s">
        <v>26</v>
      </c>
      <c r="CX92" s="45" t="s">
        <v>31</v>
      </c>
      <c r="CY92" s="45" t="s">
        <v>48</v>
      </c>
      <c r="CZ92" s="45" t="s">
        <v>25</v>
      </c>
      <c r="DA92" s="45" t="s">
        <v>25</v>
      </c>
      <c r="DB92" s="45" t="s">
        <v>54</v>
      </c>
      <c r="DC92" s="45" t="s">
        <v>54</v>
      </c>
      <c r="DD92" s="45" t="s">
        <v>55</v>
      </c>
      <c r="DE92" s="45" t="s">
        <v>120</v>
      </c>
      <c r="DF92" s="45" t="s">
        <v>84</v>
      </c>
      <c r="DG92" s="45" t="s">
        <v>44</v>
      </c>
      <c r="DH92" s="45" t="s">
        <v>36</v>
      </c>
      <c r="DI92" s="45" t="s">
        <v>120</v>
      </c>
      <c r="DJ92" s="45" t="s">
        <v>120</v>
      </c>
      <c r="DK92" s="45" t="s">
        <v>44</v>
      </c>
      <c r="DL92" s="45" t="s">
        <v>44</v>
      </c>
      <c r="DM92" s="45" t="s">
        <v>142</v>
      </c>
      <c r="DN92" s="45" t="s">
        <v>22</v>
      </c>
      <c r="DO92" s="45" t="s">
        <v>64</v>
      </c>
      <c r="DP92" s="45" t="s">
        <v>142</v>
      </c>
      <c r="DQ92" s="45" t="s">
        <v>77</v>
      </c>
      <c r="DR92" s="45" t="s">
        <v>143</v>
      </c>
      <c r="DS92" s="45" t="s">
        <v>145</v>
      </c>
      <c r="DT92" s="45" t="s">
        <v>25</v>
      </c>
      <c r="DU92" s="45" t="s">
        <v>29</v>
      </c>
      <c r="DV92" s="45" t="s">
        <v>120</v>
      </c>
      <c r="DW92" s="45" t="s">
        <v>120</v>
      </c>
      <c r="DX92" s="45" t="s">
        <v>77</v>
      </c>
      <c r="DY92" s="45" t="s">
        <v>77</v>
      </c>
      <c r="DZ92" s="45" t="s">
        <v>143</v>
      </c>
      <c r="EA92" s="45" t="s">
        <v>25</v>
      </c>
      <c r="EB92" s="45" t="s">
        <v>143</v>
      </c>
      <c r="EC92" s="45" t="s">
        <v>58</v>
      </c>
      <c r="ED92" s="45" t="s">
        <v>145</v>
      </c>
      <c r="EE92" s="45" t="s">
        <v>77</v>
      </c>
      <c r="EF92" s="45" t="s">
        <v>26</v>
      </c>
      <c r="EG92" s="45" t="s">
        <v>77</v>
      </c>
      <c r="EH92" s="45" t="s">
        <v>26</v>
      </c>
      <c r="EI92" s="45" t="s">
        <v>26</v>
      </c>
      <c r="EJ92" s="45" t="s">
        <v>26</v>
      </c>
    </row>
    <row r="93" customFormat="false" ht="15.75" hidden="false" customHeight="false" outlineLevel="0" collapsed="false">
      <c r="A93" s="249" t="n">
        <v>77</v>
      </c>
      <c r="B93" s="250" t="s">
        <v>147</v>
      </c>
      <c r="C93" s="45" t="s">
        <v>40</v>
      </c>
      <c r="D93" s="45" t="s">
        <v>62</v>
      </c>
      <c r="E93" s="45" t="s">
        <v>139</v>
      </c>
      <c r="F93" s="45" t="s">
        <v>41</v>
      </c>
      <c r="G93" s="45" t="s">
        <v>151</v>
      </c>
      <c r="H93" s="45" t="s">
        <v>150</v>
      </c>
      <c r="I93" s="45" t="s">
        <v>41</v>
      </c>
      <c r="J93" s="45" t="s">
        <v>91</v>
      </c>
      <c r="K93" s="45" t="s">
        <v>22</v>
      </c>
      <c r="L93" s="45" t="s">
        <v>150</v>
      </c>
      <c r="M93" s="45" t="s">
        <v>142</v>
      </c>
      <c r="N93" s="45" t="s">
        <v>111</v>
      </c>
      <c r="O93" s="45" t="s">
        <v>111</v>
      </c>
      <c r="P93" s="45" t="s">
        <v>96</v>
      </c>
      <c r="Q93" s="45" t="s">
        <v>96</v>
      </c>
      <c r="R93" s="45" t="s">
        <v>62</v>
      </c>
      <c r="S93" s="45" t="s">
        <v>151</v>
      </c>
      <c r="T93" s="45" t="s">
        <v>69</v>
      </c>
      <c r="U93" s="45" t="s">
        <v>151</v>
      </c>
      <c r="V93" s="45" t="s">
        <v>62</v>
      </c>
      <c r="W93" s="45" t="s">
        <v>96</v>
      </c>
      <c r="X93" s="45" t="s">
        <v>46</v>
      </c>
      <c r="Y93" s="45" t="s">
        <v>64</v>
      </c>
      <c r="Z93" s="45" t="s">
        <v>96</v>
      </c>
      <c r="AA93" s="45" t="s">
        <v>129</v>
      </c>
      <c r="AB93" s="45" t="s">
        <v>40</v>
      </c>
      <c r="AC93" s="45" t="s">
        <v>41</v>
      </c>
      <c r="AD93" s="45" t="s">
        <v>31</v>
      </c>
      <c r="AE93" s="45" t="s">
        <v>63</v>
      </c>
      <c r="AF93" s="45" t="s">
        <v>150</v>
      </c>
      <c r="AG93" s="45" t="s">
        <v>129</v>
      </c>
      <c r="AH93" s="45" t="s">
        <v>94</v>
      </c>
      <c r="AI93" s="45" t="s">
        <v>128</v>
      </c>
      <c r="AJ93" s="45" t="s">
        <v>66</v>
      </c>
      <c r="AK93" s="45" t="s">
        <v>66</v>
      </c>
      <c r="AL93" s="45" t="s">
        <v>41</v>
      </c>
      <c r="AM93" s="45" t="s">
        <v>41</v>
      </c>
      <c r="AN93" s="45" t="s">
        <v>25</v>
      </c>
      <c r="AO93" s="45" t="s">
        <v>143</v>
      </c>
      <c r="AP93" s="45" t="s">
        <v>64</v>
      </c>
      <c r="AQ93" s="45" t="s">
        <v>94</v>
      </c>
      <c r="AR93" s="45" t="s">
        <v>95</v>
      </c>
      <c r="AS93" s="45" t="s">
        <v>94</v>
      </c>
      <c r="AT93" s="45" t="s">
        <v>94</v>
      </c>
      <c r="AU93" s="45" t="s">
        <v>25</v>
      </c>
      <c r="AV93" s="45" t="s">
        <v>101</v>
      </c>
      <c r="AW93" s="45" t="s">
        <v>13</v>
      </c>
      <c r="AX93" s="45" t="s">
        <v>13</v>
      </c>
      <c r="AY93" s="45" t="s">
        <v>120</v>
      </c>
      <c r="AZ93" s="45" t="s">
        <v>104</v>
      </c>
      <c r="BA93" s="45" t="s">
        <v>95</v>
      </c>
      <c r="BB93" s="45" t="s">
        <v>63</v>
      </c>
      <c r="BC93" s="45" t="s">
        <v>46</v>
      </c>
      <c r="BD93" s="45" t="s">
        <v>46</v>
      </c>
      <c r="BE93" s="45" t="s">
        <v>55</v>
      </c>
      <c r="BF93" s="45" t="s">
        <v>54</v>
      </c>
      <c r="BG93" s="45" t="s">
        <v>54</v>
      </c>
      <c r="BH93" s="45" t="s">
        <v>147</v>
      </c>
      <c r="BI93" s="45" t="s">
        <v>126</v>
      </c>
      <c r="BJ93" s="45" t="s">
        <v>63</v>
      </c>
      <c r="BK93" s="45" t="s">
        <v>145</v>
      </c>
      <c r="BL93" s="45" t="s">
        <v>142</v>
      </c>
      <c r="BM93" s="45" t="s">
        <v>101</v>
      </c>
      <c r="BN93" s="45" t="s">
        <v>84</v>
      </c>
      <c r="BO93" s="45" t="s">
        <v>47</v>
      </c>
      <c r="BP93" s="45" t="s">
        <v>89</v>
      </c>
      <c r="BQ93" s="45" t="s">
        <v>121</v>
      </c>
      <c r="BR93" s="45" t="s">
        <v>143</v>
      </c>
      <c r="BS93" s="45" t="s">
        <v>77</v>
      </c>
      <c r="BT93" s="45" t="s">
        <v>31</v>
      </c>
      <c r="BU93" s="45" t="s">
        <v>29</v>
      </c>
      <c r="BV93" s="45" t="s">
        <v>108</v>
      </c>
      <c r="BW93" s="45" t="s">
        <v>96</v>
      </c>
      <c r="BX93" s="45" t="s">
        <v>144</v>
      </c>
      <c r="BY93" s="45" t="s">
        <v>108</v>
      </c>
      <c r="BZ93" s="45" t="s">
        <v>47</v>
      </c>
      <c r="CA93" s="45" t="s">
        <v>116</v>
      </c>
      <c r="CB93" s="45" t="s">
        <v>58</v>
      </c>
      <c r="CC93" s="45" t="s">
        <v>22</v>
      </c>
      <c r="CD93" s="45" t="s">
        <v>48</v>
      </c>
      <c r="CE93" s="45" t="s">
        <v>34</v>
      </c>
      <c r="CF93" s="45" t="s">
        <v>94</v>
      </c>
      <c r="CG93" s="45" t="s">
        <v>151</v>
      </c>
      <c r="CH93" s="45" t="s">
        <v>89</v>
      </c>
      <c r="CI93" s="45" t="s">
        <v>36</v>
      </c>
      <c r="CJ93" s="45" t="s">
        <v>44</v>
      </c>
      <c r="CK93" s="45" t="s">
        <v>77</v>
      </c>
      <c r="CL93" s="45" t="s">
        <v>143</v>
      </c>
      <c r="CM93" s="45" t="s">
        <v>43</v>
      </c>
      <c r="CN93" s="45" t="s">
        <v>33</v>
      </c>
      <c r="CO93" s="45" t="s">
        <v>147</v>
      </c>
      <c r="CP93" s="45" t="s">
        <v>126</v>
      </c>
      <c r="CQ93" s="45" t="s">
        <v>25</v>
      </c>
      <c r="CR93" s="45" t="s">
        <v>58</v>
      </c>
      <c r="CS93" s="45" t="s">
        <v>58</v>
      </c>
      <c r="CT93" s="45" t="s">
        <v>129</v>
      </c>
      <c r="CU93" s="45" t="s">
        <v>129</v>
      </c>
      <c r="CV93" s="45" t="s">
        <v>142</v>
      </c>
      <c r="CW93" s="45" t="s">
        <v>133</v>
      </c>
      <c r="CX93" s="45" t="s">
        <v>43</v>
      </c>
      <c r="CY93" s="45" t="s">
        <v>89</v>
      </c>
      <c r="CZ93" s="45" t="s">
        <v>26</v>
      </c>
      <c r="DA93" s="45" t="s">
        <v>26</v>
      </c>
      <c r="DB93" s="45" t="s">
        <v>48</v>
      </c>
      <c r="DC93" s="45" t="s">
        <v>48</v>
      </c>
      <c r="DD93" s="45" t="s">
        <v>104</v>
      </c>
      <c r="DE93" s="45" t="s">
        <v>145</v>
      </c>
      <c r="DF93" s="45" t="s">
        <v>77</v>
      </c>
      <c r="DG93" s="45" t="s">
        <v>120</v>
      </c>
      <c r="DH93" s="45" t="s">
        <v>25</v>
      </c>
      <c r="DI93" s="45" t="s">
        <v>26</v>
      </c>
      <c r="DJ93" s="45" t="s">
        <v>26</v>
      </c>
      <c r="DK93" s="45" t="s">
        <v>120</v>
      </c>
      <c r="DL93" s="45" t="s">
        <v>120</v>
      </c>
      <c r="DM93" s="45" t="s">
        <v>145</v>
      </c>
      <c r="DN93" s="45" t="s">
        <v>55</v>
      </c>
      <c r="DO93" s="45" t="s">
        <v>54</v>
      </c>
      <c r="DP93" s="45" t="s">
        <v>143</v>
      </c>
      <c r="DQ93" s="45" t="s">
        <v>18</v>
      </c>
      <c r="DR93" s="45" t="s">
        <v>77</v>
      </c>
      <c r="DS93" s="45" t="s">
        <v>12</v>
      </c>
      <c r="DT93" s="45" t="s">
        <v>26</v>
      </c>
      <c r="DU93" s="45" t="s">
        <v>116</v>
      </c>
      <c r="DV93" s="45" t="s">
        <v>145</v>
      </c>
      <c r="DW93" s="45" t="s">
        <v>145</v>
      </c>
      <c r="DX93" s="45" t="s">
        <v>115</v>
      </c>
      <c r="DY93" s="45" t="s">
        <v>67</v>
      </c>
      <c r="DZ93" s="45" t="s">
        <v>77</v>
      </c>
      <c r="EA93" s="45" t="s">
        <v>26</v>
      </c>
      <c r="EB93" s="45" t="s">
        <v>77</v>
      </c>
      <c r="EC93" s="45" t="s">
        <v>143</v>
      </c>
      <c r="ED93" s="45" t="s">
        <v>12</v>
      </c>
      <c r="EE93" s="45" t="s">
        <v>115</v>
      </c>
      <c r="EF93" s="45" t="s">
        <v>51</v>
      </c>
      <c r="EG93" s="45" t="s">
        <v>51</v>
      </c>
      <c r="EH93" s="45" t="s">
        <v>133</v>
      </c>
      <c r="EI93" s="45" t="s">
        <v>51</v>
      </c>
      <c r="EJ93" s="45" t="s">
        <v>51</v>
      </c>
    </row>
    <row r="94" customFormat="false" ht="15.75" hidden="false" customHeight="false" outlineLevel="0" collapsed="false">
      <c r="A94" s="249" t="n">
        <v>78</v>
      </c>
      <c r="B94" s="250" t="s">
        <v>144</v>
      </c>
      <c r="C94" s="45" t="s">
        <v>85</v>
      </c>
      <c r="D94" s="45" t="s">
        <v>85</v>
      </c>
      <c r="E94" s="45" t="s">
        <v>86</v>
      </c>
      <c r="F94" s="45" t="s">
        <v>69</v>
      </c>
      <c r="G94" s="45" t="s">
        <v>62</v>
      </c>
      <c r="H94" s="45" t="s">
        <v>151</v>
      </c>
      <c r="I94" s="45" t="s">
        <v>40</v>
      </c>
      <c r="J94" s="45" t="s">
        <v>101</v>
      </c>
      <c r="K94" s="45" t="s">
        <v>96</v>
      </c>
      <c r="L94" s="45" t="s">
        <v>41</v>
      </c>
      <c r="M94" s="45" t="s">
        <v>13</v>
      </c>
      <c r="N94" s="45" t="s">
        <v>41</v>
      </c>
      <c r="O94" s="45" t="s">
        <v>41</v>
      </c>
      <c r="P94" s="45" t="s">
        <v>101</v>
      </c>
      <c r="Q94" s="45" t="s">
        <v>101</v>
      </c>
      <c r="R94" s="45" t="s">
        <v>139</v>
      </c>
      <c r="S94" s="45" t="s">
        <v>62</v>
      </c>
      <c r="T94" s="45" t="s">
        <v>86</v>
      </c>
      <c r="U94" s="45" t="s">
        <v>41</v>
      </c>
      <c r="V94" s="45" t="s">
        <v>139</v>
      </c>
      <c r="W94" s="45" t="s">
        <v>129</v>
      </c>
      <c r="X94" s="45" t="s">
        <v>64</v>
      </c>
      <c r="Y94" s="45" t="s">
        <v>96</v>
      </c>
      <c r="Z94" s="45" t="s">
        <v>129</v>
      </c>
      <c r="AA94" s="45" t="s">
        <v>150</v>
      </c>
      <c r="AB94" s="45" t="s">
        <v>85</v>
      </c>
      <c r="AC94" s="45" t="s">
        <v>139</v>
      </c>
      <c r="AD94" s="45" t="s">
        <v>94</v>
      </c>
      <c r="AE94" s="45" t="s">
        <v>46</v>
      </c>
      <c r="AF94" s="45" t="s">
        <v>151</v>
      </c>
      <c r="AG94" s="45" t="s">
        <v>150</v>
      </c>
      <c r="AH94" s="45" t="s">
        <v>55</v>
      </c>
      <c r="AI94" s="45" t="s">
        <v>151</v>
      </c>
      <c r="AJ94" s="45" t="s">
        <v>22</v>
      </c>
      <c r="AK94" s="45" t="s">
        <v>33</v>
      </c>
      <c r="AL94" s="45" t="s">
        <v>40</v>
      </c>
      <c r="AM94" s="45" t="s">
        <v>69</v>
      </c>
      <c r="AN94" s="45" t="s">
        <v>120</v>
      </c>
      <c r="AO94" s="45" t="s">
        <v>25</v>
      </c>
      <c r="AP94" s="45" t="s">
        <v>91</v>
      </c>
      <c r="AQ94" s="45" t="s">
        <v>147</v>
      </c>
      <c r="AR94" s="45" t="s">
        <v>55</v>
      </c>
      <c r="AS94" s="45" t="s">
        <v>55</v>
      </c>
      <c r="AT94" s="45" t="s">
        <v>55</v>
      </c>
      <c r="AU94" s="45" t="s">
        <v>120</v>
      </c>
      <c r="AV94" s="45" t="s">
        <v>111</v>
      </c>
      <c r="AW94" s="45" t="s">
        <v>44</v>
      </c>
      <c r="AX94" s="45" t="s">
        <v>44</v>
      </c>
      <c r="AY94" s="45" t="s">
        <v>58</v>
      </c>
      <c r="AZ94" s="45" t="s">
        <v>48</v>
      </c>
      <c r="BA94" s="45" t="s">
        <v>55</v>
      </c>
      <c r="BB94" s="45" t="s">
        <v>46</v>
      </c>
      <c r="BC94" s="45" t="s">
        <v>64</v>
      </c>
      <c r="BD94" s="45" t="s">
        <v>64</v>
      </c>
      <c r="BE94" s="45" t="s">
        <v>54</v>
      </c>
      <c r="BF94" s="45" t="s">
        <v>66</v>
      </c>
      <c r="BG94" s="45" t="s">
        <v>63</v>
      </c>
      <c r="BH94" s="45" t="s">
        <v>63</v>
      </c>
      <c r="BI94" s="45" t="s">
        <v>66</v>
      </c>
      <c r="BJ94" s="45" t="s">
        <v>46</v>
      </c>
      <c r="BK94" s="45" t="s">
        <v>143</v>
      </c>
      <c r="BL94" s="45" t="s">
        <v>116</v>
      </c>
      <c r="BM94" s="45" t="s">
        <v>111</v>
      </c>
      <c r="BN94" s="45" t="s">
        <v>120</v>
      </c>
      <c r="BO94" s="45" t="s">
        <v>48</v>
      </c>
      <c r="BP94" s="45" t="s">
        <v>29</v>
      </c>
      <c r="BQ94" s="45" t="s">
        <v>108</v>
      </c>
      <c r="BR94" s="45" t="s">
        <v>25</v>
      </c>
      <c r="BS94" s="45" t="s">
        <v>26</v>
      </c>
      <c r="BT94" s="45" t="s">
        <v>94</v>
      </c>
      <c r="BU94" s="45" t="s">
        <v>47</v>
      </c>
      <c r="BV94" s="45" t="s">
        <v>95</v>
      </c>
      <c r="BW94" s="45" t="s">
        <v>129</v>
      </c>
      <c r="BX94" s="45" t="s">
        <v>33</v>
      </c>
      <c r="BY94" s="45" t="s">
        <v>31</v>
      </c>
      <c r="BZ94" s="45" t="s">
        <v>31</v>
      </c>
      <c r="CA94" s="45" t="s">
        <v>36</v>
      </c>
      <c r="CB94" s="45" t="s">
        <v>36</v>
      </c>
      <c r="CC94" s="45" t="s">
        <v>96</v>
      </c>
      <c r="CD94" s="45" t="s">
        <v>94</v>
      </c>
      <c r="CE94" s="45" t="s">
        <v>47</v>
      </c>
      <c r="CF94" s="45" t="s">
        <v>147</v>
      </c>
      <c r="CG94" s="45" t="s">
        <v>40</v>
      </c>
      <c r="CH94" s="45" t="s">
        <v>43</v>
      </c>
      <c r="CI94" s="45" t="s">
        <v>89</v>
      </c>
      <c r="CJ94" s="45" t="s">
        <v>43</v>
      </c>
      <c r="CK94" s="45" t="s">
        <v>26</v>
      </c>
      <c r="CL94" s="45" t="s">
        <v>25</v>
      </c>
      <c r="CM94" s="45" t="s">
        <v>121</v>
      </c>
      <c r="CN94" s="45" t="s">
        <v>96</v>
      </c>
      <c r="CO94" s="45" t="s">
        <v>126</v>
      </c>
      <c r="CP94" s="45" t="s">
        <v>144</v>
      </c>
      <c r="CQ94" s="45" t="s">
        <v>142</v>
      </c>
      <c r="CR94" s="45" t="s">
        <v>13</v>
      </c>
      <c r="CS94" s="45" t="s">
        <v>13</v>
      </c>
      <c r="CT94" s="45" t="s">
        <v>128</v>
      </c>
      <c r="CU94" s="45" t="s">
        <v>150</v>
      </c>
      <c r="CV94" s="45" t="s">
        <v>116</v>
      </c>
      <c r="CW94" s="45" t="s">
        <v>77</v>
      </c>
      <c r="CX94" s="45" t="s">
        <v>121</v>
      </c>
      <c r="CY94" s="45" t="s">
        <v>29</v>
      </c>
      <c r="CZ94" s="45" t="s">
        <v>145</v>
      </c>
      <c r="DA94" s="45" t="s">
        <v>145</v>
      </c>
      <c r="DB94" s="45" t="s">
        <v>94</v>
      </c>
      <c r="DC94" s="45" t="s">
        <v>94</v>
      </c>
      <c r="DD94" s="45" t="s">
        <v>48</v>
      </c>
      <c r="DE94" s="45" t="s">
        <v>143</v>
      </c>
      <c r="DF94" s="45" t="s">
        <v>26</v>
      </c>
      <c r="DG94" s="45" t="s">
        <v>58</v>
      </c>
      <c r="DH94" s="45" t="s">
        <v>142</v>
      </c>
      <c r="DI94" s="45" t="s">
        <v>143</v>
      </c>
      <c r="DJ94" s="45" t="s">
        <v>143</v>
      </c>
      <c r="DK94" s="45" t="s">
        <v>142</v>
      </c>
      <c r="DL94" s="45" t="s">
        <v>58</v>
      </c>
      <c r="DM94" s="45" t="s">
        <v>84</v>
      </c>
      <c r="DN94" s="45" t="s">
        <v>126</v>
      </c>
      <c r="DO94" s="45" t="s">
        <v>63</v>
      </c>
      <c r="DP94" s="45" t="s">
        <v>84</v>
      </c>
      <c r="DQ94" s="45" t="s">
        <v>51</v>
      </c>
      <c r="DR94" s="45" t="s">
        <v>26</v>
      </c>
      <c r="DS94" s="45" t="s">
        <v>77</v>
      </c>
      <c r="DT94" s="45" t="s">
        <v>145</v>
      </c>
      <c r="DU94" s="45" t="s">
        <v>44</v>
      </c>
      <c r="DV94" s="45" t="s">
        <v>143</v>
      </c>
      <c r="DW94" s="45" t="s">
        <v>143</v>
      </c>
      <c r="DX94" s="45" t="s">
        <v>51</v>
      </c>
      <c r="DY94" s="45" t="s">
        <v>51</v>
      </c>
      <c r="DZ94" s="45" t="s">
        <v>26</v>
      </c>
      <c r="EA94" s="45" t="s">
        <v>145</v>
      </c>
      <c r="EB94" s="45" t="s">
        <v>26</v>
      </c>
      <c r="EC94" s="45" t="s">
        <v>25</v>
      </c>
      <c r="ED94" s="45" t="s">
        <v>77</v>
      </c>
      <c r="EE94" s="45" t="s">
        <v>133</v>
      </c>
      <c r="EF94" s="45" t="s">
        <v>12</v>
      </c>
      <c r="EG94" s="45" t="s">
        <v>133</v>
      </c>
      <c r="EH94" s="45" t="s">
        <v>77</v>
      </c>
      <c r="EI94" s="45" t="s">
        <v>12</v>
      </c>
      <c r="EJ94" s="45" t="s">
        <v>12</v>
      </c>
    </row>
    <row r="95" customFormat="false" ht="15.75" hidden="false" customHeight="false" outlineLevel="0" collapsed="false">
      <c r="A95" s="249" t="n">
        <v>79</v>
      </c>
      <c r="B95" s="250" t="s">
        <v>131</v>
      </c>
      <c r="C95" s="45" t="s">
        <v>94</v>
      </c>
      <c r="D95" s="45" t="s">
        <v>94</v>
      </c>
      <c r="E95" s="45" t="s">
        <v>55</v>
      </c>
      <c r="F95" s="45" t="s">
        <v>95</v>
      </c>
      <c r="G95" s="45" t="s">
        <v>48</v>
      </c>
      <c r="H95" s="45" t="s">
        <v>104</v>
      </c>
      <c r="I95" s="45" t="s">
        <v>31</v>
      </c>
      <c r="J95" s="45" t="s">
        <v>43</v>
      </c>
      <c r="K95" s="45" t="s">
        <v>36</v>
      </c>
      <c r="L95" s="45" t="s">
        <v>47</v>
      </c>
      <c r="M95" s="45" t="s">
        <v>153</v>
      </c>
      <c r="N95" s="45" t="s">
        <v>108</v>
      </c>
      <c r="O95" s="45" t="s">
        <v>108</v>
      </c>
      <c r="P95" s="45" t="s">
        <v>43</v>
      </c>
      <c r="Q95" s="45" t="s">
        <v>43</v>
      </c>
      <c r="R95" s="45" t="s">
        <v>94</v>
      </c>
      <c r="S95" s="45" t="s">
        <v>48</v>
      </c>
      <c r="T95" s="45" t="s">
        <v>55</v>
      </c>
      <c r="U95" s="45" t="s">
        <v>48</v>
      </c>
      <c r="V95" s="45" t="s">
        <v>94</v>
      </c>
      <c r="W95" s="45" t="s">
        <v>43</v>
      </c>
      <c r="X95" s="45" t="s">
        <v>13</v>
      </c>
      <c r="Y95" s="45" t="s">
        <v>44</v>
      </c>
      <c r="Z95" s="45" t="s">
        <v>89</v>
      </c>
      <c r="AA95" s="45" t="s">
        <v>34</v>
      </c>
      <c r="AB95" s="45" t="s">
        <v>94</v>
      </c>
      <c r="AC95" s="45" t="s">
        <v>94</v>
      </c>
      <c r="AD95" s="45" t="s">
        <v>145</v>
      </c>
      <c r="AE95" s="45" t="s">
        <v>142</v>
      </c>
      <c r="AF95" s="45" t="s">
        <v>47</v>
      </c>
      <c r="AG95" s="45" t="s">
        <v>29</v>
      </c>
      <c r="AH95" s="45" t="s">
        <v>143</v>
      </c>
      <c r="AI95" s="45" t="s">
        <v>104</v>
      </c>
      <c r="AJ95" s="45" t="s">
        <v>58</v>
      </c>
      <c r="AK95" s="45" t="s">
        <v>116</v>
      </c>
      <c r="AL95" s="45" t="s">
        <v>31</v>
      </c>
      <c r="AM95" s="45" t="s">
        <v>95</v>
      </c>
      <c r="AN95" s="45" t="s">
        <v>131</v>
      </c>
      <c r="AO95" s="45" t="s">
        <v>110</v>
      </c>
      <c r="AP95" s="45" t="s">
        <v>44</v>
      </c>
      <c r="AQ95" s="45" t="s">
        <v>143</v>
      </c>
      <c r="AR95" s="45" t="s">
        <v>143</v>
      </c>
      <c r="AS95" s="45" t="s">
        <v>143</v>
      </c>
      <c r="AT95" s="45" t="s">
        <v>143</v>
      </c>
      <c r="AU95" s="45" t="s">
        <v>106</v>
      </c>
      <c r="AV95" s="45" t="s">
        <v>121</v>
      </c>
      <c r="AW95" s="45" t="s">
        <v>115</v>
      </c>
      <c r="AX95" s="45" t="s">
        <v>115</v>
      </c>
      <c r="AY95" s="45" t="s">
        <v>88</v>
      </c>
      <c r="AZ95" s="45" t="s">
        <v>26</v>
      </c>
      <c r="BA95" s="45" t="s">
        <v>143</v>
      </c>
      <c r="BB95" s="45" t="s">
        <v>58</v>
      </c>
      <c r="BC95" s="45" t="s">
        <v>13</v>
      </c>
      <c r="BD95" s="45" t="s">
        <v>13</v>
      </c>
      <c r="BE95" s="45" t="s">
        <v>84</v>
      </c>
      <c r="BF95" s="45" t="s">
        <v>120</v>
      </c>
      <c r="BG95" s="45" t="s">
        <v>120</v>
      </c>
      <c r="BH95" s="45" t="s">
        <v>120</v>
      </c>
      <c r="BI95" s="45" t="s">
        <v>142</v>
      </c>
      <c r="BJ95" s="45" t="s">
        <v>58</v>
      </c>
      <c r="BK95" s="45" t="s">
        <v>14</v>
      </c>
      <c r="BL95" s="45" t="s">
        <v>153</v>
      </c>
      <c r="BM95" s="45" t="s">
        <v>121</v>
      </c>
      <c r="BN95" s="45" t="s">
        <v>106</v>
      </c>
      <c r="BO95" s="45" t="s">
        <v>26</v>
      </c>
      <c r="BP95" s="45" t="s">
        <v>12</v>
      </c>
      <c r="BQ95" s="45" t="s">
        <v>77</v>
      </c>
      <c r="BR95" s="45" t="s">
        <v>138</v>
      </c>
      <c r="BS95" s="45" t="s">
        <v>149</v>
      </c>
      <c r="BT95" s="45" t="s">
        <v>145</v>
      </c>
      <c r="BU95" s="45" t="s">
        <v>77</v>
      </c>
      <c r="BV95" s="45" t="s">
        <v>26</v>
      </c>
      <c r="BW95" s="45" t="s">
        <v>89</v>
      </c>
      <c r="BX95" s="45" t="s">
        <v>116</v>
      </c>
      <c r="BY95" s="45" t="s">
        <v>26</v>
      </c>
      <c r="BZ95" s="45" t="s">
        <v>26</v>
      </c>
      <c r="CA95" s="45" t="s">
        <v>18</v>
      </c>
      <c r="CB95" s="45" t="s">
        <v>18</v>
      </c>
      <c r="CC95" s="45" t="s">
        <v>36</v>
      </c>
      <c r="CD95" s="45" t="s">
        <v>145</v>
      </c>
      <c r="CE95" s="45" t="s">
        <v>77</v>
      </c>
      <c r="CF95" s="45" t="s">
        <v>84</v>
      </c>
      <c r="CG95" s="45" t="s">
        <v>31</v>
      </c>
      <c r="CH95" s="45" t="s">
        <v>133</v>
      </c>
      <c r="CI95" s="45" t="s">
        <v>51</v>
      </c>
      <c r="CJ95" s="45" t="s">
        <v>51</v>
      </c>
      <c r="CK95" s="45" t="s">
        <v>50</v>
      </c>
      <c r="CL95" s="45" t="s">
        <v>110</v>
      </c>
      <c r="CM95" s="45" t="s">
        <v>12</v>
      </c>
      <c r="CN95" s="45" t="s">
        <v>36</v>
      </c>
      <c r="CO95" s="45" t="s">
        <v>25</v>
      </c>
      <c r="CP95" s="45" t="s">
        <v>142</v>
      </c>
      <c r="CQ95" s="45" t="s">
        <v>131</v>
      </c>
      <c r="CR95" s="45" t="s">
        <v>18</v>
      </c>
      <c r="CS95" s="45" t="s">
        <v>37</v>
      </c>
      <c r="CT95" s="45" t="s">
        <v>43</v>
      </c>
      <c r="CU95" s="45" t="s">
        <v>29</v>
      </c>
      <c r="CV95" s="45" t="s">
        <v>153</v>
      </c>
      <c r="CW95" s="45" t="s">
        <v>122</v>
      </c>
      <c r="CX95" s="45" t="s">
        <v>12</v>
      </c>
      <c r="CY95" s="45" t="s">
        <v>133</v>
      </c>
      <c r="CZ95" s="45" t="s">
        <v>117</v>
      </c>
      <c r="DA95" s="45" t="s">
        <v>117</v>
      </c>
      <c r="DB95" s="45" t="s">
        <v>145</v>
      </c>
      <c r="DC95" s="45" t="s">
        <v>26</v>
      </c>
      <c r="DD95" s="45" t="s">
        <v>77</v>
      </c>
      <c r="DE95" s="45" t="s">
        <v>14</v>
      </c>
      <c r="DF95" s="45" t="s">
        <v>149</v>
      </c>
      <c r="DG95" s="45" t="s">
        <v>152</v>
      </c>
      <c r="DH95" s="45" t="s">
        <v>131</v>
      </c>
      <c r="DI95" s="45" t="s">
        <v>14</v>
      </c>
      <c r="DJ95" s="45" t="s">
        <v>117</v>
      </c>
      <c r="DK95" s="45" t="s">
        <v>131</v>
      </c>
      <c r="DL95" s="45" t="s">
        <v>152</v>
      </c>
      <c r="DM95" s="45" t="s">
        <v>138</v>
      </c>
      <c r="DN95" s="45" t="s">
        <v>25</v>
      </c>
      <c r="DO95" s="45" t="s">
        <v>120</v>
      </c>
      <c r="DP95" s="45" t="s">
        <v>138</v>
      </c>
      <c r="DQ95" s="45" t="s">
        <v>20</v>
      </c>
      <c r="DR95" s="45" t="s">
        <v>124</v>
      </c>
      <c r="DS95" s="45" t="s">
        <v>99</v>
      </c>
      <c r="DT95" s="45" t="s">
        <v>117</v>
      </c>
      <c r="DU95" s="45" t="s">
        <v>67</v>
      </c>
      <c r="DV95" s="45" t="s">
        <v>14</v>
      </c>
      <c r="DW95" s="45" t="s">
        <v>14</v>
      </c>
      <c r="DX95" s="45" t="s">
        <v>105</v>
      </c>
      <c r="DY95" s="45" t="s">
        <v>20</v>
      </c>
      <c r="DZ95" s="45" t="s">
        <v>124</v>
      </c>
      <c r="EA95" s="45" t="s">
        <v>119</v>
      </c>
      <c r="EB95" s="45" t="s">
        <v>50</v>
      </c>
      <c r="EC95" s="45" t="s">
        <v>138</v>
      </c>
      <c r="ED95" s="45" t="s">
        <v>99</v>
      </c>
      <c r="EE95" s="45" t="s">
        <v>105</v>
      </c>
      <c r="EF95" s="45" t="s">
        <v>105</v>
      </c>
      <c r="EG95" s="45" t="s">
        <v>105</v>
      </c>
      <c r="EH95" s="45" t="s">
        <v>122</v>
      </c>
      <c r="EI95" s="45" t="s">
        <v>122</v>
      </c>
      <c r="EJ95" s="45" t="s">
        <v>122</v>
      </c>
    </row>
    <row r="96" customFormat="false" ht="15.75" hidden="false" customHeight="false" outlineLevel="0" collapsed="false">
      <c r="A96" s="249" t="n">
        <v>80</v>
      </c>
      <c r="B96" s="250" t="s">
        <v>51</v>
      </c>
      <c r="C96" s="45" t="s">
        <v>54</v>
      </c>
      <c r="D96" s="45" t="s">
        <v>54</v>
      </c>
      <c r="E96" s="45" t="s">
        <v>126</v>
      </c>
      <c r="F96" s="45" t="s">
        <v>55</v>
      </c>
      <c r="G96" s="45" t="s">
        <v>55</v>
      </c>
      <c r="H96" s="45" t="s">
        <v>31</v>
      </c>
      <c r="I96" s="45" t="s">
        <v>55</v>
      </c>
      <c r="J96" s="45" t="s">
        <v>47</v>
      </c>
      <c r="K96" s="45" t="s">
        <v>43</v>
      </c>
      <c r="L96" s="45" t="s">
        <v>94</v>
      </c>
      <c r="M96" s="45" t="s">
        <v>51</v>
      </c>
      <c r="N96" s="45" t="s">
        <v>94</v>
      </c>
      <c r="O96" s="45" t="s">
        <v>94</v>
      </c>
      <c r="P96" s="45" t="s">
        <v>104</v>
      </c>
      <c r="Q96" s="45" t="s">
        <v>104</v>
      </c>
      <c r="R96" s="45" t="s">
        <v>147</v>
      </c>
      <c r="S96" s="45" t="s">
        <v>94</v>
      </c>
      <c r="T96" s="45" t="s">
        <v>126</v>
      </c>
      <c r="U96" s="45" t="s">
        <v>94</v>
      </c>
      <c r="V96" s="45" t="s">
        <v>147</v>
      </c>
      <c r="W96" s="45" t="s">
        <v>104</v>
      </c>
      <c r="X96" s="45" t="s">
        <v>89</v>
      </c>
      <c r="Y96" s="45" t="s">
        <v>29</v>
      </c>
      <c r="Z96" s="45" t="s">
        <v>121</v>
      </c>
      <c r="AA96" s="45" t="s">
        <v>48</v>
      </c>
      <c r="AB96" s="45" t="s">
        <v>54</v>
      </c>
      <c r="AC96" s="45" t="s">
        <v>147</v>
      </c>
      <c r="AD96" s="45" t="s">
        <v>25</v>
      </c>
      <c r="AE96" s="45" t="s">
        <v>36</v>
      </c>
      <c r="AF96" s="45" t="s">
        <v>95</v>
      </c>
      <c r="AG96" s="45" t="s">
        <v>108</v>
      </c>
      <c r="AH96" s="45" t="s">
        <v>120</v>
      </c>
      <c r="AI96" s="45" t="s">
        <v>31</v>
      </c>
      <c r="AJ96" s="45" t="s">
        <v>44</v>
      </c>
      <c r="AK96" s="45" t="s">
        <v>44</v>
      </c>
      <c r="AL96" s="45" t="s">
        <v>55</v>
      </c>
      <c r="AM96" s="45" t="s">
        <v>55</v>
      </c>
      <c r="AN96" s="45" t="s">
        <v>153</v>
      </c>
      <c r="AO96" s="45" t="s">
        <v>152</v>
      </c>
      <c r="AP96" s="45" t="s">
        <v>29</v>
      </c>
      <c r="AQ96" s="45" t="s">
        <v>120</v>
      </c>
      <c r="AR96" s="45" t="s">
        <v>25</v>
      </c>
      <c r="AS96" s="45" t="s">
        <v>120</v>
      </c>
      <c r="AT96" s="45" t="s">
        <v>25</v>
      </c>
      <c r="AU96" s="45" t="s">
        <v>153</v>
      </c>
      <c r="AV96" s="45" t="s">
        <v>48</v>
      </c>
      <c r="AW96" s="45" t="s">
        <v>12</v>
      </c>
      <c r="AX96" s="45" t="s">
        <v>133</v>
      </c>
      <c r="AY96" s="45" t="s">
        <v>115</v>
      </c>
      <c r="AZ96" s="45" t="s">
        <v>145</v>
      </c>
      <c r="BA96" s="45" t="s">
        <v>25</v>
      </c>
      <c r="BB96" s="45" t="s">
        <v>44</v>
      </c>
      <c r="BC96" s="45" t="s">
        <v>89</v>
      </c>
      <c r="BD96" s="45" t="s">
        <v>43</v>
      </c>
      <c r="BE96" s="45" t="s">
        <v>142</v>
      </c>
      <c r="BF96" s="45" t="s">
        <v>13</v>
      </c>
      <c r="BG96" s="45" t="s">
        <v>116</v>
      </c>
      <c r="BH96" s="45" t="s">
        <v>58</v>
      </c>
      <c r="BI96" s="45" t="s">
        <v>13</v>
      </c>
      <c r="BJ96" s="45" t="s">
        <v>36</v>
      </c>
      <c r="BK96" s="45" t="s">
        <v>106</v>
      </c>
      <c r="BL96" s="45" t="s">
        <v>115</v>
      </c>
      <c r="BM96" s="45" t="s">
        <v>48</v>
      </c>
      <c r="BN96" s="45" t="s">
        <v>153</v>
      </c>
      <c r="BO96" s="45" t="s">
        <v>143</v>
      </c>
      <c r="BP96" s="45" t="s">
        <v>77</v>
      </c>
      <c r="BQ96" s="45" t="s">
        <v>145</v>
      </c>
      <c r="BR96" s="45" t="s">
        <v>131</v>
      </c>
      <c r="BS96" s="45" t="s">
        <v>14</v>
      </c>
      <c r="BT96" s="45" t="s">
        <v>25</v>
      </c>
      <c r="BU96" s="45" t="s">
        <v>26</v>
      </c>
      <c r="BV96" s="45" t="s">
        <v>143</v>
      </c>
      <c r="BW96" s="45" t="s">
        <v>121</v>
      </c>
      <c r="BX96" s="45" t="s">
        <v>89</v>
      </c>
      <c r="BY96" s="45" t="s">
        <v>143</v>
      </c>
      <c r="BZ96" s="45" t="s">
        <v>143</v>
      </c>
      <c r="CA96" s="45" t="s">
        <v>52</v>
      </c>
      <c r="CB96" s="45" t="s">
        <v>51</v>
      </c>
      <c r="CC96" s="45" t="s">
        <v>43</v>
      </c>
      <c r="CD96" s="45" t="s">
        <v>84</v>
      </c>
      <c r="CE96" s="45" t="s">
        <v>26</v>
      </c>
      <c r="CF96" s="45" t="s">
        <v>120</v>
      </c>
      <c r="CG96" s="45" t="s">
        <v>55</v>
      </c>
      <c r="CH96" s="45" t="s">
        <v>77</v>
      </c>
      <c r="CI96" s="45" t="s">
        <v>12</v>
      </c>
      <c r="CJ96" s="45" t="s">
        <v>77</v>
      </c>
      <c r="CK96" s="45" t="s">
        <v>14</v>
      </c>
      <c r="CL96" s="45" t="s">
        <v>152</v>
      </c>
      <c r="CM96" s="45" t="s">
        <v>26</v>
      </c>
      <c r="CN96" s="45" t="s">
        <v>43</v>
      </c>
      <c r="CO96" s="45" t="s">
        <v>58</v>
      </c>
      <c r="CP96" s="45" t="s">
        <v>13</v>
      </c>
      <c r="CQ96" s="45" t="s">
        <v>18</v>
      </c>
      <c r="CR96" s="45" t="s">
        <v>51</v>
      </c>
      <c r="CS96" s="45" t="s">
        <v>51</v>
      </c>
      <c r="CT96" s="45" t="s">
        <v>47</v>
      </c>
      <c r="CU96" s="45" t="s">
        <v>108</v>
      </c>
      <c r="CV96" s="45" t="s">
        <v>115</v>
      </c>
      <c r="CW96" s="45" t="s">
        <v>50</v>
      </c>
      <c r="CX96" s="45" t="s">
        <v>26</v>
      </c>
      <c r="CY96" s="45" t="s">
        <v>77</v>
      </c>
      <c r="CZ96" s="45" t="s">
        <v>138</v>
      </c>
      <c r="DA96" s="45" t="s">
        <v>138</v>
      </c>
      <c r="DB96" s="45" t="s">
        <v>84</v>
      </c>
      <c r="DC96" s="45" t="s">
        <v>143</v>
      </c>
      <c r="DD96" s="45" t="s">
        <v>145</v>
      </c>
      <c r="DE96" s="45" t="s">
        <v>106</v>
      </c>
      <c r="DF96" s="45" t="s">
        <v>14</v>
      </c>
      <c r="DG96" s="45" t="s">
        <v>18</v>
      </c>
      <c r="DH96" s="45" t="s">
        <v>37</v>
      </c>
      <c r="DI96" s="45" t="s">
        <v>110</v>
      </c>
      <c r="DJ96" s="45" t="s">
        <v>110</v>
      </c>
      <c r="DK96" s="45" t="s">
        <v>18</v>
      </c>
      <c r="DL96" s="45" t="s">
        <v>67</v>
      </c>
      <c r="DM96" s="45" t="s">
        <v>131</v>
      </c>
      <c r="DN96" s="45" t="s">
        <v>58</v>
      </c>
      <c r="DO96" s="45" t="s">
        <v>116</v>
      </c>
      <c r="DP96" s="45" t="s">
        <v>131</v>
      </c>
      <c r="DQ96" s="45" t="s">
        <v>122</v>
      </c>
      <c r="DR96" s="45" t="s">
        <v>117</v>
      </c>
      <c r="DS96" s="45" t="s">
        <v>149</v>
      </c>
      <c r="DT96" s="45" t="s">
        <v>138</v>
      </c>
      <c r="DU96" s="45" t="s">
        <v>133</v>
      </c>
      <c r="DV96" s="45" t="s">
        <v>110</v>
      </c>
      <c r="DW96" s="45" t="s">
        <v>106</v>
      </c>
      <c r="DX96" s="45" t="s">
        <v>99</v>
      </c>
      <c r="DY96" s="45" t="s">
        <v>122</v>
      </c>
      <c r="DZ96" s="45" t="s">
        <v>117</v>
      </c>
      <c r="EA96" s="45" t="s">
        <v>138</v>
      </c>
      <c r="EB96" s="45" t="s">
        <v>14</v>
      </c>
      <c r="EC96" s="45" t="s">
        <v>131</v>
      </c>
      <c r="ED96" s="45" t="s">
        <v>149</v>
      </c>
      <c r="EE96" s="45" t="s">
        <v>99</v>
      </c>
      <c r="EF96" s="45" t="s">
        <v>82</v>
      </c>
      <c r="EG96" s="45" t="s">
        <v>82</v>
      </c>
      <c r="EH96" s="45" t="s">
        <v>50</v>
      </c>
      <c r="EI96" s="45" t="s">
        <v>124</v>
      </c>
      <c r="EJ96" s="45" t="s">
        <v>82</v>
      </c>
    </row>
    <row r="97" customFormat="false" ht="15.75" hidden="false" customHeight="false" outlineLevel="0" collapsed="false">
      <c r="A97" s="249" t="n">
        <v>80</v>
      </c>
      <c r="B97" s="251" t="s">
        <v>52</v>
      </c>
      <c r="C97" s="45" t="s">
        <v>54</v>
      </c>
      <c r="D97" s="45" t="s">
        <v>147</v>
      </c>
      <c r="E97" s="45" t="s">
        <v>126</v>
      </c>
      <c r="F97" s="45" t="s">
        <v>55</v>
      </c>
      <c r="G97" s="45" t="s">
        <v>94</v>
      </c>
      <c r="H97" s="45" t="s">
        <v>31</v>
      </c>
      <c r="I97" s="45" t="s">
        <v>55</v>
      </c>
      <c r="J97" s="45" t="s">
        <v>104</v>
      </c>
      <c r="K97" s="45" t="s">
        <v>43</v>
      </c>
      <c r="L97" s="45" t="s">
        <v>95</v>
      </c>
      <c r="M97" s="45" t="s">
        <v>115</v>
      </c>
      <c r="N97" s="45" t="s">
        <v>94</v>
      </c>
      <c r="O97" s="45" t="s">
        <v>94</v>
      </c>
      <c r="P97" s="45" t="s">
        <v>104</v>
      </c>
      <c r="Q97" s="45" t="s">
        <v>104</v>
      </c>
      <c r="R97" s="45" t="s">
        <v>147</v>
      </c>
      <c r="S97" s="45" t="s">
        <v>94</v>
      </c>
      <c r="T97" s="45" t="s">
        <v>54</v>
      </c>
      <c r="U97" s="45" t="s">
        <v>94</v>
      </c>
      <c r="V97" s="45" t="s">
        <v>147</v>
      </c>
      <c r="W97" s="45" t="s">
        <v>121</v>
      </c>
      <c r="X97" s="45" t="s">
        <v>89</v>
      </c>
      <c r="Y97" s="45" t="s">
        <v>43</v>
      </c>
      <c r="Z97" s="45" t="s">
        <v>121</v>
      </c>
      <c r="AA97" s="45" t="s">
        <v>108</v>
      </c>
      <c r="AB97" s="45" t="s">
        <v>54</v>
      </c>
      <c r="AC97" s="45" t="s">
        <v>55</v>
      </c>
      <c r="AD97" s="45" t="s">
        <v>84</v>
      </c>
      <c r="AE97" s="45" t="s">
        <v>13</v>
      </c>
      <c r="AF97" s="45" t="s">
        <v>31</v>
      </c>
      <c r="AG97" s="45" t="s">
        <v>108</v>
      </c>
      <c r="AH97" s="45" t="s">
        <v>25</v>
      </c>
      <c r="AI97" s="45" t="s">
        <v>48</v>
      </c>
      <c r="AJ97" s="45" t="s">
        <v>44</v>
      </c>
      <c r="AK97" s="45" t="s">
        <v>44</v>
      </c>
      <c r="AL97" s="45" t="s">
        <v>55</v>
      </c>
      <c r="AM97" s="45" t="s">
        <v>55</v>
      </c>
      <c r="AN97" s="45" t="s">
        <v>153</v>
      </c>
      <c r="AO97" s="45" t="s">
        <v>152</v>
      </c>
      <c r="AP97" s="45" t="s">
        <v>29</v>
      </c>
      <c r="AQ97" s="45" t="s">
        <v>120</v>
      </c>
      <c r="AR97" s="45" t="s">
        <v>25</v>
      </c>
      <c r="AS97" s="45" t="s">
        <v>120</v>
      </c>
      <c r="AT97" s="45" t="s">
        <v>25</v>
      </c>
      <c r="AU97" s="45" t="s">
        <v>153</v>
      </c>
      <c r="AV97" s="45" t="s">
        <v>48</v>
      </c>
      <c r="AW97" s="45" t="s">
        <v>133</v>
      </c>
      <c r="AX97" s="45" t="s">
        <v>133</v>
      </c>
      <c r="AY97" s="45" t="s">
        <v>67</v>
      </c>
      <c r="AZ97" s="45" t="s">
        <v>145</v>
      </c>
      <c r="BA97" s="45" t="s">
        <v>25</v>
      </c>
      <c r="BB97" s="45" t="s">
        <v>36</v>
      </c>
      <c r="BC97" s="45" t="s">
        <v>89</v>
      </c>
      <c r="BD97" s="45" t="s">
        <v>89</v>
      </c>
      <c r="BE97" s="45" t="s">
        <v>120</v>
      </c>
      <c r="BF97" s="45" t="s">
        <v>116</v>
      </c>
      <c r="BG97" s="45" t="s">
        <v>116</v>
      </c>
      <c r="BH97" s="45" t="s">
        <v>58</v>
      </c>
      <c r="BI97" s="45" t="s">
        <v>13</v>
      </c>
      <c r="BJ97" s="45" t="s">
        <v>36</v>
      </c>
      <c r="BK97" s="45" t="s">
        <v>106</v>
      </c>
      <c r="BL97" s="45" t="s">
        <v>115</v>
      </c>
      <c r="BM97" s="45" t="s">
        <v>48</v>
      </c>
      <c r="BN97" s="45" t="s">
        <v>88</v>
      </c>
      <c r="BO97" s="45" t="s">
        <v>145</v>
      </c>
      <c r="BP97" s="45" t="s">
        <v>77</v>
      </c>
      <c r="BQ97" s="45" t="s">
        <v>26</v>
      </c>
      <c r="BR97" s="45" t="s">
        <v>131</v>
      </c>
      <c r="BS97" s="45" t="s">
        <v>14</v>
      </c>
      <c r="BT97" s="45" t="s">
        <v>25</v>
      </c>
      <c r="BU97" s="45" t="s">
        <v>26</v>
      </c>
      <c r="BV97" s="45" t="s">
        <v>143</v>
      </c>
      <c r="BW97" s="45" t="s">
        <v>34</v>
      </c>
      <c r="BX97" s="45" t="s">
        <v>44</v>
      </c>
      <c r="BY97" s="45" t="s">
        <v>143</v>
      </c>
      <c r="BZ97" s="45" t="s">
        <v>143</v>
      </c>
      <c r="CA97" s="45" t="s">
        <v>51</v>
      </c>
      <c r="CB97" s="45" t="s">
        <v>51</v>
      </c>
      <c r="CC97" s="45" t="s">
        <v>43</v>
      </c>
      <c r="CD97" s="45" t="s">
        <v>143</v>
      </c>
      <c r="CE97" s="45" t="s">
        <v>26</v>
      </c>
      <c r="CF97" s="45" t="s">
        <v>120</v>
      </c>
      <c r="CG97" s="45" t="s">
        <v>55</v>
      </c>
      <c r="CH97" s="45" t="s">
        <v>77</v>
      </c>
      <c r="CI97" s="45" t="s">
        <v>12</v>
      </c>
      <c r="CJ97" s="45" t="s">
        <v>77</v>
      </c>
      <c r="CK97" s="45" t="s">
        <v>14</v>
      </c>
      <c r="CL97" s="45" t="s">
        <v>131</v>
      </c>
      <c r="CM97" s="45" t="s">
        <v>77</v>
      </c>
      <c r="CN97" s="45" t="s">
        <v>43</v>
      </c>
      <c r="CO97" s="45" t="s">
        <v>58</v>
      </c>
      <c r="CP97" s="45" t="s">
        <v>13</v>
      </c>
      <c r="CQ97" s="45" t="s">
        <v>37</v>
      </c>
      <c r="CR97" s="45" t="s">
        <v>51</v>
      </c>
      <c r="CS97" s="45" t="s">
        <v>52</v>
      </c>
      <c r="CT97" s="45" t="s">
        <v>47</v>
      </c>
      <c r="CU97" s="45" t="s">
        <v>47</v>
      </c>
      <c r="CV97" s="45" t="s">
        <v>115</v>
      </c>
      <c r="CW97" s="45" t="s">
        <v>50</v>
      </c>
      <c r="CX97" s="45" t="s">
        <v>26</v>
      </c>
      <c r="CY97" s="45" t="s">
        <v>77</v>
      </c>
      <c r="CZ97" s="45" t="s">
        <v>138</v>
      </c>
      <c r="DA97" s="45" t="s">
        <v>138</v>
      </c>
      <c r="DB97" s="45" t="s">
        <v>84</v>
      </c>
      <c r="DC97" s="45" t="s">
        <v>143</v>
      </c>
      <c r="DD97" s="45" t="s">
        <v>145</v>
      </c>
      <c r="DE97" s="45" t="s">
        <v>110</v>
      </c>
      <c r="DF97" s="45" t="s">
        <v>14</v>
      </c>
      <c r="DG97" s="45" t="s">
        <v>18</v>
      </c>
      <c r="DH97" s="45" t="s">
        <v>153</v>
      </c>
      <c r="DI97" s="45" t="s">
        <v>110</v>
      </c>
      <c r="DJ97" s="45" t="s">
        <v>138</v>
      </c>
      <c r="DK97" s="45" t="s">
        <v>18</v>
      </c>
      <c r="DL97" s="45" t="s">
        <v>18</v>
      </c>
      <c r="DM97" s="45" t="s">
        <v>106</v>
      </c>
      <c r="DN97" s="45" t="s">
        <v>142</v>
      </c>
      <c r="DO97" s="45" t="s">
        <v>58</v>
      </c>
      <c r="DP97" s="45" t="s">
        <v>131</v>
      </c>
      <c r="DQ97" s="45" t="s">
        <v>122</v>
      </c>
      <c r="DR97" s="45" t="s">
        <v>117</v>
      </c>
      <c r="DS97" s="45" t="s">
        <v>149</v>
      </c>
      <c r="DT97" s="45" t="s">
        <v>138</v>
      </c>
      <c r="DU97" s="45" t="s">
        <v>51</v>
      </c>
      <c r="DV97" s="45" t="s">
        <v>110</v>
      </c>
      <c r="DW97" s="45" t="s">
        <v>110</v>
      </c>
      <c r="DX97" s="45" t="s">
        <v>122</v>
      </c>
      <c r="DY97" s="45" t="s">
        <v>122</v>
      </c>
      <c r="DZ97" s="45" t="s">
        <v>117</v>
      </c>
      <c r="EA97" s="45" t="s">
        <v>14</v>
      </c>
      <c r="EB97" s="45" t="s">
        <v>117</v>
      </c>
      <c r="EC97" s="45" t="s">
        <v>131</v>
      </c>
      <c r="ED97" s="45" t="s">
        <v>50</v>
      </c>
      <c r="EE97" s="45" t="s">
        <v>99</v>
      </c>
      <c r="EF97" s="45" t="s">
        <v>82</v>
      </c>
      <c r="EG97" s="45" t="s">
        <v>99</v>
      </c>
      <c r="EH97" s="45" t="s">
        <v>124</v>
      </c>
      <c r="EI97" s="45" t="s">
        <v>82</v>
      </c>
      <c r="EJ97" s="45" t="s">
        <v>82</v>
      </c>
    </row>
    <row r="98" customFormat="false" ht="15.75" hidden="false" customHeight="false" outlineLevel="0" collapsed="false">
      <c r="A98" s="249" t="n">
        <v>81</v>
      </c>
      <c r="B98" s="250" t="s">
        <v>85</v>
      </c>
      <c r="C98" s="45" t="s">
        <v>80</v>
      </c>
      <c r="D98" s="45" t="s">
        <v>80</v>
      </c>
      <c r="E98" s="45" t="s">
        <v>42</v>
      </c>
      <c r="F98" s="45" t="s">
        <v>141</v>
      </c>
      <c r="G98" s="45" t="s">
        <v>61</v>
      </c>
      <c r="H98" s="45" t="s">
        <v>87</v>
      </c>
      <c r="I98" s="45" t="s">
        <v>141</v>
      </c>
      <c r="J98" s="45" t="s">
        <v>85</v>
      </c>
      <c r="K98" s="45" t="s">
        <v>41</v>
      </c>
      <c r="L98" s="45" t="s">
        <v>137</v>
      </c>
      <c r="M98" s="45" t="s">
        <v>104</v>
      </c>
      <c r="N98" s="45" t="s">
        <v>28</v>
      </c>
      <c r="O98" s="45" t="s">
        <v>125</v>
      </c>
      <c r="P98" s="45" t="s">
        <v>139</v>
      </c>
      <c r="Q98" s="45" t="s">
        <v>139</v>
      </c>
      <c r="R98" s="45" t="s">
        <v>114</v>
      </c>
      <c r="S98" s="45" t="s">
        <v>28</v>
      </c>
      <c r="T98" s="45" t="s">
        <v>80</v>
      </c>
      <c r="U98" s="45" t="s">
        <v>28</v>
      </c>
      <c r="V98" s="45" t="s">
        <v>114</v>
      </c>
      <c r="W98" s="45" t="s">
        <v>139</v>
      </c>
      <c r="X98" s="45" t="s">
        <v>151</v>
      </c>
      <c r="Y98" s="45" t="s">
        <v>62</v>
      </c>
      <c r="Z98" s="45" t="s">
        <v>69</v>
      </c>
      <c r="AA98" s="45" t="s">
        <v>86</v>
      </c>
      <c r="AB98" s="45" t="s">
        <v>80</v>
      </c>
      <c r="AC98" s="45" t="s">
        <v>114</v>
      </c>
      <c r="AD98" s="45" t="s">
        <v>46</v>
      </c>
      <c r="AE98" s="45" t="s">
        <v>150</v>
      </c>
      <c r="AF98" s="45" t="s">
        <v>137</v>
      </c>
      <c r="AG98" s="45" t="s">
        <v>86</v>
      </c>
      <c r="AH98" s="45" t="s">
        <v>64</v>
      </c>
      <c r="AI98" s="45" t="s">
        <v>87</v>
      </c>
      <c r="AJ98" s="45" t="s">
        <v>111</v>
      </c>
      <c r="AK98" s="45" t="s">
        <v>111</v>
      </c>
      <c r="AL98" s="45" t="s">
        <v>141</v>
      </c>
      <c r="AM98" s="45" t="s">
        <v>141</v>
      </c>
      <c r="AN98" s="45" t="s">
        <v>43</v>
      </c>
      <c r="AO98" s="45" t="s">
        <v>89</v>
      </c>
      <c r="AP98" s="45" t="s">
        <v>62</v>
      </c>
      <c r="AQ98" s="45" t="s">
        <v>64</v>
      </c>
      <c r="AR98" s="45" t="s">
        <v>33</v>
      </c>
      <c r="AS98" s="45" t="s">
        <v>64</v>
      </c>
      <c r="AT98" s="45" t="s">
        <v>33</v>
      </c>
      <c r="AU98" s="45" t="s">
        <v>43</v>
      </c>
      <c r="AV98" s="45" t="s">
        <v>87</v>
      </c>
      <c r="AW98" s="45" t="s">
        <v>48</v>
      </c>
      <c r="AX98" s="45" t="s">
        <v>48</v>
      </c>
      <c r="AY98" s="45" t="s">
        <v>121</v>
      </c>
      <c r="AZ98" s="45" t="s">
        <v>63</v>
      </c>
      <c r="BA98" s="45" t="s">
        <v>33</v>
      </c>
      <c r="BB98" s="45" t="s">
        <v>150</v>
      </c>
      <c r="BC98" s="45" t="s">
        <v>151</v>
      </c>
      <c r="BD98" s="45" t="s">
        <v>41</v>
      </c>
      <c r="BE98" s="45" t="s">
        <v>96</v>
      </c>
      <c r="BF98" s="45" t="s">
        <v>101</v>
      </c>
      <c r="BG98" s="45" t="s">
        <v>129</v>
      </c>
      <c r="BH98" s="45" t="s">
        <v>129</v>
      </c>
      <c r="BI98" s="45" t="s">
        <v>101</v>
      </c>
      <c r="BJ98" s="45" t="s">
        <v>150</v>
      </c>
      <c r="BK98" s="45" t="s">
        <v>13</v>
      </c>
      <c r="BL98" s="45" t="s">
        <v>104</v>
      </c>
      <c r="BM98" s="45" t="s">
        <v>57</v>
      </c>
      <c r="BN98" s="45" t="s">
        <v>89</v>
      </c>
      <c r="BO98" s="45" t="s">
        <v>63</v>
      </c>
      <c r="BP98" s="45" t="s">
        <v>55</v>
      </c>
      <c r="BQ98" s="45" t="s">
        <v>54</v>
      </c>
      <c r="BR98" s="45" t="s">
        <v>44</v>
      </c>
      <c r="BS98" s="45" t="s">
        <v>142</v>
      </c>
      <c r="BT98" s="45" t="s">
        <v>22</v>
      </c>
      <c r="BU98" s="45" t="s">
        <v>54</v>
      </c>
      <c r="BV98" s="45" t="s">
        <v>66</v>
      </c>
      <c r="BW98" s="45" t="s">
        <v>40</v>
      </c>
      <c r="BX98" s="45" t="s">
        <v>151</v>
      </c>
      <c r="BY98" s="45" t="s">
        <v>66</v>
      </c>
      <c r="BZ98" s="45" t="s">
        <v>63</v>
      </c>
      <c r="CA98" s="45" t="s">
        <v>108</v>
      </c>
      <c r="CB98" s="45" t="s">
        <v>108</v>
      </c>
      <c r="CC98" s="45" t="s">
        <v>41</v>
      </c>
      <c r="CD98" s="45" t="s">
        <v>46</v>
      </c>
      <c r="CE98" s="45" t="s">
        <v>54</v>
      </c>
      <c r="CF98" s="45" t="s">
        <v>96</v>
      </c>
      <c r="CG98" s="45" t="s">
        <v>61</v>
      </c>
      <c r="CH98" s="45" t="s">
        <v>94</v>
      </c>
      <c r="CI98" s="45" t="s">
        <v>95</v>
      </c>
      <c r="CJ98" s="45" t="s">
        <v>94</v>
      </c>
      <c r="CK98" s="45" t="s">
        <v>120</v>
      </c>
      <c r="CL98" s="45" t="s">
        <v>44</v>
      </c>
      <c r="CM98" s="45" t="s">
        <v>55</v>
      </c>
      <c r="CN98" s="45" t="s">
        <v>41</v>
      </c>
      <c r="CO98" s="45" t="s">
        <v>129</v>
      </c>
      <c r="CP98" s="45" t="s">
        <v>128</v>
      </c>
      <c r="CQ98" s="45" t="s">
        <v>43</v>
      </c>
      <c r="CR98" s="45" t="s">
        <v>47</v>
      </c>
      <c r="CS98" s="45" t="s">
        <v>47</v>
      </c>
      <c r="CT98" s="45" t="s">
        <v>85</v>
      </c>
      <c r="CU98" s="45" t="s">
        <v>85</v>
      </c>
      <c r="CV98" s="45" t="s">
        <v>121</v>
      </c>
      <c r="CW98" s="45" t="s">
        <v>84</v>
      </c>
      <c r="CX98" s="45" t="s">
        <v>55</v>
      </c>
      <c r="CY98" s="45" t="s">
        <v>94</v>
      </c>
      <c r="CZ98" s="45" t="s">
        <v>58</v>
      </c>
      <c r="DA98" s="45" t="s">
        <v>58</v>
      </c>
      <c r="DB98" s="45" t="s">
        <v>46</v>
      </c>
      <c r="DC98" s="45" t="s">
        <v>144</v>
      </c>
      <c r="DD98" s="45" t="s">
        <v>126</v>
      </c>
      <c r="DE98" s="45" t="s">
        <v>13</v>
      </c>
      <c r="DF98" s="45" t="s">
        <v>142</v>
      </c>
      <c r="DG98" s="45" t="s">
        <v>29</v>
      </c>
      <c r="DH98" s="45" t="s">
        <v>43</v>
      </c>
      <c r="DI98" s="45" t="s">
        <v>116</v>
      </c>
      <c r="DJ98" s="45" t="s">
        <v>116</v>
      </c>
      <c r="DK98" s="45" t="s">
        <v>29</v>
      </c>
      <c r="DL98" s="45" t="s">
        <v>34</v>
      </c>
      <c r="DM98" s="45" t="s">
        <v>36</v>
      </c>
      <c r="DN98" s="45" t="s">
        <v>91</v>
      </c>
      <c r="DO98" s="45" t="s">
        <v>129</v>
      </c>
      <c r="DP98" s="45" t="s">
        <v>36</v>
      </c>
      <c r="DQ98" s="45" t="s">
        <v>26</v>
      </c>
      <c r="DR98" s="45" t="s">
        <v>120</v>
      </c>
      <c r="DS98" s="45" t="s">
        <v>25</v>
      </c>
      <c r="DT98" s="45" t="s">
        <v>58</v>
      </c>
      <c r="DU98" s="45" t="s">
        <v>48</v>
      </c>
      <c r="DV98" s="45" t="s">
        <v>13</v>
      </c>
      <c r="DW98" s="45" t="s">
        <v>13</v>
      </c>
      <c r="DX98" s="45" t="s">
        <v>145</v>
      </c>
      <c r="DY98" s="45" t="s">
        <v>26</v>
      </c>
      <c r="DZ98" s="45" t="s">
        <v>120</v>
      </c>
      <c r="EA98" s="45" t="s">
        <v>142</v>
      </c>
      <c r="EB98" s="45" t="s">
        <v>120</v>
      </c>
      <c r="EC98" s="45" t="s">
        <v>44</v>
      </c>
      <c r="ED98" s="45" t="s">
        <v>84</v>
      </c>
      <c r="EE98" s="45" t="s">
        <v>145</v>
      </c>
      <c r="EF98" s="45" t="s">
        <v>143</v>
      </c>
      <c r="EG98" s="45" t="s">
        <v>145</v>
      </c>
      <c r="EH98" s="45" t="s">
        <v>143</v>
      </c>
      <c r="EI98" s="45" t="s">
        <v>143</v>
      </c>
      <c r="EJ98" s="45" t="s">
        <v>143</v>
      </c>
    </row>
    <row r="99" customFormat="false" ht="15.75" hidden="false" customHeight="false" outlineLevel="0" collapsed="false">
      <c r="A99" s="249" t="n">
        <v>81</v>
      </c>
      <c r="B99" s="251" t="s">
        <v>86</v>
      </c>
      <c r="C99" s="45" t="s">
        <v>80</v>
      </c>
      <c r="D99" s="45" t="s">
        <v>80</v>
      </c>
      <c r="E99" s="45" t="s">
        <v>42</v>
      </c>
      <c r="F99" s="45" t="s">
        <v>114</v>
      </c>
      <c r="G99" s="45" t="s">
        <v>141</v>
      </c>
      <c r="H99" s="45" t="s">
        <v>137</v>
      </c>
      <c r="I99" s="45" t="s">
        <v>141</v>
      </c>
      <c r="J99" s="45" t="s">
        <v>85</v>
      </c>
      <c r="K99" s="45" t="s">
        <v>41</v>
      </c>
      <c r="L99" s="45" t="s">
        <v>125</v>
      </c>
      <c r="M99" s="45" t="s">
        <v>47</v>
      </c>
      <c r="N99" s="45" t="s">
        <v>28</v>
      </c>
      <c r="O99" s="45" t="s">
        <v>28</v>
      </c>
      <c r="P99" s="45" t="s">
        <v>85</v>
      </c>
      <c r="Q99" s="45" t="s">
        <v>85</v>
      </c>
      <c r="R99" s="45" t="s">
        <v>80</v>
      </c>
      <c r="S99" s="45" t="s">
        <v>61</v>
      </c>
      <c r="T99" s="45" t="s">
        <v>42</v>
      </c>
      <c r="U99" s="45" t="s">
        <v>28</v>
      </c>
      <c r="V99" s="45" t="s">
        <v>80</v>
      </c>
      <c r="W99" s="45" t="s">
        <v>139</v>
      </c>
      <c r="X99" s="45" t="s">
        <v>41</v>
      </c>
      <c r="Y99" s="45" t="s">
        <v>62</v>
      </c>
      <c r="Z99" s="45" t="s">
        <v>139</v>
      </c>
      <c r="AA99" s="45" t="s">
        <v>57</v>
      </c>
      <c r="AB99" s="45" t="s">
        <v>80</v>
      </c>
      <c r="AC99" s="45" t="s">
        <v>114</v>
      </c>
      <c r="AD99" s="45" t="s">
        <v>22</v>
      </c>
      <c r="AE99" s="45" t="s">
        <v>150</v>
      </c>
      <c r="AF99" s="45" t="s">
        <v>137</v>
      </c>
      <c r="AG99" s="45" t="s">
        <v>86</v>
      </c>
      <c r="AH99" s="45" t="s">
        <v>64</v>
      </c>
      <c r="AI99" s="45" t="s">
        <v>87</v>
      </c>
      <c r="AJ99" s="45" t="s">
        <v>111</v>
      </c>
      <c r="AK99" s="45" t="s">
        <v>151</v>
      </c>
      <c r="AL99" s="45" t="s">
        <v>141</v>
      </c>
      <c r="AM99" s="45" t="s">
        <v>114</v>
      </c>
      <c r="AN99" s="45" t="s">
        <v>43</v>
      </c>
      <c r="AO99" s="45" t="s">
        <v>89</v>
      </c>
      <c r="AP99" s="45" t="s">
        <v>40</v>
      </c>
      <c r="AQ99" s="45" t="s">
        <v>96</v>
      </c>
      <c r="AR99" s="45" t="s">
        <v>33</v>
      </c>
      <c r="AS99" s="45" t="s">
        <v>64</v>
      </c>
      <c r="AT99" s="45" t="s">
        <v>64</v>
      </c>
      <c r="AU99" s="45" t="s">
        <v>43</v>
      </c>
      <c r="AV99" s="45" t="s">
        <v>87</v>
      </c>
      <c r="AW99" s="45" t="s">
        <v>31</v>
      </c>
      <c r="AX99" s="45" t="s">
        <v>48</v>
      </c>
      <c r="AY99" s="45" t="s">
        <v>121</v>
      </c>
      <c r="AZ99" s="45" t="s">
        <v>63</v>
      </c>
      <c r="BA99" s="45" t="s">
        <v>33</v>
      </c>
      <c r="BB99" s="45" t="s">
        <v>111</v>
      </c>
      <c r="BC99" s="45" t="s">
        <v>151</v>
      </c>
      <c r="BD99" s="45" t="s">
        <v>41</v>
      </c>
      <c r="BE99" s="45" t="s">
        <v>96</v>
      </c>
      <c r="BF99" s="45" t="s">
        <v>101</v>
      </c>
      <c r="BG99" s="45" t="s">
        <v>101</v>
      </c>
      <c r="BH99" s="45" t="s">
        <v>129</v>
      </c>
      <c r="BI99" s="45" t="s">
        <v>128</v>
      </c>
      <c r="BJ99" s="45" t="s">
        <v>150</v>
      </c>
      <c r="BK99" s="45" t="s">
        <v>36</v>
      </c>
      <c r="BL99" s="45" t="s">
        <v>104</v>
      </c>
      <c r="BM99" s="45" t="s">
        <v>87</v>
      </c>
      <c r="BN99" s="45" t="s">
        <v>43</v>
      </c>
      <c r="BO99" s="45" t="s">
        <v>63</v>
      </c>
      <c r="BP99" s="45" t="s">
        <v>55</v>
      </c>
      <c r="BQ99" s="45" t="s">
        <v>126</v>
      </c>
      <c r="BR99" s="45" t="s">
        <v>44</v>
      </c>
      <c r="BS99" s="45" t="s">
        <v>142</v>
      </c>
      <c r="BT99" s="45" t="s">
        <v>33</v>
      </c>
      <c r="BU99" s="45" t="s">
        <v>54</v>
      </c>
      <c r="BV99" s="45" t="s">
        <v>144</v>
      </c>
      <c r="BW99" s="45" t="s">
        <v>69</v>
      </c>
      <c r="BX99" s="45" t="s">
        <v>151</v>
      </c>
      <c r="BY99" s="45" t="s">
        <v>66</v>
      </c>
      <c r="BZ99" s="45" t="s">
        <v>66</v>
      </c>
      <c r="CA99" s="45" t="s">
        <v>48</v>
      </c>
      <c r="CB99" s="45" t="s">
        <v>108</v>
      </c>
      <c r="CC99" s="45" t="s">
        <v>41</v>
      </c>
      <c r="CD99" s="45" t="s">
        <v>46</v>
      </c>
      <c r="CE99" s="45" t="s">
        <v>54</v>
      </c>
      <c r="CF99" s="45" t="s">
        <v>96</v>
      </c>
      <c r="CG99" s="45" t="s">
        <v>141</v>
      </c>
      <c r="CH99" s="45" t="s">
        <v>94</v>
      </c>
      <c r="CI99" s="45" t="s">
        <v>94</v>
      </c>
      <c r="CJ99" s="45" t="s">
        <v>94</v>
      </c>
      <c r="CK99" s="45" t="s">
        <v>142</v>
      </c>
      <c r="CL99" s="45" t="s">
        <v>89</v>
      </c>
      <c r="CM99" s="45" t="s">
        <v>55</v>
      </c>
      <c r="CN99" s="45" t="s">
        <v>41</v>
      </c>
      <c r="CO99" s="45" t="s">
        <v>129</v>
      </c>
      <c r="CP99" s="45" t="s">
        <v>150</v>
      </c>
      <c r="CQ99" s="45" t="s">
        <v>29</v>
      </c>
      <c r="CR99" s="45" t="s">
        <v>108</v>
      </c>
      <c r="CS99" s="45" t="s">
        <v>47</v>
      </c>
      <c r="CT99" s="45" t="s">
        <v>85</v>
      </c>
      <c r="CU99" s="45" t="s">
        <v>86</v>
      </c>
      <c r="CV99" s="45" t="s">
        <v>104</v>
      </c>
      <c r="CW99" s="45" t="s">
        <v>84</v>
      </c>
      <c r="CX99" s="45" t="s">
        <v>147</v>
      </c>
      <c r="CY99" s="45" t="s">
        <v>55</v>
      </c>
      <c r="CZ99" s="45" t="s">
        <v>116</v>
      </c>
      <c r="DA99" s="45" t="s">
        <v>58</v>
      </c>
      <c r="DB99" s="45" t="s">
        <v>46</v>
      </c>
      <c r="DC99" s="45" t="s">
        <v>46</v>
      </c>
      <c r="DD99" s="45" t="s">
        <v>63</v>
      </c>
      <c r="DE99" s="45" t="s">
        <v>13</v>
      </c>
      <c r="DF99" s="45" t="s">
        <v>142</v>
      </c>
      <c r="DG99" s="45" t="s">
        <v>34</v>
      </c>
      <c r="DH99" s="45" t="s">
        <v>43</v>
      </c>
      <c r="DI99" s="45" t="s">
        <v>13</v>
      </c>
      <c r="DJ99" s="45" t="s">
        <v>116</v>
      </c>
      <c r="DK99" s="45" t="s">
        <v>29</v>
      </c>
      <c r="DL99" s="45" t="s">
        <v>121</v>
      </c>
      <c r="DM99" s="45" t="s">
        <v>36</v>
      </c>
      <c r="DN99" s="45" t="s">
        <v>129</v>
      </c>
      <c r="DO99" s="45" t="s">
        <v>129</v>
      </c>
      <c r="DP99" s="45" t="s">
        <v>44</v>
      </c>
      <c r="DQ99" s="45" t="s">
        <v>26</v>
      </c>
      <c r="DR99" s="45" t="s">
        <v>120</v>
      </c>
      <c r="DS99" s="45" t="s">
        <v>25</v>
      </c>
      <c r="DT99" s="45" t="s">
        <v>58</v>
      </c>
      <c r="DU99" s="45" t="s">
        <v>48</v>
      </c>
      <c r="DV99" s="45" t="s">
        <v>13</v>
      </c>
      <c r="DW99" s="45" t="s">
        <v>13</v>
      </c>
      <c r="DX99" s="45" t="s">
        <v>145</v>
      </c>
      <c r="DY99" s="45" t="s">
        <v>145</v>
      </c>
      <c r="DZ99" s="45" t="s">
        <v>120</v>
      </c>
      <c r="EA99" s="45" t="s">
        <v>58</v>
      </c>
      <c r="EB99" s="45" t="s">
        <v>120</v>
      </c>
      <c r="EC99" s="45" t="s">
        <v>44</v>
      </c>
      <c r="ED99" s="45" t="s">
        <v>25</v>
      </c>
      <c r="EE99" s="45" t="s">
        <v>145</v>
      </c>
      <c r="EF99" s="45" t="s">
        <v>143</v>
      </c>
      <c r="EG99" s="45" t="s">
        <v>143</v>
      </c>
      <c r="EH99" s="45" t="s">
        <v>84</v>
      </c>
      <c r="EI99" s="45" t="s">
        <v>143</v>
      </c>
      <c r="EJ99" s="45" t="s">
        <v>143</v>
      </c>
    </row>
    <row r="100" customFormat="false" ht="15.75" hidden="false" customHeight="false" outlineLevel="0" collapsed="false">
      <c r="A100" s="249" t="n">
        <v>82</v>
      </c>
      <c r="B100" s="250" t="s">
        <v>18</v>
      </c>
      <c r="C100" s="45" t="s">
        <v>55</v>
      </c>
      <c r="D100" s="45" t="s">
        <v>55</v>
      </c>
      <c r="E100" s="45" t="s">
        <v>54</v>
      </c>
      <c r="F100" s="45" t="s">
        <v>94</v>
      </c>
      <c r="G100" s="45" t="s">
        <v>94</v>
      </c>
      <c r="H100" s="45" t="s">
        <v>48</v>
      </c>
      <c r="I100" s="45" t="s">
        <v>94</v>
      </c>
      <c r="J100" s="45" t="s">
        <v>121</v>
      </c>
      <c r="K100" s="45" t="s">
        <v>89</v>
      </c>
      <c r="L100" s="45" t="s">
        <v>48</v>
      </c>
      <c r="M100" s="45" t="s">
        <v>67</v>
      </c>
      <c r="N100" s="45" t="s">
        <v>31</v>
      </c>
      <c r="O100" s="45" t="s">
        <v>31</v>
      </c>
      <c r="P100" s="45" t="s">
        <v>34</v>
      </c>
      <c r="Q100" s="45" t="s">
        <v>34</v>
      </c>
      <c r="R100" s="45" t="s">
        <v>55</v>
      </c>
      <c r="S100" s="45" t="s">
        <v>94</v>
      </c>
      <c r="T100" s="45" t="s">
        <v>147</v>
      </c>
      <c r="U100" s="45" t="s">
        <v>95</v>
      </c>
      <c r="V100" s="45" t="s">
        <v>55</v>
      </c>
      <c r="W100" s="45" t="s">
        <v>29</v>
      </c>
      <c r="X100" s="45" t="s">
        <v>44</v>
      </c>
      <c r="Y100" s="45" t="s">
        <v>43</v>
      </c>
      <c r="Z100" s="45" t="s">
        <v>29</v>
      </c>
      <c r="AA100" s="45" t="s">
        <v>47</v>
      </c>
      <c r="AB100" s="45" t="s">
        <v>147</v>
      </c>
      <c r="AC100" s="45" t="s">
        <v>55</v>
      </c>
      <c r="AD100" s="45" t="s">
        <v>143</v>
      </c>
      <c r="AE100" s="45" t="s">
        <v>116</v>
      </c>
      <c r="AF100" s="45" t="s">
        <v>48</v>
      </c>
      <c r="AG100" s="45" t="s">
        <v>104</v>
      </c>
      <c r="AH100" s="45" t="s">
        <v>25</v>
      </c>
      <c r="AI100" s="45" t="s">
        <v>108</v>
      </c>
      <c r="AJ100" s="45" t="s">
        <v>13</v>
      </c>
      <c r="AK100" s="45" t="s">
        <v>36</v>
      </c>
      <c r="AL100" s="45" t="s">
        <v>94</v>
      </c>
      <c r="AM100" s="45" t="s">
        <v>94</v>
      </c>
      <c r="AN100" s="45" t="s">
        <v>152</v>
      </c>
      <c r="AO100" s="45" t="s">
        <v>131</v>
      </c>
      <c r="AP100" s="45" t="s">
        <v>43</v>
      </c>
      <c r="AQ100" s="45" t="s">
        <v>25</v>
      </c>
      <c r="AR100" s="45" t="s">
        <v>84</v>
      </c>
      <c r="AS100" s="45" t="s">
        <v>25</v>
      </c>
      <c r="AT100" s="45" t="s">
        <v>84</v>
      </c>
      <c r="AU100" s="45" t="s">
        <v>152</v>
      </c>
      <c r="AV100" s="45" t="s">
        <v>108</v>
      </c>
      <c r="AW100" s="45" t="s">
        <v>51</v>
      </c>
      <c r="AX100" s="45" t="s">
        <v>51</v>
      </c>
      <c r="AY100" s="45" t="s">
        <v>18</v>
      </c>
      <c r="AZ100" s="45" t="s">
        <v>26</v>
      </c>
      <c r="BA100" s="45" t="s">
        <v>84</v>
      </c>
      <c r="BB100" s="45" t="s">
        <v>13</v>
      </c>
      <c r="BC100" s="45" t="s">
        <v>44</v>
      </c>
      <c r="BD100" s="45" t="s">
        <v>44</v>
      </c>
      <c r="BE100" s="45" t="s">
        <v>120</v>
      </c>
      <c r="BF100" s="45" t="s">
        <v>58</v>
      </c>
      <c r="BG100" s="45" t="s">
        <v>58</v>
      </c>
      <c r="BH100" s="45" t="s">
        <v>142</v>
      </c>
      <c r="BI100" s="45" t="s">
        <v>58</v>
      </c>
      <c r="BJ100" s="45" t="s">
        <v>13</v>
      </c>
      <c r="BK100" s="45" t="s">
        <v>110</v>
      </c>
      <c r="BL100" s="45" t="s">
        <v>18</v>
      </c>
      <c r="BM100" s="45" t="s">
        <v>47</v>
      </c>
      <c r="BN100" s="45" t="s">
        <v>131</v>
      </c>
      <c r="BO100" s="45" t="s">
        <v>145</v>
      </c>
      <c r="BP100" s="45" t="s">
        <v>77</v>
      </c>
      <c r="BQ100" s="45" t="s">
        <v>26</v>
      </c>
      <c r="BR100" s="45" t="s">
        <v>106</v>
      </c>
      <c r="BS100" s="45" t="s">
        <v>117</v>
      </c>
      <c r="BT100" s="45" t="s">
        <v>143</v>
      </c>
      <c r="BU100" s="45" t="s">
        <v>26</v>
      </c>
      <c r="BV100" s="45" t="s">
        <v>145</v>
      </c>
      <c r="BW100" s="45" t="s">
        <v>43</v>
      </c>
      <c r="BX100" s="45" t="s">
        <v>36</v>
      </c>
      <c r="BY100" s="45" t="s">
        <v>145</v>
      </c>
      <c r="BZ100" s="45" t="s">
        <v>145</v>
      </c>
      <c r="CA100" s="45" t="s">
        <v>51</v>
      </c>
      <c r="CB100" s="45" t="s">
        <v>115</v>
      </c>
      <c r="CC100" s="45" t="s">
        <v>89</v>
      </c>
      <c r="CD100" s="45" t="s">
        <v>143</v>
      </c>
      <c r="CE100" s="45" t="s">
        <v>26</v>
      </c>
      <c r="CF100" s="45" t="s">
        <v>25</v>
      </c>
      <c r="CG100" s="45" t="s">
        <v>94</v>
      </c>
      <c r="CH100" s="45" t="s">
        <v>12</v>
      </c>
      <c r="CI100" s="45" t="s">
        <v>133</v>
      </c>
      <c r="CJ100" s="45" t="s">
        <v>12</v>
      </c>
      <c r="CK100" s="45" t="s">
        <v>117</v>
      </c>
      <c r="CL100" s="45" t="s">
        <v>131</v>
      </c>
      <c r="CM100" s="45" t="s">
        <v>77</v>
      </c>
      <c r="CN100" s="45" t="s">
        <v>89</v>
      </c>
      <c r="CO100" s="45" t="s">
        <v>142</v>
      </c>
      <c r="CP100" s="45" t="s">
        <v>116</v>
      </c>
      <c r="CQ100" s="45" t="s">
        <v>153</v>
      </c>
      <c r="CR100" s="45" t="s">
        <v>115</v>
      </c>
      <c r="CS100" s="45" t="s">
        <v>115</v>
      </c>
      <c r="CT100" s="45" t="s">
        <v>121</v>
      </c>
      <c r="CU100" s="45" t="s">
        <v>104</v>
      </c>
      <c r="CV100" s="45" t="s">
        <v>18</v>
      </c>
      <c r="CW100" s="45" t="s">
        <v>82</v>
      </c>
      <c r="CX100" s="45" t="s">
        <v>77</v>
      </c>
      <c r="CY100" s="45" t="s">
        <v>77</v>
      </c>
      <c r="CZ100" s="45" t="s">
        <v>14</v>
      </c>
      <c r="DA100" s="45" t="s">
        <v>14</v>
      </c>
      <c r="DB100" s="45" t="s">
        <v>143</v>
      </c>
      <c r="DC100" s="45" t="s">
        <v>143</v>
      </c>
      <c r="DD100" s="45" t="s">
        <v>26</v>
      </c>
      <c r="DE100" s="45" t="s">
        <v>138</v>
      </c>
      <c r="DF100" s="45" t="s">
        <v>117</v>
      </c>
      <c r="DG100" s="45" t="s">
        <v>153</v>
      </c>
      <c r="DH100" s="45" t="s">
        <v>88</v>
      </c>
      <c r="DI100" s="45" t="s">
        <v>138</v>
      </c>
      <c r="DJ100" s="45" t="s">
        <v>138</v>
      </c>
      <c r="DK100" s="45" t="s">
        <v>153</v>
      </c>
      <c r="DL100" s="45" t="s">
        <v>37</v>
      </c>
      <c r="DM100" s="45" t="s">
        <v>110</v>
      </c>
      <c r="DN100" s="45" t="s">
        <v>120</v>
      </c>
      <c r="DO100" s="45" t="s">
        <v>142</v>
      </c>
      <c r="DP100" s="45" t="s">
        <v>110</v>
      </c>
      <c r="DQ100" s="45" t="s">
        <v>105</v>
      </c>
      <c r="DR100" s="45" t="s">
        <v>149</v>
      </c>
      <c r="DS100" s="45" t="s">
        <v>124</v>
      </c>
      <c r="DT100" s="45" t="s">
        <v>14</v>
      </c>
      <c r="DU100" s="45" t="s">
        <v>51</v>
      </c>
      <c r="DV100" s="45" t="s">
        <v>138</v>
      </c>
      <c r="DW100" s="45" t="s">
        <v>138</v>
      </c>
      <c r="DX100" s="45" t="s">
        <v>122</v>
      </c>
      <c r="DY100" s="45" t="s">
        <v>105</v>
      </c>
      <c r="DZ100" s="45" t="s">
        <v>119</v>
      </c>
      <c r="EA100" s="45" t="s">
        <v>14</v>
      </c>
      <c r="EB100" s="45" t="s">
        <v>117</v>
      </c>
      <c r="EC100" s="45" t="s">
        <v>106</v>
      </c>
      <c r="ED100" s="45" t="s">
        <v>124</v>
      </c>
      <c r="EE100" s="45" t="s">
        <v>122</v>
      </c>
      <c r="EF100" s="45" t="s">
        <v>122</v>
      </c>
      <c r="EG100" s="45" t="s">
        <v>122</v>
      </c>
      <c r="EH100" s="45" t="s">
        <v>82</v>
      </c>
      <c r="EI100" s="45" t="s">
        <v>99</v>
      </c>
      <c r="EJ100" s="45" t="s">
        <v>99</v>
      </c>
    </row>
    <row r="101" customFormat="false" ht="15.75" hidden="false" customHeight="false" outlineLevel="0" collapsed="false">
      <c r="A101" s="249" t="n">
        <v>83</v>
      </c>
      <c r="B101" s="251" t="s">
        <v>39</v>
      </c>
      <c r="C101" s="45" t="s">
        <v>36</v>
      </c>
      <c r="D101" s="45" t="s">
        <v>13</v>
      </c>
      <c r="E101" s="45" t="s">
        <v>44</v>
      </c>
      <c r="F101" s="45" t="s">
        <v>116</v>
      </c>
      <c r="G101" s="45" t="s">
        <v>58</v>
      </c>
      <c r="H101" s="45" t="s">
        <v>120</v>
      </c>
      <c r="I101" s="45" t="s">
        <v>58</v>
      </c>
      <c r="J101" s="45" t="s">
        <v>143</v>
      </c>
      <c r="K101" s="45" t="s">
        <v>26</v>
      </c>
      <c r="L101" s="45" t="s">
        <v>120</v>
      </c>
      <c r="M101" s="45" t="s">
        <v>124</v>
      </c>
      <c r="N101" s="45" t="s">
        <v>142</v>
      </c>
      <c r="O101" s="45" t="s">
        <v>142</v>
      </c>
      <c r="P101" s="45" t="s">
        <v>143</v>
      </c>
      <c r="Q101" s="45" t="s">
        <v>143</v>
      </c>
      <c r="R101" s="45" t="s">
        <v>13</v>
      </c>
      <c r="S101" s="45" t="s">
        <v>58</v>
      </c>
      <c r="T101" s="45" t="s">
        <v>44</v>
      </c>
      <c r="U101" s="45" t="s">
        <v>142</v>
      </c>
      <c r="V101" s="45" t="s">
        <v>13</v>
      </c>
      <c r="W101" s="45" t="s">
        <v>143</v>
      </c>
      <c r="X101" s="45" t="s">
        <v>26</v>
      </c>
      <c r="Y101" s="45" t="s">
        <v>145</v>
      </c>
      <c r="Z101" s="45" t="s">
        <v>143</v>
      </c>
      <c r="AA101" s="45" t="s">
        <v>25</v>
      </c>
      <c r="AB101" s="45" t="s">
        <v>36</v>
      </c>
      <c r="AC101" s="45" t="s">
        <v>13</v>
      </c>
      <c r="AD101" s="45" t="s">
        <v>18</v>
      </c>
      <c r="AE101" s="45" t="s">
        <v>77</v>
      </c>
      <c r="AF101" s="45" t="s">
        <v>120</v>
      </c>
      <c r="AG101" s="45" t="s">
        <v>25</v>
      </c>
      <c r="AH101" s="45" t="s">
        <v>115</v>
      </c>
      <c r="AI101" s="45" t="s">
        <v>120</v>
      </c>
      <c r="AJ101" s="45" t="s">
        <v>77</v>
      </c>
      <c r="AK101" s="45" t="s">
        <v>77</v>
      </c>
      <c r="AL101" s="45" t="s">
        <v>116</v>
      </c>
      <c r="AM101" s="45" t="s">
        <v>116</v>
      </c>
      <c r="AN101" s="45" t="s">
        <v>122</v>
      </c>
      <c r="AO101" s="45" t="s">
        <v>105</v>
      </c>
      <c r="AP101" s="45" t="s">
        <v>145</v>
      </c>
      <c r="AQ101" s="45" t="s">
        <v>51</v>
      </c>
      <c r="AR101" s="45" t="s">
        <v>67</v>
      </c>
      <c r="AS101" s="45" t="s">
        <v>115</v>
      </c>
      <c r="AT101" s="45" t="s">
        <v>115</v>
      </c>
      <c r="AU101" s="45" t="s">
        <v>122</v>
      </c>
      <c r="AV101" s="45" t="s">
        <v>25</v>
      </c>
      <c r="AW101" s="45" t="s">
        <v>117</v>
      </c>
      <c r="AX101" s="45" t="s">
        <v>117</v>
      </c>
      <c r="AY101" s="45" t="s">
        <v>82</v>
      </c>
      <c r="AZ101" s="45" t="s">
        <v>152</v>
      </c>
      <c r="BA101" s="45" t="s">
        <v>67</v>
      </c>
      <c r="BB101" s="45" t="s">
        <v>77</v>
      </c>
      <c r="BC101" s="45" t="s">
        <v>26</v>
      </c>
      <c r="BD101" s="45" t="s">
        <v>26</v>
      </c>
      <c r="BE101" s="45" t="s">
        <v>51</v>
      </c>
      <c r="BF101" s="45" t="s">
        <v>12</v>
      </c>
      <c r="BG101" s="45" t="s">
        <v>12</v>
      </c>
      <c r="BH101" s="45" t="s">
        <v>12</v>
      </c>
      <c r="BI101" s="45" t="s">
        <v>77</v>
      </c>
      <c r="BJ101" s="45" t="s">
        <v>77</v>
      </c>
      <c r="BK101" s="45" t="s">
        <v>20</v>
      </c>
      <c r="BL101" s="45" t="s">
        <v>124</v>
      </c>
      <c r="BM101" s="45" t="s">
        <v>25</v>
      </c>
      <c r="BN101" s="45" t="s">
        <v>122</v>
      </c>
      <c r="BO101" s="45" t="s">
        <v>152</v>
      </c>
      <c r="BP101" s="45" t="s">
        <v>138</v>
      </c>
      <c r="BQ101" s="45" t="s">
        <v>131</v>
      </c>
      <c r="BR101" s="45" t="s">
        <v>105</v>
      </c>
      <c r="BS101" s="45" t="s">
        <v>73</v>
      </c>
      <c r="BT101" s="45" t="s">
        <v>18</v>
      </c>
      <c r="BU101" s="45" t="s">
        <v>106</v>
      </c>
      <c r="BV101" s="45" t="s">
        <v>153</v>
      </c>
      <c r="BW101" s="45" t="s">
        <v>143</v>
      </c>
      <c r="BX101" s="45" t="s">
        <v>26</v>
      </c>
      <c r="BY101" s="45" t="s">
        <v>153</v>
      </c>
      <c r="BZ101" s="45" t="s">
        <v>88</v>
      </c>
      <c r="CA101" s="45" t="s">
        <v>149</v>
      </c>
      <c r="CB101" s="45" t="s">
        <v>149</v>
      </c>
      <c r="CC101" s="45" t="s">
        <v>26</v>
      </c>
      <c r="CD101" s="45" t="s">
        <v>37</v>
      </c>
      <c r="CE101" s="45" t="s">
        <v>131</v>
      </c>
      <c r="CF101" s="45" t="s">
        <v>51</v>
      </c>
      <c r="CG101" s="45" t="s">
        <v>58</v>
      </c>
      <c r="CH101" s="45" t="s">
        <v>138</v>
      </c>
      <c r="CI101" s="45" t="s">
        <v>14</v>
      </c>
      <c r="CJ101" s="45" t="s">
        <v>14</v>
      </c>
      <c r="CK101" s="45" t="s">
        <v>73</v>
      </c>
      <c r="CL101" s="45" t="s">
        <v>105</v>
      </c>
      <c r="CM101" s="45" t="s">
        <v>110</v>
      </c>
      <c r="CN101" s="45" t="s">
        <v>26</v>
      </c>
      <c r="CO101" s="45" t="s">
        <v>133</v>
      </c>
      <c r="CP101" s="45" t="s">
        <v>77</v>
      </c>
      <c r="CQ101" s="45" t="s">
        <v>122</v>
      </c>
      <c r="CR101" s="45" t="s">
        <v>50</v>
      </c>
      <c r="CS101" s="45" t="s">
        <v>50</v>
      </c>
      <c r="CT101" s="45" t="s">
        <v>84</v>
      </c>
      <c r="CU101" s="45" t="s">
        <v>84</v>
      </c>
      <c r="CV101" s="45" t="s">
        <v>82</v>
      </c>
      <c r="CW101" s="45" t="s">
        <v>39</v>
      </c>
      <c r="CX101" s="45" t="s">
        <v>110</v>
      </c>
      <c r="CY101" s="45" t="s">
        <v>138</v>
      </c>
      <c r="CZ101" s="45" t="s">
        <v>20</v>
      </c>
      <c r="DA101" s="45" t="s">
        <v>73</v>
      </c>
      <c r="DB101" s="45" t="s">
        <v>18</v>
      </c>
      <c r="DC101" s="45" t="s">
        <v>153</v>
      </c>
      <c r="DD101" s="45" t="s">
        <v>131</v>
      </c>
      <c r="DE101" s="45" t="s">
        <v>20</v>
      </c>
      <c r="DF101" s="45" t="s">
        <v>73</v>
      </c>
      <c r="DG101" s="45" t="s">
        <v>99</v>
      </c>
      <c r="DH101" s="45" t="s">
        <v>122</v>
      </c>
      <c r="DI101" s="45" t="s">
        <v>20</v>
      </c>
      <c r="DJ101" s="45" t="s">
        <v>20</v>
      </c>
      <c r="DK101" s="45" t="s">
        <v>99</v>
      </c>
      <c r="DL101" s="45" t="s">
        <v>82</v>
      </c>
      <c r="DM101" s="45" t="s">
        <v>20</v>
      </c>
      <c r="DN101" s="45" t="s">
        <v>133</v>
      </c>
      <c r="DO101" s="45" t="s">
        <v>12</v>
      </c>
      <c r="DP101" s="45" t="s">
        <v>20</v>
      </c>
      <c r="DQ101" s="45" t="s">
        <v>135</v>
      </c>
      <c r="DR101" s="45" t="s">
        <v>15</v>
      </c>
      <c r="DS101" s="45" t="s">
        <v>39</v>
      </c>
      <c r="DT101" s="45" t="s">
        <v>73</v>
      </c>
      <c r="DU101" s="45" t="s">
        <v>119</v>
      </c>
      <c r="DV101" s="45" t="s">
        <v>20</v>
      </c>
      <c r="DW101" s="45" t="s">
        <v>20</v>
      </c>
      <c r="DX101" s="45" t="s">
        <v>135</v>
      </c>
      <c r="DY101" s="45" t="s">
        <v>135</v>
      </c>
      <c r="DZ101" s="45" t="s">
        <v>15</v>
      </c>
      <c r="EA101" s="45" t="s">
        <v>73</v>
      </c>
      <c r="EB101" s="45" t="s">
        <v>15</v>
      </c>
      <c r="EC101" s="45" t="s">
        <v>105</v>
      </c>
      <c r="ED101" s="45" t="s">
        <v>39</v>
      </c>
      <c r="EE101" s="45" t="s">
        <v>39</v>
      </c>
      <c r="EF101" s="45" t="s">
        <v>39</v>
      </c>
      <c r="EG101" s="45" t="s">
        <v>39</v>
      </c>
      <c r="EH101" s="45" t="s">
        <v>39</v>
      </c>
      <c r="EI101" s="45" t="s">
        <v>39</v>
      </c>
      <c r="EJ101" s="45" t="s">
        <v>39</v>
      </c>
    </row>
    <row r="102" customFormat="false" ht="15.75" hidden="false" customHeight="false" outlineLevel="0" collapsed="false">
      <c r="A102" s="249" t="n">
        <v>84</v>
      </c>
      <c r="B102" s="250" t="s">
        <v>25</v>
      </c>
      <c r="C102" s="45" t="s">
        <v>64</v>
      </c>
      <c r="D102" s="45" t="s">
        <v>64</v>
      </c>
      <c r="E102" s="45" t="s">
        <v>96</v>
      </c>
      <c r="F102" s="45" t="s">
        <v>22</v>
      </c>
      <c r="G102" s="45" t="s">
        <v>46</v>
      </c>
      <c r="H102" s="45" t="s">
        <v>126</v>
      </c>
      <c r="I102" s="45" t="s">
        <v>46</v>
      </c>
      <c r="J102" s="45" t="s">
        <v>55</v>
      </c>
      <c r="K102" s="45" t="s">
        <v>31</v>
      </c>
      <c r="L102" s="45" t="s">
        <v>63</v>
      </c>
      <c r="M102" s="45" t="s">
        <v>77</v>
      </c>
      <c r="N102" s="45" t="s">
        <v>66</v>
      </c>
      <c r="O102" s="45" t="s">
        <v>63</v>
      </c>
      <c r="P102" s="45" t="s">
        <v>55</v>
      </c>
      <c r="Q102" s="45" t="s">
        <v>55</v>
      </c>
      <c r="R102" s="45" t="s">
        <v>33</v>
      </c>
      <c r="S102" s="45" t="s">
        <v>144</v>
      </c>
      <c r="T102" s="45" t="s">
        <v>96</v>
      </c>
      <c r="U102" s="45" t="s">
        <v>66</v>
      </c>
      <c r="V102" s="45" t="s">
        <v>33</v>
      </c>
      <c r="W102" s="45" t="s">
        <v>55</v>
      </c>
      <c r="X102" s="45" t="s">
        <v>48</v>
      </c>
      <c r="Y102" s="45" t="s">
        <v>94</v>
      </c>
      <c r="Z102" s="45" t="s">
        <v>94</v>
      </c>
      <c r="AA102" s="45" t="s">
        <v>54</v>
      </c>
      <c r="AB102" s="45" t="s">
        <v>64</v>
      </c>
      <c r="AC102" s="45" t="s">
        <v>33</v>
      </c>
      <c r="AD102" s="45" t="s">
        <v>13</v>
      </c>
      <c r="AE102" s="45" t="s">
        <v>104</v>
      </c>
      <c r="AF102" s="45" t="s">
        <v>63</v>
      </c>
      <c r="AG102" s="45" t="s">
        <v>147</v>
      </c>
      <c r="AH102" s="45" t="s">
        <v>44</v>
      </c>
      <c r="AI102" s="45" t="s">
        <v>126</v>
      </c>
      <c r="AJ102" s="45" t="s">
        <v>47</v>
      </c>
      <c r="AK102" s="45" t="s">
        <v>108</v>
      </c>
      <c r="AL102" s="45" t="s">
        <v>46</v>
      </c>
      <c r="AM102" s="45" t="s">
        <v>22</v>
      </c>
      <c r="AN102" s="45" t="s">
        <v>12</v>
      </c>
      <c r="AO102" s="45" t="s">
        <v>51</v>
      </c>
      <c r="AP102" s="45" t="s">
        <v>94</v>
      </c>
      <c r="AQ102" s="45" t="s">
        <v>44</v>
      </c>
      <c r="AR102" s="45" t="s">
        <v>36</v>
      </c>
      <c r="AS102" s="45" t="s">
        <v>44</v>
      </c>
      <c r="AT102" s="45" t="s">
        <v>36</v>
      </c>
      <c r="AU102" s="45" t="s">
        <v>12</v>
      </c>
      <c r="AV102" s="45" t="s">
        <v>54</v>
      </c>
      <c r="AW102" s="45" t="s">
        <v>145</v>
      </c>
      <c r="AX102" s="45" t="s">
        <v>26</v>
      </c>
      <c r="AY102" s="45" t="s">
        <v>77</v>
      </c>
      <c r="AZ102" s="45" t="s">
        <v>142</v>
      </c>
      <c r="BA102" s="45" t="s">
        <v>36</v>
      </c>
      <c r="BB102" s="45" t="s">
        <v>47</v>
      </c>
      <c r="BC102" s="45" t="s">
        <v>48</v>
      </c>
      <c r="BD102" s="45" t="s">
        <v>48</v>
      </c>
      <c r="BE102" s="45" t="s">
        <v>89</v>
      </c>
      <c r="BF102" s="45" t="s">
        <v>34</v>
      </c>
      <c r="BG102" s="45" t="s">
        <v>29</v>
      </c>
      <c r="BH102" s="45" t="s">
        <v>43</v>
      </c>
      <c r="BI102" s="45" t="s">
        <v>121</v>
      </c>
      <c r="BJ102" s="45" t="s">
        <v>104</v>
      </c>
      <c r="BK102" s="45" t="s">
        <v>115</v>
      </c>
      <c r="BL102" s="45" t="s">
        <v>77</v>
      </c>
      <c r="BM102" s="45" t="s">
        <v>54</v>
      </c>
      <c r="BN102" s="45" t="s">
        <v>133</v>
      </c>
      <c r="BO102" s="45" t="s">
        <v>142</v>
      </c>
      <c r="BP102" s="45" t="s">
        <v>84</v>
      </c>
      <c r="BQ102" s="45" t="s">
        <v>120</v>
      </c>
      <c r="BR102" s="45" t="s">
        <v>51</v>
      </c>
      <c r="BS102" s="45" t="s">
        <v>153</v>
      </c>
      <c r="BT102" s="45" t="s">
        <v>13</v>
      </c>
      <c r="BU102" s="45" t="s">
        <v>120</v>
      </c>
      <c r="BV102" s="45" t="s">
        <v>58</v>
      </c>
      <c r="BW102" s="45" t="s">
        <v>94</v>
      </c>
      <c r="BX102" s="45" t="s">
        <v>108</v>
      </c>
      <c r="BY102" s="45" t="s">
        <v>58</v>
      </c>
      <c r="BZ102" s="45" t="s">
        <v>58</v>
      </c>
      <c r="CA102" s="45" t="s">
        <v>26</v>
      </c>
      <c r="CB102" s="45" t="s">
        <v>26</v>
      </c>
      <c r="CC102" s="45" t="s">
        <v>31</v>
      </c>
      <c r="CD102" s="45" t="s">
        <v>116</v>
      </c>
      <c r="CE102" s="45" t="s">
        <v>120</v>
      </c>
      <c r="CF102" s="45" t="s">
        <v>89</v>
      </c>
      <c r="CG102" s="45" t="s">
        <v>46</v>
      </c>
      <c r="CH102" s="45" t="s">
        <v>143</v>
      </c>
      <c r="CI102" s="45" t="s">
        <v>145</v>
      </c>
      <c r="CJ102" s="45" t="s">
        <v>143</v>
      </c>
      <c r="CK102" s="45" t="s">
        <v>152</v>
      </c>
      <c r="CL102" s="45" t="s">
        <v>51</v>
      </c>
      <c r="CM102" s="45" t="s">
        <v>25</v>
      </c>
      <c r="CN102" s="45" t="s">
        <v>31</v>
      </c>
      <c r="CO102" s="45" t="s">
        <v>43</v>
      </c>
      <c r="CP102" s="45" t="s">
        <v>121</v>
      </c>
      <c r="CQ102" s="45" t="s">
        <v>12</v>
      </c>
      <c r="CR102" s="45" t="s">
        <v>26</v>
      </c>
      <c r="CS102" s="45" t="s">
        <v>26</v>
      </c>
      <c r="CT102" s="45" t="s">
        <v>55</v>
      </c>
      <c r="CU102" s="45" t="s">
        <v>147</v>
      </c>
      <c r="CV102" s="45" t="s">
        <v>77</v>
      </c>
      <c r="CW102" s="45" t="s">
        <v>110</v>
      </c>
      <c r="CX102" s="45" t="s">
        <v>25</v>
      </c>
      <c r="CY102" s="45" t="s">
        <v>143</v>
      </c>
      <c r="CZ102" s="45" t="s">
        <v>18</v>
      </c>
      <c r="DA102" s="45" t="s">
        <v>37</v>
      </c>
      <c r="DB102" s="45" t="s">
        <v>13</v>
      </c>
      <c r="DC102" s="45" t="s">
        <v>116</v>
      </c>
      <c r="DD102" s="45" t="s">
        <v>142</v>
      </c>
      <c r="DE102" s="45" t="s">
        <v>115</v>
      </c>
      <c r="DF102" s="45" t="s">
        <v>88</v>
      </c>
      <c r="DG102" s="45" t="s">
        <v>77</v>
      </c>
      <c r="DH102" s="45" t="s">
        <v>12</v>
      </c>
      <c r="DI102" s="45" t="s">
        <v>18</v>
      </c>
      <c r="DJ102" s="45" t="s">
        <v>18</v>
      </c>
      <c r="DK102" s="45" t="s">
        <v>77</v>
      </c>
      <c r="DL102" s="45" t="s">
        <v>77</v>
      </c>
      <c r="DM102" s="45" t="s">
        <v>115</v>
      </c>
      <c r="DN102" s="45" t="s">
        <v>43</v>
      </c>
      <c r="DO102" s="45" t="s">
        <v>27</v>
      </c>
      <c r="DP102" s="45" t="s">
        <v>51</v>
      </c>
      <c r="DQ102" s="45" t="s">
        <v>117</v>
      </c>
      <c r="DR102" s="45" t="s">
        <v>131</v>
      </c>
      <c r="DS102" s="45" t="s">
        <v>106</v>
      </c>
      <c r="DT102" s="45" t="s">
        <v>153</v>
      </c>
      <c r="DU102" s="45" t="s">
        <v>26</v>
      </c>
      <c r="DV102" s="45" t="s">
        <v>67</v>
      </c>
      <c r="DW102" s="45" t="s">
        <v>67</v>
      </c>
      <c r="DX102" s="45" t="s">
        <v>14</v>
      </c>
      <c r="DY102" s="45" t="s">
        <v>117</v>
      </c>
      <c r="DZ102" s="45" t="s">
        <v>131</v>
      </c>
      <c r="EA102" s="45" t="s">
        <v>153</v>
      </c>
      <c r="EB102" s="45" t="s">
        <v>152</v>
      </c>
      <c r="EC102" s="45" t="s">
        <v>51</v>
      </c>
      <c r="ED102" s="45" t="s">
        <v>110</v>
      </c>
      <c r="EE102" s="45" t="s">
        <v>14</v>
      </c>
      <c r="EF102" s="45" t="s">
        <v>138</v>
      </c>
      <c r="EG102" s="45" t="s">
        <v>14</v>
      </c>
      <c r="EH102" s="45" t="s">
        <v>110</v>
      </c>
      <c r="EI102" s="45" t="s">
        <v>138</v>
      </c>
      <c r="EJ102" s="45" t="s">
        <v>138</v>
      </c>
    </row>
    <row r="103" customFormat="false" ht="15.75" hidden="false" customHeight="false" outlineLevel="0" collapsed="false">
      <c r="A103" s="249" t="n">
        <v>84</v>
      </c>
      <c r="B103" s="250" t="s">
        <v>27</v>
      </c>
      <c r="C103" s="45" t="s">
        <v>22</v>
      </c>
      <c r="D103" s="45" t="s">
        <v>46</v>
      </c>
      <c r="E103" s="45" t="s">
        <v>64</v>
      </c>
      <c r="F103" s="45" t="s">
        <v>144</v>
      </c>
      <c r="G103" s="45" t="s">
        <v>63</v>
      </c>
      <c r="H103" s="45" t="s">
        <v>54</v>
      </c>
      <c r="I103" s="45" t="s">
        <v>66</v>
      </c>
      <c r="J103" s="45" t="s">
        <v>94</v>
      </c>
      <c r="K103" s="45" t="s">
        <v>108</v>
      </c>
      <c r="L103" s="45" t="s">
        <v>54</v>
      </c>
      <c r="M103" s="45" t="s">
        <v>77</v>
      </c>
      <c r="N103" s="45" t="s">
        <v>126</v>
      </c>
      <c r="O103" s="45" t="s">
        <v>126</v>
      </c>
      <c r="P103" s="45" t="s">
        <v>94</v>
      </c>
      <c r="Q103" s="45" t="s">
        <v>94</v>
      </c>
      <c r="R103" s="45" t="s">
        <v>46</v>
      </c>
      <c r="S103" s="45" t="s">
        <v>63</v>
      </c>
      <c r="T103" s="45" t="s">
        <v>33</v>
      </c>
      <c r="U103" s="45" t="s">
        <v>63</v>
      </c>
      <c r="V103" s="45" t="s">
        <v>46</v>
      </c>
      <c r="W103" s="45" t="s">
        <v>94</v>
      </c>
      <c r="X103" s="45" t="s">
        <v>47</v>
      </c>
      <c r="Y103" s="45" t="s">
        <v>48</v>
      </c>
      <c r="Z103" s="45" t="s">
        <v>94</v>
      </c>
      <c r="AA103" s="45" t="s">
        <v>55</v>
      </c>
      <c r="AB103" s="45" t="s">
        <v>33</v>
      </c>
      <c r="AC103" s="45" t="s">
        <v>46</v>
      </c>
      <c r="AD103" s="45" t="s">
        <v>58</v>
      </c>
      <c r="AE103" s="45" t="s">
        <v>29</v>
      </c>
      <c r="AF103" s="45" t="s">
        <v>54</v>
      </c>
      <c r="AG103" s="45" t="s">
        <v>55</v>
      </c>
      <c r="AH103" s="45" t="s">
        <v>13</v>
      </c>
      <c r="AI103" s="45" t="s">
        <v>147</v>
      </c>
      <c r="AJ103" s="45" t="s">
        <v>121</v>
      </c>
      <c r="AK103" s="45" t="s">
        <v>104</v>
      </c>
      <c r="AL103" s="45" t="s">
        <v>66</v>
      </c>
      <c r="AM103" s="45" t="s">
        <v>144</v>
      </c>
      <c r="AN103" s="45" t="s">
        <v>51</v>
      </c>
      <c r="AO103" s="45" t="s">
        <v>51</v>
      </c>
      <c r="AP103" s="45" t="s">
        <v>31</v>
      </c>
      <c r="AQ103" s="45" t="s">
        <v>36</v>
      </c>
      <c r="AR103" s="45" t="s">
        <v>116</v>
      </c>
      <c r="AS103" s="45" t="s">
        <v>13</v>
      </c>
      <c r="AT103" s="45" t="s">
        <v>13</v>
      </c>
      <c r="AU103" s="45" t="s">
        <v>51</v>
      </c>
      <c r="AV103" s="45" t="s">
        <v>147</v>
      </c>
      <c r="AW103" s="45" t="s">
        <v>26</v>
      </c>
      <c r="AX103" s="45" t="s">
        <v>26</v>
      </c>
      <c r="AY103" s="45" t="s">
        <v>12</v>
      </c>
      <c r="AZ103" s="45" t="s">
        <v>120</v>
      </c>
      <c r="BA103" s="45" t="s">
        <v>116</v>
      </c>
      <c r="BB103" s="45" t="s">
        <v>121</v>
      </c>
      <c r="BC103" s="45" t="s">
        <v>47</v>
      </c>
      <c r="BD103" s="45" t="s">
        <v>108</v>
      </c>
      <c r="BE103" s="45" t="s">
        <v>44</v>
      </c>
      <c r="BF103" s="45" t="s">
        <v>43</v>
      </c>
      <c r="BG103" s="45" t="s">
        <v>43</v>
      </c>
      <c r="BH103" s="45" t="s">
        <v>89</v>
      </c>
      <c r="BI103" s="45" t="s">
        <v>43</v>
      </c>
      <c r="BJ103" s="45" t="s">
        <v>34</v>
      </c>
      <c r="BK103" s="45" t="s">
        <v>18</v>
      </c>
      <c r="BL103" s="45" t="s">
        <v>77</v>
      </c>
      <c r="BM103" s="45" t="s">
        <v>55</v>
      </c>
      <c r="BN103" s="45" t="s">
        <v>51</v>
      </c>
      <c r="BO103" s="45" t="s">
        <v>120</v>
      </c>
      <c r="BP103" s="45" t="s">
        <v>143</v>
      </c>
      <c r="BQ103" s="45" t="s">
        <v>25</v>
      </c>
      <c r="BR103" s="45" t="s">
        <v>115</v>
      </c>
      <c r="BS103" s="45" t="s">
        <v>131</v>
      </c>
      <c r="BT103" s="45" t="s">
        <v>116</v>
      </c>
      <c r="BU103" s="45" t="s">
        <v>25</v>
      </c>
      <c r="BV103" s="45" t="s">
        <v>142</v>
      </c>
      <c r="BW103" s="45" t="s">
        <v>95</v>
      </c>
      <c r="BX103" s="45" t="s">
        <v>104</v>
      </c>
      <c r="BY103" s="45" t="s">
        <v>142</v>
      </c>
      <c r="BZ103" s="45" t="s">
        <v>120</v>
      </c>
      <c r="CA103" s="45" t="s">
        <v>77</v>
      </c>
      <c r="CB103" s="45" t="s">
        <v>77</v>
      </c>
      <c r="CC103" s="45" t="s">
        <v>108</v>
      </c>
      <c r="CD103" s="45" t="s">
        <v>58</v>
      </c>
      <c r="CE103" s="45" t="s">
        <v>25</v>
      </c>
      <c r="CF103" s="45" t="s">
        <v>36</v>
      </c>
      <c r="CG103" s="45" t="s">
        <v>66</v>
      </c>
      <c r="CH103" s="45" t="s">
        <v>145</v>
      </c>
      <c r="CI103" s="45" t="s">
        <v>26</v>
      </c>
      <c r="CJ103" s="45" t="s">
        <v>145</v>
      </c>
      <c r="CK103" s="45" t="s">
        <v>131</v>
      </c>
      <c r="CL103" s="45" t="s">
        <v>115</v>
      </c>
      <c r="CM103" s="45" t="s">
        <v>143</v>
      </c>
      <c r="CN103" s="45" t="s">
        <v>48</v>
      </c>
      <c r="CO103" s="45" t="s">
        <v>89</v>
      </c>
      <c r="CP103" s="45" t="s">
        <v>29</v>
      </c>
      <c r="CQ103" s="45" t="s">
        <v>133</v>
      </c>
      <c r="CR103" s="45" t="s">
        <v>77</v>
      </c>
      <c r="CS103" s="45" t="s">
        <v>77</v>
      </c>
      <c r="CT103" s="45" t="s">
        <v>94</v>
      </c>
      <c r="CU103" s="45" t="s">
        <v>55</v>
      </c>
      <c r="CV103" s="45" t="s">
        <v>77</v>
      </c>
      <c r="CW103" s="45" t="s">
        <v>138</v>
      </c>
      <c r="CX103" s="45" t="s">
        <v>143</v>
      </c>
      <c r="CY103" s="45" t="s">
        <v>27</v>
      </c>
      <c r="CZ103" s="45" t="s">
        <v>153</v>
      </c>
      <c r="DA103" s="45" t="s">
        <v>88</v>
      </c>
      <c r="DB103" s="45" t="s">
        <v>58</v>
      </c>
      <c r="DC103" s="45" t="s">
        <v>142</v>
      </c>
      <c r="DD103" s="45" t="s">
        <v>120</v>
      </c>
      <c r="DE103" s="45" t="s">
        <v>18</v>
      </c>
      <c r="DF103" s="45" t="s">
        <v>131</v>
      </c>
      <c r="DG103" s="45" t="s">
        <v>12</v>
      </c>
      <c r="DH103" s="45" t="s">
        <v>133</v>
      </c>
      <c r="DI103" s="45" t="s">
        <v>153</v>
      </c>
      <c r="DJ103" s="45" t="s">
        <v>153</v>
      </c>
      <c r="DK103" s="45" t="s">
        <v>12</v>
      </c>
      <c r="DL103" s="45" t="s">
        <v>12</v>
      </c>
      <c r="DM103" s="45" t="s">
        <v>18</v>
      </c>
      <c r="DN103" s="45" t="s">
        <v>89</v>
      </c>
      <c r="DO103" s="45" t="s">
        <v>43</v>
      </c>
      <c r="DP103" s="45" t="s">
        <v>67</v>
      </c>
      <c r="DQ103" s="45" t="s">
        <v>149</v>
      </c>
      <c r="DR103" s="45" t="s">
        <v>106</v>
      </c>
      <c r="DS103" s="45" t="s">
        <v>138</v>
      </c>
      <c r="DT103" s="45" t="s">
        <v>152</v>
      </c>
      <c r="DU103" s="45" t="s">
        <v>26</v>
      </c>
      <c r="DV103" s="45" t="s">
        <v>37</v>
      </c>
      <c r="DW103" s="45" t="s">
        <v>37</v>
      </c>
      <c r="DX103" s="45" t="s">
        <v>117</v>
      </c>
      <c r="DY103" s="45" t="s">
        <v>119</v>
      </c>
      <c r="DZ103" s="45" t="s">
        <v>106</v>
      </c>
      <c r="EA103" s="45" t="s">
        <v>152</v>
      </c>
      <c r="EB103" s="45" t="s">
        <v>131</v>
      </c>
      <c r="EC103" s="45" t="s">
        <v>115</v>
      </c>
      <c r="ED103" s="45" t="s">
        <v>138</v>
      </c>
      <c r="EE103" s="45" t="s">
        <v>117</v>
      </c>
      <c r="EF103" s="45" t="s">
        <v>14</v>
      </c>
      <c r="EG103" s="45" t="s">
        <v>117</v>
      </c>
      <c r="EH103" s="45" t="s">
        <v>138</v>
      </c>
      <c r="EI103" s="45" t="s">
        <v>14</v>
      </c>
      <c r="EJ103" s="45" t="s">
        <v>14</v>
      </c>
    </row>
    <row r="104" customFormat="false" ht="15.75" hidden="false" customHeight="false" outlineLevel="0" collapsed="false">
      <c r="A104" s="249" t="n">
        <v>85</v>
      </c>
      <c r="B104" s="250" t="s">
        <v>122</v>
      </c>
      <c r="C104" s="45" t="s">
        <v>121</v>
      </c>
      <c r="D104" s="45" t="s">
        <v>34</v>
      </c>
      <c r="E104" s="45" t="s">
        <v>104</v>
      </c>
      <c r="F104" s="45" t="s">
        <v>43</v>
      </c>
      <c r="G104" s="45" t="s">
        <v>43</v>
      </c>
      <c r="H104" s="45" t="s">
        <v>36</v>
      </c>
      <c r="I104" s="45" t="s">
        <v>123</v>
      </c>
      <c r="J104" s="45" t="s">
        <v>58</v>
      </c>
      <c r="K104" s="45" t="s">
        <v>25</v>
      </c>
      <c r="L104" s="45" t="s">
        <v>44</v>
      </c>
      <c r="M104" s="45" t="s">
        <v>138</v>
      </c>
      <c r="N104" s="45" t="s">
        <v>89</v>
      </c>
      <c r="O104" s="45" t="s">
        <v>44</v>
      </c>
      <c r="P104" s="45" t="s">
        <v>58</v>
      </c>
      <c r="Q104" s="45" t="s">
        <v>58</v>
      </c>
      <c r="R104" s="45" t="s">
        <v>29</v>
      </c>
      <c r="S104" s="45" t="s">
        <v>89</v>
      </c>
      <c r="T104" s="45" t="s">
        <v>104</v>
      </c>
      <c r="U104" s="45" t="s">
        <v>89</v>
      </c>
      <c r="V104" s="45" t="s">
        <v>34</v>
      </c>
      <c r="W104" s="45" t="s">
        <v>142</v>
      </c>
      <c r="X104" s="45" t="s">
        <v>25</v>
      </c>
      <c r="Y104" s="45" t="s">
        <v>120</v>
      </c>
      <c r="Z104" s="45" t="s">
        <v>142</v>
      </c>
      <c r="AA104" s="45" t="s">
        <v>13</v>
      </c>
      <c r="AB104" s="45" t="s">
        <v>121</v>
      </c>
      <c r="AC104" s="45" t="s">
        <v>29</v>
      </c>
      <c r="AD104" s="45" t="s">
        <v>12</v>
      </c>
      <c r="AE104" s="45" t="s">
        <v>143</v>
      </c>
      <c r="AF104" s="45" t="s">
        <v>44</v>
      </c>
      <c r="AG104" s="45" t="s">
        <v>116</v>
      </c>
      <c r="AH104" s="45" t="s">
        <v>77</v>
      </c>
      <c r="AI104" s="45" t="s">
        <v>36</v>
      </c>
      <c r="AJ104" s="45" t="s">
        <v>143</v>
      </c>
      <c r="AK104" s="45" t="s">
        <v>143</v>
      </c>
      <c r="AL104" s="45" t="s">
        <v>43</v>
      </c>
      <c r="AM104" s="45" t="s">
        <v>43</v>
      </c>
      <c r="AN104" s="45" t="s">
        <v>117</v>
      </c>
      <c r="AO104" s="45" t="s">
        <v>50</v>
      </c>
      <c r="AP104" s="45" t="s">
        <v>120</v>
      </c>
      <c r="AQ104" s="45" t="s">
        <v>77</v>
      </c>
      <c r="AR104" s="45" t="s">
        <v>77</v>
      </c>
      <c r="AS104" s="45" t="s">
        <v>77</v>
      </c>
      <c r="AT104" s="45" t="s">
        <v>77</v>
      </c>
      <c r="AU104" s="45" t="s">
        <v>119</v>
      </c>
      <c r="AV104" s="45" t="s">
        <v>13</v>
      </c>
      <c r="AW104" s="45" t="s">
        <v>106</v>
      </c>
      <c r="AX104" s="45" t="s">
        <v>106</v>
      </c>
      <c r="AY104" s="45" t="s">
        <v>14</v>
      </c>
      <c r="AZ104" s="45" t="s">
        <v>51</v>
      </c>
      <c r="BA104" s="45" t="s">
        <v>77</v>
      </c>
      <c r="BB104" s="45" t="s">
        <v>143</v>
      </c>
      <c r="BC104" s="45" t="s">
        <v>84</v>
      </c>
      <c r="BD104" s="45" t="s">
        <v>25</v>
      </c>
      <c r="BE104" s="45" t="s">
        <v>77</v>
      </c>
      <c r="BF104" s="45" t="s">
        <v>145</v>
      </c>
      <c r="BG104" s="45" t="s">
        <v>145</v>
      </c>
      <c r="BH104" s="45" t="s">
        <v>26</v>
      </c>
      <c r="BI104" s="45" t="s">
        <v>145</v>
      </c>
      <c r="BJ104" s="45" t="s">
        <v>143</v>
      </c>
      <c r="BK104" s="45" t="s">
        <v>82</v>
      </c>
      <c r="BL104" s="45" t="s">
        <v>138</v>
      </c>
      <c r="BM104" s="45" t="s">
        <v>13</v>
      </c>
      <c r="BN104" s="45" t="s">
        <v>149</v>
      </c>
      <c r="BO104" s="45" t="s">
        <v>51</v>
      </c>
      <c r="BP104" s="45" t="s">
        <v>153</v>
      </c>
      <c r="BQ104" s="45" t="s">
        <v>115</v>
      </c>
      <c r="BR104" s="45" t="s">
        <v>124</v>
      </c>
      <c r="BS104" s="45" t="s">
        <v>105</v>
      </c>
      <c r="BT104" s="45" t="s">
        <v>12</v>
      </c>
      <c r="BU104" s="45" t="s">
        <v>67</v>
      </c>
      <c r="BV104" s="45" t="s">
        <v>133</v>
      </c>
      <c r="BW104" s="45" t="s">
        <v>142</v>
      </c>
      <c r="BX104" s="45" t="s">
        <v>84</v>
      </c>
      <c r="BY104" s="45" t="s">
        <v>51</v>
      </c>
      <c r="BZ104" s="45" t="s">
        <v>51</v>
      </c>
      <c r="CA104" s="45" t="s">
        <v>110</v>
      </c>
      <c r="CB104" s="45" t="s">
        <v>110</v>
      </c>
      <c r="CC104" s="45" t="s">
        <v>25</v>
      </c>
      <c r="CD104" s="45" t="s">
        <v>12</v>
      </c>
      <c r="CE104" s="45" t="s">
        <v>115</v>
      </c>
      <c r="CF104" s="45" t="s">
        <v>77</v>
      </c>
      <c r="CG104" s="45" t="s">
        <v>43</v>
      </c>
      <c r="CH104" s="45" t="s">
        <v>88</v>
      </c>
      <c r="CI104" s="45" t="s">
        <v>131</v>
      </c>
      <c r="CJ104" s="45" t="s">
        <v>152</v>
      </c>
      <c r="CK104" s="45" t="s">
        <v>105</v>
      </c>
      <c r="CL104" s="45" t="s">
        <v>50</v>
      </c>
      <c r="CM104" s="45" t="s">
        <v>37</v>
      </c>
      <c r="CN104" s="45" t="s">
        <v>25</v>
      </c>
      <c r="CO104" s="45" t="s">
        <v>26</v>
      </c>
      <c r="CP104" s="45" t="s">
        <v>145</v>
      </c>
      <c r="CQ104" s="45" t="s">
        <v>117</v>
      </c>
      <c r="CR104" s="45" t="s">
        <v>138</v>
      </c>
      <c r="CS104" s="45" t="s">
        <v>138</v>
      </c>
      <c r="CT104" s="45" t="s">
        <v>58</v>
      </c>
      <c r="CU104" s="45" t="s">
        <v>116</v>
      </c>
      <c r="CV104" s="45" t="s">
        <v>14</v>
      </c>
      <c r="CW104" s="45" t="s">
        <v>20</v>
      </c>
      <c r="CX104" s="45" t="s">
        <v>18</v>
      </c>
      <c r="CY104" s="45" t="s">
        <v>153</v>
      </c>
      <c r="CZ104" s="45" t="s">
        <v>122</v>
      </c>
      <c r="DA104" s="45" t="s">
        <v>122</v>
      </c>
      <c r="DB104" s="45" t="s">
        <v>12</v>
      </c>
      <c r="DC104" s="45" t="s">
        <v>133</v>
      </c>
      <c r="DD104" s="45" t="s">
        <v>51</v>
      </c>
      <c r="DE104" s="45" t="s">
        <v>99</v>
      </c>
      <c r="DF104" s="45" t="s">
        <v>105</v>
      </c>
      <c r="DG104" s="45" t="s">
        <v>14</v>
      </c>
      <c r="DH104" s="45" t="s">
        <v>117</v>
      </c>
      <c r="DI104" s="45" t="s">
        <v>122</v>
      </c>
      <c r="DJ104" s="45" t="s">
        <v>122</v>
      </c>
      <c r="DK104" s="45" t="s">
        <v>117</v>
      </c>
      <c r="DL104" s="45" t="s">
        <v>14</v>
      </c>
      <c r="DM104" s="45" t="s">
        <v>82</v>
      </c>
      <c r="DN104" s="45" t="s">
        <v>26</v>
      </c>
      <c r="DO104" s="45" t="s">
        <v>26</v>
      </c>
      <c r="DP104" s="45" t="s">
        <v>82</v>
      </c>
      <c r="DQ104" s="45" t="s">
        <v>15</v>
      </c>
      <c r="DR104" s="45" t="s">
        <v>20</v>
      </c>
      <c r="DS104" s="45" t="s">
        <v>20</v>
      </c>
      <c r="DT104" s="45" t="s">
        <v>122</v>
      </c>
      <c r="DU104" s="45" t="s">
        <v>110</v>
      </c>
      <c r="DV104" s="45" t="s">
        <v>99</v>
      </c>
      <c r="DW104" s="45" t="s">
        <v>99</v>
      </c>
      <c r="DX104" s="45" t="s">
        <v>15</v>
      </c>
      <c r="DY104" s="45" t="s">
        <v>15</v>
      </c>
      <c r="DZ104" s="45" t="s">
        <v>112</v>
      </c>
      <c r="EA104" s="45" t="s">
        <v>105</v>
      </c>
      <c r="EB104" s="45" t="s">
        <v>105</v>
      </c>
      <c r="EC104" s="45" t="s">
        <v>124</v>
      </c>
      <c r="ED104" s="45" t="s">
        <v>20</v>
      </c>
      <c r="EE104" s="45" t="s">
        <v>15</v>
      </c>
      <c r="EF104" s="45" t="s">
        <v>73</v>
      </c>
      <c r="EG104" s="45" t="s">
        <v>73</v>
      </c>
      <c r="EH104" s="45" t="s">
        <v>73</v>
      </c>
      <c r="EI104" s="45" t="s">
        <v>73</v>
      </c>
      <c r="EJ104" s="45" t="s">
        <v>73</v>
      </c>
    </row>
    <row r="105" customFormat="false" ht="15.75" hidden="false" customHeight="false" outlineLevel="0" collapsed="false">
      <c r="A105" s="249" t="n">
        <v>85</v>
      </c>
      <c r="B105" s="250" t="s">
        <v>123</v>
      </c>
      <c r="C105" s="45" t="s">
        <v>34</v>
      </c>
      <c r="D105" s="45" t="s">
        <v>29</v>
      </c>
      <c r="E105" s="45" t="s">
        <v>104</v>
      </c>
      <c r="F105" s="45" t="s">
        <v>43</v>
      </c>
      <c r="G105" s="45" t="s">
        <v>89</v>
      </c>
      <c r="H105" s="45" t="s">
        <v>36</v>
      </c>
      <c r="I105" s="45" t="s">
        <v>43</v>
      </c>
      <c r="J105" s="45" t="s">
        <v>58</v>
      </c>
      <c r="K105" s="45" t="s">
        <v>25</v>
      </c>
      <c r="L105" s="45" t="s">
        <v>44</v>
      </c>
      <c r="M105" s="45" t="s">
        <v>138</v>
      </c>
      <c r="N105" s="45" t="s">
        <v>44</v>
      </c>
      <c r="O105" s="45" t="s">
        <v>44</v>
      </c>
      <c r="P105" s="45" t="s">
        <v>142</v>
      </c>
      <c r="Q105" s="45" t="s">
        <v>142</v>
      </c>
      <c r="R105" s="45" t="s">
        <v>29</v>
      </c>
      <c r="S105" s="45" t="s">
        <v>89</v>
      </c>
      <c r="T105" s="45" t="s">
        <v>121</v>
      </c>
      <c r="U105" s="45" t="s">
        <v>89</v>
      </c>
      <c r="V105" s="45" t="s">
        <v>29</v>
      </c>
      <c r="W105" s="45" t="s">
        <v>142</v>
      </c>
      <c r="X105" s="45" t="s">
        <v>84</v>
      </c>
      <c r="Y105" s="45" t="s">
        <v>120</v>
      </c>
      <c r="Z105" s="45" t="s">
        <v>142</v>
      </c>
      <c r="AA105" s="45" t="s">
        <v>116</v>
      </c>
      <c r="AB105" s="45" t="s">
        <v>121</v>
      </c>
      <c r="AC105" s="45" t="s">
        <v>43</v>
      </c>
      <c r="AD105" s="45" t="s">
        <v>12</v>
      </c>
      <c r="AE105" s="45" t="s">
        <v>145</v>
      </c>
      <c r="AF105" s="45" t="s">
        <v>36</v>
      </c>
      <c r="AG105" s="45" t="s">
        <v>116</v>
      </c>
      <c r="AH105" s="45" t="s">
        <v>77</v>
      </c>
      <c r="AI105" s="45" t="s">
        <v>13</v>
      </c>
      <c r="AJ105" s="45" t="s">
        <v>143</v>
      </c>
      <c r="AK105" s="45" t="s">
        <v>143</v>
      </c>
      <c r="AL105" s="45" t="s">
        <v>43</v>
      </c>
      <c r="AM105" s="45" t="s">
        <v>43</v>
      </c>
      <c r="AN105" s="45" t="s">
        <v>119</v>
      </c>
      <c r="AO105" s="45" t="s">
        <v>50</v>
      </c>
      <c r="AP105" s="45" t="s">
        <v>120</v>
      </c>
      <c r="AQ105" s="45" t="s">
        <v>77</v>
      </c>
      <c r="AR105" s="45" t="s">
        <v>12</v>
      </c>
      <c r="AS105" s="45" t="s">
        <v>77</v>
      </c>
      <c r="AT105" s="45" t="s">
        <v>77</v>
      </c>
      <c r="AU105" s="45" t="s">
        <v>149</v>
      </c>
      <c r="AV105" s="45" t="s">
        <v>13</v>
      </c>
      <c r="AW105" s="45" t="s">
        <v>106</v>
      </c>
      <c r="AX105" s="45" t="s">
        <v>110</v>
      </c>
      <c r="AY105" s="45" t="s">
        <v>14</v>
      </c>
      <c r="AZ105" s="45" t="s">
        <v>51</v>
      </c>
      <c r="BA105" s="45" t="s">
        <v>77</v>
      </c>
      <c r="BB105" s="45" t="s">
        <v>143</v>
      </c>
      <c r="BC105" s="45" t="s">
        <v>84</v>
      </c>
      <c r="BD105" s="45" t="s">
        <v>25</v>
      </c>
      <c r="BE105" s="45" t="s">
        <v>77</v>
      </c>
      <c r="BF105" s="45" t="s">
        <v>145</v>
      </c>
      <c r="BG105" s="45" t="s">
        <v>26</v>
      </c>
      <c r="BH105" s="45" t="s">
        <v>26</v>
      </c>
      <c r="BI105" s="45" t="s">
        <v>145</v>
      </c>
      <c r="BJ105" s="45" t="s">
        <v>143</v>
      </c>
      <c r="BK105" s="45" t="s">
        <v>99</v>
      </c>
      <c r="BL105" s="45" t="s">
        <v>14</v>
      </c>
      <c r="BM105" s="45" t="s">
        <v>13</v>
      </c>
      <c r="BN105" s="45" t="s">
        <v>149</v>
      </c>
      <c r="BO105" s="45" t="s">
        <v>51</v>
      </c>
      <c r="BP105" s="45" t="s">
        <v>153</v>
      </c>
      <c r="BQ105" s="45" t="s">
        <v>115</v>
      </c>
      <c r="BR105" s="45" t="s">
        <v>82</v>
      </c>
      <c r="BS105" s="45" t="s">
        <v>105</v>
      </c>
      <c r="BT105" s="45" t="s">
        <v>12</v>
      </c>
      <c r="BU105" s="45" t="s">
        <v>18</v>
      </c>
      <c r="BV105" s="45" t="s">
        <v>51</v>
      </c>
      <c r="BW105" s="45" t="s">
        <v>120</v>
      </c>
      <c r="BX105" s="45" t="s">
        <v>143</v>
      </c>
      <c r="BY105" s="45" t="s">
        <v>51</v>
      </c>
      <c r="BZ105" s="45" t="s">
        <v>51</v>
      </c>
      <c r="CA105" s="45" t="s">
        <v>110</v>
      </c>
      <c r="CB105" s="45" t="s">
        <v>138</v>
      </c>
      <c r="CC105" s="45" t="s">
        <v>25</v>
      </c>
      <c r="CD105" s="45" t="s">
        <v>133</v>
      </c>
      <c r="CE105" s="45" t="s">
        <v>67</v>
      </c>
      <c r="CF105" s="45" t="s">
        <v>77</v>
      </c>
      <c r="CG105" s="45" t="s">
        <v>89</v>
      </c>
      <c r="CH105" s="45" t="s">
        <v>152</v>
      </c>
      <c r="CI105" s="45" t="s">
        <v>131</v>
      </c>
      <c r="CJ105" s="45" t="s">
        <v>131</v>
      </c>
      <c r="CK105" s="45" t="s">
        <v>105</v>
      </c>
      <c r="CL105" s="45" t="s">
        <v>124</v>
      </c>
      <c r="CM105" s="45" t="s">
        <v>153</v>
      </c>
      <c r="CN105" s="45" t="s">
        <v>25</v>
      </c>
      <c r="CO105" s="45" t="s">
        <v>26</v>
      </c>
      <c r="CP105" s="45" t="s">
        <v>145</v>
      </c>
      <c r="CQ105" s="45" t="s">
        <v>117</v>
      </c>
      <c r="CR105" s="45" t="s">
        <v>138</v>
      </c>
      <c r="CS105" s="45" t="s">
        <v>138</v>
      </c>
      <c r="CT105" s="45" t="s">
        <v>58</v>
      </c>
      <c r="CU105" s="45" t="s">
        <v>58</v>
      </c>
      <c r="CV105" s="45" t="s">
        <v>14</v>
      </c>
      <c r="CW105" s="45" t="s">
        <v>73</v>
      </c>
      <c r="CX105" s="45" t="s">
        <v>37</v>
      </c>
      <c r="CY105" s="45" t="s">
        <v>88</v>
      </c>
      <c r="CZ105" s="45" t="s">
        <v>122</v>
      </c>
      <c r="DA105" s="45" t="s">
        <v>123</v>
      </c>
      <c r="DB105" s="45" t="s">
        <v>12</v>
      </c>
      <c r="DC105" s="45" t="s">
        <v>133</v>
      </c>
      <c r="DD105" s="45" t="s">
        <v>115</v>
      </c>
      <c r="DE105" s="45" t="s">
        <v>99</v>
      </c>
      <c r="DF105" s="45" t="s">
        <v>105</v>
      </c>
      <c r="DG105" s="45" t="s">
        <v>117</v>
      </c>
      <c r="DH105" s="45" t="s">
        <v>117</v>
      </c>
      <c r="DI105" s="45" t="s">
        <v>122</v>
      </c>
      <c r="DJ105" s="45" t="s">
        <v>122</v>
      </c>
      <c r="DK105" s="45" t="s">
        <v>117</v>
      </c>
      <c r="DL105" s="45" t="s">
        <v>14</v>
      </c>
      <c r="DM105" s="45" t="s">
        <v>82</v>
      </c>
      <c r="DN105" s="45" t="s">
        <v>26</v>
      </c>
      <c r="DO105" s="45" t="s">
        <v>26</v>
      </c>
      <c r="DP105" s="45" t="s">
        <v>82</v>
      </c>
      <c r="DQ105" s="45" t="s">
        <v>39</v>
      </c>
      <c r="DR105" s="45" t="s">
        <v>20</v>
      </c>
      <c r="DS105" s="45" t="s">
        <v>20</v>
      </c>
      <c r="DT105" s="45" t="s">
        <v>105</v>
      </c>
      <c r="DU105" s="45" t="s">
        <v>110</v>
      </c>
      <c r="DV105" s="45" t="s">
        <v>122</v>
      </c>
      <c r="DW105" s="45" t="s">
        <v>99</v>
      </c>
      <c r="DX105" s="45" t="s">
        <v>15</v>
      </c>
      <c r="DY105" s="45" t="s">
        <v>15</v>
      </c>
      <c r="DZ105" s="45" t="s">
        <v>20</v>
      </c>
      <c r="EA105" s="45" t="s">
        <v>105</v>
      </c>
      <c r="EB105" s="45" t="s">
        <v>20</v>
      </c>
      <c r="EC105" s="45" t="s">
        <v>124</v>
      </c>
      <c r="ED105" s="45" t="s">
        <v>20</v>
      </c>
      <c r="EE105" s="45" t="s">
        <v>15</v>
      </c>
      <c r="EF105" s="45" t="s">
        <v>73</v>
      </c>
      <c r="EG105" s="45" t="s">
        <v>15</v>
      </c>
      <c r="EH105" s="45" t="s">
        <v>73</v>
      </c>
      <c r="EI105" s="45" t="s">
        <v>73</v>
      </c>
      <c r="EJ105" s="45" t="s">
        <v>73</v>
      </c>
    </row>
    <row r="106" customFormat="false" ht="15.75" hidden="false" customHeight="false" outlineLevel="0" collapsed="false">
      <c r="A106" s="249" t="n">
        <v>86</v>
      </c>
      <c r="B106" s="250" t="s">
        <v>29</v>
      </c>
      <c r="C106" s="45" t="s">
        <v>150</v>
      </c>
      <c r="D106" s="45" t="s">
        <v>150</v>
      </c>
      <c r="E106" s="45" t="s">
        <v>111</v>
      </c>
      <c r="F106" s="45" t="s">
        <v>101</v>
      </c>
      <c r="G106" s="45" t="s">
        <v>129</v>
      </c>
      <c r="H106" s="45" t="s">
        <v>30</v>
      </c>
      <c r="I106" s="45" t="s">
        <v>129</v>
      </c>
      <c r="J106" s="45" t="s">
        <v>46</v>
      </c>
      <c r="K106" s="45" t="s">
        <v>54</v>
      </c>
      <c r="L106" s="45" t="s">
        <v>96</v>
      </c>
      <c r="M106" s="45" t="s">
        <v>143</v>
      </c>
      <c r="N106" s="45" t="s">
        <v>96</v>
      </c>
      <c r="O106" s="45" t="s">
        <v>96</v>
      </c>
      <c r="P106" s="45" t="s">
        <v>144</v>
      </c>
      <c r="Q106" s="45" t="s">
        <v>144</v>
      </c>
      <c r="R106" s="45" t="s">
        <v>128</v>
      </c>
      <c r="S106" s="45" t="s">
        <v>129</v>
      </c>
      <c r="T106" s="45" t="s">
        <v>111</v>
      </c>
      <c r="U106" s="45" t="s">
        <v>91</v>
      </c>
      <c r="V106" s="45" t="s">
        <v>150</v>
      </c>
      <c r="W106" s="45" t="s">
        <v>66</v>
      </c>
      <c r="X106" s="45" t="s">
        <v>147</v>
      </c>
      <c r="Y106" s="45" t="s">
        <v>126</v>
      </c>
      <c r="Z106" s="45" t="s">
        <v>66</v>
      </c>
      <c r="AA106" s="45" t="s">
        <v>33</v>
      </c>
      <c r="AB106" s="45" t="s">
        <v>150</v>
      </c>
      <c r="AC106" s="45" t="s">
        <v>101</v>
      </c>
      <c r="AD106" s="45" t="s">
        <v>29</v>
      </c>
      <c r="AE106" s="45" t="s">
        <v>94</v>
      </c>
      <c r="AF106" s="45" t="s">
        <v>96</v>
      </c>
      <c r="AG106" s="45" t="s">
        <v>22</v>
      </c>
      <c r="AH106" s="45" t="s">
        <v>104</v>
      </c>
      <c r="AI106" s="45" t="s">
        <v>64</v>
      </c>
      <c r="AJ106" s="45" t="s">
        <v>55</v>
      </c>
      <c r="AK106" s="45" t="s">
        <v>55</v>
      </c>
      <c r="AL106" s="45" t="s">
        <v>129</v>
      </c>
      <c r="AM106" s="45" t="s">
        <v>101</v>
      </c>
      <c r="AN106" s="45" t="s">
        <v>26</v>
      </c>
      <c r="AO106" s="45" t="s">
        <v>26</v>
      </c>
      <c r="AP106" s="45" t="s">
        <v>63</v>
      </c>
      <c r="AQ106" s="45" t="s">
        <v>47</v>
      </c>
      <c r="AR106" s="45" t="s">
        <v>121</v>
      </c>
      <c r="AS106" s="45" t="s">
        <v>104</v>
      </c>
      <c r="AT106" s="45" t="s">
        <v>121</v>
      </c>
      <c r="AU106" s="45" t="s">
        <v>26</v>
      </c>
      <c r="AV106" s="45" t="s">
        <v>64</v>
      </c>
      <c r="AW106" s="45" t="s">
        <v>120</v>
      </c>
      <c r="AX106" s="45" t="s">
        <v>25</v>
      </c>
      <c r="AY106" s="45" t="s">
        <v>143</v>
      </c>
      <c r="AZ106" s="45" t="s">
        <v>89</v>
      </c>
      <c r="BA106" s="45" t="s">
        <v>121</v>
      </c>
      <c r="BB106" s="45" t="s">
        <v>55</v>
      </c>
      <c r="BC106" s="45" t="s">
        <v>147</v>
      </c>
      <c r="BD106" s="45" t="s">
        <v>54</v>
      </c>
      <c r="BE106" s="45" t="s">
        <v>108</v>
      </c>
      <c r="BF106" s="45" t="s">
        <v>94</v>
      </c>
      <c r="BG106" s="45" t="s">
        <v>95</v>
      </c>
      <c r="BH106" s="45" t="s">
        <v>31</v>
      </c>
      <c r="BI106" s="45" t="s">
        <v>94</v>
      </c>
      <c r="BJ106" s="45" t="s">
        <v>94</v>
      </c>
      <c r="BK106" s="45" t="s">
        <v>77</v>
      </c>
      <c r="BL106" s="45" t="s">
        <v>143</v>
      </c>
      <c r="BM106" s="45" t="s">
        <v>33</v>
      </c>
      <c r="BN106" s="45" t="s">
        <v>26</v>
      </c>
      <c r="BO106" s="45" t="s">
        <v>89</v>
      </c>
      <c r="BP106" s="45" t="s">
        <v>58</v>
      </c>
      <c r="BQ106" s="45" t="s">
        <v>44</v>
      </c>
      <c r="BR106" s="45" t="s">
        <v>77</v>
      </c>
      <c r="BS106" s="45" t="s">
        <v>51</v>
      </c>
      <c r="BT106" s="45" t="s">
        <v>34</v>
      </c>
      <c r="BU106" s="45" t="s">
        <v>36</v>
      </c>
      <c r="BV106" s="45" t="s">
        <v>43</v>
      </c>
      <c r="BW106" s="45" t="s">
        <v>63</v>
      </c>
      <c r="BX106" s="45" t="s">
        <v>55</v>
      </c>
      <c r="BY106" s="45" t="s">
        <v>43</v>
      </c>
      <c r="BZ106" s="45" t="s">
        <v>89</v>
      </c>
      <c r="CA106" s="45" t="s">
        <v>25</v>
      </c>
      <c r="CB106" s="45" t="s">
        <v>25</v>
      </c>
      <c r="CC106" s="45" t="s">
        <v>54</v>
      </c>
      <c r="CD106" s="45" t="s">
        <v>43</v>
      </c>
      <c r="CE106" s="45" t="s">
        <v>36</v>
      </c>
      <c r="CF106" s="45" t="s">
        <v>47</v>
      </c>
      <c r="CG106" s="45" t="s">
        <v>129</v>
      </c>
      <c r="CH106" s="45" t="s">
        <v>58</v>
      </c>
      <c r="CI106" s="45" t="s">
        <v>120</v>
      </c>
      <c r="CJ106" s="45" t="s">
        <v>142</v>
      </c>
      <c r="CK106" s="45" t="s">
        <v>51</v>
      </c>
      <c r="CL106" s="45" t="s">
        <v>26</v>
      </c>
      <c r="CM106" s="45" t="s">
        <v>116</v>
      </c>
      <c r="CN106" s="45" t="s">
        <v>54</v>
      </c>
      <c r="CO106" s="45" t="s">
        <v>48</v>
      </c>
      <c r="CP106" s="45" t="s">
        <v>94</v>
      </c>
      <c r="CQ106" s="45" t="s">
        <v>145</v>
      </c>
      <c r="CR106" s="45" t="s">
        <v>84</v>
      </c>
      <c r="CS106" s="45" t="s">
        <v>84</v>
      </c>
      <c r="CT106" s="45" t="s">
        <v>46</v>
      </c>
      <c r="CU106" s="45" t="s">
        <v>46</v>
      </c>
      <c r="CV106" s="45" t="s">
        <v>143</v>
      </c>
      <c r="CW106" s="45" t="s">
        <v>18</v>
      </c>
      <c r="CX106" s="45" t="s">
        <v>13</v>
      </c>
      <c r="CY106" s="45" t="s">
        <v>58</v>
      </c>
      <c r="CZ106" s="45" t="s">
        <v>12</v>
      </c>
      <c r="DA106" s="45" t="s">
        <v>12</v>
      </c>
      <c r="DB106" s="45" t="s">
        <v>29</v>
      </c>
      <c r="DC106" s="45" t="s">
        <v>43</v>
      </c>
      <c r="DD106" s="45" t="s">
        <v>44</v>
      </c>
      <c r="DE106" s="45" t="s">
        <v>77</v>
      </c>
      <c r="DF106" s="45" t="s">
        <v>51</v>
      </c>
      <c r="DG106" s="45" t="s">
        <v>145</v>
      </c>
      <c r="DH106" s="45" t="s">
        <v>145</v>
      </c>
      <c r="DI106" s="45" t="s">
        <v>12</v>
      </c>
      <c r="DJ106" s="45" t="s">
        <v>12</v>
      </c>
      <c r="DK106" s="45" t="s">
        <v>145</v>
      </c>
      <c r="DL106" s="45" t="s">
        <v>143</v>
      </c>
      <c r="DM106" s="45" t="s">
        <v>77</v>
      </c>
      <c r="DN106" s="45" t="s">
        <v>48</v>
      </c>
      <c r="DO106" s="45" t="s">
        <v>31</v>
      </c>
      <c r="DP106" s="45" t="s">
        <v>77</v>
      </c>
      <c r="DQ106" s="45" t="s">
        <v>106</v>
      </c>
      <c r="DR106" s="45" t="s">
        <v>115</v>
      </c>
      <c r="DS106" s="45" t="s">
        <v>18</v>
      </c>
      <c r="DT106" s="45" t="s">
        <v>133</v>
      </c>
      <c r="DU106" s="45" t="s">
        <v>25</v>
      </c>
      <c r="DV106" s="45" t="s">
        <v>77</v>
      </c>
      <c r="DW106" s="45" t="s">
        <v>77</v>
      </c>
      <c r="DX106" s="45" t="s">
        <v>131</v>
      </c>
      <c r="DY106" s="45" t="s">
        <v>131</v>
      </c>
      <c r="DZ106" s="45" t="s">
        <v>51</v>
      </c>
      <c r="EA106" s="45" t="s">
        <v>133</v>
      </c>
      <c r="EB106" s="45" t="s">
        <v>51</v>
      </c>
      <c r="EC106" s="45" t="s">
        <v>77</v>
      </c>
      <c r="ED106" s="45" t="s">
        <v>18</v>
      </c>
      <c r="EE106" s="45" t="s">
        <v>152</v>
      </c>
      <c r="EF106" s="45" t="s">
        <v>88</v>
      </c>
      <c r="EG106" s="45" t="s">
        <v>152</v>
      </c>
      <c r="EH106" s="45" t="s">
        <v>37</v>
      </c>
      <c r="EI106" s="45" t="s">
        <v>153</v>
      </c>
      <c r="EJ106" s="45" t="s">
        <v>153</v>
      </c>
    </row>
    <row r="107" customFormat="false" ht="15.75" hidden="false" customHeight="false" outlineLevel="0" collapsed="false">
      <c r="A107" s="249" t="n">
        <v>86</v>
      </c>
      <c r="B107" s="250" t="s">
        <v>30</v>
      </c>
      <c r="C107" s="45" t="s">
        <v>128</v>
      </c>
      <c r="D107" s="45" t="s">
        <v>101</v>
      </c>
      <c r="E107" s="45" t="s">
        <v>150</v>
      </c>
      <c r="F107" s="45" t="s">
        <v>129</v>
      </c>
      <c r="G107" s="45" t="s">
        <v>91</v>
      </c>
      <c r="H107" s="45" t="s">
        <v>64</v>
      </c>
      <c r="I107" s="45" t="s">
        <v>129</v>
      </c>
      <c r="J107" s="45" t="s">
        <v>66</v>
      </c>
      <c r="K107" s="45" t="s">
        <v>147</v>
      </c>
      <c r="L107" s="45" t="s">
        <v>64</v>
      </c>
      <c r="M107" s="45" t="s">
        <v>143</v>
      </c>
      <c r="N107" s="45" t="s">
        <v>96</v>
      </c>
      <c r="O107" s="45" t="s">
        <v>96</v>
      </c>
      <c r="P107" s="45" t="s">
        <v>66</v>
      </c>
      <c r="Q107" s="45" t="s">
        <v>66</v>
      </c>
      <c r="R107" s="45" t="s">
        <v>101</v>
      </c>
      <c r="S107" s="45" t="s">
        <v>96</v>
      </c>
      <c r="T107" s="45" t="s">
        <v>150</v>
      </c>
      <c r="U107" s="45" t="s">
        <v>96</v>
      </c>
      <c r="V107" s="45" t="s">
        <v>101</v>
      </c>
      <c r="W107" s="45" t="s">
        <v>63</v>
      </c>
      <c r="X107" s="45" t="s">
        <v>55</v>
      </c>
      <c r="Y107" s="45" t="s">
        <v>54</v>
      </c>
      <c r="Z107" s="45" t="s">
        <v>63</v>
      </c>
      <c r="AA107" s="45" t="s">
        <v>46</v>
      </c>
      <c r="AB107" s="45" t="s">
        <v>150</v>
      </c>
      <c r="AC107" s="45" t="s">
        <v>129</v>
      </c>
      <c r="AD107" s="45" t="s">
        <v>43</v>
      </c>
      <c r="AE107" s="45" t="s">
        <v>94</v>
      </c>
      <c r="AF107" s="45" t="s">
        <v>64</v>
      </c>
      <c r="AG107" s="45" t="s">
        <v>46</v>
      </c>
      <c r="AH107" s="45" t="s">
        <v>121</v>
      </c>
      <c r="AI107" s="45" t="s">
        <v>33</v>
      </c>
      <c r="AJ107" s="45" t="s">
        <v>94</v>
      </c>
      <c r="AK107" s="45" t="s">
        <v>55</v>
      </c>
      <c r="AL107" s="45" t="s">
        <v>129</v>
      </c>
      <c r="AM107" s="45" t="s">
        <v>129</v>
      </c>
      <c r="AN107" s="45" t="s">
        <v>26</v>
      </c>
      <c r="AO107" s="45" t="s">
        <v>77</v>
      </c>
      <c r="AP107" s="45" t="s">
        <v>126</v>
      </c>
      <c r="AQ107" s="45" t="s">
        <v>104</v>
      </c>
      <c r="AR107" s="45" t="s">
        <v>29</v>
      </c>
      <c r="AS107" s="45" t="s">
        <v>121</v>
      </c>
      <c r="AT107" s="45" t="s">
        <v>34</v>
      </c>
      <c r="AU107" s="45" t="s">
        <v>26</v>
      </c>
      <c r="AV107" s="45" t="s">
        <v>33</v>
      </c>
      <c r="AW107" s="45" t="s">
        <v>25</v>
      </c>
      <c r="AX107" s="45" t="s">
        <v>25</v>
      </c>
      <c r="AY107" s="45" t="s">
        <v>145</v>
      </c>
      <c r="AZ107" s="45" t="s">
        <v>44</v>
      </c>
      <c r="BA107" s="45" t="s">
        <v>34</v>
      </c>
      <c r="BB107" s="45" t="s">
        <v>94</v>
      </c>
      <c r="BC107" s="45" t="s">
        <v>55</v>
      </c>
      <c r="BD107" s="45" t="s">
        <v>147</v>
      </c>
      <c r="BE107" s="45" t="s">
        <v>47</v>
      </c>
      <c r="BF107" s="45" t="s">
        <v>31</v>
      </c>
      <c r="BG107" s="45" t="s">
        <v>31</v>
      </c>
      <c r="BH107" s="45" t="s">
        <v>48</v>
      </c>
      <c r="BI107" s="45" t="s">
        <v>95</v>
      </c>
      <c r="BJ107" s="45" t="s">
        <v>94</v>
      </c>
      <c r="BK107" s="45" t="s">
        <v>77</v>
      </c>
      <c r="BL107" s="45" t="s">
        <v>143</v>
      </c>
      <c r="BM107" s="45" t="s">
        <v>22</v>
      </c>
      <c r="BN107" s="45" t="s">
        <v>26</v>
      </c>
      <c r="BO107" s="45" t="s">
        <v>44</v>
      </c>
      <c r="BP107" s="45" t="s">
        <v>58</v>
      </c>
      <c r="BQ107" s="45" t="s">
        <v>36</v>
      </c>
      <c r="BR107" s="45" t="s">
        <v>77</v>
      </c>
      <c r="BS107" s="45" t="s">
        <v>51</v>
      </c>
      <c r="BT107" s="45" t="s">
        <v>29</v>
      </c>
      <c r="BU107" s="45" t="s">
        <v>13</v>
      </c>
      <c r="BV107" s="45" t="s">
        <v>89</v>
      </c>
      <c r="BW107" s="45" t="s">
        <v>63</v>
      </c>
      <c r="BX107" s="45" t="s">
        <v>55</v>
      </c>
      <c r="BY107" s="45" t="s">
        <v>89</v>
      </c>
      <c r="BZ107" s="45" t="s">
        <v>89</v>
      </c>
      <c r="CA107" s="45" t="s">
        <v>84</v>
      </c>
      <c r="CB107" s="45" t="s">
        <v>84</v>
      </c>
      <c r="CC107" s="45" t="s">
        <v>147</v>
      </c>
      <c r="CD107" s="45" t="s">
        <v>43</v>
      </c>
      <c r="CE107" s="45" t="s">
        <v>13</v>
      </c>
      <c r="CF107" s="45" t="s">
        <v>104</v>
      </c>
      <c r="CG107" s="45" t="s">
        <v>91</v>
      </c>
      <c r="CH107" s="45" t="s">
        <v>142</v>
      </c>
      <c r="CI107" s="45" t="s">
        <v>120</v>
      </c>
      <c r="CJ107" s="45" t="s">
        <v>120</v>
      </c>
      <c r="CK107" s="45" t="s">
        <v>51</v>
      </c>
      <c r="CL107" s="45" t="s">
        <v>77</v>
      </c>
      <c r="CM107" s="45" t="s">
        <v>58</v>
      </c>
      <c r="CN107" s="45" t="s">
        <v>54</v>
      </c>
      <c r="CO107" s="45" t="s">
        <v>48</v>
      </c>
      <c r="CP107" s="45" t="s">
        <v>94</v>
      </c>
      <c r="CQ107" s="45" t="s">
        <v>26</v>
      </c>
      <c r="CR107" s="45" t="s">
        <v>143</v>
      </c>
      <c r="CS107" s="45" t="s">
        <v>143</v>
      </c>
      <c r="CT107" s="45" t="s">
        <v>144</v>
      </c>
      <c r="CU107" s="45" t="s">
        <v>46</v>
      </c>
      <c r="CV107" s="45" t="s">
        <v>143</v>
      </c>
      <c r="CW107" s="45" t="s">
        <v>153</v>
      </c>
      <c r="CX107" s="45" t="s">
        <v>116</v>
      </c>
      <c r="CY107" s="45" t="s">
        <v>142</v>
      </c>
      <c r="CZ107" s="45" t="s">
        <v>133</v>
      </c>
      <c r="DA107" s="45" t="s">
        <v>133</v>
      </c>
      <c r="DB107" s="45" t="s">
        <v>43</v>
      </c>
      <c r="DC107" s="45" t="s">
        <v>30</v>
      </c>
      <c r="DD107" s="45" t="s">
        <v>44</v>
      </c>
      <c r="DE107" s="45" t="s">
        <v>12</v>
      </c>
      <c r="DF107" s="45" t="s">
        <v>51</v>
      </c>
      <c r="DG107" s="45" t="s">
        <v>145</v>
      </c>
      <c r="DH107" s="45" t="s">
        <v>26</v>
      </c>
      <c r="DI107" s="45" t="s">
        <v>12</v>
      </c>
      <c r="DJ107" s="45" t="s">
        <v>12</v>
      </c>
      <c r="DK107" s="45" t="s">
        <v>145</v>
      </c>
      <c r="DL107" s="45" t="s">
        <v>145</v>
      </c>
      <c r="DM107" s="45" t="s">
        <v>77</v>
      </c>
      <c r="DN107" s="45" t="s">
        <v>108</v>
      </c>
      <c r="DO107" s="45" t="s">
        <v>48</v>
      </c>
      <c r="DP107" s="45" t="s">
        <v>77</v>
      </c>
      <c r="DQ107" s="45" t="s">
        <v>110</v>
      </c>
      <c r="DR107" s="45" t="s">
        <v>115</v>
      </c>
      <c r="DS107" s="45" t="s">
        <v>18</v>
      </c>
      <c r="DT107" s="45" t="s">
        <v>51</v>
      </c>
      <c r="DU107" s="45" t="s">
        <v>25</v>
      </c>
      <c r="DV107" s="45" t="s">
        <v>12</v>
      </c>
      <c r="DW107" s="45" t="s">
        <v>12</v>
      </c>
      <c r="DX107" s="45" t="s">
        <v>131</v>
      </c>
      <c r="DY107" s="45" t="s">
        <v>106</v>
      </c>
      <c r="DZ107" s="45" t="s">
        <v>115</v>
      </c>
      <c r="EA107" s="45" t="s">
        <v>51</v>
      </c>
      <c r="EB107" s="45" t="s">
        <v>115</v>
      </c>
      <c r="EC107" s="45" t="s">
        <v>77</v>
      </c>
      <c r="ED107" s="45" t="s">
        <v>37</v>
      </c>
      <c r="EE107" s="45" t="s">
        <v>131</v>
      </c>
      <c r="EF107" s="45" t="s">
        <v>152</v>
      </c>
      <c r="EG107" s="45" t="s">
        <v>131</v>
      </c>
      <c r="EH107" s="45" t="s">
        <v>153</v>
      </c>
      <c r="EI107" s="45" t="s">
        <v>88</v>
      </c>
      <c r="EJ107" s="45" t="s">
        <v>152</v>
      </c>
    </row>
    <row r="108" customFormat="false" ht="15.75" hidden="false" customHeight="false" outlineLevel="0" collapsed="false">
      <c r="A108" s="249" t="n">
        <v>87</v>
      </c>
      <c r="B108" s="250" t="s">
        <v>116</v>
      </c>
      <c r="C108" s="45" t="s">
        <v>129</v>
      </c>
      <c r="D108" s="45" t="s">
        <v>91</v>
      </c>
      <c r="E108" s="45" t="s">
        <v>129</v>
      </c>
      <c r="F108" s="45" t="s">
        <v>96</v>
      </c>
      <c r="G108" s="45" t="s">
        <v>64</v>
      </c>
      <c r="H108" s="45" t="s">
        <v>46</v>
      </c>
      <c r="I108" s="45" t="s">
        <v>64</v>
      </c>
      <c r="J108" s="45" t="s">
        <v>126</v>
      </c>
      <c r="K108" s="45" t="s">
        <v>55</v>
      </c>
      <c r="L108" s="45" t="s">
        <v>46</v>
      </c>
      <c r="M108" s="45" t="s">
        <v>145</v>
      </c>
      <c r="N108" s="45" t="s">
        <v>33</v>
      </c>
      <c r="O108" s="45" t="s">
        <v>22</v>
      </c>
      <c r="P108" s="45" t="s">
        <v>54</v>
      </c>
      <c r="Q108" s="45" t="s">
        <v>54</v>
      </c>
      <c r="R108" s="45" t="s">
        <v>96</v>
      </c>
      <c r="S108" s="45" t="s">
        <v>64</v>
      </c>
      <c r="T108" s="45" t="s">
        <v>129</v>
      </c>
      <c r="U108" s="45" t="s">
        <v>33</v>
      </c>
      <c r="V108" s="45" t="s">
        <v>91</v>
      </c>
      <c r="W108" s="45" t="s">
        <v>54</v>
      </c>
      <c r="X108" s="45" t="s">
        <v>94</v>
      </c>
      <c r="Y108" s="45" t="s">
        <v>55</v>
      </c>
      <c r="Z108" s="45" t="s">
        <v>54</v>
      </c>
      <c r="AA108" s="45" t="s">
        <v>63</v>
      </c>
      <c r="AB108" s="45" t="s">
        <v>129</v>
      </c>
      <c r="AC108" s="45" t="s">
        <v>96</v>
      </c>
      <c r="AD108" s="45" t="s">
        <v>89</v>
      </c>
      <c r="AE108" s="45" t="s">
        <v>48</v>
      </c>
      <c r="AF108" s="45" t="s">
        <v>46</v>
      </c>
      <c r="AG108" s="45" t="s">
        <v>63</v>
      </c>
      <c r="AH108" s="45" t="s">
        <v>43</v>
      </c>
      <c r="AI108" s="45" t="s">
        <v>144</v>
      </c>
      <c r="AJ108" s="45" t="s">
        <v>31</v>
      </c>
      <c r="AK108" s="45" t="s">
        <v>95</v>
      </c>
      <c r="AL108" s="45" t="s">
        <v>96</v>
      </c>
      <c r="AM108" s="45" t="s">
        <v>96</v>
      </c>
      <c r="AN108" s="45" t="s">
        <v>97</v>
      </c>
      <c r="AO108" s="45" t="s">
        <v>77</v>
      </c>
      <c r="AP108" s="45" t="s">
        <v>55</v>
      </c>
      <c r="AQ108" s="45" t="s">
        <v>43</v>
      </c>
      <c r="AR108" s="45" t="s">
        <v>89</v>
      </c>
      <c r="AS108" s="45" t="s">
        <v>43</v>
      </c>
      <c r="AT108" s="45" t="s">
        <v>43</v>
      </c>
      <c r="AU108" s="45" t="s">
        <v>77</v>
      </c>
      <c r="AV108" s="45" t="s">
        <v>66</v>
      </c>
      <c r="AW108" s="45" t="s">
        <v>143</v>
      </c>
      <c r="AX108" s="45" t="s">
        <v>143</v>
      </c>
      <c r="AY108" s="45" t="s">
        <v>26</v>
      </c>
      <c r="AZ108" s="45" t="s">
        <v>13</v>
      </c>
      <c r="BA108" s="45" t="s">
        <v>89</v>
      </c>
      <c r="BB108" s="45" t="s">
        <v>31</v>
      </c>
      <c r="BC108" s="45" t="s">
        <v>94</v>
      </c>
      <c r="BD108" s="45" t="s">
        <v>94</v>
      </c>
      <c r="BE108" s="45" t="s">
        <v>29</v>
      </c>
      <c r="BF108" s="45" t="s">
        <v>108</v>
      </c>
      <c r="BG108" s="45" t="s">
        <v>47</v>
      </c>
      <c r="BH108" s="45" t="s">
        <v>104</v>
      </c>
      <c r="BI108" s="45" t="s">
        <v>108</v>
      </c>
      <c r="BJ108" s="45" t="s">
        <v>48</v>
      </c>
      <c r="BK108" s="45" t="s">
        <v>133</v>
      </c>
      <c r="BL108" s="45" t="s">
        <v>26</v>
      </c>
      <c r="BM108" s="45" t="s">
        <v>66</v>
      </c>
      <c r="BN108" s="45" t="s">
        <v>77</v>
      </c>
      <c r="BO108" s="45" t="s">
        <v>13</v>
      </c>
      <c r="BP108" s="45" t="s">
        <v>120</v>
      </c>
      <c r="BQ108" s="45" t="s">
        <v>58</v>
      </c>
      <c r="BR108" s="45" t="s">
        <v>12</v>
      </c>
      <c r="BS108" s="45" t="s">
        <v>67</v>
      </c>
      <c r="BT108" s="45" t="s">
        <v>89</v>
      </c>
      <c r="BU108" s="45" t="s">
        <v>58</v>
      </c>
      <c r="BV108" s="45" t="s">
        <v>36</v>
      </c>
      <c r="BW108" s="45" t="s">
        <v>147</v>
      </c>
      <c r="BX108" s="45" t="s">
        <v>94</v>
      </c>
      <c r="BY108" s="45" t="s">
        <v>36</v>
      </c>
      <c r="BZ108" s="45" t="s">
        <v>13</v>
      </c>
      <c r="CA108" s="45" t="s">
        <v>143</v>
      </c>
      <c r="CB108" s="45" t="s">
        <v>145</v>
      </c>
      <c r="CC108" s="45" t="s">
        <v>94</v>
      </c>
      <c r="CD108" s="45" t="s">
        <v>44</v>
      </c>
      <c r="CE108" s="45" t="s">
        <v>58</v>
      </c>
      <c r="CF108" s="45" t="s">
        <v>29</v>
      </c>
      <c r="CG108" s="45" t="s">
        <v>64</v>
      </c>
      <c r="CH108" s="45" t="s">
        <v>25</v>
      </c>
      <c r="CI108" s="45" t="s">
        <v>84</v>
      </c>
      <c r="CJ108" s="45" t="s">
        <v>25</v>
      </c>
      <c r="CK108" s="45" t="s">
        <v>18</v>
      </c>
      <c r="CL108" s="45" t="s">
        <v>12</v>
      </c>
      <c r="CM108" s="45" t="s">
        <v>120</v>
      </c>
      <c r="CN108" s="45" t="s">
        <v>55</v>
      </c>
      <c r="CO108" s="45" t="s">
        <v>104</v>
      </c>
      <c r="CP108" s="45" t="s">
        <v>48</v>
      </c>
      <c r="CQ108" s="45" t="s">
        <v>77</v>
      </c>
      <c r="CR108" s="45" t="s">
        <v>145</v>
      </c>
      <c r="CS108" s="45" t="s">
        <v>145</v>
      </c>
      <c r="CT108" s="45" t="s">
        <v>126</v>
      </c>
      <c r="CU108" s="45" t="s">
        <v>63</v>
      </c>
      <c r="CV108" s="45" t="s">
        <v>26</v>
      </c>
      <c r="CW108" s="45" t="s">
        <v>131</v>
      </c>
      <c r="CX108" s="45" t="s">
        <v>142</v>
      </c>
      <c r="CY108" s="45" t="s">
        <v>120</v>
      </c>
      <c r="CZ108" s="45" t="s">
        <v>51</v>
      </c>
      <c r="DA108" s="45" t="s">
        <v>115</v>
      </c>
      <c r="DB108" s="45" t="s">
        <v>44</v>
      </c>
      <c r="DC108" s="45" t="s">
        <v>44</v>
      </c>
      <c r="DD108" s="45" t="s">
        <v>116</v>
      </c>
      <c r="DE108" s="45" t="s">
        <v>51</v>
      </c>
      <c r="DF108" s="45" t="s">
        <v>18</v>
      </c>
      <c r="DG108" s="45" t="s">
        <v>26</v>
      </c>
      <c r="DH108" s="45" t="s">
        <v>77</v>
      </c>
      <c r="DI108" s="45" t="s">
        <v>51</v>
      </c>
      <c r="DJ108" s="45" t="s">
        <v>51</v>
      </c>
      <c r="DK108" s="45" t="s">
        <v>26</v>
      </c>
      <c r="DL108" s="45" t="s">
        <v>26</v>
      </c>
      <c r="DM108" s="45" t="s">
        <v>133</v>
      </c>
      <c r="DN108" s="45" t="s">
        <v>121</v>
      </c>
      <c r="DO108" s="45" t="s">
        <v>47</v>
      </c>
      <c r="DP108" s="45" t="s">
        <v>12</v>
      </c>
      <c r="DQ108" s="45" t="s">
        <v>138</v>
      </c>
      <c r="DR108" s="45" t="s">
        <v>153</v>
      </c>
      <c r="DS108" s="45" t="s">
        <v>152</v>
      </c>
      <c r="DT108" s="45" t="s">
        <v>115</v>
      </c>
      <c r="DU108" s="45" t="s">
        <v>143</v>
      </c>
      <c r="DV108" s="45" t="s">
        <v>51</v>
      </c>
      <c r="DW108" s="45" t="s">
        <v>51</v>
      </c>
      <c r="DX108" s="45" t="s">
        <v>110</v>
      </c>
      <c r="DY108" s="45" t="s">
        <v>138</v>
      </c>
      <c r="DZ108" s="45" t="s">
        <v>37</v>
      </c>
      <c r="EA108" s="45" t="s">
        <v>115</v>
      </c>
      <c r="EB108" s="45" t="s">
        <v>18</v>
      </c>
      <c r="EC108" s="45" t="s">
        <v>12</v>
      </c>
      <c r="ED108" s="45" t="s">
        <v>152</v>
      </c>
      <c r="EE108" s="45" t="s">
        <v>110</v>
      </c>
      <c r="EF108" s="45" t="s">
        <v>106</v>
      </c>
      <c r="EG108" s="45" t="s">
        <v>110</v>
      </c>
      <c r="EH108" s="45" t="s">
        <v>131</v>
      </c>
      <c r="EI108" s="45" t="s">
        <v>131</v>
      </c>
      <c r="EJ108" s="45" t="s">
        <v>106</v>
      </c>
    </row>
    <row r="109" customFormat="false" ht="15.75" hidden="false" customHeight="false" outlineLevel="0" collapsed="false">
      <c r="A109" s="249" t="n">
        <v>88</v>
      </c>
      <c r="B109" s="250" t="s">
        <v>124</v>
      </c>
      <c r="C109" s="45" t="s">
        <v>47</v>
      </c>
      <c r="D109" s="45" t="s">
        <v>104</v>
      </c>
      <c r="E109" s="45" t="s">
        <v>108</v>
      </c>
      <c r="F109" s="45" t="s">
        <v>121</v>
      </c>
      <c r="G109" s="45" t="s">
        <v>29</v>
      </c>
      <c r="H109" s="45" t="s">
        <v>89</v>
      </c>
      <c r="I109" s="45" t="s">
        <v>29</v>
      </c>
      <c r="J109" s="45" t="s">
        <v>13</v>
      </c>
      <c r="K109" s="45" t="s">
        <v>120</v>
      </c>
      <c r="L109" s="45" t="s">
        <v>89</v>
      </c>
      <c r="M109" s="45" t="s">
        <v>110</v>
      </c>
      <c r="N109" s="45" t="s">
        <v>43</v>
      </c>
      <c r="O109" s="45" t="s">
        <v>43</v>
      </c>
      <c r="P109" s="45" t="s">
        <v>116</v>
      </c>
      <c r="Q109" s="45" t="s">
        <v>116</v>
      </c>
      <c r="R109" s="45" t="s">
        <v>104</v>
      </c>
      <c r="S109" s="45" t="s">
        <v>43</v>
      </c>
      <c r="T109" s="45" t="s">
        <v>108</v>
      </c>
      <c r="U109" s="45" t="s">
        <v>43</v>
      </c>
      <c r="V109" s="45" t="s">
        <v>104</v>
      </c>
      <c r="W109" s="45" t="s">
        <v>116</v>
      </c>
      <c r="X109" s="45" t="s">
        <v>120</v>
      </c>
      <c r="Y109" s="45" t="s">
        <v>142</v>
      </c>
      <c r="Z109" s="45" t="s">
        <v>58</v>
      </c>
      <c r="AA109" s="45" t="s">
        <v>36</v>
      </c>
      <c r="AB109" s="45" t="s">
        <v>47</v>
      </c>
      <c r="AC109" s="45" t="s">
        <v>121</v>
      </c>
      <c r="AD109" s="45" t="s">
        <v>77</v>
      </c>
      <c r="AE109" s="45" t="s">
        <v>143</v>
      </c>
      <c r="AF109" s="45" t="s">
        <v>89</v>
      </c>
      <c r="AG109" s="45" t="s">
        <v>36</v>
      </c>
      <c r="AH109" s="45" t="s">
        <v>77</v>
      </c>
      <c r="AI109" s="45" t="s">
        <v>44</v>
      </c>
      <c r="AJ109" s="45" t="s">
        <v>25</v>
      </c>
      <c r="AK109" s="45" t="s">
        <v>25</v>
      </c>
      <c r="AL109" s="45" t="s">
        <v>34</v>
      </c>
      <c r="AM109" s="45" t="s">
        <v>34</v>
      </c>
      <c r="AN109" s="45" t="s">
        <v>14</v>
      </c>
      <c r="AO109" s="45" t="s">
        <v>117</v>
      </c>
      <c r="AP109" s="45" t="s">
        <v>142</v>
      </c>
      <c r="AQ109" s="45" t="s">
        <v>26</v>
      </c>
      <c r="AR109" s="45" t="s">
        <v>77</v>
      </c>
      <c r="AS109" s="45" t="s">
        <v>26</v>
      </c>
      <c r="AT109" s="45" t="s">
        <v>77</v>
      </c>
      <c r="AU109" s="45" t="s">
        <v>117</v>
      </c>
      <c r="AV109" s="45" t="s">
        <v>44</v>
      </c>
      <c r="AW109" s="45" t="s">
        <v>131</v>
      </c>
      <c r="AX109" s="45" t="s">
        <v>131</v>
      </c>
      <c r="AY109" s="45" t="s">
        <v>138</v>
      </c>
      <c r="AZ109" s="45" t="s">
        <v>133</v>
      </c>
      <c r="BA109" s="45" t="s">
        <v>77</v>
      </c>
      <c r="BB109" s="45" t="s">
        <v>84</v>
      </c>
      <c r="BC109" s="45" t="s">
        <v>25</v>
      </c>
      <c r="BD109" s="45" t="s">
        <v>120</v>
      </c>
      <c r="BE109" s="45" t="s">
        <v>26</v>
      </c>
      <c r="BF109" s="45" t="s">
        <v>143</v>
      </c>
      <c r="BG109" s="45" t="s">
        <v>143</v>
      </c>
      <c r="BH109" s="45" t="s">
        <v>145</v>
      </c>
      <c r="BI109" s="45" t="s">
        <v>143</v>
      </c>
      <c r="BJ109" s="45" t="s">
        <v>84</v>
      </c>
      <c r="BK109" s="45" t="s">
        <v>124</v>
      </c>
      <c r="BL109" s="45" t="s">
        <v>110</v>
      </c>
      <c r="BM109" s="45" t="s">
        <v>44</v>
      </c>
      <c r="BN109" s="45" t="s">
        <v>117</v>
      </c>
      <c r="BO109" s="45" t="s">
        <v>133</v>
      </c>
      <c r="BP109" s="45" t="s">
        <v>18</v>
      </c>
      <c r="BQ109" s="45" t="s">
        <v>76</v>
      </c>
      <c r="BR109" s="45" t="s">
        <v>149</v>
      </c>
      <c r="BS109" s="45" t="s">
        <v>122</v>
      </c>
      <c r="BT109" s="45" t="s">
        <v>77</v>
      </c>
      <c r="BU109" s="45" t="s">
        <v>51</v>
      </c>
      <c r="BV109" s="45" t="s">
        <v>12</v>
      </c>
      <c r="BW109" s="45" t="s">
        <v>58</v>
      </c>
      <c r="BX109" s="45" t="s">
        <v>25</v>
      </c>
      <c r="BY109" s="45" t="s">
        <v>12</v>
      </c>
      <c r="BZ109" s="45" t="s">
        <v>12</v>
      </c>
      <c r="CA109" s="45" t="s">
        <v>131</v>
      </c>
      <c r="CB109" s="45" t="s">
        <v>106</v>
      </c>
      <c r="CC109" s="45" t="s">
        <v>120</v>
      </c>
      <c r="CD109" s="45" t="s">
        <v>77</v>
      </c>
      <c r="CE109" s="45" t="s">
        <v>51</v>
      </c>
      <c r="CF109" s="45" t="s">
        <v>26</v>
      </c>
      <c r="CG109" s="45" t="s">
        <v>29</v>
      </c>
      <c r="CH109" s="45" t="s">
        <v>37</v>
      </c>
      <c r="CI109" s="45" t="s">
        <v>88</v>
      </c>
      <c r="CJ109" s="45" t="s">
        <v>153</v>
      </c>
      <c r="CK109" s="45" t="s">
        <v>122</v>
      </c>
      <c r="CL109" s="45" t="s">
        <v>119</v>
      </c>
      <c r="CM109" s="45" t="s">
        <v>67</v>
      </c>
      <c r="CN109" s="45" t="s">
        <v>120</v>
      </c>
      <c r="CO109" s="45" t="s">
        <v>145</v>
      </c>
      <c r="CP109" s="45" t="s">
        <v>143</v>
      </c>
      <c r="CQ109" s="45" t="s">
        <v>14</v>
      </c>
      <c r="CR109" s="45" t="s">
        <v>106</v>
      </c>
      <c r="CS109" s="45" t="s">
        <v>110</v>
      </c>
      <c r="CT109" s="45" t="s">
        <v>13</v>
      </c>
      <c r="CU109" s="45" t="s">
        <v>13</v>
      </c>
      <c r="CV109" s="45" t="s">
        <v>138</v>
      </c>
      <c r="CW109" s="45" t="s">
        <v>20</v>
      </c>
      <c r="CX109" s="45" t="s">
        <v>115</v>
      </c>
      <c r="CY109" s="45" t="s">
        <v>18</v>
      </c>
      <c r="CZ109" s="45" t="s">
        <v>99</v>
      </c>
      <c r="DA109" s="45" t="s">
        <v>99</v>
      </c>
      <c r="DB109" s="45" t="s">
        <v>77</v>
      </c>
      <c r="DC109" s="45" t="s">
        <v>12</v>
      </c>
      <c r="DD109" s="45" t="s">
        <v>51</v>
      </c>
      <c r="DE109" s="45" t="s">
        <v>124</v>
      </c>
      <c r="DF109" s="45" t="s">
        <v>122</v>
      </c>
      <c r="DG109" s="45" t="s">
        <v>138</v>
      </c>
      <c r="DH109" s="45" t="s">
        <v>14</v>
      </c>
      <c r="DI109" s="45" t="s">
        <v>82</v>
      </c>
      <c r="DJ109" s="45" t="s">
        <v>82</v>
      </c>
      <c r="DK109" s="45" t="s">
        <v>14</v>
      </c>
      <c r="DL109" s="45" t="s">
        <v>138</v>
      </c>
      <c r="DM109" s="45" t="s">
        <v>50</v>
      </c>
      <c r="DN109" s="45" t="s">
        <v>145</v>
      </c>
      <c r="DO109" s="45" t="s">
        <v>145</v>
      </c>
      <c r="DP109" s="45" t="s">
        <v>50</v>
      </c>
      <c r="DQ109" s="45" t="s">
        <v>15</v>
      </c>
      <c r="DR109" s="45" t="s">
        <v>105</v>
      </c>
      <c r="DS109" s="45" t="s">
        <v>20</v>
      </c>
      <c r="DT109" s="45" t="s">
        <v>122</v>
      </c>
      <c r="DU109" s="45" t="s">
        <v>131</v>
      </c>
      <c r="DV109" s="45" t="s">
        <v>82</v>
      </c>
      <c r="DW109" s="45" t="s">
        <v>124</v>
      </c>
      <c r="DX109" s="45" t="s">
        <v>73</v>
      </c>
      <c r="DY109" s="45" t="s">
        <v>73</v>
      </c>
      <c r="DZ109" s="45" t="s">
        <v>105</v>
      </c>
      <c r="EA109" s="45" t="s">
        <v>122</v>
      </c>
      <c r="EB109" s="45" t="s">
        <v>105</v>
      </c>
      <c r="EC109" s="45" t="s">
        <v>149</v>
      </c>
      <c r="ED109" s="45" t="s">
        <v>20</v>
      </c>
      <c r="EE109" s="45" t="s">
        <v>73</v>
      </c>
      <c r="EF109" s="45" t="s">
        <v>73</v>
      </c>
      <c r="EG109" s="45" t="s">
        <v>73</v>
      </c>
      <c r="EH109" s="45" t="s">
        <v>20</v>
      </c>
      <c r="EI109" s="45" t="s">
        <v>20</v>
      </c>
      <c r="EJ109" s="45" t="s">
        <v>20</v>
      </c>
    </row>
    <row r="110" customFormat="false" ht="15.75" hidden="false" customHeight="false" outlineLevel="0" collapsed="false">
      <c r="A110" s="249" t="n">
        <v>88</v>
      </c>
      <c r="B110" s="251" t="s">
        <v>76</v>
      </c>
      <c r="C110" s="45" t="s">
        <v>43</v>
      </c>
      <c r="D110" s="45" t="s">
        <v>43</v>
      </c>
      <c r="E110" s="45" t="s">
        <v>29</v>
      </c>
      <c r="F110" s="45" t="s">
        <v>89</v>
      </c>
      <c r="G110" s="45" t="s">
        <v>44</v>
      </c>
      <c r="H110" s="45" t="s">
        <v>116</v>
      </c>
      <c r="I110" s="45" t="s">
        <v>44</v>
      </c>
      <c r="J110" s="45" t="s">
        <v>120</v>
      </c>
      <c r="K110" s="45" t="s">
        <v>84</v>
      </c>
      <c r="L110" s="45" t="s">
        <v>13</v>
      </c>
      <c r="M110" s="45" t="s">
        <v>14</v>
      </c>
      <c r="N110" s="45" t="s">
        <v>36</v>
      </c>
      <c r="O110" s="45" t="s">
        <v>13</v>
      </c>
      <c r="P110" s="45" t="s">
        <v>120</v>
      </c>
      <c r="Q110" s="45" t="s">
        <v>120</v>
      </c>
      <c r="R110" s="45" t="s">
        <v>43</v>
      </c>
      <c r="S110" s="45" t="s">
        <v>44</v>
      </c>
      <c r="T110" s="45" t="s">
        <v>29</v>
      </c>
      <c r="U110" s="45" t="s">
        <v>36</v>
      </c>
      <c r="V110" s="45" t="s">
        <v>43</v>
      </c>
      <c r="W110" s="45" t="s">
        <v>120</v>
      </c>
      <c r="X110" s="45" t="s">
        <v>143</v>
      </c>
      <c r="Y110" s="45" t="s">
        <v>25</v>
      </c>
      <c r="Z110" s="45" t="s">
        <v>120</v>
      </c>
      <c r="AA110" s="45" t="s">
        <v>58</v>
      </c>
      <c r="AB110" s="45" t="s">
        <v>43</v>
      </c>
      <c r="AC110" s="45" t="s">
        <v>89</v>
      </c>
      <c r="AD110" s="45" t="s">
        <v>51</v>
      </c>
      <c r="AE110" s="45" t="s">
        <v>26</v>
      </c>
      <c r="AF110" s="45" t="s">
        <v>13</v>
      </c>
      <c r="AG110" s="45" t="s">
        <v>142</v>
      </c>
      <c r="AH110" s="45" t="s">
        <v>12</v>
      </c>
      <c r="AI110" s="45" t="s">
        <v>116</v>
      </c>
      <c r="AJ110" s="45" t="s">
        <v>145</v>
      </c>
      <c r="AK110" s="45" t="s">
        <v>145</v>
      </c>
      <c r="AL110" s="45" t="s">
        <v>89</v>
      </c>
      <c r="AM110" s="45" t="s">
        <v>89</v>
      </c>
      <c r="AN110" s="45" t="s">
        <v>50</v>
      </c>
      <c r="AO110" s="45" t="s">
        <v>82</v>
      </c>
      <c r="AP110" s="45" t="s">
        <v>25</v>
      </c>
      <c r="AQ110" s="45" t="s">
        <v>12</v>
      </c>
      <c r="AR110" s="45" t="s">
        <v>133</v>
      </c>
      <c r="AS110" s="45" t="s">
        <v>12</v>
      </c>
      <c r="AT110" s="45" t="s">
        <v>12</v>
      </c>
      <c r="AU110" s="45" t="s">
        <v>124</v>
      </c>
      <c r="AV110" s="45" t="s">
        <v>58</v>
      </c>
      <c r="AW110" s="45" t="s">
        <v>138</v>
      </c>
      <c r="AX110" s="45" t="s">
        <v>138</v>
      </c>
      <c r="AY110" s="45" t="s">
        <v>117</v>
      </c>
      <c r="AZ110" s="45" t="s">
        <v>67</v>
      </c>
      <c r="BA110" s="45" t="s">
        <v>133</v>
      </c>
      <c r="BB110" s="45" t="s">
        <v>145</v>
      </c>
      <c r="BC110" s="45" t="s">
        <v>143</v>
      </c>
      <c r="BD110" s="45" t="s">
        <v>143</v>
      </c>
      <c r="BE110" s="45" t="s">
        <v>77</v>
      </c>
      <c r="BF110" s="45" t="s">
        <v>26</v>
      </c>
      <c r="BG110" s="45" t="s">
        <v>26</v>
      </c>
      <c r="BH110" s="45" t="s">
        <v>77</v>
      </c>
      <c r="BI110" s="45" t="s">
        <v>26</v>
      </c>
      <c r="BJ110" s="45" t="s">
        <v>145</v>
      </c>
      <c r="BK110" s="45" t="s">
        <v>122</v>
      </c>
      <c r="BL110" s="45" t="s">
        <v>117</v>
      </c>
      <c r="BM110" s="45" t="s">
        <v>58</v>
      </c>
      <c r="BN110" s="45" t="s">
        <v>124</v>
      </c>
      <c r="BO110" s="45" t="s">
        <v>115</v>
      </c>
      <c r="BP110" s="45" t="s">
        <v>131</v>
      </c>
      <c r="BQ110" s="45" t="s">
        <v>18</v>
      </c>
      <c r="BR110" s="45" t="s">
        <v>99</v>
      </c>
      <c r="BS110" s="45" t="s">
        <v>20</v>
      </c>
      <c r="BT110" s="45" t="s">
        <v>133</v>
      </c>
      <c r="BU110" s="45" t="s">
        <v>153</v>
      </c>
      <c r="BV110" s="45" t="s">
        <v>51</v>
      </c>
      <c r="BW110" s="45" t="s">
        <v>25</v>
      </c>
      <c r="BX110" s="45" t="s">
        <v>143</v>
      </c>
      <c r="BY110" s="45" t="s">
        <v>115</v>
      </c>
      <c r="BZ110" s="45" t="s">
        <v>115</v>
      </c>
      <c r="CA110" s="45" t="s">
        <v>138</v>
      </c>
      <c r="CB110" s="45" t="s">
        <v>14</v>
      </c>
      <c r="CC110" s="45" t="s">
        <v>143</v>
      </c>
      <c r="CD110" s="45" t="s">
        <v>51</v>
      </c>
      <c r="CE110" s="45" t="s">
        <v>37</v>
      </c>
      <c r="CF110" s="45" t="s">
        <v>77</v>
      </c>
      <c r="CG110" s="45" t="s">
        <v>44</v>
      </c>
      <c r="CH110" s="45" t="s">
        <v>131</v>
      </c>
      <c r="CI110" s="45" t="s">
        <v>110</v>
      </c>
      <c r="CJ110" s="45" t="s">
        <v>106</v>
      </c>
      <c r="CK110" s="45" t="s">
        <v>20</v>
      </c>
      <c r="CL110" s="45" t="s">
        <v>82</v>
      </c>
      <c r="CM110" s="45" t="s">
        <v>152</v>
      </c>
      <c r="CN110" s="45" t="s">
        <v>84</v>
      </c>
      <c r="CO110" s="45" t="s">
        <v>77</v>
      </c>
      <c r="CP110" s="45" t="s">
        <v>26</v>
      </c>
      <c r="CQ110" s="45" t="s">
        <v>149</v>
      </c>
      <c r="CR110" s="45" t="s">
        <v>14</v>
      </c>
      <c r="CS110" s="45" t="s">
        <v>14</v>
      </c>
      <c r="CT110" s="45" t="s">
        <v>142</v>
      </c>
      <c r="CU110" s="45" t="s">
        <v>142</v>
      </c>
      <c r="CV110" s="45" t="s">
        <v>117</v>
      </c>
      <c r="CW110" s="45" t="s">
        <v>73</v>
      </c>
      <c r="CX110" s="45" t="s">
        <v>88</v>
      </c>
      <c r="CY110" s="45" t="s">
        <v>131</v>
      </c>
      <c r="CZ110" s="45" t="s">
        <v>105</v>
      </c>
      <c r="DA110" s="45" t="s">
        <v>105</v>
      </c>
      <c r="DB110" s="45" t="s">
        <v>51</v>
      </c>
      <c r="DC110" s="45" t="s">
        <v>51</v>
      </c>
      <c r="DD110" s="45" t="s">
        <v>18</v>
      </c>
      <c r="DE110" s="45" t="s">
        <v>122</v>
      </c>
      <c r="DF110" s="45" t="s">
        <v>76</v>
      </c>
      <c r="DG110" s="45" t="s">
        <v>119</v>
      </c>
      <c r="DH110" s="45" t="s">
        <v>50</v>
      </c>
      <c r="DI110" s="45" t="s">
        <v>105</v>
      </c>
      <c r="DJ110" s="45" t="s">
        <v>105</v>
      </c>
      <c r="DK110" s="45" t="s">
        <v>149</v>
      </c>
      <c r="DL110" s="45" t="s">
        <v>117</v>
      </c>
      <c r="DM110" s="45" t="s">
        <v>122</v>
      </c>
      <c r="DN110" s="45" t="s">
        <v>77</v>
      </c>
      <c r="DO110" s="45" t="s">
        <v>26</v>
      </c>
      <c r="DP110" s="45" t="s">
        <v>122</v>
      </c>
      <c r="DQ110" s="45" t="s">
        <v>39</v>
      </c>
      <c r="DR110" s="45" t="s">
        <v>20</v>
      </c>
      <c r="DS110" s="45" t="s">
        <v>73</v>
      </c>
      <c r="DT110" s="45" t="s">
        <v>105</v>
      </c>
      <c r="DU110" s="45" t="s">
        <v>138</v>
      </c>
      <c r="DV110" s="45" t="s">
        <v>122</v>
      </c>
      <c r="DW110" s="45" t="s">
        <v>122</v>
      </c>
      <c r="DX110" s="45" t="s">
        <v>39</v>
      </c>
      <c r="DY110" s="45" t="s">
        <v>39</v>
      </c>
      <c r="DZ110" s="45" t="s">
        <v>20</v>
      </c>
      <c r="EA110" s="45" t="s">
        <v>20</v>
      </c>
      <c r="EB110" s="45" t="s">
        <v>20</v>
      </c>
      <c r="EC110" s="45" t="s">
        <v>99</v>
      </c>
      <c r="ED110" s="45" t="s">
        <v>73</v>
      </c>
      <c r="EE110" s="45" t="s">
        <v>15</v>
      </c>
      <c r="EF110" s="45" t="s">
        <v>15</v>
      </c>
      <c r="EG110" s="45" t="s">
        <v>15</v>
      </c>
      <c r="EH110" s="45" t="s">
        <v>73</v>
      </c>
      <c r="EI110" s="45" t="s">
        <v>15</v>
      </c>
      <c r="EJ110" s="45" t="s">
        <v>15</v>
      </c>
    </row>
    <row r="111" customFormat="false" ht="15.75" hidden="false" customHeight="false" outlineLevel="0" collapsed="false">
      <c r="A111" s="249" t="n">
        <v>89</v>
      </c>
      <c r="B111" s="250" t="s">
        <v>88</v>
      </c>
      <c r="C111" s="45" t="s">
        <v>55</v>
      </c>
      <c r="D111" s="45" t="s">
        <v>94</v>
      </c>
      <c r="E111" s="45" t="s">
        <v>55</v>
      </c>
      <c r="F111" s="45" t="s">
        <v>94</v>
      </c>
      <c r="G111" s="45" t="s">
        <v>31</v>
      </c>
      <c r="H111" s="45" t="s">
        <v>47</v>
      </c>
      <c r="I111" s="45" t="s">
        <v>95</v>
      </c>
      <c r="J111" s="45" t="s">
        <v>29</v>
      </c>
      <c r="K111" s="45" t="s">
        <v>44</v>
      </c>
      <c r="L111" s="45" t="s">
        <v>108</v>
      </c>
      <c r="M111" s="45" t="s">
        <v>18</v>
      </c>
      <c r="N111" s="45" t="s">
        <v>48</v>
      </c>
      <c r="O111" s="45" t="s">
        <v>48</v>
      </c>
      <c r="P111" s="45" t="s">
        <v>43</v>
      </c>
      <c r="Q111" s="45" t="s">
        <v>43</v>
      </c>
      <c r="R111" s="45" t="s">
        <v>94</v>
      </c>
      <c r="S111" s="45" t="s">
        <v>31</v>
      </c>
      <c r="T111" s="45" t="s">
        <v>55</v>
      </c>
      <c r="U111" s="45" t="s">
        <v>48</v>
      </c>
      <c r="V111" s="45" t="s">
        <v>94</v>
      </c>
      <c r="W111" s="45" t="s">
        <v>43</v>
      </c>
      <c r="X111" s="45" t="s">
        <v>36</v>
      </c>
      <c r="Y111" s="45" t="s">
        <v>89</v>
      </c>
      <c r="Z111" s="45" t="s">
        <v>43</v>
      </c>
      <c r="AA111" s="45" t="s">
        <v>121</v>
      </c>
      <c r="AB111" s="45" t="s">
        <v>55</v>
      </c>
      <c r="AC111" s="45" t="s">
        <v>94</v>
      </c>
      <c r="AD111" s="45" t="s">
        <v>143</v>
      </c>
      <c r="AE111" s="45" t="s">
        <v>58</v>
      </c>
      <c r="AF111" s="45" t="s">
        <v>108</v>
      </c>
      <c r="AG111" s="45" t="s">
        <v>121</v>
      </c>
      <c r="AH111" s="45" t="s">
        <v>143</v>
      </c>
      <c r="AI111" s="45" t="s">
        <v>47</v>
      </c>
      <c r="AJ111" s="45" t="s">
        <v>116</v>
      </c>
      <c r="AK111" s="45" t="s">
        <v>13</v>
      </c>
      <c r="AL111" s="45" t="s">
        <v>94</v>
      </c>
      <c r="AM111" s="45" t="s">
        <v>94</v>
      </c>
      <c r="AN111" s="45" t="s">
        <v>131</v>
      </c>
      <c r="AO111" s="45" t="s">
        <v>106</v>
      </c>
      <c r="AP111" s="45" t="s">
        <v>89</v>
      </c>
      <c r="AQ111" s="45" t="s">
        <v>84</v>
      </c>
      <c r="AR111" s="45" t="s">
        <v>143</v>
      </c>
      <c r="AS111" s="45" t="s">
        <v>84</v>
      </c>
      <c r="AT111" s="45" t="s">
        <v>143</v>
      </c>
      <c r="AU111" s="45" t="s">
        <v>131</v>
      </c>
      <c r="AV111" s="45" t="s">
        <v>104</v>
      </c>
      <c r="AW111" s="45" t="s">
        <v>51</v>
      </c>
      <c r="AX111" s="45" t="s">
        <v>115</v>
      </c>
      <c r="AY111" s="45" t="s">
        <v>153</v>
      </c>
      <c r="AZ111" s="45" t="s">
        <v>26</v>
      </c>
      <c r="BA111" s="45" t="s">
        <v>143</v>
      </c>
      <c r="BB111" s="45" t="s">
        <v>116</v>
      </c>
      <c r="BC111" s="45" t="s">
        <v>13</v>
      </c>
      <c r="BD111" s="45" t="s">
        <v>36</v>
      </c>
      <c r="BE111" s="45" t="s">
        <v>25</v>
      </c>
      <c r="BF111" s="45" t="s">
        <v>142</v>
      </c>
      <c r="BG111" s="45" t="s">
        <v>142</v>
      </c>
      <c r="BH111" s="45" t="s">
        <v>120</v>
      </c>
      <c r="BI111" s="45" t="s">
        <v>142</v>
      </c>
      <c r="BJ111" s="45" t="s">
        <v>58</v>
      </c>
      <c r="BK111" s="45" t="s">
        <v>138</v>
      </c>
      <c r="BL111" s="45" t="s">
        <v>37</v>
      </c>
      <c r="BM111" s="45" t="s">
        <v>104</v>
      </c>
      <c r="BN111" s="45" t="s">
        <v>131</v>
      </c>
      <c r="BO111" s="45" t="s">
        <v>26</v>
      </c>
      <c r="BP111" s="45" t="s">
        <v>12</v>
      </c>
      <c r="BQ111" s="45" t="s">
        <v>77</v>
      </c>
      <c r="BR111" s="45" t="s">
        <v>110</v>
      </c>
      <c r="BS111" s="45" t="s">
        <v>117</v>
      </c>
      <c r="BT111" s="45" t="s">
        <v>75</v>
      </c>
      <c r="BU111" s="45" t="s">
        <v>77</v>
      </c>
      <c r="BV111" s="45" t="s">
        <v>145</v>
      </c>
      <c r="BW111" s="45" t="s">
        <v>43</v>
      </c>
      <c r="BX111" s="45" t="s">
        <v>13</v>
      </c>
      <c r="BY111" s="45" t="s">
        <v>26</v>
      </c>
      <c r="BZ111" s="45" t="s">
        <v>26</v>
      </c>
      <c r="CA111" s="45" t="s">
        <v>115</v>
      </c>
      <c r="CB111" s="45" t="s">
        <v>67</v>
      </c>
      <c r="CC111" s="45" t="s">
        <v>44</v>
      </c>
      <c r="CD111" s="45" t="s">
        <v>145</v>
      </c>
      <c r="CE111" s="45" t="s">
        <v>77</v>
      </c>
      <c r="CF111" s="45" t="s">
        <v>25</v>
      </c>
      <c r="CG111" s="45" t="s">
        <v>95</v>
      </c>
      <c r="CH111" s="45" t="s">
        <v>12</v>
      </c>
      <c r="CI111" s="45" t="s">
        <v>51</v>
      </c>
      <c r="CJ111" s="45" t="s">
        <v>133</v>
      </c>
      <c r="CK111" s="45" t="s">
        <v>149</v>
      </c>
      <c r="CL111" s="45" t="s">
        <v>110</v>
      </c>
      <c r="CM111" s="45" t="s">
        <v>77</v>
      </c>
      <c r="CN111" s="45" t="s">
        <v>44</v>
      </c>
      <c r="CO111" s="45" t="s">
        <v>120</v>
      </c>
      <c r="CP111" s="45" t="s">
        <v>58</v>
      </c>
      <c r="CQ111" s="45" t="s">
        <v>152</v>
      </c>
      <c r="CR111" s="45" t="s">
        <v>18</v>
      </c>
      <c r="CS111" s="45" t="s">
        <v>18</v>
      </c>
      <c r="CT111" s="45" t="s">
        <v>29</v>
      </c>
      <c r="CU111" s="45" t="s">
        <v>34</v>
      </c>
      <c r="CV111" s="45" t="s">
        <v>153</v>
      </c>
      <c r="CW111" s="45" t="s">
        <v>99</v>
      </c>
      <c r="CX111" s="45" t="s">
        <v>77</v>
      </c>
      <c r="CY111" s="45" t="s">
        <v>12</v>
      </c>
      <c r="CZ111" s="45" t="s">
        <v>14</v>
      </c>
      <c r="DA111" s="45" t="s">
        <v>117</v>
      </c>
      <c r="DB111" s="45" t="s">
        <v>145</v>
      </c>
      <c r="DC111" s="45" t="s">
        <v>145</v>
      </c>
      <c r="DD111" s="45" t="s">
        <v>26</v>
      </c>
      <c r="DE111" s="45" t="s">
        <v>138</v>
      </c>
      <c r="DF111" s="45" t="s">
        <v>119</v>
      </c>
      <c r="DG111" s="45" t="s">
        <v>88</v>
      </c>
      <c r="DH111" s="45" t="s">
        <v>131</v>
      </c>
      <c r="DI111" s="45" t="s">
        <v>14</v>
      </c>
      <c r="DJ111" s="45" t="s">
        <v>14</v>
      </c>
      <c r="DK111" s="45" t="s">
        <v>152</v>
      </c>
      <c r="DL111" s="45" t="s">
        <v>153</v>
      </c>
      <c r="DM111" s="45" t="s">
        <v>138</v>
      </c>
      <c r="DN111" s="45" t="s">
        <v>120</v>
      </c>
      <c r="DO111" s="45" t="s">
        <v>120</v>
      </c>
      <c r="DP111" s="45" t="s">
        <v>138</v>
      </c>
      <c r="DQ111" s="45" t="s">
        <v>20</v>
      </c>
      <c r="DR111" s="45" t="s">
        <v>50</v>
      </c>
      <c r="DS111" s="45" t="s">
        <v>82</v>
      </c>
      <c r="DT111" s="45" t="s">
        <v>117</v>
      </c>
      <c r="DU111" s="45" t="s">
        <v>115</v>
      </c>
      <c r="DV111" s="45" t="s">
        <v>14</v>
      </c>
      <c r="DW111" s="45" t="s">
        <v>14</v>
      </c>
      <c r="DX111" s="45" t="s">
        <v>105</v>
      </c>
      <c r="DY111" s="45" t="s">
        <v>105</v>
      </c>
      <c r="DZ111" s="45" t="s">
        <v>50</v>
      </c>
      <c r="EA111" s="45" t="s">
        <v>117</v>
      </c>
      <c r="EB111" s="45" t="s">
        <v>149</v>
      </c>
      <c r="EC111" s="45" t="s">
        <v>110</v>
      </c>
      <c r="ED111" s="45" t="s">
        <v>82</v>
      </c>
      <c r="EE111" s="45" t="s">
        <v>105</v>
      </c>
      <c r="EF111" s="45" t="s">
        <v>122</v>
      </c>
      <c r="EG111" s="45" t="s">
        <v>122</v>
      </c>
      <c r="EH111" s="45" t="s">
        <v>99</v>
      </c>
      <c r="EI111" s="45" t="s">
        <v>122</v>
      </c>
      <c r="EJ111" s="45" t="s">
        <v>122</v>
      </c>
    </row>
    <row r="112" customFormat="false" ht="15.75" hidden="false" customHeight="false" outlineLevel="0" collapsed="false">
      <c r="A112" s="249" t="n">
        <v>89</v>
      </c>
      <c r="B112" s="251" t="s">
        <v>75</v>
      </c>
      <c r="C112" s="45" t="s">
        <v>94</v>
      </c>
      <c r="D112" s="45" t="s">
        <v>94</v>
      </c>
      <c r="E112" s="45" t="s">
        <v>55</v>
      </c>
      <c r="F112" s="45" t="s">
        <v>31</v>
      </c>
      <c r="G112" s="45" t="s">
        <v>48</v>
      </c>
      <c r="H112" s="45" t="s">
        <v>104</v>
      </c>
      <c r="I112" s="45" t="s">
        <v>48</v>
      </c>
      <c r="J112" s="45" t="s">
        <v>43</v>
      </c>
      <c r="K112" s="45" t="s">
        <v>36</v>
      </c>
      <c r="L112" s="45" t="s">
        <v>47</v>
      </c>
      <c r="M112" s="45" t="s">
        <v>153</v>
      </c>
      <c r="N112" s="45" t="s">
        <v>108</v>
      </c>
      <c r="O112" s="45" t="s">
        <v>47</v>
      </c>
      <c r="P112" s="45" t="s">
        <v>43</v>
      </c>
      <c r="Q112" s="45" t="s">
        <v>43</v>
      </c>
      <c r="R112" s="45" t="s">
        <v>94</v>
      </c>
      <c r="S112" s="45" t="s">
        <v>48</v>
      </c>
      <c r="T112" s="45" t="s">
        <v>94</v>
      </c>
      <c r="U112" s="45" t="s">
        <v>108</v>
      </c>
      <c r="V112" s="45" t="s">
        <v>94</v>
      </c>
      <c r="W112" s="45" t="s">
        <v>89</v>
      </c>
      <c r="X112" s="45" t="s">
        <v>13</v>
      </c>
      <c r="Y112" s="45" t="s">
        <v>44</v>
      </c>
      <c r="Z112" s="45" t="s">
        <v>89</v>
      </c>
      <c r="AA112" s="45" t="s">
        <v>29</v>
      </c>
      <c r="AB112" s="45" t="s">
        <v>94</v>
      </c>
      <c r="AC112" s="45" t="s">
        <v>95</v>
      </c>
      <c r="AD112" s="45" t="s">
        <v>145</v>
      </c>
      <c r="AE112" s="45" t="s">
        <v>142</v>
      </c>
      <c r="AF112" s="45" t="s">
        <v>104</v>
      </c>
      <c r="AG112" s="45" t="s">
        <v>29</v>
      </c>
      <c r="AH112" s="45" t="s">
        <v>143</v>
      </c>
      <c r="AI112" s="45" t="s">
        <v>121</v>
      </c>
      <c r="AJ112" s="45" t="s">
        <v>58</v>
      </c>
      <c r="AK112" s="45" t="s">
        <v>58</v>
      </c>
      <c r="AL112" s="45" t="s">
        <v>31</v>
      </c>
      <c r="AM112" s="45" t="s">
        <v>31</v>
      </c>
      <c r="AN112" s="45" t="s">
        <v>106</v>
      </c>
      <c r="AO112" s="45" t="s">
        <v>110</v>
      </c>
      <c r="AP112" s="45" t="s">
        <v>44</v>
      </c>
      <c r="AQ112" s="45" t="s">
        <v>143</v>
      </c>
      <c r="AR112" s="45" t="s">
        <v>145</v>
      </c>
      <c r="AS112" s="45" t="s">
        <v>143</v>
      </c>
      <c r="AT112" s="45" t="s">
        <v>143</v>
      </c>
      <c r="AU112" s="45" t="s">
        <v>106</v>
      </c>
      <c r="AV112" s="45" t="s">
        <v>121</v>
      </c>
      <c r="AW112" s="45" t="s">
        <v>115</v>
      </c>
      <c r="AX112" s="45" t="s">
        <v>67</v>
      </c>
      <c r="AY112" s="45" t="s">
        <v>152</v>
      </c>
      <c r="AZ112" s="45" t="s">
        <v>77</v>
      </c>
      <c r="BA112" s="45" t="s">
        <v>145</v>
      </c>
      <c r="BB112" s="45" t="s">
        <v>58</v>
      </c>
      <c r="BC112" s="45" t="s">
        <v>116</v>
      </c>
      <c r="BD112" s="45" t="s">
        <v>13</v>
      </c>
      <c r="BE112" s="45" t="s">
        <v>84</v>
      </c>
      <c r="BF112" s="45" t="s">
        <v>120</v>
      </c>
      <c r="BG112" s="45" t="s">
        <v>120</v>
      </c>
      <c r="BH112" s="45" t="s">
        <v>25</v>
      </c>
      <c r="BI112" s="45" t="s">
        <v>120</v>
      </c>
      <c r="BJ112" s="45" t="s">
        <v>142</v>
      </c>
      <c r="BK112" s="45" t="s">
        <v>14</v>
      </c>
      <c r="BL112" s="45" t="s">
        <v>153</v>
      </c>
      <c r="BM112" s="45" t="s">
        <v>34</v>
      </c>
      <c r="BN112" s="45" t="s">
        <v>110</v>
      </c>
      <c r="BO112" s="45" t="s">
        <v>26</v>
      </c>
      <c r="BP112" s="45" t="s">
        <v>133</v>
      </c>
      <c r="BQ112" s="45" t="s">
        <v>77</v>
      </c>
      <c r="BR112" s="45" t="s">
        <v>138</v>
      </c>
      <c r="BS112" s="45" t="s">
        <v>149</v>
      </c>
      <c r="BT112" s="45" t="s">
        <v>145</v>
      </c>
      <c r="BU112" s="45" t="s">
        <v>77</v>
      </c>
      <c r="BV112" s="45" t="s">
        <v>26</v>
      </c>
      <c r="BW112" s="45" t="s">
        <v>89</v>
      </c>
      <c r="BX112" s="45" t="s">
        <v>116</v>
      </c>
      <c r="BY112" s="45" t="s">
        <v>26</v>
      </c>
      <c r="BZ112" s="45" t="s">
        <v>26</v>
      </c>
      <c r="CA112" s="45" t="s">
        <v>18</v>
      </c>
      <c r="CB112" s="45" t="s">
        <v>18</v>
      </c>
      <c r="CC112" s="45" t="s">
        <v>13</v>
      </c>
      <c r="CD112" s="45" t="s">
        <v>26</v>
      </c>
      <c r="CE112" s="45" t="s">
        <v>77</v>
      </c>
      <c r="CF112" s="45" t="s">
        <v>143</v>
      </c>
      <c r="CG112" s="45" t="s">
        <v>48</v>
      </c>
      <c r="CH112" s="45" t="s">
        <v>51</v>
      </c>
      <c r="CI112" s="45" t="s">
        <v>51</v>
      </c>
      <c r="CJ112" s="45" t="s">
        <v>51</v>
      </c>
      <c r="CK112" s="45" t="s">
        <v>50</v>
      </c>
      <c r="CL112" s="45" t="s">
        <v>138</v>
      </c>
      <c r="CM112" s="45" t="s">
        <v>12</v>
      </c>
      <c r="CN112" s="45" t="s">
        <v>36</v>
      </c>
      <c r="CO112" s="45" t="s">
        <v>25</v>
      </c>
      <c r="CP112" s="45" t="s">
        <v>142</v>
      </c>
      <c r="CQ112" s="45" t="s">
        <v>131</v>
      </c>
      <c r="CR112" s="45" t="s">
        <v>37</v>
      </c>
      <c r="CS112" s="45" t="s">
        <v>153</v>
      </c>
      <c r="CT112" s="45" t="s">
        <v>43</v>
      </c>
      <c r="CU112" s="45" t="s">
        <v>43</v>
      </c>
      <c r="CV112" s="45" t="s">
        <v>88</v>
      </c>
      <c r="CW112" s="45" t="s">
        <v>122</v>
      </c>
      <c r="CX112" s="45" t="s">
        <v>12</v>
      </c>
      <c r="CY112" s="45" t="s">
        <v>133</v>
      </c>
      <c r="CZ112" s="45" t="s">
        <v>117</v>
      </c>
      <c r="DA112" s="45" t="s">
        <v>117</v>
      </c>
      <c r="DB112" s="45" t="s">
        <v>145</v>
      </c>
      <c r="DC112" s="45" t="s">
        <v>26</v>
      </c>
      <c r="DD112" s="45" t="s">
        <v>77</v>
      </c>
      <c r="DE112" s="45" t="s">
        <v>14</v>
      </c>
      <c r="DF112" s="45" t="s">
        <v>50</v>
      </c>
      <c r="DG112" s="45" t="s">
        <v>131</v>
      </c>
      <c r="DH112" s="45" t="s">
        <v>75</v>
      </c>
      <c r="DI112" s="45" t="s">
        <v>117</v>
      </c>
      <c r="DJ112" s="45" t="s">
        <v>117</v>
      </c>
      <c r="DK112" s="45" t="s">
        <v>131</v>
      </c>
      <c r="DL112" s="45" t="s">
        <v>152</v>
      </c>
      <c r="DM112" s="45" t="s">
        <v>14</v>
      </c>
      <c r="DN112" s="45" t="s">
        <v>25</v>
      </c>
      <c r="DO112" s="45" t="s">
        <v>120</v>
      </c>
      <c r="DP112" s="45" t="s">
        <v>138</v>
      </c>
      <c r="DQ112" s="45" t="s">
        <v>20</v>
      </c>
      <c r="DR112" s="45" t="s">
        <v>82</v>
      </c>
      <c r="DS112" s="45" t="s">
        <v>99</v>
      </c>
      <c r="DT112" s="45" t="s">
        <v>119</v>
      </c>
      <c r="DU112" s="45" t="s">
        <v>18</v>
      </c>
      <c r="DV112" s="45" t="s">
        <v>14</v>
      </c>
      <c r="DW112" s="45" t="s">
        <v>14</v>
      </c>
      <c r="DX112" s="45" t="s">
        <v>105</v>
      </c>
      <c r="DY112" s="45" t="s">
        <v>20</v>
      </c>
      <c r="DZ112" s="45" t="s">
        <v>124</v>
      </c>
      <c r="EA112" s="45" t="s">
        <v>149</v>
      </c>
      <c r="EB112" s="45" t="s">
        <v>124</v>
      </c>
      <c r="EC112" s="45" t="s">
        <v>138</v>
      </c>
      <c r="ED112" s="45" t="s">
        <v>122</v>
      </c>
      <c r="EE112" s="45" t="s">
        <v>105</v>
      </c>
      <c r="EF112" s="45" t="s">
        <v>105</v>
      </c>
      <c r="EG112" s="45" t="s">
        <v>105</v>
      </c>
      <c r="EH112" s="45" t="s">
        <v>122</v>
      </c>
      <c r="EI112" s="45" t="s">
        <v>122</v>
      </c>
      <c r="EJ112" s="45" t="s">
        <v>105</v>
      </c>
    </row>
    <row r="113" customFormat="false" ht="15.75" hidden="false" customHeight="false" outlineLevel="0" collapsed="false">
      <c r="A113" s="249" t="n">
        <v>90</v>
      </c>
      <c r="B113" s="250" t="s">
        <v>99</v>
      </c>
      <c r="C113" s="45" t="s">
        <v>104</v>
      </c>
      <c r="D113" s="45" t="s">
        <v>121</v>
      </c>
      <c r="E113" s="45" t="s">
        <v>47</v>
      </c>
      <c r="F113" s="45" t="s">
        <v>29</v>
      </c>
      <c r="G113" s="45" t="s">
        <v>43</v>
      </c>
      <c r="H113" s="45" t="s">
        <v>44</v>
      </c>
      <c r="I113" s="45" t="s">
        <v>43</v>
      </c>
      <c r="J113" s="45" t="s">
        <v>116</v>
      </c>
      <c r="K113" s="45" t="s">
        <v>120</v>
      </c>
      <c r="L113" s="45" t="s">
        <v>89</v>
      </c>
      <c r="M113" s="45" t="s">
        <v>138</v>
      </c>
      <c r="N113" s="45" t="s">
        <v>89</v>
      </c>
      <c r="O113" s="45" t="s">
        <v>89</v>
      </c>
      <c r="P113" s="45" t="s">
        <v>58</v>
      </c>
      <c r="Q113" s="45" t="s">
        <v>58</v>
      </c>
      <c r="R113" s="45" t="s">
        <v>121</v>
      </c>
      <c r="S113" s="45" t="s">
        <v>43</v>
      </c>
      <c r="T113" s="45" t="s">
        <v>47</v>
      </c>
      <c r="U113" s="45" t="s">
        <v>43</v>
      </c>
      <c r="V113" s="45" t="s">
        <v>121</v>
      </c>
      <c r="W113" s="45" t="s">
        <v>58</v>
      </c>
      <c r="X113" s="45" t="s">
        <v>25</v>
      </c>
      <c r="Y113" s="45" t="s">
        <v>120</v>
      </c>
      <c r="Z113" s="45" t="s">
        <v>58</v>
      </c>
      <c r="AA113" s="45" t="s">
        <v>13</v>
      </c>
      <c r="AB113" s="45" t="s">
        <v>104</v>
      </c>
      <c r="AC113" s="45" t="s">
        <v>34</v>
      </c>
      <c r="AD113" s="45" t="s">
        <v>77</v>
      </c>
      <c r="AE113" s="45" t="s">
        <v>143</v>
      </c>
      <c r="AF113" s="45" t="s">
        <v>44</v>
      </c>
      <c r="AG113" s="45" t="s">
        <v>13</v>
      </c>
      <c r="AH113" s="45" t="s">
        <v>77</v>
      </c>
      <c r="AI113" s="45" t="s">
        <v>44</v>
      </c>
      <c r="AJ113" s="45" t="s">
        <v>84</v>
      </c>
      <c r="AK113" s="45" t="s">
        <v>84</v>
      </c>
      <c r="AL113" s="45" t="s">
        <v>29</v>
      </c>
      <c r="AM113" s="45" t="s">
        <v>29</v>
      </c>
      <c r="AN113" s="45" t="s">
        <v>117</v>
      </c>
      <c r="AO113" s="45" t="s">
        <v>149</v>
      </c>
      <c r="AP113" s="45" t="s">
        <v>142</v>
      </c>
      <c r="AQ113" s="45" t="s">
        <v>77</v>
      </c>
      <c r="AR113" s="45" t="s">
        <v>77</v>
      </c>
      <c r="AS113" s="45" t="s">
        <v>77</v>
      </c>
      <c r="AT113" s="45" t="s">
        <v>77</v>
      </c>
      <c r="AU113" s="45" t="s">
        <v>117</v>
      </c>
      <c r="AV113" s="45" t="s">
        <v>36</v>
      </c>
      <c r="AW113" s="45" t="s">
        <v>131</v>
      </c>
      <c r="AX113" s="45" t="s">
        <v>131</v>
      </c>
      <c r="AY113" s="45" t="s">
        <v>138</v>
      </c>
      <c r="AZ113" s="45" t="s">
        <v>51</v>
      </c>
      <c r="BA113" s="45" t="s">
        <v>77</v>
      </c>
      <c r="BB113" s="45" t="s">
        <v>143</v>
      </c>
      <c r="BC113" s="45" t="s">
        <v>25</v>
      </c>
      <c r="BD113" s="45" t="s">
        <v>25</v>
      </c>
      <c r="BE113" s="45" t="s">
        <v>26</v>
      </c>
      <c r="BF113" s="45" t="s">
        <v>145</v>
      </c>
      <c r="BG113" s="45" t="s">
        <v>145</v>
      </c>
      <c r="BH113" s="45" t="s">
        <v>145</v>
      </c>
      <c r="BI113" s="45" t="s">
        <v>143</v>
      </c>
      <c r="BJ113" s="45" t="s">
        <v>143</v>
      </c>
      <c r="BK113" s="45" t="s">
        <v>82</v>
      </c>
      <c r="BL113" s="45" t="s">
        <v>138</v>
      </c>
      <c r="BM113" s="45" t="s">
        <v>36</v>
      </c>
      <c r="BN113" s="45" t="s">
        <v>117</v>
      </c>
      <c r="BO113" s="45" t="s">
        <v>51</v>
      </c>
      <c r="BP113" s="45" t="s">
        <v>37</v>
      </c>
      <c r="BQ113" s="45" t="s">
        <v>51</v>
      </c>
      <c r="BR113" s="45" t="s">
        <v>50</v>
      </c>
      <c r="BS113" s="45" t="s">
        <v>122</v>
      </c>
      <c r="BT113" s="45" t="s">
        <v>77</v>
      </c>
      <c r="BU113" s="45" t="s">
        <v>115</v>
      </c>
      <c r="BV113" s="45" t="s">
        <v>12</v>
      </c>
      <c r="BW113" s="45" t="s">
        <v>142</v>
      </c>
      <c r="BX113" s="45" t="s">
        <v>25</v>
      </c>
      <c r="BY113" s="45" t="s">
        <v>133</v>
      </c>
      <c r="BZ113" s="45" t="s">
        <v>133</v>
      </c>
      <c r="CA113" s="45" t="s">
        <v>106</v>
      </c>
      <c r="CB113" s="45" t="s">
        <v>110</v>
      </c>
      <c r="CC113" s="45" t="s">
        <v>120</v>
      </c>
      <c r="CD113" s="45" t="s">
        <v>12</v>
      </c>
      <c r="CE113" s="45" t="s">
        <v>115</v>
      </c>
      <c r="CF113" s="45" t="s">
        <v>26</v>
      </c>
      <c r="CG113" s="45" t="s">
        <v>43</v>
      </c>
      <c r="CH113" s="45" t="s">
        <v>153</v>
      </c>
      <c r="CI113" s="45" t="s">
        <v>152</v>
      </c>
      <c r="CJ113" s="45" t="s">
        <v>88</v>
      </c>
      <c r="CK113" s="45" t="s">
        <v>105</v>
      </c>
      <c r="CL113" s="45" t="s">
        <v>149</v>
      </c>
      <c r="CM113" s="45" t="s">
        <v>18</v>
      </c>
      <c r="CN113" s="45" t="s">
        <v>120</v>
      </c>
      <c r="CO113" s="45" t="s">
        <v>26</v>
      </c>
      <c r="CP113" s="45" t="s">
        <v>143</v>
      </c>
      <c r="CQ113" s="45" t="s">
        <v>14</v>
      </c>
      <c r="CR113" s="45" t="s">
        <v>110</v>
      </c>
      <c r="CS113" s="45" t="s">
        <v>110</v>
      </c>
      <c r="CT113" s="45" t="s">
        <v>116</v>
      </c>
      <c r="CU113" s="45" t="s">
        <v>13</v>
      </c>
      <c r="CV113" s="45" t="s">
        <v>138</v>
      </c>
      <c r="CW113" s="45" t="s">
        <v>20</v>
      </c>
      <c r="CX113" s="45" t="s">
        <v>18</v>
      </c>
      <c r="CY113" s="45" t="s">
        <v>153</v>
      </c>
      <c r="CZ113" s="45" t="s">
        <v>122</v>
      </c>
      <c r="DA113" s="45" t="s">
        <v>122</v>
      </c>
      <c r="DB113" s="45" t="s">
        <v>12</v>
      </c>
      <c r="DC113" s="45" t="s">
        <v>12</v>
      </c>
      <c r="DD113" s="45" t="s">
        <v>51</v>
      </c>
      <c r="DE113" s="45" t="s">
        <v>82</v>
      </c>
      <c r="DF113" s="45" t="s">
        <v>105</v>
      </c>
      <c r="DG113" s="45" t="s">
        <v>14</v>
      </c>
      <c r="DH113" s="45" t="s">
        <v>117</v>
      </c>
      <c r="DI113" s="45" t="s">
        <v>99</v>
      </c>
      <c r="DJ113" s="45" t="s">
        <v>99</v>
      </c>
      <c r="DK113" s="45" t="s">
        <v>100</v>
      </c>
      <c r="DL113" s="45" t="s">
        <v>14</v>
      </c>
      <c r="DM113" s="45" t="s">
        <v>124</v>
      </c>
      <c r="DN113" s="45" t="s">
        <v>26</v>
      </c>
      <c r="DO113" s="45" t="s">
        <v>145</v>
      </c>
      <c r="DP113" s="45" t="s">
        <v>124</v>
      </c>
      <c r="DQ113" s="45" t="s">
        <v>15</v>
      </c>
      <c r="DR113" s="45" t="s">
        <v>105</v>
      </c>
      <c r="DS113" s="45" t="s">
        <v>20</v>
      </c>
      <c r="DT113" s="45" t="s">
        <v>122</v>
      </c>
      <c r="DU113" s="45" t="s">
        <v>106</v>
      </c>
      <c r="DV113" s="45" t="s">
        <v>82</v>
      </c>
      <c r="DW113" s="45" t="s">
        <v>82</v>
      </c>
      <c r="DX113" s="45" t="s">
        <v>73</v>
      </c>
      <c r="DY113" s="45" t="s">
        <v>15</v>
      </c>
      <c r="DZ113" s="45" t="s">
        <v>105</v>
      </c>
      <c r="EA113" s="45" t="s">
        <v>122</v>
      </c>
      <c r="EB113" s="45" t="s">
        <v>105</v>
      </c>
      <c r="EC113" s="45" t="s">
        <v>50</v>
      </c>
      <c r="ED113" s="45" t="s">
        <v>20</v>
      </c>
      <c r="EE113" s="45" t="s">
        <v>73</v>
      </c>
      <c r="EF113" s="45" t="s">
        <v>73</v>
      </c>
      <c r="EG113" s="45" t="s">
        <v>73</v>
      </c>
      <c r="EH113" s="45" t="s">
        <v>20</v>
      </c>
      <c r="EI113" s="45" t="s">
        <v>73</v>
      </c>
      <c r="EJ113" s="45" t="s">
        <v>73</v>
      </c>
    </row>
    <row r="114" customFormat="false" ht="15.75" hidden="false" customHeight="false" outlineLevel="0" collapsed="false">
      <c r="A114" s="249" t="n">
        <v>90</v>
      </c>
      <c r="B114" s="250" t="s">
        <v>100</v>
      </c>
      <c r="C114" s="45" t="s">
        <v>121</v>
      </c>
      <c r="D114" s="45" t="s">
        <v>121</v>
      </c>
      <c r="E114" s="45" t="s">
        <v>47</v>
      </c>
      <c r="F114" s="45" t="s">
        <v>29</v>
      </c>
      <c r="G114" s="45" t="s">
        <v>43</v>
      </c>
      <c r="H114" s="45" t="s">
        <v>44</v>
      </c>
      <c r="I114" s="45" t="s">
        <v>43</v>
      </c>
      <c r="J114" s="45" t="s">
        <v>58</v>
      </c>
      <c r="K114" s="45" t="s">
        <v>25</v>
      </c>
      <c r="L114" s="45" t="s">
        <v>44</v>
      </c>
      <c r="M114" s="45" t="s">
        <v>138</v>
      </c>
      <c r="N114" s="45" t="s">
        <v>89</v>
      </c>
      <c r="O114" s="45" t="s">
        <v>89</v>
      </c>
      <c r="P114" s="45" t="s">
        <v>58</v>
      </c>
      <c r="Q114" s="45" t="s">
        <v>58</v>
      </c>
      <c r="R114" s="45" t="s">
        <v>34</v>
      </c>
      <c r="S114" s="45" t="s">
        <v>43</v>
      </c>
      <c r="T114" s="45" t="s">
        <v>104</v>
      </c>
      <c r="U114" s="45" t="s">
        <v>89</v>
      </c>
      <c r="V114" s="45" t="s">
        <v>34</v>
      </c>
      <c r="W114" s="45" t="s">
        <v>58</v>
      </c>
      <c r="X114" s="45" t="s">
        <v>25</v>
      </c>
      <c r="Y114" s="45" t="s">
        <v>120</v>
      </c>
      <c r="Z114" s="45" t="s">
        <v>142</v>
      </c>
      <c r="AA114" s="45" t="s">
        <v>13</v>
      </c>
      <c r="AB114" s="45" t="s">
        <v>104</v>
      </c>
      <c r="AC114" s="45" t="s">
        <v>29</v>
      </c>
      <c r="AD114" s="45" t="s">
        <v>12</v>
      </c>
      <c r="AE114" s="45" t="s">
        <v>143</v>
      </c>
      <c r="AF114" s="45" t="s">
        <v>44</v>
      </c>
      <c r="AG114" s="45" t="s">
        <v>13</v>
      </c>
      <c r="AH114" s="45" t="s">
        <v>77</v>
      </c>
      <c r="AI114" s="45" t="s">
        <v>36</v>
      </c>
      <c r="AJ114" s="45" t="s">
        <v>143</v>
      </c>
      <c r="AK114" s="45" t="s">
        <v>84</v>
      </c>
      <c r="AL114" s="45" t="s">
        <v>43</v>
      </c>
      <c r="AM114" s="45" t="s">
        <v>29</v>
      </c>
      <c r="AN114" s="45" t="s">
        <v>117</v>
      </c>
      <c r="AO114" s="45" t="s">
        <v>149</v>
      </c>
      <c r="AP114" s="45" t="s">
        <v>120</v>
      </c>
      <c r="AQ114" s="45" t="s">
        <v>77</v>
      </c>
      <c r="AR114" s="45" t="s">
        <v>77</v>
      </c>
      <c r="AS114" s="45" t="s">
        <v>77</v>
      </c>
      <c r="AT114" s="45" t="s">
        <v>77</v>
      </c>
      <c r="AU114" s="45" t="s">
        <v>117</v>
      </c>
      <c r="AV114" s="45" t="s">
        <v>36</v>
      </c>
      <c r="AW114" s="45" t="s">
        <v>131</v>
      </c>
      <c r="AX114" s="45" t="s">
        <v>106</v>
      </c>
      <c r="AY114" s="45" t="s">
        <v>14</v>
      </c>
      <c r="AZ114" s="45" t="s">
        <v>51</v>
      </c>
      <c r="BA114" s="45" t="s">
        <v>77</v>
      </c>
      <c r="BB114" s="45" t="s">
        <v>143</v>
      </c>
      <c r="BC114" s="45" t="s">
        <v>25</v>
      </c>
      <c r="BD114" s="45" t="s">
        <v>25</v>
      </c>
      <c r="BE114" s="45" t="s">
        <v>26</v>
      </c>
      <c r="BF114" s="45" t="s">
        <v>145</v>
      </c>
      <c r="BG114" s="45" t="s">
        <v>145</v>
      </c>
      <c r="BH114" s="45" t="s">
        <v>26</v>
      </c>
      <c r="BI114" s="45" t="s">
        <v>145</v>
      </c>
      <c r="BJ114" s="45" t="s">
        <v>143</v>
      </c>
      <c r="BK114" s="45" t="s">
        <v>82</v>
      </c>
      <c r="BL114" s="45" t="s">
        <v>138</v>
      </c>
      <c r="BM114" s="45" t="s">
        <v>13</v>
      </c>
      <c r="BN114" s="45" t="s">
        <v>119</v>
      </c>
      <c r="BO114" s="45" t="s">
        <v>51</v>
      </c>
      <c r="BP114" s="45" t="s">
        <v>153</v>
      </c>
      <c r="BQ114" s="45" t="s">
        <v>115</v>
      </c>
      <c r="BR114" s="45" t="s">
        <v>124</v>
      </c>
      <c r="BS114" s="45" t="s">
        <v>105</v>
      </c>
      <c r="BT114" s="45" t="s">
        <v>77</v>
      </c>
      <c r="BU114" s="45" t="s">
        <v>115</v>
      </c>
      <c r="BV114" s="45" t="s">
        <v>133</v>
      </c>
      <c r="BW114" s="45" t="s">
        <v>142</v>
      </c>
      <c r="BX114" s="45" t="s">
        <v>84</v>
      </c>
      <c r="BY114" s="45" t="s">
        <v>133</v>
      </c>
      <c r="BZ114" s="45" t="s">
        <v>51</v>
      </c>
      <c r="CA114" s="45" t="s">
        <v>110</v>
      </c>
      <c r="CB114" s="45" t="s">
        <v>110</v>
      </c>
      <c r="CC114" s="45" t="s">
        <v>25</v>
      </c>
      <c r="CD114" s="45" t="s">
        <v>12</v>
      </c>
      <c r="CE114" s="45" t="s">
        <v>115</v>
      </c>
      <c r="CF114" s="45" t="s">
        <v>77</v>
      </c>
      <c r="CG114" s="45" t="s">
        <v>43</v>
      </c>
      <c r="CH114" s="45" t="s">
        <v>153</v>
      </c>
      <c r="CI114" s="45" t="s">
        <v>131</v>
      </c>
      <c r="CJ114" s="45" t="s">
        <v>152</v>
      </c>
      <c r="CK114" s="45" t="s">
        <v>105</v>
      </c>
      <c r="CL114" s="45" t="s">
        <v>50</v>
      </c>
      <c r="CM114" s="45" t="s">
        <v>18</v>
      </c>
      <c r="CN114" s="45" t="s">
        <v>120</v>
      </c>
      <c r="CO114" s="45" t="s">
        <v>26</v>
      </c>
      <c r="CP114" s="45" t="s">
        <v>143</v>
      </c>
      <c r="CQ114" s="45" t="s">
        <v>117</v>
      </c>
      <c r="CR114" s="45" t="s">
        <v>110</v>
      </c>
      <c r="CS114" s="45" t="s">
        <v>138</v>
      </c>
      <c r="CT114" s="45" t="s">
        <v>116</v>
      </c>
      <c r="CU114" s="45" t="s">
        <v>116</v>
      </c>
      <c r="CV114" s="45" t="s">
        <v>138</v>
      </c>
      <c r="CW114" s="45" t="s">
        <v>20</v>
      </c>
      <c r="CX114" s="45" t="s">
        <v>18</v>
      </c>
      <c r="CY114" s="45" t="s">
        <v>153</v>
      </c>
      <c r="CZ114" s="45" t="s">
        <v>122</v>
      </c>
      <c r="DA114" s="45" t="s">
        <v>122</v>
      </c>
      <c r="DB114" s="45" t="s">
        <v>12</v>
      </c>
      <c r="DC114" s="45" t="s">
        <v>12</v>
      </c>
      <c r="DD114" s="45" t="s">
        <v>51</v>
      </c>
      <c r="DE114" s="45" t="s">
        <v>82</v>
      </c>
      <c r="DF114" s="45" t="s">
        <v>105</v>
      </c>
      <c r="DG114" s="45" t="s">
        <v>14</v>
      </c>
      <c r="DH114" s="45" t="s">
        <v>117</v>
      </c>
      <c r="DI114" s="45" t="s">
        <v>99</v>
      </c>
      <c r="DJ114" s="45" t="s">
        <v>100</v>
      </c>
      <c r="DK114" s="45" t="s">
        <v>14</v>
      </c>
      <c r="DL114" s="45" t="s">
        <v>14</v>
      </c>
      <c r="DM114" s="45" t="s">
        <v>82</v>
      </c>
      <c r="DN114" s="45" t="s">
        <v>26</v>
      </c>
      <c r="DO114" s="45" t="s">
        <v>145</v>
      </c>
      <c r="DP114" s="45" t="s">
        <v>124</v>
      </c>
      <c r="DQ114" s="45" t="s">
        <v>15</v>
      </c>
      <c r="DR114" s="45" t="s">
        <v>20</v>
      </c>
      <c r="DS114" s="45" t="s">
        <v>20</v>
      </c>
      <c r="DT114" s="45" t="s">
        <v>122</v>
      </c>
      <c r="DU114" s="45" t="s">
        <v>106</v>
      </c>
      <c r="DV114" s="45" t="s">
        <v>99</v>
      </c>
      <c r="DW114" s="45" t="s">
        <v>99</v>
      </c>
      <c r="DX114" s="45" t="s">
        <v>15</v>
      </c>
      <c r="DY114" s="45" t="s">
        <v>15</v>
      </c>
      <c r="DZ114" s="45" t="s">
        <v>105</v>
      </c>
      <c r="EA114" s="45" t="s">
        <v>122</v>
      </c>
      <c r="EB114" s="45" t="s">
        <v>105</v>
      </c>
      <c r="EC114" s="45" t="s">
        <v>50</v>
      </c>
      <c r="ED114" s="45" t="s">
        <v>20</v>
      </c>
      <c r="EE114" s="45" t="s">
        <v>73</v>
      </c>
      <c r="EF114" s="45" t="s">
        <v>73</v>
      </c>
      <c r="EG114" s="45" t="s">
        <v>73</v>
      </c>
      <c r="EH114" s="45" t="s">
        <v>20</v>
      </c>
      <c r="EI114" s="45" t="s">
        <v>73</v>
      </c>
      <c r="EJ114" s="45" t="s">
        <v>73</v>
      </c>
    </row>
    <row r="115" customFormat="false" ht="15.75" hidden="false" customHeight="false" outlineLevel="0" collapsed="false">
      <c r="A115" s="249" t="n">
        <v>91</v>
      </c>
      <c r="B115" s="250" t="s">
        <v>152</v>
      </c>
      <c r="C115" s="45" t="s">
        <v>94</v>
      </c>
      <c r="D115" s="45" t="s">
        <v>94</v>
      </c>
      <c r="E115" s="45" t="s">
        <v>55</v>
      </c>
      <c r="F115" s="45" t="s">
        <v>94</v>
      </c>
      <c r="G115" s="45" t="s">
        <v>31</v>
      </c>
      <c r="H115" s="45" t="s">
        <v>47</v>
      </c>
      <c r="I115" s="45" t="s">
        <v>31</v>
      </c>
      <c r="J115" s="45" t="s">
        <v>43</v>
      </c>
      <c r="K115" s="45" t="s">
        <v>36</v>
      </c>
      <c r="L115" s="45" t="s">
        <v>108</v>
      </c>
      <c r="M115" s="45" t="s">
        <v>37</v>
      </c>
      <c r="N115" s="45" t="s">
        <v>48</v>
      </c>
      <c r="O115" s="45" t="s">
        <v>108</v>
      </c>
      <c r="P115" s="45" t="s">
        <v>43</v>
      </c>
      <c r="Q115" s="45" t="s">
        <v>43</v>
      </c>
      <c r="R115" s="45" t="s">
        <v>94</v>
      </c>
      <c r="S115" s="45" t="s">
        <v>48</v>
      </c>
      <c r="T115" s="45" t="s">
        <v>55</v>
      </c>
      <c r="U115" s="45" t="s">
        <v>48</v>
      </c>
      <c r="V115" s="45" t="s">
        <v>94</v>
      </c>
      <c r="W115" s="45" t="s">
        <v>43</v>
      </c>
      <c r="X115" s="45" t="s">
        <v>13</v>
      </c>
      <c r="Y115" s="45" t="s">
        <v>44</v>
      </c>
      <c r="Z115" s="45" t="s">
        <v>43</v>
      </c>
      <c r="AA115" s="45" t="s">
        <v>121</v>
      </c>
      <c r="AB115" s="45" t="s">
        <v>55</v>
      </c>
      <c r="AC115" s="45" t="s">
        <v>94</v>
      </c>
      <c r="AD115" s="45" t="s">
        <v>145</v>
      </c>
      <c r="AE115" s="45" t="s">
        <v>58</v>
      </c>
      <c r="AF115" s="45" t="s">
        <v>47</v>
      </c>
      <c r="AG115" s="45" t="s">
        <v>34</v>
      </c>
      <c r="AH115" s="45" t="s">
        <v>143</v>
      </c>
      <c r="AI115" s="45" t="s">
        <v>104</v>
      </c>
      <c r="AJ115" s="45" t="s">
        <v>116</v>
      </c>
      <c r="AK115" s="45" t="s">
        <v>116</v>
      </c>
      <c r="AL115" s="45" t="s">
        <v>95</v>
      </c>
      <c r="AM115" s="45" t="s">
        <v>95</v>
      </c>
      <c r="AN115" s="45" t="s">
        <v>131</v>
      </c>
      <c r="AO115" s="45" t="s">
        <v>110</v>
      </c>
      <c r="AP115" s="45" t="s">
        <v>89</v>
      </c>
      <c r="AQ115" s="45" t="s">
        <v>84</v>
      </c>
      <c r="AR115" s="45" t="s">
        <v>143</v>
      </c>
      <c r="AS115" s="45" t="s">
        <v>143</v>
      </c>
      <c r="AT115" s="45" t="s">
        <v>143</v>
      </c>
      <c r="AU115" s="45" t="s">
        <v>131</v>
      </c>
      <c r="AV115" s="45" t="s">
        <v>104</v>
      </c>
      <c r="AW115" s="45" t="s">
        <v>115</v>
      </c>
      <c r="AX115" s="45" t="s">
        <v>115</v>
      </c>
      <c r="AY115" s="45" t="s">
        <v>153</v>
      </c>
      <c r="AZ115" s="45" t="s">
        <v>26</v>
      </c>
      <c r="BA115" s="45" t="s">
        <v>143</v>
      </c>
      <c r="BB115" s="45" t="s">
        <v>58</v>
      </c>
      <c r="BC115" s="45" t="s">
        <v>13</v>
      </c>
      <c r="BD115" s="45" t="s">
        <v>36</v>
      </c>
      <c r="BE115" s="45" t="s">
        <v>25</v>
      </c>
      <c r="BF115" s="45" t="s">
        <v>142</v>
      </c>
      <c r="BG115" s="45" t="s">
        <v>120</v>
      </c>
      <c r="BH115" s="45" t="s">
        <v>120</v>
      </c>
      <c r="BI115" s="45" t="s">
        <v>142</v>
      </c>
      <c r="BJ115" s="45" t="s">
        <v>58</v>
      </c>
      <c r="BK115" s="45" t="s">
        <v>138</v>
      </c>
      <c r="BL115" s="45" t="s">
        <v>153</v>
      </c>
      <c r="BM115" s="45" t="s">
        <v>121</v>
      </c>
      <c r="BN115" s="45" t="s">
        <v>106</v>
      </c>
      <c r="BO115" s="45" t="s">
        <v>26</v>
      </c>
      <c r="BP115" s="45" t="s">
        <v>12</v>
      </c>
      <c r="BQ115" s="45" t="s">
        <v>77</v>
      </c>
      <c r="BR115" s="45" t="s">
        <v>138</v>
      </c>
      <c r="BS115" s="45" t="s">
        <v>119</v>
      </c>
      <c r="BT115" s="45" t="s">
        <v>143</v>
      </c>
      <c r="BU115" s="45" t="s">
        <v>77</v>
      </c>
      <c r="BV115" s="45" t="s">
        <v>26</v>
      </c>
      <c r="BW115" s="45" t="s">
        <v>89</v>
      </c>
      <c r="BX115" s="45" t="s">
        <v>13</v>
      </c>
      <c r="BY115" s="45" t="s">
        <v>26</v>
      </c>
      <c r="BZ115" s="45" t="s">
        <v>26</v>
      </c>
      <c r="CA115" s="45" t="s">
        <v>67</v>
      </c>
      <c r="CB115" s="45" t="s">
        <v>18</v>
      </c>
      <c r="CC115" s="45" t="s">
        <v>36</v>
      </c>
      <c r="CD115" s="45" t="s">
        <v>145</v>
      </c>
      <c r="CE115" s="45" t="s">
        <v>77</v>
      </c>
      <c r="CF115" s="45" t="s">
        <v>84</v>
      </c>
      <c r="CG115" s="45" t="s">
        <v>31</v>
      </c>
      <c r="CH115" s="45" t="s">
        <v>133</v>
      </c>
      <c r="CI115" s="45" t="s">
        <v>51</v>
      </c>
      <c r="CJ115" s="45" t="s">
        <v>51</v>
      </c>
      <c r="CK115" s="45" t="s">
        <v>149</v>
      </c>
      <c r="CL115" s="45" t="s">
        <v>110</v>
      </c>
      <c r="CM115" s="45" t="s">
        <v>12</v>
      </c>
      <c r="CN115" s="45" t="s">
        <v>44</v>
      </c>
      <c r="CO115" s="45" t="s">
        <v>120</v>
      </c>
      <c r="CP115" s="45" t="s">
        <v>142</v>
      </c>
      <c r="CQ115" s="45" t="s">
        <v>131</v>
      </c>
      <c r="CR115" s="45" t="s">
        <v>18</v>
      </c>
      <c r="CS115" s="45" t="s">
        <v>18</v>
      </c>
      <c r="CT115" s="45" t="s">
        <v>29</v>
      </c>
      <c r="CU115" s="45" t="s">
        <v>29</v>
      </c>
      <c r="CV115" s="45" t="s">
        <v>153</v>
      </c>
      <c r="CW115" s="45" t="s">
        <v>99</v>
      </c>
      <c r="CX115" s="45" t="s">
        <v>77</v>
      </c>
      <c r="CY115" s="45" t="s">
        <v>12</v>
      </c>
      <c r="CZ115" s="45" t="s">
        <v>117</v>
      </c>
      <c r="DA115" s="45" t="s">
        <v>117</v>
      </c>
      <c r="DB115" s="45" t="s">
        <v>145</v>
      </c>
      <c r="DC115" s="45" t="s">
        <v>145</v>
      </c>
      <c r="DD115" s="45" t="s">
        <v>26</v>
      </c>
      <c r="DE115" s="45" t="s">
        <v>14</v>
      </c>
      <c r="DF115" s="45" t="s">
        <v>149</v>
      </c>
      <c r="DG115" s="45" t="s">
        <v>152</v>
      </c>
      <c r="DH115" s="45" t="s">
        <v>131</v>
      </c>
      <c r="DI115" s="45" t="s">
        <v>100</v>
      </c>
      <c r="DJ115" s="45" t="s">
        <v>14</v>
      </c>
      <c r="DK115" s="45" t="s">
        <v>152</v>
      </c>
      <c r="DL115" s="45" t="s">
        <v>88</v>
      </c>
      <c r="DM115" s="45" t="s">
        <v>138</v>
      </c>
      <c r="DN115" s="45" t="s">
        <v>25</v>
      </c>
      <c r="DO115" s="45" t="s">
        <v>120</v>
      </c>
      <c r="DP115" s="45" t="s">
        <v>138</v>
      </c>
      <c r="DQ115" s="45" t="s">
        <v>20</v>
      </c>
      <c r="DR115" s="45" t="s">
        <v>124</v>
      </c>
      <c r="DS115" s="45" t="s">
        <v>82</v>
      </c>
      <c r="DT115" s="45" t="s">
        <v>117</v>
      </c>
      <c r="DU115" s="45" t="s">
        <v>115</v>
      </c>
      <c r="DV115" s="45" t="s">
        <v>14</v>
      </c>
      <c r="DW115" s="45" t="s">
        <v>14</v>
      </c>
      <c r="DX115" s="45" t="s">
        <v>105</v>
      </c>
      <c r="DY115" s="45" t="s">
        <v>105</v>
      </c>
      <c r="DZ115" s="45" t="s">
        <v>50</v>
      </c>
      <c r="EA115" s="45" t="s">
        <v>117</v>
      </c>
      <c r="EB115" s="45" t="s">
        <v>50</v>
      </c>
      <c r="EC115" s="45" t="s">
        <v>110</v>
      </c>
      <c r="ED115" s="45" t="s">
        <v>99</v>
      </c>
      <c r="EE115" s="45" t="s">
        <v>105</v>
      </c>
      <c r="EF115" s="45" t="s">
        <v>122</v>
      </c>
      <c r="EG115" s="45" t="s">
        <v>105</v>
      </c>
      <c r="EH115" s="45" t="s">
        <v>122</v>
      </c>
      <c r="EI115" s="45" t="s">
        <v>122</v>
      </c>
      <c r="EJ115" s="45" t="s">
        <v>122</v>
      </c>
    </row>
    <row r="116" customFormat="false" ht="15.75" hidden="false" customHeight="false" outlineLevel="0" collapsed="false">
      <c r="A116" s="249" t="n">
        <v>91</v>
      </c>
      <c r="B116" s="250" t="s">
        <v>153</v>
      </c>
      <c r="C116" s="45" t="s">
        <v>55</v>
      </c>
      <c r="D116" s="45" t="s">
        <v>55</v>
      </c>
      <c r="E116" s="45" t="s">
        <v>147</v>
      </c>
      <c r="F116" s="45" t="s">
        <v>94</v>
      </c>
      <c r="G116" s="45" t="s">
        <v>95</v>
      </c>
      <c r="H116" s="45" t="s">
        <v>108</v>
      </c>
      <c r="I116" s="45" t="s">
        <v>94</v>
      </c>
      <c r="J116" s="45" t="s">
        <v>29</v>
      </c>
      <c r="K116" s="45" t="s">
        <v>44</v>
      </c>
      <c r="L116" s="45" t="s">
        <v>48</v>
      </c>
      <c r="M116" s="45" t="s">
        <v>18</v>
      </c>
      <c r="N116" s="45" t="s">
        <v>48</v>
      </c>
      <c r="O116" s="45" t="s">
        <v>48</v>
      </c>
      <c r="P116" s="45" t="s">
        <v>29</v>
      </c>
      <c r="Q116" s="45" t="s">
        <v>29</v>
      </c>
      <c r="R116" s="45" t="s">
        <v>94</v>
      </c>
      <c r="S116" s="45" t="s">
        <v>31</v>
      </c>
      <c r="T116" s="45" t="s">
        <v>55</v>
      </c>
      <c r="U116" s="45" t="s">
        <v>31</v>
      </c>
      <c r="V116" s="45" t="s">
        <v>55</v>
      </c>
      <c r="W116" s="45" t="s">
        <v>43</v>
      </c>
      <c r="X116" s="45" t="s">
        <v>36</v>
      </c>
      <c r="Y116" s="45" t="s">
        <v>89</v>
      </c>
      <c r="Z116" s="45" t="s">
        <v>43</v>
      </c>
      <c r="AA116" s="45" t="s">
        <v>104</v>
      </c>
      <c r="AB116" s="45" t="s">
        <v>55</v>
      </c>
      <c r="AC116" s="45" t="s">
        <v>94</v>
      </c>
      <c r="AD116" s="45" t="s">
        <v>143</v>
      </c>
      <c r="AE116" s="45" t="s">
        <v>58</v>
      </c>
      <c r="AF116" s="45" t="s">
        <v>108</v>
      </c>
      <c r="AG116" s="45" t="s">
        <v>121</v>
      </c>
      <c r="AH116" s="45" t="s">
        <v>84</v>
      </c>
      <c r="AI116" s="45" t="s">
        <v>47</v>
      </c>
      <c r="AJ116" s="45" t="s">
        <v>13</v>
      </c>
      <c r="AK116" s="45" t="s">
        <v>13</v>
      </c>
      <c r="AL116" s="45" t="s">
        <v>94</v>
      </c>
      <c r="AM116" s="45" t="s">
        <v>94</v>
      </c>
      <c r="AN116" s="45" t="s">
        <v>131</v>
      </c>
      <c r="AO116" s="45" t="s">
        <v>106</v>
      </c>
      <c r="AP116" s="45" t="s">
        <v>89</v>
      </c>
      <c r="AQ116" s="45" t="s">
        <v>25</v>
      </c>
      <c r="AR116" s="45" t="s">
        <v>143</v>
      </c>
      <c r="AS116" s="45" t="s">
        <v>84</v>
      </c>
      <c r="AT116" s="45" t="s">
        <v>143</v>
      </c>
      <c r="AU116" s="45" t="s">
        <v>131</v>
      </c>
      <c r="AV116" s="45" t="s">
        <v>47</v>
      </c>
      <c r="AW116" s="45" t="s">
        <v>51</v>
      </c>
      <c r="AX116" s="45" t="s">
        <v>51</v>
      </c>
      <c r="AY116" s="45" t="s">
        <v>153</v>
      </c>
      <c r="AZ116" s="45" t="s">
        <v>26</v>
      </c>
      <c r="BA116" s="45" t="s">
        <v>143</v>
      </c>
      <c r="BB116" s="45" t="s">
        <v>116</v>
      </c>
      <c r="BC116" s="45" t="s">
        <v>36</v>
      </c>
      <c r="BD116" s="45" t="s">
        <v>44</v>
      </c>
      <c r="BE116" s="45" t="s">
        <v>25</v>
      </c>
      <c r="BF116" s="45" t="s">
        <v>142</v>
      </c>
      <c r="BG116" s="45" t="s">
        <v>142</v>
      </c>
      <c r="BH116" s="45" t="s">
        <v>120</v>
      </c>
      <c r="BI116" s="45" t="s">
        <v>58</v>
      </c>
      <c r="BJ116" s="45" t="s">
        <v>116</v>
      </c>
      <c r="BK116" s="45" t="s">
        <v>138</v>
      </c>
      <c r="BL116" s="45" t="s">
        <v>18</v>
      </c>
      <c r="BM116" s="45" t="s">
        <v>104</v>
      </c>
      <c r="BN116" s="45" t="s">
        <v>131</v>
      </c>
      <c r="BO116" s="45" t="s">
        <v>26</v>
      </c>
      <c r="BP116" s="45" t="s">
        <v>12</v>
      </c>
      <c r="BQ116" s="45" t="s">
        <v>26</v>
      </c>
      <c r="BR116" s="45" t="s">
        <v>110</v>
      </c>
      <c r="BS116" s="45" t="s">
        <v>117</v>
      </c>
      <c r="BT116" s="45" t="s">
        <v>143</v>
      </c>
      <c r="BU116" s="45" t="s">
        <v>77</v>
      </c>
      <c r="BV116" s="45" t="s">
        <v>145</v>
      </c>
      <c r="BW116" s="45" t="s">
        <v>43</v>
      </c>
      <c r="BX116" s="45" t="s">
        <v>13</v>
      </c>
      <c r="BY116" s="45" t="s">
        <v>145</v>
      </c>
      <c r="BZ116" s="45" t="s">
        <v>26</v>
      </c>
      <c r="CA116" s="45" t="s">
        <v>115</v>
      </c>
      <c r="CB116" s="45" t="s">
        <v>115</v>
      </c>
      <c r="CC116" s="45" t="s">
        <v>44</v>
      </c>
      <c r="CD116" s="45" t="s">
        <v>145</v>
      </c>
      <c r="CE116" s="45" t="s">
        <v>77</v>
      </c>
      <c r="CF116" s="45" t="s">
        <v>25</v>
      </c>
      <c r="CG116" s="45" t="s">
        <v>95</v>
      </c>
      <c r="CH116" s="45" t="s">
        <v>12</v>
      </c>
      <c r="CI116" s="45" t="s">
        <v>51</v>
      </c>
      <c r="CJ116" s="45" t="s">
        <v>133</v>
      </c>
      <c r="CK116" s="45" t="s">
        <v>119</v>
      </c>
      <c r="CL116" s="45" t="s">
        <v>106</v>
      </c>
      <c r="CM116" s="45" t="s">
        <v>77</v>
      </c>
      <c r="CN116" s="45" t="s">
        <v>44</v>
      </c>
      <c r="CO116" s="45" t="s">
        <v>120</v>
      </c>
      <c r="CP116" s="45" t="s">
        <v>58</v>
      </c>
      <c r="CQ116" s="45" t="s">
        <v>152</v>
      </c>
      <c r="CR116" s="45" t="s">
        <v>67</v>
      </c>
      <c r="CS116" s="45" t="s">
        <v>18</v>
      </c>
      <c r="CT116" s="45" t="s">
        <v>34</v>
      </c>
      <c r="CU116" s="45" t="s">
        <v>121</v>
      </c>
      <c r="CV116" s="45" t="s">
        <v>37</v>
      </c>
      <c r="CW116" s="45" t="s">
        <v>82</v>
      </c>
      <c r="CX116" s="45" t="s">
        <v>77</v>
      </c>
      <c r="CY116" s="45" t="s">
        <v>12</v>
      </c>
      <c r="CZ116" s="45" t="s">
        <v>14</v>
      </c>
      <c r="DA116" s="45" t="s">
        <v>14</v>
      </c>
      <c r="DB116" s="45" t="s">
        <v>143</v>
      </c>
      <c r="DC116" s="45" t="s">
        <v>145</v>
      </c>
      <c r="DD116" s="45" t="s">
        <v>26</v>
      </c>
      <c r="DE116" s="45" t="s">
        <v>138</v>
      </c>
      <c r="DF116" s="45" t="s">
        <v>117</v>
      </c>
      <c r="DG116" s="45" t="s">
        <v>153</v>
      </c>
      <c r="DH116" s="45" t="s">
        <v>152</v>
      </c>
      <c r="DI116" s="45" t="s">
        <v>14</v>
      </c>
      <c r="DJ116" s="45" t="s">
        <v>14</v>
      </c>
      <c r="DK116" s="45" t="s">
        <v>88</v>
      </c>
      <c r="DL116" s="45" t="s">
        <v>153</v>
      </c>
      <c r="DM116" s="45" t="s">
        <v>138</v>
      </c>
      <c r="DN116" s="45" t="s">
        <v>120</v>
      </c>
      <c r="DO116" s="45" t="s">
        <v>142</v>
      </c>
      <c r="DP116" s="45" t="s">
        <v>110</v>
      </c>
      <c r="DQ116" s="45" t="s">
        <v>105</v>
      </c>
      <c r="DR116" s="45" t="s">
        <v>50</v>
      </c>
      <c r="DS116" s="45" t="s">
        <v>82</v>
      </c>
      <c r="DT116" s="45" t="s">
        <v>117</v>
      </c>
      <c r="DU116" s="45" t="s">
        <v>115</v>
      </c>
      <c r="DV116" s="45" t="s">
        <v>138</v>
      </c>
      <c r="DW116" s="45" t="s">
        <v>138</v>
      </c>
      <c r="DX116" s="45" t="s">
        <v>105</v>
      </c>
      <c r="DY116" s="45" t="s">
        <v>105</v>
      </c>
      <c r="DZ116" s="45" t="s">
        <v>149</v>
      </c>
      <c r="EA116" s="45" t="s">
        <v>117</v>
      </c>
      <c r="EB116" s="45" t="s">
        <v>149</v>
      </c>
      <c r="EC116" s="45" t="s">
        <v>110</v>
      </c>
      <c r="ED116" s="45" t="s">
        <v>82</v>
      </c>
      <c r="EE116" s="45" t="s">
        <v>122</v>
      </c>
      <c r="EF116" s="45" t="s">
        <v>122</v>
      </c>
      <c r="EG116" s="45" t="s">
        <v>122</v>
      </c>
      <c r="EH116" s="45" t="s">
        <v>99</v>
      </c>
      <c r="EI116" s="45" t="s">
        <v>122</v>
      </c>
      <c r="EJ116" s="45" t="s">
        <v>122</v>
      </c>
    </row>
    <row r="117" customFormat="false" ht="15.75" hidden="false" customHeight="false" outlineLevel="0" collapsed="false">
      <c r="A117" s="249" t="n">
        <v>92</v>
      </c>
      <c r="B117" s="250" t="s">
        <v>149</v>
      </c>
      <c r="C117" s="45" t="s">
        <v>108</v>
      </c>
      <c r="D117" s="45" t="s">
        <v>47</v>
      </c>
      <c r="E117" s="45" t="s">
        <v>48</v>
      </c>
      <c r="F117" s="45" t="s">
        <v>104</v>
      </c>
      <c r="G117" s="45" t="s">
        <v>34</v>
      </c>
      <c r="H117" s="45" t="s">
        <v>89</v>
      </c>
      <c r="I117" s="45" t="s">
        <v>121</v>
      </c>
      <c r="J117" s="45" t="s">
        <v>13</v>
      </c>
      <c r="K117" s="45" t="s">
        <v>142</v>
      </c>
      <c r="L117" s="45" t="s">
        <v>43</v>
      </c>
      <c r="M117" s="45" t="s">
        <v>106</v>
      </c>
      <c r="N117" s="45" t="s">
        <v>43</v>
      </c>
      <c r="O117" s="45" t="s">
        <v>43</v>
      </c>
      <c r="P117" s="45" t="s">
        <v>13</v>
      </c>
      <c r="Q117" s="45" t="s">
        <v>13</v>
      </c>
      <c r="R117" s="45" t="s">
        <v>47</v>
      </c>
      <c r="S117" s="45" t="s">
        <v>29</v>
      </c>
      <c r="T117" s="45" t="s">
        <v>48</v>
      </c>
      <c r="U117" s="45" t="s">
        <v>29</v>
      </c>
      <c r="V117" s="45" t="s">
        <v>47</v>
      </c>
      <c r="W117" s="45" t="s">
        <v>13</v>
      </c>
      <c r="X117" s="45" t="s">
        <v>120</v>
      </c>
      <c r="Y117" s="45" t="s">
        <v>58</v>
      </c>
      <c r="Z117" s="45" t="s">
        <v>116</v>
      </c>
      <c r="AA117" s="45" t="s">
        <v>44</v>
      </c>
      <c r="AB117" s="45" t="s">
        <v>108</v>
      </c>
      <c r="AC117" s="45" t="s">
        <v>104</v>
      </c>
      <c r="AD117" s="45" t="s">
        <v>77</v>
      </c>
      <c r="AE117" s="45" t="s">
        <v>84</v>
      </c>
      <c r="AF117" s="45" t="s">
        <v>43</v>
      </c>
      <c r="AG117" s="45" t="s">
        <v>44</v>
      </c>
      <c r="AH117" s="45" t="s">
        <v>26</v>
      </c>
      <c r="AI117" s="45" t="s">
        <v>89</v>
      </c>
      <c r="AJ117" s="45" t="s">
        <v>25</v>
      </c>
      <c r="AK117" s="45" t="s">
        <v>25</v>
      </c>
      <c r="AL117" s="45" t="s">
        <v>121</v>
      </c>
      <c r="AM117" s="45" t="s">
        <v>121</v>
      </c>
      <c r="AN117" s="45" t="s">
        <v>14</v>
      </c>
      <c r="AO117" s="45" t="s">
        <v>117</v>
      </c>
      <c r="AP117" s="45" t="s">
        <v>58</v>
      </c>
      <c r="AQ117" s="45" t="s">
        <v>26</v>
      </c>
      <c r="AR117" s="45" t="s">
        <v>77</v>
      </c>
      <c r="AS117" s="45" t="s">
        <v>26</v>
      </c>
      <c r="AT117" s="45" t="s">
        <v>26</v>
      </c>
      <c r="AU117" s="45" t="s">
        <v>14</v>
      </c>
      <c r="AV117" s="45" t="s">
        <v>89</v>
      </c>
      <c r="AW117" s="45" t="s">
        <v>152</v>
      </c>
      <c r="AX117" s="45" t="s">
        <v>152</v>
      </c>
      <c r="AY117" s="45" t="s">
        <v>110</v>
      </c>
      <c r="AZ117" s="45" t="s">
        <v>12</v>
      </c>
      <c r="BA117" s="45" t="s">
        <v>26</v>
      </c>
      <c r="BB117" s="45" t="s">
        <v>25</v>
      </c>
      <c r="BC117" s="45" t="s">
        <v>120</v>
      </c>
      <c r="BD117" s="45" t="s">
        <v>120</v>
      </c>
      <c r="BE117" s="45" t="s">
        <v>26</v>
      </c>
      <c r="BF117" s="45" t="s">
        <v>143</v>
      </c>
      <c r="BG117" s="45" t="s">
        <v>143</v>
      </c>
      <c r="BH117" s="45" t="s">
        <v>143</v>
      </c>
      <c r="BI117" s="45" t="s">
        <v>143</v>
      </c>
      <c r="BJ117" s="45" t="s">
        <v>25</v>
      </c>
      <c r="BK117" s="45" t="s">
        <v>50</v>
      </c>
      <c r="BL117" s="45" t="s">
        <v>110</v>
      </c>
      <c r="BM117" s="45" t="s">
        <v>44</v>
      </c>
      <c r="BN117" s="45" t="s">
        <v>14</v>
      </c>
      <c r="BO117" s="45" t="s">
        <v>12</v>
      </c>
      <c r="BP117" s="45" t="s">
        <v>67</v>
      </c>
      <c r="BQ117" s="45" t="s">
        <v>51</v>
      </c>
      <c r="BR117" s="45" t="s">
        <v>119</v>
      </c>
      <c r="BS117" s="45" t="s">
        <v>122</v>
      </c>
      <c r="BT117" s="45" t="s">
        <v>77</v>
      </c>
      <c r="BU117" s="45" t="s">
        <v>51</v>
      </c>
      <c r="BV117" s="45" t="s">
        <v>77</v>
      </c>
      <c r="BW117" s="45" t="s">
        <v>116</v>
      </c>
      <c r="BX117" s="45" t="s">
        <v>120</v>
      </c>
      <c r="BY117" s="45" t="s">
        <v>12</v>
      </c>
      <c r="BZ117" s="45" t="s">
        <v>12</v>
      </c>
      <c r="CA117" s="45" t="s">
        <v>131</v>
      </c>
      <c r="CB117" s="45" t="s">
        <v>131</v>
      </c>
      <c r="CC117" s="45" t="s">
        <v>142</v>
      </c>
      <c r="CD117" s="45" t="s">
        <v>77</v>
      </c>
      <c r="CE117" s="45" t="s">
        <v>51</v>
      </c>
      <c r="CF117" s="45" t="s">
        <v>26</v>
      </c>
      <c r="CG117" s="45" t="s">
        <v>34</v>
      </c>
      <c r="CH117" s="45" t="s">
        <v>18</v>
      </c>
      <c r="CI117" s="45" t="s">
        <v>153</v>
      </c>
      <c r="CJ117" s="45" t="s">
        <v>37</v>
      </c>
      <c r="CK117" s="45" t="s">
        <v>122</v>
      </c>
      <c r="CL117" s="45" t="s">
        <v>117</v>
      </c>
      <c r="CM117" s="45" t="s">
        <v>115</v>
      </c>
      <c r="CN117" s="45" t="s">
        <v>142</v>
      </c>
      <c r="CO117" s="45" t="s">
        <v>145</v>
      </c>
      <c r="CP117" s="45" t="s">
        <v>84</v>
      </c>
      <c r="CQ117" s="45" t="s">
        <v>138</v>
      </c>
      <c r="CR117" s="45" t="s">
        <v>131</v>
      </c>
      <c r="CS117" s="45" t="s">
        <v>106</v>
      </c>
      <c r="CT117" s="45" t="s">
        <v>36</v>
      </c>
      <c r="CU117" s="45" t="s">
        <v>36</v>
      </c>
      <c r="CV117" s="45" t="s">
        <v>110</v>
      </c>
      <c r="CW117" s="45" t="s">
        <v>20</v>
      </c>
      <c r="CX117" s="45" t="s">
        <v>115</v>
      </c>
      <c r="CY117" s="45" t="s">
        <v>18</v>
      </c>
      <c r="CZ117" s="45" t="s">
        <v>82</v>
      </c>
      <c r="DA117" s="45" t="s">
        <v>82</v>
      </c>
      <c r="DB117" s="45" t="s">
        <v>77</v>
      </c>
      <c r="DC117" s="45" t="s">
        <v>77</v>
      </c>
      <c r="DD117" s="45" t="s">
        <v>133</v>
      </c>
      <c r="DE117" s="45" t="s">
        <v>50</v>
      </c>
      <c r="DF117" s="45" t="s">
        <v>122</v>
      </c>
      <c r="DG117" s="45" t="s">
        <v>138</v>
      </c>
      <c r="DH117" s="45" t="s">
        <v>14</v>
      </c>
      <c r="DI117" s="45" t="s">
        <v>124</v>
      </c>
      <c r="DJ117" s="45" t="s">
        <v>82</v>
      </c>
      <c r="DK117" s="45" t="s">
        <v>138</v>
      </c>
      <c r="DL117" s="45" t="s">
        <v>138</v>
      </c>
      <c r="DM117" s="45" t="s">
        <v>149</v>
      </c>
      <c r="DN117" s="45" t="s">
        <v>145</v>
      </c>
      <c r="DO117" s="45" t="s">
        <v>143</v>
      </c>
      <c r="DP117" s="45" t="s">
        <v>149</v>
      </c>
      <c r="DQ117" s="45" t="s">
        <v>73</v>
      </c>
      <c r="DR117" s="45" t="s">
        <v>105</v>
      </c>
      <c r="DS117" s="45" t="s">
        <v>105</v>
      </c>
      <c r="DT117" s="45" t="s">
        <v>99</v>
      </c>
      <c r="DU117" s="45" t="s">
        <v>131</v>
      </c>
      <c r="DV117" s="45" t="s">
        <v>124</v>
      </c>
      <c r="DW117" s="45" t="s">
        <v>50</v>
      </c>
      <c r="DX117" s="45" t="s">
        <v>73</v>
      </c>
      <c r="DY117" s="45" t="s">
        <v>73</v>
      </c>
      <c r="DZ117" s="45" t="s">
        <v>122</v>
      </c>
      <c r="EA117" s="45" t="s">
        <v>99</v>
      </c>
      <c r="EB117" s="45" t="s">
        <v>122</v>
      </c>
      <c r="EC117" s="45" t="s">
        <v>117</v>
      </c>
      <c r="ED117" s="45" t="s">
        <v>20</v>
      </c>
      <c r="EE117" s="45" t="s">
        <v>73</v>
      </c>
      <c r="EF117" s="45" t="s">
        <v>20</v>
      </c>
      <c r="EG117" s="45" t="s">
        <v>20</v>
      </c>
      <c r="EH117" s="45" t="s">
        <v>20</v>
      </c>
      <c r="EI117" s="45" t="s">
        <v>20</v>
      </c>
      <c r="EJ117" s="45" t="s">
        <v>20</v>
      </c>
    </row>
    <row r="118" customFormat="false" ht="15.75" hidden="false" customHeight="false" outlineLevel="0" collapsed="false">
      <c r="A118" s="249" t="n">
        <v>93</v>
      </c>
      <c r="B118" s="250" t="s">
        <v>55</v>
      </c>
      <c r="C118" s="45" t="s">
        <v>62</v>
      </c>
      <c r="D118" s="45" t="s">
        <v>62</v>
      </c>
      <c r="E118" s="45" t="s">
        <v>69</v>
      </c>
      <c r="F118" s="45" t="s">
        <v>41</v>
      </c>
      <c r="G118" s="45" t="s">
        <v>151</v>
      </c>
      <c r="H118" s="45" t="s">
        <v>128</v>
      </c>
      <c r="I118" s="45" t="s">
        <v>151</v>
      </c>
      <c r="J118" s="45" t="s">
        <v>96</v>
      </c>
      <c r="K118" s="45" t="s">
        <v>22</v>
      </c>
      <c r="L118" s="45" t="s">
        <v>150</v>
      </c>
      <c r="M118" s="45" t="s">
        <v>142</v>
      </c>
      <c r="N118" s="45" t="s">
        <v>111</v>
      </c>
      <c r="O118" s="45" t="s">
        <v>150</v>
      </c>
      <c r="P118" s="45" t="s">
        <v>96</v>
      </c>
      <c r="Q118" s="45" t="s">
        <v>96</v>
      </c>
      <c r="R118" s="45" t="s">
        <v>41</v>
      </c>
      <c r="S118" s="45" t="s">
        <v>151</v>
      </c>
      <c r="T118" s="45" t="s">
        <v>40</v>
      </c>
      <c r="U118" s="45" t="s">
        <v>111</v>
      </c>
      <c r="V118" s="45" t="s">
        <v>62</v>
      </c>
      <c r="W118" s="45" t="s">
        <v>96</v>
      </c>
      <c r="X118" s="45" t="s">
        <v>46</v>
      </c>
      <c r="Y118" s="45" t="s">
        <v>33</v>
      </c>
      <c r="Z118" s="45" t="s">
        <v>96</v>
      </c>
      <c r="AA118" s="45" t="s">
        <v>129</v>
      </c>
      <c r="AB118" s="45" t="s">
        <v>40</v>
      </c>
      <c r="AC118" s="45" t="s">
        <v>41</v>
      </c>
      <c r="AD118" s="45" t="s">
        <v>48</v>
      </c>
      <c r="AE118" s="45" t="s">
        <v>126</v>
      </c>
      <c r="AF118" s="45" t="s">
        <v>150</v>
      </c>
      <c r="AG118" s="45" t="s">
        <v>129</v>
      </c>
      <c r="AH118" s="45" t="s">
        <v>94</v>
      </c>
      <c r="AI118" s="45" t="s">
        <v>101</v>
      </c>
      <c r="AJ118" s="45" t="s">
        <v>63</v>
      </c>
      <c r="AK118" s="45" t="s">
        <v>66</v>
      </c>
      <c r="AL118" s="45" t="s">
        <v>41</v>
      </c>
      <c r="AM118" s="45" t="s">
        <v>41</v>
      </c>
      <c r="AN118" s="45" t="s">
        <v>25</v>
      </c>
      <c r="AO118" s="45" t="s">
        <v>143</v>
      </c>
      <c r="AP118" s="45" t="s">
        <v>64</v>
      </c>
      <c r="AQ118" s="45" t="s">
        <v>94</v>
      </c>
      <c r="AR118" s="45" t="s">
        <v>31</v>
      </c>
      <c r="AS118" s="45" t="s">
        <v>94</v>
      </c>
      <c r="AT118" s="45" t="s">
        <v>95</v>
      </c>
      <c r="AU118" s="45" t="s">
        <v>84</v>
      </c>
      <c r="AV118" s="45" t="s">
        <v>101</v>
      </c>
      <c r="AW118" s="45" t="s">
        <v>13</v>
      </c>
      <c r="AX118" s="45" t="s">
        <v>116</v>
      </c>
      <c r="AY118" s="45" t="s">
        <v>120</v>
      </c>
      <c r="AZ118" s="45" t="s">
        <v>104</v>
      </c>
      <c r="BA118" s="45" t="s">
        <v>95</v>
      </c>
      <c r="BB118" s="45" t="s">
        <v>63</v>
      </c>
      <c r="BC118" s="45" t="s">
        <v>144</v>
      </c>
      <c r="BD118" s="45" t="s">
        <v>46</v>
      </c>
      <c r="BE118" s="45" t="s">
        <v>94</v>
      </c>
      <c r="BF118" s="45" t="s">
        <v>54</v>
      </c>
      <c r="BG118" s="45" t="s">
        <v>54</v>
      </c>
      <c r="BH118" s="45" t="s">
        <v>147</v>
      </c>
      <c r="BI118" s="45" t="s">
        <v>54</v>
      </c>
      <c r="BJ118" s="45" t="s">
        <v>63</v>
      </c>
      <c r="BK118" s="45" t="s">
        <v>145</v>
      </c>
      <c r="BL118" s="45" t="s">
        <v>142</v>
      </c>
      <c r="BM118" s="45" t="s">
        <v>129</v>
      </c>
      <c r="BN118" s="45" t="s">
        <v>84</v>
      </c>
      <c r="BO118" s="45" t="s">
        <v>104</v>
      </c>
      <c r="BP118" s="45" t="s">
        <v>89</v>
      </c>
      <c r="BQ118" s="45" t="s">
        <v>34</v>
      </c>
      <c r="BR118" s="45" t="s">
        <v>143</v>
      </c>
      <c r="BS118" s="45" t="s">
        <v>77</v>
      </c>
      <c r="BT118" s="45" t="s">
        <v>31</v>
      </c>
      <c r="BU118" s="45" t="s">
        <v>29</v>
      </c>
      <c r="BV118" s="45" t="s">
        <v>108</v>
      </c>
      <c r="BW118" s="45" t="s">
        <v>64</v>
      </c>
      <c r="BX118" s="45" t="s">
        <v>66</v>
      </c>
      <c r="BY118" s="45" t="s">
        <v>47</v>
      </c>
      <c r="BZ118" s="45" t="s">
        <v>47</v>
      </c>
      <c r="CA118" s="45" t="s">
        <v>58</v>
      </c>
      <c r="CB118" s="45" t="s">
        <v>58</v>
      </c>
      <c r="CC118" s="45" t="s">
        <v>46</v>
      </c>
      <c r="CD118" s="45" t="s">
        <v>48</v>
      </c>
      <c r="CE118" s="45" t="s">
        <v>29</v>
      </c>
      <c r="CF118" s="45" t="s">
        <v>94</v>
      </c>
      <c r="CG118" s="45" t="s">
        <v>151</v>
      </c>
      <c r="CH118" s="45" t="s">
        <v>44</v>
      </c>
      <c r="CI118" s="45" t="s">
        <v>36</v>
      </c>
      <c r="CJ118" s="45" t="s">
        <v>44</v>
      </c>
      <c r="CK118" s="45" t="s">
        <v>77</v>
      </c>
      <c r="CL118" s="45" t="s">
        <v>143</v>
      </c>
      <c r="CM118" s="45" t="s">
        <v>43</v>
      </c>
      <c r="CN118" s="45" t="s">
        <v>22</v>
      </c>
      <c r="CO118" s="45" t="s">
        <v>55</v>
      </c>
      <c r="CP118" s="45" t="s">
        <v>126</v>
      </c>
      <c r="CQ118" s="45" t="s">
        <v>25</v>
      </c>
      <c r="CR118" s="45" t="s">
        <v>58</v>
      </c>
      <c r="CS118" s="45" t="s">
        <v>142</v>
      </c>
      <c r="CT118" s="45" t="s">
        <v>91</v>
      </c>
      <c r="CU118" s="45" t="s">
        <v>129</v>
      </c>
      <c r="CV118" s="45" t="s">
        <v>120</v>
      </c>
      <c r="CW118" s="45" t="s">
        <v>133</v>
      </c>
      <c r="CX118" s="45" t="s">
        <v>43</v>
      </c>
      <c r="CY118" s="45" t="s">
        <v>89</v>
      </c>
      <c r="CZ118" s="45" t="s">
        <v>26</v>
      </c>
      <c r="DA118" s="45" t="s">
        <v>26</v>
      </c>
      <c r="DB118" s="45" t="s">
        <v>48</v>
      </c>
      <c r="DC118" s="45" t="s">
        <v>108</v>
      </c>
      <c r="DD118" s="45" t="s">
        <v>121</v>
      </c>
      <c r="DE118" s="45" t="s">
        <v>145</v>
      </c>
      <c r="DF118" s="45" t="s">
        <v>77</v>
      </c>
      <c r="DG118" s="45" t="s">
        <v>120</v>
      </c>
      <c r="DH118" s="45" t="s">
        <v>25</v>
      </c>
      <c r="DI118" s="45" t="s">
        <v>26</v>
      </c>
      <c r="DJ118" s="45" t="s">
        <v>26</v>
      </c>
      <c r="DK118" s="45" t="s">
        <v>25</v>
      </c>
      <c r="DL118" s="45" t="s">
        <v>120</v>
      </c>
      <c r="DM118" s="45" t="s">
        <v>145</v>
      </c>
      <c r="DN118" s="45" t="s">
        <v>55</v>
      </c>
      <c r="DO118" s="45" t="s">
        <v>147</v>
      </c>
      <c r="DP118" s="45" t="s">
        <v>145</v>
      </c>
      <c r="DQ118" s="45" t="s">
        <v>18</v>
      </c>
      <c r="DR118" s="45" t="s">
        <v>77</v>
      </c>
      <c r="DS118" s="45" t="s">
        <v>12</v>
      </c>
      <c r="DT118" s="45" t="s">
        <v>26</v>
      </c>
      <c r="DU118" s="45" t="s">
        <v>116</v>
      </c>
      <c r="DV118" s="45" t="s">
        <v>26</v>
      </c>
      <c r="DW118" s="45" t="s">
        <v>26</v>
      </c>
      <c r="DX118" s="45" t="s">
        <v>115</v>
      </c>
      <c r="DY118" s="45" t="s">
        <v>18</v>
      </c>
      <c r="DZ118" s="45" t="s">
        <v>77</v>
      </c>
      <c r="EA118" s="45" t="s">
        <v>77</v>
      </c>
      <c r="EB118" s="45" t="s">
        <v>77</v>
      </c>
      <c r="EC118" s="45" t="s">
        <v>143</v>
      </c>
      <c r="ED118" s="45" t="s">
        <v>133</v>
      </c>
      <c r="EE118" s="45" t="s">
        <v>115</v>
      </c>
      <c r="EF118" s="45" t="s">
        <v>51</v>
      </c>
      <c r="EG118" s="45" t="s">
        <v>115</v>
      </c>
      <c r="EH118" s="45" t="s">
        <v>51</v>
      </c>
      <c r="EI118" s="45" t="s">
        <v>51</v>
      </c>
      <c r="EJ118" s="45" t="s">
        <v>51</v>
      </c>
    </row>
    <row r="119" customFormat="false" ht="15.75" hidden="false" customHeight="false" outlineLevel="0" collapsed="false">
      <c r="A119" s="249" t="n">
        <v>94</v>
      </c>
      <c r="B119" s="250" t="s">
        <v>54</v>
      </c>
      <c r="C119" s="45" t="s">
        <v>69</v>
      </c>
      <c r="D119" s="45" t="s">
        <v>40</v>
      </c>
      <c r="E119" s="45" t="s">
        <v>85</v>
      </c>
      <c r="F119" s="45" t="s">
        <v>62</v>
      </c>
      <c r="G119" s="45" t="s">
        <v>41</v>
      </c>
      <c r="H119" s="45" t="s">
        <v>150</v>
      </c>
      <c r="I119" s="45" t="s">
        <v>41</v>
      </c>
      <c r="J119" s="45" t="s">
        <v>129</v>
      </c>
      <c r="K119" s="45" t="s">
        <v>33</v>
      </c>
      <c r="L119" s="45" t="s">
        <v>111</v>
      </c>
      <c r="M119" s="45" t="s">
        <v>58</v>
      </c>
      <c r="N119" s="45" t="s">
        <v>151</v>
      </c>
      <c r="O119" s="45" t="s">
        <v>151</v>
      </c>
      <c r="P119" s="45" t="s">
        <v>129</v>
      </c>
      <c r="Q119" s="45" t="s">
        <v>129</v>
      </c>
      <c r="R119" s="45" t="s">
        <v>40</v>
      </c>
      <c r="S119" s="45" t="s">
        <v>41</v>
      </c>
      <c r="T119" s="45" t="s">
        <v>139</v>
      </c>
      <c r="U119" s="45" t="s">
        <v>151</v>
      </c>
      <c r="V119" s="45" t="s">
        <v>40</v>
      </c>
      <c r="W119" s="45" t="s">
        <v>91</v>
      </c>
      <c r="X119" s="45" t="s">
        <v>22</v>
      </c>
      <c r="Y119" s="45" t="s">
        <v>64</v>
      </c>
      <c r="Z119" s="45" t="s">
        <v>96</v>
      </c>
      <c r="AA119" s="45" t="s">
        <v>101</v>
      </c>
      <c r="AB119" s="45" t="s">
        <v>139</v>
      </c>
      <c r="AC119" s="45" t="s">
        <v>62</v>
      </c>
      <c r="AD119" s="45" t="s">
        <v>95</v>
      </c>
      <c r="AE119" s="45" t="s">
        <v>63</v>
      </c>
      <c r="AF119" s="45" t="s">
        <v>111</v>
      </c>
      <c r="AG119" s="45" t="s">
        <v>101</v>
      </c>
      <c r="AH119" s="45" t="s">
        <v>94</v>
      </c>
      <c r="AI119" s="45" t="s">
        <v>150</v>
      </c>
      <c r="AJ119" s="45" t="s">
        <v>144</v>
      </c>
      <c r="AK119" s="45" t="s">
        <v>46</v>
      </c>
      <c r="AL119" s="45" t="s">
        <v>41</v>
      </c>
      <c r="AM119" s="45" t="s">
        <v>62</v>
      </c>
      <c r="AN119" s="45" t="s">
        <v>25</v>
      </c>
      <c r="AO119" s="45" t="s">
        <v>84</v>
      </c>
      <c r="AP119" s="45" t="s">
        <v>96</v>
      </c>
      <c r="AQ119" s="45" t="s">
        <v>55</v>
      </c>
      <c r="AR119" s="45" t="s">
        <v>94</v>
      </c>
      <c r="AS119" s="45" t="s">
        <v>94</v>
      </c>
      <c r="AT119" s="45" t="s">
        <v>94</v>
      </c>
      <c r="AU119" s="45" t="s">
        <v>25</v>
      </c>
      <c r="AV119" s="45" t="s">
        <v>150</v>
      </c>
      <c r="AW119" s="45" t="s">
        <v>36</v>
      </c>
      <c r="AX119" s="45" t="s">
        <v>13</v>
      </c>
      <c r="AY119" s="45" t="s">
        <v>142</v>
      </c>
      <c r="AZ119" s="45" t="s">
        <v>47</v>
      </c>
      <c r="BA119" s="45" t="s">
        <v>94</v>
      </c>
      <c r="BB119" s="45" t="s">
        <v>66</v>
      </c>
      <c r="BC119" s="45" t="s">
        <v>46</v>
      </c>
      <c r="BD119" s="45" t="s">
        <v>33</v>
      </c>
      <c r="BE119" s="45" t="s">
        <v>55</v>
      </c>
      <c r="BF119" s="45" t="s">
        <v>126</v>
      </c>
      <c r="BG119" s="45" t="s">
        <v>126</v>
      </c>
      <c r="BH119" s="45" t="s">
        <v>54</v>
      </c>
      <c r="BI119" s="45" t="s">
        <v>63</v>
      </c>
      <c r="BJ119" s="45" t="s">
        <v>66</v>
      </c>
      <c r="BK119" s="45" t="s">
        <v>143</v>
      </c>
      <c r="BL119" s="45" t="s">
        <v>58</v>
      </c>
      <c r="BM119" s="45" t="s">
        <v>128</v>
      </c>
      <c r="BN119" s="45" t="s">
        <v>25</v>
      </c>
      <c r="BO119" s="45" t="s">
        <v>108</v>
      </c>
      <c r="BP119" s="45" t="s">
        <v>43</v>
      </c>
      <c r="BQ119" s="45" t="s">
        <v>104</v>
      </c>
      <c r="BR119" s="45" t="s">
        <v>143</v>
      </c>
      <c r="BS119" s="45" t="s">
        <v>26</v>
      </c>
      <c r="BT119" s="45" t="s">
        <v>94</v>
      </c>
      <c r="BU119" s="45" t="s">
        <v>121</v>
      </c>
      <c r="BV119" s="45" t="s">
        <v>48</v>
      </c>
      <c r="BW119" s="45" t="s">
        <v>96</v>
      </c>
      <c r="BX119" s="45" t="s">
        <v>46</v>
      </c>
      <c r="BY119" s="45" t="s">
        <v>48</v>
      </c>
      <c r="BZ119" s="45" t="s">
        <v>108</v>
      </c>
      <c r="CA119" s="45" t="s">
        <v>13</v>
      </c>
      <c r="CB119" s="45" t="s">
        <v>116</v>
      </c>
      <c r="CC119" s="45" t="s">
        <v>33</v>
      </c>
      <c r="CD119" s="45" t="s">
        <v>31</v>
      </c>
      <c r="CE119" s="45" t="s">
        <v>121</v>
      </c>
      <c r="CF119" s="45" t="s">
        <v>55</v>
      </c>
      <c r="CG119" s="45" t="s">
        <v>41</v>
      </c>
      <c r="CH119" s="45" t="s">
        <v>89</v>
      </c>
      <c r="CI119" s="45" t="s">
        <v>44</v>
      </c>
      <c r="CJ119" s="45" t="s">
        <v>89</v>
      </c>
      <c r="CK119" s="45" t="s">
        <v>77</v>
      </c>
      <c r="CL119" s="45" t="s">
        <v>84</v>
      </c>
      <c r="CM119" s="45" t="s">
        <v>43</v>
      </c>
      <c r="CN119" s="45" t="s">
        <v>64</v>
      </c>
      <c r="CO119" s="45" t="s">
        <v>54</v>
      </c>
      <c r="CP119" s="45" t="s">
        <v>63</v>
      </c>
      <c r="CQ119" s="45" t="s">
        <v>120</v>
      </c>
      <c r="CR119" s="45" t="s">
        <v>116</v>
      </c>
      <c r="CS119" s="45" t="s">
        <v>58</v>
      </c>
      <c r="CT119" s="45" t="s">
        <v>129</v>
      </c>
      <c r="CU119" s="45" t="s">
        <v>129</v>
      </c>
      <c r="CV119" s="45" t="s">
        <v>142</v>
      </c>
      <c r="CW119" s="45" t="s">
        <v>12</v>
      </c>
      <c r="CX119" s="45" t="s">
        <v>27</v>
      </c>
      <c r="CY119" s="45" t="s">
        <v>43</v>
      </c>
      <c r="CZ119" s="45" t="s">
        <v>26</v>
      </c>
      <c r="DA119" s="45" t="s">
        <v>26</v>
      </c>
      <c r="DB119" s="45" t="s">
        <v>31</v>
      </c>
      <c r="DC119" s="45" t="s">
        <v>48</v>
      </c>
      <c r="DD119" s="45" t="s">
        <v>47</v>
      </c>
      <c r="DE119" s="45" t="s">
        <v>145</v>
      </c>
      <c r="DF119" s="45" t="s">
        <v>26</v>
      </c>
      <c r="DG119" s="45" t="s">
        <v>120</v>
      </c>
      <c r="DH119" s="45" t="s">
        <v>120</v>
      </c>
      <c r="DI119" s="45" t="s">
        <v>145</v>
      </c>
      <c r="DJ119" s="45" t="s">
        <v>145</v>
      </c>
      <c r="DK119" s="45" t="s">
        <v>120</v>
      </c>
      <c r="DL119" s="45" t="s">
        <v>142</v>
      </c>
      <c r="DM119" s="45" t="s">
        <v>143</v>
      </c>
      <c r="DN119" s="45" t="s">
        <v>147</v>
      </c>
      <c r="DO119" s="45" t="s">
        <v>54</v>
      </c>
      <c r="DP119" s="45" t="s">
        <v>143</v>
      </c>
      <c r="DQ119" s="45" t="s">
        <v>67</v>
      </c>
      <c r="DR119" s="45" t="s">
        <v>77</v>
      </c>
      <c r="DS119" s="45" t="s">
        <v>12</v>
      </c>
      <c r="DT119" s="45" t="s">
        <v>26</v>
      </c>
      <c r="DU119" s="45" t="s">
        <v>13</v>
      </c>
      <c r="DV119" s="45" t="s">
        <v>145</v>
      </c>
      <c r="DW119" s="45" t="s">
        <v>145</v>
      </c>
      <c r="DX119" s="45" t="s">
        <v>51</v>
      </c>
      <c r="DY119" s="45" t="s">
        <v>115</v>
      </c>
      <c r="DZ119" s="45" t="s">
        <v>77</v>
      </c>
      <c r="EA119" s="45" t="s">
        <v>26</v>
      </c>
      <c r="EB119" s="45" t="s">
        <v>77</v>
      </c>
      <c r="EC119" s="45" t="s">
        <v>143</v>
      </c>
      <c r="ED119" s="45" t="s">
        <v>12</v>
      </c>
      <c r="EE119" s="45" t="s">
        <v>51</v>
      </c>
      <c r="EF119" s="45" t="s">
        <v>51</v>
      </c>
      <c r="EG119" s="45" t="s">
        <v>51</v>
      </c>
      <c r="EH119" s="45" t="s">
        <v>12</v>
      </c>
      <c r="EI119" s="45" t="s">
        <v>133</v>
      </c>
      <c r="EJ119" s="45" t="s">
        <v>51</v>
      </c>
    </row>
    <row r="120" customFormat="false" ht="15.75" hidden="false" customHeight="false" outlineLevel="0" collapsed="false">
      <c r="A120" s="249" t="n">
        <v>95</v>
      </c>
      <c r="B120" s="250" t="s">
        <v>119</v>
      </c>
      <c r="C120" s="45" t="s">
        <v>108</v>
      </c>
      <c r="D120" s="45" t="s">
        <v>108</v>
      </c>
      <c r="E120" s="45" t="s">
        <v>48</v>
      </c>
      <c r="F120" s="45" t="s">
        <v>104</v>
      </c>
      <c r="G120" s="45" t="s">
        <v>121</v>
      </c>
      <c r="H120" s="45" t="s">
        <v>43</v>
      </c>
      <c r="I120" s="45" t="s">
        <v>121</v>
      </c>
      <c r="J120" s="45" t="s">
        <v>36</v>
      </c>
      <c r="K120" s="45" t="s">
        <v>142</v>
      </c>
      <c r="L120" s="45" t="s">
        <v>43</v>
      </c>
      <c r="M120" s="45" t="s">
        <v>106</v>
      </c>
      <c r="N120" s="45" t="s">
        <v>29</v>
      </c>
      <c r="O120" s="45" t="s">
        <v>43</v>
      </c>
      <c r="P120" s="45" t="s">
        <v>13</v>
      </c>
      <c r="Q120" s="45" t="s">
        <v>13</v>
      </c>
      <c r="R120" s="45" t="s">
        <v>47</v>
      </c>
      <c r="S120" s="45" t="s">
        <v>34</v>
      </c>
      <c r="T120" s="45" t="s">
        <v>48</v>
      </c>
      <c r="U120" s="45" t="s">
        <v>29</v>
      </c>
      <c r="V120" s="45" t="s">
        <v>108</v>
      </c>
      <c r="W120" s="45" t="s">
        <v>13</v>
      </c>
      <c r="X120" s="45" t="s">
        <v>120</v>
      </c>
      <c r="Y120" s="45" t="s">
        <v>58</v>
      </c>
      <c r="Z120" s="45" t="s">
        <v>13</v>
      </c>
      <c r="AA120" s="45" t="s">
        <v>44</v>
      </c>
      <c r="AB120" s="45" t="s">
        <v>48</v>
      </c>
      <c r="AC120" s="45" t="s">
        <v>47</v>
      </c>
      <c r="AD120" s="45" t="s">
        <v>77</v>
      </c>
      <c r="AE120" s="45" t="s">
        <v>25</v>
      </c>
      <c r="AF120" s="45" t="s">
        <v>43</v>
      </c>
      <c r="AG120" s="45" t="s">
        <v>44</v>
      </c>
      <c r="AH120" s="45" t="s">
        <v>26</v>
      </c>
      <c r="AI120" s="45" t="s">
        <v>89</v>
      </c>
      <c r="AJ120" s="45" t="s">
        <v>25</v>
      </c>
      <c r="AK120" s="45" t="s">
        <v>120</v>
      </c>
      <c r="AL120" s="45" t="s">
        <v>104</v>
      </c>
      <c r="AM120" s="45" t="s">
        <v>104</v>
      </c>
      <c r="AN120" s="45" t="s">
        <v>14</v>
      </c>
      <c r="AO120" s="45" t="s">
        <v>117</v>
      </c>
      <c r="AP120" s="45" t="s">
        <v>58</v>
      </c>
      <c r="AQ120" s="45" t="s">
        <v>26</v>
      </c>
      <c r="AR120" s="45" t="s">
        <v>26</v>
      </c>
      <c r="AS120" s="45" t="s">
        <v>26</v>
      </c>
      <c r="AT120" s="45" t="s">
        <v>26</v>
      </c>
      <c r="AU120" s="45" t="s">
        <v>14</v>
      </c>
      <c r="AV120" s="45" t="s">
        <v>89</v>
      </c>
      <c r="AW120" s="45" t="s">
        <v>88</v>
      </c>
      <c r="AX120" s="45" t="s">
        <v>152</v>
      </c>
      <c r="AY120" s="45" t="s">
        <v>110</v>
      </c>
      <c r="AZ120" s="45" t="s">
        <v>12</v>
      </c>
      <c r="BA120" s="45" t="s">
        <v>26</v>
      </c>
      <c r="BB120" s="45" t="s">
        <v>25</v>
      </c>
      <c r="BC120" s="45" t="s">
        <v>120</v>
      </c>
      <c r="BD120" s="45" t="s">
        <v>142</v>
      </c>
      <c r="BE120" s="45" t="s">
        <v>145</v>
      </c>
      <c r="BF120" s="45" t="s">
        <v>143</v>
      </c>
      <c r="BG120" s="45" t="s">
        <v>143</v>
      </c>
      <c r="BH120" s="45" t="s">
        <v>143</v>
      </c>
      <c r="BI120" s="45" t="s">
        <v>84</v>
      </c>
      <c r="BJ120" s="45" t="s">
        <v>25</v>
      </c>
      <c r="BK120" s="45" t="s">
        <v>149</v>
      </c>
      <c r="BL120" s="45" t="s">
        <v>106</v>
      </c>
      <c r="BM120" s="45" t="s">
        <v>89</v>
      </c>
      <c r="BN120" s="45" t="s">
        <v>14</v>
      </c>
      <c r="BO120" s="45" t="s">
        <v>12</v>
      </c>
      <c r="BP120" s="45" t="s">
        <v>115</v>
      </c>
      <c r="BQ120" s="45" t="s">
        <v>133</v>
      </c>
      <c r="BR120" s="45" t="s">
        <v>117</v>
      </c>
      <c r="BS120" s="45" t="s">
        <v>99</v>
      </c>
      <c r="BT120" s="45" t="s">
        <v>77</v>
      </c>
      <c r="BU120" s="45" t="s">
        <v>51</v>
      </c>
      <c r="BV120" s="45" t="s">
        <v>77</v>
      </c>
      <c r="BW120" s="45" t="s">
        <v>116</v>
      </c>
      <c r="BX120" s="45" t="s">
        <v>120</v>
      </c>
      <c r="BY120" s="45" t="s">
        <v>77</v>
      </c>
      <c r="BZ120" s="45" t="s">
        <v>12</v>
      </c>
      <c r="CA120" s="45" t="s">
        <v>131</v>
      </c>
      <c r="CB120" s="45" t="s">
        <v>131</v>
      </c>
      <c r="CC120" s="45" t="s">
        <v>142</v>
      </c>
      <c r="CD120" s="45" t="s">
        <v>77</v>
      </c>
      <c r="CE120" s="45" t="s">
        <v>51</v>
      </c>
      <c r="CF120" s="45" t="s">
        <v>26</v>
      </c>
      <c r="CG120" s="45" t="s">
        <v>121</v>
      </c>
      <c r="CH120" s="45" t="s">
        <v>18</v>
      </c>
      <c r="CI120" s="45" t="s">
        <v>153</v>
      </c>
      <c r="CJ120" s="45" t="s">
        <v>18</v>
      </c>
      <c r="CK120" s="45" t="s">
        <v>122</v>
      </c>
      <c r="CL120" s="45" t="s">
        <v>117</v>
      </c>
      <c r="CM120" s="45" t="s">
        <v>115</v>
      </c>
      <c r="CN120" s="45" t="s">
        <v>142</v>
      </c>
      <c r="CO120" s="45" t="s">
        <v>143</v>
      </c>
      <c r="CP120" s="45" t="s">
        <v>84</v>
      </c>
      <c r="CQ120" s="45" t="s">
        <v>138</v>
      </c>
      <c r="CR120" s="45" t="s">
        <v>131</v>
      </c>
      <c r="CS120" s="45" t="s">
        <v>131</v>
      </c>
      <c r="CT120" s="45" t="s">
        <v>36</v>
      </c>
      <c r="CU120" s="45" t="s">
        <v>44</v>
      </c>
      <c r="CV120" s="45" t="s">
        <v>110</v>
      </c>
      <c r="CW120" s="45" t="s">
        <v>20</v>
      </c>
      <c r="CX120" s="45" t="s">
        <v>51</v>
      </c>
      <c r="CY120" s="45" t="s">
        <v>67</v>
      </c>
      <c r="CZ120" s="45" t="s">
        <v>82</v>
      </c>
      <c r="DA120" s="45" t="s">
        <v>82</v>
      </c>
      <c r="DB120" s="45" t="s">
        <v>77</v>
      </c>
      <c r="DC120" s="45" t="s">
        <v>77</v>
      </c>
      <c r="DD120" s="45" t="s">
        <v>12</v>
      </c>
      <c r="DE120" s="45" t="s">
        <v>50</v>
      </c>
      <c r="DF120" s="45" t="s">
        <v>122</v>
      </c>
      <c r="DG120" s="45" t="s">
        <v>138</v>
      </c>
      <c r="DH120" s="45" t="s">
        <v>138</v>
      </c>
      <c r="DI120" s="45" t="s">
        <v>124</v>
      </c>
      <c r="DJ120" s="45" t="s">
        <v>124</v>
      </c>
      <c r="DK120" s="45" t="s">
        <v>138</v>
      </c>
      <c r="DL120" s="45" t="s">
        <v>110</v>
      </c>
      <c r="DM120" s="45" t="s">
        <v>149</v>
      </c>
      <c r="DN120" s="45" t="s">
        <v>145</v>
      </c>
      <c r="DO120" s="45" t="s">
        <v>143</v>
      </c>
      <c r="DP120" s="45" t="s">
        <v>119</v>
      </c>
      <c r="DQ120" s="45" t="s">
        <v>73</v>
      </c>
      <c r="DR120" s="45" t="s">
        <v>122</v>
      </c>
      <c r="DS120" s="45" t="s">
        <v>105</v>
      </c>
      <c r="DT120" s="45" t="s">
        <v>82</v>
      </c>
      <c r="DU120" s="45" t="s">
        <v>152</v>
      </c>
      <c r="DV120" s="45" t="s">
        <v>50</v>
      </c>
      <c r="DW120" s="45" t="s">
        <v>50</v>
      </c>
      <c r="DX120" s="45" t="s">
        <v>73</v>
      </c>
      <c r="DY120" s="45" t="s">
        <v>73</v>
      </c>
      <c r="DZ120" s="45" t="s">
        <v>122</v>
      </c>
      <c r="EA120" s="45" t="s">
        <v>99</v>
      </c>
      <c r="EB120" s="45" t="s">
        <v>122</v>
      </c>
      <c r="EC120" s="45" t="s">
        <v>117</v>
      </c>
      <c r="ED120" s="45" t="s">
        <v>105</v>
      </c>
      <c r="EE120" s="45" t="s">
        <v>20</v>
      </c>
      <c r="EF120" s="45" t="s">
        <v>20</v>
      </c>
      <c r="EG120" s="45" t="s">
        <v>20</v>
      </c>
      <c r="EH120" s="45" t="s">
        <v>20</v>
      </c>
      <c r="EI120" s="45" t="s">
        <v>20</v>
      </c>
      <c r="EJ120" s="45" t="s">
        <v>20</v>
      </c>
    </row>
    <row r="121" customFormat="false" ht="15.75" hidden="false" customHeight="false" outlineLevel="0" collapsed="false">
      <c r="A121" s="249" t="n">
        <v>96</v>
      </c>
      <c r="B121" s="250" t="s">
        <v>24</v>
      </c>
      <c r="C121" s="45" t="s">
        <v>120</v>
      </c>
      <c r="D121" s="45" t="s">
        <v>120</v>
      </c>
      <c r="E121" s="45" t="s">
        <v>142</v>
      </c>
      <c r="F121" s="45" t="s">
        <v>25</v>
      </c>
      <c r="G121" s="45" t="s">
        <v>25</v>
      </c>
      <c r="H121" s="45" t="s">
        <v>143</v>
      </c>
      <c r="I121" s="45" t="s">
        <v>25</v>
      </c>
      <c r="J121" s="45" t="s">
        <v>26</v>
      </c>
      <c r="K121" s="45" t="s">
        <v>77</v>
      </c>
      <c r="L121" s="45" t="s">
        <v>143</v>
      </c>
      <c r="M121" s="45" t="s">
        <v>105</v>
      </c>
      <c r="N121" s="45" t="s">
        <v>143</v>
      </c>
      <c r="O121" s="45" t="s">
        <v>143</v>
      </c>
      <c r="P121" s="45" t="s">
        <v>26</v>
      </c>
      <c r="Q121" s="45" t="s">
        <v>26</v>
      </c>
      <c r="R121" s="45" t="s">
        <v>120</v>
      </c>
      <c r="S121" s="45" t="s">
        <v>84</v>
      </c>
      <c r="T121" s="45" t="s">
        <v>142</v>
      </c>
      <c r="U121" s="45" t="s">
        <v>84</v>
      </c>
      <c r="V121" s="45" t="s">
        <v>120</v>
      </c>
      <c r="W121" s="45" t="s">
        <v>26</v>
      </c>
      <c r="X121" s="45" t="s">
        <v>12</v>
      </c>
      <c r="Y121" s="45" t="s">
        <v>77</v>
      </c>
      <c r="Z121" s="45" t="s">
        <v>77</v>
      </c>
      <c r="AA121" s="45" t="s">
        <v>145</v>
      </c>
      <c r="AB121" s="45" t="s">
        <v>142</v>
      </c>
      <c r="AC121" s="45" t="s">
        <v>120</v>
      </c>
      <c r="AD121" s="45" t="s">
        <v>131</v>
      </c>
      <c r="AE121" s="45" t="s">
        <v>51</v>
      </c>
      <c r="AF121" s="45" t="s">
        <v>143</v>
      </c>
      <c r="AG121" s="45" t="s">
        <v>26</v>
      </c>
      <c r="AH121" s="45" t="s">
        <v>152</v>
      </c>
      <c r="AI121" s="45" t="s">
        <v>145</v>
      </c>
      <c r="AJ121" s="45" t="s">
        <v>51</v>
      </c>
      <c r="AK121" s="45" t="s">
        <v>133</v>
      </c>
      <c r="AL121" s="45" t="s">
        <v>25</v>
      </c>
      <c r="AM121" s="45" t="s">
        <v>25</v>
      </c>
      <c r="AN121" s="45" t="s">
        <v>20</v>
      </c>
      <c r="AO121" s="45" t="s">
        <v>73</v>
      </c>
      <c r="AP121" s="45" t="s">
        <v>77</v>
      </c>
      <c r="AQ121" s="45" t="s">
        <v>88</v>
      </c>
      <c r="AR121" s="45" t="s">
        <v>131</v>
      </c>
      <c r="AS121" s="45" t="s">
        <v>152</v>
      </c>
      <c r="AT121" s="45" t="s">
        <v>131</v>
      </c>
      <c r="AU121" s="45" t="s">
        <v>20</v>
      </c>
      <c r="AV121" s="45" t="s">
        <v>145</v>
      </c>
      <c r="AW121" s="45" t="s">
        <v>99</v>
      </c>
      <c r="AX121" s="45" t="s">
        <v>99</v>
      </c>
      <c r="AY121" s="45" t="s">
        <v>105</v>
      </c>
      <c r="AZ121" s="45" t="s">
        <v>138</v>
      </c>
      <c r="BA121" s="45" t="s">
        <v>131</v>
      </c>
      <c r="BB121" s="45" t="s">
        <v>51</v>
      </c>
      <c r="BC121" s="45" t="s">
        <v>12</v>
      </c>
      <c r="BD121" s="45" t="s">
        <v>12</v>
      </c>
      <c r="BE121" s="45" t="s">
        <v>153</v>
      </c>
      <c r="BF121" s="45" t="s">
        <v>115</v>
      </c>
      <c r="BG121" s="45" t="s">
        <v>115</v>
      </c>
      <c r="BH121" s="45" t="s">
        <v>18</v>
      </c>
      <c r="BI121" s="45" t="s">
        <v>115</v>
      </c>
      <c r="BJ121" s="45" t="s">
        <v>51</v>
      </c>
      <c r="BK121" s="45" t="s">
        <v>15</v>
      </c>
      <c r="BL121" s="45" t="s">
        <v>105</v>
      </c>
      <c r="BM121" s="45" t="s">
        <v>145</v>
      </c>
      <c r="BN121" s="45" t="s">
        <v>20</v>
      </c>
      <c r="BO121" s="45" t="s">
        <v>138</v>
      </c>
      <c r="BP121" s="45" t="s">
        <v>149</v>
      </c>
      <c r="BQ121" s="45" t="s">
        <v>14</v>
      </c>
      <c r="BR121" s="45" t="s">
        <v>73</v>
      </c>
      <c r="BS121" s="45" t="s">
        <v>39</v>
      </c>
      <c r="BT121" s="45" t="s">
        <v>131</v>
      </c>
      <c r="BU121" s="45" t="s">
        <v>14</v>
      </c>
      <c r="BV121" s="45" t="s">
        <v>110</v>
      </c>
      <c r="BW121" s="45" t="s">
        <v>77</v>
      </c>
      <c r="BX121" s="45" t="s">
        <v>133</v>
      </c>
      <c r="BY121" s="45" t="s">
        <v>110</v>
      </c>
      <c r="BZ121" s="45" t="s">
        <v>138</v>
      </c>
      <c r="CA121" s="45" t="s">
        <v>122</v>
      </c>
      <c r="CB121" s="45" t="s">
        <v>122</v>
      </c>
      <c r="CC121" s="45" t="s">
        <v>12</v>
      </c>
      <c r="CD121" s="45" t="s">
        <v>106</v>
      </c>
      <c r="CE121" s="45" t="s">
        <v>14</v>
      </c>
      <c r="CF121" s="45" t="s">
        <v>153</v>
      </c>
      <c r="CG121" s="45" t="s">
        <v>25</v>
      </c>
      <c r="CH121" s="45" t="s">
        <v>50</v>
      </c>
      <c r="CI121" s="45" t="s">
        <v>82</v>
      </c>
      <c r="CJ121" s="45" t="s">
        <v>124</v>
      </c>
      <c r="CK121" s="45" t="s">
        <v>39</v>
      </c>
      <c r="CL121" s="45" t="s">
        <v>73</v>
      </c>
      <c r="CM121" s="45" t="s">
        <v>117</v>
      </c>
      <c r="CN121" s="45" t="s">
        <v>77</v>
      </c>
      <c r="CO121" s="45" t="s">
        <v>18</v>
      </c>
      <c r="CP121" s="45" t="s">
        <v>51</v>
      </c>
      <c r="CQ121" s="45" t="s">
        <v>20</v>
      </c>
      <c r="CR121" s="45" t="s">
        <v>122</v>
      </c>
      <c r="CS121" s="45" t="s">
        <v>122</v>
      </c>
      <c r="CT121" s="45" t="s">
        <v>26</v>
      </c>
      <c r="CU121" s="45" t="s">
        <v>26</v>
      </c>
      <c r="CV121" s="45" t="s">
        <v>105</v>
      </c>
      <c r="CW121" s="45" t="s">
        <v>135</v>
      </c>
      <c r="CX121" s="45" t="s">
        <v>117</v>
      </c>
      <c r="CY121" s="45" t="s">
        <v>149</v>
      </c>
      <c r="CZ121" s="45" t="s">
        <v>15</v>
      </c>
      <c r="DA121" s="45" t="s">
        <v>39</v>
      </c>
      <c r="DB121" s="45" t="s">
        <v>106</v>
      </c>
      <c r="DC121" s="45" t="s">
        <v>110</v>
      </c>
      <c r="DD121" s="45" t="s">
        <v>138</v>
      </c>
      <c r="DE121" s="45" t="s">
        <v>15</v>
      </c>
      <c r="DF121" s="45" t="s">
        <v>39</v>
      </c>
      <c r="DG121" s="45" t="s">
        <v>20</v>
      </c>
      <c r="DH121" s="45" t="s">
        <v>20</v>
      </c>
      <c r="DI121" s="45" t="s">
        <v>15</v>
      </c>
      <c r="DJ121" s="45" t="s">
        <v>15</v>
      </c>
      <c r="DK121" s="45" t="s">
        <v>20</v>
      </c>
      <c r="DL121" s="45" t="s">
        <v>105</v>
      </c>
      <c r="DM121" s="45" t="s">
        <v>73</v>
      </c>
      <c r="DN121" s="45" t="s">
        <v>18</v>
      </c>
      <c r="DO121" s="45" t="s">
        <v>67</v>
      </c>
      <c r="DP121" s="45" t="s">
        <v>73</v>
      </c>
      <c r="DQ121" s="45" t="s">
        <v>24</v>
      </c>
      <c r="DR121" s="45" t="s">
        <v>39</v>
      </c>
      <c r="DS121" s="45" t="s">
        <v>135</v>
      </c>
      <c r="DT121" s="45" t="s">
        <v>39</v>
      </c>
      <c r="DU121" s="45" t="s">
        <v>122</v>
      </c>
      <c r="DV121" s="45" t="s">
        <v>15</v>
      </c>
      <c r="DW121" s="45" t="s">
        <v>15</v>
      </c>
      <c r="DX121" s="45" t="s">
        <v>135</v>
      </c>
      <c r="DY121" s="45" t="s">
        <v>24</v>
      </c>
      <c r="DZ121" s="45" t="s">
        <v>39</v>
      </c>
      <c r="EA121" s="45" t="s">
        <v>39</v>
      </c>
      <c r="EB121" s="45" t="s">
        <v>39</v>
      </c>
      <c r="EC121" s="45" t="s">
        <v>73</v>
      </c>
      <c r="ED121" s="45" t="s">
        <v>135</v>
      </c>
      <c r="EE121" s="45" t="s">
        <v>135</v>
      </c>
      <c r="EF121" s="45" t="s">
        <v>135</v>
      </c>
      <c r="EG121" s="45" t="s">
        <v>135</v>
      </c>
      <c r="EH121" s="45" t="s">
        <v>135</v>
      </c>
      <c r="EI121" s="45" t="s">
        <v>135</v>
      </c>
      <c r="EJ121" s="45" t="s">
        <v>135</v>
      </c>
    </row>
    <row r="122" customFormat="false" ht="15.75" hidden="false" customHeight="false" outlineLevel="0" collapsed="false">
      <c r="A122" s="249" t="n">
        <v>97</v>
      </c>
      <c r="B122" s="250" t="s">
        <v>73</v>
      </c>
      <c r="C122" s="45" t="s">
        <v>89</v>
      </c>
      <c r="D122" s="45" t="s">
        <v>89</v>
      </c>
      <c r="E122" s="45" t="s">
        <v>43</v>
      </c>
      <c r="F122" s="45" t="s">
        <v>44</v>
      </c>
      <c r="G122" s="45" t="s">
        <v>13</v>
      </c>
      <c r="H122" s="45" t="s">
        <v>58</v>
      </c>
      <c r="I122" s="45" t="s">
        <v>36</v>
      </c>
      <c r="J122" s="45" t="s">
        <v>25</v>
      </c>
      <c r="K122" s="45" t="s">
        <v>143</v>
      </c>
      <c r="L122" s="45" t="s">
        <v>58</v>
      </c>
      <c r="M122" s="45" t="s">
        <v>117</v>
      </c>
      <c r="N122" s="45" t="s">
        <v>116</v>
      </c>
      <c r="O122" s="45" t="s">
        <v>116</v>
      </c>
      <c r="P122" s="45" t="s">
        <v>25</v>
      </c>
      <c r="Q122" s="45" t="s">
        <v>25</v>
      </c>
      <c r="R122" s="45" t="s">
        <v>44</v>
      </c>
      <c r="S122" s="45" t="s">
        <v>13</v>
      </c>
      <c r="T122" s="45" t="s">
        <v>43</v>
      </c>
      <c r="U122" s="45" t="s">
        <v>13</v>
      </c>
      <c r="V122" s="45" t="s">
        <v>44</v>
      </c>
      <c r="W122" s="45" t="s">
        <v>25</v>
      </c>
      <c r="X122" s="45" t="s">
        <v>145</v>
      </c>
      <c r="Y122" s="45" t="s">
        <v>143</v>
      </c>
      <c r="Z122" s="45" t="s">
        <v>25</v>
      </c>
      <c r="AA122" s="45" t="s">
        <v>120</v>
      </c>
      <c r="AB122" s="45" t="s">
        <v>89</v>
      </c>
      <c r="AC122" s="45" t="s">
        <v>44</v>
      </c>
      <c r="AD122" s="45" t="s">
        <v>51</v>
      </c>
      <c r="AE122" s="45" t="s">
        <v>26</v>
      </c>
      <c r="AF122" s="45" t="s">
        <v>58</v>
      </c>
      <c r="AG122" s="45" t="s">
        <v>120</v>
      </c>
      <c r="AH122" s="45" t="s">
        <v>51</v>
      </c>
      <c r="AI122" s="45" t="s">
        <v>142</v>
      </c>
      <c r="AJ122" s="45" t="s">
        <v>26</v>
      </c>
      <c r="AK122" s="45" t="s">
        <v>26</v>
      </c>
      <c r="AL122" s="45" t="s">
        <v>36</v>
      </c>
      <c r="AM122" s="45" t="s">
        <v>36</v>
      </c>
      <c r="AN122" s="45" t="s">
        <v>82</v>
      </c>
      <c r="AO122" s="45" t="s">
        <v>122</v>
      </c>
      <c r="AP122" s="45" t="s">
        <v>143</v>
      </c>
      <c r="AQ122" s="45" t="s">
        <v>133</v>
      </c>
      <c r="AR122" s="45" t="s">
        <v>51</v>
      </c>
      <c r="AS122" s="45" t="s">
        <v>133</v>
      </c>
      <c r="AT122" s="45" t="s">
        <v>51</v>
      </c>
      <c r="AU122" s="45" t="s">
        <v>82</v>
      </c>
      <c r="AV122" s="45" t="s">
        <v>142</v>
      </c>
      <c r="AW122" s="45" t="s">
        <v>14</v>
      </c>
      <c r="AX122" s="45" t="s">
        <v>14</v>
      </c>
      <c r="AY122" s="45" t="s">
        <v>149</v>
      </c>
      <c r="AZ122" s="45" t="s">
        <v>37</v>
      </c>
      <c r="BA122" s="45" t="s">
        <v>51</v>
      </c>
      <c r="BB122" s="45" t="s">
        <v>26</v>
      </c>
      <c r="BC122" s="45" t="s">
        <v>145</v>
      </c>
      <c r="BD122" s="45" t="s">
        <v>145</v>
      </c>
      <c r="BE122" s="45" t="s">
        <v>12</v>
      </c>
      <c r="BF122" s="45" t="s">
        <v>77</v>
      </c>
      <c r="BG122" s="45" t="s">
        <v>77</v>
      </c>
      <c r="BH122" s="45" t="s">
        <v>77</v>
      </c>
      <c r="BI122" s="45" t="s">
        <v>77</v>
      </c>
      <c r="BJ122" s="45" t="s">
        <v>26</v>
      </c>
      <c r="BK122" s="45" t="s">
        <v>105</v>
      </c>
      <c r="BL122" s="45" t="s">
        <v>119</v>
      </c>
      <c r="BM122" s="45" t="s">
        <v>142</v>
      </c>
      <c r="BN122" s="45" t="s">
        <v>99</v>
      </c>
      <c r="BO122" s="45" t="s">
        <v>18</v>
      </c>
      <c r="BP122" s="45" t="s">
        <v>106</v>
      </c>
      <c r="BQ122" s="45" t="s">
        <v>153</v>
      </c>
      <c r="BR122" s="45" t="s">
        <v>122</v>
      </c>
      <c r="BS122" s="45" t="s">
        <v>20</v>
      </c>
      <c r="BT122" s="45" t="s">
        <v>51</v>
      </c>
      <c r="BU122" s="45" t="s">
        <v>152</v>
      </c>
      <c r="BV122" s="45" t="s">
        <v>67</v>
      </c>
      <c r="BW122" s="45" t="s">
        <v>84</v>
      </c>
      <c r="BX122" s="45" t="s">
        <v>145</v>
      </c>
      <c r="BY122" s="45" t="s">
        <v>18</v>
      </c>
      <c r="BZ122" s="45" t="s">
        <v>18</v>
      </c>
      <c r="CA122" s="45" t="s">
        <v>14</v>
      </c>
      <c r="CB122" s="45" t="s">
        <v>117</v>
      </c>
      <c r="CC122" s="45" t="s">
        <v>143</v>
      </c>
      <c r="CD122" s="45" t="s">
        <v>115</v>
      </c>
      <c r="CE122" s="45" t="s">
        <v>88</v>
      </c>
      <c r="CF122" s="45" t="s">
        <v>12</v>
      </c>
      <c r="CG122" s="45" t="s">
        <v>36</v>
      </c>
      <c r="CH122" s="45" t="s">
        <v>110</v>
      </c>
      <c r="CI122" s="45" t="s">
        <v>138</v>
      </c>
      <c r="CJ122" s="45" t="s">
        <v>110</v>
      </c>
      <c r="CK122" s="45" t="s">
        <v>20</v>
      </c>
      <c r="CL122" s="45" t="s">
        <v>122</v>
      </c>
      <c r="CM122" s="45" t="s">
        <v>131</v>
      </c>
      <c r="CN122" s="45" t="s">
        <v>143</v>
      </c>
      <c r="CO122" s="45" t="s">
        <v>77</v>
      </c>
      <c r="CP122" s="45" t="s">
        <v>26</v>
      </c>
      <c r="CQ122" s="45" t="s">
        <v>124</v>
      </c>
      <c r="CR122" s="45" t="s">
        <v>117</v>
      </c>
      <c r="CS122" s="45" t="s">
        <v>117</v>
      </c>
      <c r="CT122" s="45" t="s">
        <v>120</v>
      </c>
      <c r="CU122" s="45" t="s">
        <v>120</v>
      </c>
      <c r="CV122" s="45" t="s">
        <v>149</v>
      </c>
      <c r="CW122" s="45" t="s">
        <v>15</v>
      </c>
      <c r="CX122" s="45" t="s">
        <v>131</v>
      </c>
      <c r="CY122" s="45" t="s">
        <v>106</v>
      </c>
      <c r="CZ122" s="45" t="s">
        <v>20</v>
      </c>
      <c r="DA122" s="45" t="s">
        <v>20</v>
      </c>
      <c r="DB122" s="45" t="s">
        <v>115</v>
      </c>
      <c r="DC122" s="45" t="s">
        <v>115</v>
      </c>
      <c r="DD122" s="45" t="s">
        <v>153</v>
      </c>
      <c r="DE122" s="45" t="s">
        <v>105</v>
      </c>
      <c r="DF122" s="45" t="s">
        <v>20</v>
      </c>
      <c r="DG122" s="45" t="s">
        <v>50</v>
      </c>
      <c r="DH122" s="45" t="s">
        <v>82</v>
      </c>
      <c r="DI122" s="45" t="s">
        <v>105</v>
      </c>
      <c r="DJ122" s="45" t="s">
        <v>20</v>
      </c>
      <c r="DK122" s="45" t="s">
        <v>124</v>
      </c>
      <c r="DL122" s="45" t="s">
        <v>50</v>
      </c>
      <c r="DM122" s="45" t="s">
        <v>105</v>
      </c>
      <c r="DN122" s="45" t="s">
        <v>77</v>
      </c>
      <c r="DO122" s="45" t="s">
        <v>77</v>
      </c>
      <c r="DP122" s="45" t="s">
        <v>122</v>
      </c>
      <c r="DQ122" s="45" t="s">
        <v>39</v>
      </c>
      <c r="DR122" s="45" t="s">
        <v>73</v>
      </c>
      <c r="DS122" s="45" t="s">
        <v>15</v>
      </c>
      <c r="DT122" s="45" t="s">
        <v>20</v>
      </c>
      <c r="DU122" s="45" t="s">
        <v>14</v>
      </c>
      <c r="DV122" s="45" t="s">
        <v>105</v>
      </c>
      <c r="DW122" s="45" t="s">
        <v>105</v>
      </c>
      <c r="DX122" s="45" t="s">
        <v>39</v>
      </c>
      <c r="DY122" s="45" t="s">
        <v>39</v>
      </c>
      <c r="DZ122" s="45" t="s">
        <v>73</v>
      </c>
      <c r="EA122" s="45" t="s">
        <v>20</v>
      </c>
      <c r="EB122" s="45" t="s">
        <v>73</v>
      </c>
      <c r="EC122" s="45" t="s">
        <v>122</v>
      </c>
      <c r="ED122" s="45" t="s">
        <v>15</v>
      </c>
      <c r="EE122" s="45" t="s">
        <v>39</v>
      </c>
      <c r="EF122" s="45" t="s">
        <v>39</v>
      </c>
      <c r="EG122" s="45" t="s">
        <v>39</v>
      </c>
      <c r="EH122" s="45" t="s">
        <v>60</v>
      </c>
      <c r="EI122" s="45" t="s">
        <v>15</v>
      </c>
      <c r="EJ122" s="45" t="s">
        <v>39</v>
      </c>
    </row>
    <row r="123" customFormat="false" ht="15.75" hidden="false" customHeight="false" outlineLevel="0" collapsed="false">
      <c r="A123" s="249" t="n">
        <v>98</v>
      </c>
      <c r="B123" s="250" t="s">
        <v>15</v>
      </c>
      <c r="C123" s="45" t="s">
        <v>44</v>
      </c>
      <c r="D123" s="45" t="s">
        <v>36</v>
      </c>
      <c r="E123" s="45" t="s">
        <v>89</v>
      </c>
      <c r="F123" s="45" t="s">
        <v>13</v>
      </c>
      <c r="G123" s="45" t="s">
        <v>116</v>
      </c>
      <c r="H123" s="45" t="s">
        <v>120</v>
      </c>
      <c r="I123" s="45" t="s">
        <v>116</v>
      </c>
      <c r="J123" s="45" t="s">
        <v>84</v>
      </c>
      <c r="K123" s="45" t="s">
        <v>145</v>
      </c>
      <c r="L123" s="45" t="s">
        <v>142</v>
      </c>
      <c r="M123" s="45" t="s">
        <v>50</v>
      </c>
      <c r="N123" s="45" t="s">
        <v>58</v>
      </c>
      <c r="O123" s="45" t="s">
        <v>142</v>
      </c>
      <c r="P123" s="45" t="s">
        <v>84</v>
      </c>
      <c r="Q123" s="45" t="s">
        <v>84</v>
      </c>
      <c r="R123" s="45" t="s">
        <v>36</v>
      </c>
      <c r="S123" s="45" t="s">
        <v>58</v>
      </c>
      <c r="T123" s="45" t="s">
        <v>44</v>
      </c>
      <c r="U123" s="45" t="s">
        <v>58</v>
      </c>
      <c r="V123" s="45" t="s">
        <v>36</v>
      </c>
      <c r="W123" s="45" t="s">
        <v>143</v>
      </c>
      <c r="X123" s="45" t="s">
        <v>26</v>
      </c>
      <c r="Y123" s="45" t="s">
        <v>145</v>
      </c>
      <c r="Z123" s="45" t="s">
        <v>143</v>
      </c>
      <c r="AA123" s="45" t="s">
        <v>25</v>
      </c>
      <c r="AB123" s="45" t="s">
        <v>44</v>
      </c>
      <c r="AC123" s="45" t="s">
        <v>13</v>
      </c>
      <c r="AD123" s="45" t="s">
        <v>67</v>
      </c>
      <c r="AE123" s="45" t="s">
        <v>77</v>
      </c>
      <c r="AF123" s="45" t="s">
        <v>142</v>
      </c>
      <c r="AG123" s="45" t="s">
        <v>25</v>
      </c>
      <c r="AH123" s="45" t="s">
        <v>51</v>
      </c>
      <c r="AI123" s="45" t="s">
        <v>120</v>
      </c>
      <c r="AJ123" s="45" t="s">
        <v>26</v>
      </c>
      <c r="AK123" s="45" t="s">
        <v>26</v>
      </c>
      <c r="AL123" s="45" t="s">
        <v>13</v>
      </c>
      <c r="AM123" s="45" t="s">
        <v>13</v>
      </c>
      <c r="AN123" s="45" t="s">
        <v>122</v>
      </c>
      <c r="AO123" s="45" t="s">
        <v>122</v>
      </c>
      <c r="AP123" s="45" t="s">
        <v>143</v>
      </c>
      <c r="AQ123" s="45" t="s">
        <v>51</v>
      </c>
      <c r="AR123" s="45" t="s">
        <v>115</v>
      </c>
      <c r="AS123" s="45" t="s">
        <v>51</v>
      </c>
      <c r="AT123" s="45" t="s">
        <v>115</v>
      </c>
      <c r="AU123" s="45" t="s">
        <v>122</v>
      </c>
      <c r="AV123" s="45" t="s">
        <v>120</v>
      </c>
      <c r="AW123" s="45" t="s">
        <v>117</v>
      </c>
      <c r="AX123" s="45" t="s">
        <v>117</v>
      </c>
      <c r="AY123" s="45" t="s">
        <v>124</v>
      </c>
      <c r="AZ123" s="45" t="s">
        <v>88</v>
      </c>
      <c r="BA123" s="45" t="s">
        <v>115</v>
      </c>
      <c r="BB123" s="45" t="s">
        <v>77</v>
      </c>
      <c r="BC123" s="45" t="s">
        <v>26</v>
      </c>
      <c r="BD123" s="45" t="s">
        <v>26</v>
      </c>
      <c r="BE123" s="45" t="s">
        <v>51</v>
      </c>
      <c r="BF123" s="45" t="s">
        <v>77</v>
      </c>
      <c r="BG123" s="45" t="s">
        <v>77</v>
      </c>
      <c r="BH123" s="45" t="s">
        <v>12</v>
      </c>
      <c r="BI123" s="45" t="s">
        <v>77</v>
      </c>
      <c r="BJ123" s="45" t="s">
        <v>77</v>
      </c>
      <c r="BK123" s="45" t="s">
        <v>20</v>
      </c>
      <c r="BL123" s="45" t="s">
        <v>50</v>
      </c>
      <c r="BM123" s="45" t="s">
        <v>120</v>
      </c>
      <c r="BN123" s="45" t="s">
        <v>122</v>
      </c>
      <c r="BO123" s="45" t="s">
        <v>153</v>
      </c>
      <c r="BP123" s="45" t="s">
        <v>110</v>
      </c>
      <c r="BQ123" s="45" t="s">
        <v>131</v>
      </c>
      <c r="BR123" s="45" t="s">
        <v>105</v>
      </c>
      <c r="BS123" s="45" t="s">
        <v>73</v>
      </c>
      <c r="BT123" s="45" t="s">
        <v>115</v>
      </c>
      <c r="BU123" s="45" t="s">
        <v>131</v>
      </c>
      <c r="BV123" s="45" t="s">
        <v>130</v>
      </c>
      <c r="BW123" s="45" t="s">
        <v>143</v>
      </c>
      <c r="BX123" s="45" t="s">
        <v>26</v>
      </c>
      <c r="BY123" s="45" t="s">
        <v>153</v>
      </c>
      <c r="BZ123" s="45" t="s">
        <v>153</v>
      </c>
      <c r="CA123" s="45" t="s">
        <v>117</v>
      </c>
      <c r="CB123" s="45" t="s">
        <v>119</v>
      </c>
      <c r="CC123" s="45" t="s">
        <v>145</v>
      </c>
      <c r="CD123" s="45" t="s">
        <v>18</v>
      </c>
      <c r="CE123" s="45" t="s">
        <v>131</v>
      </c>
      <c r="CF123" s="45" t="s">
        <v>51</v>
      </c>
      <c r="CG123" s="45" t="s">
        <v>116</v>
      </c>
      <c r="CH123" s="45" t="s">
        <v>138</v>
      </c>
      <c r="CI123" s="45" t="s">
        <v>14</v>
      </c>
      <c r="CJ123" s="45" t="s">
        <v>138</v>
      </c>
      <c r="CK123" s="45" t="s">
        <v>73</v>
      </c>
      <c r="CL123" s="45" t="s">
        <v>105</v>
      </c>
      <c r="CM123" s="45" t="s">
        <v>110</v>
      </c>
      <c r="CN123" s="45" t="s">
        <v>145</v>
      </c>
      <c r="CO123" s="45" t="s">
        <v>12</v>
      </c>
      <c r="CP123" s="45" t="s">
        <v>77</v>
      </c>
      <c r="CQ123" s="45" t="s">
        <v>99</v>
      </c>
      <c r="CR123" s="45" t="s">
        <v>149</v>
      </c>
      <c r="CS123" s="45" t="s">
        <v>149</v>
      </c>
      <c r="CT123" s="45" t="s">
        <v>25</v>
      </c>
      <c r="CU123" s="45" t="s">
        <v>25</v>
      </c>
      <c r="CV123" s="45" t="s">
        <v>124</v>
      </c>
      <c r="CW123" s="45" t="s">
        <v>39</v>
      </c>
      <c r="CX123" s="45" t="s">
        <v>106</v>
      </c>
      <c r="CY123" s="45" t="s">
        <v>138</v>
      </c>
      <c r="CZ123" s="45" t="s">
        <v>20</v>
      </c>
      <c r="DA123" s="45" t="s">
        <v>20</v>
      </c>
      <c r="DB123" s="45" t="s">
        <v>18</v>
      </c>
      <c r="DC123" s="45" t="s">
        <v>18</v>
      </c>
      <c r="DD123" s="45" t="s">
        <v>152</v>
      </c>
      <c r="DE123" s="45" t="s">
        <v>20</v>
      </c>
      <c r="DF123" s="45" t="s">
        <v>73</v>
      </c>
      <c r="DG123" s="45" t="s">
        <v>82</v>
      </c>
      <c r="DH123" s="45" t="s">
        <v>99</v>
      </c>
      <c r="DI123" s="45" t="s">
        <v>20</v>
      </c>
      <c r="DJ123" s="45" t="s">
        <v>20</v>
      </c>
      <c r="DK123" s="45" t="s">
        <v>82</v>
      </c>
      <c r="DL123" s="45" t="s">
        <v>82</v>
      </c>
      <c r="DM123" s="45" t="s">
        <v>105</v>
      </c>
      <c r="DN123" s="45" t="s">
        <v>12</v>
      </c>
      <c r="DO123" s="45" t="s">
        <v>12</v>
      </c>
      <c r="DP123" s="45" t="s">
        <v>105</v>
      </c>
      <c r="DQ123" s="45" t="s">
        <v>135</v>
      </c>
      <c r="DR123" s="45" t="s">
        <v>15</v>
      </c>
      <c r="DS123" s="45" t="s">
        <v>15</v>
      </c>
      <c r="DT123" s="45" t="s">
        <v>20</v>
      </c>
      <c r="DU123" s="45" t="s">
        <v>117</v>
      </c>
      <c r="DV123" s="45" t="s">
        <v>20</v>
      </c>
      <c r="DW123" s="45" t="s">
        <v>20</v>
      </c>
      <c r="DX123" s="45" t="s">
        <v>39</v>
      </c>
      <c r="DY123" s="45" t="s">
        <v>135</v>
      </c>
      <c r="DZ123" s="45" t="s">
        <v>73</v>
      </c>
      <c r="EA123" s="45" t="s">
        <v>73</v>
      </c>
      <c r="EB123" s="45" t="s">
        <v>73</v>
      </c>
      <c r="EC123" s="45" t="s">
        <v>105</v>
      </c>
      <c r="ED123" s="45" t="s">
        <v>15</v>
      </c>
      <c r="EE123" s="45" t="s">
        <v>39</v>
      </c>
      <c r="EF123" s="45" t="s">
        <v>39</v>
      </c>
      <c r="EG123" s="45" t="s">
        <v>39</v>
      </c>
      <c r="EH123" s="45" t="s">
        <v>39</v>
      </c>
      <c r="EI123" s="45" t="s">
        <v>39</v>
      </c>
      <c r="EJ123" s="45" t="s">
        <v>39</v>
      </c>
    </row>
    <row r="124" customFormat="false" ht="15.75" hidden="false" customHeight="false" outlineLevel="0" collapsed="false">
      <c r="A124" s="249" t="n">
        <v>99</v>
      </c>
      <c r="B124" s="250" t="s">
        <v>105</v>
      </c>
      <c r="C124" s="45" t="s">
        <v>29</v>
      </c>
      <c r="D124" s="45" t="s">
        <v>29</v>
      </c>
      <c r="E124" s="45" t="s">
        <v>121</v>
      </c>
      <c r="F124" s="45" t="s">
        <v>43</v>
      </c>
      <c r="G124" s="45" t="s">
        <v>89</v>
      </c>
      <c r="H124" s="45" t="s">
        <v>13</v>
      </c>
      <c r="I124" s="45" t="s">
        <v>89</v>
      </c>
      <c r="J124" s="45" t="s">
        <v>142</v>
      </c>
      <c r="K124" s="45" t="s">
        <v>25</v>
      </c>
      <c r="L124" s="45" t="s">
        <v>36</v>
      </c>
      <c r="M124" s="45" t="s">
        <v>14</v>
      </c>
      <c r="N124" s="45" t="s">
        <v>44</v>
      </c>
      <c r="O124" s="45" t="s">
        <v>44</v>
      </c>
      <c r="P124" s="45" t="s">
        <v>142</v>
      </c>
      <c r="Q124" s="45" t="s">
        <v>142</v>
      </c>
      <c r="R124" s="45" t="s">
        <v>43</v>
      </c>
      <c r="S124" s="45" t="s">
        <v>89</v>
      </c>
      <c r="T124" s="45" t="s">
        <v>121</v>
      </c>
      <c r="U124" s="45" t="s">
        <v>44</v>
      </c>
      <c r="V124" s="45" t="s">
        <v>29</v>
      </c>
      <c r="W124" s="45" t="s">
        <v>142</v>
      </c>
      <c r="X124" s="45" t="s">
        <v>84</v>
      </c>
      <c r="Y124" s="45" t="s">
        <v>25</v>
      </c>
      <c r="Z124" s="45" t="s">
        <v>120</v>
      </c>
      <c r="AA124" s="45" t="s">
        <v>116</v>
      </c>
      <c r="AB124" s="45" t="s">
        <v>34</v>
      </c>
      <c r="AC124" s="45" t="s">
        <v>43</v>
      </c>
      <c r="AD124" s="45" t="s">
        <v>12</v>
      </c>
      <c r="AE124" s="45" t="s">
        <v>145</v>
      </c>
      <c r="AF124" s="45" t="s">
        <v>36</v>
      </c>
      <c r="AG124" s="45" t="s">
        <v>58</v>
      </c>
      <c r="AH124" s="45" t="s">
        <v>77</v>
      </c>
      <c r="AI124" s="45" t="s">
        <v>13</v>
      </c>
      <c r="AJ124" s="45" t="s">
        <v>143</v>
      </c>
      <c r="AK124" s="45" t="s">
        <v>143</v>
      </c>
      <c r="AL124" s="45" t="s">
        <v>43</v>
      </c>
      <c r="AM124" s="45" t="s">
        <v>43</v>
      </c>
      <c r="AN124" s="45" t="s">
        <v>149</v>
      </c>
      <c r="AO124" s="45" t="s">
        <v>124</v>
      </c>
      <c r="AP124" s="45" t="s">
        <v>120</v>
      </c>
      <c r="AQ124" s="45" t="s">
        <v>77</v>
      </c>
      <c r="AR124" s="45" t="s">
        <v>12</v>
      </c>
      <c r="AS124" s="45" t="s">
        <v>77</v>
      </c>
      <c r="AT124" s="45" t="s">
        <v>12</v>
      </c>
      <c r="AU124" s="45" t="s">
        <v>149</v>
      </c>
      <c r="AV124" s="45" t="s">
        <v>13</v>
      </c>
      <c r="AW124" s="45" t="s">
        <v>110</v>
      </c>
      <c r="AX124" s="45" t="s">
        <v>110</v>
      </c>
      <c r="AY124" s="45" t="s">
        <v>14</v>
      </c>
      <c r="AZ124" s="45" t="s">
        <v>115</v>
      </c>
      <c r="BA124" s="45" t="s">
        <v>12</v>
      </c>
      <c r="BB124" s="45" t="s">
        <v>143</v>
      </c>
      <c r="BC124" s="45" t="s">
        <v>143</v>
      </c>
      <c r="BD124" s="45" t="s">
        <v>84</v>
      </c>
      <c r="BE124" s="45" t="s">
        <v>77</v>
      </c>
      <c r="BF124" s="45" t="s">
        <v>26</v>
      </c>
      <c r="BG124" s="45" t="s">
        <v>26</v>
      </c>
      <c r="BH124" s="45" t="s">
        <v>26</v>
      </c>
      <c r="BI124" s="45" t="s">
        <v>145</v>
      </c>
      <c r="BJ124" s="45" t="s">
        <v>145</v>
      </c>
      <c r="BK124" s="45" t="s">
        <v>99</v>
      </c>
      <c r="BL124" s="45" t="s">
        <v>14</v>
      </c>
      <c r="BM124" s="45" t="s">
        <v>116</v>
      </c>
      <c r="BN124" s="45" t="s">
        <v>50</v>
      </c>
      <c r="BO124" s="45" t="s">
        <v>51</v>
      </c>
      <c r="BP124" s="45" t="s">
        <v>88</v>
      </c>
      <c r="BQ124" s="45" t="s">
        <v>67</v>
      </c>
      <c r="BR124" s="45" t="s">
        <v>82</v>
      </c>
      <c r="BS124" s="45" t="s">
        <v>105</v>
      </c>
      <c r="BT124" s="45" t="s">
        <v>12</v>
      </c>
      <c r="BU124" s="45" t="s">
        <v>18</v>
      </c>
      <c r="BV124" s="45" t="s">
        <v>51</v>
      </c>
      <c r="BW124" s="45" t="s">
        <v>120</v>
      </c>
      <c r="BX124" s="45" t="s">
        <v>143</v>
      </c>
      <c r="BY124" s="45" t="s">
        <v>51</v>
      </c>
      <c r="BZ124" s="45" t="s">
        <v>51</v>
      </c>
      <c r="CA124" s="45" t="s">
        <v>138</v>
      </c>
      <c r="CB124" s="45" t="s">
        <v>138</v>
      </c>
      <c r="CC124" s="45" t="s">
        <v>25</v>
      </c>
      <c r="CD124" s="45" t="s">
        <v>133</v>
      </c>
      <c r="CE124" s="45" t="s">
        <v>18</v>
      </c>
      <c r="CF124" s="45" t="s">
        <v>77</v>
      </c>
      <c r="CG124" s="45" t="s">
        <v>89</v>
      </c>
      <c r="CH124" s="45" t="s">
        <v>152</v>
      </c>
      <c r="CI124" s="45" t="s">
        <v>131</v>
      </c>
      <c r="CJ124" s="45" t="s">
        <v>131</v>
      </c>
      <c r="CK124" s="45" t="s">
        <v>20</v>
      </c>
      <c r="CL124" s="45" t="s">
        <v>124</v>
      </c>
      <c r="CM124" s="45" t="s">
        <v>153</v>
      </c>
      <c r="CN124" s="45" t="s">
        <v>25</v>
      </c>
      <c r="CO124" s="45" t="s">
        <v>26</v>
      </c>
      <c r="CP124" s="45" t="s">
        <v>145</v>
      </c>
      <c r="CQ124" s="45" t="s">
        <v>117</v>
      </c>
      <c r="CR124" s="45" t="s">
        <v>138</v>
      </c>
      <c r="CS124" s="45" t="s">
        <v>138</v>
      </c>
      <c r="CT124" s="45" t="s">
        <v>58</v>
      </c>
      <c r="CU124" s="45" t="s">
        <v>58</v>
      </c>
      <c r="CV124" s="45" t="s">
        <v>14</v>
      </c>
      <c r="CW124" s="45" t="s">
        <v>73</v>
      </c>
      <c r="CX124" s="45" t="s">
        <v>153</v>
      </c>
      <c r="CY124" s="45" t="s">
        <v>152</v>
      </c>
      <c r="CZ124" s="45" t="s">
        <v>122</v>
      </c>
      <c r="DA124" s="45" t="s">
        <v>105</v>
      </c>
      <c r="DB124" s="45" t="s">
        <v>133</v>
      </c>
      <c r="DC124" s="45" t="s">
        <v>51</v>
      </c>
      <c r="DD124" s="45" t="s">
        <v>115</v>
      </c>
      <c r="DE124" s="45" t="s">
        <v>122</v>
      </c>
      <c r="DF124" s="45" t="s">
        <v>105</v>
      </c>
      <c r="DG124" s="45" t="s">
        <v>117</v>
      </c>
      <c r="DH124" s="45" t="s">
        <v>119</v>
      </c>
      <c r="DI124" s="45" t="s">
        <v>122</v>
      </c>
      <c r="DJ124" s="45" t="s">
        <v>122</v>
      </c>
      <c r="DK124" s="45" t="s">
        <v>117</v>
      </c>
      <c r="DL124" s="45" t="s">
        <v>117</v>
      </c>
      <c r="DM124" s="45" t="s">
        <v>99</v>
      </c>
      <c r="DN124" s="45" t="s">
        <v>26</v>
      </c>
      <c r="DO124" s="45" t="s">
        <v>26</v>
      </c>
      <c r="DP124" s="45" t="s">
        <v>82</v>
      </c>
      <c r="DQ124" s="45" t="s">
        <v>39</v>
      </c>
      <c r="DR124" s="45" t="s">
        <v>20</v>
      </c>
      <c r="DS124" s="45" t="s">
        <v>20</v>
      </c>
      <c r="DT124" s="45" t="s">
        <v>105</v>
      </c>
      <c r="DU124" s="45" t="s">
        <v>110</v>
      </c>
      <c r="DV124" s="45" t="s">
        <v>122</v>
      </c>
      <c r="DW124" s="45" t="s">
        <v>122</v>
      </c>
      <c r="DX124" s="45" t="s">
        <v>15</v>
      </c>
      <c r="DY124" s="45" t="s">
        <v>15</v>
      </c>
      <c r="DZ124" s="45" t="s">
        <v>20</v>
      </c>
      <c r="EA124" s="45" t="s">
        <v>98</v>
      </c>
      <c r="EB124" s="45" t="s">
        <v>20</v>
      </c>
      <c r="EC124" s="45" t="s">
        <v>82</v>
      </c>
      <c r="ED124" s="45" t="s">
        <v>73</v>
      </c>
      <c r="EE124" s="45" t="s">
        <v>15</v>
      </c>
      <c r="EF124" s="45" t="s">
        <v>15</v>
      </c>
      <c r="EG124" s="45" t="s">
        <v>15</v>
      </c>
      <c r="EH124" s="45" t="s">
        <v>73</v>
      </c>
      <c r="EI124" s="45" t="s">
        <v>73</v>
      </c>
      <c r="EJ124" s="45" t="s">
        <v>73</v>
      </c>
    </row>
    <row r="125" customFormat="false" ht="15.75" hidden="false" customHeight="false" outlineLevel="0" collapsed="false">
      <c r="A125" s="249" t="n">
        <v>100</v>
      </c>
      <c r="B125" s="250" t="s">
        <v>12</v>
      </c>
      <c r="C125" s="45" t="s">
        <v>126</v>
      </c>
      <c r="D125" s="45" t="s">
        <v>126</v>
      </c>
      <c r="E125" s="45" t="s">
        <v>63</v>
      </c>
      <c r="F125" s="45" t="s">
        <v>54</v>
      </c>
      <c r="G125" s="45" t="s">
        <v>55</v>
      </c>
      <c r="H125" s="45" t="s">
        <v>94</v>
      </c>
      <c r="I125" s="45" t="s">
        <v>147</v>
      </c>
      <c r="J125" s="45" t="s">
        <v>108</v>
      </c>
      <c r="K125" s="45" t="s">
        <v>29</v>
      </c>
      <c r="L125" s="45" t="s">
        <v>94</v>
      </c>
      <c r="M125" s="45" t="s">
        <v>51</v>
      </c>
      <c r="N125" s="45" t="s">
        <v>55</v>
      </c>
      <c r="O125" s="45" t="s">
        <v>94</v>
      </c>
      <c r="P125" s="45" t="s">
        <v>108</v>
      </c>
      <c r="Q125" s="45" t="s">
        <v>108</v>
      </c>
      <c r="R125" s="45" t="s">
        <v>54</v>
      </c>
      <c r="S125" s="45" t="s">
        <v>55</v>
      </c>
      <c r="T125" s="45" t="s">
        <v>63</v>
      </c>
      <c r="U125" s="45" t="s">
        <v>55</v>
      </c>
      <c r="V125" s="45" t="s">
        <v>54</v>
      </c>
      <c r="W125" s="45" t="s">
        <v>47</v>
      </c>
      <c r="X125" s="45" t="s">
        <v>43</v>
      </c>
      <c r="Y125" s="45" t="s">
        <v>121</v>
      </c>
      <c r="Z125" s="45" t="s">
        <v>47</v>
      </c>
      <c r="AA125" s="45" t="s">
        <v>31</v>
      </c>
      <c r="AB125" s="45" t="s">
        <v>63</v>
      </c>
      <c r="AC125" s="45" t="s">
        <v>54</v>
      </c>
      <c r="AD125" s="45" t="s">
        <v>25</v>
      </c>
      <c r="AE125" s="45" t="s">
        <v>44</v>
      </c>
      <c r="AF125" s="45" t="s">
        <v>94</v>
      </c>
      <c r="AG125" s="45" t="s">
        <v>48</v>
      </c>
      <c r="AH125" s="45" t="s">
        <v>120</v>
      </c>
      <c r="AI125" s="45" t="s">
        <v>94</v>
      </c>
      <c r="AJ125" s="45" t="s">
        <v>89</v>
      </c>
      <c r="AK125" s="45" t="s">
        <v>89</v>
      </c>
      <c r="AL125" s="45" t="s">
        <v>147</v>
      </c>
      <c r="AM125" s="45" t="s">
        <v>147</v>
      </c>
      <c r="AN125" s="45" t="s">
        <v>18</v>
      </c>
      <c r="AO125" s="45" t="s">
        <v>153</v>
      </c>
      <c r="AP125" s="45" t="s">
        <v>121</v>
      </c>
      <c r="AQ125" s="45" t="s">
        <v>142</v>
      </c>
      <c r="AR125" s="45" t="s">
        <v>120</v>
      </c>
      <c r="AS125" s="45" t="s">
        <v>142</v>
      </c>
      <c r="AT125" s="45" t="s">
        <v>120</v>
      </c>
      <c r="AU125" s="45" t="s">
        <v>18</v>
      </c>
      <c r="AV125" s="45" t="s">
        <v>95</v>
      </c>
      <c r="AW125" s="45" t="s">
        <v>12</v>
      </c>
      <c r="AX125" s="45" t="s">
        <v>12</v>
      </c>
      <c r="AY125" s="45" t="s">
        <v>51</v>
      </c>
      <c r="AZ125" s="45" t="s">
        <v>143</v>
      </c>
      <c r="BA125" s="45" t="s">
        <v>120</v>
      </c>
      <c r="BB125" s="45" t="s">
        <v>89</v>
      </c>
      <c r="BC125" s="45" t="s">
        <v>43</v>
      </c>
      <c r="BD125" s="45" t="s">
        <v>43</v>
      </c>
      <c r="BE125" s="45" t="s">
        <v>58</v>
      </c>
      <c r="BF125" s="45" t="s">
        <v>36</v>
      </c>
      <c r="BG125" s="45" t="s">
        <v>13</v>
      </c>
      <c r="BH125" s="45" t="s">
        <v>13</v>
      </c>
      <c r="BI125" s="45" t="s">
        <v>36</v>
      </c>
      <c r="BJ125" s="45" t="s">
        <v>44</v>
      </c>
      <c r="BK125" s="45" t="s">
        <v>131</v>
      </c>
      <c r="BL125" s="45" t="s">
        <v>51</v>
      </c>
      <c r="BM125" s="45" t="s">
        <v>31</v>
      </c>
      <c r="BN125" s="45" t="s">
        <v>37</v>
      </c>
      <c r="BO125" s="45" t="s">
        <v>143</v>
      </c>
      <c r="BP125" s="45" t="s">
        <v>26</v>
      </c>
      <c r="BQ125" s="45" t="s">
        <v>145</v>
      </c>
      <c r="BR125" s="45" t="s">
        <v>152</v>
      </c>
      <c r="BS125" s="45" t="s">
        <v>138</v>
      </c>
      <c r="BT125" s="45" t="s">
        <v>120</v>
      </c>
      <c r="BU125" s="45" t="s">
        <v>145</v>
      </c>
      <c r="BV125" s="45" t="s">
        <v>84</v>
      </c>
      <c r="BW125" s="45" t="s">
        <v>104</v>
      </c>
      <c r="BX125" s="45" t="s">
        <v>43</v>
      </c>
      <c r="BY125" s="45" t="s">
        <v>84</v>
      </c>
      <c r="BZ125" s="45" t="s">
        <v>143</v>
      </c>
      <c r="CA125" s="45" t="s">
        <v>12</v>
      </c>
      <c r="CB125" s="45" t="s">
        <v>133</v>
      </c>
      <c r="CC125" s="45" t="s">
        <v>29</v>
      </c>
      <c r="CD125" s="45" t="s">
        <v>25</v>
      </c>
      <c r="CE125" s="45" t="s">
        <v>145</v>
      </c>
      <c r="CF125" s="45" t="s">
        <v>142</v>
      </c>
      <c r="CG125" s="45" t="s">
        <v>147</v>
      </c>
      <c r="CH125" s="45" t="s">
        <v>53</v>
      </c>
      <c r="CI125" s="45" t="s">
        <v>77</v>
      </c>
      <c r="CJ125" s="45" t="s">
        <v>77</v>
      </c>
      <c r="CK125" s="45" t="s">
        <v>138</v>
      </c>
      <c r="CL125" s="45" t="s">
        <v>153</v>
      </c>
      <c r="CM125" s="45" t="s">
        <v>26</v>
      </c>
      <c r="CN125" s="45" t="s">
        <v>29</v>
      </c>
      <c r="CO125" s="45" t="s">
        <v>116</v>
      </c>
      <c r="CP125" s="45" t="s">
        <v>44</v>
      </c>
      <c r="CQ125" s="45" t="s">
        <v>67</v>
      </c>
      <c r="CR125" s="45" t="s">
        <v>133</v>
      </c>
      <c r="CS125" s="45" t="s">
        <v>51</v>
      </c>
      <c r="CT125" s="45" t="s">
        <v>48</v>
      </c>
      <c r="CU125" s="45" t="s">
        <v>48</v>
      </c>
      <c r="CV125" s="45" t="s">
        <v>51</v>
      </c>
      <c r="CW125" s="45" t="s">
        <v>119</v>
      </c>
      <c r="CX125" s="45" t="s">
        <v>26</v>
      </c>
      <c r="CY125" s="45" t="s">
        <v>26</v>
      </c>
      <c r="CZ125" s="45" t="s">
        <v>110</v>
      </c>
      <c r="DA125" s="45" t="s">
        <v>110</v>
      </c>
      <c r="DB125" s="45" t="s">
        <v>25</v>
      </c>
      <c r="DC125" s="45" t="s">
        <v>25</v>
      </c>
      <c r="DD125" s="45" t="s">
        <v>143</v>
      </c>
      <c r="DE125" s="45" t="s">
        <v>131</v>
      </c>
      <c r="DF125" s="45" t="s">
        <v>138</v>
      </c>
      <c r="DG125" s="45" t="s">
        <v>115</v>
      </c>
      <c r="DH125" s="45" t="s">
        <v>18</v>
      </c>
      <c r="DI125" s="45" t="s">
        <v>106</v>
      </c>
      <c r="DJ125" s="45" t="s">
        <v>106</v>
      </c>
      <c r="DK125" s="45" t="s">
        <v>115</v>
      </c>
      <c r="DL125" s="45" t="s">
        <v>115</v>
      </c>
      <c r="DM125" s="45" t="s">
        <v>131</v>
      </c>
      <c r="DN125" s="45" t="s">
        <v>116</v>
      </c>
      <c r="DO125" s="45" t="s">
        <v>13</v>
      </c>
      <c r="DP125" s="45" t="s">
        <v>152</v>
      </c>
      <c r="DQ125" s="45" t="s">
        <v>122</v>
      </c>
      <c r="DR125" s="45" t="s">
        <v>14</v>
      </c>
      <c r="DS125" s="45" t="s">
        <v>117</v>
      </c>
      <c r="DT125" s="45" t="s">
        <v>110</v>
      </c>
      <c r="DU125" s="45" t="s">
        <v>12</v>
      </c>
      <c r="DV125" s="45" t="s">
        <v>131</v>
      </c>
      <c r="DW125" s="45" t="s">
        <v>131</v>
      </c>
      <c r="DX125" s="45" t="s">
        <v>82</v>
      </c>
      <c r="DY125" s="45" t="s">
        <v>99</v>
      </c>
      <c r="DZ125" s="45" t="s">
        <v>14</v>
      </c>
      <c r="EA125" s="45" t="s">
        <v>138</v>
      </c>
      <c r="EB125" s="45" t="s">
        <v>14</v>
      </c>
      <c r="EC125" s="45" t="s">
        <v>88</v>
      </c>
      <c r="ED125" s="45" t="s">
        <v>117</v>
      </c>
      <c r="EE125" s="45" t="s">
        <v>82</v>
      </c>
      <c r="EF125" s="45" t="s">
        <v>124</v>
      </c>
      <c r="EG125" s="45" t="s">
        <v>124</v>
      </c>
      <c r="EH125" s="45" t="s">
        <v>149</v>
      </c>
      <c r="EI125" s="45" t="s">
        <v>50</v>
      </c>
      <c r="EJ125" s="45" t="s">
        <v>50</v>
      </c>
    </row>
    <row r="126" customFormat="false" ht="15.75" hidden="false" customHeight="false" outlineLevel="0" collapsed="false">
      <c r="A126" s="249" t="n">
        <v>101</v>
      </c>
      <c r="B126" s="250" t="s">
        <v>82</v>
      </c>
      <c r="C126" s="45" t="s">
        <v>104</v>
      </c>
      <c r="D126" s="45" t="s">
        <v>104</v>
      </c>
      <c r="E126" s="45" t="s">
        <v>108</v>
      </c>
      <c r="F126" s="45" t="s">
        <v>34</v>
      </c>
      <c r="G126" s="45" t="s">
        <v>43</v>
      </c>
      <c r="H126" s="45" t="s">
        <v>44</v>
      </c>
      <c r="I126" s="45" t="s">
        <v>29</v>
      </c>
      <c r="J126" s="45" t="s">
        <v>116</v>
      </c>
      <c r="K126" s="45" t="s">
        <v>120</v>
      </c>
      <c r="L126" s="45" t="s">
        <v>89</v>
      </c>
      <c r="M126" s="45" t="s">
        <v>110</v>
      </c>
      <c r="N126" s="45" t="s">
        <v>43</v>
      </c>
      <c r="O126" s="45" t="s">
        <v>89</v>
      </c>
      <c r="P126" s="45" t="s">
        <v>116</v>
      </c>
      <c r="Q126" s="45" t="s">
        <v>116</v>
      </c>
      <c r="R126" s="45" t="s">
        <v>121</v>
      </c>
      <c r="S126" s="45" t="s">
        <v>43</v>
      </c>
      <c r="T126" s="45" t="s">
        <v>47</v>
      </c>
      <c r="U126" s="45" t="s">
        <v>43</v>
      </c>
      <c r="V126" s="45" t="s">
        <v>121</v>
      </c>
      <c r="W126" s="45" t="s">
        <v>58</v>
      </c>
      <c r="X126" s="45" t="s">
        <v>25</v>
      </c>
      <c r="Y126" s="45" t="s">
        <v>142</v>
      </c>
      <c r="Z126" s="45" t="s">
        <v>58</v>
      </c>
      <c r="AA126" s="45" t="s">
        <v>36</v>
      </c>
      <c r="AB126" s="45" t="s">
        <v>47</v>
      </c>
      <c r="AC126" s="45" t="s">
        <v>121</v>
      </c>
      <c r="AD126" s="45" t="s">
        <v>77</v>
      </c>
      <c r="AE126" s="45" t="s">
        <v>143</v>
      </c>
      <c r="AF126" s="45" t="s">
        <v>89</v>
      </c>
      <c r="AG126" s="45" t="s">
        <v>13</v>
      </c>
      <c r="AH126" s="45" t="s">
        <v>77</v>
      </c>
      <c r="AI126" s="45" t="s">
        <v>44</v>
      </c>
      <c r="AJ126" s="45" t="s">
        <v>84</v>
      </c>
      <c r="AK126" s="45" t="s">
        <v>25</v>
      </c>
      <c r="AL126" s="45" t="s">
        <v>29</v>
      </c>
      <c r="AM126" s="45" t="s">
        <v>34</v>
      </c>
      <c r="AN126" s="45" t="s">
        <v>117</v>
      </c>
      <c r="AO126" s="45" t="s">
        <v>119</v>
      </c>
      <c r="AP126" s="45" t="s">
        <v>142</v>
      </c>
      <c r="AQ126" s="45" t="s">
        <v>26</v>
      </c>
      <c r="AR126" s="45" t="s">
        <v>77</v>
      </c>
      <c r="AS126" s="45" t="s">
        <v>77</v>
      </c>
      <c r="AT126" s="45" t="s">
        <v>77</v>
      </c>
      <c r="AU126" s="45" t="s">
        <v>117</v>
      </c>
      <c r="AV126" s="45" t="s">
        <v>44</v>
      </c>
      <c r="AW126" s="45" t="s">
        <v>131</v>
      </c>
      <c r="AX126" s="45" t="s">
        <v>131</v>
      </c>
      <c r="AY126" s="45" t="s">
        <v>138</v>
      </c>
      <c r="AZ126" s="45" t="s">
        <v>51</v>
      </c>
      <c r="BA126" s="45" t="s">
        <v>77</v>
      </c>
      <c r="BB126" s="45" t="s">
        <v>84</v>
      </c>
      <c r="BC126" s="45" t="s">
        <v>25</v>
      </c>
      <c r="BD126" s="45" t="s">
        <v>120</v>
      </c>
      <c r="BE126" s="45" t="s">
        <v>26</v>
      </c>
      <c r="BF126" s="45" t="s">
        <v>143</v>
      </c>
      <c r="BG126" s="45" t="s">
        <v>145</v>
      </c>
      <c r="BH126" s="45" t="s">
        <v>145</v>
      </c>
      <c r="BI126" s="45" t="s">
        <v>143</v>
      </c>
      <c r="BJ126" s="45" t="s">
        <v>143</v>
      </c>
      <c r="BK126" s="45" t="s">
        <v>124</v>
      </c>
      <c r="BL126" s="45" t="s">
        <v>138</v>
      </c>
      <c r="BM126" s="45" t="s">
        <v>36</v>
      </c>
      <c r="BN126" s="45" t="s">
        <v>117</v>
      </c>
      <c r="BO126" s="45" t="s">
        <v>133</v>
      </c>
      <c r="BP126" s="45" t="s">
        <v>18</v>
      </c>
      <c r="BQ126" s="45" t="s">
        <v>51</v>
      </c>
      <c r="BR126" s="45" t="s">
        <v>50</v>
      </c>
      <c r="BS126" s="45" t="s">
        <v>122</v>
      </c>
      <c r="BT126" s="45" t="s">
        <v>77</v>
      </c>
      <c r="BU126" s="45" t="s">
        <v>115</v>
      </c>
      <c r="BV126" s="45" t="s">
        <v>12</v>
      </c>
      <c r="BW126" s="45" t="s">
        <v>58</v>
      </c>
      <c r="BX126" s="45" t="s">
        <v>25</v>
      </c>
      <c r="BY126" s="45" t="s">
        <v>12</v>
      </c>
      <c r="BZ126" s="45" t="s">
        <v>133</v>
      </c>
      <c r="CA126" s="45" t="s">
        <v>106</v>
      </c>
      <c r="CB126" s="45" t="s">
        <v>106</v>
      </c>
      <c r="CC126" s="45" t="s">
        <v>120</v>
      </c>
      <c r="CD126" s="45" t="s">
        <v>12</v>
      </c>
      <c r="CE126" s="45" t="s">
        <v>51</v>
      </c>
      <c r="CF126" s="45" t="s">
        <v>26</v>
      </c>
      <c r="CG126" s="45" t="s">
        <v>29</v>
      </c>
      <c r="CH126" s="45" t="s">
        <v>153</v>
      </c>
      <c r="CI126" s="45" t="s">
        <v>152</v>
      </c>
      <c r="CJ126" s="45" t="s">
        <v>153</v>
      </c>
      <c r="CK126" s="45" t="s">
        <v>105</v>
      </c>
      <c r="CL126" s="45" t="s">
        <v>149</v>
      </c>
      <c r="CM126" s="45" t="s">
        <v>18</v>
      </c>
      <c r="CN126" s="45" t="s">
        <v>120</v>
      </c>
      <c r="CO126" s="45" t="s">
        <v>145</v>
      </c>
      <c r="CP126" s="45" t="s">
        <v>143</v>
      </c>
      <c r="CQ126" s="45" t="s">
        <v>14</v>
      </c>
      <c r="CR126" s="45" t="s">
        <v>110</v>
      </c>
      <c r="CS126" s="45" t="s">
        <v>110</v>
      </c>
      <c r="CT126" s="45" t="s">
        <v>13</v>
      </c>
      <c r="CU126" s="45" t="s">
        <v>13</v>
      </c>
      <c r="CV126" s="45" t="s">
        <v>138</v>
      </c>
      <c r="CW126" s="45" t="s">
        <v>20</v>
      </c>
      <c r="CX126" s="45" t="s">
        <v>67</v>
      </c>
      <c r="CY126" s="45" t="s">
        <v>37</v>
      </c>
      <c r="CZ126" s="45" t="s">
        <v>99</v>
      </c>
      <c r="DA126" s="45" t="s">
        <v>122</v>
      </c>
      <c r="DB126" s="45" t="s">
        <v>77</v>
      </c>
      <c r="DC126" s="45" t="s">
        <v>12</v>
      </c>
      <c r="DD126" s="45" t="s">
        <v>51</v>
      </c>
      <c r="DE126" s="45" t="s">
        <v>82</v>
      </c>
      <c r="DF126" s="45" t="s">
        <v>122</v>
      </c>
      <c r="DG126" s="45" t="s">
        <v>14</v>
      </c>
      <c r="DH126" s="45" t="s">
        <v>14</v>
      </c>
      <c r="DI126" s="45" t="s">
        <v>82</v>
      </c>
      <c r="DJ126" s="45" t="s">
        <v>99</v>
      </c>
      <c r="DK126" s="45" t="s">
        <v>14</v>
      </c>
      <c r="DL126" s="45" t="s">
        <v>138</v>
      </c>
      <c r="DM126" s="45" t="s">
        <v>124</v>
      </c>
      <c r="DN126" s="45" t="s">
        <v>26</v>
      </c>
      <c r="DO126" s="45" t="s">
        <v>145</v>
      </c>
      <c r="DP126" s="45" t="s">
        <v>50</v>
      </c>
      <c r="DQ126" s="45" t="s">
        <v>15</v>
      </c>
      <c r="DR126" s="45" t="s">
        <v>105</v>
      </c>
      <c r="DS126" s="45" t="s">
        <v>20</v>
      </c>
      <c r="DT126" s="45" t="s">
        <v>122</v>
      </c>
      <c r="DU126" s="45" t="s">
        <v>131</v>
      </c>
      <c r="DV126" s="45" t="s">
        <v>82</v>
      </c>
      <c r="DW126" s="45" t="s">
        <v>82</v>
      </c>
      <c r="DX126" s="45" t="s">
        <v>136</v>
      </c>
      <c r="DY126" s="45" t="s">
        <v>15</v>
      </c>
      <c r="DZ126" s="45" t="s">
        <v>105</v>
      </c>
      <c r="EA126" s="45" t="s">
        <v>122</v>
      </c>
      <c r="EB126" s="45" t="s">
        <v>105</v>
      </c>
      <c r="EC126" s="45" t="s">
        <v>149</v>
      </c>
      <c r="ED126" s="45" t="s">
        <v>20</v>
      </c>
      <c r="EE126" s="45" t="s">
        <v>73</v>
      </c>
      <c r="EF126" s="45" t="s">
        <v>73</v>
      </c>
      <c r="EG126" s="45" t="s">
        <v>73</v>
      </c>
      <c r="EH126" s="45" t="s">
        <v>20</v>
      </c>
      <c r="EI126" s="45" t="s">
        <v>20</v>
      </c>
      <c r="EJ126" s="45" t="s">
        <v>73</v>
      </c>
    </row>
    <row r="127" customFormat="false" ht="15.75" hidden="false" customHeight="false" outlineLevel="0" collapsed="false">
      <c r="A127" s="249" t="n">
        <v>101</v>
      </c>
      <c r="B127" s="250" t="s">
        <v>83</v>
      </c>
      <c r="C127" s="45" t="s">
        <v>47</v>
      </c>
      <c r="D127" s="45" t="s">
        <v>104</v>
      </c>
      <c r="E127" s="45" t="s">
        <v>108</v>
      </c>
      <c r="F127" s="45" t="s">
        <v>34</v>
      </c>
      <c r="G127" s="45" t="s">
        <v>29</v>
      </c>
      <c r="H127" s="45" t="s">
        <v>44</v>
      </c>
      <c r="I127" s="45" t="s">
        <v>29</v>
      </c>
      <c r="J127" s="45" t="s">
        <v>116</v>
      </c>
      <c r="K127" s="45" t="s">
        <v>120</v>
      </c>
      <c r="L127" s="45" t="s">
        <v>89</v>
      </c>
      <c r="M127" s="45" t="s">
        <v>110</v>
      </c>
      <c r="N127" s="45" t="s">
        <v>43</v>
      </c>
      <c r="O127" s="45" t="s">
        <v>89</v>
      </c>
      <c r="P127" s="45" t="s">
        <v>116</v>
      </c>
      <c r="Q127" s="45" t="s">
        <v>116</v>
      </c>
      <c r="R127" s="45" t="s">
        <v>121</v>
      </c>
      <c r="S127" s="45" t="s">
        <v>43</v>
      </c>
      <c r="T127" s="45" t="s">
        <v>108</v>
      </c>
      <c r="U127" s="45" t="s">
        <v>43</v>
      </c>
      <c r="V127" s="45" t="s">
        <v>104</v>
      </c>
      <c r="W127" s="45" t="s">
        <v>116</v>
      </c>
      <c r="X127" s="45" t="s">
        <v>25</v>
      </c>
      <c r="Y127" s="45" t="s">
        <v>142</v>
      </c>
      <c r="Z127" s="45" t="s">
        <v>58</v>
      </c>
      <c r="AA127" s="45" t="s">
        <v>36</v>
      </c>
      <c r="AB127" s="45" t="s">
        <v>47</v>
      </c>
      <c r="AC127" s="45" t="s">
        <v>121</v>
      </c>
      <c r="AD127" s="45" t="s">
        <v>77</v>
      </c>
      <c r="AE127" s="45" t="s">
        <v>143</v>
      </c>
      <c r="AF127" s="45" t="s">
        <v>89</v>
      </c>
      <c r="AG127" s="45" t="s">
        <v>36</v>
      </c>
      <c r="AH127" s="45" t="s">
        <v>77</v>
      </c>
      <c r="AI127" s="45" t="s">
        <v>44</v>
      </c>
      <c r="AJ127" s="45" t="s">
        <v>84</v>
      </c>
      <c r="AK127" s="45" t="s">
        <v>25</v>
      </c>
      <c r="AL127" s="45" t="s">
        <v>34</v>
      </c>
      <c r="AM127" s="45" t="s">
        <v>34</v>
      </c>
      <c r="AN127" s="45" t="s">
        <v>14</v>
      </c>
      <c r="AO127" s="45" t="s">
        <v>119</v>
      </c>
      <c r="AP127" s="45" t="s">
        <v>142</v>
      </c>
      <c r="AQ127" s="45" t="s">
        <v>26</v>
      </c>
      <c r="AR127" s="45" t="s">
        <v>77</v>
      </c>
      <c r="AS127" s="45" t="s">
        <v>26</v>
      </c>
      <c r="AT127" s="45" t="s">
        <v>77</v>
      </c>
      <c r="AU127" s="45" t="s">
        <v>117</v>
      </c>
      <c r="AV127" s="45" t="s">
        <v>44</v>
      </c>
      <c r="AW127" s="45" t="s">
        <v>131</v>
      </c>
      <c r="AX127" s="45" t="s">
        <v>131</v>
      </c>
      <c r="AY127" s="45" t="s">
        <v>138</v>
      </c>
      <c r="AZ127" s="45" t="s">
        <v>133</v>
      </c>
      <c r="BA127" s="45" t="s">
        <v>77</v>
      </c>
      <c r="BB127" s="45" t="s">
        <v>84</v>
      </c>
      <c r="BC127" s="45" t="s">
        <v>25</v>
      </c>
      <c r="BD127" s="45" t="s">
        <v>120</v>
      </c>
      <c r="BE127" s="45" t="s">
        <v>26</v>
      </c>
      <c r="BF127" s="45" t="s">
        <v>143</v>
      </c>
      <c r="BG127" s="45" t="s">
        <v>145</v>
      </c>
      <c r="BH127" s="45" t="s">
        <v>145</v>
      </c>
      <c r="BI127" s="45" t="s">
        <v>143</v>
      </c>
      <c r="BJ127" s="45" t="s">
        <v>84</v>
      </c>
      <c r="BK127" s="45" t="s">
        <v>124</v>
      </c>
      <c r="BL127" s="45" t="s">
        <v>138</v>
      </c>
      <c r="BM127" s="45" t="s">
        <v>36</v>
      </c>
      <c r="BN127" s="45" t="s">
        <v>117</v>
      </c>
      <c r="BO127" s="45" t="s">
        <v>133</v>
      </c>
      <c r="BP127" s="45" t="s">
        <v>18</v>
      </c>
      <c r="BQ127" s="45" t="s">
        <v>51</v>
      </c>
      <c r="BR127" s="45" t="s">
        <v>149</v>
      </c>
      <c r="BS127" s="45" t="s">
        <v>122</v>
      </c>
      <c r="BT127" s="45" t="s">
        <v>77</v>
      </c>
      <c r="BU127" s="45" t="s">
        <v>115</v>
      </c>
      <c r="BV127" s="45" t="s">
        <v>12</v>
      </c>
      <c r="BW127" s="45" t="s">
        <v>58</v>
      </c>
      <c r="BX127" s="45" t="s">
        <v>25</v>
      </c>
      <c r="BY127" s="45" t="s">
        <v>12</v>
      </c>
      <c r="BZ127" s="45" t="s">
        <v>133</v>
      </c>
      <c r="CA127" s="45" t="s">
        <v>106</v>
      </c>
      <c r="CB127" s="45" t="s">
        <v>106</v>
      </c>
      <c r="CC127" s="45" t="s">
        <v>120</v>
      </c>
      <c r="CD127" s="45" t="s">
        <v>77</v>
      </c>
      <c r="CE127" s="45" t="s">
        <v>51</v>
      </c>
      <c r="CF127" s="45" t="s">
        <v>26</v>
      </c>
      <c r="CG127" s="45" t="s">
        <v>29</v>
      </c>
      <c r="CH127" s="45" t="s">
        <v>37</v>
      </c>
      <c r="CI127" s="45" t="s">
        <v>88</v>
      </c>
      <c r="CJ127" s="45" t="s">
        <v>153</v>
      </c>
      <c r="CK127" s="45" t="s">
        <v>105</v>
      </c>
      <c r="CL127" s="45" t="s">
        <v>119</v>
      </c>
      <c r="CM127" s="45" t="s">
        <v>67</v>
      </c>
      <c r="CN127" s="45" t="s">
        <v>120</v>
      </c>
      <c r="CO127" s="45" t="s">
        <v>145</v>
      </c>
      <c r="CP127" s="45" t="s">
        <v>143</v>
      </c>
      <c r="CQ127" s="45" t="s">
        <v>14</v>
      </c>
      <c r="CR127" s="45" t="s">
        <v>106</v>
      </c>
      <c r="CS127" s="45" t="s">
        <v>110</v>
      </c>
      <c r="CT127" s="45" t="s">
        <v>13</v>
      </c>
      <c r="CU127" s="45" t="s">
        <v>13</v>
      </c>
      <c r="CV127" s="45" t="s">
        <v>138</v>
      </c>
      <c r="CW127" s="45" t="s">
        <v>20</v>
      </c>
      <c r="CX127" s="45" t="s">
        <v>67</v>
      </c>
      <c r="CY127" s="45" t="s">
        <v>37</v>
      </c>
      <c r="CZ127" s="45" t="s">
        <v>99</v>
      </c>
      <c r="DA127" s="45" t="s">
        <v>99</v>
      </c>
      <c r="DB127" s="45" t="s">
        <v>77</v>
      </c>
      <c r="DC127" s="45" t="s">
        <v>12</v>
      </c>
      <c r="DD127" s="45" t="s">
        <v>51</v>
      </c>
      <c r="DE127" s="45" t="s">
        <v>124</v>
      </c>
      <c r="DF127" s="45" t="s">
        <v>122</v>
      </c>
      <c r="DG127" s="45" t="s">
        <v>14</v>
      </c>
      <c r="DH127" s="45" t="s">
        <v>14</v>
      </c>
      <c r="DI127" s="45" t="s">
        <v>82</v>
      </c>
      <c r="DJ127" s="45" t="s">
        <v>99</v>
      </c>
      <c r="DK127" s="45" t="s">
        <v>14</v>
      </c>
      <c r="DL127" s="45" t="s">
        <v>138</v>
      </c>
      <c r="DM127" s="45" t="s">
        <v>50</v>
      </c>
      <c r="DN127" s="45" t="s">
        <v>26</v>
      </c>
      <c r="DO127" s="45" t="s">
        <v>145</v>
      </c>
      <c r="DP127" s="45" t="s">
        <v>50</v>
      </c>
      <c r="DQ127" s="45" t="s">
        <v>15</v>
      </c>
      <c r="DR127" s="45" t="s">
        <v>105</v>
      </c>
      <c r="DS127" s="45" t="s">
        <v>20</v>
      </c>
      <c r="DT127" s="45" t="s">
        <v>122</v>
      </c>
      <c r="DU127" s="45" t="s">
        <v>131</v>
      </c>
      <c r="DV127" s="45" t="s">
        <v>82</v>
      </c>
      <c r="DW127" s="45" t="s">
        <v>83</v>
      </c>
      <c r="DX127" s="45" t="s">
        <v>73</v>
      </c>
      <c r="DY127" s="45" t="s">
        <v>73</v>
      </c>
      <c r="DZ127" s="45" t="s">
        <v>105</v>
      </c>
      <c r="EA127" s="45" t="s">
        <v>122</v>
      </c>
      <c r="EB127" s="45" t="s">
        <v>105</v>
      </c>
      <c r="EC127" s="45" t="s">
        <v>149</v>
      </c>
      <c r="ED127" s="45" t="s">
        <v>20</v>
      </c>
      <c r="EE127" s="45" t="s">
        <v>73</v>
      </c>
      <c r="EF127" s="45" t="s">
        <v>73</v>
      </c>
      <c r="EG127" s="45" t="s">
        <v>73</v>
      </c>
      <c r="EH127" s="45" t="s">
        <v>20</v>
      </c>
      <c r="EI127" s="45" t="s">
        <v>20</v>
      </c>
      <c r="EJ127" s="45" t="s">
        <v>73</v>
      </c>
    </row>
    <row r="128" customFormat="false" ht="15.75" hidden="false" customHeight="false" outlineLevel="0" collapsed="false">
      <c r="A128" s="249" t="n">
        <v>102</v>
      </c>
      <c r="B128" s="250" t="s">
        <v>135</v>
      </c>
      <c r="C128" s="45" t="s">
        <v>58</v>
      </c>
      <c r="D128" s="45" t="s">
        <v>142</v>
      </c>
      <c r="E128" s="45" t="s">
        <v>116</v>
      </c>
      <c r="F128" s="45" t="s">
        <v>120</v>
      </c>
      <c r="G128" s="45" t="s">
        <v>120</v>
      </c>
      <c r="H128" s="45" t="s">
        <v>143</v>
      </c>
      <c r="I128" s="45" t="s">
        <v>120</v>
      </c>
      <c r="J128" s="45" t="s">
        <v>145</v>
      </c>
      <c r="K128" s="45" t="s">
        <v>77</v>
      </c>
      <c r="L128" s="45" t="s">
        <v>84</v>
      </c>
      <c r="M128" s="45" t="s">
        <v>122</v>
      </c>
      <c r="N128" s="45" t="s">
        <v>25</v>
      </c>
      <c r="O128" s="45" t="s">
        <v>25</v>
      </c>
      <c r="P128" s="45" t="s">
        <v>26</v>
      </c>
      <c r="Q128" s="45" t="s">
        <v>26</v>
      </c>
      <c r="R128" s="45" t="s">
        <v>142</v>
      </c>
      <c r="S128" s="45" t="s">
        <v>25</v>
      </c>
      <c r="T128" s="45" t="s">
        <v>58</v>
      </c>
      <c r="U128" s="45" t="s">
        <v>25</v>
      </c>
      <c r="V128" s="45" t="s">
        <v>142</v>
      </c>
      <c r="W128" s="45" t="s">
        <v>26</v>
      </c>
      <c r="X128" s="45" t="s">
        <v>77</v>
      </c>
      <c r="Y128" s="45" t="s">
        <v>77</v>
      </c>
      <c r="Z128" s="45" t="s">
        <v>26</v>
      </c>
      <c r="AA128" s="45" t="s">
        <v>143</v>
      </c>
      <c r="AB128" s="45" t="s">
        <v>58</v>
      </c>
      <c r="AC128" s="45" t="s">
        <v>142</v>
      </c>
      <c r="AD128" s="45" t="s">
        <v>152</v>
      </c>
      <c r="AE128" s="45" t="s">
        <v>133</v>
      </c>
      <c r="AF128" s="45" t="s">
        <v>84</v>
      </c>
      <c r="AG128" s="45" t="s">
        <v>145</v>
      </c>
      <c r="AH128" s="45" t="s">
        <v>153</v>
      </c>
      <c r="AI128" s="45" t="s">
        <v>143</v>
      </c>
      <c r="AJ128" s="45" t="s">
        <v>12</v>
      </c>
      <c r="AK128" s="45" t="s">
        <v>12</v>
      </c>
      <c r="AL128" s="45" t="s">
        <v>120</v>
      </c>
      <c r="AM128" s="45" t="s">
        <v>120</v>
      </c>
      <c r="AN128" s="45" t="s">
        <v>20</v>
      </c>
      <c r="AO128" s="45" t="s">
        <v>20</v>
      </c>
      <c r="AP128" s="45" t="s">
        <v>26</v>
      </c>
      <c r="AQ128" s="45" t="s">
        <v>37</v>
      </c>
      <c r="AR128" s="45" t="s">
        <v>88</v>
      </c>
      <c r="AS128" s="45" t="s">
        <v>153</v>
      </c>
      <c r="AT128" s="45" t="s">
        <v>153</v>
      </c>
      <c r="AU128" s="45" t="s">
        <v>20</v>
      </c>
      <c r="AV128" s="45" t="s">
        <v>143</v>
      </c>
      <c r="AW128" s="45" t="s">
        <v>124</v>
      </c>
      <c r="AX128" s="45" t="s">
        <v>82</v>
      </c>
      <c r="AY128" s="45" t="s">
        <v>122</v>
      </c>
      <c r="AZ128" s="45" t="s">
        <v>110</v>
      </c>
      <c r="BA128" s="45" t="s">
        <v>88</v>
      </c>
      <c r="BB128" s="45" t="s">
        <v>12</v>
      </c>
      <c r="BC128" s="45" t="s">
        <v>77</v>
      </c>
      <c r="BD128" s="45" t="s">
        <v>77</v>
      </c>
      <c r="BE128" s="45" t="s">
        <v>18</v>
      </c>
      <c r="BF128" s="45" t="s">
        <v>51</v>
      </c>
      <c r="BG128" s="45" t="s">
        <v>51</v>
      </c>
      <c r="BH128" s="45" t="s">
        <v>115</v>
      </c>
      <c r="BI128" s="45" t="s">
        <v>51</v>
      </c>
      <c r="BJ128" s="45" t="s">
        <v>133</v>
      </c>
      <c r="BK128" s="45" t="s">
        <v>73</v>
      </c>
      <c r="BL128" s="45" t="s">
        <v>122</v>
      </c>
      <c r="BM128" s="45" t="s">
        <v>143</v>
      </c>
      <c r="BN128" s="45" t="s">
        <v>20</v>
      </c>
      <c r="BO128" s="45" t="s">
        <v>110</v>
      </c>
      <c r="BP128" s="45" t="s">
        <v>117</v>
      </c>
      <c r="BQ128" s="45" t="s">
        <v>138</v>
      </c>
      <c r="BR128" s="45" t="s">
        <v>20</v>
      </c>
      <c r="BS128" s="45" t="s">
        <v>15</v>
      </c>
      <c r="BT128" s="45" t="s">
        <v>152</v>
      </c>
      <c r="BU128" s="45" t="s">
        <v>138</v>
      </c>
      <c r="BV128" s="45" t="s">
        <v>131</v>
      </c>
      <c r="BW128" s="45" t="s">
        <v>26</v>
      </c>
      <c r="BX128" s="45" t="s">
        <v>12</v>
      </c>
      <c r="BY128" s="45" t="s">
        <v>106</v>
      </c>
      <c r="BZ128" s="45" t="s">
        <v>106</v>
      </c>
      <c r="CA128" s="45" t="s">
        <v>82</v>
      </c>
      <c r="CB128" s="45" t="s">
        <v>99</v>
      </c>
      <c r="CC128" s="45" t="s">
        <v>77</v>
      </c>
      <c r="CD128" s="45" t="s">
        <v>131</v>
      </c>
      <c r="CE128" s="45" t="s">
        <v>138</v>
      </c>
      <c r="CF128" s="45" t="s">
        <v>18</v>
      </c>
      <c r="CG128" s="45" t="s">
        <v>120</v>
      </c>
      <c r="CH128" s="45" t="s">
        <v>117</v>
      </c>
      <c r="CI128" s="45" t="s">
        <v>50</v>
      </c>
      <c r="CJ128" s="45" t="s">
        <v>149</v>
      </c>
      <c r="CK128" s="45" t="s">
        <v>39</v>
      </c>
      <c r="CL128" s="45" t="s">
        <v>20</v>
      </c>
      <c r="CM128" s="45" t="s">
        <v>14</v>
      </c>
      <c r="CN128" s="45" t="s">
        <v>77</v>
      </c>
      <c r="CO128" s="45" t="s">
        <v>115</v>
      </c>
      <c r="CP128" s="45" t="s">
        <v>51</v>
      </c>
      <c r="CQ128" s="45" t="s">
        <v>105</v>
      </c>
      <c r="CR128" s="45" t="s">
        <v>99</v>
      </c>
      <c r="CS128" s="45" t="s">
        <v>122</v>
      </c>
      <c r="CT128" s="45" t="s">
        <v>145</v>
      </c>
      <c r="CU128" s="45" t="s">
        <v>145</v>
      </c>
      <c r="CV128" s="45" t="s">
        <v>122</v>
      </c>
      <c r="CW128" s="45" t="s">
        <v>135</v>
      </c>
      <c r="CX128" s="45" t="s">
        <v>14</v>
      </c>
      <c r="CY128" s="45" t="s">
        <v>117</v>
      </c>
      <c r="CZ128" s="45" t="s">
        <v>15</v>
      </c>
      <c r="DA128" s="45" t="s">
        <v>15</v>
      </c>
      <c r="DB128" s="45" t="s">
        <v>131</v>
      </c>
      <c r="DC128" s="45" t="s">
        <v>131</v>
      </c>
      <c r="DD128" s="45" t="s">
        <v>110</v>
      </c>
      <c r="DE128" s="45" t="s">
        <v>73</v>
      </c>
      <c r="DF128" s="45" t="s">
        <v>39</v>
      </c>
      <c r="DG128" s="45" t="s">
        <v>105</v>
      </c>
      <c r="DH128" s="45" t="s">
        <v>105</v>
      </c>
      <c r="DI128" s="45" t="s">
        <v>73</v>
      </c>
      <c r="DJ128" s="45" t="s">
        <v>15</v>
      </c>
      <c r="DK128" s="45" t="s">
        <v>105</v>
      </c>
      <c r="DL128" s="45" t="s">
        <v>105</v>
      </c>
      <c r="DM128" s="45" t="s">
        <v>73</v>
      </c>
      <c r="DN128" s="45" t="s">
        <v>115</v>
      </c>
      <c r="DO128" s="45" t="s">
        <v>51</v>
      </c>
      <c r="DP128" s="45" t="s">
        <v>73</v>
      </c>
      <c r="DQ128" s="45" t="s">
        <v>135</v>
      </c>
      <c r="DR128" s="45" t="s">
        <v>39</v>
      </c>
      <c r="DS128" s="45" t="s">
        <v>39</v>
      </c>
      <c r="DT128" s="45" t="s">
        <v>15</v>
      </c>
      <c r="DU128" s="45" t="s">
        <v>82</v>
      </c>
      <c r="DV128" s="45" t="s">
        <v>136</v>
      </c>
      <c r="DW128" s="45" t="s">
        <v>73</v>
      </c>
      <c r="DX128" s="45" t="s">
        <v>135</v>
      </c>
      <c r="DY128" s="45" t="s">
        <v>135</v>
      </c>
      <c r="DZ128" s="45" t="s">
        <v>39</v>
      </c>
      <c r="EA128" s="45" t="s">
        <v>15</v>
      </c>
      <c r="EB128" s="45" t="s">
        <v>39</v>
      </c>
      <c r="EC128" s="45" t="s">
        <v>20</v>
      </c>
      <c r="ED128" s="45" t="s">
        <v>39</v>
      </c>
      <c r="EE128" s="45" t="s">
        <v>135</v>
      </c>
      <c r="EF128" s="45" t="s">
        <v>135</v>
      </c>
      <c r="EG128" s="45" t="s">
        <v>135</v>
      </c>
      <c r="EH128" s="45" t="s">
        <v>135</v>
      </c>
      <c r="EI128" s="45" t="s">
        <v>135</v>
      </c>
      <c r="EJ128" s="45" t="s">
        <v>135</v>
      </c>
    </row>
    <row r="129" customFormat="false" ht="15.75" hidden="false" customHeight="false" outlineLevel="0" collapsed="false">
      <c r="A129" s="249" t="n">
        <v>102</v>
      </c>
      <c r="B129" s="250" t="s">
        <v>136</v>
      </c>
      <c r="C129" s="45" t="s">
        <v>142</v>
      </c>
      <c r="D129" s="45" t="s">
        <v>142</v>
      </c>
      <c r="E129" s="45" t="s">
        <v>58</v>
      </c>
      <c r="F129" s="45" t="s">
        <v>120</v>
      </c>
      <c r="G129" s="45" t="s">
        <v>25</v>
      </c>
      <c r="H129" s="45" t="s">
        <v>143</v>
      </c>
      <c r="I129" s="45" t="s">
        <v>25</v>
      </c>
      <c r="J129" s="45" t="s">
        <v>26</v>
      </c>
      <c r="K129" s="45" t="s">
        <v>77</v>
      </c>
      <c r="L129" s="45" t="s">
        <v>143</v>
      </c>
      <c r="M129" s="45" t="s">
        <v>122</v>
      </c>
      <c r="N129" s="45" t="s">
        <v>84</v>
      </c>
      <c r="O129" s="45" t="s">
        <v>84</v>
      </c>
      <c r="P129" s="45" t="s">
        <v>26</v>
      </c>
      <c r="Q129" s="45" t="s">
        <v>26</v>
      </c>
      <c r="R129" s="45" t="s">
        <v>120</v>
      </c>
      <c r="S129" s="45" t="s">
        <v>25</v>
      </c>
      <c r="T129" s="45" t="s">
        <v>58</v>
      </c>
      <c r="U129" s="45" t="s">
        <v>25</v>
      </c>
      <c r="V129" s="45" t="s">
        <v>120</v>
      </c>
      <c r="W129" s="45" t="s">
        <v>26</v>
      </c>
      <c r="X129" s="45" t="s">
        <v>12</v>
      </c>
      <c r="Y129" s="45" t="s">
        <v>77</v>
      </c>
      <c r="Z129" s="45" t="s">
        <v>26</v>
      </c>
      <c r="AA129" s="45" t="s">
        <v>145</v>
      </c>
      <c r="AB129" s="45" t="s">
        <v>142</v>
      </c>
      <c r="AC129" s="45" t="s">
        <v>120</v>
      </c>
      <c r="AD129" s="45" t="s">
        <v>131</v>
      </c>
      <c r="AE129" s="45" t="s">
        <v>51</v>
      </c>
      <c r="AF129" s="45" t="s">
        <v>143</v>
      </c>
      <c r="AG129" s="45" t="s">
        <v>145</v>
      </c>
      <c r="AH129" s="45" t="s">
        <v>88</v>
      </c>
      <c r="AI129" s="45" t="s">
        <v>143</v>
      </c>
      <c r="AJ129" s="45" t="s">
        <v>133</v>
      </c>
      <c r="AK129" s="45" t="s">
        <v>12</v>
      </c>
      <c r="AL129" s="45" t="s">
        <v>120</v>
      </c>
      <c r="AM129" s="45" t="s">
        <v>120</v>
      </c>
      <c r="AN129" s="45" t="s">
        <v>20</v>
      </c>
      <c r="AO129" s="45" t="s">
        <v>20</v>
      </c>
      <c r="AP129" s="45" t="s">
        <v>77</v>
      </c>
      <c r="AQ129" s="45" t="s">
        <v>153</v>
      </c>
      <c r="AR129" s="45" t="s">
        <v>152</v>
      </c>
      <c r="AS129" s="45" t="s">
        <v>153</v>
      </c>
      <c r="AT129" s="45" t="s">
        <v>152</v>
      </c>
      <c r="AU129" s="45" t="s">
        <v>20</v>
      </c>
      <c r="AV129" s="45" t="s">
        <v>143</v>
      </c>
      <c r="AW129" s="45" t="s">
        <v>82</v>
      </c>
      <c r="AX129" s="45" t="s">
        <v>82</v>
      </c>
      <c r="AY129" s="45" t="s">
        <v>105</v>
      </c>
      <c r="AZ129" s="45" t="s">
        <v>138</v>
      </c>
      <c r="BA129" s="45" t="s">
        <v>152</v>
      </c>
      <c r="BB129" s="45" t="s">
        <v>133</v>
      </c>
      <c r="BC129" s="45" t="s">
        <v>12</v>
      </c>
      <c r="BD129" s="45" t="s">
        <v>77</v>
      </c>
      <c r="BE129" s="45" t="s">
        <v>37</v>
      </c>
      <c r="BF129" s="45" t="s">
        <v>51</v>
      </c>
      <c r="BG129" s="45" t="s">
        <v>115</v>
      </c>
      <c r="BH129" s="45" t="s">
        <v>115</v>
      </c>
      <c r="BI129" s="45" t="s">
        <v>51</v>
      </c>
      <c r="BJ129" s="45" t="s">
        <v>51</v>
      </c>
      <c r="BK129" s="45" t="s">
        <v>73</v>
      </c>
      <c r="BL129" s="45" t="s">
        <v>122</v>
      </c>
      <c r="BM129" s="45" t="s">
        <v>145</v>
      </c>
      <c r="BN129" s="45" t="s">
        <v>20</v>
      </c>
      <c r="BO129" s="45" t="s">
        <v>110</v>
      </c>
      <c r="BP129" s="45" t="s">
        <v>117</v>
      </c>
      <c r="BQ129" s="45" t="s">
        <v>138</v>
      </c>
      <c r="BR129" s="45" t="s">
        <v>73</v>
      </c>
      <c r="BS129" s="45" t="s">
        <v>39</v>
      </c>
      <c r="BT129" s="45" t="s">
        <v>131</v>
      </c>
      <c r="BU129" s="45" t="s">
        <v>14</v>
      </c>
      <c r="BV129" s="45" t="s">
        <v>106</v>
      </c>
      <c r="BW129" s="45" t="s">
        <v>26</v>
      </c>
      <c r="BX129" s="45" t="s">
        <v>12</v>
      </c>
      <c r="BY129" s="45" t="s">
        <v>110</v>
      </c>
      <c r="BZ129" s="45" t="s">
        <v>110</v>
      </c>
      <c r="CA129" s="45" t="s">
        <v>99</v>
      </c>
      <c r="CB129" s="45" t="s">
        <v>122</v>
      </c>
      <c r="CC129" s="45" t="s">
        <v>77</v>
      </c>
      <c r="CD129" s="45" t="s">
        <v>131</v>
      </c>
      <c r="CE129" s="45" t="s">
        <v>14</v>
      </c>
      <c r="CF129" s="45" t="s">
        <v>153</v>
      </c>
      <c r="CG129" s="45" t="s">
        <v>25</v>
      </c>
      <c r="CH129" s="45" t="s">
        <v>149</v>
      </c>
      <c r="CI129" s="45" t="s">
        <v>124</v>
      </c>
      <c r="CJ129" s="45" t="s">
        <v>50</v>
      </c>
      <c r="CK129" s="45" t="s">
        <v>39</v>
      </c>
      <c r="CL129" s="45" t="s">
        <v>20</v>
      </c>
      <c r="CM129" s="45" t="s">
        <v>117</v>
      </c>
      <c r="CN129" s="45" t="s">
        <v>77</v>
      </c>
      <c r="CO129" s="45" t="s">
        <v>67</v>
      </c>
      <c r="CP129" s="45" t="s">
        <v>51</v>
      </c>
      <c r="CQ129" s="45" t="s">
        <v>20</v>
      </c>
      <c r="CR129" s="45" t="s">
        <v>122</v>
      </c>
      <c r="CS129" s="45" t="s">
        <v>122</v>
      </c>
      <c r="CT129" s="45" t="s">
        <v>26</v>
      </c>
      <c r="CU129" s="45" t="s">
        <v>145</v>
      </c>
      <c r="CV129" s="45" t="s">
        <v>105</v>
      </c>
      <c r="CW129" s="45" t="s">
        <v>135</v>
      </c>
      <c r="CX129" s="45" t="s">
        <v>117</v>
      </c>
      <c r="CY129" s="45" t="s">
        <v>119</v>
      </c>
      <c r="CZ129" s="45" t="s">
        <v>15</v>
      </c>
      <c r="DA129" s="45" t="s">
        <v>15</v>
      </c>
      <c r="DB129" s="45" t="s">
        <v>131</v>
      </c>
      <c r="DC129" s="45" t="s">
        <v>106</v>
      </c>
      <c r="DD129" s="45" t="s">
        <v>138</v>
      </c>
      <c r="DE129" s="45" t="s">
        <v>73</v>
      </c>
      <c r="DF129" s="45" t="s">
        <v>39</v>
      </c>
      <c r="DG129" s="45" t="s">
        <v>105</v>
      </c>
      <c r="DH129" s="45" t="s">
        <v>20</v>
      </c>
      <c r="DI129" s="45" t="s">
        <v>15</v>
      </c>
      <c r="DJ129" s="45" t="s">
        <v>15</v>
      </c>
      <c r="DK129" s="45" t="s">
        <v>105</v>
      </c>
      <c r="DL129" s="45" t="s">
        <v>105</v>
      </c>
      <c r="DM129" s="45" t="s">
        <v>73</v>
      </c>
      <c r="DN129" s="45" t="s">
        <v>18</v>
      </c>
      <c r="DO129" s="45" t="s">
        <v>115</v>
      </c>
      <c r="DP129" s="45" t="s">
        <v>73</v>
      </c>
      <c r="DQ129" s="45" t="s">
        <v>24</v>
      </c>
      <c r="DR129" s="45" t="s">
        <v>39</v>
      </c>
      <c r="DS129" s="45" t="s">
        <v>135</v>
      </c>
      <c r="DT129" s="45" t="s">
        <v>15</v>
      </c>
      <c r="DU129" s="45" t="s">
        <v>99</v>
      </c>
      <c r="DV129" s="45" t="s">
        <v>15</v>
      </c>
      <c r="DW129" s="45" t="s">
        <v>73</v>
      </c>
      <c r="DX129" s="45" t="s">
        <v>135</v>
      </c>
      <c r="DY129" s="45" t="s">
        <v>136</v>
      </c>
      <c r="DZ129" s="45" t="s">
        <v>39</v>
      </c>
      <c r="EA129" s="45" t="s">
        <v>39</v>
      </c>
      <c r="EB129" s="45" t="s">
        <v>39</v>
      </c>
      <c r="EC129" s="45" t="s">
        <v>73</v>
      </c>
      <c r="ED129" s="45" t="s">
        <v>135</v>
      </c>
      <c r="EE129" s="45" t="s">
        <v>135</v>
      </c>
      <c r="EF129" s="45" t="s">
        <v>135</v>
      </c>
      <c r="EG129" s="45" t="s">
        <v>135</v>
      </c>
      <c r="EH129" s="45" t="s">
        <v>135</v>
      </c>
      <c r="EI129" s="45" t="s">
        <v>135</v>
      </c>
      <c r="EJ129" s="45" t="s">
        <v>135</v>
      </c>
    </row>
    <row r="130" customFormat="false" ht="15.75" hidden="false" customHeight="false" outlineLevel="0" collapsed="false">
      <c r="A130" s="249" t="n">
        <v>103</v>
      </c>
      <c r="B130" s="250" t="s">
        <v>68</v>
      </c>
      <c r="C130" s="45" t="s">
        <v>89</v>
      </c>
      <c r="D130" s="45" t="s">
        <v>89</v>
      </c>
      <c r="E130" s="45" t="s">
        <v>43</v>
      </c>
      <c r="F130" s="45" t="s">
        <v>44</v>
      </c>
      <c r="G130" s="45" t="s">
        <v>36</v>
      </c>
      <c r="H130" s="45" t="s">
        <v>58</v>
      </c>
      <c r="I130" s="45" t="s">
        <v>36</v>
      </c>
      <c r="J130" s="45" t="s">
        <v>120</v>
      </c>
      <c r="K130" s="45" t="s">
        <v>143</v>
      </c>
      <c r="L130" s="45" t="s">
        <v>116</v>
      </c>
      <c r="M130" s="45" t="s">
        <v>117</v>
      </c>
      <c r="N130" s="45" t="s">
        <v>13</v>
      </c>
      <c r="O130" s="45" t="s">
        <v>116</v>
      </c>
      <c r="P130" s="45" t="s">
        <v>25</v>
      </c>
      <c r="Q130" s="45" t="s">
        <v>25</v>
      </c>
      <c r="R130" s="45" t="s">
        <v>89</v>
      </c>
      <c r="S130" s="45" t="s">
        <v>13</v>
      </c>
      <c r="T130" s="45" t="s">
        <v>43</v>
      </c>
      <c r="U130" s="45" t="s">
        <v>13</v>
      </c>
      <c r="V130" s="45" t="s">
        <v>89</v>
      </c>
      <c r="W130" s="45" t="s">
        <v>25</v>
      </c>
      <c r="X130" s="45" t="s">
        <v>145</v>
      </c>
      <c r="Y130" s="45" t="s">
        <v>143</v>
      </c>
      <c r="Z130" s="45" t="s">
        <v>25</v>
      </c>
      <c r="AA130" s="45" t="s">
        <v>142</v>
      </c>
      <c r="AB130" s="45" t="s">
        <v>43</v>
      </c>
      <c r="AC130" s="45" t="s">
        <v>44</v>
      </c>
      <c r="AD130" s="45" t="s">
        <v>51</v>
      </c>
      <c r="AE130" s="45" t="s">
        <v>26</v>
      </c>
      <c r="AF130" s="45" t="s">
        <v>58</v>
      </c>
      <c r="AG130" s="45" t="s">
        <v>120</v>
      </c>
      <c r="AH130" s="45" t="s">
        <v>133</v>
      </c>
      <c r="AI130" s="45" t="s">
        <v>58</v>
      </c>
      <c r="AJ130" s="45" t="s">
        <v>26</v>
      </c>
      <c r="AK130" s="45" t="s">
        <v>145</v>
      </c>
      <c r="AL130" s="45" t="s">
        <v>44</v>
      </c>
      <c r="AM130" s="45" t="s">
        <v>44</v>
      </c>
      <c r="AN130" s="45" t="s">
        <v>107</v>
      </c>
      <c r="AO130" s="45" t="s">
        <v>99</v>
      </c>
      <c r="AP130" s="45" t="s">
        <v>84</v>
      </c>
      <c r="AQ130" s="45" t="s">
        <v>12</v>
      </c>
      <c r="AR130" s="45" t="s">
        <v>51</v>
      </c>
      <c r="AS130" s="45" t="s">
        <v>133</v>
      </c>
      <c r="AT130" s="45" t="s">
        <v>51</v>
      </c>
      <c r="AU130" s="45" t="s">
        <v>82</v>
      </c>
      <c r="AV130" s="45" t="s">
        <v>142</v>
      </c>
      <c r="AW130" s="45" t="s">
        <v>138</v>
      </c>
      <c r="AX130" s="45" t="s">
        <v>14</v>
      </c>
      <c r="AY130" s="45" t="s">
        <v>149</v>
      </c>
      <c r="AZ130" s="45" t="s">
        <v>18</v>
      </c>
      <c r="BA130" s="45" t="s">
        <v>51</v>
      </c>
      <c r="BB130" s="45" t="s">
        <v>26</v>
      </c>
      <c r="BC130" s="45" t="s">
        <v>145</v>
      </c>
      <c r="BD130" s="45" t="s">
        <v>143</v>
      </c>
      <c r="BE130" s="45" t="s">
        <v>12</v>
      </c>
      <c r="BF130" s="45" t="s">
        <v>77</v>
      </c>
      <c r="BG130" s="45" t="s">
        <v>77</v>
      </c>
      <c r="BH130" s="45" t="s">
        <v>77</v>
      </c>
      <c r="BI130" s="45" t="s">
        <v>26</v>
      </c>
      <c r="BJ130" s="45" t="s">
        <v>26</v>
      </c>
      <c r="BK130" s="45" t="s">
        <v>105</v>
      </c>
      <c r="BL130" s="45" t="s">
        <v>117</v>
      </c>
      <c r="BM130" s="45" t="s">
        <v>142</v>
      </c>
      <c r="BN130" s="45" t="s">
        <v>82</v>
      </c>
      <c r="BO130" s="45" t="s">
        <v>18</v>
      </c>
      <c r="BP130" s="45" t="s">
        <v>131</v>
      </c>
      <c r="BQ130" s="45" t="s">
        <v>153</v>
      </c>
      <c r="BR130" s="45" t="s">
        <v>122</v>
      </c>
      <c r="BS130" s="45" t="s">
        <v>20</v>
      </c>
      <c r="BT130" s="45" t="s">
        <v>51</v>
      </c>
      <c r="BU130" s="45" t="s">
        <v>88</v>
      </c>
      <c r="BV130" s="45" t="s">
        <v>115</v>
      </c>
      <c r="BW130" s="45" t="s">
        <v>25</v>
      </c>
      <c r="BX130" s="45" t="s">
        <v>145</v>
      </c>
      <c r="BY130" s="45" t="s">
        <v>67</v>
      </c>
      <c r="BZ130" s="45" t="s">
        <v>18</v>
      </c>
      <c r="CA130" s="45" t="s">
        <v>14</v>
      </c>
      <c r="CB130" s="45" t="s">
        <v>14</v>
      </c>
      <c r="CC130" s="45" t="s">
        <v>143</v>
      </c>
      <c r="CD130" s="45" t="s">
        <v>115</v>
      </c>
      <c r="CE130" s="45" t="s">
        <v>153</v>
      </c>
      <c r="CF130" s="45" t="s">
        <v>12</v>
      </c>
      <c r="CG130" s="45" t="s">
        <v>36</v>
      </c>
      <c r="CH130" s="45" t="s">
        <v>106</v>
      </c>
      <c r="CI130" s="45" t="s">
        <v>138</v>
      </c>
      <c r="CJ130" s="45" t="s">
        <v>110</v>
      </c>
      <c r="CK130" s="45" t="s">
        <v>20</v>
      </c>
      <c r="CL130" s="45" t="s">
        <v>122</v>
      </c>
      <c r="CM130" s="45" t="s">
        <v>131</v>
      </c>
      <c r="CN130" s="45" t="s">
        <v>143</v>
      </c>
      <c r="CO130" s="45" t="s">
        <v>77</v>
      </c>
      <c r="CP130" s="45" t="s">
        <v>26</v>
      </c>
      <c r="CQ130" s="45" t="s">
        <v>124</v>
      </c>
      <c r="CR130" s="45" t="s">
        <v>117</v>
      </c>
      <c r="CS130" s="45" t="s">
        <v>117</v>
      </c>
      <c r="CT130" s="45" t="s">
        <v>120</v>
      </c>
      <c r="CU130" s="45" t="s">
        <v>120</v>
      </c>
      <c r="CV130" s="45" t="s">
        <v>119</v>
      </c>
      <c r="CW130" s="45" t="s">
        <v>15</v>
      </c>
      <c r="CX130" s="45" t="s">
        <v>131</v>
      </c>
      <c r="CY130" s="45" t="s">
        <v>106</v>
      </c>
      <c r="CZ130" s="45" t="s">
        <v>112</v>
      </c>
      <c r="DA130" s="45" t="s">
        <v>20</v>
      </c>
      <c r="DB130" s="45" t="s">
        <v>51</v>
      </c>
      <c r="DC130" s="45" t="s">
        <v>115</v>
      </c>
      <c r="DD130" s="45" t="s">
        <v>37</v>
      </c>
      <c r="DE130" s="45" t="s">
        <v>105</v>
      </c>
      <c r="DF130" s="45" t="s">
        <v>20</v>
      </c>
      <c r="DG130" s="45" t="s">
        <v>50</v>
      </c>
      <c r="DH130" s="45" t="s">
        <v>124</v>
      </c>
      <c r="DI130" s="45" t="s">
        <v>105</v>
      </c>
      <c r="DJ130" s="45" t="s">
        <v>105</v>
      </c>
      <c r="DK130" s="45" t="s">
        <v>50</v>
      </c>
      <c r="DL130" s="45" t="s">
        <v>149</v>
      </c>
      <c r="DM130" s="45" t="s">
        <v>122</v>
      </c>
      <c r="DN130" s="45" t="s">
        <v>77</v>
      </c>
      <c r="DO130" s="45" t="s">
        <v>77</v>
      </c>
      <c r="DP130" s="45" t="s">
        <v>122</v>
      </c>
      <c r="DQ130" s="45" t="s">
        <v>39</v>
      </c>
      <c r="DR130" s="45" t="s">
        <v>73</v>
      </c>
      <c r="DS130" s="45" t="s">
        <v>73</v>
      </c>
      <c r="DT130" s="45" t="s">
        <v>20</v>
      </c>
      <c r="DU130" s="45" t="s">
        <v>14</v>
      </c>
      <c r="DV130" s="45" t="s">
        <v>105</v>
      </c>
      <c r="DW130" s="45" t="s">
        <v>105</v>
      </c>
      <c r="DX130" s="45" t="s">
        <v>39</v>
      </c>
      <c r="DY130" s="45" t="s">
        <v>39</v>
      </c>
      <c r="DZ130" s="45" t="s">
        <v>68</v>
      </c>
      <c r="EA130" s="45" t="s">
        <v>20</v>
      </c>
      <c r="EB130" s="45" t="s">
        <v>20</v>
      </c>
      <c r="EC130" s="45" t="s">
        <v>122</v>
      </c>
      <c r="ED130" s="45" t="s">
        <v>15</v>
      </c>
      <c r="EE130" s="45" t="s">
        <v>39</v>
      </c>
      <c r="EF130" s="45" t="s">
        <v>39</v>
      </c>
      <c r="EG130" s="45" t="s">
        <v>39</v>
      </c>
      <c r="EH130" s="45" t="s">
        <v>15</v>
      </c>
      <c r="EI130" s="45" t="s">
        <v>15</v>
      </c>
      <c r="EJ130" s="45" t="s">
        <v>15</v>
      </c>
    </row>
    <row r="131" customFormat="false" ht="15.75" hidden="false" customHeight="false" outlineLevel="0" collapsed="false">
      <c r="A131" s="249" t="n">
        <v>104</v>
      </c>
      <c r="B131" s="250" t="s">
        <v>97</v>
      </c>
      <c r="C131" s="45" t="s">
        <v>29</v>
      </c>
      <c r="D131" s="45" t="s">
        <v>43</v>
      </c>
      <c r="E131" s="45" t="s">
        <v>121</v>
      </c>
      <c r="F131" s="45" t="s">
        <v>43</v>
      </c>
      <c r="G131" s="45" t="s">
        <v>89</v>
      </c>
      <c r="H131" s="45" t="s">
        <v>13</v>
      </c>
      <c r="I131" s="45" t="s">
        <v>89</v>
      </c>
      <c r="J131" s="45" t="s">
        <v>142</v>
      </c>
      <c r="K131" s="45" t="s">
        <v>84</v>
      </c>
      <c r="L131" s="45" t="s">
        <v>36</v>
      </c>
      <c r="M131" s="45" t="s">
        <v>14</v>
      </c>
      <c r="N131" s="45" t="s">
        <v>44</v>
      </c>
      <c r="O131" s="45" t="s">
        <v>36</v>
      </c>
      <c r="P131" s="45" t="s">
        <v>142</v>
      </c>
      <c r="Q131" s="45" t="s">
        <v>142</v>
      </c>
      <c r="R131" s="45" t="s">
        <v>43</v>
      </c>
      <c r="S131" s="45" t="s">
        <v>44</v>
      </c>
      <c r="T131" s="45" t="s">
        <v>34</v>
      </c>
      <c r="U131" s="45" t="s">
        <v>44</v>
      </c>
      <c r="V131" s="45" t="s">
        <v>43</v>
      </c>
      <c r="W131" s="45" t="s">
        <v>120</v>
      </c>
      <c r="X131" s="45" t="s">
        <v>143</v>
      </c>
      <c r="Y131" s="45" t="s">
        <v>25</v>
      </c>
      <c r="Z131" s="45" t="s">
        <v>120</v>
      </c>
      <c r="AA131" s="45" t="s">
        <v>58</v>
      </c>
      <c r="AB131" s="45" t="s">
        <v>29</v>
      </c>
      <c r="AC131" s="45" t="s">
        <v>43</v>
      </c>
      <c r="AD131" s="45" t="s">
        <v>133</v>
      </c>
      <c r="AE131" s="45" t="s">
        <v>145</v>
      </c>
      <c r="AF131" s="45" t="s">
        <v>13</v>
      </c>
      <c r="AG131" s="45" t="s">
        <v>58</v>
      </c>
      <c r="AH131" s="45" t="s">
        <v>12</v>
      </c>
      <c r="AI131" s="45" t="s">
        <v>13</v>
      </c>
      <c r="AJ131" s="45" t="s">
        <v>143</v>
      </c>
      <c r="AK131" s="45" t="s">
        <v>143</v>
      </c>
      <c r="AL131" s="45" t="s">
        <v>89</v>
      </c>
      <c r="AM131" s="45" t="s">
        <v>89</v>
      </c>
      <c r="AN131" s="45" t="s">
        <v>149</v>
      </c>
      <c r="AO131" s="45" t="s">
        <v>124</v>
      </c>
      <c r="AP131" s="45" t="s">
        <v>25</v>
      </c>
      <c r="AQ131" s="45" t="s">
        <v>77</v>
      </c>
      <c r="AR131" s="45" t="s">
        <v>12</v>
      </c>
      <c r="AS131" s="45" t="s">
        <v>77</v>
      </c>
      <c r="AT131" s="45" t="s">
        <v>12</v>
      </c>
      <c r="AU131" s="45" t="s">
        <v>50</v>
      </c>
      <c r="AV131" s="45" t="s">
        <v>116</v>
      </c>
      <c r="AW131" s="45" t="s">
        <v>110</v>
      </c>
      <c r="AX131" s="45" t="s">
        <v>110</v>
      </c>
      <c r="AY131" s="45" t="s">
        <v>117</v>
      </c>
      <c r="AZ131" s="45" t="s">
        <v>115</v>
      </c>
      <c r="BA131" s="45" t="s">
        <v>12</v>
      </c>
      <c r="BB131" s="45" t="s">
        <v>145</v>
      </c>
      <c r="BC131" s="45" t="s">
        <v>143</v>
      </c>
      <c r="BD131" s="45" t="s">
        <v>84</v>
      </c>
      <c r="BE131" s="45" t="s">
        <v>77</v>
      </c>
      <c r="BF131" s="45" t="s">
        <v>26</v>
      </c>
      <c r="BG131" s="45" t="s">
        <v>26</v>
      </c>
      <c r="BH131" s="45" t="s">
        <v>26</v>
      </c>
      <c r="BI131" s="45" t="s">
        <v>26</v>
      </c>
      <c r="BJ131" s="45" t="s">
        <v>145</v>
      </c>
      <c r="BK131" s="45" t="s">
        <v>122</v>
      </c>
      <c r="BL131" s="45" t="s">
        <v>14</v>
      </c>
      <c r="BM131" s="45" t="s">
        <v>116</v>
      </c>
      <c r="BN131" s="45" t="s">
        <v>50</v>
      </c>
      <c r="BO131" s="45" t="s">
        <v>115</v>
      </c>
      <c r="BP131" s="45" t="s">
        <v>152</v>
      </c>
      <c r="BQ131" s="45" t="s">
        <v>18</v>
      </c>
      <c r="BR131" s="45" t="s">
        <v>82</v>
      </c>
      <c r="BS131" s="45" t="s">
        <v>105</v>
      </c>
      <c r="BT131" s="45" t="s">
        <v>12</v>
      </c>
      <c r="BU131" s="45" t="s">
        <v>18</v>
      </c>
      <c r="BV131" s="45" t="s">
        <v>51</v>
      </c>
      <c r="BW131" s="45" t="s">
        <v>120</v>
      </c>
      <c r="BX131" s="45" t="s">
        <v>143</v>
      </c>
      <c r="BY131" s="45" t="s">
        <v>51</v>
      </c>
      <c r="BZ131" s="45" t="s">
        <v>51</v>
      </c>
      <c r="CA131" s="45" t="s">
        <v>138</v>
      </c>
      <c r="CB131" s="45" t="s">
        <v>138</v>
      </c>
      <c r="CC131" s="45" t="s">
        <v>84</v>
      </c>
      <c r="CD131" s="45" t="s">
        <v>51</v>
      </c>
      <c r="CE131" s="45" t="s">
        <v>18</v>
      </c>
      <c r="CF131" s="45" t="s">
        <v>77</v>
      </c>
      <c r="CG131" s="45" t="s">
        <v>89</v>
      </c>
      <c r="CH131" s="45" t="s">
        <v>131</v>
      </c>
      <c r="CI131" s="45" t="s">
        <v>106</v>
      </c>
      <c r="CJ131" s="45" t="s">
        <v>131</v>
      </c>
      <c r="CK131" s="45" t="s">
        <v>20</v>
      </c>
      <c r="CL131" s="45" t="s">
        <v>82</v>
      </c>
      <c r="CM131" s="45" t="s">
        <v>153</v>
      </c>
      <c r="CN131" s="45" t="s">
        <v>25</v>
      </c>
      <c r="CO131" s="45" t="s">
        <v>26</v>
      </c>
      <c r="CP131" s="45" t="s">
        <v>145</v>
      </c>
      <c r="CQ131" s="45" t="s">
        <v>119</v>
      </c>
      <c r="CR131" s="45" t="s">
        <v>138</v>
      </c>
      <c r="CS131" s="45" t="s">
        <v>14</v>
      </c>
      <c r="CT131" s="45" t="s">
        <v>142</v>
      </c>
      <c r="CU131" s="45" t="s">
        <v>58</v>
      </c>
      <c r="CV131" s="45" t="s">
        <v>14</v>
      </c>
      <c r="CW131" s="45" t="s">
        <v>73</v>
      </c>
      <c r="CX131" s="45" t="s">
        <v>153</v>
      </c>
      <c r="CY131" s="45" t="s">
        <v>152</v>
      </c>
      <c r="CZ131" s="45" t="s">
        <v>105</v>
      </c>
      <c r="DA131" s="45" t="s">
        <v>105</v>
      </c>
      <c r="DB131" s="45" t="s">
        <v>133</v>
      </c>
      <c r="DC131" s="45" t="s">
        <v>51</v>
      </c>
      <c r="DD131" s="45" t="s">
        <v>115</v>
      </c>
      <c r="DE131" s="45" t="s">
        <v>122</v>
      </c>
      <c r="DF131" s="45" t="s">
        <v>20</v>
      </c>
      <c r="DG131" s="45" t="s">
        <v>117</v>
      </c>
      <c r="DH131" s="45" t="s">
        <v>149</v>
      </c>
      <c r="DI131" s="45" t="s">
        <v>122</v>
      </c>
      <c r="DJ131" s="45" t="s">
        <v>122</v>
      </c>
      <c r="DK131" s="45" t="s">
        <v>117</v>
      </c>
      <c r="DL131" s="45" t="s">
        <v>117</v>
      </c>
      <c r="DM131" s="45" t="s">
        <v>99</v>
      </c>
      <c r="DN131" s="45" t="s">
        <v>77</v>
      </c>
      <c r="DO131" s="45" t="s">
        <v>26</v>
      </c>
      <c r="DP131" s="45" t="s">
        <v>99</v>
      </c>
      <c r="DQ131" s="45" t="s">
        <v>39</v>
      </c>
      <c r="DR131" s="45" t="s">
        <v>20</v>
      </c>
      <c r="DS131" s="45" t="s">
        <v>73</v>
      </c>
      <c r="DT131" s="45" t="s">
        <v>98</v>
      </c>
      <c r="DU131" s="45" t="s">
        <v>138</v>
      </c>
      <c r="DV131" s="45" t="s">
        <v>122</v>
      </c>
      <c r="DW131" s="45" t="s">
        <v>122</v>
      </c>
      <c r="DX131" s="45" t="s">
        <v>15</v>
      </c>
      <c r="DY131" s="45" t="s">
        <v>39</v>
      </c>
      <c r="DZ131" s="45" t="s">
        <v>20</v>
      </c>
      <c r="EA131" s="45" t="s">
        <v>97</v>
      </c>
      <c r="EB131" s="45" t="s">
        <v>20</v>
      </c>
      <c r="EC131" s="45" t="s">
        <v>82</v>
      </c>
      <c r="ED131" s="45" t="s">
        <v>73</v>
      </c>
      <c r="EE131" s="45" t="s">
        <v>15</v>
      </c>
      <c r="EF131" s="45" t="s">
        <v>15</v>
      </c>
      <c r="EG131" s="45" t="s">
        <v>15</v>
      </c>
      <c r="EH131" s="45" t="s">
        <v>73</v>
      </c>
      <c r="EI131" s="45" t="s">
        <v>73</v>
      </c>
      <c r="EJ131" s="45" t="s">
        <v>15</v>
      </c>
    </row>
    <row r="132" customFormat="false" ht="15.75" hidden="false" customHeight="false" outlineLevel="0" collapsed="false">
      <c r="A132" s="249" t="n">
        <v>104</v>
      </c>
      <c r="B132" s="250" t="s">
        <v>98</v>
      </c>
      <c r="C132" s="45" t="s">
        <v>43</v>
      </c>
      <c r="D132" s="45" t="s">
        <v>89</v>
      </c>
      <c r="E132" s="45" t="s">
        <v>43</v>
      </c>
      <c r="F132" s="45" t="s">
        <v>44</v>
      </c>
      <c r="G132" s="45" t="s">
        <v>36</v>
      </c>
      <c r="H132" s="45" t="s">
        <v>58</v>
      </c>
      <c r="I132" s="45" t="s">
        <v>44</v>
      </c>
      <c r="J132" s="45" t="s">
        <v>120</v>
      </c>
      <c r="K132" s="45" t="s">
        <v>143</v>
      </c>
      <c r="L132" s="45" t="s">
        <v>116</v>
      </c>
      <c r="M132" s="45" t="s">
        <v>117</v>
      </c>
      <c r="N132" s="45" t="s">
        <v>13</v>
      </c>
      <c r="O132" s="45" t="s">
        <v>13</v>
      </c>
      <c r="P132" s="45" t="s">
        <v>120</v>
      </c>
      <c r="Q132" s="45" t="s">
        <v>120</v>
      </c>
      <c r="R132" s="45" t="s">
        <v>89</v>
      </c>
      <c r="S132" s="45" t="s">
        <v>36</v>
      </c>
      <c r="T132" s="45" t="s">
        <v>43</v>
      </c>
      <c r="U132" s="45" t="s">
        <v>13</v>
      </c>
      <c r="V132" s="45" t="s">
        <v>89</v>
      </c>
      <c r="W132" s="45" t="s">
        <v>25</v>
      </c>
      <c r="X132" s="45" t="s">
        <v>143</v>
      </c>
      <c r="Y132" s="45" t="s">
        <v>84</v>
      </c>
      <c r="Z132" s="45" t="s">
        <v>25</v>
      </c>
      <c r="AA132" s="45" t="s">
        <v>142</v>
      </c>
      <c r="AB132" s="45" t="s">
        <v>43</v>
      </c>
      <c r="AC132" s="45" t="s">
        <v>89</v>
      </c>
      <c r="AD132" s="45" t="s">
        <v>51</v>
      </c>
      <c r="AE132" s="45" t="s">
        <v>26</v>
      </c>
      <c r="AF132" s="45" t="s">
        <v>116</v>
      </c>
      <c r="AG132" s="45" t="s">
        <v>142</v>
      </c>
      <c r="AH132" s="45" t="s">
        <v>133</v>
      </c>
      <c r="AI132" s="45" t="s">
        <v>58</v>
      </c>
      <c r="AJ132" s="45" t="s">
        <v>145</v>
      </c>
      <c r="AK132" s="45" t="s">
        <v>145</v>
      </c>
      <c r="AL132" s="45" t="s">
        <v>44</v>
      </c>
      <c r="AM132" s="45" t="s">
        <v>44</v>
      </c>
      <c r="AN132" s="45" t="s">
        <v>124</v>
      </c>
      <c r="AO132" s="45" t="s">
        <v>99</v>
      </c>
      <c r="AP132" s="45" t="s">
        <v>84</v>
      </c>
      <c r="AQ132" s="45" t="s">
        <v>12</v>
      </c>
      <c r="AR132" s="45" t="s">
        <v>51</v>
      </c>
      <c r="AS132" s="45" t="s">
        <v>12</v>
      </c>
      <c r="AT132" s="45" t="s">
        <v>133</v>
      </c>
      <c r="AU132" s="45" t="s">
        <v>82</v>
      </c>
      <c r="AV132" s="45" t="s">
        <v>58</v>
      </c>
      <c r="AW132" s="45" t="s">
        <v>138</v>
      </c>
      <c r="AX132" s="45" t="s">
        <v>138</v>
      </c>
      <c r="AY132" s="45" t="s">
        <v>119</v>
      </c>
      <c r="AZ132" s="45" t="s">
        <v>18</v>
      </c>
      <c r="BA132" s="45" t="s">
        <v>133</v>
      </c>
      <c r="BB132" s="45" t="s">
        <v>26</v>
      </c>
      <c r="BC132" s="45" t="s">
        <v>145</v>
      </c>
      <c r="BD132" s="45" t="s">
        <v>143</v>
      </c>
      <c r="BE132" s="45" t="s">
        <v>12</v>
      </c>
      <c r="BF132" s="45" t="s">
        <v>26</v>
      </c>
      <c r="BG132" s="45" t="s">
        <v>77</v>
      </c>
      <c r="BH132" s="45" t="s">
        <v>77</v>
      </c>
      <c r="BI132" s="45" t="s">
        <v>26</v>
      </c>
      <c r="BJ132" s="45" t="s">
        <v>26</v>
      </c>
      <c r="BK132" s="45" t="s">
        <v>122</v>
      </c>
      <c r="BL132" s="45" t="s">
        <v>117</v>
      </c>
      <c r="BM132" s="45" t="s">
        <v>142</v>
      </c>
      <c r="BN132" s="45" t="s">
        <v>82</v>
      </c>
      <c r="BO132" s="45" t="s">
        <v>18</v>
      </c>
      <c r="BP132" s="45" t="s">
        <v>131</v>
      </c>
      <c r="BQ132" s="45" t="s">
        <v>153</v>
      </c>
      <c r="BR132" s="45" t="s">
        <v>122</v>
      </c>
      <c r="BS132" s="45" t="s">
        <v>20</v>
      </c>
      <c r="BT132" s="45" t="s">
        <v>51</v>
      </c>
      <c r="BU132" s="45" t="s">
        <v>153</v>
      </c>
      <c r="BV132" s="45" t="s">
        <v>115</v>
      </c>
      <c r="BW132" s="45" t="s">
        <v>25</v>
      </c>
      <c r="BX132" s="45" t="s">
        <v>145</v>
      </c>
      <c r="BY132" s="45" t="s">
        <v>115</v>
      </c>
      <c r="BZ132" s="45" t="s">
        <v>67</v>
      </c>
      <c r="CA132" s="45" t="s">
        <v>14</v>
      </c>
      <c r="CB132" s="45" t="s">
        <v>14</v>
      </c>
      <c r="CC132" s="45" t="s">
        <v>143</v>
      </c>
      <c r="CD132" s="45" t="s">
        <v>51</v>
      </c>
      <c r="CE132" s="45" t="s">
        <v>153</v>
      </c>
      <c r="CF132" s="45" t="s">
        <v>12</v>
      </c>
      <c r="CG132" s="45" t="s">
        <v>36</v>
      </c>
      <c r="CH132" s="45" t="s">
        <v>106</v>
      </c>
      <c r="CI132" s="45" t="s">
        <v>110</v>
      </c>
      <c r="CJ132" s="45" t="s">
        <v>110</v>
      </c>
      <c r="CK132" s="45" t="s">
        <v>20</v>
      </c>
      <c r="CL132" s="45" t="s">
        <v>99</v>
      </c>
      <c r="CM132" s="45" t="s">
        <v>131</v>
      </c>
      <c r="CN132" s="45" t="s">
        <v>143</v>
      </c>
      <c r="CO132" s="45" t="s">
        <v>77</v>
      </c>
      <c r="CP132" s="45" t="s">
        <v>26</v>
      </c>
      <c r="CQ132" s="45" t="s">
        <v>50</v>
      </c>
      <c r="CR132" s="45" t="s">
        <v>14</v>
      </c>
      <c r="CS132" s="45" t="s">
        <v>117</v>
      </c>
      <c r="CT132" s="45" t="s">
        <v>120</v>
      </c>
      <c r="CU132" s="45" t="s">
        <v>120</v>
      </c>
      <c r="CV132" s="45" t="s">
        <v>117</v>
      </c>
      <c r="CW132" s="45" t="s">
        <v>15</v>
      </c>
      <c r="CX132" s="45" t="s">
        <v>152</v>
      </c>
      <c r="CY132" s="45" t="s">
        <v>131</v>
      </c>
      <c r="CZ132" s="45" t="s">
        <v>105</v>
      </c>
      <c r="DA132" s="45" t="s">
        <v>20</v>
      </c>
      <c r="DB132" s="45" t="s">
        <v>51</v>
      </c>
      <c r="DC132" s="45" t="s">
        <v>115</v>
      </c>
      <c r="DD132" s="45" t="s">
        <v>18</v>
      </c>
      <c r="DE132" s="45" t="s">
        <v>105</v>
      </c>
      <c r="DF132" s="45" t="s">
        <v>20</v>
      </c>
      <c r="DG132" s="45" t="s">
        <v>149</v>
      </c>
      <c r="DH132" s="45" t="s">
        <v>124</v>
      </c>
      <c r="DI132" s="45" t="s">
        <v>105</v>
      </c>
      <c r="DJ132" s="45" t="s">
        <v>105</v>
      </c>
      <c r="DK132" s="45" t="s">
        <v>50</v>
      </c>
      <c r="DL132" s="45" t="s">
        <v>149</v>
      </c>
      <c r="DM132" s="45" t="s">
        <v>122</v>
      </c>
      <c r="DN132" s="45" t="s">
        <v>77</v>
      </c>
      <c r="DO132" s="45" t="s">
        <v>77</v>
      </c>
      <c r="DP132" s="45" t="s">
        <v>122</v>
      </c>
      <c r="DQ132" s="45" t="s">
        <v>39</v>
      </c>
      <c r="DR132" s="45" t="s">
        <v>73</v>
      </c>
      <c r="DS132" s="45" t="s">
        <v>73</v>
      </c>
      <c r="DT132" s="45" t="s">
        <v>20</v>
      </c>
      <c r="DU132" s="45" t="s">
        <v>14</v>
      </c>
      <c r="DV132" s="45" t="s">
        <v>105</v>
      </c>
      <c r="DW132" s="45" t="s">
        <v>105</v>
      </c>
      <c r="DX132" s="45" t="s">
        <v>39</v>
      </c>
      <c r="DY132" s="45" t="s">
        <v>39</v>
      </c>
      <c r="DZ132" s="45" t="s">
        <v>20</v>
      </c>
      <c r="EA132" s="45" t="s">
        <v>20</v>
      </c>
      <c r="EB132" s="45" t="s">
        <v>98</v>
      </c>
      <c r="EC132" s="45" t="s">
        <v>122</v>
      </c>
      <c r="ED132" s="45" t="s">
        <v>73</v>
      </c>
      <c r="EE132" s="45" t="s">
        <v>39</v>
      </c>
      <c r="EF132" s="45" t="s">
        <v>15</v>
      </c>
      <c r="EG132" s="45" t="s">
        <v>39</v>
      </c>
      <c r="EH132" s="45" t="s">
        <v>15</v>
      </c>
      <c r="EI132" s="45" t="s">
        <v>15</v>
      </c>
      <c r="EJ132" s="45" t="s">
        <v>15</v>
      </c>
    </row>
    <row r="133" customFormat="false" ht="15.75" hidden="false" customHeight="false" outlineLevel="0" collapsed="false">
      <c r="A133" s="249" t="n">
        <v>105</v>
      </c>
      <c r="B133" s="250" t="s">
        <v>53</v>
      </c>
      <c r="C133" s="45" t="s">
        <v>48</v>
      </c>
      <c r="D133" s="45" t="s">
        <v>48</v>
      </c>
      <c r="E133" s="45" t="s">
        <v>31</v>
      </c>
      <c r="F133" s="45" t="s">
        <v>47</v>
      </c>
      <c r="G133" s="45" t="s">
        <v>104</v>
      </c>
      <c r="H133" s="45" t="s">
        <v>43</v>
      </c>
      <c r="I133" s="45" t="s">
        <v>104</v>
      </c>
      <c r="J133" s="45" t="s">
        <v>44</v>
      </c>
      <c r="K133" s="45" t="s">
        <v>58</v>
      </c>
      <c r="L133" s="45" t="s">
        <v>29</v>
      </c>
      <c r="M133" s="45" t="s">
        <v>131</v>
      </c>
      <c r="N133" s="45" t="s">
        <v>34</v>
      </c>
      <c r="O133" s="45" t="s">
        <v>29</v>
      </c>
      <c r="P133" s="45" t="s">
        <v>36</v>
      </c>
      <c r="Q133" s="45" t="s">
        <v>36</v>
      </c>
      <c r="R133" s="45" t="s">
        <v>108</v>
      </c>
      <c r="S133" s="45" t="s">
        <v>121</v>
      </c>
      <c r="T133" s="45" t="s">
        <v>31</v>
      </c>
      <c r="U133" s="45" t="s">
        <v>121</v>
      </c>
      <c r="V133" s="45" t="s">
        <v>108</v>
      </c>
      <c r="W133" s="45" t="s">
        <v>36</v>
      </c>
      <c r="X133" s="45" t="s">
        <v>142</v>
      </c>
      <c r="Y133" s="45" t="s">
        <v>116</v>
      </c>
      <c r="Z133" s="45" t="s">
        <v>13</v>
      </c>
      <c r="AA133" s="45" t="s">
        <v>89</v>
      </c>
      <c r="AB133" s="45" t="s">
        <v>48</v>
      </c>
      <c r="AC133" s="45" t="s">
        <v>108</v>
      </c>
      <c r="AD133" s="45" t="s">
        <v>26</v>
      </c>
      <c r="AE133" s="45" t="s">
        <v>25</v>
      </c>
      <c r="AF133" s="45" t="s">
        <v>43</v>
      </c>
      <c r="AG133" s="45" t="s">
        <v>89</v>
      </c>
      <c r="AH133" s="45" t="s">
        <v>26</v>
      </c>
      <c r="AI133" s="45" t="s">
        <v>43</v>
      </c>
      <c r="AJ133" s="45" t="s">
        <v>120</v>
      </c>
      <c r="AK133" s="45" t="s">
        <v>120</v>
      </c>
      <c r="AL133" s="45" t="s">
        <v>47</v>
      </c>
      <c r="AM133" s="45" t="s">
        <v>47</v>
      </c>
      <c r="AN133" s="45" t="s">
        <v>138</v>
      </c>
      <c r="AO133" s="45" t="s">
        <v>14</v>
      </c>
      <c r="AP133" s="45" t="s">
        <v>116</v>
      </c>
      <c r="AQ133" s="45" t="s">
        <v>145</v>
      </c>
      <c r="AR133" s="45" t="s">
        <v>26</v>
      </c>
      <c r="AS133" s="45" t="s">
        <v>26</v>
      </c>
      <c r="AT133" s="45" t="s">
        <v>26</v>
      </c>
      <c r="AU133" s="45" t="s">
        <v>138</v>
      </c>
      <c r="AV133" s="45" t="s">
        <v>43</v>
      </c>
      <c r="AW133" s="45" t="s">
        <v>153</v>
      </c>
      <c r="AX133" s="45" t="s">
        <v>153</v>
      </c>
      <c r="AY133" s="45" t="s">
        <v>106</v>
      </c>
      <c r="AZ133" s="45" t="s">
        <v>12</v>
      </c>
      <c r="BA133" s="45" t="s">
        <v>26</v>
      </c>
      <c r="BB133" s="45" t="s">
        <v>120</v>
      </c>
      <c r="BC133" s="45" t="s">
        <v>142</v>
      </c>
      <c r="BD133" s="45" t="s">
        <v>142</v>
      </c>
      <c r="BE133" s="45" t="s">
        <v>145</v>
      </c>
      <c r="BF133" s="45" t="s">
        <v>84</v>
      </c>
      <c r="BG133" s="45" t="s">
        <v>84</v>
      </c>
      <c r="BH133" s="45" t="s">
        <v>143</v>
      </c>
      <c r="BI133" s="45" t="s">
        <v>25</v>
      </c>
      <c r="BJ133" s="45" t="s">
        <v>25</v>
      </c>
      <c r="BK133" s="45" t="s">
        <v>119</v>
      </c>
      <c r="BL133" s="45" t="s">
        <v>131</v>
      </c>
      <c r="BM133" s="45" t="s">
        <v>89</v>
      </c>
      <c r="BN133" s="45" t="s">
        <v>14</v>
      </c>
      <c r="BO133" s="45" t="s">
        <v>77</v>
      </c>
      <c r="BP133" s="45" t="s">
        <v>115</v>
      </c>
      <c r="BQ133" s="45" t="s">
        <v>12</v>
      </c>
      <c r="BR133" s="45" t="s">
        <v>117</v>
      </c>
      <c r="BS133" s="45" t="s">
        <v>82</v>
      </c>
      <c r="BT133" s="45" t="s">
        <v>26</v>
      </c>
      <c r="BU133" s="45" t="s">
        <v>133</v>
      </c>
      <c r="BV133" s="45" t="s">
        <v>77</v>
      </c>
      <c r="BW133" s="45" t="s">
        <v>13</v>
      </c>
      <c r="BX133" s="45" t="s">
        <v>120</v>
      </c>
      <c r="BY133" s="45" t="s">
        <v>77</v>
      </c>
      <c r="BZ133" s="45" t="s">
        <v>77</v>
      </c>
      <c r="CA133" s="45" t="s">
        <v>152</v>
      </c>
      <c r="CB133" s="45" t="s">
        <v>152</v>
      </c>
      <c r="CC133" s="45" t="s">
        <v>58</v>
      </c>
      <c r="CD133" s="45" t="s">
        <v>77</v>
      </c>
      <c r="CE133" s="45" t="s">
        <v>133</v>
      </c>
      <c r="CF133" s="45" t="s">
        <v>145</v>
      </c>
      <c r="CG133" s="45" t="s">
        <v>104</v>
      </c>
      <c r="CH133" s="45" t="s">
        <v>115</v>
      </c>
      <c r="CI133" s="45" t="s">
        <v>18</v>
      </c>
      <c r="CJ133" s="45" t="s">
        <v>18</v>
      </c>
      <c r="CK133" s="45" t="s">
        <v>99</v>
      </c>
      <c r="CL133" s="45" t="s">
        <v>14</v>
      </c>
      <c r="CM133" s="45" t="s">
        <v>51</v>
      </c>
      <c r="CN133" s="45" t="s">
        <v>58</v>
      </c>
      <c r="CO133" s="45" t="s">
        <v>143</v>
      </c>
      <c r="CP133" s="45" t="s">
        <v>25</v>
      </c>
      <c r="CQ133" s="45" t="s">
        <v>138</v>
      </c>
      <c r="CR133" s="45" t="s">
        <v>131</v>
      </c>
      <c r="CS133" s="45" t="s">
        <v>131</v>
      </c>
      <c r="CT133" s="45" t="s">
        <v>44</v>
      </c>
      <c r="CU133" s="45" t="s">
        <v>44</v>
      </c>
      <c r="CV133" s="45" t="s">
        <v>106</v>
      </c>
      <c r="CW133" s="45" t="s">
        <v>105</v>
      </c>
      <c r="CX133" s="45" t="s">
        <v>51</v>
      </c>
      <c r="CY133" s="45" t="s">
        <v>115</v>
      </c>
      <c r="CZ133" s="45" t="s">
        <v>124</v>
      </c>
      <c r="DA133" s="45" t="s">
        <v>124</v>
      </c>
      <c r="DB133" s="45" t="s">
        <v>77</v>
      </c>
      <c r="DC133" s="45" t="s">
        <v>77</v>
      </c>
      <c r="DD133" s="45" t="s">
        <v>12</v>
      </c>
      <c r="DE133" s="45" t="s">
        <v>149</v>
      </c>
      <c r="DF133" s="45" t="s">
        <v>99</v>
      </c>
      <c r="DG133" s="45" t="s">
        <v>110</v>
      </c>
      <c r="DH133" s="45" t="s">
        <v>138</v>
      </c>
      <c r="DI133" s="45" t="s">
        <v>50</v>
      </c>
      <c r="DJ133" s="45" t="s">
        <v>50</v>
      </c>
      <c r="DK133" s="45" t="s">
        <v>110</v>
      </c>
      <c r="DL133" s="45" t="s">
        <v>110</v>
      </c>
      <c r="DM133" s="45" t="s">
        <v>117</v>
      </c>
      <c r="DN133" s="45" t="s">
        <v>143</v>
      </c>
      <c r="DO133" s="45" t="s">
        <v>143</v>
      </c>
      <c r="DP133" s="45" t="s">
        <v>117</v>
      </c>
      <c r="DQ133" s="45" t="s">
        <v>73</v>
      </c>
      <c r="DR133" s="45" t="s">
        <v>122</v>
      </c>
      <c r="DS133" s="45" t="s">
        <v>105</v>
      </c>
      <c r="DT133" s="45" t="s">
        <v>82</v>
      </c>
      <c r="DU133" s="45" t="s">
        <v>88</v>
      </c>
      <c r="DV133" s="45" t="s">
        <v>149</v>
      </c>
      <c r="DW133" s="45" t="s">
        <v>149</v>
      </c>
      <c r="DX133" s="45" t="s">
        <v>20</v>
      </c>
      <c r="DY133" s="45" t="s">
        <v>73</v>
      </c>
      <c r="DZ133" s="45" t="s">
        <v>122</v>
      </c>
      <c r="EA133" s="45" t="s">
        <v>82</v>
      </c>
      <c r="EB133" s="45" t="s">
        <v>122</v>
      </c>
      <c r="EC133" s="45" t="s">
        <v>53</v>
      </c>
      <c r="ED133" s="45" t="s">
        <v>105</v>
      </c>
      <c r="EE133" s="45" t="s">
        <v>20</v>
      </c>
      <c r="EF133" s="45" t="s">
        <v>20</v>
      </c>
      <c r="EG133" s="45" t="s">
        <v>20</v>
      </c>
      <c r="EH133" s="45" t="s">
        <v>105</v>
      </c>
      <c r="EI133" s="45" t="s">
        <v>20</v>
      </c>
      <c r="EJ133" s="45" t="s">
        <v>20</v>
      </c>
    </row>
    <row r="134" customFormat="false" ht="15.75" hidden="false" customHeight="false" outlineLevel="0" collapsed="false">
      <c r="A134" s="249" t="n">
        <v>106</v>
      </c>
      <c r="B134" s="250" t="s">
        <v>112</v>
      </c>
      <c r="C134" s="45" t="s">
        <v>36</v>
      </c>
      <c r="D134" s="45" t="s">
        <v>36</v>
      </c>
      <c r="E134" s="45" t="s">
        <v>44</v>
      </c>
      <c r="F134" s="45" t="s">
        <v>13</v>
      </c>
      <c r="G134" s="45" t="s">
        <v>58</v>
      </c>
      <c r="H134" s="45" t="s">
        <v>120</v>
      </c>
      <c r="I134" s="45" t="s">
        <v>116</v>
      </c>
      <c r="J134" s="45" t="s">
        <v>84</v>
      </c>
      <c r="K134" s="45" t="s">
        <v>26</v>
      </c>
      <c r="L134" s="45" t="s">
        <v>142</v>
      </c>
      <c r="M134" s="45" t="s">
        <v>50</v>
      </c>
      <c r="N134" s="45" t="s">
        <v>142</v>
      </c>
      <c r="O134" s="45" t="s">
        <v>142</v>
      </c>
      <c r="P134" s="45" t="s">
        <v>143</v>
      </c>
      <c r="Q134" s="45" t="s">
        <v>143</v>
      </c>
      <c r="R134" s="45" t="s">
        <v>13</v>
      </c>
      <c r="S134" s="45" t="s">
        <v>58</v>
      </c>
      <c r="T134" s="45" t="s">
        <v>44</v>
      </c>
      <c r="U134" s="45" t="s">
        <v>58</v>
      </c>
      <c r="V134" s="45" t="s">
        <v>36</v>
      </c>
      <c r="W134" s="45" t="s">
        <v>143</v>
      </c>
      <c r="X134" s="45" t="s">
        <v>26</v>
      </c>
      <c r="Y134" s="45" t="s">
        <v>145</v>
      </c>
      <c r="Z134" s="45" t="s">
        <v>143</v>
      </c>
      <c r="AA134" s="45" t="s">
        <v>25</v>
      </c>
      <c r="AB134" s="45" t="s">
        <v>44</v>
      </c>
      <c r="AC134" s="45" t="s">
        <v>13</v>
      </c>
      <c r="AD134" s="45" t="s">
        <v>18</v>
      </c>
      <c r="AE134" s="45" t="s">
        <v>77</v>
      </c>
      <c r="AF134" s="45" t="s">
        <v>120</v>
      </c>
      <c r="AG134" s="45" t="s">
        <v>25</v>
      </c>
      <c r="AH134" s="45" t="s">
        <v>115</v>
      </c>
      <c r="AI134" s="45" t="s">
        <v>120</v>
      </c>
      <c r="AJ134" s="45" t="s">
        <v>77</v>
      </c>
      <c r="AK134" s="45" t="s">
        <v>26</v>
      </c>
      <c r="AL134" s="45" t="s">
        <v>116</v>
      </c>
      <c r="AM134" s="45" t="s">
        <v>116</v>
      </c>
      <c r="AN134" s="45" t="s">
        <v>122</v>
      </c>
      <c r="AO134" s="45" t="s">
        <v>105</v>
      </c>
      <c r="AP134" s="45" t="s">
        <v>145</v>
      </c>
      <c r="AQ134" s="45" t="s">
        <v>51</v>
      </c>
      <c r="AR134" s="45" t="s">
        <v>115</v>
      </c>
      <c r="AS134" s="45" t="s">
        <v>51</v>
      </c>
      <c r="AT134" s="45" t="s">
        <v>115</v>
      </c>
      <c r="AU134" s="45" t="s">
        <v>122</v>
      </c>
      <c r="AV134" s="45" t="s">
        <v>120</v>
      </c>
      <c r="AW134" s="45" t="s">
        <v>117</v>
      </c>
      <c r="AX134" s="45" t="s">
        <v>117</v>
      </c>
      <c r="AY134" s="45" t="s">
        <v>82</v>
      </c>
      <c r="AZ134" s="45" t="s">
        <v>152</v>
      </c>
      <c r="BA134" s="45" t="s">
        <v>115</v>
      </c>
      <c r="BB134" s="45" t="s">
        <v>77</v>
      </c>
      <c r="BC134" s="45" t="s">
        <v>26</v>
      </c>
      <c r="BD134" s="45" t="s">
        <v>26</v>
      </c>
      <c r="BE134" s="45" t="s">
        <v>51</v>
      </c>
      <c r="BF134" s="45" t="s">
        <v>77</v>
      </c>
      <c r="BG134" s="45" t="s">
        <v>12</v>
      </c>
      <c r="BH134" s="45" t="s">
        <v>12</v>
      </c>
      <c r="BI134" s="45" t="s">
        <v>77</v>
      </c>
      <c r="BJ134" s="45" t="s">
        <v>77</v>
      </c>
      <c r="BK134" s="45" t="s">
        <v>20</v>
      </c>
      <c r="BL134" s="45" t="s">
        <v>124</v>
      </c>
      <c r="BM134" s="45" t="s">
        <v>25</v>
      </c>
      <c r="BN134" s="45" t="s">
        <v>122</v>
      </c>
      <c r="BO134" s="45" t="s">
        <v>88</v>
      </c>
      <c r="BP134" s="45" t="s">
        <v>138</v>
      </c>
      <c r="BQ134" s="45" t="s">
        <v>131</v>
      </c>
      <c r="BR134" s="45" t="s">
        <v>105</v>
      </c>
      <c r="BS134" s="45" t="s">
        <v>73</v>
      </c>
      <c r="BT134" s="45" t="s">
        <v>67</v>
      </c>
      <c r="BU134" s="45" t="s">
        <v>131</v>
      </c>
      <c r="BV134" s="45" t="s">
        <v>153</v>
      </c>
      <c r="BW134" s="45" t="s">
        <v>143</v>
      </c>
      <c r="BX134" s="45" t="s">
        <v>26</v>
      </c>
      <c r="BY134" s="45" t="s">
        <v>153</v>
      </c>
      <c r="BZ134" s="45" t="s">
        <v>153</v>
      </c>
      <c r="CA134" s="45" t="s">
        <v>119</v>
      </c>
      <c r="CB134" s="45" t="s">
        <v>149</v>
      </c>
      <c r="CC134" s="45" t="s">
        <v>26</v>
      </c>
      <c r="CD134" s="45" t="s">
        <v>18</v>
      </c>
      <c r="CE134" s="45" t="s">
        <v>131</v>
      </c>
      <c r="CF134" s="45" t="s">
        <v>51</v>
      </c>
      <c r="CG134" s="45" t="s">
        <v>116</v>
      </c>
      <c r="CH134" s="45" t="s">
        <v>138</v>
      </c>
      <c r="CI134" s="45" t="s">
        <v>14</v>
      </c>
      <c r="CJ134" s="45" t="s">
        <v>14</v>
      </c>
      <c r="CK134" s="45" t="s">
        <v>73</v>
      </c>
      <c r="CL134" s="45" t="s">
        <v>105</v>
      </c>
      <c r="CM134" s="45" t="s">
        <v>110</v>
      </c>
      <c r="CN134" s="45" t="s">
        <v>145</v>
      </c>
      <c r="CO134" s="45" t="s">
        <v>12</v>
      </c>
      <c r="CP134" s="45" t="s">
        <v>77</v>
      </c>
      <c r="CQ134" s="45" t="s">
        <v>99</v>
      </c>
      <c r="CR134" s="45" t="s">
        <v>149</v>
      </c>
      <c r="CS134" s="45" t="s">
        <v>50</v>
      </c>
      <c r="CT134" s="45" t="s">
        <v>84</v>
      </c>
      <c r="CU134" s="45" t="s">
        <v>25</v>
      </c>
      <c r="CV134" s="45" t="s">
        <v>124</v>
      </c>
      <c r="CW134" s="45" t="s">
        <v>39</v>
      </c>
      <c r="CX134" s="45" t="s">
        <v>110</v>
      </c>
      <c r="CY134" s="45" t="s">
        <v>138</v>
      </c>
      <c r="CZ134" s="45" t="s">
        <v>20</v>
      </c>
      <c r="DA134" s="45" t="s">
        <v>20</v>
      </c>
      <c r="DB134" s="45" t="s">
        <v>18</v>
      </c>
      <c r="DC134" s="45" t="s">
        <v>37</v>
      </c>
      <c r="DD134" s="45" t="s">
        <v>152</v>
      </c>
      <c r="DE134" s="45" t="s">
        <v>20</v>
      </c>
      <c r="DF134" s="45" t="s">
        <v>73</v>
      </c>
      <c r="DG134" s="45" t="s">
        <v>82</v>
      </c>
      <c r="DH134" s="45" t="s">
        <v>122</v>
      </c>
      <c r="DI134" s="45" t="s">
        <v>20</v>
      </c>
      <c r="DJ134" s="45" t="s">
        <v>20</v>
      </c>
      <c r="DK134" s="45" t="s">
        <v>99</v>
      </c>
      <c r="DL134" s="45" t="s">
        <v>82</v>
      </c>
      <c r="DM134" s="45" t="s">
        <v>20</v>
      </c>
      <c r="DN134" s="45" t="s">
        <v>133</v>
      </c>
      <c r="DO134" s="45" t="s">
        <v>12</v>
      </c>
      <c r="DP134" s="45" t="s">
        <v>105</v>
      </c>
      <c r="DQ134" s="45" t="s">
        <v>135</v>
      </c>
      <c r="DR134" s="45" t="s">
        <v>15</v>
      </c>
      <c r="DS134" s="45" t="s">
        <v>15</v>
      </c>
      <c r="DT134" s="45" t="s">
        <v>73</v>
      </c>
      <c r="DU134" s="45" t="s">
        <v>117</v>
      </c>
      <c r="DV134" s="45" t="s">
        <v>20</v>
      </c>
      <c r="DW134" s="45" t="s">
        <v>20</v>
      </c>
      <c r="DX134" s="45" t="s">
        <v>39</v>
      </c>
      <c r="DY134" s="45" t="s">
        <v>135</v>
      </c>
      <c r="DZ134" s="45" t="s">
        <v>15</v>
      </c>
      <c r="EA134" s="45" t="s">
        <v>73</v>
      </c>
      <c r="EB134" s="45" t="s">
        <v>73</v>
      </c>
      <c r="EC134" s="45" t="s">
        <v>105</v>
      </c>
      <c r="ED134" s="45" t="s">
        <v>112</v>
      </c>
      <c r="EE134" s="45" t="s">
        <v>39</v>
      </c>
      <c r="EF134" s="45" t="s">
        <v>39</v>
      </c>
      <c r="EG134" s="45" t="s">
        <v>39</v>
      </c>
      <c r="EH134" s="45" t="s">
        <v>39</v>
      </c>
      <c r="EI134" s="45" t="s">
        <v>39</v>
      </c>
      <c r="EJ134" s="45" t="s">
        <v>39</v>
      </c>
    </row>
    <row r="135" customFormat="false" ht="15.75" hidden="false" customHeight="false" outlineLevel="0" collapsed="false">
      <c r="A135" s="249" t="n">
        <v>107</v>
      </c>
      <c r="B135" s="250" t="s">
        <v>130</v>
      </c>
      <c r="C135" s="45" t="s">
        <v>58</v>
      </c>
      <c r="D135" s="45" t="s">
        <v>58</v>
      </c>
      <c r="E135" s="45" t="s">
        <v>116</v>
      </c>
      <c r="F135" s="45" t="s">
        <v>142</v>
      </c>
      <c r="G135" s="45" t="s">
        <v>120</v>
      </c>
      <c r="H135" s="45" t="s">
        <v>84</v>
      </c>
      <c r="I135" s="45" t="s">
        <v>120</v>
      </c>
      <c r="J135" s="45" t="s">
        <v>145</v>
      </c>
      <c r="K135" s="45" t="s">
        <v>77</v>
      </c>
      <c r="L135" s="45" t="s">
        <v>25</v>
      </c>
      <c r="M135" s="45" t="s">
        <v>122</v>
      </c>
      <c r="N135" s="45" t="s">
        <v>25</v>
      </c>
      <c r="O135" s="45" t="s">
        <v>25</v>
      </c>
      <c r="P135" s="45" t="s">
        <v>145</v>
      </c>
      <c r="Q135" s="45" t="s">
        <v>145</v>
      </c>
      <c r="R135" s="45" t="s">
        <v>142</v>
      </c>
      <c r="S135" s="45" t="s">
        <v>120</v>
      </c>
      <c r="T135" s="45" t="s">
        <v>116</v>
      </c>
      <c r="U135" s="45" t="s">
        <v>25</v>
      </c>
      <c r="V135" s="45" t="s">
        <v>58</v>
      </c>
      <c r="W135" s="45" t="s">
        <v>26</v>
      </c>
      <c r="X135" s="45" t="s">
        <v>77</v>
      </c>
      <c r="Y135" s="45" t="s">
        <v>26</v>
      </c>
      <c r="Z135" s="45" t="s">
        <v>26</v>
      </c>
      <c r="AA135" s="45" t="s">
        <v>143</v>
      </c>
      <c r="AB135" s="45" t="s">
        <v>58</v>
      </c>
      <c r="AC135" s="45" t="s">
        <v>142</v>
      </c>
      <c r="AD135" s="45" t="s">
        <v>152</v>
      </c>
      <c r="AE135" s="45" t="s">
        <v>133</v>
      </c>
      <c r="AF135" s="45" t="s">
        <v>84</v>
      </c>
      <c r="AG135" s="45" t="s">
        <v>143</v>
      </c>
      <c r="AH135" s="45" t="s">
        <v>153</v>
      </c>
      <c r="AI135" s="45" t="s">
        <v>143</v>
      </c>
      <c r="AJ135" s="45" t="s">
        <v>12</v>
      </c>
      <c r="AK135" s="45" t="s">
        <v>12</v>
      </c>
      <c r="AL135" s="45" t="s">
        <v>120</v>
      </c>
      <c r="AM135" s="45" t="s">
        <v>120</v>
      </c>
      <c r="AN135" s="45" t="s">
        <v>105</v>
      </c>
      <c r="AO135" s="45" t="s">
        <v>20</v>
      </c>
      <c r="AP135" s="45" t="s">
        <v>26</v>
      </c>
      <c r="AQ135" s="45" t="s">
        <v>18</v>
      </c>
      <c r="AR135" s="45" t="s">
        <v>153</v>
      </c>
      <c r="AS135" s="45" t="s">
        <v>37</v>
      </c>
      <c r="AT135" s="45" t="s">
        <v>153</v>
      </c>
      <c r="AU135" s="45" t="s">
        <v>20</v>
      </c>
      <c r="AV135" s="45" t="s">
        <v>143</v>
      </c>
      <c r="AW135" s="45" t="s">
        <v>124</v>
      </c>
      <c r="AX135" s="45" t="s">
        <v>124</v>
      </c>
      <c r="AY135" s="45" t="s">
        <v>122</v>
      </c>
      <c r="AZ135" s="45" t="s">
        <v>110</v>
      </c>
      <c r="BA135" s="45" t="s">
        <v>153</v>
      </c>
      <c r="BB135" s="45" t="s">
        <v>12</v>
      </c>
      <c r="BC135" s="45" t="s">
        <v>77</v>
      </c>
      <c r="BD135" s="45" t="s">
        <v>77</v>
      </c>
      <c r="BE135" s="45" t="s">
        <v>18</v>
      </c>
      <c r="BF135" s="45" t="s">
        <v>51</v>
      </c>
      <c r="BG135" s="45" t="s">
        <v>51</v>
      </c>
      <c r="BH135" s="45" t="s">
        <v>51</v>
      </c>
      <c r="BI135" s="45" t="s">
        <v>51</v>
      </c>
      <c r="BJ135" s="45" t="s">
        <v>12</v>
      </c>
      <c r="BK135" s="45" t="s">
        <v>73</v>
      </c>
      <c r="BL135" s="45" t="s">
        <v>122</v>
      </c>
      <c r="BM135" s="45" t="s">
        <v>143</v>
      </c>
      <c r="BN135" s="45" t="s">
        <v>20</v>
      </c>
      <c r="BO135" s="45" t="s">
        <v>106</v>
      </c>
      <c r="BP135" s="45" t="s">
        <v>117</v>
      </c>
      <c r="BQ135" s="45" t="s">
        <v>138</v>
      </c>
      <c r="BR135" s="45" t="s">
        <v>20</v>
      </c>
      <c r="BS135" s="45" t="s">
        <v>15</v>
      </c>
      <c r="BT135" s="45" t="s">
        <v>88</v>
      </c>
      <c r="BU135" s="45" t="s">
        <v>138</v>
      </c>
      <c r="BV135" s="45" t="s">
        <v>131</v>
      </c>
      <c r="BW135" s="45" t="s">
        <v>26</v>
      </c>
      <c r="BX135" s="45" t="s">
        <v>77</v>
      </c>
      <c r="BY135" s="45" t="s">
        <v>131</v>
      </c>
      <c r="BZ135" s="45" t="s">
        <v>106</v>
      </c>
      <c r="CA135" s="45" t="s">
        <v>82</v>
      </c>
      <c r="CB135" s="45" t="s">
        <v>82</v>
      </c>
      <c r="CC135" s="45" t="s">
        <v>77</v>
      </c>
      <c r="CD135" s="45" t="s">
        <v>131</v>
      </c>
      <c r="CE135" s="45" t="s">
        <v>138</v>
      </c>
      <c r="CF135" s="45" t="s">
        <v>18</v>
      </c>
      <c r="CG135" s="45" t="s">
        <v>120</v>
      </c>
      <c r="CH135" s="45" t="s">
        <v>117</v>
      </c>
      <c r="CI135" s="45" t="s">
        <v>149</v>
      </c>
      <c r="CJ135" s="45" t="s">
        <v>119</v>
      </c>
      <c r="CK135" s="45" t="s">
        <v>39</v>
      </c>
      <c r="CL135" s="45" t="s">
        <v>20</v>
      </c>
      <c r="CM135" s="45" t="s">
        <v>14</v>
      </c>
      <c r="CN135" s="45" t="s">
        <v>77</v>
      </c>
      <c r="CO135" s="45" t="s">
        <v>115</v>
      </c>
      <c r="CP135" s="45" t="s">
        <v>133</v>
      </c>
      <c r="CQ135" s="45" t="s">
        <v>105</v>
      </c>
      <c r="CR135" s="45" t="s">
        <v>99</v>
      </c>
      <c r="CS135" s="45" t="s">
        <v>99</v>
      </c>
      <c r="CT135" s="45" t="s">
        <v>145</v>
      </c>
      <c r="CU135" s="45" t="s">
        <v>145</v>
      </c>
      <c r="CV135" s="45" t="s">
        <v>122</v>
      </c>
      <c r="CW135" s="45" t="s">
        <v>39</v>
      </c>
      <c r="CX135" s="45" t="s">
        <v>14</v>
      </c>
      <c r="CY135" s="45" t="s">
        <v>117</v>
      </c>
      <c r="CZ135" s="45" t="s">
        <v>15</v>
      </c>
      <c r="DA135" s="45" t="s">
        <v>15</v>
      </c>
      <c r="DB135" s="45" t="s">
        <v>152</v>
      </c>
      <c r="DC135" s="45" t="s">
        <v>131</v>
      </c>
      <c r="DD135" s="45" t="s">
        <v>110</v>
      </c>
      <c r="DE135" s="45" t="s">
        <v>73</v>
      </c>
      <c r="DF135" s="45" t="s">
        <v>15</v>
      </c>
      <c r="DG135" s="45" t="s">
        <v>105</v>
      </c>
      <c r="DH135" s="45" t="s">
        <v>105</v>
      </c>
      <c r="DI135" s="45" t="s">
        <v>73</v>
      </c>
      <c r="DJ135" s="45" t="s">
        <v>73</v>
      </c>
      <c r="DK135" s="45" t="s">
        <v>105</v>
      </c>
      <c r="DL135" s="45" t="s">
        <v>122</v>
      </c>
      <c r="DM135" s="45" t="s">
        <v>73</v>
      </c>
      <c r="DN135" s="45" t="s">
        <v>115</v>
      </c>
      <c r="DO135" s="45" t="s">
        <v>51</v>
      </c>
      <c r="DP135" s="45" t="s">
        <v>20</v>
      </c>
      <c r="DQ135" s="45" t="s">
        <v>135</v>
      </c>
      <c r="DR135" s="45" t="s">
        <v>39</v>
      </c>
      <c r="DS135" s="45" t="s">
        <v>39</v>
      </c>
      <c r="DT135" s="45" t="s">
        <v>15</v>
      </c>
      <c r="DU135" s="45" t="s">
        <v>82</v>
      </c>
      <c r="DV135" s="45" t="s">
        <v>73</v>
      </c>
      <c r="DW135" s="45" t="s">
        <v>73</v>
      </c>
      <c r="DX135" s="45" t="s">
        <v>135</v>
      </c>
      <c r="DY135" s="45" t="s">
        <v>135</v>
      </c>
      <c r="DZ135" s="45" t="s">
        <v>39</v>
      </c>
      <c r="EA135" s="45" t="s">
        <v>15</v>
      </c>
      <c r="EB135" s="45" t="s">
        <v>39</v>
      </c>
      <c r="EC135" s="45" t="s">
        <v>20</v>
      </c>
      <c r="ED135" s="45" t="s">
        <v>39</v>
      </c>
      <c r="EE135" s="45" t="s">
        <v>130</v>
      </c>
      <c r="EF135" s="45" t="s">
        <v>135</v>
      </c>
      <c r="EG135" s="45" t="s">
        <v>135</v>
      </c>
      <c r="EH135" s="45" t="s">
        <v>135</v>
      </c>
      <c r="EI135" s="45" t="s">
        <v>135</v>
      </c>
      <c r="EJ135" s="45" t="s">
        <v>135</v>
      </c>
    </row>
    <row r="136" customFormat="false" ht="15.75" hidden="false" customHeight="false" outlineLevel="0" collapsed="false">
      <c r="A136" s="249" t="n">
        <v>108</v>
      </c>
      <c r="B136" s="250" t="s">
        <v>113</v>
      </c>
      <c r="C136" s="45" t="s">
        <v>116</v>
      </c>
      <c r="D136" s="45" t="s">
        <v>58</v>
      </c>
      <c r="E136" s="45" t="s">
        <v>13</v>
      </c>
      <c r="F136" s="45" t="s">
        <v>142</v>
      </c>
      <c r="G136" s="45" t="s">
        <v>120</v>
      </c>
      <c r="H136" s="45" t="s">
        <v>25</v>
      </c>
      <c r="I136" s="45" t="s">
        <v>142</v>
      </c>
      <c r="J136" s="45" t="s">
        <v>145</v>
      </c>
      <c r="K136" s="45" t="s">
        <v>26</v>
      </c>
      <c r="L136" s="45" t="s">
        <v>25</v>
      </c>
      <c r="M136" s="45" t="s">
        <v>99</v>
      </c>
      <c r="N136" s="45" t="s">
        <v>120</v>
      </c>
      <c r="O136" s="45" t="s">
        <v>25</v>
      </c>
      <c r="P136" s="45" t="s">
        <v>145</v>
      </c>
      <c r="Q136" s="45" t="s">
        <v>145</v>
      </c>
      <c r="R136" s="45" t="s">
        <v>58</v>
      </c>
      <c r="S136" s="45" t="s">
        <v>120</v>
      </c>
      <c r="T136" s="45" t="s">
        <v>13</v>
      </c>
      <c r="U136" s="45" t="s">
        <v>120</v>
      </c>
      <c r="V136" s="45" t="s">
        <v>58</v>
      </c>
      <c r="W136" s="45" t="s">
        <v>145</v>
      </c>
      <c r="X136" s="45" t="s">
        <v>77</v>
      </c>
      <c r="Y136" s="45" t="s">
        <v>26</v>
      </c>
      <c r="Z136" s="45" t="s">
        <v>145</v>
      </c>
      <c r="AA136" s="45" t="s">
        <v>143</v>
      </c>
      <c r="AB136" s="45" t="s">
        <v>116</v>
      </c>
      <c r="AC136" s="45" t="s">
        <v>58</v>
      </c>
      <c r="AD136" s="45" t="s">
        <v>153</v>
      </c>
      <c r="AE136" s="45" t="s">
        <v>12</v>
      </c>
      <c r="AF136" s="45" t="s">
        <v>25</v>
      </c>
      <c r="AG136" s="45" t="s">
        <v>143</v>
      </c>
      <c r="AH136" s="45" t="s">
        <v>18</v>
      </c>
      <c r="AI136" s="45" t="s">
        <v>84</v>
      </c>
      <c r="AJ136" s="45" t="s">
        <v>77</v>
      </c>
      <c r="AK136" s="45" t="s">
        <v>77</v>
      </c>
      <c r="AL136" s="45" t="s">
        <v>142</v>
      </c>
      <c r="AM136" s="45" t="s">
        <v>142</v>
      </c>
      <c r="AN136" s="45" t="s">
        <v>105</v>
      </c>
      <c r="AO136" s="45" t="s">
        <v>20</v>
      </c>
      <c r="AP136" s="45" t="s">
        <v>26</v>
      </c>
      <c r="AQ136" s="45" t="s">
        <v>18</v>
      </c>
      <c r="AR136" s="45" t="s">
        <v>153</v>
      </c>
      <c r="AS136" s="45" t="s">
        <v>18</v>
      </c>
      <c r="AT136" s="45" t="s">
        <v>37</v>
      </c>
      <c r="AU136" s="45" t="s">
        <v>105</v>
      </c>
      <c r="AV136" s="45" t="s">
        <v>84</v>
      </c>
      <c r="AW136" s="45" t="s">
        <v>50</v>
      </c>
      <c r="AX136" s="45" t="s">
        <v>50</v>
      </c>
      <c r="AY136" s="45" t="s">
        <v>122</v>
      </c>
      <c r="AZ136" s="45" t="s">
        <v>106</v>
      </c>
      <c r="BA136" s="45" t="s">
        <v>37</v>
      </c>
      <c r="BB136" s="45" t="s">
        <v>12</v>
      </c>
      <c r="BC136" s="45" t="s">
        <v>77</v>
      </c>
      <c r="BD136" s="45" t="s">
        <v>77</v>
      </c>
      <c r="BE136" s="45" t="s">
        <v>115</v>
      </c>
      <c r="BF136" s="45" t="s">
        <v>133</v>
      </c>
      <c r="BG136" s="45" t="s">
        <v>51</v>
      </c>
      <c r="BH136" s="45" t="s">
        <v>51</v>
      </c>
      <c r="BI136" s="45" t="s">
        <v>133</v>
      </c>
      <c r="BJ136" s="45" t="s">
        <v>12</v>
      </c>
      <c r="BK136" s="45" t="s">
        <v>20</v>
      </c>
      <c r="BL136" s="45" t="s">
        <v>99</v>
      </c>
      <c r="BM136" s="45" t="s">
        <v>143</v>
      </c>
      <c r="BN136" s="45" t="s">
        <v>105</v>
      </c>
      <c r="BO136" s="45" t="s">
        <v>131</v>
      </c>
      <c r="BP136" s="45" t="s">
        <v>14</v>
      </c>
      <c r="BQ136" s="45" t="s">
        <v>110</v>
      </c>
      <c r="BR136" s="45" t="s">
        <v>20</v>
      </c>
      <c r="BS136" s="45" t="s">
        <v>15</v>
      </c>
      <c r="BT136" s="45" t="s">
        <v>153</v>
      </c>
      <c r="BU136" s="45" t="s">
        <v>138</v>
      </c>
      <c r="BV136" s="45" t="s">
        <v>131</v>
      </c>
      <c r="BW136" s="45" t="s">
        <v>26</v>
      </c>
      <c r="BX136" s="45" t="s">
        <v>77</v>
      </c>
      <c r="BY136" s="45" t="s">
        <v>131</v>
      </c>
      <c r="BZ136" s="45" t="s">
        <v>131</v>
      </c>
      <c r="CA136" s="45" t="s">
        <v>124</v>
      </c>
      <c r="CB136" s="45" t="s">
        <v>82</v>
      </c>
      <c r="CC136" s="45" t="s">
        <v>77</v>
      </c>
      <c r="CD136" s="45" t="s">
        <v>152</v>
      </c>
      <c r="CE136" s="45" t="s">
        <v>110</v>
      </c>
      <c r="CF136" s="45" t="s">
        <v>67</v>
      </c>
      <c r="CG136" s="45" t="s">
        <v>120</v>
      </c>
      <c r="CH136" s="45" t="s">
        <v>117</v>
      </c>
      <c r="CI136" s="45" t="s">
        <v>119</v>
      </c>
      <c r="CJ136" s="45" t="s">
        <v>117</v>
      </c>
      <c r="CK136" s="45" t="s">
        <v>15</v>
      </c>
      <c r="CL136" s="45" t="s">
        <v>20</v>
      </c>
      <c r="CM136" s="45" t="s">
        <v>14</v>
      </c>
      <c r="CN136" s="45" t="s">
        <v>26</v>
      </c>
      <c r="CO136" s="45" t="s">
        <v>51</v>
      </c>
      <c r="CP136" s="45" t="s">
        <v>12</v>
      </c>
      <c r="CQ136" s="45" t="s">
        <v>105</v>
      </c>
      <c r="CR136" s="45" t="s">
        <v>82</v>
      </c>
      <c r="CS136" s="45" t="s">
        <v>82</v>
      </c>
      <c r="CT136" s="45" t="s">
        <v>143</v>
      </c>
      <c r="CU136" s="45" t="s">
        <v>143</v>
      </c>
      <c r="CV136" s="45" t="s">
        <v>122</v>
      </c>
      <c r="CW136" s="45" t="s">
        <v>39</v>
      </c>
      <c r="CX136" s="45" t="s">
        <v>138</v>
      </c>
      <c r="CY136" s="45" t="s">
        <v>14</v>
      </c>
      <c r="CZ136" s="45" t="s">
        <v>73</v>
      </c>
      <c r="DA136" s="45" t="s">
        <v>73</v>
      </c>
      <c r="DB136" s="45" t="s">
        <v>88</v>
      </c>
      <c r="DC136" s="45" t="s">
        <v>152</v>
      </c>
      <c r="DD136" s="45" t="s">
        <v>106</v>
      </c>
      <c r="DE136" s="45" t="s">
        <v>73</v>
      </c>
      <c r="DF136" s="45" t="s">
        <v>15</v>
      </c>
      <c r="DG136" s="45" t="s">
        <v>122</v>
      </c>
      <c r="DH136" s="45" t="s">
        <v>105</v>
      </c>
      <c r="DI136" s="45" t="s">
        <v>73</v>
      </c>
      <c r="DJ136" s="45" t="s">
        <v>73</v>
      </c>
      <c r="DK136" s="45" t="s">
        <v>122</v>
      </c>
      <c r="DL136" s="45" t="s">
        <v>122</v>
      </c>
      <c r="DM136" s="45" t="s">
        <v>20</v>
      </c>
      <c r="DN136" s="45" t="s">
        <v>51</v>
      </c>
      <c r="DO136" s="45" t="s">
        <v>51</v>
      </c>
      <c r="DP136" s="45" t="s">
        <v>20</v>
      </c>
      <c r="DQ136" s="45" t="s">
        <v>135</v>
      </c>
      <c r="DR136" s="45" t="s">
        <v>39</v>
      </c>
      <c r="DS136" s="45" t="s">
        <v>39</v>
      </c>
      <c r="DT136" s="45" t="s">
        <v>15</v>
      </c>
      <c r="DU136" s="45" t="s">
        <v>124</v>
      </c>
      <c r="DV136" s="45" t="s">
        <v>73</v>
      </c>
      <c r="DW136" s="45" t="s">
        <v>73</v>
      </c>
      <c r="DX136" s="45" t="s">
        <v>135</v>
      </c>
      <c r="DY136" s="45" t="s">
        <v>135</v>
      </c>
      <c r="DZ136" s="45" t="s">
        <v>39</v>
      </c>
      <c r="EA136" s="45" t="s">
        <v>15</v>
      </c>
      <c r="EB136" s="45" t="s">
        <v>15</v>
      </c>
      <c r="EC136" s="45" t="s">
        <v>20</v>
      </c>
      <c r="ED136" s="45" t="s">
        <v>39</v>
      </c>
      <c r="EE136" s="45" t="s">
        <v>135</v>
      </c>
      <c r="EF136" s="45" t="s">
        <v>113</v>
      </c>
      <c r="EG136" s="45" t="s">
        <v>135</v>
      </c>
      <c r="EH136" s="45" t="s">
        <v>39</v>
      </c>
      <c r="EI136" s="45" t="s">
        <v>135</v>
      </c>
      <c r="EJ136" s="45" t="s">
        <v>135</v>
      </c>
    </row>
    <row r="137" customFormat="false" ht="15.75" hidden="false" customHeight="false" outlineLevel="0" collapsed="false">
      <c r="A137" s="249" t="n">
        <v>109</v>
      </c>
      <c r="B137" s="250" t="s">
        <v>109</v>
      </c>
      <c r="C137" s="45" t="s">
        <v>58</v>
      </c>
      <c r="D137" s="45" t="s">
        <v>58</v>
      </c>
      <c r="E137" s="45" t="s">
        <v>13</v>
      </c>
      <c r="F137" s="45" t="s">
        <v>142</v>
      </c>
      <c r="G137" s="45" t="s">
        <v>120</v>
      </c>
      <c r="H137" s="45" t="s">
        <v>84</v>
      </c>
      <c r="I137" s="45" t="s">
        <v>120</v>
      </c>
      <c r="J137" s="45" t="s">
        <v>145</v>
      </c>
      <c r="K137" s="45" t="s">
        <v>77</v>
      </c>
      <c r="L137" s="45" t="s">
        <v>25</v>
      </c>
      <c r="M137" s="45" t="s">
        <v>99</v>
      </c>
      <c r="N137" s="45" t="s">
        <v>25</v>
      </c>
      <c r="O137" s="45" t="s">
        <v>25</v>
      </c>
      <c r="P137" s="45" t="s">
        <v>145</v>
      </c>
      <c r="Q137" s="45" t="s">
        <v>145</v>
      </c>
      <c r="R137" s="45" t="s">
        <v>58</v>
      </c>
      <c r="S137" s="45" t="s">
        <v>120</v>
      </c>
      <c r="T137" s="45" t="s">
        <v>116</v>
      </c>
      <c r="U137" s="45" t="s">
        <v>120</v>
      </c>
      <c r="V137" s="45" t="s">
        <v>58</v>
      </c>
      <c r="W137" s="45" t="s">
        <v>145</v>
      </c>
      <c r="X137" s="45" t="s">
        <v>77</v>
      </c>
      <c r="Y137" s="45" t="s">
        <v>26</v>
      </c>
      <c r="Z137" s="45" t="s">
        <v>26</v>
      </c>
      <c r="AA137" s="45" t="s">
        <v>143</v>
      </c>
      <c r="AB137" s="45" t="s">
        <v>116</v>
      </c>
      <c r="AC137" s="45" t="s">
        <v>142</v>
      </c>
      <c r="AD137" s="45" t="s">
        <v>88</v>
      </c>
      <c r="AE137" s="45" t="s">
        <v>12</v>
      </c>
      <c r="AF137" s="45" t="s">
        <v>25</v>
      </c>
      <c r="AG137" s="45" t="s">
        <v>143</v>
      </c>
      <c r="AH137" s="45" t="s">
        <v>37</v>
      </c>
      <c r="AI137" s="45" t="s">
        <v>84</v>
      </c>
      <c r="AJ137" s="45" t="s">
        <v>12</v>
      </c>
      <c r="AK137" s="45" t="s">
        <v>77</v>
      </c>
      <c r="AL137" s="45" t="s">
        <v>142</v>
      </c>
      <c r="AM137" s="45" t="s">
        <v>142</v>
      </c>
      <c r="AN137" s="45" t="s">
        <v>105</v>
      </c>
      <c r="AO137" s="45" t="s">
        <v>20</v>
      </c>
      <c r="AP137" s="45" t="s">
        <v>26</v>
      </c>
      <c r="AQ137" s="45" t="s">
        <v>18</v>
      </c>
      <c r="AR137" s="45" t="s">
        <v>153</v>
      </c>
      <c r="AS137" s="45" t="s">
        <v>18</v>
      </c>
      <c r="AT137" s="45" t="s">
        <v>153</v>
      </c>
      <c r="AU137" s="45" t="s">
        <v>105</v>
      </c>
      <c r="AV137" s="45" t="s">
        <v>143</v>
      </c>
      <c r="AW137" s="45" t="s">
        <v>50</v>
      </c>
      <c r="AX137" s="45" t="s">
        <v>124</v>
      </c>
      <c r="AY137" s="45" t="s">
        <v>122</v>
      </c>
      <c r="AZ137" s="45" t="s">
        <v>106</v>
      </c>
      <c r="BA137" s="45" t="s">
        <v>153</v>
      </c>
      <c r="BB137" s="45" t="s">
        <v>12</v>
      </c>
      <c r="BC137" s="45" t="s">
        <v>77</v>
      </c>
      <c r="BD137" s="45" t="s">
        <v>77</v>
      </c>
      <c r="BE137" s="45" t="s">
        <v>67</v>
      </c>
      <c r="BF137" s="45" t="s">
        <v>51</v>
      </c>
      <c r="BG137" s="45" t="s">
        <v>51</v>
      </c>
      <c r="BH137" s="45" t="s">
        <v>51</v>
      </c>
      <c r="BI137" s="45" t="s">
        <v>133</v>
      </c>
      <c r="BJ137" s="45" t="s">
        <v>12</v>
      </c>
      <c r="BK137" s="45" t="s">
        <v>73</v>
      </c>
      <c r="BL137" s="45" t="s">
        <v>122</v>
      </c>
      <c r="BM137" s="45" t="s">
        <v>143</v>
      </c>
      <c r="BN137" s="45" t="s">
        <v>20</v>
      </c>
      <c r="BO137" s="45" t="s">
        <v>106</v>
      </c>
      <c r="BP137" s="45" t="s">
        <v>14</v>
      </c>
      <c r="BQ137" s="45" t="s">
        <v>110</v>
      </c>
      <c r="BR137" s="45" t="s">
        <v>20</v>
      </c>
      <c r="BS137" s="45" t="s">
        <v>15</v>
      </c>
      <c r="BT137" s="45" t="s">
        <v>153</v>
      </c>
      <c r="BU137" s="45" t="s">
        <v>138</v>
      </c>
      <c r="BV137" s="45" t="s">
        <v>131</v>
      </c>
      <c r="BW137" s="45" t="s">
        <v>26</v>
      </c>
      <c r="BX137" s="45" t="s">
        <v>77</v>
      </c>
      <c r="BY137" s="45" t="s">
        <v>131</v>
      </c>
      <c r="BZ137" s="45" t="s">
        <v>131</v>
      </c>
      <c r="CA137" s="45" t="s">
        <v>82</v>
      </c>
      <c r="CB137" s="45" t="s">
        <v>82</v>
      </c>
      <c r="CC137" s="45" t="s">
        <v>77</v>
      </c>
      <c r="CD137" s="45" t="s">
        <v>152</v>
      </c>
      <c r="CE137" s="45" t="s">
        <v>138</v>
      </c>
      <c r="CF137" s="45" t="s">
        <v>18</v>
      </c>
      <c r="CG137" s="45" t="s">
        <v>120</v>
      </c>
      <c r="CH137" s="45" t="s">
        <v>117</v>
      </c>
      <c r="CI137" s="45" t="s">
        <v>149</v>
      </c>
      <c r="CJ137" s="45" t="s">
        <v>117</v>
      </c>
      <c r="CK137" s="45" t="s">
        <v>15</v>
      </c>
      <c r="CL137" s="45" t="s">
        <v>20</v>
      </c>
      <c r="CM137" s="45" t="s">
        <v>14</v>
      </c>
      <c r="CN137" s="45" t="s">
        <v>77</v>
      </c>
      <c r="CO137" s="45" t="s">
        <v>51</v>
      </c>
      <c r="CP137" s="45" t="s">
        <v>133</v>
      </c>
      <c r="CQ137" s="45" t="s">
        <v>105</v>
      </c>
      <c r="CR137" s="45" t="s">
        <v>82</v>
      </c>
      <c r="CS137" s="45" t="s">
        <v>99</v>
      </c>
      <c r="CT137" s="45" t="s">
        <v>145</v>
      </c>
      <c r="CU137" s="45" t="s">
        <v>143</v>
      </c>
      <c r="CV137" s="45" t="s">
        <v>122</v>
      </c>
      <c r="CW137" s="45" t="s">
        <v>39</v>
      </c>
      <c r="CX137" s="45" t="s">
        <v>14</v>
      </c>
      <c r="CY137" s="45" t="s">
        <v>117</v>
      </c>
      <c r="CZ137" s="45" t="s">
        <v>73</v>
      </c>
      <c r="DA137" s="45" t="s">
        <v>15</v>
      </c>
      <c r="DB137" s="45" t="s">
        <v>152</v>
      </c>
      <c r="DC137" s="45" t="s">
        <v>131</v>
      </c>
      <c r="DD137" s="45" t="s">
        <v>110</v>
      </c>
      <c r="DE137" s="45" t="s">
        <v>73</v>
      </c>
      <c r="DF137" s="45" t="s">
        <v>15</v>
      </c>
      <c r="DG137" s="45" t="s">
        <v>122</v>
      </c>
      <c r="DH137" s="45" t="s">
        <v>105</v>
      </c>
      <c r="DI137" s="45" t="s">
        <v>73</v>
      </c>
      <c r="DJ137" s="45" t="s">
        <v>73</v>
      </c>
      <c r="DK137" s="45" t="s">
        <v>105</v>
      </c>
      <c r="DL137" s="45" t="s">
        <v>122</v>
      </c>
      <c r="DM137" s="45" t="s">
        <v>20</v>
      </c>
      <c r="DN137" s="45" t="s">
        <v>115</v>
      </c>
      <c r="DO137" s="45" t="s">
        <v>51</v>
      </c>
      <c r="DP137" s="45" t="s">
        <v>20</v>
      </c>
      <c r="DQ137" s="45" t="s">
        <v>135</v>
      </c>
      <c r="DR137" s="45" t="s">
        <v>39</v>
      </c>
      <c r="DS137" s="45" t="s">
        <v>39</v>
      </c>
      <c r="DT137" s="45" t="s">
        <v>15</v>
      </c>
      <c r="DU137" s="45" t="s">
        <v>124</v>
      </c>
      <c r="DV137" s="45" t="s">
        <v>73</v>
      </c>
      <c r="DW137" s="45" t="s">
        <v>73</v>
      </c>
      <c r="DX137" s="45" t="s">
        <v>135</v>
      </c>
      <c r="DY137" s="45" t="s">
        <v>135</v>
      </c>
      <c r="DZ137" s="45" t="s">
        <v>39</v>
      </c>
      <c r="EA137" s="45" t="s">
        <v>15</v>
      </c>
      <c r="EB137" s="45" t="s">
        <v>39</v>
      </c>
      <c r="EC137" s="45" t="s">
        <v>20</v>
      </c>
      <c r="ED137" s="45" t="s">
        <v>39</v>
      </c>
      <c r="EE137" s="45" t="s">
        <v>135</v>
      </c>
      <c r="EF137" s="45" t="s">
        <v>135</v>
      </c>
      <c r="EG137" s="45" t="s">
        <v>109</v>
      </c>
      <c r="EH137" s="45" t="s">
        <v>39</v>
      </c>
      <c r="EI137" s="45" t="s">
        <v>135</v>
      </c>
      <c r="EJ137" s="45" t="s">
        <v>135</v>
      </c>
    </row>
    <row r="138" customFormat="false" ht="15.75" hidden="false" customHeight="false" outlineLevel="0" collapsed="false">
      <c r="A138" s="249" t="n">
        <v>110</v>
      </c>
      <c r="B138" s="251" t="s">
        <v>21</v>
      </c>
      <c r="C138" s="45" t="s">
        <v>13</v>
      </c>
      <c r="D138" s="45" t="s">
        <v>13</v>
      </c>
      <c r="E138" s="45" t="s">
        <v>44</v>
      </c>
      <c r="F138" s="45" t="s">
        <v>116</v>
      </c>
      <c r="G138" s="45" t="s">
        <v>58</v>
      </c>
      <c r="H138" s="45" t="s">
        <v>120</v>
      </c>
      <c r="I138" s="45" t="s">
        <v>58</v>
      </c>
      <c r="J138" s="45" t="s">
        <v>143</v>
      </c>
      <c r="K138" s="45" t="s">
        <v>26</v>
      </c>
      <c r="L138" s="45" t="s">
        <v>120</v>
      </c>
      <c r="M138" s="45" t="s">
        <v>124</v>
      </c>
      <c r="N138" s="45" t="s">
        <v>142</v>
      </c>
      <c r="O138" s="45" t="s">
        <v>120</v>
      </c>
      <c r="P138" s="45" t="s">
        <v>143</v>
      </c>
      <c r="Q138" s="45" t="s">
        <v>143</v>
      </c>
      <c r="R138" s="45" t="s">
        <v>13</v>
      </c>
      <c r="S138" s="45" t="s">
        <v>142</v>
      </c>
      <c r="T138" s="45" t="s">
        <v>36</v>
      </c>
      <c r="U138" s="45" t="s">
        <v>142</v>
      </c>
      <c r="V138" s="45" t="s">
        <v>13</v>
      </c>
      <c r="W138" s="45" t="s">
        <v>143</v>
      </c>
      <c r="X138" s="45" t="s">
        <v>26</v>
      </c>
      <c r="Y138" s="45" t="s">
        <v>145</v>
      </c>
      <c r="Z138" s="45" t="s">
        <v>143</v>
      </c>
      <c r="AA138" s="45" t="s">
        <v>25</v>
      </c>
      <c r="AB138" s="45" t="s">
        <v>36</v>
      </c>
      <c r="AC138" s="45" t="s">
        <v>116</v>
      </c>
      <c r="AD138" s="45" t="s">
        <v>18</v>
      </c>
      <c r="AE138" s="45" t="s">
        <v>77</v>
      </c>
      <c r="AF138" s="45" t="s">
        <v>120</v>
      </c>
      <c r="AG138" s="45" t="s">
        <v>84</v>
      </c>
      <c r="AH138" s="45" t="s">
        <v>115</v>
      </c>
      <c r="AI138" s="45" t="s">
        <v>25</v>
      </c>
      <c r="AJ138" s="45" t="s">
        <v>77</v>
      </c>
      <c r="AK138" s="45" t="s">
        <v>77</v>
      </c>
      <c r="AL138" s="45" t="s">
        <v>58</v>
      </c>
      <c r="AM138" s="45" t="s">
        <v>116</v>
      </c>
      <c r="AN138" s="45" t="s">
        <v>122</v>
      </c>
      <c r="AO138" s="45" t="s">
        <v>105</v>
      </c>
      <c r="AP138" s="45" t="s">
        <v>145</v>
      </c>
      <c r="AQ138" s="45" t="s">
        <v>115</v>
      </c>
      <c r="AR138" s="45" t="s">
        <v>18</v>
      </c>
      <c r="AS138" s="45" t="s">
        <v>115</v>
      </c>
      <c r="AT138" s="45" t="s">
        <v>67</v>
      </c>
      <c r="AU138" s="45" t="s">
        <v>122</v>
      </c>
      <c r="AV138" s="45" t="s">
        <v>25</v>
      </c>
      <c r="AW138" s="45" t="s">
        <v>117</v>
      </c>
      <c r="AX138" s="45" t="s">
        <v>119</v>
      </c>
      <c r="AY138" s="45" t="s">
        <v>82</v>
      </c>
      <c r="AZ138" s="45" t="s">
        <v>131</v>
      </c>
      <c r="BA138" s="45" t="s">
        <v>67</v>
      </c>
      <c r="BB138" s="45" t="s">
        <v>77</v>
      </c>
      <c r="BC138" s="45" t="s">
        <v>26</v>
      </c>
      <c r="BD138" s="45" t="s">
        <v>26</v>
      </c>
      <c r="BE138" s="45" t="s">
        <v>51</v>
      </c>
      <c r="BF138" s="45" t="s">
        <v>12</v>
      </c>
      <c r="BG138" s="45" t="s">
        <v>12</v>
      </c>
      <c r="BH138" s="45" t="s">
        <v>133</v>
      </c>
      <c r="BI138" s="45" t="s">
        <v>12</v>
      </c>
      <c r="BJ138" s="45" t="s">
        <v>77</v>
      </c>
      <c r="BK138" s="45" t="s">
        <v>20</v>
      </c>
      <c r="BL138" s="45" t="s">
        <v>82</v>
      </c>
      <c r="BM138" s="45" t="s">
        <v>25</v>
      </c>
      <c r="BN138" s="45" t="s">
        <v>105</v>
      </c>
      <c r="BO138" s="45" t="s">
        <v>152</v>
      </c>
      <c r="BP138" s="45" t="s">
        <v>138</v>
      </c>
      <c r="BQ138" s="45" t="s">
        <v>131</v>
      </c>
      <c r="BR138" s="45" t="s">
        <v>20</v>
      </c>
      <c r="BS138" s="45" t="s">
        <v>73</v>
      </c>
      <c r="BT138" s="45" t="s">
        <v>18</v>
      </c>
      <c r="BU138" s="45" t="s">
        <v>106</v>
      </c>
      <c r="BV138" s="45" t="s">
        <v>153</v>
      </c>
      <c r="BW138" s="45" t="s">
        <v>145</v>
      </c>
      <c r="BX138" s="45" t="s">
        <v>77</v>
      </c>
      <c r="BY138" s="45" t="s">
        <v>88</v>
      </c>
      <c r="BZ138" s="45" t="s">
        <v>152</v>
      </c>
      <c r="CA138" s="45" t="s">
        <v>149</v>
      </c>
      <c r="CB138" s="45" t="s">
        <v>50</v>
      </c>
      <c r="CC138" s="45" t="s">
        <v>26</v>
      </c>
      <c r="CD138" s="45" t="s">
        <v>153</v>
      </c>
      <c r="CE138" s="45" t="s">
        <v>106</v>
      </c>
      <c r="CF138" s="45" t="s">
        <v>51</v>
      </c>
      <c r="CG138" s="45" t="s">
        <v>58</v>
      </c>
      <c r="CH138" s="45" t="s">
        <v>14</v>
      </c>
      <c r="CI138" s="45" t="s">
        <v>117</v>
      </c>
      <c r="CJ138" s="45" t="s">
        <v>14</v>
      </c>
      <c r="CK138" s="45" t="s">
        <v>15</v>
      </c>
      <c r="CL138" s="45" t="s">
        <v>105</v>
      </c>
      <c r="CM138" s="45" t="s">
        <v>138</v>
      </c>
      <c r="CN138" s="45" t="s">
        <v>26</v>
      </c>
      <c r="CO138" s="45" t="s">
        <v>133</v>
      </c>
      <c r="CP138" s="45" t="s">
        <v>77</v>
      </c>
      <c r="CQ138" s="45" t="s">
        <v>122</v>
      </c>
      <c r="CR138" s="45" t="s">
        <v>50</v>
      </c>
      <c r="CS138" s="45" t="s">
        <v>124</v>
      </c>
      <c r="CT138" s="45" t="s">
        <v>143</v>
      </c>
      <c r="CU138" s="45" t="s">
        <v>84</v>
      </c>
      <c r="CV138" s="45" t="s">
        <v>82</v>
      </c>
      <c r="CW138" s="45" t="s">
        <v>39</v>
      </c>
      <c r="CX138" s="45" t="s">
        <v>110</v>
      </c>
      <c r="CY138" s="45" t="s">
        <v>138</v>
      </c>
      <c r="CZ138" s="45" t="s">
        <v>73</v>
      </c>
      <c r="DA138" s="45" t="s">
        <v>73</v>
      </c>
      <c r="DB138" s="45" t="s">
        <v>37</v>
      </c>
      <c r="DC138" s="45" t="s">
        <v>153</v>
      </c>
      <c r="DD138" s="45" t="s">
        <v>131</v>
      </c>
      <c r="DE138" s="45" t="s">
        <v>20</v>
      </c>
      <c r="DF138" s="45" t="s">
        <v>73</v>
      </c>
      <c r="DG138" s="45" t="s">
        <v>99</v>
      </c>
      <c r="DH138" s="45" t="s">
        <v>122</v>
      </c>
      <c r="DI138" s="45" t="s">
        <v>20</v>
      </c>
      <c r="DJ138" s="45" t="s">
        <v>20</v>
      </c>
      <c r="DK138" s="45" t="s">
        <v>122</v>
      </c>
      <c r="DL138" s="45" t="s">
        <v>99</v>
      </c>
      <c r="DM138" s="45" t="s">
        <v>20</v>
      </c>
      <c r="DN138" s="45" t="s">
        <v>51</v>
      </c>
      <c r="DO138" s="45" t="s">
        <v>12</v>
      </c>
      <c r="DP138" s="45" t="s">
        <v>20</v>
      </c>
      <c r="DQ138" s="45" t="s">
        <v>135</v>
      </c>
      <c r="DR138" s="45" t="s">
        <v>60</v>
      </c>
      <c r="DS138" s="45" t="s">
        <v>39</v>
      </c>
      <c r="DT138" s="45" t="s">
        <v>73</v>
      </c>
      <c r="DU138" s="45" t="s">
        <v>149</v>
      </c>
      <c r="DV138" s="45" t="s">
        <v>20</v>
      </c>
      <c r="DW138" s="45" t="s">
        <v>20</v>
      </c>
      <c r="DX138" s="45" t="s">
        <v>135</v>
      </c>
      <c r="DY138" s="45" t="s">
        <v>135</v>
      </c>
      <c r="DZ138" s="45" t="s">
        <v>15</v>
      </c>
      <c r="EA138" s="45" t="s">
        <v>73</v>
      </c>
      <c r="EB138" s="45" t="s">
        <v>15</v>
      </c>
      <c r="EC138" s="45" t="s">
        <v>105</v>
      </c>
      <c r="ED138" s="45" t="s">
        <v>39</v>
      </c>
      <c r="EE138" s="45" t="s">
        <v>135</v>
      </c>
      <c r="EF138" s="45" t="s">
        <v>39</v>
      </c>
      <c r="EG138" s="45" t="s">
        <v>39</v>
      </c>
      <c r="EH138" s="45" t="s">
        <v>21</v>
      </c>
      <c r="EI138" s="45" t="s">
        <v>39</v>
      </c>
      <c r="EJ138" s="45" t="s">
        <v>39</v>
      </c>
    </row>
    <row r="139" customFormat="false" ht="15.75" hidden="false" customHeight="false" outlineLevel="0" collapsed="false">
      <c r="A139" s="249" t="n">
        <v>110</v>
      </c>
      <c r="B139" s="251" t="s">
        <v>60</v>
      </c>
      <c r="C139" s="45" t="s">
        <v>13</v>
      </c>
      <c r="D139" s="45" t="s">
        <v>116</v>
      </c>
      <c r="E139" s="45" t="s">
        <v>36</v>
      </c>
      <c r="F139" s="45" t="s">
        <v>58</v>
      </c>
      <c r="G139" s="45" t="s">
        <v>142</v>
      </c>
      <c r="H139" s="45" t="s">
        <v>25</v>
      </c>
      <c r="I139" s="45" t="s">
        <v>142</v>
      </c>
      <c r="J139" s="45" t="s">
        <v>143</v>
      </c>
      <c r="K139" s="45" t="s">
        <v>26</v>
      </c>
      <c r="L139" s="45" t="s">
        <v>120</v>
      </c>
      <c r="M139" s="45" t="s">
        <v>82</v>
      </c>
      <c r="N139" s="45" t="s">
        <v>120</v>
      </c>
      <c r="O139" s="45" t="s">
        <v>120</v>
      </c>
      <c r="P139" s="45" t="s">
        <v>143</v>
      </c>
      <c r="Q139" s="45" t="s">
        <v>143</v>
      </c>
      <c r="R139" s="45" t="s">
        <v>116</v>
      </c>
      <c r="S139" s="45" t="s">
        <v>142</v>
      </c>
      <c r="T139" s="45" t="s">
        <v>13</v>
      </c>
      <c r="U139" s="45" t="s">
        <v>120</v>
      </c>
      <c r="V139" s="45" t="s">
        <v>116</v>
      </c>
      <c r="W139" s="45" t="s">
        <v>145</v>
      </c>
      <c r="X139" s="45" t="s">
        <v>77</v>
      </c>
      <c r="Y139" s="45" t="s">
        <v>26</v>
      </c>
      <c r="Z139" s="45" t="s">
        <v>145</v>
      </c>
      <c r="AA139" s="45" t="s">
        <v>84</v>
      </c>
      <c r="AB139" s="45" t="s">
        <v>13</v>
      </c>
      <c r="AC139" s="45" t="s">
        <v>58</v>
      </c>
      <c r="AD139" s="45" t="s">
        <v>153</v>
      </c>
      <c r="AE139" s="45" t="s">
        <v>12</v>
      </c>
      <c r="AF139" s="45" t="s">
        <v>25</v>
      </c>
      <c r="AG139" s="45" t="s">
        <v>143</v>
      </c>
      <c r="AH139" s="45" t="s">
        <v>18</v>
      </c>
      <c r="AI139" s="45" t="s">
        <v>25</v>
      </c>
      <c r="AJ139" s="45" t="s">
        <v>77</v>
      </c>
      <c r="AK139" s="45" t="s">
        <v>77</v>
      </c>
      <c r="AL139" s="45" t="s">
        <v>58</v>
      </c>
      <c r="AM139" s="45" t="s">
        <v>58</v>
      </c>
      <c r="AN139" s="45" t="s">
        <v>105</v>
      </c>
      <c r="AO139" s="45" t="s">
        <v>105</v>
      </c>
      <c r="AP139" s="45" t="s">
        <v>26</v>
      </c>
      <c r="AQ139" s="45" t="s">
        <v>115</v>
      </c>
      <c r="AR139" s="45" t="s">
        <v>18</v>
      </c>
      <c r="AS139" s="45" t="s">
        <v>67</v>
      </c>
      <c r="AT139" s="45" t="s">
        <v>18</v>
      </c>
      <c r="AU139" s="45" t="s">
        <v>105</v>
      </c>
      <c r="AV139" s="45" t="s">
        <v>25</v>
      </c>
      <c r="AW139" s="45" t="s">
        <v>149</v>
      </c>
      <c r="AX139" s="45" t="s">
        <v>149</v>
      </c>
      <c r="AY139" s="45" t="s">
        <v>99</v>
      </c>
      <c r="AZ139" s="45" t="s">
        <v>131</v>
      </c>
      <c r="BA139" s="45" t="s">
        <v>18</v>
      </c>
      <c r="BB139" s="45" t="s">
        <v>77</v>
      </c>
      <c r="BC139" s="45" t="s">
        <v>77</v>
      </c>
      <c r="BD139" s="45" t="s">
        <v>26</v>
      </c>
      <c r="BE139" s="45" t="s">
        <v>115</v>
      </c>
      <c r="BF139" s="45" t="s">
        <v>12</v>
      </c>
      <c r="BG139" s="45" t="s">
        <v>133</v>
      </c>
      <c r="BH139" s="45" t="s">
        <v>51</v>
      </c>
      <c r="BI139" s="45" t="s">
        <v>12</v>
      </c>
      <c r="BJ139" s="45" t="s">
        <v>77</v>
      </c>
      <c r="BK139" s="45" t="s">
        <v>20</v>
      </c>
      <c r="BL139" s="45" t="s">
        <v>82</v>
      </c>
      <c r="BM139" s="45" t="s">
        <v>84</v>
      </c>
      <c r="BN139" s="45" t="s">
        <v>105</v>
      </c>
      <c r="BO139" s="45" t="s">
        <v>131</v>
      </c>
      <c r="BP139" s="45" t="s">
        <v>14</v>
      </c>
      <c r="BQ139" s="45" t="s">
        <v>106</v>
      </c>
      <c r="BR139" s="45" t="s">
        <v>20</v>
      </c>
      <c r="BS139" s="45" t="s">
        <v>15</v>
      </c>
      <c r="BT139" s="45" t="s">
        <v>37</v>
      </c>
      <c r="BU139" s="45" t="s">
        <v>110</v>
      </c>
      <c r="BV139" s="45" t="s">
        <v>152</v>
      </c>
      <c r="BW139" s="45" t="s">
        <v>145</v>
      </c>
      <c r="BX139" s="45" t="s">
        <v>77</v>
      </c>
      <c r="BY139" s="45" t="s">
        <v>152</v>
      </c>
      <c r="BZ139" s="45" t="s">
        <v>131</v>
      </c>
      <c r="CA139" s="45" t="s">
        <v>50</v>
      </c>
      <c r="CB139" s="45" t="s">
        <v>124</v>
      </c>
      <c r="CC139" s="45" t="s">
        <v>26</v>
      </c>
      <c r="CD139" s="45" t="s">
        <v>153</v>
      </c>
      <c r="CE139" s="45" t="s">
        <v>110</v>
      </c>
      <c r="CF139" s="45" t="s">
        <v>115</v>
      </c>
      <c r="CG139" s="45" t="s">
        <v>142</v>
      </c>
      <c r="CH139" s="45" t="s">
        <v>14</v>
      </c>
      <c r="CI139" s="45" t="s">
        <v>117</v>
      </c>
      <c r="CJ139" s="45" t="s">
        <v>117</v>
      </c>
      <c r="CK139" s="45" t="s">
        <v>15</v>
      </c>
      <c r="CL139" s="45" t="s">
        <v>20</v>
      </c>
      <c r="CM139" s="45" t="s">
        <v>138</v>
      </c>
      <c r="CN139" s="45" t="s">
        <v>26</v>
      </c>
      <c r="CO139" s="45" t="s">
        <v>51</v>
      </c>
      <c r="CP139" s="45" t="s">
        <v>12</v>
      </c>
      <c r="CQ139" s="45" t="s">
        <v>122</v>
      </c>
      <c r="CR139" s="45" t="s">
        <v>124</v>
      </c>
      <c r="CS139" s="45" t="s">
        <v>82</v>
      </c>
      <c r="CT139" s="45" t="s">
        <v>143</v>
      </c>
      <c r="CU139" s="45" t="s">
        <v>143</v>
      </c>
      <c r="CV139" s="45" t="s">
        <v>99</v>
      </c>
      <c r="CW139" s="45" t="s">
        <v>39</v>
      </c>
      <c r="CX139" s="45" t="s">
        <v>138</v>
      </c>
      <c r="CY139" s="45" t="s">
        <v>14</v>
      </c>
      <c r="CZ139" s="45" t="s">
        <v>73</v>
      </c>
      <c r="DA139" s="45" t="s">
        <v>73</v>
      </c>
      <c r="DB139" s="45" t="s">
        <v>153</v>
      </c>
      <c r="DC139" s="45" t="s">
        <v>88</v>
      </c>
      <c r="DD139" s="45" t="s">
        <v>131</v>
      </c>
      <c r="DE139" s="45" t="s">
        <v>20</v>
      </c>
      <c r="DF139" s="45" t="s">
        <v>15</v>
      </c>
      <c r="DG139" s="45" t="s">
        <v>122</v>
      </c>
      <c r="DH139" s="45" t="s">
        <v>122</v>
      </c>
      <c r="DI139" s="45" t="s">
        <v>73</v>
      </c>
      <c r="DJ139" s="45" t="s">
        <v>73</v>
      </c>
      <c r="DK139" s="45" t="s">
        <v>122</v>
      </c>
      <c r="DL139" s="45" t="s">
        <v>122</v>
      </c>
      <c r="DM139" s="45" t="s">
        <v>20</v>
      </c>
      <c r="DN139" s="45" t="s">
        <v>51</v>
      </c>
      <c r="DO139" s="45" t="s">
        <v>133</v>
      </c>
      <c r="DP139" s="45" t="s">
        <v>20</v>
      </c>
      <c r="DQ139" s="45" t="s">
        <v>135</v>
      </c>
      <c r="DR139" s="45" t="s">
        <v>15</v>
      </c>
      <c r="DS139" s="45" t="s">
        <v>39</v>
      </c>
      <c r="DT139" s="45" t="s">
        <v>73</v>
      </c>
      <c r="DU139" s="45" t="s">
        <v>50</v>
      </c>
      <c r="DV139" s="45" t="s">
        <v>20</v>
      </c>
      <c r="DW139" s="45" t="s">
        <v>20</v>
      </c>
      <c r="DX139" s="45" t="s">
        <v>135</v>
      </c>
      <c r="DY139" s="45" t="s">
        <v>135</v>
      </c>
      <c r="DZ139" s="45" t="s">
        <v>15</v>
      </c>
      <c r="EA139" s="45" t="s">
        <v>73</v>
      </c>
      <c r="EB139" s="45" t="s">
        <v>15</v>
      </c>
      <c r="EC139" s="45" t="s">
        <v>20</v>
      </c>
      <c r="ED139" s="45" t="s">
        <v>39</v>
      </c>
      <c r="EE139" s="45" t="s">
        <v>135</v>
      </c>
      <c r="EF139" s="45" t="s">
        <v>135</v>
      </c>
      <c r="EG139" s="45" t="s">
        <v>135</v>
      </c>
      <c r="EH139" s="45" t="s">
        <v>39</v>
      </c>
      <c r="EI139" s="45" t="s">
        <v>60</v>
      </c>
      <c r="EJ139" s="45" t="s">
        <v>39</v>
      </c>
    </row>
    <row r="140" customFormat="false" ht="15.75" hidden="false" customHeight="false" outlineLevel="0" collapsed="false">
      <c r="A140" s="252" t="n">
        <v>111</v>
      </c>
      <c r="B140" s="253" t="s">
        <v>79</v>
      </c>
      <c r="C140" s="45" t="s">
        <v>116</v>
      </c>
      <c r="D140" s="45" t="s">
        <v>116</v>
      </c>
      <c r="E140" s="45" t="s">
        <v>13</v>
      </c>
      <c r="F140" s="45" t="s">
        <v>58</v>
      </c>
      <c r="G140" s="45" t="s">
        <v>142</v>
      </c>
      <c r="H140" s="45" t="s">
        <v>25</v>
      </c>
      <c r="I140" s="45" t="s">
        <v>142</v>
      </c>
      <c r="J140" s="45" t="s">
        <v>143</v>
      </c>
      <c r="K140" s="45" t="s">
        <v>26</v>
      </c>
      <c r="L140" s="45" t="s">
        <v>25</v>
      </c>
      <c r="M140" s="45" t="s">
        <v>82</v>
      </c>
      <c r="N140" s="45" t="s">
        <v>120</v>
      </c>
      <c r="O140" s="45" t="s">
        <v>120</v>
      </c>
      <c r="P140" s="45" t="s">
        <v>145</v>
      </c>
      <c r="Q140" s="45" t="s">
        <v>145</v>
      </c>
      <c r="R140" s="45" t="s">
        <v>58</v>
      </c>
      <c r="S140" s="45" t="s">
        <v>120</v>
      </c>
      <c r="T140" s="45" t="s">
        <v>13</v>
      </c>
      <c r="U140" s="45" t="s">
        <v>120</v>
      </c>
      <c r="V140" s="45" t="s">
        <v>116</v>
      </c>
      <c r="W140" s="45" t="s">
        <v>145</v>
      </c>
      <c r="X140" s="45" t="s">
        <v>77</v>
      </c>
      <c r="Y140" s="45" t="s">
        <v>26</v>
      </c>
      <c r="Z140" s="45" t="s">
        <v>145</v>
      </c>
      <c r="AA140" s="45" t="s">
        <v>143</v>
      </c>
      <c r="AB140" s="45" t="s">
        <v>13</v>
      </c>
      <c r="AC140" s="45" t="s">
        <v>58</v>
      </c>
      <c r="AD140" s="45" t="s">
        <v>153</v>
      </c>
      <c r="AE140" s="45" t="s">
        <v>12</v>
      </c>
      <c r="AF140" s="45" t="s">
        <v>25</v>
      </c>
      <c r="AG140" s="45" t="s">
        <v>143</v>
      </c>
      <c r="AH140" s="45" t="s">
        <v>18</v>
      </c>
      <c r="AI140" s="45" t="s">
        <v>25</v>
      </c>
      <c r="AJ140" s="45" t="s">
        <v>77</v>
      </c>
      <c r="AK140" s="45" t="s">
        <v>77</v>
      </c>
      <c r="AL140" s="45" t="s">
        <v>142</v>
      </c>
      <c r="AM140" s="45" t="s">
        <v>58</v>
      </c>
      <c r="AN140" s="45" t="s">
        <v>105</v>
      </c>
      <c r="AO140" s="45" t="s">
        <v>20</v>
      </c>
      <c r="AP140" s="45" t="s">
        <v>26</v>
      </c>
      <c r="AQ140" s="45" t="s">
        <v>67</v>
      </c>
      <c r="AR140" s="45" t="s">
        <v>37</v>
      </c>
      <c r="AS140" s="45" t="s">
        <v>18</v>
      </c>
      <c r="AT140" s="45" t="s">
        <v>18</v>
      </c>
      <c r="AU140" s="45" t="s">
        <v>105</v>
      </c>
      <c r="AV140" s="45" t="s">
        <v>84</v>
      </c>
      <c r="AW140" s="45" t="s">
        <v>149</v>
      </c>
      <c r="AX140" s="45" t="s">
        <v>50</v>
      </c>
      <c r="AY140" s="45" t="s">
        <v>122</v>
      </c>
      <c r="AZ140" s="45" t="s">
        <v>131</v>
      </c>
      <c r="BA140" s="45" t="s">
        <v>37</v>
      </c>
      <c r="BB140" s="45" t="s">
        <v>77</v>
      </c>
      <c r="BC140" s="45" t="s">
        <v>77</v>
      </c>
      <c r="BD140" s="45" t="s">
        <v>77</v>
      </c>
      <c r="BE140" s="45" t="s">
        <v>115</v>
      </c>
      <c r="BF140" s="45" t="s">
        <v>133</v>
      </c>
      <c r="BG140" s="45" t="s">
        <v>133</v>
      </c>
      <c r="BH140" s="45" t="s">
        <v>51</v>
      </c>
      <c r="BI140" s="45" t="s">
        <v>12</v>
      </c>
      <c r="BJ140" s="45" t="s">
        <v>12</v>
      </c>
      <c r="BK140" s="45" t="s">
        <v>20</v>
      </c>
      <c r="BL140" s="45" t="s">
        <v>99</v>
      </c>
      <c r="BM140" s="45" t="s">
        <v>84</v>
      </c>
      <c r="BN140" s="45" t="s">
        <v>105</v>
      </c>
      <c r="BO140" s="45" t="s">
        <v>131</v>
      </c>
      <c r="BP140" s="45" t="s">
        <v>14</v>
      </c>
      <c r="BQ140" s="45" t="s">
        <v>110</v>
      </c>
      <c r="BR140" s="45" t="s">
        <v>20</v>
      </c>
      <c r="BS140" s="45" t="s">
        <v>15</v>
      </c>
      <c r="BT140" s="45" t="s">
        <v>153</v>
      </c>
      <c r="BU140" s="45" t="s">
        <v>110</v>
      </c>
      <c r="BV140" s="45" t="s">
        <v>152</v>
      </c>
      <c r="BW140" s="45" t="s">
        <v>145</v>
      </c>
      <c r="BX140" s="45" t="s">
        <v>77</v>
      </c>
      <c r="BY140" s="45" t="s">
        <v>131</v>
      </c>
      <c r="BZ140" s="45" t="s">
        <v>131</v>
      </c>
      <c r="CA140" s="45" t="s">
        <v>124</v>
      </c>
      <c r="CB140" s="45" t="s">
        <v>124</v>
      </c>
      <c r="CC140" s="45" t="s">
        <v>26</v>
      </c>
      <c r="CD140" s="45" t="s">
        <v>88</v>
      </c>
      <c r="CE140" s="45" t="s">
        <v>110</v>
      </c>
      <c r="CF140" s="45" t="s">
        <v>115</v>
      </c>
      <c r="CG140" s="45" t="s">
        <v>142</v>
      </c>
      <c r="CH140" s="45" t="s">
        <v>14</v>
      </c>
      <c r="CI140" s="45" t="s">
        <v>117</v>
      </c>
      <c r="CJ140" s="45" t="s">
        <v>117</v>
      </c>
      <c r="CK140" s="45" t="s">
        <v>15</v>
      </c>
      <c r="CL140" s="45" t="s">
        <v>20</v>
      </c>
      <c r="CM140" s="45" t="s">
        <v>138</v>
      </c>
      <c r="CN140" s="45" t="s">
        <v>26</v>
      </c>
      <c r="CO140" s="45" t="s">
        <v>51</v>
      </c>
      <c r="CP140" s="45" t="s">
        <v>12</v>
      </c>
      <c r="CQ140" s="45" t="s">
        <v>122</v>
      </c>
      <c r="CR140" s="45" t="s">
        <v>82</v>
      </c>
      <c r="CS140" s="45" t="s">
        <v>82</v>
      </c>
      <c r="CT140" s="45" t="s">
        <v>143</v>
      </c>
      <c r="CU140" s="45" t="s">
        <v>143</v>
      </c>
      <c r="CV140" s="45" t="s">
        <v>99</v>
      </c>
      <c r="CW140" s="45" t="s">
        <v>39</v>
      </c>
      <c r="CX140" s="45" t="s">
        <v>138</v>
      </c>
      <c r="CY140" s="45" t="s">
        <v>14</v>
      </c>
      <c r="CZ140" s="45" t="s">
        <v>73</v>
      </c>
      <c r="DA140" s="45" t="s">
        <v>73</v>
      </c>
      <c r="DB140" s="45" t="s">
        <v>153</v>
      </c>
      <c r="DC140" s="45" t="s">
        <v>152</v>
      </c>
      <c r="DD140" s="45" t="s">
        <v>106</v>
      </c>
      <c r="DE140" s="45" t="s">
        <v>20</v>
      </c>
      <c r="DF140" s="45" t="s">
        <v>15</v>
      </c>
      <c r="DG140" s="45" t="s">
        <v>122</v>
      </c>
      <c r="DH140" s="45" t="s">
        <v>105</v>
      </c>
      <c r="DI140" s="45" t="s">
        <v>73</v>
      </c>
      <c r="DJ140" s="45" t="s">
        <v>73</v>
      </c>
      <c r="DK140" s="45" t="s">
        <v>122</v>
      </c>
      <c r="DL140" s="45" t="s">
        <v>122</v>
      </c>
      <c r="DM140" s="45" t="s">
        <v>20</v>
      </c>
      <c r="DN140" s="45" t="s">
        <v>51</v>
      </c>
      <c r="DO140" s="45" t="s">
        <v>51</v>
      </c>
      <c r="DP140" s="45" t="s">
        <v>20</v>
      </c>
      <c r="DQ140" s="45" t="s">
        <v>135</v>
      </c>
      <c r="DR140" s="45" t="s">
        <v>39</v>
      </c>
      <c r="DS140" s="45" t="s">
        <v>39</v>
      </c>
      <c r="DT140" s="45" t="s">
        <v>73</v>
      </c>
      <c r="DU140" s="45" t="s">
        <v>50</v>
      </c>
      <c r="DV140" s="45" t="s">
        <v>73</v>
      </c>
      <c r="DW140" s="45" t="s">
        <v>73</v>
      </c>
      <c r="DX140" s="45" t="s">
        <v>135</v>
      </c>
      <c r="DY140" s="45" t="s">
        <v>135</v>
      </c>
      <c r="DZ140" s="45" t="s">
        <v>15</v>
      </c>
      <c r="EA140" s="45" t="s">
        <v>15</v>
      </c>
      <c r="EB140" s="45" t="s">
        <v>15</v>
      </c>
      <c r="EC140" s="45" t="s">
        <v>20</v>
      </c>
      <c r="ED140" s="45" t="s">
        <v>39</v>
      </c>
      <c r="EE140" s="45" t="s">
        <v>135</v>
      </c>
      <c r="EF140" s="45" t="s">
        <v>135</v>
      </c>
      <c r="EG140" s="45" t="s">
        <v>135</v>
      </c>
      <c r="EH140" s="45" t="s">
        <v>39</v>
      </c>
      <c r="EI140" s="45" t="s">
        <v>39</v>
      </c>
      <c r="EJ140" s="45" t="s">
        <v>79</v>
      </c>
    </row>
    <row r="141" customFormat="false" ht="15.75" hidden="false" customHeight="false" outlineLevel="0" collapsed="false">
      <c r="A141" s="249" t="n">
        <f aca="false">PalData!I141</f>
        <v>-1</v>
      </c>
      <c r="B141" s="250" t="str">
        <f aca="false">PalData!A141</f>
        <v>Alpha Kitsun</v>
      </c>
    </row>
    <row r="142" customFormat="false" ht="15.75" hidden="false" customHeight="false" outlineLevel="0" collapsed="false">
      <c r="A142" s="249" t="n">
        <f aca="false">PalData!I142</f>
        <v>-1</v>
      </c>
      <c r="B142" s="250" t="str">
        <f aca="false">PalData!A142</f>
        <v>Alpha Anubis</v>
      </c>
    </row>
    <row r="143" customFormat="false" ht="15.75" hidden="false" customHeight="false" outlineLevel="0" collapsed="false">
      <c r="A143" s="249" t="n">
        <f aca="false">PalData!I143</f>
        <v>-1</v>
      </c>
      <c r="B143" s="250" t="str">
        <f aca="false">PalData!A143</f>
        <v>Alpha Incineram</v>
      </c>
    </row>
    <row r="144" customFormat="false" ht="15.75" hidden="false" customHeight="false" outlineLevel="0" collapsed="false">
      <c r="A144" s="249" t="n">
        <f aca="false">PalData!I144</f>
        <v>-1</v>
      </c>
      <c r="B144" s="250" t="str">
        <f aca="false">PalData!A144</f>
        <v>Alpha Incineram Noct</v>
      </c>
    </row>
    <row r="145" customFormat="false" ht="15.75" hidden="false" customHeight="false" outlineLevel="0" collapsed="false">
      <c r="A145" s="249" t="n">
        <f aca="false">PalData!I145</f>
        <v>-1</v>
      </c>
      <c r="B145" s="250" t="str">
        <f aca="false">PalData!A145</f>
        <v>Alpha Mau</v>
      </c>
    </row>
    <row r="146" customFormat="false" ht="15.75" hidden="false" customHeight="false" outlineLevel="0" collapsed="false">
      <c r="A146" s="249" t="n">
        <f aca="false">PalData!I146</f>
        <v>-1</v>
      </c>
      <c r="B146" s="250" t="str">
        <f aca="false">PalData!A146</f>
        <v>Alpha Mau Cryst</v>
      </c>
    </row>
    <row r="147" customFormat="false" ht="15.75" hidden="false" customHeight="false" outlineLevel="0" collapsed="false">
      <c r="A147" s="249" t="n">
        <f aca="false">PalData!I147</f>
        <v>-1</v>
      </c>
      <c r="B147" s="250" t="str">
        <f aca="false">PalData!A147</f>
        <v>Alpha Caprity</v>
      </c>
    </row>
    <row r="148" customFormat="false" ht="15.75" hidden="false" customHeight="false" outlineLevel="0" collapsed="false">
      <c r="A148" s="249" t="n">
        <f aca="false">PalData!I148</f>
        <v>-1</v>
      </c>
      <c r="B148" s="250" t="str">
        <f aca="false">PalData!A148</f>
        <v>Alpha Vanwyrm</v>
      </c>
    </row>
    <row r="149" customFormat="false" ht="15.75" hidden="false" customHeight="false" outlineLevel="0" collapsed="false">
      <c r="A149" s="249" t="n">
        <f aca="false">PalData!I149</f>
        <v>-1</v>
      </c>
      <c r="B149" s="250" t="str">
        <f aca="false">PalData!A149</f>
        <v>Alpha Vanwyrm Cryst</v>
      </c>
    </row>
    <row r="150" customFormat="false" ht="15.75" hidden="false" customHeight="false" outlineLevel="0" collapsed="false">
      <c r="A150" s="249" t="n">
        <f aca="false">PalData!I150</f>
        <v>-1</v>
      </c>
      <c r="B150" s="250" t="str">
        <f aca="false">PalData!A150</f>
        <v>Alpha Necromus</v>
      </c>
    </row>
    <row r="151" customFormat="false" ht="15.75" hidden="false" customHeight="false" outlineLevel="0" collapsed="false">
      <c r="A151" s="249" t="n">
        <f aca="false">PalData!I151</f>
        <v>-1</v>
      </c>
      <c r="B151" s="250" t="str">
        <f aca="false">PalData!A151</f>
        <v>Alpha Shadowbeak</v>
      </c>
    </row>
    <row r="152" customFormat="false" ht="15.75" hidden="false" customHeight="false" outlineLevel="0" collapsed="false">
      <c r="A152" s="249" t="n">
        <f aca="false">PalData!I152</f>
        <v>-1</v>
      </c>
      <c r="B152" s="250" t="str">
        <f aca="false">PalData!A152</f>
        <v>Alpha Astegon</v>
      </c>
    </row>
    <row r="153" customFormat="false" ht="15.75" hidden="false" customHeight="false" outlineLevel="0" collapsed="false">
      <c r="A153" s="249" t="n">
        <f aca="false">PalData!I153</f>
        <v>-1</v>
      </c>
      <c r="B153" s="250" t="str">
        <f aca="false">PalData!A153</f>
        <v>Alpha Azurobe</v>
      </c>
    </row>
    <row r="154" customFormat="false" ht="15.75" hidden="false" customHeight="false" outlineLevel="0" collapsed="false">
      <c r="A154" s="249" t="n">
        <f aca="false">PalData!I154</f>
        <v>-1</v>
      </c>
      <c r="B154" s="250" t="str">
        <f aca="false">PalData!A154</f>
        <v>Alpha Fuack</v>
      </c>
    </row>
    <row r="155" customFormat="false" ht="15.75" hidden="false" customHeight="false" outlineLevel="0" collapsed="false">
      <c r="A155" s="249" t="n">
        <f aca="false">PalData!I155</f>
        <v>-1</v>
      </c>
      <c r="B155" s="250" t="str">
        <f aca="false">PalData!A155</f>
        <v>Alpha Rushoar</v>
      </c>
    </row>
    <row r="156" customFormat="false" ht="15.75" hidden="false" customHeight="false" outlineLevel="0" collapsed="false">
      <c r="A156" s="249" t="n">
        <f aca="false">PalData!I156</f>
        <v>-1</v>
      </c>
      <c r="B156" s="250" t="str">
        <f aca="false">PalData!A156</f>
        <v>Alpha Penking</v>
      </c>
    </row>
    <row r="157" customFormat="false" ht="15.75" hidden="false" customHeight="false" outlineLevel="0" collapsed="false">
      <c r="A157" s="249" t="n">
        <f aca="false">PalData!I151</f>
        <v>-1</v>
      </c>
      <c r="B157" s="250" t="str">
        <f aca="false">PalData!A151</f>
        <v>Alpha Shadowbeak</v>
      </c>
    </row>
    <row r="158" customFormat="false" ht="15.75" hidden="false" customHeight="false" outlineLevel="0" collapsed="false">
      <c r="A158" s="249" t="n">
        <f aca="false">PalData!I152</f>
        <v>-1</v>
      </c>
      <c r="B158" s="250" t="str">
        <f aca="false">PalData!A152</f>
        <v>Alpha Astegon</v>
      </c>
    </row>
    <row r="159" customFormat="false" ht="15.75" hidden="false" customHeight="false" outlineLevel="0" collapsed="false">
      <c r="A159" s="249" t="n">
        <f aca="false">PalData!I153</f>
        <v>-1</v>
      </c>
      <c r="B159" s="250" t="str">
        <f aca="false">PalData!A153</f>
        <v>Alpha Azurobe</v>
      </c>
    </row>
    <row r="160" customFormat="false" ht="15.75" hidden="false" customHeight="false" outlineLevel="0" collapsed="false">
      <c r="A160" s="249"/>
      <c r="B160" s="251"/>
    </row>
    <row r="161" customFormat="false" ht="15.75" hidden="false" customHeight="false" outlineLevel="0" collapsed="false">
      <c r="A161" s="249"/>
      <c r="B161" s="250"/>
    </row>
    <row r="162" customFormat="false" ht="15.75" hidden="false" customHeight="false" outlineLevel="0" collapsed="false">
      <c r="A162" s="249"/>
      <c r="B162" s="250"/>
    </row>
    <row r="163" customFormat="false" ht="15.75" hidden="false" customHeight="false" outlineLevel="0" collapsed="false">
      <c r="A163" s="249"/>
      <c r="B163" s="250"/>
    </row>
    <row r="164" customFormat="false" ht="15.75" hidden="false" customHeight="false" outlineLevel="0" collapsed="false">
      <c r="A164" s="249"/>
      <c r="B164" s="250"/>
    </row>
    <row r="165" customFormat="false" ht="15.75" hidden="false" customHeight="false" outlineLevel="0" collapsed="false">
      <c r="A165" s="249"/>
      <c r="B165" s="250"/>
    </row>
    <row r="166" customFormat="false" ht="15.75" hidden="false" customHeight="false" outlineLevel="0" collapsed="false">
      <c r="A166" s="249"/>
      <c r="B166" s="250"/>
    </row>
    <row r="167" customFormat="false" ht="15.75" hidden="false" customHeight="false" outlineLevel="0" collapsed="false">
      <c r="A167" s="249"/>
      <c r="B167" s="250"/>
    </row>
    <row r="168" customFormat="false" ht="15.75" hidden="false" customHeight="false" outlineLevel="0" collapsed="false">
      <c r="A168" s="249"/>
      <c r="B168" s="250"/>
    </row>
    <row r="169" customFormat="false" ht="15.75" hidden="false" customHeight="false" outlineLevel="0" collapsed="false">
      <c r="A169" s="249"/>
      <c r="B169" s="250"/>
    </row>
    <row r="170" customFormat="false" ht="15.75" hidden="false" customHeight="false" outlineLevel="0" collapsed="false">
      <c r="A170" s="249"/>
      <c r="B170" s="250"/>
    </row>
    <row r="171" customFormat="false" ht="15.75" hidden="false" customHeight="false" outlineLevel="0" collapsed="false">
      <c r="A171" s="249"/>
      <c r="B171" s="250"/>
    </row>
    <row r="172" customFormat="false" ht="15.75" hidden="false" customHeight="false" outlineLevel="0" collapsed="false">
      <c r="A172" s="249"/>
      <c r="B172" s="250"/>
    </row>
    <row r="173" customFormat="false" ht="15.75" hidden="false" customHeight="false" outlineLevel="0" collapsed="false">
      <c r="A173" s="249"/>
      <c r="B173" s="250"/>
    </row>
    <row r="174" customFormat="false" ht="15.75" hidden="false" customHeight="false" outlineLevel="0" collapsed="false">
      <c r="A174" s="249"/>
      <c r="B174" s="250"/>
    </row>
    <row r="175" customFormat="false" ht="15.75" hidden="false" customHeight="false" outlineLevel="0" collapsed="false">
      <c r="A175" s="249"/>
      <c r="B175" s="250"/>
    </row>
    <row r="176" customFormat="false" ht="15.75" hidden="false" customHeight="false" outlineLevel="0" collapsed="false">
      <c r="A176" s="249"/>
      <c r="B176" s="250"/>
    </row>
    <row r="177" customFormat="false" ht="15.75" hidden="false" customHeight="false" outlineLevel="0" collapsed="false">
      <c r="A177" s="249"/>
      <c r="B177" s="250"/>
    </row>
    <row r="178" customFormat="false" ht="15.75" hidden="false" customHeight="false" outlineLevel="0" collapsed="false">
      <c r="A178" s="249"/>
      <c r="B178" s="250"/>
    </row>
    <row r="179" customFormat="false" ht="15.75" hidden="false" customHeight="false" outlineLevel="0" collapsed="false">
      <c r="A179" s="249"/>
      <c r="B179" s="250"/>
    </row>
    <row r="180" customFormat="false" ht="15.75" hidden="false" customHeight="false" outlineLevel="0" collapsed="false">
      <c r="A180" s="249"/>
      <c r="B180" s="250"/>
    </row>
    <row r="181" customFormat="false" ht="15.75" hidden="false" customHeight="false" outlineLevel="0" collapsed="false">
      <c r="A181" s="249"/>
      <c r="B181" s="250"/>
    </row>
    <row r="182" customFormat="false" ht="15.75" hidden="false" customHeight="false" outlineLevel="0" collapsed="false">
      <c r="A182" s="249"/>
      <c r="B182" s="250"/>
    </row>
    <row r="183" customFormat="false" ht="15.75" hidden="false" customHeight="false" outlineLevel="0" collapsed="false">
      <c r="A183" s="249"/>
      <c r="B183" s="250"/>
    </row>
    <row r="184" customFormat="false" ht="15.75" hidden="false" customHeight="false" outlineLevel="0" collapsed="false">
      <c r="A184" s="249"/>
      <c r="B184" s="250"/>
    </row>
    <row r="185" customFormat="false" ht="15.75" hidden="false" customHeight="false" outlineLevel="0" collapsed="false">
      <c r="A185" s="249"/>
      <c r="B185" s="250"/>
    </row>
    <row r="186" customFormat="false" ht="15.75" hidden="false" customHeight="false" outlineLevel="0" collapsed="false">
      <c r="A186" s="249"/>
      <c r="B186" s="250"/>
    </row>
    <row r="187" customFormat="false" ht="15.75" hidden="false" customHeight="false" outlineLevel="0" collapsed="false">
      <c r="A187" s="249"/>
      <c r="B187" s="250"/>
    </row>
    <row r="188" customFormat="false" ht="15.75" hidden="false" customHeight="false" outlineLevel="0" collapsed="false">
      <c r="A188" s="249"/>
      <c r="B188" s="250"/>
    </row>
    <row r="189" customFormat="false" ht="15.75" hidden="false" customHeight="false" outlineLevel="0" collapsed="false">
      <c r="A189" s="249"/>
      <c r="B189" s="250"/>
    </row>
    <row r="190" customFormat="false" ht="15.75" hidden="false" customHeight="false" outlineLevel="0" collapsed="false">
      <c r="A190" s="249"/>
      <c r="B190" s="250"/>
    </row>
    <row r="191" customFormat="false" ht="15.75" hidden="false" customHeight="false" outlineLevel="0" collapsed="false">
      <c r="A191" s="249"/>
      <c r="B191" s="250"/>
    </row>
    <row r="192" customFormat="false" ht="15.75" hidden="false" customHeight="false" outlineLevel="0" collapsed="false">
      <c r="A192" s="249"/>
      <c r="B192" s="250"/>
    </row>
    <row r="193" customFormat="false" ht="15.75" hidden="false" customHeight="false" outlineLevel="0" collapsed="false">
      <c r="A193" s="249"/>
      <c r="B193" s="250"/>
    </row>
    <row r="194" customFormat="false" ht="15.75" hidden="false" customHeight="false" outlineLevel="0" collapsed="false">
      <c r="A194" s="249"/>
      <c r="B194" s="250"/>
    </row>
    <row r="195" customFormat="false" ht="15.75" hidden="false" customHeight="false" outlineLevel="0" collapsed="false">
      <c r="A195" s="249"/>
      <c r="B195" s="250"/>
    </row>
    <row r="196" customFormat="false" ht="15.75" hidden="false" customHeight="false" outlineLevel="0" collapsed="false">
      <c r="A196" s="249"/>
      <c r="B196" s="250"/>
    </row>
    <row r="197" customFormat="false" ht="15.75" hidden="false" customHeight="false" outlineLevel="0" collapsed="false">
      <c r="A197" s="249"/>
      <c r="B197" s="250"/>
    </row>
    <row r="198" customFormat="false" ht="15.75" hidden="false" customHeight="false" outlineLevel="0" collapsed="false">
      <c r="A198" s="249"/>
      <c r="B198" s="250"/>
    </row>
    <row r="199" customFormat="false" ht="15.75" hidden="false" customHeight="false" outlineLevel="0" collapsed="false">
      <c r="A199" s="249"/>
      <c r="B199" s="250"/>
    </row>
    <row r="200" customFormat="false" ht="15.75" hidden="false" customHeight="false" outlineLevel="0" collapsed="false">
      <c r="A200" s="249"/>
      <c r="B200" s="250"/>
    </row>
    <row r="201" customFormat="false" ht="15.75" hidden="false" customHeight="false" outlineLevel="0" collapsed="false">
      <c r="A201" s="249"/>
      <c r="B201" s="250"/>
    </row>
    <row r="202" customFormat="false" ht="15.75" hidden="false" customHeight="false" outlineLevel="0" collapsed="false">
      <c r="A202" s="249"/>
      <c r="B202" s="250"/>
    </row>
    <row r="203" customFormat="false" ht="15.75" hidden="false" customHeight="false" outlineLevel="0" collapsed="false">
      <c r="A203" s="249"/>
      <c r="B203" s="250"/>
    </row>
    <row r="204" customFormat="false" ht="15.75" hidden="false" customHeight="false" outlineLevel="0" collapsed="false">
      <c r="A204" s="249"/>
      <c r="B204" s="250"/>
    </row>
    <row r="205" customFormat="false" ht="15.75" hidden="false" customHeight="false" outlineLevel="0" collapsed="false">
      <c r="A205" s="249"/>
      <c r="B205" s="250"/>
    </row>
    <row r="206" customFormat="false" ht="15.75" hidden="false" customHeight="false" outlineLevel="0" collapsed="false">
      <c r="A206" s="249"/>
      <c r="B206" s="250"/>
    </row>
    <row r="207" customFormat="false" ht="15.75" hidden="false" customHeight="false" outlineLevel="0" collapsed="false">
      <c r="A207" s="249"/>
      <c r="B207" s="250"/>
    </row>
    <row r="208" customFormat="false" ht="15.75" hidden="false" customHeight="false" outlineLevel="0" collapsed="false">
      <c r="A208" s="249"/>
      <c r="B208" s="250"/>
    </row>
    <row r="209" customFormat="false" ht="15.75" hidden="false" customHeight="false" outlineLevel="0" collapsed="false">
      <c r="A209" s="249"/>
      <c r="B209" s="250"/>
    </row>
    <row r="210" customFormat="false" ht="15.75" hidden="false" customHeight="false" outlineLevel="0" collapsed="false">
      <c r="A210" s="249"/>
      <c r="B210" s="250"/>
    </row>
    <row r="211" customFormat="false" ht="15.75" hidden="false" customHeight="false" outlineLevel="0" collapsed="false">
      <c r="A211" s="249"/>
      <c r="B211" s="250"/>
    </row>
    <row r="212" customFormat="false" ht="15.75" hidden="false" customHeight="false" outlineLevel="0" collapsed="false">
      <c r="A212" s="249"/>
      <c r="B212" s="250"/>
    </row>
    <row r="213" customFormat="false" ht="15.75" hidden="false" customHeight="false" outlineLevel="0" collapsed="false">
      <c r="A213" s="249"/>
      <c r="B213" s="250"/>
    </row>
    <row r="214" customFormat="false" ht="15.75" hidden="false" customHeight="false" outlineLevel="0" collapsed="false">
      <c r="A214" s="249"/>
      <c r="B214" s="250"/>
    </row>
    <row r="215" customFormat="false" ht="15.75" hidden="false" customHeight="false" outlineLevel="0" collapsed="false">
      <c r="A215" s="249"/>
      <c r="B215" s="250"/>
    </row>
    <row r="216" customFormat="false" ht="15.75" hidden="false" customHeight="false" outlineLevel="0" collapsed="false">
      <c r="A216" s="249"/>
      <c r="B216" s="250"/>
    </row>
    <row r="217" customFormat="false" ht="15.75" hidden="false" customHeight="false" outlineLevel="0" collapsed="false">
      <c r="A217" s="249"/>
      <c r="B217" s="250"/>
    </row>
    <row r="218" customFormat="false" ht="15.75" hidden="false" customHeight="false" outlineLevel="0" collapsed="false">
      <c r="A218" s="249"/>
      <c r="B218" s="250"/>
    </row>
    <row r="219" customFormat="false" ht="15.75" hidden="false" customHeight="false" outlineLevel="0" collapsed="false">
      <c r="A219" s="249"/>
      <c r="B219" s="250"/>
    </row>
    <row r="220" customFormat="false" ht="15.75" hidden="false" customHeight="false" outlineLevel="0" collapsed="false">
      <c r="A220" s="249"/>
      <c r="B220" s="250"/>
    </row>
    <row r="221" customFormat="false" ht="15.75" hidden="false" customHeight="false" outlineLevel="0" collapsed="false">
      <c r="A221" s="249"/>
      <c r="B221" s="250"/>
    </row>
    <row r="222" customFormat="false" ht="15.75" hidden="false" customHeight="false" outlineLevel="0" collapsed="false">
      <c r="A222" s="249"/>
      <c r="B222" s="250"/>
    </row>
    <row r="223" customFormat="false" ht="15.75" hidden="false" customHeight="false" outlineLevel="0" collapsed="false">
      <c r="A223" s="249"/>
      <c r="B223" s="250"/>
    </row>
    <row r="224" customFormat="false" ht="15.75" hidden="false" customHeight="false" outlineLevel="0" collapsed="false">
      <c r="A224" s="249"/>
      <c r="B224" s="250"/>
    </row>
    <row r="225" customFormat="false" ht="15.75" hidden="false" customHeight="false" outlineLevel="0" collapsed="false">
      <c r="A225" s="249"/>
      <c r="B225" s="250"/>
    </row>
    <row r="226" customFormat="false" ht="15.75" hidden="false" customHeight="false" outlineLevel="0" collapsed="false">
      <c r="A226" s="249"/>
      <c r="B226" s="250"/>
    </row>
    <row r="227" customFormat="false" ht="15.75" hidden="false" customHeight="false" outlineLevel="0" collapsed="false">
      <c r="A227" s="249"/>
      <c r="B227" s="250"/>
    </row>
    <row r="228" customFormat="false" ht="15.75" hidden="false" customHeight="false" outlineLevel="0" collapsed="false">
      <c r="A228" s="249"/>
      <c r="B228" s="250"/>
    </row>
    <row r="229" customFormat="false" ht="15.75" hidden="false" customHeight="false" outlineLevel="0" collapsed="false">
      <c r="A229" s="249"/>
      <c r="B229" s="250"/>
    </row>
    <row r="230" customFormat="false" ht="15.75" hidden="false" customHeight="false" outlineLevel="0" collapsed="false">
      <c r="A230" s="249"/>
      <c r="B230" s="250"/>
    </row>
    <row r="231" customFormat="false" ht="15.75" hidden="false" customHeight="false" outlineLevel="0" collapsed="false">
      <c r="A231" s="249"/>
      <c r="B231" s="250"/>
    </row>
    <row r="232" customFormat="false" ht="15.75" hidden="false" customHeight="false" outlineLevel="0" collapsed="false">
      <c r="A232" s="249"/>
      <c r="B232" s="250"/>
    </row>
    <row r="233" customFormat="false" ht="15.75" hidden="false" customHeight="false" outlineLevel="0" collapsed="false">
      <c r="A233" s="249"/>
      <c r="B233" s="250"/>
    </row>
    <row r="234" customFormat="false" ht="15.75" hidden="false" customHeight="false" outlineLevel="0" collapsed="false">
      <c r="A234" s="249"/>
      <c r="B234" s="250"/>
    </row>
    <row r="235" customFormat="false" ht="15.75" hidden="false" customHeight="false" outlineLevel="0" collapsed="false">
      <c r="A235" s="249"/>
      <c r="B235" s="250"/>
    </row>
    <row r="236" customFormat="false" ht="15.75" hidden="false" customHeight="false" outlineLevel="0" collapsed="false">
      <c r="A236" s="249"/>
      <c r="B236" s="250"/>
    </row>
    <row r="237" customFormat="false" ht="15.75" hidden="false" customHeight="false" outlineLevel="0" collapsed="false">
      <c r="A237" s="249"/>
      <c r="B237" s="250"/>
    </row>
    <row r="238" customFormat="false" ht="15.75" hidden="false" customHeight="false" outlineLevel="0" collapsed="false">
      <c r="A238" s="249"/>
      <c r="B238" s="250"/>
    </row>
    <row r="239" customFormat="false" ht="15.75" hidden="false" customHeight="false" outlineLevel="0" collapsed="false">
      <c r="A239" s="249"/>
      <c r="B239" s="250"/>
    </row>
    <row r="240" customFormat="false" ht="15.75" hidden="false" customHeight="false" outlineLevel="0" collapsed="false">
      <c r="A240" s="249"/>
      <c r="B240" s="250"/>
    </row>
    <row r="241" customFormat="false" ht="15.75" hidden="false" customHeight="false" outlineLevel="0" collapsed="false">
      <c r="A241" s="249"/>
      <c r="B241" s="250"/>
    </row>
    <row r="242" customFormat="false" ht="15.75" hidden="false" customHeight="false" outlineLevel="0" collapsed="false">
      <c r="A242" s="249"/>
      <c r="B242" s="250"/>
    </row>
    <row r="243" customFormat="false" ht="15.75" hidden="false" customHeight="false" outlineLevel="0" collapsed="false">
      <c r="A243" s="249"/>
      <c r="B243" s="250"/>
    </row>
    <row r="244" customFormat="false" ht="15.75" hidden="false" customHeight="false" outlineLevel="0" collapsed="false">
      <c r="A244" s="249"/>
      <c r="B244" s="250"/>
    </row>
    <row r="245" customFormat="false" ht="15.75" hidden="false" customHeight="false" outlineLevel="0" collapsed="false">
      <c r="A245" s="249"/>
      <c r="B245" s="250"/>
    </row>
    <row r="246" customFormat="false" ht="15.75" hidden="false" customHeight="false" outlineLevel="0" collapsed="false">
      <c r="A246" s="249"/>
      <c r="B246" s="250"/>
    </row>
    <row r="247" customFormat="false" ht="15.75" hidden="false" customHeight="false" outlineLevel="0" collapsed="false">
      <c r="A247" s="249"/>
      <c r="B247" s="250"/>
    </row>
    <row r="248" customFormat="false" ht="15.75" hidden="false" customHeight="false" outlineLevel="0" collapsed="false">
      <c r="A248" s="249"/>
      <c r="B248" s="250"/>
    </row>
    <row r="249" customFormat="false" ht="15.75" hidden="false" customHeight="false" outlineLevel="0" collapsed="false">
      <c r="A249" s="249"/>
      <c r="B249" s="250"/>
    </row>
    <row r="250" customFormat="false" ht="15.75" hidden="false" customHeight="false" outlineLevel="0" collapsed="false">
      <c r="A250" s="249"/>
      <c r="B250" s="250"/>
    </row>
    <row r="251" customFormat="false" ht="15.75" hidden="false" customHeight="false" outlineLevel="0" collapsed="false">
      <c r="A251" s="249"/>
      <c r="B251" s="250"/>
    </row>
    <row r="252" customFormat="false" ht="15.75" hidden="false" customHeight="false" outlineLevel="0" collapsed="false">
      <c r="A252" s="249"/>
      <c r="B252" s="250"/>
    </row>
    <row r="253" customFormat="false" ht="15.75" hidden="false" customHeight="false" outlineLevel="0" collapsed="false">
      <c r="A253" s="249"/>
      <c r="B253" s="250"/>
    </row>
    <row r="254" customFormat="false" ht="15.75" hidden="false" customHeight="false" outlineLevel="0" collapsed="false">
      <c r="A254" s="249"/>
      <c r="B254" s="250"/>
    </row>
    <row r="255" customFormat="false" ht="15.75" hidden="false" customHeight="false" outlineLevel="0" collapsed="false">
      <c r="A255" s="249"/>
      <c r="B255" s="250"/>
    </row>
    <row r="256" customFormat="false" ht="15.75" hidden="false" customHeight="false" outlineLevel="0" collapsed="false">
      <c r="A256" s="249"/>
      <c r="B256" s="250"/>
    </row>
    <row r="257" customFormat="false" ht="15.75" hidden="false" customHeight="false" outlineLevel="0" collapsed="false">
      <c r="A257" s="249"/>
      <c r="B257" s="250"/>
    </row>
    <row r="258" customFormat="false" ht="15.75" hidden="false" customHeight="false" outlineLevel="0" collapsed="false">
      <c r="A258" s="249"/>
      <c r="B258" s="250"/>
    </row>
    <row r="259" customFormat="false" ht="15.75" hidden="false" customHeight="false" outlineLevel="0" collapsed="false">
      <c r="A259" s="249"/>
      <c r="B259" s="250"/>
    </row>
    <row r="260" customFormat="false" ht="15.75" hidden="false" customHeight="false" outlineLevel="0" collapsed="false">
      <c r="A260" s="249"/>
      <c r="B260" s="250"/>
    </row>
    <row r="261" customFormat="false" ht="15.75" hidden="false" customHeight="false" outlineLevel="0" collapsed="false">
      <c r="A261" s="249"/>
      <c r="B261" s="250"/>
    </row>
    <row r="262" customFormat="false" ht="15.75" hidden="false" customHeight="false" outlineLevel="0" collapsed="false">
      <c r="A262" s="249"/>
      <c r="B262" s="250"/>
    </row>
    <row r="263" customFormat="false" ht="15.75" hidden="false" customHeight="false" outlineLevel="0" collapsed="false">
      <c r="A263" s="249"/>
      <c r="B263" s="250"/>
    </row>
    <row r="264" customFormat="false" ht="15.75" hidden="false" customHeight="false" outlineLevel="0" collapsed="false">
      <c r="A264" s="249"/>
      <c r="B264" s="250"/>
    </row>
    <row r="265" customFormat="false" ht="15.75" hidden="false" customHeight="false" outlineLevel="0" collapsed="false">
      <c r="A265" s="249"/>
      <c r="B265" s="250"/>
    </row>
    <row r="266" customFormat="false" ht="15.75" hidden="false" customHeight="false" outlineLevel="0" collapsed="false">
      <c r="A266" s="249"/>
      <c r="B266" s="250"/>
    </row>
    <row r="267" customFormat="false" ht="15.75" hidden="false" customHeight="false" outlineLevel="0" collapsed="false">
      <c r="A267" s="249"/>
      <c r="B267" s="250"/>
    </row>
    <row r="268" customFormat="false" ht="15.75" hidden="false" customHeight="false" outlineLevel="0" collapsed="false">
      <c r="A268" s="249"/>
      <c r="B268" s="250"/>
    </row>
    <row r="269" customFormat="false" ht="15.75" hidden="false" customHeight="false" outlineLevel="0" collapsed="false">
      <c r="A269" s="249"/>
      <c r="B269" s="250"/>
    </row>
    <row r="270" customFormat="false" ht="15.75" hidden="false" customHeight="false" outlineLevel="0" collapsed="false">
      <c r="A270" s="249"/>
      <c r="B270" s="250"/>
    </row>
    <row r="271" customFormat="false" ht="15.75" hidden="false" customHeight="false" outlineLevel="0" collapsed="false">
      <c r="A271" s="249"/>
      <c r="B271" s="250"/>
    </row>
    <row r="272" customFormat="false" ht="15.75" hidden="false" customHeight="false" outlineLevel="0" collapsed="false">
      <c r="A272" s="249"/>
      <c r="B272" s="250"/>
    </row>
    <row r="273" customFormat="false" ht="15.75" hidden="false" customHeight="false" outlineLevel="0" collapsed="false">
      <c r="A273" s="249"/>
      <c r="B273" s="250"/>
    </row>
    <row r="274" customFormat="false" ht="15.75" hidden="false" customHeight="false" outlineLevel="0" collapsed="false">
      <c r="A274" s="249"/>
      <c r="B274" s="250"/>
    </row>
    <row r="275" customFormat="false" ht="15.75" hidden="false" customHeight="false" outlineLevel="0" collapsed="false">
      <c r="A275" s="249"/>
      <c r="B275" s="250"/>
    </row>
    <row r="276" customFormat="false" ht="15.75" hidden="false" customHeight="false" outlineLevel="0" collapsed="false">
      <c r="A276" s="249"/>
      <c r="B276" s="250"/>
    </row>
    <row r="277" customFormat="false" ht="15.75" hidden="false" customHeight="false" outlineLevel="0" collapsed="false">
      <c r="A277" s="249"/>
      <c r="B277" s="250"/>
    </row>
    <row r="278" customFormat="false" ht="15.75" hidden="false" customHeight="false" outlineLevel="0" collapsed="false">
      <c r="A278" s="249"/>
      <c r="B278" s="250"/>
    </row>
    <row r="279" customFormat="false" ht="15.75" hidden="false" customHeight="false" outlineLevel="0" collapsed="false">
      <c r="A279" s="249"/>
      <c r="B279" s="250"/>
    </row>
    <row r="280" customFormat="false" ht="15.75" hidden="false" customHeight="false" outlineLevel="0" collapsed="false">
      <c r="A280" s="249"/>
      <c r="B280" s="250"/>
    </row>
    <row r="281" customFormat="false" ht="15.75" hidden="false" customHeight="false" outlineLevel="0" collapsed="false">
      <c r="A281" s="249"/>
      <c r="B281" s="250"/>
    </row>
    <row r="282" customFormat="false" ht="15.75" hidden="false" customHeight="false" outlineLevel="0" collapsed="false">
      <c r="A282" s="249"/>
      <c r="B282" s="250"/>
    </row>
    <row r="283" customFormat="false" ht="15.75" hidden="false" customHeight="false" outlineLevel="0" collapsed="false">
      <c r="A283" s="249"/>
      <c r="B283" s="250"/>
    </row>
    <row r="284" customFormat="false" ht="15.75" hidden="false" customHeight="false" outlineLevel="0" collapsed="false">
      <c r="A284" s="249"/>
      <c r="B284" s="250"/>
    </row>
    <row r="285" customFormat="false" ht="15.75" hidden="false" customHeight="false" outlineLevel="0" collapsed="false">
      <c r="A285" s="249"/>
      <c r="B285" s="250"/>
    </row>
    <row r="286" customFormat="false" ht="15.75" hidden="false" customHeight="false" outlineLevel="0" collapsed="false">
      <c r="A286" s="249"/>
      <c r="B286" s="250"/>
    </row>
    <row r="287" customFormat="false" ht="15.75" hidden="false" customHeight="false" outlineLevel="0" collapsed="false">
      <c r="A287" s="249"/>
      <c r="B287" s="250"/>
    </row>
    <row r="288" customFormat="false" ht="15.75" hidden="false" customHeight="false" outlineLevel="0" collapsed="false">
      <c r="A288" s="249"/>
      <c r="B288" s="250"/>
    </row>
    <row r="289" customFormat="false" ht="15.75" hidden="false" customHeight="false" outlineLevel="0" collapsed="false">
      <c r="A289" s="249"/>
      <c r="B289" s="250"/>
    </row>
    <row r="290" customFormat="false" ht="15.75" hidden="false" customHeight="false" outlineLevel="0" collapsed="false">
      <c r="A290" s="249"/>
      <c r="B290" s="250"/>
    </row>
    <row r="291" customFormat="false" ht="15.75" hidden="false" customHeight="false" outlineLevel="0" collapsed="false">
      <c r="A291" s="249"/>
      <c r="B291" s="250"/>
    </row>
    <row r="292" customFormat="false" ht="15.75" hidden="false" customHeight="false" outlineLevel="0" collapsed="false">
      <c r="A292" s="249"/>
      <c r="B292" s="250"/>
    </row>
    <row r="293" customFormat="false" ht="15.75" hidden="false" customHeight="false" outlineLevel="0" collapsed="false">
      <c r="A293" s="249"/>
      <c r="B293" s="250"/>
    </row>
    <row r="294" customFormat="false" ht="15.75" hidden="false" customHeight="false" outlineLevel="0" collapsed="false">
      <c r="A294" s="249"/>
      <c r="B294" s="250"/>
    </row>
    <row r="295" customFormat="false" ht="15.75" hidden="false" customHeight="false" outlineLevel="0" collapsed="false">
      <c r="A295" s="249"/>
      <c r="B295" s="250"/>
    </row>
    <row r="296" customFormat="false" ht="15.75" hidden="false" customHeight="false" outlineLevel="0" collapsed="false">
      <c r="A296" s="249"/>
      <c r="B296" s="250"/>
    </row>
    <row r="297" customFormat="false" ht="15.75" hidden="false" customHeight="false" outlineLevel="0" collapsed="false">
      <c r="A297" s="249"/>
      <c r="B297" s="250"/>
    </row>
    <row r="298" customFormat="false" ht="15.75" hidden="false" customHeight="false" outlineLevel="0" collapsed="false">
      <c r="A298" s="249"/>
      <c r="B298" s="250"/>
    </row>
    <row r="299" customFormat="false" ht="15.75" hidden="false" customHeight="false" outlineLevel="0" collapsed="false">
      <c r="A299" s="249"/>
      <c r="B299" s="250"/>
    </row>
    <row r="300" customFormat="false" ht="15.75" hidden="false" customHeight="false" outlineLevel="0" collapsed="false">
      <c r="A300" s="249"/>
      <c r="B300" s="250"/>
    </row>
    <row r="301" customFormat="false" ht="15.75" hidden="false" customHeight="false" outlineLevel="0" collapsed="false">
      <c r="A301" s="249"/>
      <c r="B301" s="250"/>
    </row>
    <row r="302" customFormat="false" ht="15.75" hidden="false" customHeight="false" outlineLevel="0" collapsed="false">
      <c r="A302" s="249"/>
      <c r="B302" s="250"/>
    </row>
    <row r="303" customFormat="false" ht="15.75" hidden="false" customHeight="false" outlineLevel="0" collapsed="false">
      <c r="A303" s="249"/>
      <c r="B303" s="250"/>
    </row>
    <row r="304" customFormat="false" ht="15.75" hidden="false" customHeight="false" outlineLevel="0" collapsed="false">
      <c r="A304" s="249"/>
      <c r="B304" s="250"/>
    </row>
    <row r="305" customFormat="false" ht="15.75" hidden="false" customHeight="false" outlineLevel="0" collapsed="false">
      <c r="A305" s="249"/>
      <c r="B305" s="250"/>
    </row>
    <row r="306" customFormat="false" ht="15.75" hidden="false" customHeight="false" outlineLevel="0" collapsed="false">
      <c r="A306" s="249"/>
      <c r="B306" s="250"/>
    </row>
    <row r="307" customFormat="false" ht="15.75" hidden="false" customHeight="false" outlineLevel="0" collapsed="false">
      <c r="A307" s="249"/>
      <c r="B307" s="250"/>
    </row>
    <row r="308" customFormat="false" ht="15.75" hidden="false" customHeight="false" outlineLevel="0" collapsed="false">
      <c r="A308" s="249"/>
      <c r="B308" s="250"/>
    </row>
    <row r="309" customFormat="false" ht="15.75" hidden="false" customHeight="false" outlineLevel="0" collapsed="false">
      <c r="A309" s="249"/>
      <c r="B309" s="250"/>
    </row>
    <row r="310" customFormat="false" ht="15.75" hidden="false" customHeight="false" outlineLevel="0" collapsed="false">
      <c r="A310" s="249"/>
      <c r="B310" s="250"/>
    </row>
    <row r="311" customFormat="false" ht="15.75" hidden="false" customHeight="false" outlineLevel="0" collapsed="false">
      <c r="A311" s="249"/>
      <c r="B311" s="250"/>
    </row>
    <row r="312" customFormat="false" ht="15.75" hidden="false" customHeight="false" outlineLevel="0" collapsed="false">
      <c r="A312" s="249"/>
      <c r="B312" s="250"/>
    </row>
    <row r="313" customFormat="false" ht="15.75" hidden="false" customHeight="false" outlineLevel="0" collapsed="false">
      <c r="A313" s="249"/>
      <c r="B313" s="250"/>
    </row>
    <row r="314" customFormat="false" ht="15.75" hidden="false" customHeight="false" outlineLevel="0" collapsed="false">
      <c r="A314" s="249"/>
      <c r="B314" s="250"/>
    </row>
    <row r="315" customFormat="false" ht="15.75" hidden="false" customHeight="false" outlineLevel="0" collapsed="false">
      <c r="A315" s="249"/>
      <c r="B315" s="250"/>
    </row>
    <row r="316" customFormat="false" ht="15.75" hidden="false" customHeight="false" outlineLevel="0" collapsed="false">
      <c r="A316" s="249"/>
      <c r="B316" s="250"/>
    </row>
    <row r="317" customFormat="false" ht="15.75" hidden="false" customHeight="false" outlineLevel="0" collapsed="false">
      <c r="A317" s="249"/>
      <c r="B317" s="250"/>
    </row>
    <row r="318" customFormat="false" ht="15.75" hidden="false" customHeight="false" outlineLevel="0" collapsed="false">
      <c r="A318" s="249"/>
      <c r="B318" s="250"/>
    </row>
    <row r="319" customFormat="false" ht="15.75" hidden="false" customHeight="false" outlineLevel="0" collapsed="false">
      <c r="A319" s="249"/>
      <c r="B319" s="250"/>
    </row>
    <row r="320" customFormat="false" ht="15.75" hidden="false" customHeight="false" outlineLevel="0" collapsed="false">
      <c r="A320" s="249"/>
      <c r="B320" s="250"/>
    </row>
    <row r="321" customFormat="false" ht="15.75" hidden="false" customHeight="false" outlineLevel="0" collapsed="false">
      <c r="A321" s="249"/>
      <c r="B321" s="250"/>
    </row>
    <row r="322" customFormat="false" ht="15.75" hidden="false" customHeight="false" outlineLevel="0" collapsed="false">
      <c r="A322" s="249"/>
      <c r="B322" s="250"/>
    </row>
    <row r="323" customFormat="false" ht="15.75" hidden="false" customHeight="false" outlineLevel="0" collapsed="false">
      <c r="A323" s="249"/>
      <c r="B323" s="250"/>
    </row>
    <row r="324" customFormat="false" ht="15.75" hidden="false" customHeight="false" outlineLevel="0" collapsed="false">
      <c r="A324" s="249"/>
      <c r="B324" s="250"/>
    </row>
    <row r="325" customFormat="false" ht="15.75" hidden="false" customHeight="false" outlineLevel="0" collapsed="false">
      <c r="A325" s="249"/>
      <c r="B325" s="250"/>
    </row>
    <row r="326" customFormat="false" ht="15.75" hidden="false" customHeight="false" outlineLevel="0" collapsed="false">
      <c r="A326" s="249"/>
      <c r="B326" s="250"/>
    </row>
    <row r="327" customFormat="false" ht="15.75" hidden="false" customHeight="false" outlineLevel="0" collapsed="false">
      <c r="A327" s="249"/>
      <c r="B327" s="250"/>
    </row>
    <row r="328" customFormat="false" ht="15.75" hidden="false" customHeight="false" outlineLevel="0" collapsed="false">
      <c r="A328" s="249"/>
      <c r="B328" s="250"/>
    </row>
    <row r="329" customFormat="false" ht="15.75" hidden="false" customHeight="false" outlineLevel="0" collapsed="false">
      <c r="A329" s="249"/>
      <c r="B329" s="250"/>
    </row>
    <row r="330" customFormat="false" ht="15.75" hidden="false" customHeight="false" outlineLevel="0" collapsed="false">
      <c r="A330" s="249"/>
      <c r="B330" s="250"/>
    </row>
    <row r="331" customFormat="false" ht="15.75" hidden="false" customHeight="false" outlineLevel="0" collapsed="false">
      <c r="A331" s="249"/>
      <c r="B331" s="250"/>
    </row>
    <row r="332" customFormat="false" ht="15.75" hidden="false" customHeight="false" outlineLevel="0" collapsed="false">
      <c r="A332" s="249"/>
      <c r="B332" s="250"/>
    </row>
    <row r="333" customFormat="false" ht="15.75" hidden="false" customHeight="false" outlineLevel="0" collapsed="false">
      <c r="A333" s="249"/>
      <c r="B333" s="250"/>
    </row>
    <row r="334" customFormat="false" ht="15.75" hidden="false" customHeight="false" outlineLevel="0" collapsed="false">
      <c r="A334" s="249"/>
      <c r="B334" s="250"/>
    </row>
    <row r="335" customFormat="false" ht="15.75" hidden="false" customHeight="false" outlineLevel="0" collapsed="false">
      <c r="A335" s="249"/>
      <c r="B335" s="250"/>
    </row>
    <row r="336" customFormat="false" ht="15.75" hidden="false" customHeight="false" outlineLevel="0" collapsed="false">
      <c r="A336" s="249"/>
      <c r="B336" s="250"/>
    </row>
    <row r="337" customFormat="false" ht="15.75" hidden="false" customHeight="false" outlineLevel="0" collapsed="false">
      <c r="A337" s="249"/>
      <c r="B337" s="250"/>
    </row>
    <row r="338" customFormat="false" ht="15.75" hidden="false" customHeight="false" outlineLevel="0" collapsed="false">
      <c r="A338" s="249"/>
      <c r="B338" s="250"/>
    </row>
    <row r="339" customFormat="false" ht="15.75" hidden="false" customHeight="false" outlineLevel="0" collapsed="false">
      <c r="A339" s="249"/>
      <c r="B339" s="250"/>
    </row>
    <row r="340" customFormat="false" ht="15.75" hidden="false" customHeight="false" outlineLevel="0" collapsed="false">
      <c r="A340" s="249"/>
      <c r="B340" s="250"/>
    </row>
    <row r="341" customFormat="false" ht="15.75" hidden="false" customHeight="false" outlineLevel="0" collapsed="false">
      <c r="A341" s="249"/>
      <c r="B341" s="250"/>
    </row>
    <row r="342" customFormat="false" ht="15.75" hidden="false" customHeight="false" outlineLevel="0" collapsed="false">
      <c r="A342" s="249"/>
      <c r="B342" s="250"/>
    </row>
    <row r="343" customFormat="false" ht="15.75" hidden="false" customHeight="false" outlineLevel="0" collapsed="false">
      <c r="A343" s="249"/>
      <c r="B343" s="250"/>
    </row>
    <row r="344" customFormat="false" ht="15.75" hidden="false" customHeight="false" outlineLevel="0" collapsed="false">
      <c r="A344" s="249"/>
      <c r="B344" s="250"/>
    </row>
    <row r="345" customFormat="false" ht="15.75" hidden="false" customHeight="false" outlineLevel="0" collapsed="false">
      <c r="A345" s="249"/>
      <c r="B345" s="250"/>
    </row>
    <row r="346" customFormat="false" ht="15.75" hidden="false" customHeight="false" outlineLevel="0" collapsed="false">
      <c r="A346" s="249"/>
      <c r="B346" s="250"/>
    </row>
    <row r="347" customFormat="false" ht="15.75" hidden="false" customHeight="false" outlineLevel="0" collapsed="false">
      <c r="A347" s="249"/>
      <c r="B347" s="250"/>
    </row>
    <row r="348" customFormat="false" ht="15.75" hidden="false" customHeight="false" outlineLevel="0" collapsed="false">
      <c r="A348" s="249"/>
      <c r="B348" s="250"/>
    </row>
    <row r="349" customFormat="false" ht="15.75" hidden="false" customHeight="false" outlineLevel="0" collapsed="false">
      <c r="A349" s="249"/>
      <c r="B349" s="250"/>
    </row>
    <row r="350" customFormat="false" ht="15.75" hidden="false" customHeight="false" outlineLevel="0" collapsed="false">
      <c r="A350" s="249"/>
      <c r="B350" s="250"/>
    </row>
    <row r="351" customFormat="false" ht="15.75" hidden="false" customHeight="false" outlineLevel="0" collapsed="false">
      <c r="A351" s="249"/>
      <c r="B351" s="250"/>
    </row>
    <row r="352" customFormat="false" ht="15.75" hidden="false" customHeight="false" outlineLevel="0" collapsed="false">
      <c r="A352" s="249"/>
      <c r="B352" s="250"/>
    </row>
    <row r="353" customFormat="false" ht="15.75" hidden="false" customHeight="false" outlineLevel="0" collapsed="false">
      <c r="A353" s="249"/>
      <c r="B353" s="250"/>
    </row>
    <row r="354" customFormat="false" ht="15.75" hidden="false" customHeight="false" outlineLevel="0" collapsed="false">
      <c r="A354" s="249"/>
      <c r="B354" s="250"/>
    </row>
    <row r="355" customFormat="false" ht="15.75" hidden="false" customHeight="false" outlineLevel="0" collapsed="false">
      <c r="A355" s="249"/>
      <c r="B355" s="250"/>
    </row>
    <row r="356" customFormat="false" ht="15.75" hidden="false" customHeight="false" outlineLevel="0" collapsed="false">
      <c r="A356" s="249"/>
      <c r="B356" s="250"/>
    </row>
    <row r="357" customFormat="false" ht="15.75" hidden="false" customHeight="false" outlineLevel="0" collapsed="false">
      <c r="A357" s="249"/>
      <c r="B357" s="250"/>
    </row>
    <row r="358" customFormat="false" ht="15.75" hidden="false" customHeight="false" outlineLevel="0" collapsed="false">
      <c r="A358" s="249"/>
      <c r="B358" s="250"/>
    </row>
    <row r="359" customFormat="false" ht="15.75" hidden="false" customHeight="false" outlineLevel="0" collapsed="false">
      <c r="A359" s="249"/>
      <c r="B359" s="250"/>
    </row>
    <row r="360" customFormat="false" ht="15.75" hidden="false" customHeight="false" outlineLevel="0" collapsed="false">
      <c r="A360" s="249"/>
      <c r="B360" s="250"/>
    </row>
    <row r="361" customFormat="false" ht="15.75" hidden="false" customHeight="false" outlineLevel="0" collapsed="false">
      <c r="A361" s="249"/>
      <c r="B361" s="250"/>
    </row>
    <row r="362" customFormat="false" ht="15.75" hidden="false" customHeight="false" outlineLevel="0" collapsed="false">
      <c r="A362" s="249"/>
      <c r="B362" s="250"/>
    </row>
    <row r="363" customFormat="false" ht="15.75" hidden="false" customHeight="false" outlineLevel="0" collapsed="false">
      <c r="A363" s="249"/>
      <c r="B363" s="250"/>
    </row>
    <row r="364" customFormat="false" ht="15.75" hidden="false" customHeight="false" outlineLevel="0" collapsed="false">
      <c r="A364" s="249"/>
      <c r="B364" s="250"/>
    </row>
    <row r="365" customFormat="false" ht="15.75" hidden="false" customHeight="false" outlineLevel="0" collapsed="false">
      <c r="A365" s="249"/>
      <c r="B365" s="250"/>
    </row>
    <row r="366" customFormat="false" ht="15.75" hidden="false" customHeight="false" outlineLevel="0" collapsed="false">
      <c r="A366" s="249"/>
      <c r="B366" s="250"/>
    </row>
    <row r="367" customFormat="false" ht="15.75" hidden="false" customHeight="false" outlineLevel="0" collapsed="false">
      <c r="A367" s="249"/>
      <c r="B367" s="250"/>
    </row>
    <row r="368" customFormat="false" ht="15.75" hidden="false" customHeight="false" outlineLevel="0" collapsed="false">
      <c r="A368" s="249"/>
      <c r="B368" s="250"/>
    </row>
    <row r="369" customFormat="false" ht="15.75" hidden="false" customHeight="false" outlineLevel="0" collapsed="false">
      <c r="A369" s="249"/>
      <c r="B369" s="250"/>
    </row>
    <row r="370" customFormat="false" ht="15.75" hidden="false" customHeight="false" outlineLevel="0" collapsed="false">
      <c r="A370" s="249"/>
      <c r="B370" s="250"/>
    </row>
    <row r="371" customFormat="false" ht="15.75" hidden="false" customHeight="false" outlineLevel="0" collapsed="false">
      <c r="A371" s="249"/>
      <c r="B371" s="250"/>
    </row>
    <row r="372" customFormat="false" ht="15.75" hidden="false" customHeight="false" outlineLevel="0" collapsed="false">
      <c r="A372" s="249"/>
      <c r="B372" s="250"/>
    </row>
    <row r="373" customFormat="false" ht="15.75" hidden="false" customHeight="false" outlineLevel="0" collapsed="false">
      <c r="A373" s="249"/>
      <c r="B373" s="250"/>
    </row>
    <row r="374" customFormat="false" ht="15.75" hidden="false" customHeight="false" outlineLevel="0" collapsed="false">
      <c r="A374" s="249"/>
      <c r="B374" s="250"/>
    </row>
    <row r="375" customFormat="false" ht="15.75" hidden="false" customHeight="false" outlineLevel="0" collapsed="false">
      <c r="A375" s="249"/>
      <c r="B375" s="250"/>
    </row>
    <row r="376" customFormat="false" ht="15.75" hidden="false" customHeight="false" outlineLevel="0" collapsed="false">
      <c r="A376" s="249"/>
      <c r="B376" s="250"/>
    </row>
    <row r="377" customFormat="false" ht="15.75" hidden="false" customHeight="false" outlineLevel="0" collapsed="false">
      <c r="A377" s="249"/>
      <c r="B377" s="250"/>
    </row>
    <row r="378" customFormat="false" ht="15.75" hidden="false" customHeight="false" outlineLevel="0" collapsed="false">
      <c r="A378" s="249"/>
      <c r="B378" s="250"/>
    </row>
    <row r="379" customFormat="false" ht="15.75" hidden="false" customHeight="false" outlineLevel="0" collapsed="false">
      <c r="A379" s="249"/>
      <c r="B379" s="250"/>
    </row>
    <row r="380" customFormat="false" ht="15.75" hidden="false" customHeight="false" outlineLevel="0" collapsed="false">
      <c r="A380" s="249"/>
      <c r="B380" s="250"/>
    </row>
    <row r="381" customFormat="false" ht="15.75" hidden="false" customHeight="false" outlineLevel="0" collapsed="false">
      <c r="A381" s="249"/>
      <c r="B381" s="250"/>
    </row>
    <row r="382" customFormat="false" ht="15.75" hidden="false" customHeight="false" outlineLevel="0" collapsed="false">
      <c r="A382" s="249"/>
      <c r="B382" s="250"/>
    </row>
    <row r="383" customFormat="false" ht="15.75" hidden="false" customHeight="false" outlineLevel="0" collapsed="false">
      <c r="A383" s="249"/>
      <c r="B383" s="250"/>
    </row>
    <row r="384" customFormat="false" ht="15.75" hidden="false" customHeight="false" outlineLevel="0" collapsed="false">
      <c r="A384" s="249"/>
      <c r="B384" s="250"/>
    </row>
    <row r="385" customFormat="false" ht="15.75" hidden="false" customHeight="false" outlineLevel="0" collapsed="false">
      <c r="A385" s="249"/>
      <c r="B385" s="250"/>
    </row>
    <row r="386" customFormat="false" ht="15.75" hidden="false" customHeight="false" outlineLevel="0" collapsed="false">
      <c r="A386" s="249"/>
      <c r="B386" s="250"/>
    </row>
    <row r="387" customFormat="false" ht="15.75" hidden="false" customHeight="false" outlineLevel="0" collapsed="false">
      <c r="A387" s="249"/>
      <c r="B387" s="250"/>
    </row>
    <row r="388" customFormat="false" ht="15.75" hidden="false" customHeight="false" outlineLevel="0" collapsed="false">
      <c r="A388" s="249"/>
      <c r="B388" s="250"/>
    </row>
    <row r="389" customFormat="false" ht="15.75" hidden="false" customHeight="false" outlineLevel="0" collapsed="false">
      <c r="A389" s="249"/>
      <c r="B389" s="250"/>
    </row>
    <row r="390" customFormat="false" ht="15.75" hidden="false" customHeight="false" outlineLevel="0" collapsed="false">
      <c r="A390" s="249"/>
      <c r="B390" s="250"/>
    </row>
    <row r="391" customFormat="false" ht="15.75" hidden="false" customHeight="false" outlineLevel="0" collapsed="false">
      <c r="A391" s="249"/>
      <c r="B391" s="250"/>
    </row>
    <row r="392" customFormat="false" ht="15.75" hidden="false" customHeight="false" outlineLevel="0" collapsed="false">
      <c r="A392" s="249"/>
      <c r="B392" s="250"/>
    </row>
    <row r="393" customFormat="false" ht="15.75" hidden="false" customHeight="false" outlineLevel="0" collapsed="false">
      <c r="A393" s="249"/>
      <c r="B393" s="250"/>
    </row>
    <row r="394" customFormat="false" ht="15.75" hidden="false" customHeight="false" outlineLevel="0" collapsed="false">
      <c r="A394" s="249"/>
      <c r="B394" s="250"/>
    </row>
    <row r="395" customFormat="false" ht="15.75" hidden="false" customHeight="false" outlineLevel="0" collapsed="false">
      <c r="A395" s="249"/>
      <c r="B395" s="250"/>
    </row>
    <row r="396" customFormat="false" ht="15.75" hidden="false" customHeight="false" outlineLevel="0" collapsed="false">
      <c r="A396" s="249"/>
      <c r="B396" s="250"/>
    </row>
    <row r="397" customFormat="false" ht="15.75" hidden="false" customHeight="false" outlineLevel="0" collapsed="false">
      <c r="A397" s="249"/>
      <c r="B397" s="250"/>
    </row>
    <row r="398" customFormat="false" ht="15.75" hidden="false" customHeight="false" outlineLevel="0" collapsed="false">
      <c r="A398" s="249"/>
      <c r="B398" s="250"/>
    </row>
    <row r="399" customFormat="false" ht="15.75" hidden="false" customHeight="false" outlineLevel="0" collapsed="false">
      <c r="A399" s="249"/>
      <c r="B399" s="250"/>
    </row>
    <row r="400" customFormat="false" ht="15.75" hidden="false" customHeight="false" outlineLevel="0" collapsed="false">
      <c r="A400" s="249"/>
      <c r="B400" s="250"/>
    </row>
    <row r="401" customFormat="false" ht="15.75" hidden="false" customHeight="false" outlineLevel="0" collapsed="false">
      <c r="A401" s="249"/>
      <c r="B401" s="250"/>
    </row>
    <row r="402" customFormat="false" ht="15.75" hidden="false" customHeight="false" outlineLevel="0" collapsed="false">
      <c r="A402" s="249"/>
      <c r="B402" s="250"/>
    </row>
    <row r="403" customFormat="false" ht="15.75" hidden="false" customHeight="false" outlineLevel="0" collapsed="false">
      <c r="A403" s="249"/>
      <c r="B403" s="250"/>
    </row>
    <row r="404" customFormat="false" ht="15.75" hidden="false" customHeight="false" outlineLevel="0" collapsed="false">
      <c r="A404" s="249"/>
      <c r="B404" s="250"/>
    </row>
    <row r="405" customFormat="false" ht="15.75" hidden="false" customHeight="false" outlineLevel="0" collapsed="false">
      <c r="A405" s="249"/>
      <c r="B405" s="250"/>
    </row>
    <row r="406" customFormat="false" ht="15.75" hidden="false" customHeight="false" outlineLevel="0" collapsed="false">
      <c r="A406" s="249"/>
      <c r="B406" s="250"/>
    </row>
    <row r="407" customFormat="false" ht="15.75" hidden="false" customHeight="false" outlineLevel="0" collapsed="false">
      <c r="A407" s="249"/>
      <c r="B407" s="250"/>
    </row>
    <row r="408" customFormat="false" ht="15.75" hidden="false" customHeight="false" outlineLevel="0" collapsed="false">
      <c r="A408" s="249"/>
      <c r="B408" s="250"/>
    </row>
    <row r="409" customFormat="false" ht="15.75" hidden="false" customHeight="false" outlineLevel="0" collapsed="false">
      <c r="A409" s="249"/>
      <c r="B409" s="250"/>
    </row>
    <row r="410" customFormat="false" ht="15.75" hidden="false" customHeight="false" outlineLevel="0" collapsed="false">
      <c r="A410" s="249"/>
      <c r="B410" s="250"/>
    </row>
    <row r="411" customFormat="false" ht="15.75" hidden="false" customHeight="false" outlineLevel="0" collapsed="false">
      <c r="A411" s="249"/>
      <c r="B411" s="250"/>
    </row>
    <row r="412" customFormat="false" ht="15.75" hidden="false" customHeight="false" outlineLevel="0" collapsed="false">
      <c r="A412" s="249"/>
      <c r="B412" s="250"/>
    </row>
    <row r="413" customFormat="false" ht="15.75" hidden="false" customHeight="false" outlineLevel="0" collapsed="false">
      <c r="A413" s="249"/>
      <c r="B413" s="250"/>
    </row>
    <row r="414" customFormat="false" ht="15.75" hidden="false" customHeight="false" outlineLevel="0" collapsed="false">
      <c r="A414" s="249"/>
      <c r="B414" s="250"/>
    </row>
    <row r="415" customFormat="false" ht="15.75" hidden="false" customHeight="false" outlineLevel="0" collapsed="false">
      <c r="A415" s="249"/>
      <c r="B415" s="250"/>
    </row>
    <row r="416" customFormat="false" ht="15.75" hidden="false" customHeight="false" outlineLevel="0" collapsed="false">
      <c r="A416" s="249"/>
      <c r="B416" s="250"/>
    </row>
    <row r="417" customFormat="false" ht="15.75" hidden="false" customHeight="false" outlineLevel="0" collapsed="false">
      <c r="A417" s="249"/>
      <c r="B417" s="250"/>
    </row>
    <row r="418" customFormat="false" ht="15.75" hidden="false" customHeight="false" outlineLevel="0" collapsed="false">
      <c r="A418" s="249"/>
      <c r="B418" s="250"/>
    </row>
    <row r="419" customFormat="false" ht="15.75" hidden="false" customHeight="false" outlineLevel="0" collapsed="false">
      <c r="A419" s="249"/>
      <c r="B419" s="250"/>
    </row>
    <row r="420" customFormat="false" ht="15.75" hidden="false" customHeight="false" outlineLevel="0" collapsed="false">
      <c r="A420" s="249"/>
      <c r="B420" s="250"/>
    </row>
    <row r="421" customFormat="false" ht="15.75" hidden="false" customHeight="false" outlineLevel="0" collapsed="false">
      <c r="A421" s="249"/>
      <c r="B421" s="250"/>
    </row>
    <row r="422" customFormat="false" ht="15.75" hidden="false" customHeight="false" outlineLevel="0" collapsed="false">
      <c r="A422" s="249"/>
      <c r="B422" s="250"/>
    </row>
    <row r="423" customFormat="false" ht="15.75" hidden="false" customHeight="false" outlineLevel="0" collapsed="false">
      <c r="A423" s="249"/>
      <c r="B423" s="250"/>
    </row>
    <row r="424" customFormat="false" ht="15.75" hidden="false" customHeight="false" outlineLevel="0" collapsed="false">
      <c r="A424" s="249"/>
      <c r="B424" s="250"/>
    </row>
    <row r="425" customFormat="false" ht="15.75" hidden="false" customHeight="false" outlineLevel="0" collapsed="false">
      <c r="A425" s="249"/>
      <c r="B425" s="250"/>
    </row>
    <row r="426" customFormat="false" ht="15.75" hidden="false" customHeight="false" outlineLevel="0" collapsed="false">
      <c r="A426" s="249"/>
      <c r="B426" s="250"/>
    </row>
    <row r="427" customFormat="false" ht="15.75" hidden="false" customHeight="false" outlineLevel="0" collapsed="false">
      <c r="A427" s="249"/>
      <c r="B427" s="250"/>
    </row>
    <row r="428" customFormat="false" ht="15.75" hidden="false" customHeight="false" outlineLevel="0" collapsed="false">
      <c r="A428" s="249"/>
      <c r="B428" s="250"/>
    </row>
    <row r="429" customFormat="false" ht="15.75" hidden="false" customHeight="false" outlineLevel="0" collapsed="false">
      <c r="A429" s="249"/>
      <c r="B429" s="250"/>
    </row>
    <row r="430" customFormat="false" ht="15.75" hidden="false" customHeight="false" outlineLevel="0" collapsed="false">
      <c r="A430" s="249"/>
      <c r="B430" s="250"/>
    </row>
    <row r="431" customFormat="false" ht="15.75" hidden="false" customHeight="false" outlineLevel="0" collapsed="false">
      <c r="A431" s="249"/>
      <c r="B431" s="250"/>
    </row>
    <row r="432" customFormat="false" ht="15.75" hidden="false" customHeight="false" outlineLevel="0" collapsed="false">
      <c r="A432" s="249"/>
      <c r="B432" s="250"/>
    </row>
    <row r="433" customFormat="false" ht="15.75" hidden="false" customHeight="false" outlineLevel="0" collapsed="false">
      <c r="A433" s="249"/>
      <c r="B433" s="250"/>
    </row>
    <row r="434" customFormat="false" ht="15.75" hidden="false" customHeight="false" outlineLevel="0" collapsed="false">
      <c r="A434" s="249"/>
      <c r="B434" s="250"/>
    </row>
    <row r="435" customFormat="false" ht="15.75" hidden="false" customHeight="false" outlineLevel="0" collapsed="false">
      <c r="A435" s="249"/>
      <c r="B435" s="250"/>
    </row>
    <row r="436" customFormat="false" ht="15.75" hidden="false" customHeight="false" outlineLevel="0" collapsed="false">
      <c r="A436" s="249"/>
      <c r="B436" s="250"/>
    </row>
    <row r="437" customFormat="false" ht="15.75" hidden="false" customHeight="false" outlineLevel="0" collapsed="false">
      <c r="A437" s="249"/>
      <c r="B437" s="250"/>
    </row>
    <row r="438" customFormat="false" ht="15.75" hidden="false" customHeight="false" outlineLevel="0" collapsed="false">
      <c r="A438" s="249"/>
      <c r="B438" s="250"/>
    </row>
    <row r="439" customFormat="false" ht="15.75" hidden="false" customHeight="false" outlineLevel="0" collapsed="false">
      <c r="A439" s="249"/>
      <c r="B439" s="250"/>
    </row>
    <row r="440" customFormat="false" ht="15.75" hidden="false" customHeight="false" outlineLevel="0" collapsed="false">
      <c r="A440" s="249"/>
      <c r="B440" s="250"/>
    </row>
    <row r="441" customFormat="false" ht="15.75" hidden="false" customHeight="false" outlineLevel="0" collapsed="false">
      <c r="A441" s="249"/>
      <c r="B441" s="250"/>
    </row>
    <row r="442" customFormat="false" ht="15.75" hidden="false" customHeight="false" outlineLevel="0" collapsed="false">
      <c r="A442" s="249"/>
      <c r="B442" s="250"/>
    </row>
    <row r="443" customFormat="false" ht="15.75" hidden="false" customHeight="false" outlineLevel="0" collapsed="false">
      <c r="A443" s="249"/>
      <c r="B443" s="250"/>
    </row>
    <row r="444" customFormat="false" ht="15.75" hidden="false" customHeight="false" outlineLevel="0" collapsed="false">
      <c r="A444" s="249"/>
      <c r="B444" s="250"/>
    </row>
    <row r="445" customFormat="false" ht="15.75" hidden="false" customHeight="false" outlineLevel="0" collapsed="false">
      <c r="A445" s="249"/>
      <c r="B445" s="250"/>
    </row>
    <row r="446" customFormat="false" ht="15.75" hidden="false" customHeight="false" outlineLevel="0" collapsed="false">
      <c r="A446" s="249"/>
      <c r="B446" s="250"/>
    </row>
    <row r="447" customFormat="false" ht="15.75" hidden="false" customHeight="false" outlineLevel="0" collapsed="false">
      <c r="A447" s="249"/>
      <c r="B447" s="250"/>
    </row>
    <row r="448" customFormat="false" ht="15.75" hidden="false" customHeight="false" outlineLevel="0" collapsed="false">
      <c r="A448" s="249"/>
      <c r="B448" s="250"/>
    </row>
    <row r="449" customFormat="false" ht="15.75" hidden="false" customHeight="false" outlineLevel="0" collapsed="false">
      <c r="A449" s="249"/>
      <c r="B449" s="250"/>
    </row>
    <row r="450" customFormat="false" ht="15.75" hidden="false" customHeight="false" outlineLevel="0" collapsed="false">
      <c r="A450" s="249"/>
      <c r="B450" s="250"/>
    </row>
    <row r="451" customFormat="false" ht="15.75" hidden="false" customHeight="false" outlineLevel="0" collapsed="false">
      <c r="A451" s="249"/>
      <c r="B451" s="250"/>
    </row>
    <row r="452" customFormat="false" ht="15.75" hidden="false" customHeight="false" outlineLevel="0" collapsed="false">
      <c r="A452" s="249"/>
      <c r="B452" s="250"/>
    </row>
    <row r="453" customFormat="false" ht="15.75" hidden="false" customHeight="false" outlineLevel="0" collapsed="false">
      <c r="A453" s="249"/>
      <c r="B453" s="250"/>
    </row>
    <row r="454" customFormat="false" ht="15.75" hidden="false" customHeight="false" outlineLevel="0" collapsed="false">
      <c r="A454" s="249"/>
      <c r="B454" s="250"/>
    </row>
    <row r="455" customFormat="false" ht="15.75" hidden="false" customHeight="false" outlineLevel="0" collapsed="false">
      <c r="A455" s="249"/>
      <c r="B455" s="250"/>
    </row>
    <row r="456" customFormat="false" ht="15.75" hidden="false" customHeight="false" outlineLevel="0" collapsed="false">
      <c r="A456" s="249"/>
      <c r="B456" s="250"/>
    </row>
    <row r="457" customFormat="false" ht="15.75" hidden="false" customHeight="false" outlineLevel="0" collapsed="false">
      <c r="A457" s="249"/>
      <c r="B457" s="250"/>
    </row>
    <row r="458" customFormat="false" ht="15.75" hidden="false" customHeight="false" outlineLevel="0" collapsed="false">
      <c r="A458" s="249"/>
      <c r="B458" s="250"/>
    </row>
    <row r="459" customFormat="false" ht="15.75" hidden="false" customHeight="false" outlineLevel="0" collapsed="false">
      <c r="A459" s="249"/>
      <c r="B459" s="250"/>
    </row>
    <row r="460" customFormat="false" ht="15.75" hidden="false" customHeight="false" outlineLevel="0" collapsed="false">
      <c r="A460" s="249"/>
      <c r="B460" s="250"/>
    </row>
    <row r="461" customFormat="false" ht="15.75" hidden="false" customHeight="false" outlineLevel="0" collapsed="false">
      <c r="A461" s="249"/>
      <c r="B461" s="250"/>
    </row>
    <row r="462" customFormat="false" ht="15.75" hidden="false" customHeight="false" outlineLevel="0" collapsed="false">
      <c r="A462" s="249"/>
      <c r="B462" s="250"/>
    </row>
    <row r="463" customFormat="false" ht="15.75" hidden="false" customHeight="false" outlineLevel="0" collapsed="false">
      <c r="A463" s="249"/>
      <c r="B463" s="250"/>
    </row>
    <row r="464" customFormat="false" ht="15.75" hidden="false" customHeight="false" outlineLevel="0" collapsed="false">
      <c r="A464" s="249"/>
      <c r="B464" s="250"/>
    </row>
    <row r="465" customFormat="false" ht="15.75" hidden="false" customHeight="false" outlineLevel="0" collapsed="false">
      <c r="A465" s="249"/>
      <c r="B465" s="250"/>
    </row>
    <row r="466" customFormat="false" ht="15.75" hidden="false" customHeight="false" outlineLevel="0" collapsed="false">
      <c r="A466" s="249"/>
      <c r="B466" s="250"/>
    </row>
    <row r="467" customFormat="false" ht="15.75" hidden="false" customHeight="false" outlineLevel="0" collapsed="false">
      <c r="A467" s="249"/>
      <c r="B467" s="250"/>
    </row>
    <row r="468" customFormat="false" ht="15.75" hidden="false" customHeight="false" outlineLevel="0" collapsed="false">
      <c r="A468" s="249"/>
      <c r="B468" s="250"/>
    </row>
    <row r="469" customFormat="false" ht="15.75" hidden="false" customHeight="false" outlineLevel="0" collapsed="false">
      <c r="A469" s="249"/>
      <c r="B469" s="250"/>
    </row>
    <row r="470" customFormat="false" ht="15.75" hidden="false" customHeight="false" outlineLevel="0" collapsed="false">
      <c r="A470" s="249"/>
      <c r="B470" s="250"/>
    </row>
    <row r="471" customFormat="false" ht="15.75" hidden="false" customHeight="false" outlineLevel="0" collapsed="false">
      <c r="A471" s="249"/>
      <c r="B471" s="250"/>
    </row>
    <row r="472" customFormat="false" ht="15.75" hidden="false" customHeight="false" outlineLevel="0" collapsed="false">
      <c r="A472" s="249"/>
      <c r="B472" s="250"/>
    </row>
    <row r="473" customFormat="false" ht="15.75" hidden="false" customHeight="false" outlineLevel="0" collapsed="false">
      <c r="A473" s="249"/>
      <c r="B473" s="250"/>
    </row>
    <row r="474" customFormat="false" ht="15.75" hidden="false" customHeight="false" outlineLevel="0" collapsed="false">
      <c r="A474" s="249"/>
      <c r="B474" s="250"/>
    </row>
    <row r="475" customFormat="false" ht="15.75" hidden="false" customHeight="false" outlineLevel="0" collapsed="false">
      <c r="A475" s="249"/>
      <c r="B475" s="250"/>
    </row>
    <row r="476" customFormat="false" ht="15.75" hidden="false" customHeight="false" outlineLevel="0" collapsed="false">
      <c r="A476" s="249"/>
      <c r="B476" s="250"/>
    </row>
    <row r="477" customFormat="false" ht="15.75" hidden="false" customHeight="false" outlineLevel="0" collapsed="false">
      <c r="A477" s="249"/>
      <c r="B477" s="250"/>
    </row>
    <row r="478" customFormat="false" ht="15.75" hidden="false" customHeight="false" outlineLevel="0" collapsed="false">
      <c r="A478" s="249"/>
      <c r="B478" s="250"/>
    </row>
    <row r="479" customFormat="false" ht="15.75" hidden="false" customHeight="false" outlineLevel="0" collapsed="false">
      <c r="A479" s="249"/>
      <c r="B479" s="250"/>
    </row>
    <row r="480" customFormat="false" ht="15.75" hidden="false" customHeight="false" outlineLevel="0" collapsed="false">
      <c r="A480" s="249"/>
      <c r="B480" s="250"/>
    </row>
    <row r="481" customFormat="false" ht="15.75" hidden="false" customHeight="false" outlineLevel="0" collapsed="false">
      <c r="A481" s="249"/>
      <c r="B481" s="250"/>
    </row>
    <row r="482" customFormat="false" ht="15.75" hidden="false" customHeight="false" outlineLevel="0" collapsed="false">
      <c r="A482" s="249"/>
      <c r="B482" s="250"/>
    </row>
    <row r="483" customFormat="false" ht="15.75" hidden="false" customHeight="false" outlineLevel="0" collapsed="false">
      <c r="A483" s="249"/>
      <c r="B483" s="250"/>
    </row>
    <row r="484" customFormat="false" ht="15.75" hidden="false" customHeight="false" outlineLevel="0" collapsed="false">
      <c r="A484" s="249"/>
      <c r="B484" s="250"/>
    </row>
    <row r="485" customFormat="false" ht="15.75" hidden="false" customHeight="false" outlineLevel="0" collapsed="false">
      <c r="A485" s="249"/>
      <c r="B485" s="250"/>
    </row>
    <row r="486" customFormat="false" ht="15.75" hidden="false" customHeight="false" outlineLevel="0" collapsed="false">
      <c r="A486" s="249"/>
      <c r="B486" s="250"/>
    </row>
    <row r="487" customFormat="false" ht="15.75" hidden="false" customHeight="false" outlineLevel="0" collapsed="false">
      <c r="A487" s="249"/>
      <c r="B487" s="250"/>
    </row>
    <row r="488" customFormat="false" ht="15.75" hidden="false" customHeight="false" outlineLevel="0" collapsed="false">
      <c r="A488" s="249"/>
      <c r="B488" s="250"/>
    </row>
    <row r="489" customFormat="false" ht="15.75" hidden="false" customHeight="false" outlineLevel="0" collapsed="false">
      <c r="A489" s="249"/>
      <c r="B489" s="250"/>
    </row>
    <row r="490" customFormat="false" ht="15.75" hidden="false" customHeight="false" outlineLevel="0" collapsed="false">
      <c r="A490" s="249"/>
      <c r="B490" s="250"/>
    </row>
    <row r="491" customFormat="false" ht="15.75" hidden="false" customHeight="false" outlineLevel="0" collapsed="false">
      <c r="A491" s="249"/>
      <c r="B491" s="250"/>
    </row>
    <row r="492" customFormat="false" ht="15.75" hidden="false" customHeight="false" outlineLevel="0" collapsed="false">
      <c r="A492" s="249"/>
      <c r="B492" s="250"/>
    </row>
    <row r="493" customFormat="false" ht="15.75" hidden="false" customHeight="false" outlineLevel="0" collapsed="false">
      <c r="A493" s="249"/>
      <c r="B493" s="250"/>
    </row>
    <row r="494" customFormat="false" ht="15.75" hidden="false" customHeight="false" outlineLevel="0" collapsed="false">
      <c r="A494" s="249"/>
      <c r="B494" s="250"/>
    </row>
    <row r="495" customFormat="false" ht="15.75" hidden="false" customHeight="false" outlineLevel="0" collapsed="false">
      <c r="A495" s="249"/>
      <c r="B495" s="250"/>
    </row>
    <row r="496" customFormat="false" ht="15.75" hidden="false" customHeight="false" outlineLevel="0" collapsed="false">
      <c r="A496" s="249"/>
      <c r="B496" s="250"/>
    </row>
    <row r="497" customFormat="false" ht="15.75" hidden="false" customHeight="false" outlineLevel="0" collapsed="false">
      <c r="A497" s="249"/>
      <c r="B497" s="250"/>
    </row>
    <row r="498" customFormat="false" ht="15.75" hidden="false" customHeight="false" outlineLevel="0" collapsed="false">
      <c r="A498" s="249"/>
      <c r="B498" s="250"/>
    </row>
    <row r="499" customFormat="false" ht="15.75" hidden="false" customHeight="false" outlineLevel="0" collapsed="false">
      <c r="A499" s="249"/>
      <c r="B499" s="250"/>
    </row>
    <row r="500" customFormat="false" ht="15.75" hidden="false" customHeight="false" outlineLevel="0" collapsed="false">
      <c r="A500" s="249"/>
      <c r="B500" s="250"/>
    </row>
    <row r="501" customFormat="false" ht="15.75" hidden="false" customHeight="false" outlineLevel="0" collapsed="false">
      <c r="A501" s="249"/>
      <c r="B501" s="250"/>
    </row>
    <row r="502" customFormat="false" ht="15.75" hidden="false" customHeight="false" outlineLevel="0" collapsed="false">
      <c r="A502" s="249"/>
      <c r="B502" s="250"/>
    </row>
    <row r="503" customFormat="false" ht="15.75" hidden="false" customHeight="false" outlineLevel="0" collapsed="false">
      <c r="A503" s="249"/>
      <c r="B503" s="250"/>
    </row>
    <row r="504" customFormat="false" ht="15.75" hidden="false" customHeight="false" outlineLevel="0" collapsed="false">
      <c r="A504" s="249"/>
      <c r="B504" s="250"/>
    </row>
    <row r="505" customFormat="false" ht="15.75" hidden="false" customHeight="false" outlineLevel="0" collapsed="false">
      <c r="A505" s="249"/>
      <c r="B505" s="250"/>
    </row>
    <row r="506" customFormat="false" ht="15.75" hidden="false" customHeight="false" outlineLevel="0" collapsed="false">
      <c r="A506" s="249"/>
      <c r="B506" s="250"/>
    </row>
    <row r="507" customFormat="false" ht="15.75" hidden="false" customHeight="false" outlineLevel="0" collapsed="false">
      <c r="A507" s="249"/>
      <c r="B507" s="250"/>
    </row>
    <row r="508" customFormat="false" ht="15.75" hidden="false" customHeight="false" outlineLevel="0" collapsed="false">
      <c r="A508" s="249"/>
      <c r="B508" s="250"/>
    </row>
    <row r="509" customFormat="false" ht="15.75" hidden="false" customHeight="false" outlineLevel="0" collapsed="false">
      <c r="A509" s="249"/>
      <c r="B509" s="250"/>
    </row>
    <row r="510" customFormat="false" ht="15.75" hidden="false" customHeight="false" outlineLevel="0" collapsed="false">
      <c r="A510" s="249"/>
      <c r="B510" s="250"/>
    </row>
    <row r="511" customFormat="false" ht="15.75" hidden="false" customHeight="false" outlineLevel="0" collapsed="false">
      <c r="A511" s="249"/>
      <c r="B511" s="250"/>
    </row>
    <row r="512" customFormat="false" ht="15.75" hidden="false" customHeight="false" outlineLevel="0" collapsed="false">
      <c r="A512" s="249"/>
      <c r="B512" s="250"/>
    </row>
    <row r="513" customFormat="false" ht="15.75" hidden="false" customHeight="false" outlineLevel="0" collapsed="false">
      <c r="A513" s="249"/>
      <c r="B513" s="250"/>
    </row>
    <row r="514" customFormat="false" ht="15.75" hidden="false" customHeight="false" outlineLevel="0" collapsed="false">
      <c r="A514" s="249"/>
      <c r="B514" s="250"/>
    </row>
    <row r="515" customFormat="false" ht="15.75" hidden="false" customHeight="false" outlineLevel="0" collapsed="false">
      <c r="A515" s="249"/>
      <c r="B515" s="250"/>
    </row>
    <row r="516" customFormat="false" ht="15.75" hidden="false" customHeight="false" outlineLevel="0" collapsed="false">
      <c r="A516" s="249"/>
      <c r="B516" s="250"/>
    </row>
    <row r="517" customFormat="false" ht="15.75" hidden="false" customHeight="false" outlineLevel="0" collapsed="false">
      <c r="A517" s="249"/>
      <c r="B517" s="250"/>
    </row>
    <row r="518" customFormat="false" ht="15.75" hidden="false" customHeight="false" outlineLevel="0" collapsed="false">
      <c r="A518" s="249"/>
      <c r="B518" s="250"/>
    </row>
    <row r="519" customFormat="false" ht="15.75" hidden="false" customHeight="false" outlineLevel="0" collapsed="false">
      <c r="A519" s="249"/>
      <c r="B519" s="250"/>
    </row>
    <row r="520" customFormat="false" ht="15.75" hidden="false" customHeight="false" outlineLevel="0" collapsed="false">
      <c r="A520" s="249"/>
      <c r="B520" s="250"/>
    </row>
    <row r="521" customFormat="false" ht="15.75" hidden="false" customHeight="false" outlineLevel="0" collapsed="false">
      <c r="A521" s="249"/>
      <c r="B521" s="250"/>
    </row>
    <row r="522" customFormat="false" ht="15.75" hidden="false" customHeight="false" outlineLevel="0" collapsed="false">
      <c r="A522" s="249"/>
      <c r="B522" s="250"/>
    </row>
    <row r="523" customFormat="false" ht="15.75" hidden="false" customHeight="false" outlineLevel="0" collapsed="false">
      <c r="A523" s="249"/>
      <c r="B523" s="250"/>
    </row>
    <row r="524" customFormat="false" ht="15.75" hidden="false" customHeight="false" outlineLevel="0" collapsed="false">
      <c r="A524" s="249"/>
      <c r="B524" s="250"/>
    </row>
    <row r="525" customFormat="false" ht="15.75" hidden="false" customHeight="false" outlineLevel="0" collapsed="false">
      <c r="A525" s="249"/>
      <c r="B525" s="250"/>
    </row>
    <row r="526" customFormat="false" ht="15.75" hidden="false" customHeight="false" outlineLevel="0" collapsed="false">
      <c r="A526" s="249"/>
      <c r="B526" s="250"/>
    </row>
    <row r="527" customFormat="false" ht="15.75" hidden="false" customHeight="false" outlineLevel="0" collapsed="false">
      <c r="A527" s="249"/>
      <c r="B527" s="250"/>
    </row>
    <row r="528" customFormat="false" ht="15.75" hidden="false" customHeight="false" outlineLevel="0" collapsed="false">
      <c r="A528" s="249"/>
      <c r="B528" s="250"/>
    </row>
    <row r="529" customFormat="false" ht="15.75" hidden="false" customHeight="false" outlineLevel="0" collapsed="false">
      <c r="A529" s="249"/>
      <c r="B529" s="250"/>
    </row>
    <row r="530" customFormat="false" ht="15.75" hidden="false" customHeight="false" outlineLevel="0" collapsed="false">
      <c r="A530" s="249"/>
      <c r="B530" s="250"/>
    </row>
    <row r="531" customFormat="false" ht="15.75" hidden="false" customHeight="false" outlineLevel="0" collapsed="false">
      <c r="A531" s="249"/>
      <c r="B531" s="250"/>
    </row>
    <row r="532" customFormat="false" ht="15.75" hidden="false" customHeight="false" outlineLevel="0" collapsed="false">
      <c r="A532" s="249"/>
      <c r="B532" s="250"/>
    </row>
    <row r="533" customFormat="false" ht="15.75" hidden="false" customHeight="false" outlineLevel="0" collapsed="false">
      <c r="A533" s="249"/>
      <c r="B533" s="250"/>
    </row>
    <row r="534" customFormat="false" ht="15.75" hidden="false" customHeight="false" outlineLevel="0" collapsed="false">
      <c r="A534" s="249"/>
      <c r="B534" s="250"/>
    </row>
    <row r="535" customFormat="false" ht="15.75" hidden="false" customHeight="false" outlineLevel="0" collapsed="false">
      <c r="A535" s="249"/>
      <c r="B535" s="250"/>
    </row>
    <row r="536" customFormat="false" ht="15.75" hidden="false" customHeight="false" outlineLevel="0" collapsed="false">
      <c r="A536" s="249"/>
      <c r="B536" s="250"/>
    </row>
    <row r="537" customFormat="false" ht="15.75" hidden="false" customHeight="false" outlineLevel="0" collapsed="false">
      <c r="A537" s="249"/>
      <c r="B537" s="250"/>
    </row>
    <row r="538" customFormat="false" ht="15.75" hidden="false" customHeight="false" outlineLevel="0" collapsed="false">
      <c r="A538" s="249"/>
      <c r="B538" s="250"/>
    </row>
    <row r="539" customFormat="false" ht="15.75" hidden="false" customHeight="false" outlineLevel="0" collapsed="false">
      <c r="A539" s="249"/>
      <c r="B539" s="250"/>
    </row>
    <row r="540" customFormat="false" ht="15.75" hidden="false" customHeight="false" outlineLevel="0" collapsed="false">
      <c r="A540" s="249"/>
      <c r="B540" s="250"/>
    </row>
    <row r="541" customFormat="false" ht="15.75" hidden="false" customHeight="false" outlineLevel="0" collapsed="false">
      <c r="A541" s="249"/>
      <c r="B541" s="250"/>
    </row>
    <row r="542" customFormat="false" ht="15.75" hidden="false" customHeight="false" outlineLevel="0" collapsed="false">
      <c r="A542" s="249"/>
      <c r="B542" s="250"/>
    </row>
    <row r="543" customFormat="false" ht="15.75" hidden="false" customHeight="false" outlineLevel="0" collapsed="false">
      <c r="A543" s="249"/>
      <c r="B543" s="250"/>
    </row>
    <row r="544" customFormat="false" ht="15.75" hidden="false" customHeight="false" outlineLevel="0" collapsed="false">
      <c r="A544" s="249"/>
      <c r="B544" s="250"/>
    </row>
    <row r="545" customFormat="false" ht="15.75" hidden="false" customHeight="false" outlineLevel="0" collapsed="false">
      <c r="A545" s="249"/>
      <c r="B545" s="250"/>
    </row>
    <row r="546" customFormat="false" ht="15.75" hidden="false" customHeight="false" outlineLevel="0" collapsed="false">
      <c r="A546" s="249"/>
      <c r="B546" s="250"/>
    </row>
    <row r="547" customFormat="false" ht="15.75" hidden="false" customHeight="false" outlineLevel="0" collapsed="false">
      <c r="A547" s="249"/>
      <c r="B547" s="250"/>
    </row>
    <row r="548" customFormat="false" ht="15.75" hidden="false" customHeight="false" outlineLevel="0" collapsed="false">
      <c r="A548" s="249"/>
      <c r="B548" s="250"/>
    </row>
    <row r="549" customFormat="false" ht="15.75" hidden="false" customHeight="false" outlineLevel="0" collapsed="false">
      <c r="A549" s="249"/>
      <c r="B549" s="250"/>
    </row>
    <row r="550" customFormat="false" ht="15.75" hidden="false" customHeight="false" outlineLevel="0" collapsed="false">
      <c r="A550" s="249"/>
      <c r="B550" s="250"/>
    </row>
    <row r="551" customFormat="false" ht="15.75" hidden="false" customHeight="false" outlineLevel="0" collapsed="false">
      <c r="A551" s="249"/>
      <c r="B551" s="250"/>
    </row>
    <row r="552" customFormat="false" ht="15.75" hidden="false" customHeight="false" outlineLevel="0" collapsed="false">
      <c r="A552" s="249"/>
      <c r="B552" s="250"/>
    </row>
    <row r="553" customFormat="false" ht="15.75" hidden="false" customHeight="false" outlineLevel="0" collapsed="false">
      <c r="A553" s="249"/>
      <c r="B553" s="250"/>
    </row>
    <row r="554" customFormat="false" ht="15.75" hidden="false" customHeight="false" outlineLevel="0" collapsed="false">
      <c r="A554" s="249"/>
      <c r="B554" s="250"/>
    </row>
    <row r="555" customFormat="false" ht="15.75" hidden="false" customHeight="false" outlineLevel="0" collapsed="false">
      <c r="A555" s="249"/>
      <c r="B555" s="250"/>
    </row>
    <row r="556" customFormat="false" ht="15.75" hidden="false" customHeight="false" outlineLevel="0" collapsed="false">
      <c r="A556" s="249"/>
      <c r="B556" s="250"/>
    </row>
    <row r="557" customFormat="false" ht="15.75" hidden="false" customHeight="false" outlineLevel="0" collapsed="false">
      <c r="A557" s="249"/>
      <c r="B557" s="250"/>
    </row>
    <row r="558" customFormat="false" ht="15.75" hidden="false" customHeight="false" outlineLevel="0" collapsed="false">
      <c r="A558" s="249"/>
      <c r="B558" s="250"/>
    </row>
    <row r="559" customFormat="false" ht="15.75" hidden="false" customHeight="false" outlineLevel="0" collapsed="false">
      <c r="A559" s="249"/>
      <c r="B559" s="250"/>
    </row>
    <row r="560" customFormat="false" ht="15.75" hidden="false" customHeight="false" outlineLevel="0" collapsed="false">
      <c r="A560" s="249"/>
      <c r="B560" s="250"/>
    </row>
    <row r="561" customFormat="false" ht="15.75" hidden="false" customHeight="false" outlineLevel="0" collapsed="false">
      <c r="A561" s="249"/>
      <c r="B561" s="250"/>
    </row>
    <row r="562" customFormat="false" ht="15.75" hidden="false" customHeight="false" outlineLevel="0" collapsed="false">
      <c r="A562" s="249"/>
      <c r="B562" s="250"/>
    </row>
    <row r="563" customFormat="false" ht="15.75" hidden="false" customHeight="false" outlineLevel="0" collapsed="false">
      <c r="A563" s="249"/>
      <c r="B563" s="250"/>
    </row>
    <row r="564" customFormat="false" ht="15.75" hidden="false" customHeight="false" outlineLevel="0" collapsed="false">
      <c r="A564" s="249"/>
      <c r="B564" s="250"/>
    </row>
    <row r="565" customFormat="false" ht="15.75" hidden="false" customHeight="false" outlineLevel="0" collapsed="false">
      <c r="A565" s="249"/>
      <c r="B565" s="250"/>
    </row>
    <row r="566" customFormat="false" ht="15.75" hidden="false" customHeight="false" outlineLevel="0" collapsed="false">
      <c r="A566" s="249"/>
      <c r="B566" s="250"/>
    </row>
    <row r="567" customFormat="false" ht="15.75" hidden="false" customHeight="false" outlineLevel="0" collapsed="false">
      <c r="A567" s="249"/>
      <c r="B567" s="250"/>
    </row>
    <row r="568" customFormat="false" ht="15.75" hidden="false" customHeight="false" outlineLevel="0" collapsed="false">
      <c r="A568" s="249"/>
      <c r="B568" s="250"/>
    </row>
    <row r="569" customFormat="false" ht="15.75" hidden="false" customHeight="false" outlineLevel="0" collapsed="false">
      <c r="A569" s="249"/>
      <c r="B569" s="250"/>
    </row>
    <row r="570" customFormat="false" ht="15.75" hidden="false" customHeight="false" outlineLevel="0" collapsed="false">
      <c r="A570" s="249"/>
      <c r="B570" s="250"/>
    </row>
    <row r="571" customFormat="false" ht="15.75" hidden="false" customHeight="false" outlineLevel="0" collapsed="false">
      <c r="A571" s="249"/>
      <c r="B571" s="250"/>
    </row>
    <row r="572" customFormat="false" ht="15.75" hidden="false" customHeight="false" outlineLevel="0" collapsed="false">
      <c r="A572" s="249"/>
      <c r="B572" s="250"/>
    </row>
    <row r="573" customFormat="false" ht="15.75" hidden="false" customHeight="false" outlineLevel="0" collapsed="false">
      <c r="A573" s="249"/>
      <c r="B573" s="250"/>
    </row>
    <row r="574" customFormat="false" ht="15.75" hidden="false" customHeight="false" outlineLevel="0" collapsed="false">
      <c r="A574" s="249"/>
      <c r="B574" s="250"/>
    </row>
    <row r="575" customFormat="false" ht="15.75" hidden="false" customHeight="false" outlineLevel="0" collapsed="false">
      <c r="A575" s="249"/>
      <c r="B575" s="250"/>
    </row>
    <row r="576" customFormat="false" ht="15.75" hidden="false" customHeight="false" outlineLevel="0" collapsed="false">
      <c r="A576" s="249"/>
      <c r="B576" s="250"/>
    </row>
    <row r="577" customFormat="false" ht="15.75" hidden="false" customHeight="false" outlineLevel="0" collapsed="false">
      <c r="A577" s="249"/>
      <c r="B577" s="250"/>
    </row>
    <row r="578" customFormat="false" ht="15.75" hidden="false" customHeight="false" outlineLevel="0" collapsed="false">
      <c r="A578" s="249"/>
      <c r="B578" s="250"/>
    </row>
    <row r="579" customFormat="false" ht="15.75" hidden="false" customHeight="false" outlineLevel="0" collapsed="false">
      <c r="A579" s="249"/>
      <c r="B579" s="250"/>
    </row>
    <row r="580" customFormat="false" ht="15.75" hidden="false" customHeight="false" outlineLevel="0" collapsed="false">
      <c r="A580" s="249"/>
      <c r="B580" s="250"/>
    </row>
    <row r="581" customFormat="false" ht="15.75" hidden="false" customHeight="false" outlineLevel="0" collapsed="false">
      <c r="A581" s="249"/>
      <c r="B581" s="250"/>
    </row>
    <row r="582" customFormat="false" ht="15.75" hidden="false" customHeight="false" outlineLevel="0" collapsed="false">
      <c r="A582" s="249"/>
      <c r="B582" s="250"/>
    </row>
    <row r="583" customFormat="false" ht="15.75" hidden="false" customHeight="false" outlineLevel="0" collapsed="false">
      <c r="A583" s="249"/>
      <c r="B583" s="250"/>
    </row>
    <row r="584" customFormat="false" ht="15.75" hidden="false" customHeight="false" outlineLevel="0" collapsed="false">
      <c r="A584" s="249"/>
      <c r="B584" s="250"/>
    </row>
    <row r="585" customFormat="false" ht="15.75" hidden="false" customHeight="false" outlineLevel="0" collapsed="false">
      <c r="A585" s="249"/>
      <c r="B585" s="250"/>
    </row>
    <row r="586" customFormat="false" ht="15.75" hidden="false" customHeight="false" outlineLevel="0" collapsed="false">
      <c r="A586" s="249"/>
      <c r="B586" s="250"/>
    </row>
    <row r="587" customFormat="false" ht="15.75" hidden="false" customHeight="false" outlineLevel="0" collapsed="false">
      <c r="A587" s="249"/>
      <c r="B587" s="250"/>
    </row>
    <row r="588" customFormat="false" ht="15.75" hidden="false" customHeight="false" outlineLevel="0" collapsed="false">
      <c r="A588" s="249"/>
      <c r="B588" s="250"/>
    </row>
    <row r="589" customFormat="false" ht="15.75" hidden="false" customHeight="false" outlineLevel="0" collapsed="false">
      <c r="A589" s="249"/>
      <c r="B589" s="250"/>
    </row>
    <row r="590" customFormat="false" ht="15.75" hidden="false" customHeight="false" outlineLevel="0" collapsed="false">
      <c r="A590" s="249"/>
      <c r="B590" s="250"/>
    </row>
    <row r="591" customFormat="false" ht="15.75" hidden="false" customHeight="false" outlineLevel="0" collapsed="false">
      <c r="A591" s="249"/>
      <c r="B591" s="250"/>
    </row>
    <row r="592" customFormat="false" ht="15.75" hidden="false" customHeight="false" outlineLevel="0" collapsed="false">
      <c r="A592" s="249"/>
      <c r="B592" s="250"/>
    </row>
    <row r="593" customFormat="false" ht="15.75" hidden="false" customHeight="false" outlineLevel="0" collapsed="false">
      <c r="A593" s="249"/>
      <c r="B593" s="250"/>
    </row>
    <row r="594" customFormat="false" ht="15.75" hidden="false" customHeight="false" outlineLevel="0" collapsed="false">
      <c r="A594" s="249"/>
      <c r="B594" s="250"/>
    </row>
    <row r="595" customFormat="false" ht="15.75" hidden="false" customHeight="false" outlineLevel="0" collapsed="false">
      <c r="A595" s="249"/>
      <c r="B595" s="250"/>
    </row>
    <row r="596" customFormat="false" ht="15.75" hidden="false" customHeight="false" outlineLevel="0" collapsed="false">
      <c r="A596" s="249"/>
      <c r="B596" s="250"/>
    </row>
    <row r="597" customFormat="false" ht="15.75" hidden="false" customHeight="false" outlineLevel="0" collapsed="false">
      <c r="A597" s="249"/>
      <c r="B597" s="250"/>
    </row>
    <row r="598" customFormat="false" ht="15.75" hidden="false" customHeight="false" outlineLevel="0" collapsed="false">
      <c r="A598" s="249"/>
      <c r="B598" s="250"/>
    </row>
    <row r="599" customFormat="false" ht="15.75" hidden="false" customHeight="false" outlineLevel="0" collapsed="false">
      <c r="A599" s="249"/>
      <c r="B599" s="250"/>
    </row>
    <row r="600" customFormat="false" ht="15.75" hidden="false" customHeight="false" outlineLevel="0" collapsed="false">
      <c r="A600" s="249"/>
      <c r="B600" s="250"/>
    </row>
    <row r="601" customFormat="false" ht="15.75" hidden="false" customHeight="false" outlineLevel="0" collapsed="false">
      <c r="A601" s="249"/>
      <c r="B601" s="250"/>
    </row>
    <row r="602" customFormat="false" ht="15.75" hidden="false" customHeight="false" outlineLevel="0" collapsed="false">
      <c r="A602" s="249"/>
      <c r="B602" s="250"/>
    </row>
    <row r="603" customFormat="false" ht="15.75" hidden="false" customHeight="false" outlineLevel="0" collapsed="false">
      <c r="A603" s="249"/>
      <c r="B603" s="250"/>
    </row>
    <row r="604" customFormat="false" ht="15.75" hidden="false" customHeight="false" outlineLevel="0" collapsed="false">
      <c r="A604" s="249"/>
      <c r="B604" s="250"/>
    </row>
    <row r="605" customFormat="false" ht="15.75" hidden="false" customHeight="false" outlineLevel="0" collapsed="false">
      <c r="A605" s="249"/>
      <c r="B605" s="250"/>
    </row>
    <row r="606" customFormat="false" ht="15.75" hidden="false" customHeight="false" outlineLevel="0" collapsed="false">
      <c r="A606" s="249"/>
      <c r="B606" s="250"/>
    </row>
    <row r="607" customFormat="false" ht="15.75" hidden="false" customHeight="false" outlineLevel="0" collapsed="false">
      <c r="A607" s="249"/>
      <c r="B607" s="250"/>
    </row>
    <row r="608" customFormat="false" ht="15.75" hidden="false" customHeight="false" outlineLevel="0" collapsed="false">
      <c r="A608" s="249"/>
      <c r="B608" s="250"/>
    </row>
    <row r="609" customFormat="false" ht="15.75" hidden="false" customHeight="false" outlineLevel="0" collapsed="false">
      <c r="A609" s="249"/>
      <c r="B609" s="250"/>
    </row>
    <row r="610" customFormat="false" ht="15.75" hidden="false" customHeight="false" outlineLevel="0" collapsed="false">
      <c r="A610" s="249"/>
      <c r="B610" s="250"/>
    </row>
    <row r="611" customFormat="false" ht="15.75" hidden="false" customHeight="false" outlineLevel="0" collapsed="false">
      <c r="A611" s="249"/>
      <c r="B611" s="250"/>
    </row>
    <row r="612" customFormat="false" ht="15.75" hidden="false" customHeight="false" outlineLevel="0" collapsed="false">
      <c r="A612" s="249"/>
      <c r="B612" s="250"/>
    </row>
    <row r="613" customFormat="false" ht="15.75" hidden="false" customHeight="false" outlineLevel="0" collapsed="false">
      <c r="A613" s="249"/>
      <c r="B613" s="250"/>
    </row>
    <row r="614" customFormat="false" ht="15.75" hidden="false" customHeight="false" outlineLevel="0" collapsed="false">
      <c r="A614" s="249"/>
      <c r="B614" s="250"/>
    </row>
    <row r="615" customFormat="false" ht="15.75" hidden="false" customHeight="false" outlineLevel="0" collapsed="false">
      <c r="A615" s="249"/>
      <c r="B615" s="250"/>
    </row>
    <row r="616" customFormat="false" ht="15.75" hidden="false" customHeight="false" outlineLevel="0" collapsed="false">
      <c r="A616" s="249"/>
      <c r="B616" s="250"/>
    </row>
    <row r="617" customFormat="false" ht="15.75" hidden="false" customHeight="false" outlineLevel="0" collapsed="false">
      <c r="A617" s="249"/>
      <c r="B617" s="250"/>
    </row>
    <row r="618" customFormat="false" ht="15.75" hidden="false" customHeight="false" outlineLevel="0" collapsed="false">
      <c r="A618" s="249"/>
      <c r="B618" s="250"/>
    </row>
    <row r="619" customFormat="false" ht="15.75" hidden="false" customHeight="false" outlineLevel="0" collapsed="false">
      <c r="A619" s="249"/>
      <c r="B619" s="250"/>
    </row>
    <row r="620" customFormat="false" ht="15.75" hidden="false" customHeight="false" outlineLevel="0" collapsed="false">
      <c r="A620" s="249"/>
      <c r="B620" s="250"/>
    </row>
    <row r="621" customFormat="false" ht="15.75" hidden="false" customHeight="false" outlineLevel="0" collapsed="false">
      <c r="A621" s="249"/>
      <c r="B621" s="250"/>
    </row>
    <row r="622" customFormat="false" ht="15.75" hidden="false" customHeight="false" outlineLevel="0" collapsed="false">
      <c r="A622" s="249"/>
      <c r="B622" s="250"/>
    </row>
    <row r="623" customFormat="false" ht="15.75" hidden="false" customHeight="false" outlineLevel="0" collapsed="false">
      <c r="A623" s="249"/>
      <c r="B623" s="250"/>
    </row>
    <row r="624" customFormat="false" ht="15.75" hidden="false" customHeight="false" outlineLevel="0" collapsed="false">
      <c r="A624" s="249"/>
      <c r="B624" s="250"/>
    </row>
    <row r="625" customFormat="false" ht="15.75" hidden="false" customHeight="false" outlineLevel="0" collapsed="false">
      <c r="A625" s="249"/>
      <c r="B625" s="250"/>
    </row>
    <row r="626" customFormat="false" ht="15.75" hidden="false" customHeight="false" outlineLevel="0" collapsed="false">
      <c r="A626" s="249"/>
      <c r="B626" s="250"/>
    </row>
    <row r="627" customFormat="false" ht="15.75" hidden="false" customHeight="false" outlineLevel="0" collapsed="false">
      <c r="A627" s="249"/>
      <c r="B627" s="250"/>
    </row>
    <row r="628" customFormat="false" ht="15.75" hidden="false" customHeight="false" outlineLevel="0" collapsed="false">
      <c r="A628" s="249"/>
      <c r="B628" s="250"/>
    </row>
    <row r="629" customFormat="false" ht="15.75" hidden="false" customHeight="false" outlineLevel="0" collapsed="false">
      <c r="A629" s="249"/>
      <c r="B629" s="250"/>
    </row>
    <row r="630" customFormat="false" ht="15.75" hidden="false" customHeight="false" outlineLevel="0" collapsed="false">
      <c r="A630" s="249"/>
      <c r="B630" s="250"/>
    </row>
    <row r="631" customFormat="false" ht="15.75" hidden="false" customHeight="false" outlineLevel="0" collapsed="false">
      <c r="A631" s="249"/>
      <c r="B631" s="250"/>
    </row>
    <row r="632" customFormat="false" ht="15.75" hidden="false" customHeight="false" outlineLevel="0" collapsed="false">
      <c r="A632" s="249"/>
      <c r="B632" s="250"/>
    </row>
    <row r="633" customFormat="false" ht="15.75" hidden="false" customHeight="false" outlineLevel="0" collapsed="false">
      <c r="A633" s="249"/>
      <c r="B633" s="250"/>
    </row>
    <row r="634" customFormat="false" ht="15.75" hidden="false" customHeight="false" outlineLevel="0" collapsed="false">
      <c r="A634" s="249"/>
      <c r="B634" s="250"/>
    </row>
    <row r="635" customFormat="false" ht="15.75" hidden="false" customHeight="false" outlineLevel="0" collapsed="false">
      <c r="A635" s="249"/>
      <c r="B635" s="250"/>
    </row>
    <row r="636" customFormat="false" ht="15.75" hidden="false" customHeight="false" outlineLevel="0" collapsed="false">
      <c r="A636" s="249"/>
      <c r="B636" s="250"/>
    </row>
    <row r="637" customFormat="false" ht="15.75" hidden="false" customHeight="false" outlineLevel="0" collapsed="false">
      <c r="A637" s="249"/>
      <c r="B637" s="250"/>
    </row>
    <row r="638" customFormat="false" ht="15.75" hidden="false" customHeight="false" outlineLevel="0" collapsed="false">
      <c r="A638" s="249"/>
      <c r="B638" s="250"/>
    </row>
    <row r="639" customFormat="false" ht="15.75" hidden="false" customHeight="false" outlineLevel="0" collapsed="false">
      <c r="A639" s="249"/>
      <c r="B639" s="250"/>
    </row>
    <row r="640" customFormat="false" ht="15.75" hidden="false" customHeight="false" outlineLevel="0" collapsed="false">
      <c r="A640" s="249"/>
      <c r="B640" s="250"/>
    </row>
    <row r="641" customFormat="false" ht="15.75" hidden="false" customHeight="false" outlineLevel="0" collapsed="false">
      <c r="A641" s="249"/>
      <c r="B641" s="250"/>
    </row>
    <row r="642" customFormat="false" ht="15.75" hidden="false" customHeight="false" outlineLevel="0" collapsed="false">
      <c r="A642" s="249"/>
      <c r="B642" s="250"/>
    </row>
    <row r="643" customFormat="false" ht="15.75" hidden="false" customHeight="false" outlineLevel="0" collapsed="false">
      <c r="A643" s="249"/>
      <c r="B643" s="250"/>
    </row>
    <row r="644" customFormat="false" ht="15.75" hidden="false" customHeight="false" outlineLevel="0" collapsed="false">
      <c r="A644" s="249"/>
      <c r="B644" s="250"/>
    </row>
    <row r="645" customFormat="false" ht="15.75" hidden="false" customHeight="false" outlineLevel="0" collapsed="false">
      <c r="A645" s="249"/>
      <c r="B645" s="250"/>
    </row>
    <row r="646" customFormat="false" ht="15.75" hidden="false" customHeight="false" outlineLevel="0" collapsed="false">
      <c r="A646" s="249"/>
      <c r="B646" s="250"/>
    </row>
    <row r="647" customFormat="false" ht="15.75" hidden="false" customHeight="false" outlineLevel="0" collapsed="false">
      <c r="A647" s="249"/>
      <c r="B647" s="250"/>
    </row>
    <row r="648" customFormat="false" ht="15.75" hidden="false" customHeight="false" outlineLevel="0" collapsed="false">
      <c r="A648" s="249"/>
      <c r="B648" s="250"/>
    </row>
    <row r="649" customFormat="false" ht="15.75" hidden="false" customHeight="false" outlineLevel="0" collapsed="false">
      <c r="A649" s="249"/>
      <c r="B649" s="250"/>
    </row>
    <row r="650" customFormat="false" ht="15.75" hidden="false" customHeight="false" outlineLevel="0" collapsed="false">
      <c r="A650" s="249"/>
      <c r="B650" s="250"/>
    </row>
    <row r="651" customFormat="false" ht="15.75" hidden="false" customHeight="false" outlineLevel="0" collapsed="false">
      <c r="A651" s="249"/>
      <c r="B651" s="250"/>
    </row>
    <row r="652" customFormat="false" ht="15.75" hidden="false" customHeight="false" outlineLevel="0" collapsed="false">
      <c r="A652" s="249"/>
      <c r="B652" s="250"/>
    </row>
    <row r="653" customFormat="false" ht="15.75" hidden="false" customHeight="false" outlineLevel="0" collapsed="false">
      <c r="A653" s="249"/>
      <c r="B653" s="250"/>
    </row>
    <row r="654" customFormat="false" ht="15.75" hidden="false" customHeight="false" outlineLevel="0" collapsed="false">
      <c r="A654" s="249"/>
      <c r="B654" s="250"/>
    </row>
    <row r="655" customFormat="false" ht="15.75" hidden="false" customHeight="false" outlineLevel="0" collapsed="false">
      <c r="A655" s="249"/>
      <c r="B655" s="250"/>
    </row>
    <row r="656" customFormat="false" ht="15.75" hidden="false" customHeight="false" outlineLevel="0" collapsed="false">
      <c r="A656" s="249"/>
      <c r="B656" s="250"/>
    </row>
    <row r="657" customFormat="false" ht="15.75" hidden="false" customHeight="false" outlineLevel="0" collapsed="false">
      <c r="A657" s="249"/>
      <c r="B657" s="250"/>
    </row>
    <row r="658" customFormat="false" ht="15.75" hidden="false" customHeight="false" outlineLevel="0" collapsed="false">
      <c r="A658" s="249"/>
      <c r="B658" s="250"/>
    </row>
    <row r="659" customFormat="false" ht="15.75" hidden="false" customHeight="false" outlineLevel="0" collapsed="false">
      <c r="A659" s="249"/>
      <c r="B659" s="250"/>
    </row>
    <row r="660" customFormat="false" ht="15.75" hidden="false" customHeight="false" outlineLevel="0" collapsed="false">
      <c r="A660" s="249"/>
      <c r="B660" s="250"/>
    </row>
    <row r="661" customFormat="false" ht="15.75" hidden="false" customHeight="false" outlineLevel="0" collapsed="false">
      <c r="A661" s="249"/>
      <c r="B661" s="250"/>
    </row>
    <row r="662" customFormat="false" ht="15.75" hidden="false" customHeight="false" outlineLevel="0" collapsed="false">
      <c r="A662" s="249"/>
      <c r="B662" s="250"/>
    </row>
    <row r="663" customFormat="false" ht="15.75" hidden="false" customHeight="false" outlineLevel="0" collapsed="false">
      <c r="A663" s="249"/>
      <c r="B663" s="250"/>
    </row>
    <row r="664" customFormat="false" ht="15.75" hidden="false" customHeight="false" outlineLevel="0" collapsed="false">
      <c r="A664" s="249"/>
      <c r="B664" s="250"/>
    </row>
    <row r="665" customFormat="false" ht="15.75" hidden="false" customHeight="false" outlineLevel="0" collapsed="false">
      <c r="A665" s="249"/>
      <c r="B665" s="250"/>
    </row>
    <row r="666" customFormat="false" ht="15.75" hidden="false" customHeight="false" outlineLevel="0" collapsed="false">
      <c r="A666" s="249"/>
      <c r="B666" s="250"/>
    </row>
    <row r="667" customFormat="false" ht="15.75" hidden="false" customHeight="false" outlineLevel="0" collapsed="false">
      <c r="A667" s="249"/>
      <c r="B667" s="250"/>
    </row>
    <row r="668" customFormat="false" ht="15.75" hidden="false" customHeight="false" outlineLevel="0" collapsed="false">
      <c r="A668" s="249"/>
      <c r="B668" s="250"/>
    </row>
    <row r="669" customFormat="false" ht="15.75" hidden="false" customHeight="false" outlineLevel="0" collapsed="false">
      <c r="A669" s="249"/>
      <c r="B669" s="250"/>
    </row>
    <row r="670" customFormat="false" ht="15.75" hidden="false" customHeight="false" outlineLevel="0" collapsed="false">
      <c r="A670" s="249"/>
      <c r="B670" s="250"/>
    </row>
    <row r="671" customFormat="false" ht="15.75" hidden="false" customHeight="false" outlineLevel="0" collapsed="false">
      <c r="A671" s="249"/>
      <c r="B671" s="250"/>
    </row>
    <row r="672" customFormat="false" ht="15.75" hidden="false" customHeight="false" outlineLevel="0" collapsed="false">
      <c r="A672" s="249"/>
      <c r="B672" s="250"/>
    </row>
    <row r="673" customFormat="false" ht="15.75" hidden="false" customHeight="false" outlineLevel="0" collapsed="false">
      <c r="A673" s="249"/>
      <c r="B673" s="250"/>
    </row>
    <row r="674" customFormat="false" ht="15.75" hidden="false" customHeight="false" outlineLevel="0" collapsed="false">
      <c r="A674" s="249"/>
      <c r="B674" s="250"/>
    </row>
    <row r="675" customFormat="false" ht="15.75" hidden="false" customHeight="false" outlineLevel="0" collapsed="false">
      <c r="A675" s="249"/>
      <c r="B675" s="250"/>
    </row>
    <row r="676" customFormat="false" ht="15.75" hidden="false" customHeight="false" outlineLevel="0" collapsed="false">
      <c r="A676" s="249"/>
      <c r="B676" s="250"/>
    </row>
    <row r="677" customFormat="false" ht="15.75" hidden="false" customHeight="false" outlineLevel="0" collapsed="false">
      <c r="A677" s="249"/>
      <c r="B677" s="250"/>
    </row>
    <row r="678" customFormat="false" ht="15.75" hidden="false" customHeight="false" outlineLevel="0" collapsed="false">
      <c r="A678" s="249"/>
      <c r="B678" s="250"/>
    </row>
    <row r="679" customFormat="false" ht="15.75" hidden="false" customHeight="false" outlineLevel="0" collapsed="false">
      <c r="A679" s="249"/>
      <c r="B679" s="250"/>
    </row>
    <row r="680" customFormat="false" ht="15.75" hidden="false" customHeight="false" outlineLevel="0" collapsed="false">
      <c r="A680" s="249"/>
      <c r="B680" s="250"/>
    </row>
    <row r="681" customFormat="false" ht="15.75" hidden="false" customHeight="false" outlineLevel="0" collapsed="false">
      <c r="A681" s="249"/>
      <c r="B681" s="250"/>
    </row>
    <row r="682" customFormat="false" ht="15.75" hidden="false" customHeight="false" outlineLevel="0" collapsed="false">
      <c r="A682" s="249"/>
      <c r="B682" s="250"/>
    </row>
    <row r="683" customFormat="false" ht="15.75" hidden="false" customHeight="false" outlineLevel="0" collapsed="false">
      <c r="A683" s="249"/>
      <c r="B683" s="250"/>
    </row>
    <row r="684" customFormat="false" ht="15.75" hidden="false" customHeight="false" outlineLevel="0" collapsed="false">
      <c r="A684" s="249"/>
      <c r="B684" s="250"/>
    </row>
    <row r="685" customFormat="false" ht="15.75" hidden="false" customHeight="false" outlineLevel="0" collapsed="false">
      <c r="A685" s="249"/>
      <c r="B685" s="250"/>
    </row>
    <row r="686" customFormat="false" ht="15.75" hidden="false" customHeight="false" outlineLevel="0" collapsed="false">
      <c r="A686" s="249"/>
      <c r="B686" s="250"/>
    </row>
    <row r="687" customFormat="false" ht="15.75" hidden="false" customHeight="false" outlineLevel="0" collapsed="false">
      <c r="A687" s="249"/>
      <c r="B687" s="250"/>
    </row>
    <row r="688" customFormat="false" ht="15.75" hidden="false" customHeight="false" outlineLevel="0" collapsed="false">
      <c r="A688" s="249"/>
      <c r="B688" s="250"/>
    </row>
    <row r="689" customFormat="false" ht="15.75" hidden="false" customHeight="false" outlineLevel="0" collapsed="false">
      <c r="A689" s="249"/>
      <c r="B689" s="250"/>
    </row>
    <row r="690" customFormat="false" ht="15.75" hidden="false" customHeight="false" outlineLevel="0" collapsed="false">
      <c r="A690" s="249"/>
      <c r="B690" s="250"/>
    </row>
    <row r="691" customFormat="false" ht="15.75" hidden="false" customHeight="false" outlineLevel="0" collapsed="false">
      <c r="A691" s="249"/>
      <c r="B691" s="250"/>
    </row>
    <row r="692" customFormat="false" ht="15.75" hidden="false" customHeight="false" outlineLevel="0" collapsed="false">
      <c r="A692" s="249"/>
      <c r="B692" s="250"/>
    </row>
    <row r="693" customFormat="false" ht="15.75" hidden="false" customHeight="false" outlineLevel="0" collapsed="false">
      <c r="A693" s="249"/>
      <c r="B693" s="250"/>
    </row>
    <row r="694" customFormat="false" ht="15.75" hidden="false" customHeight="false" outlineLevel="0" collapsed="false">
      <c r="A694" s="249"/>
      <c r="B694" s="250"/>
    </row>
    <row r="695" customFormat="false" ht="15.75" hidden="false" customHeight="false" outlineLevel="0" collapsed="false">
      <c r="A695" s="249"/>
      <c r="B695" s="250"/>
    </row>
    <row r="696" customFormat="false" ht="15.75" hidden="false" customHeight="false" outlineLevel="0" collapsed="false">
      <c r="A696" s="249"/>
      <c r="B696" s="250"/>
    </row>
    <row r="697" customFormat="false" ht="15.75" hidden="false" customHeight="false" outlineLevel="0" collapsed="false">
      <c r="A697" s="249"/>
      <c r="B697" s="250"/>
    </row>
    <row r="698" customFormat="false" ht="15.75" hidden="false" customHeight="false" outlineLevel="0" collapsed="false">
      <c r="A698" s="249"/>
      <c r="B698" s="250"/>
    </row>
    <row r="699" customFormat="false" ht="15.75" hidden="false" customHeight="false" outlineLevel="0" collapsed="false">
      <c r="A699" s="249"/>
      <c r="B699" s="250"/>
    </row>
    <row r="700" customFormat="false" ht="15.75" hidden="false" customHeight="false" outlineLevel="0" collapsed="false">
      <c r="A700" s="249"/>
      <c r="B700" s="250"/>
    </row>
    <row r="701" customFormat="false" ht="15.75" hidden="false" customHeight="false" outlineLevel="0" collapsed="false">
      <c r="A701" s="249"/>
      <c r="B701" s="250"/>
    </row>
    <row r="702" customFormat="false" ht="15.75" hidden="false" customHeight="false" outlineLevel="0" collapsed="false">
      <c r="A702" s="249"/>
      <c r="B702" s="250"/>
    </row>
    <row r="703" customFormat="false" ht="15.75" hidden="false" customHeight="false" outlineLevel="0" collapsed="false">
      <c r="A703" s="249"/>
      <c r="B703" s="250"/>
    </row>
    <row r="704" customFormat="false" ht="15.75" hidden="false" customHeight="false" outlineLevel="0" collapsed="false">
      <c r="A704" s="249"/>
      <c r="B704" s="250"/>
    </row>
    <row r="705" customFormat="false" ht="15.75" hidden="false" customHeight="false" outlineLevel="0" collapsed="false">
      <c r="A705" s="249"/>
      <c r="B705" s="250"/>
    </row>
    <row r="706" customFormat="false" ht="15.75" hidden="false" customHeight="false" outlineLevel="0" collapsed="false">
      <c r="A706" s="249"/>
      <c r="B706" s="250"/>
    </row>
    <row r="707" customFormat="false" ht="15.75" hidden="false" customHeight="false" outlineLevel="0" collapsed="false">
      <c r="A707" s="249"/>
      <c r="B707" s="250"/>
    </row>
    <row r="708" customFormat="false" ht="15.75" hidden="false" customHeight="false" outlineLevel="0" collapsed="false">
      <c r="A708" s="249"/>
      <c r="B708" s="250"/>
    </row>
    <row r="709" customFormat="false" ht="15.75" hidden="false" customHeight="false" outlineLevel="0" collapsed="false">
      <c r="A709" s="249"/>
      <c r="B709" s="250"/>
    </row>
    <row r="710" customFormat="false" ht="15.75" hidden="false" customHeight="false" outlineLevel="0" collapsed="false">
      <c r="A710" s="249"/>
      <c r="B710" s="250"/>
    </row>
    <row r="711" customFormat="false" ht="15.75" hidden="false" customHeight="false" outlineLevel="0" collapsed="false">
      <c r="A711" s="249"/>
      <c r="B711" s="250"/>
    </row>
    <row r="712" customFormat="false" ht="15.75" hidden="false" customHeight="false" outlineLevel="0" collapsed="false">
      <c r="A712" s="249"/>
      <c r="B712" s="250"/>
    </row>
    <row r="713" customFormat="false" ht="15.75" hidden="false" customHeight="false" outlineLevel="0" collapsed="false">
      <c r="A713" s="249"/>
      <c r="B713" s="250"/>
    </row>
    <row r="714" customFormat="false" ht="15.75" hidden="false" customHeight="false" outlineLevel="0" collapsed="false">
      <c r="A714" s="249"/>
      <c r="B714" s="250"/>
    </row>
    <row r="715" customFormat="false" ht="15.75" hidden="false" customHeight="false" outlineLevel="0" collapsed="false">
      <c r="A715" s="249"/>
      <c r="B715" s="250"/>
    </row>
    <row r="716" customFormat="false" ht="15.75" hidden="false" customHeight="false" outlineLevel="0" collapsed="false">
      <c r="A716" s="249"/>
      <c r="B716" s="250"/>
    </row>
    <row r="717" customFormat="false" ht="15.75" hidden="false" customHeight="false" outlineLevel="0" collapsed="false">
      <c r="A717" s="249"/>
      <c r="B717" s="250"/>
    </row>
    <row r="718" customFormat="false" ht="15.75" hidden="false" customHeight="false" outlineLevel="0" collapsed="false">
      <c r="A718" s="249"/>
      <c r="B718" s="250"/>
    </row>
    <row r="719" customFormat="false" ht="15.75" hidden="false" customHeight="false" outlineLevel="0" collapsed="false">
      <c r="A719" s="249"/>
      <c r="B719" s="250"/>
    </row>
    <row r="720" customFormat="false" ht="15.75" hidden="false" customHeight="false" outlineLevel="0" collapsed="false">
      <c r="A720" s="249"/>
      <c r="B720" s="250"/>
    </row>
    <row r="721" customFormat="false" ht="15.75" hidden="false" customHeight="false" outlineLevel="0" collapsed="false">
      <c r="A721" s="249"/>
      <c r="B721" s="250"/>
    </row>
    <row r="722" customFormat="false" ht="15.75" hidden="false" customHeight="false" outlineLevel="0" collapsed="false">
      <c r="A722" s="249"/>
      <c r="B722" s="250"/>
    </row>
    <row r="723" customFormat="false" ht="15.75" hidden="false" customHeight="false" outlineLevel="0" collapsed="false">
      <c r="A723" s="249"/>
      <c r="B723" s="250"/>
    </row>
    <row r="724" customFormat="false" ht="15.75" hidden="false" customHeight="false" outlineLevel="0" collapsed="false">
      <c r="A724" s="249"/>
      <c r="B724" s="250"/>
    </row>
    <row r="725" customFormat="false" ht="15.75" hidden="false" customHeight="false" outlineLevel="0" collapsed="false">
      <c r="A725" s="249"/>
      <c r="B725" s="250"/>
    </row>
    <row r="726" customFormat="false" ht="15.75" hidden="false" customHeight="false" outlineLevel="0" collapsed="false">
      <c r="A726" s="249"/>
      <c r="B726" s="250"/>
    </row>
    <row r="727" customFormat="false" ht="15.75" hidden="false" customHeight="false" outlineLevel="0" collapsed="false">
      <c r="A727" s="249"/>
      <c r="B727" s="250"/>
    </row>
    <row r="728" customFormat="false" ht="15.75" hidden="false" customHeight="false" outlineLevel="0" collapsed="false">
      <c r="A728" s="249"/>
      <c r="B728" s="250"/>
    </row>
    <row r="729" customFormat="false" ht="15.75" hidden="false" customHeight="false" outlineLevel="0" collapsed="false">
      <c r="A729" s="249"/>
      <c r="B729" s="250"/>
    </row>
    <row r="730" customFormat="false" ht="15.75" hidden="false" customHeight="false" outlineLevel="0" collapsed="false">
      <c r="A730" s="249"/>
      <c r="B730" s="250"/>
    </row>
    <row r="731" customFormat="false" ht="15.75" hidden="false" customHeight="false" outlineLevel="0" collapsed="false">
      <c r="A731" s="249"/>
      <c r="B731" s="250"/>
    </row>
    <row r="732" customFormat="false" ht="15.75" hidden="false" customHeight="false" outlineLevel="0" collapsed="false">
      <c r="A732" s="249"/>
      <c r="B732" s="250"/>
    </row>
    <row r="733" customFormat="false" ht="15.75" hidden="false" customHeight="false" outlineLevel="0" collapsed="false">
      <c r="A733" s="249"/>
      <c r="B733" s="250"/>
    </row>
    <row r="734" customFormat="false" ht="15.75" hidden="false" customHeight="false" outlineLevel="0" collapsed="false">
      <c r="A734" s="249"/>
      <c r="B734" s="250"/>
    </row>
    <row r="735" customFormat="false" ht="15.75" hidden="false" customHeight="false" outlineLevel="0" collapsed="false">
      <c r="A735" s="249"/>
      <c r="B735" s="250"/>
    </row>
    <row r="736" customFormat="false" ht="15.75" hidden="false" customHeight="false" outlineLevel="0" collapsed="false">
      <c r="A736" s="249"/>
      <c r="B736" s="250"/>
    </row>
    <row r="737" customFormat="false" ht="15.75" hidden="false" customHeight="false" outlineLevel="0" collapsed="false">
      <c r="A737" s="249"/>
      <c r="B737" s="250"/>
    </row>
    <row r="738" customFormat="false" ht="15.75" hidden="false" customHeight="false" outlineLevel="0" collapsed="false">
      <c r="A738" s="249"/>
      <c r="B738" s="250"/>
    </row>
    <row r="739" customFormat="false" ht="15.75" hidden="false" customHeight="false" outlineLevel="0" collapsed="false">
      <c r="A739" s="249"/>
      <c r="B739" s="250"/>
    </row>
    <row r="740" customFormat="false" ht="15.75" hidden="false" customHeight="false" outlineLevel="0" collapsed="false">
      <c r="A740" s="249"/>
      <c r="B740" s="250"/>
    </row>
    <row r="741" customFormat="false" ht="15.75" hidden="false" customHeight="false" outlineLevel="0" collapsed="false">
      <c r="A741" s="249"/>
      <c r="B741" s="250"/>
    </row>
    <row r="742" customFormat="false" ht="15.75" hidden="false" customHeight="false" outlineLevel="0" collapsed="false">
      <c r="A742" s="249"/>
      <c r="B742" s="250"/>
    </row>
    <row r="743" customFormat="false" ht="15.75" hidden="false" customHeight="false" outlineLevel="0" collapsed="false">
      <c r="A743" s="249"/>
      <c r="B743" s="250"/>
    </row>
    <row r="744" customFormat="false" ht="15.75" hidden="false" customHeight="false" outlineLevel="0" collapsed="false">
      <c r="A744" s="249"/>
      <c r="B744" s="250"/>
    </row>
    <row r="745" customFormat="false" ht="15.75" hidden="false" customHeight="false" outlineLevel="0" collapsed="false">
      <c r="A745" s="249"/>
      <c r="B745" s="250"/>
    </row>
    <row r="746" customFormat="false" ht="15.75" hidden="false" customHeight="false" outlineLevel="0" collapsed="false">
      <c r="A746" s="249"/>
      <c r="B746" s="250"/>
    </row>
    <row r="747" customFormat="false" ht="15.75" hidden="false" customHeight="false" outlineLevel="0" collapsed="false">
      <c r="A747" s="249"/>
      <c r="B747" s="250"/>
    </row>
    <row r="748" customFormat="false" ht="15.75" hidden="false" customHeight="false" outlineLevel="0" collapsed="false">
      <c r="A748" s="249"/>
      <c r="B748" s="250"/>
    </row>
    <row r="749" customFormat="false" ht="15.75" hidden="false" customHeight="false" outlineLevel="0" collapsed="false">
      <c r="A749" s="249"/>
      <c r="B749" s="250"/>
    </row>
    <row r="750" customFormat="false" ht="15.75" hidden="false" customHeight="false" outlineLevel="0" collapsed="false">
      <c r="A750" s="249"/>
      <c r="B750" s="250"/>
    </row>
    <row r="751" customFormat="false" ht="15.75" hidden="false" customHeight="false" outlineLevel="0" collapsed="false">
      <c r="A751" s="249"/>
      <c r="B751" s="250"/>
    </row>
    <row r="752" customFormat="false" ht="15.75" hidden="false" customHeight="false" outlineLevel="0" collapsed="false">
      <c r="A752" s="249"/>
      <c r="B752" s="250"/>
    </row>
    <row r="753" customFormat="false" ht="15.75" hidden="false" customHeight="false" outlineLevel="0" collapsed="false">
      <c r="A753" s="249"/>
      <c r="B753" s="250"/>
    </row>
    <row r="754" customFormat="false" ht="15.75" hidden="false" customHeight="false" outlineLevel="0" collapsed="false">
      <c r="A754" s="249"/>
      <c r="B754" s="250"/>
    </row>
    <row r="755" customFormat="false" ht="15.75" hidden="false" customHeight="false" outlineLevel="0" collapsed="false">
      <c r="A755" s="249"/>
      <c r="B755" s="250"/>
    </row>
    <row r="756" customFormat="false" ht="15.75" hidden="false" customHeight="false" outlineLevel="0" collapsed="false">
      <c r="A756" s="249"/>
      <c r="B756" s="250"/>
    </row>
    <row r="757" customFormat="false" ht="15.75" hidden="false" customHeight="false" outlineLevel="0" collapsed="false">
      <c r="A757" s="249"/>
      <c r="B757" s="250"/>
    </row>
    <row r="758" customFormat="false" ht="15.75" hidden="false" customHeight="false" outlineLevel="0" collapsed="false">
      <c r="A758" s="249"/>
      <c r="B758" s="250"/>
    </row>
    <row r="759" customFormat="false" ht="15.75" hidden="false" customHeight="false" outlineLevel="0" collapsed="false">
      <c r="A759" s="249"/>
      <c r="B759" s="250"/>
    </row>
    <row r="760" customFormat="false" ht="15.75" hidden="false" customHeight="false" outlineLevel="0" collapsed="false">
      <c r="A760" s="249"/>
      <c r="B760" s="250"/>
    </row>
    <row r="761" customFormat="false" ht="15.75" hidden="false" customHeight="false" outlineLevel="0" collapsed="false">
      <c r="A761" s="249"/>
      <c r="B761" s="250"/>
    </row>
    <row r="762" customFormat="false" ht="15.75" hidden="false" customHeight="false" outlineLevel="0" collapsed="false">
      <c r="A762" s="249"/>
      <c r="B762" s="250"/>
    </row>
    <row r="763" customFormat="false" ht="15.75" hidden="false" customHeight="false" outlineLevel="0" collapsed="false">
      <c r="A763" s="249"/>
      <c r="B763" s="250"/>
    </row>
    <row r="764" customFormat="false" ht="15.75" hidden="false" customHeight="false" outlineLevel="0" collapsed="false">
      <c r="A764" s="249"/>
      <c r="B764" s="250"/>
    </row>
    <row r="765" customFormat="false" ht="15.75" hidden="false" customHeight="false" outlineLevel="0" collapsed="false">
      <c r="A765" s="249"/>
      <c r="B765" s="250"/>
    </row>
    <row r="766" customFormat="false" ht="15.75" hidden="false" customHeight="false" outlineLevel="0" collapsed="false">
      <c r="A766" s="249"/>
      <c r="B766" s="250"/>
    </row>
    <row r="767" customFormat="false" ht="15.75" hidden="false" customHeight="false" outlineLevel="0" collapsed="false">
      <c r="A767" s="249"/>
      <c r="B767" s="250"/>
    </row>
    <row r="768" customFormat="false" ht="15.75" hidden="false" customHeight="false" outlineLevel="0" collapsed="false">
      <c r="A768" s="249"/>
      <c r="B768" s="250"/>
    </row>
    <row r="769" customFormat="false" ht="15.75" hidden="false" customHeight="false" outlineLevel="0" collapsed="false">
      <c r="A769" s="249"/>
      <c r="B769" s="250"/>
    </row>
    <row r="770" customFormat="false" ht="15.75" hidden="false" customHeight="false" outlineLevel="0" collapsed="false">
      <c r="A770" s="249"/>
      <c r="B770" s="250"/>
    </row>
    <row r="771" customFormat="false" ht="15.75" hidden="false" customHeight="false" outlineLevel="0" collapsed="false">
      <c r="A771" s="249"/>
      <c r="B771" s="250"/>
    </row>
    <row r="772" customFormat="false" ht="15.75" hidden="false" customHeight="false" outlineLevel="0" collapsed="false">
      <c r="A772" s="249"/>
      <c r="B772" s="250"/>
    </row>
    <row r="773" customFormat="false" ht="15.75" hidden="false" customHeight="false" outlineLevel="0" collapsed="false">
      <c r="A773" s="249"/>
      <c r="B773" s="250"/>
    </row>
    <row r="774" customFormat="false" ht="15.75" hidden="false" customHeight="false" outlineLevel="0" collapsed="false">
      <c r="A774" s="249"/>
      <c r="B774" s="250"/>
    </row>
    <row r="775" customFormat="false" ht="15.75" hidden="false" customHeight="false" outlineLevel="0" collapsed="false">
      <c r="A775" s="249"/>
      <c r="B775" s="250"/>
    </row>
    <row r="776" customFormat="false" ht="15.75" hidden="false" customHeight="false" outlineLevel="0" collapsed="false">
      <c r="A776" s="249"/>
      <c r="B776" s="250"/>
    </row>
    <row r="777" customFormat="false" ht="15.75" hidden="false" customHeight="false" outlineLevel="0" collapsed="false">
      <c r="A777" s="249"/>
      <c r="B777" s="250"/>
    </row>
    <row r="778" customFormat="false" ht="15.75" hidden="false" customHeight="false" outlineLevel="0" collapsed="false">
      <c r="A778" s="249"/>
      <c r="B778" s="250"/>
    </row>
    <row r="779" customFormat="false" ht="15.75" hidden="false" customHeight="false" outlineLevel="0" collapsed="false">
      <c r="A779" s="249"/>
      <c r="B779" s="250"/>
    </row>
    <row r="780" customFormat="false" ht="15.75" hidden="false" customHeight="false" outlineLevel="0" collapsed="false">
      <c r="A780" s="249"/>
      <c r="B780" s="250"/>
    </row>
    <row r="781" customFormat="false" ht="15.75" hidden="false" customHeight="false" outlineLevel="0" collapsed="false">
      <c r="A781" s="249"/>
      <c r="B781" s="250"/>
    </row>
    <row r="782" customFormat="false" ht="15.75" hidden="false" customHeight="false" outlineLevel="0" collapsed="false">
      <c r="A782" s="249"/>
      <c r="B782" s="250"/>
    </row>
    <row r="783" customFormat="false" ht="15.75" hidden="false" customHeight="false" outlineLevel="0" collapsed="false">
      <c r="A783" s="249"/>
      <c r="B783" s="250"/>
    </row>
    <row r="784" customFormat="false" ht="15.75" hidden="false" customHeight="false" outlineLevel="0" collapsed="false">
      <c r="A784" s="249"/>
      <c r="B784" s="250"/>
    </row>
    <row r="785" customFormat="false" ht="15.75" hidden="false" customHeight="false" outlineLevel="0" collapsed="false">
      <c r="A785" s="249"/>
      <c r="B785" s="250"/>
    </row>
    <row r="786" customFormat="false" ht="15.75" hidden="false" customHeight="false" outlineLevel="0" collapsed="false">
      <c r="A786" s="249"/>
      <c r="B786" s="250"/>
    </row>
    <row r="787" customFormat="false" ht="15.75" hidden="false" customHeight="false" outlineLevel="0" collapsed="false">
      <c r="A787" s="249"/>
      <c r="B787" s="250"/>
    </row>
    <row r="788" customFormat="false" ht="15.75" hidden="false" customHeight="false" outlineLevel="0" collapsed="false">
      <c r="A788" s="249"/>
      <c r="B788" s="250"/>
    </row>
    <row r="789" customFormat="false" ht="15.75" hidden="false" customHeight="false" outlineLevel="0" collapsed="false">
      <c r="A789" s="249"/>
      <c r="B789" s="250"/>
    </row>
    <row r="790" customFormat="false" ht="15.75" hidden="false" customHeight="false" outlineLevel="0" collapsed="false">
      <c r="A790" s="249"/>
      <c r="B790" s="250"/>
    </row>
    <row r="791" customFormat="false" ht="15.75" hidden="false" customHeight="false" outlineLevel="0" collapsed="false">
      <c r="A791" s="249"/>
      <c r="B791" s="250"/>
    </row>
    <row r="792" customFormat="false" ht="15.75" hidden="false" customHeight="false" outlineLevel="0" collapsed="false">
      <c r="A792" s="249"/>
      <c r="B792" s="250"/>
    </row>
    <row r="793" customFormat="false" ht="15.75" hidden="false" customHeight="false" outlineLevel="0" collapsed="false">
      <c r="A793" s="249"/>
      <c r="B793" s="250"/>
    </row>
    <row r="794" customFormat="false" ht="15.75" hidden="false" customHeight="false" outlineLevel="0" collapsed="false">
      <c r="A794" s="249"/>
      <c r="B794" s="250"/>
    </row>
    <row r="795" customFormat="false" ht="15.75" hidden="false" customHeight="false" outlineLevel="0" collapsed="false">
      <c r="A795" s="249"/>
      <c r="B795" s="250"/>
    </row>
    <row r="796" customFormat="false" ht="15.75" hidden="false" customHeight="false" outlineLevel="0" collapsed="false">
      <c r="A796" s="249"/>
      <c r="B796" s="250"/>
    </row>
    <row r="797" customFormat="false" ht="15.75" hidden="false" customHeight="false" outlineLevel="0" collapsed="false">
      <c r="A797" s="249"/>
      <c r="B797" s="250"/>
    </row>
    <row r="798" customFormat="false" ht="15.75" hidden="false" customHeight="false" outlineLevel="0" collapsed="false">
      <c r="A798" s="249"/>
      <c r="B798" s="250"/>
    </row>
    <row r="799" customFormat="false" ht="15.75" hidden="false" customHeight="false" outlineLevel="0" collapsed="false">
      <c r="A799" s="249"/>
      <c r="B799" s="250"/>
    </row>
    <row r="800" customFormat="false" ht="15.75" hidden="false" customHeight="false" outlineLevel="0" collapsed="false">
      <c r="A800" s="249"/>
      <c r="B800" s="250"/>
    </row>
    <row r="801" customFormat="false" ht="15.75" hidden="false" customHeight="false" outlineLevel="0" collapsed="false">
      <c r="A801" s="249"/>
      <c r="B801" s="250"/>
    </row>
    <row r="802" customFormat="false" ht="15.75" hidden="false" customHeight="false" outlineLevel="0" collapsed="false">
      <c r="A802" s="249"/>
      <c r="B802" s="250"/>
    </row>
    <row r="803" customFormat="false" ht="15.75" hidden="false" customHeight="false" outlineLevel="0" collapsed="false">
      <c r="A803" s="249"/>
      <c r="B803" s="250"/>
    </row>
    <row r="804" customFormat="false" ht="15.75" hidden="false" customHeight="false" outlineLevel="0" collapsed="false">
      <c r="A804" s="249"/>
      <c r="B804" s="250"/>
    </row>
    <row r="805" customFormat="false" ht="15.75" hidden="false" customHeight="false" outlineLevel="0" collapsed="false">
      <c r="A805" s="249"/>
      <c r="B805" s="250"/>
    </row>
    <row r="806" customFormat="false" ht="15.75" hidden="false" customHeight="false" outlineLevel="0" collapsed="false">
      <c r="A806" s="249"/>
      <c r="B806" s="250"/>
    </row>
    <row r="807" customFormat="false" ht="15.75" hidden="false" customHeight="false" outlineLevel="0" collapsed="false">
      <c r="A807" s="249"/>
      <c r="B807" s="250"/>
    </row>
    <row r="808" customFormat="false" ht="15.75" hidden="false" customHeight="false" outlineLevel="0" collapsed="false">
      <c r="A808" s="249"/>
      <c r="B808" s="250"/>
    </row>
    <row r="809" customFormat="false" ht="15.75" hidden="false" customHeight="false" outlineLevel="0" collapsed="false">
      <c r="A809" s="249"/>
      <c r="B809" s="250"/>
    </row>
    <row r="810" customFormat="false" ht="15.75" hidden="false" customHeight="false" outlineLevel="0" collapsed="false">
      <c r="A810" s="249"/>
      <c r="B810" s="250"/>
    </row>
    <row r="811" customFormat="false" ht="15.75" hidden="false" customHeight="false" outlineLevel="0" collapsed="false">
      <c r="A811" s="249"/>
      <c r="B811" s="250"/>
    </row>
    <row r="812" customFormat="false" ht="15.75" hidden="false" customHeight="false" outlineLevel="0" collapsed="false">
      <c r="A812" s="249"/>
      <c r="B812" s="250"/>
    </row>
    <row r="813" customFormat="false" ht="15.75" hidden="false" customHeight="false" outlineLevel="0" collapsed="false">
      <c r="A813" s="249"/>
      <c r="B813" s="250"/>
    </row>
    <row r="814" customFormat="false" ht="15.75" hidden="false" customHeight="false" outlineLevel="0" collapsed="false">
      <c r="A814" s="249"/>
      <c r="B814" s="250"/>
    </row>
    <row r="815" customFormat="false" ht="15.75" hidden="false" customHeight="false" outlineLevel="0" collapsed="false">
      <c r="A815" s="249"/>
      <c r="B815" s="250"/>
    </row>
    <row r="816" customFormat="false" ht="15.75" hidden="false" customHeight="false" outlineLevel="0" collapsed="false">
      <c r="A816" s="249"/>
      <c r="B816" s="250"/>
    </row>
    <row r="817" customFormat="false" ht="15.75" hidden="false" customHeight="false" outlineLevel="0" collapsed="false">
      <c r="A817" s="249"/>
      <c r="B817" s="250"/>
    </row>
    <row r="818" customFormat="false" ht="15.75" hidden="false" customHeight="false" outlineLevel="0" collapsed="false">
      <c r="A818" s="249"/>
      <c r="B818" s="250"/>
    </row>
    <row r="819" customFormat="false" ht="15.75" hidden="false" customHeight="false" outlineLevel="0" collapsed="false">
      <c r="A819" s="249"/>
      <c r="B819" s="250"/>
    </row>
    <row r="820" customFormat="false" ht="15.75" hidden="false" customHeight="false" outlineLevel="0" collapsed="false">
      <c r="A820" s="249"/>
      <c r="B820" s="250"/>
    </row>
    <row r="821" customFormat="false" ht="15.75" hidden="false" customHeight="false" outlineLevel="0" collapsed="false">
      <c r="A821" s="249"/>
      <c r="B821" s="250"/>
    </row>
    <row r="822" customFormat="false" ht="15.75" hidden="false" customHeight="false" outlineLevel="0" collapsed="false">
      <c r="A822" s="249"/>
      <c r="B822" s="250"/>
    </row>
    <row r="823" customFormat="false" ht="15.75" hidden="false" customHeight="false" outlineLevel="0" collapsed="false">
      <c r="A823" s="249"/>
      <c r="B823" s="250"/>
    </row>
    <row r="824" customFormat="false" ht="15.75" hidden="false" customHeight="false" outlineLevel="0" collapsed="false">
      <c r="A824" s="249"/>
      <c r="B824" s="250"/>
    </row>
    <row r="825" customFormat="false" ht="15.75" hidden="false" customHeight="false" outlineLevel="0" collapsed="false">
      <c r="A825" s="249"/>
      <c r="B825" s="250"/>
    </row>
    <row r="826" customFormat="false" ht="15.75" hidden="false" customHeight="false" outlineLevel="0" collapsed="false">
      <c r="A826" s="249"/>
      <c r="B826" s="250"/>
    </row>
    <row r="827" customFormat="false" ht="15.75" hidden="false" customHeight="false" outlineLevel="0" collapsed="false">
      <c r="A827" s="249"/>
      <c r="B827" s="250"/>
    </row>
    <row r="828" customFormat="false" ht="15.75" hidden="false" customHeight="false" outlineLevel="0" collapsed="false">
      <c r="A828" s="249"/>
      <c r="B828" s="250"/>
    </row>
    <row r="829" customFormat="false" ht="15.75" hidden="false" customHeight="false" outlineLevel="0" collapsed="false">
      <c r="A829" s="249"/>
      <c r="B829" s="250"/>
    </row>
    <row r="830" customFormat="false" ht="15.75" hidden="false" customHeight="false" outlineLevel="0" collapsed="false">
      <c r="A830" s="249"/>
      <c r="B830" s="250"/>
    </row>
    <row r="831" customFormat="false" ht="15.75" hidden="false" customHeight="false" outlineLevel="0" collapsed="false">
      <c r="A831" s="249"/>
      <c r="B831" s="250"/>
    </row>
    <row r="832" customFormat="false" ht="15.75" hidden="false" customHeight="false" outlineLevel="0" collapsed="false">
      <c r="A832" s="249"/>
      <c r="B832" s="250"/>
    </row>
    <row r="833" customFormat="false" ht="15.75" hidden="false" customHeight="false" outlineLevel="0" collapsed="false">
      <c r="A833" s="249"/>
      <c r="B833" s="250"/>
    </row>
    <row r="834" customFormat="false" ht="15.75" hidden="false" customHeight="false" outlineLevel="0" collapsed="false">
      <c r="A834" s="249"/>
      <c r="B834" s="250"/>
    </row>
    <row r="835" customFormat="false" ht="15.75" hidden="false" customHeight="false" outlineLevel="0" collapsed="false">
      <c r="A835" s="249"/>
      <c r="B835" s="250"/>
    </row>
    <row r="836" customFormat="false" ht="15.75" hidden="false" customHeight="false" outlineLevel="0" collapsed="false">
      <c r="A836" s="249"/>
      <c r="B836" s="250"/>
    </row>
    <row r="837" customFormat="false" ht="15.75" hidden="false" customHeight="false" outlineLevel="0" collapsed="false">
      <c r="A837" s="249"/>
      <c r="B837" s="250"/>
    </row>
    <row r="838" customFormat="false" ht="15.75" hidden="false" customHeight="false" outlineLevel="0" collapsed="false">
      <c r="A838" s="249"/>
      <c r="B838" s="250"/>
    </row>
    <row r="839" customFormat="false" ht="15.75" hidden="false" customHeight="false" outlineLevel="0" collapsed="false">
      <c r="A839" s="249"/>
      <c r="B839" s="250"/>
    </row>
    <row r="840" customFormat="false" ht="15.75" hidden="false" customHeight="false" outlineLevel="0" collapsed="false">
      <c r="A840" s="249"/>
      <c r="B840" s="250"/>
    </row>
    <row r="841" customFormat="false" ht="15.75" hidden="false" customHeight="false" outlineLevel="0" collapsed="false">
      <c r="A841" s="249"/>
      <c r="B841" s="250"/>
    </row>
    <row r="842" customFormat="false" ht="15.75" hidden="false" customHeight="false" outlineLevel="0" collapsed="false">
      <c r="A842" s="249"/>
      <c r="B842" s="250"/>
    </row>
    <row r="843" customFormat="false" ht="15.75" hidden="false" customHeight="false" outlineLevel="0" collapsed="false">
      <c r="A843" s="249"/>
      <c r="B843" s="250"/>
    </row>
    <row r="844" customFormat="false" ht="15.75" hidden="false" customHeight="false" outlineLevel="0" collapsed="false">
      <c r="A844" s="249"/>
      <c r="B844" s="250"/>
    </row>
    <row r="845" customFormat="false" ht="15.75" hidden="false" customHeight="false" outlineLevel="0" collapsed="false">
      <c r="A845" s="249"/>
      <c r="B845" s="250"/>
    </row>
    <row r="846" customFormat="false" ht="15.75" hidden="false" customHeight="false" outlineLevel="0" collapsed="false">
      <c r="A846" s="249"/>
      <c r="B846" s="250"/>
    </row>
    <row r="847" customFormat="false" ht="15.75" hidden="false" customHeight="false" outlineLevel="0" collapsed="false">
      <c r="A847" s="249"/>
      <c r="B847" s="250"/>
    </row>
    <row r="848" customFormat="false" ht="15.75" hidden="false" customHeight="false" outlineLevel="0" collapsed="false">
      <c r="A848" s="249"/>
      <c r="B848" s="250"/>
    </row>
    <row r="849" customFormat="false" ht="15.75" hidden="false" customHeight="false" outlineLevel="0" collapsed="false">
      <c r="A849" s="249"/>
      <c r="B849" s="250"/>
    </row>
    <row r="850" customFormat="false" ht="15.75" hidden="false" customHeight="false" outlineLevel="0" collapsed="false">
      <c r="A850" s="249"/>
      <c r="B850" s="250"/>
    </row>
    <row r="851" customFormat="false" ht="15.75" hidden="false" customHeight="false" outlineLevel="0" collapsed="false">
      <c r="A851" s="249"/>
      <c r="B851" s="250"/>
    </row>
    <row r="852" customFormat="false" ht="15.75" hidden="false" customHeight="false" outlineLevel="0" collapsed="false">
      <c r="A852" s="249"/>
      <c r="B852" s="250"/>
    </row>
    <row r="853" customFormat="false" ht="15.75" hidden="false" customHeight="false" outlineLevel="0" collapsed="false">
      <c r="A853" s="249"/>
      <c r="B853" s="250"/>
    </row>
    <row r="854" customFormat="false" ht="15.75" hidden="false" customHeight="false" outlineLevel="0" collapsed="false">
      <c r="A854" s="249"/>
      <c r="B854" s="250"/>
    </row>
    <row r="855" customFormat="false" ht="15.75" hidden="false" customHeight="false" outlineLevel="0" collapsed="false">
      <c r="A855" s="249"/>
      <c r="B855" s="250"/>
    </row>
    <row r="856" customFormat="false" ht="15.75" hidden="false" customHeight="false" outlineLevel="0" collapsed="false">
      <c r="A856" s="249"/>
      <c r="B856" s="250"/>
    </row>
    <row r="857" customFormat="false" ht="15.75" hidden="false" customHeight="false" outlineLevel="0" collapsed="false">
      <c r="A857" s="249"/>
      <c r="B857" s="250"/>
    </row>
    <row r="858" customFormat="false" ht="15.75" hidden="false" customHeight="false" outlineLevel="0" collapsed="false">
      <c r="A858" s="249"/>
      <c r="B858" s="250"/>
    </row>
    <row r="859" customFormat="false" ht="15.75" hidden="false" customHeight="false" outlineLevel="0" collapsed="false">
      <c r="A859" s="249"/>
      <c r="B859" s="250"/>
    </row>
    <row r="860" customFormat="false" ht="15.75" hidden="false" customHeight="false" outlineLevel="0" collapsed="false">
      <c r="A860" s="249"/>
      <c r="B860" s="250"/>
    </row>
    <row r="861" customFormat="false" ht="15.75" hidden="false" customHeight="false" outlineLevel="0" collapsed="false">
      <c r="A861" s="249"/>
      <c r="B861" s="250"/>
    </row>
    <row r="862" customFormat="false" ht="15.75" hidden="false" customHeight="false" outlineLevel="0" collapsed="false">
      <c r="A862" s="249"/>
      <c r="B862" s="250"/>
    </row>
    <row r="863" customFormat="false" ht="15.75" hidden="false" customHeight="false" outlineLevel="0" collapsed="false">
      <c r="A863" s="249"/>
      <c r="B863" s="250"/>
    </row>
    <row r="864" customFormat="false" ht="15.75" hidden="false" customHeight="false" outlineLevel="0" collapsed="false">
      <c r="A864" s="249"/>
      <c r="B864" s="250"/>
    </row>
    <row r="865" customFormat="false" ht="15.75" hidden="false" customHeight="false" outlineLevel="0" collapsed="false">
      <c r="A865" s="249"/>
      <c r="B865" s="250"/>
    </row>
    <row r="866" customFormat="false" ht="15.75" hidden="false" customHeight="false" outlineLevel="0" collapsed="false">
      <c r="A866" s="249"/>
      <c r="B866" s="250"/>
    </row>
    <row r="867" customFormat="false" ht="15.75" hidden="false" customHeight="false" outlineLevel="0" collapsed="false">
      <c r="A867" s="249"/>
      <c r="B867" s="250"/>
    </row>
    <row r="868" customFormat="false" ht="15.75" hidden="false" customHeight="false" outlineLevel="0" collapsed="false">
      <c r="A868" s="249"/>
      <c r="B868" s="250"/>
    </row>
    <row r="869" customFormat="false" ht="15.75" hidden="false" customHeight="false" outlineLevel="0" collapsed="false">
      <c r="A869" s="249"/>
      <c r="B869" s="250"/>
    </row>
    <row r="870" customFormat="false" ht="15.75" hidden="false" customHeight="false" outlineLevel="0" collapsed="false">
      <c r="A870" s="249"/>
      <c r="B870" s="250"/>
    </row>
    <row r="871" customFormat="false" ht="15.75" hidden="false" customHeight="false" outlineLevel="0" collapsed="false">
      <c r="A871" s="249"/>
      <c r="B871" s="250"/>
    </row>
    <row r="872" customFormat="false" ht="15.75" hidden="false" customHeight="false" outlineLevel="0" collapsed="false">
      <c r="A872" s="249"/>
      <c r="B872" s="250"/>
    </row>
    <row r="873" customFormat="false" ht="15.75" hidden="false" customHeight="false" outlineLevel="0" collapsed="false">
      <c r="A873" s="249"/>
      <c r="B873" s="250"/>
    </row>
    <row r="874" customFormat="false" ht="15.75" hidden="false" customHeight="false" outlineLevel="0" collapsed="false">
      <c r="A874" s="249"/>
      <c r="B874" s="250"/>
    </row>
    <row r="875" customFormat="false" ht="15.75" hidden="false" customHeight="false" outlineLevel="0" collapsed="false">
      <c r="A875" s="249"/>
      <c r="B875" s="250"/>
    </row>
    <row r="876" customFormat="false" ht="15.75" hidden="false" customHeight="false" outlineLevel="0" collapsed="false">
      <c r="A876" s="249"/>
      <c r="B876" s="250"/>
    </row>
    <row r="877" customFormat="false" ht="15.75" hidden="false" customHeight="false" outlineLevel="0" collapsed="false">
      <c r="A877" s="249"/>
      <c r="B877" s="250"/>
    </row>
    <row r="878" customFormat="false" ht="15.75" hidden="false" customHeight="false" outlineLevel="0" collapsed="false">
      <c r="A878" s="249"/>
      <c r="B878" s="250"/>
    </row>
    <row r="879" customFormat="false" ht="15.75" hidden="false" customHeight="false" outlineLevel="0" collapsed="false">
      <c r="A879" s="249"/>
      <c r="B879" s="250"/>
    </row>
    <row r="880" customFormat="false" ht="15.75" hidden="false" customHeight="false" outlineLevel="0" collapsed="false">
      <c r="A880" s="249"/>
      <c r="B880" s="250"/>
    </row>
    <row r="881" customFormat="false" ht="15.75" hidden="false" customHeight="false" outlineLevel="0" collapsed="false">
      <c r="A881" s="249"/>
      <c r="B881" s="250"/>
    </row>
    <row r="882" customFormat="false" ht="15.75" hidden="false" customHeight="false" outlineLevel="0" collapsed="false">
      <c r="A882" s="249"/>
      <c r="B882" s="250"/>
    </row>
    <row r="883" customFormat="false" ht="15.75" hidden="false" customHeight="false" outlineLevel="0" collapsed="false">
      <c r="A883" s="249"/>
      <c r="B883" s="250"/>
    </row>
    <row r="884" customFormat="false" ht="15.75" hidden="false" customHeight="false" outlineLevel="0" collapsed="false">
      <c r="A884" s="249"/>
      <c r="B884" s="250"/>
    </row>
    <row r="885" customFormat="false" ht="15.75" hidden="false" customHeight="false" outlineLevel="0" collapsed="false">
      <c r="A885" s="249"/>
      <c r="B885" s="250"/>
    </row>
    <row r="886" customFormat="false" ht="15.75" hidden="false" customHeight="false" outlineLevel="0" collapsed="false">
      <c r="A886" s="249"/>
      <c r="B886" s="250"/>
    </row>
    <row r="887" customFormat="false" ht="15.75" hidden="false" customHeight="false" outlineLevel="0" collapsed="false">
      <c r="A887" s="249"/>
      <c r="B887" s="250"/>
    </row>
    <row r="888" customFormat="false" ht="15.75" hidden="false" customHeight="false" outlineLevel="0" collapsed="false">
      <c r="A888" s="249"/>
      <c r="B888" s="250"/>
    </row>
    <row r="889" customFormat="false" ht="15.75" hidden="false" customHeight="false" outlineLevel="0" collapsed="false">
      <c r="A889" s="249"/>
      <c r="B889" s="250"/>
    </row>
    <row r="890" customFormat="false" ht="15.75" hidden="false" customHeight="false" outlineLevel="0" collapsed="false">
      <c r="A890" s="249"/>
      <c r="B890" s="250"/>
    </row>
    <row r="891" customFormat="false" ht="15.75" hidden="false" customHeight="false" outlineLevel="0" collapsed="false">
      <c r="A891" s="249"/>
      <c r="B891" s="250"/>
    </row>
    <row r="892" customFormat="false" ht="15.75" hidden="false" customHeight="false" outlineLevel="0" collapsed="false">
      <c r="A892" s="249"/>
      <c r="B892" s="250"/>
    </row>
    <row r="893" customFormat="false" ht="15.75" hidden="false" customHeight="false" outlineLevel="0" collapsed="false">
      <c r="A893" s="249"/>
      <c r="B893" s="250"/>
    </row>
    <row r="894" customFormat="false" ht="15.75" hidden="false" customHeight="false" outlineLevel="0" collapsed="false">
      <c r="A894" s="249"/>
      <c r="B894" s="250"/>
    </row>
    <row r="895" customFormat="false" ht="15.75" hidden="false" customHeight="false" outlineLevel="0" collapsed="false">
      <c r="A895" s="249"/>
      <c r="B895" s="250"/>
    </row>
    <row r="896" customFormat="false" ht="15.75" hidden="false" customHeight="false" outlineLevel="0" collapsed="false">
      <c r="A896" s="249"/>
      <c r="B896" s="250"/>
    </row>
    <row r="897" customFormat="false" ht="15.75" hidden="false" customHeight="false" outlineLevel="0" collapsed="false">
      <c r="A897" s="249"/>
      <c r="B897" s="250"/>
    </row>
    <row r="898" customFormat="false" ht="15.75" hidden="false" customHeight="false" outlineLevel="0" collapsed="false">
      <c r="A898" s="249"/>
      <c r="B898" s="250"/>
    </row>
    <row r="899" customFormat="false" ht="15.75" hidden="false" customHeight="false" outlineLevel="0" collapsed="false">
      <c r="A899" s="249"/>
      <c r="B899" s="250"/>
    </row>
    <row r="900" customFormat="false" ht="15.75" hidden="false" customHeight="false" outlineLevel="0" collapsed="false">
      <c r="A900" s="249"/>
      <c r="B900" s="250"/>
    </row>
    <row r="901" customFormat="false" ht="15.75" hidden="false" customHeight="false" outlineLevel="0" collapsed="false">
      <c r="A901" s="249"/>
      <c r="B901" s="250"/>
    </row>
    <row r="902" customFormat="false" ht="15.75" hidden="false" customHeight="false" outlineLevel="0" collapsed="false">
      <c r="A902" s="249"/>
      <c r="B902" s="250"/>
    </row>
    <row r="903" customFormat="false" ht="15.75" hidden="false" customHeight="false" outlineLevel="0" collapsed="false">
      <c r="A903" s="249"/>
      <c r="B903" s="250"/>
    </row>
    <row r="904" customFormat="false" ht="15.75" hidden="false" customHeight="false" outlineLevel="0" collapsed="false">
      <c r="A904" s="249"/>
      <c r="B904" s="250"/>
    </row>
    <row r="905" customFormat="false" ht="15.75" hidden="false" customHeight="false" outlineLevel="0" collapsed="false">
      <c r="A905" s="249"/>
      <c r="B905" s="250"/>
    </row>
    <row r="906" customFormat="false" ht="15.75" hidden="false" customHeight="false" outlineLevel="0" collapsed="false">
      <c r="A906" s="249"/>
      <c r="B906" s="250"/>
    </row>
    <row r="907" customFormat="false" ht="15.75" hidden="false" customHeight="false" outlineLevel="0" collapsed="false">
      <c r="A907" s="249"/>
      <c r="B907" s="250"/>
    </row>
    <row r="908" customFormat="false" ht="15.75" hidden="false" customHeight="false" outlineLevel="0" collapsed="false">
      <c r="A908" s="249"/>
      <c r="B908" s="250"/>
    </row>
    <row r="909" customFormat="false" ht="15.75" hidden="false" customHeight="false" outlineLevel="0" collapsed="false">
      <c r="A909" s="249"/>
      <c r="B909" s="250"/>
    </row>
    <row r="910" customFormat="false" ht="15.75" hidden="false" customHeight="false" outlineLevel="0" collapsed="false">
      <c r="A910" s="249"/>
      <c r="B910" s="250"/>
    </row>
    <row r="911" customFormat="false" ht="15.75" hidden="false" customHeight="false" outlineLevel="0" collapsed="false">
      <c r="A911" s="249"/>
      <c r="B911" s="250"/>
    </row>
    <row r="912" customFormat="false" ht="15.75" hidden="false" customHeight="false" outlineLevel="0" collapsed="false">
      <c r="A912" s="249"/>
      <c r="B912" s="250"/>
    </row>
    <row r="913" customFormat="false" ht="15.75" hidden="false" customHeight="false" outlineLevel="0" collapsed="false">
      <c r="A913" s="249"/>
      <c r="B913" s="250"/>
    </row>
    <row r="914" customFormat="false" ht="15.75" hidden="false" customHeight="false" outlineLevel="0" collapsed="false">
      <c r="A914" s="249"/>
      <c r="B914" s="250"/>
    </row>
    <row r="915" customFormat="false" ht="15.75" hidden="false" customHeight="false" outlineLevel="0" collapsed="false">
      <c r="A915" s="249"/>
      <c r="B915" s="250"/>
    </row>
    <row r="916" customFormat="false" ht="15.75" hidden="false" customHeight="false" outlineLevel="0" collapsed="false">
      <c r="A916" s="249"/>
      <c r="B916" s="250"/>
    </row>
    <row r="917" customFormat="false" ht="15.75" hidden="false" customHeight="false" outlineLevel="0" collapsed="false">
      <c r="A917" s="249"/>
      <c r="B917" s="250"/>
    </row>
    <row r="918" customFormat="false" ht="15.75" hidden="false" customHeight="false" outlineLevel="0" collapsed="false">
      <c r="A918" s="249"/>
      <c r="B918" s="250"/>
    </row>
    <row r="919" customFormat="false" ht="15.75" hidden="false" customHeight="false" outlineLevel="0" collapsed="false">
      <c r="A919" s="249"/>
      <c r="B919" s="250"/>
    </row>
    <row r="920" customFormat="false" ht="15.75" hidden="false" customHeight="false" outlineLevel="0" collapsed="false">
      <c r="A920" s="249"/>
      <c r="B920" s="250"/>
    </row>
    <row r="921" customFormat="false" ht="15.75" hidden="false" customHeight="false" outlineLevel="0" collapsed="false">
      <c r="A921" s="249"/>
      <c r="B921" s="250"/>
    </row>
    <row r="922" customFormat="false" ht="15.75" hidden="false" customHeight="false" outlineLevel="0" collapsed="false">
      <c r="A922" s="249"/>
      <c r="B922" s="250"/>
    </row>
    <row r="923" customFormat="false" ht="15.75" hidden="false" customHeight="false" outlineLevel="0" collapsed="false">
      <c r="A923" s="249"/>
      <c r="B923" s="250"/>
    </row>
    <row r="924" customFormat="false" ht="15.75" hidden="false" customHeight="false" outlineLevel="0" collapsed="false">
      <c r="A924" s="249"/>
      <c r="B924" s="250"/>
    </row>
    <row r="925" customFormat="false" ht="15.75" hidden="false" customHeight="false" outlineLevel="0" collapsed="false">
      <c r="A925" s="249"/>
      <c r="B925" s="250"/>
    </row>
    <row r="926" customFormat="false" ht="15.75" hidden="false" customHeight="false" outlineLevel="0" collapsed="false">
      <c r="A926" s="249"/>
      <c r="B926" s="250"/>
    </row>
    <row r="927" customFormat="false" ht="15.75" hidden="false" customHeight="false" outlineLevel="0" collapsed="false">
      <c r="A927" s="249"/>
      <c r="B927" s="250"/>
    </row>
    <row r="928" customFormat="false" ht="15.75" hidden="false" customHeight="false" outlineLevel="0" collapsed="false">
      <c r="A928" s="249"/>
      <c r="B928" s="250"/>
    </row>
    <row r="929" customFormat="false" ht="15.75" hidden="false" customHeight="false" outlineLevel="0" collapsed="false">
      <c r="A929" s="249"/>
      <c r="B929" s="250"/>
    </row>
    <row r="930" customFormat="false" ht="15.75" hidden="false" customHeight="false" outlineLevel="0" collapsed="false">
      <c r="A930" s="249"/>
      <c r="B930" s="250"/>
    </row>
    <row r="931" customFormat="false" ht="15.75" hidden="false" customHeight="false" outlineLevel="0" collapsed="false">
      <c r="A931" s="249"/>
      <c r="B931" s="250"/>
    </row>
    <row r="932" customFormat="false" ht="15.75" hidden="false" customHeight="false" outlineLevel="0" collapsed="false">
      <c r="A932" s="249"/>
      <c r="B932" s="250"/>
    </row>
    <row r="933" customFormat="false" ht="15.75" hidden="false" customHeight="false" outlineLevel="0" collapsed="false">
      <c r="A933" s="249"/>
      <c r="B933" s="250"/>
    </row>
    <row r="934" customFormat="false" ht="15.75" hidden="false" customHeight="false" outlineLevel="0" collapsed="false">
      <c r="A934" s="249"/>
      <c r="B934" s="250"/>
    </row>
    <row r="935" customFormat="false" ht="15.75" hidden="false" customHeight="false" outlineLevel="0" collapsed="false">
      <c r="A935" s="249"/>
      <c r="B935" s="250"/>
    </row>
    <row r="936" customFormat="false" ht="15.75" hidden="false" customHeight="false" outlineLevel="0" collapsed="false">
      <c r="A936" s="249"/>
      <c r="B936" s="250"/>
    </row>
    <row r="937" customFormat="false" ht="15.75" hidden="false" customHeight="false" outlineLevel="0" collapsed="false">
      <c r="A937" s="249"/>
      <c r="B937" s="250"/>
    </row>
    <row r="938" customFormat="false" ht="15.75" hidden="false" customHeight="false" outlineLevel="0" collapsed="false">
      <c r="A938" s="249"/>
      <c r="B938" s="250"/>
    </row>
    <row r="939" customFormat="false" ht="15.75" hidden="false" customHeight="false" outlineLevel="0" collapsed="false">
      <c r="A939" s="249"/>
      <c r="B939" s="250"/>
    </row>
    <row r="940" customFormat="false" ht="15.75" hidden="false" customHeight="false" outlineLevel="0" collapsed="false">
      <c r="A940" s="249"/>
      <c r="B940" s="250"/>
    </row>
    <row r="941" customFormat="false" ht="15.75" hidden="false" customHeight="false" outlineLevel="0" collapsed="false">
      <c r="A941" s="249"/>
      <c r="B941" s="250"/>
    </row>
    <row r="942" customFormat="false" ht="15.75" hidden="false" customHeight="false" outlineLevel="0" collapsed="false">
      <c r="A942" s="249"/>
      <c r="B942" s="250"/>
    </row>
    <row r="943" customFormat="false" ht="15.75" hidden="false" customHeight="false" outlineLevel="0" collapsed="false">
      <c r="A943" s="249"/>
      <c r="B943" s="250"/>
    </row>
    <row r="944" customFormat="false" ht="15.75" hidden="false" customHeight="false" outlineLevel="0" collapsed="false">
      <c r="A944" s="249"/>
      <c r="B944" s="250"/>
    </row>
    <row r="945" customFormat="false" ht="15.75" hidden="false" customHeight="false" outlineLevel="0" collapsed="false">
      <c r="A945" s="249"/>
      <c r="B945" s="250"/>
    </row>
    <row r="946" customFormat="false" ht="15.75" hidden="false" customHeight="false" outlineLevel="0" collapsed="false">
      <c r="A946" s="249"/>
      <c r="B946" s="250"/>
    </row>
    <row r="947" customFormat="false" ht="15.75" hidden="false" customHeight="false" outlineLevel="0" collapsed="false">
      <c r="A947" s="249"/>
      <c r="B947" s="250"/>
    </row>
    <row r="948" customFormat="false" ht="15.75" hidden="false" customHeight="false" outlineLevel="0" collapsed="false">
      <c r="A948" s="249"/>
      <c r="B948" s="250"/>
    </row>
    <row r="949" customFormat="false" ht="15.75" hidden="false" customHeight="false" outlineLevel="0" collapsed="false">
      <c r="A949" s="249"/>
      <c r="B949" s="250"/>
    </row>
    <row r="950" customFormat="false" ht="15.75" hidden="false" customHeight="false" outlineLevel="0" collapsed="false">
      <c r="A950" s="249"/>
      <c r="B950" s="250"/>
    </row>
    <row r="951" customFormat="false" ht="15.75" hidden="false" customHeight="false" outlineLevel="0" collapsed="false">
      <c r="A951" s="249"/>
      <c r="B951" s="250"/>
    </row>
    <row r="952" customFormat="false" ht="15.75" hidden="false" customHeight="false" outlineLevel="0" collapsed="false">
      <c r="A952" s="249"/>
      <c r="B952" s="250"/>
    </row>
    <row r="953" customFormat="false" ht="15.75" hidden="false" customHeight="false" outlineLevel="0" collapsed="false">
      <c r="A953" s="249"/>
      <c r="B953" s="250"/>
    </row>
    <row r="954" customFormat="false" ht="15.75" hidden="false" customHeight="false" outlineLevel="0" collapsed="false">
      <c r="A954" s="249"/>
      <c r="B954" s="250"/>
    </row>
    <row r="955" customFormat="false" ht="15.75" hidden="false" customHeight="false" outlineLevel="0" collapsed="false">
      <c r="A955" s="249"/>
      <c r="B955" s="250"/>
    </row>
    <row r="956" customFormat="false" ht="15.75" hidden="false" customHeight="false" outlineLevel="0" collapsed="false">
      <c r="A956" s="249"/>
      <c r="B956" s="250"/>
    </row>
    <row r="957" customFormat="false" ht="15.75" hidden="false" customHeight="false" outlineLevel="0" collapsed="false">
      <c r="A957" s="249"/>
      <c r="B957" s="250"/>
    </row>
    <row r="958" customFormat="false" ht="15.75" hidden="false" customHeight="false" outlineLevel="0" collapsed="false">
      <c r="A958" s="249"/>
      <c r="B958" s="250"/>
    </row>
    <row r="959" customFormat="false" ht="15.75" hidden="false" customHeight="false" outlineLevel="0" collapsed="false">
      <c r="A959" s="249"/>
      <c r="B959" s="250"/>
    </row>
    <row r="960" customFormat="false" ht="15.75" hidden="false" customHeight="false" outlineLevel="0" collapsed="false">
      <c r="A960" s="249"/>
      <c r="B960" s="250"/>
    </row>
    <row r="961" customFormat="false" ht="15.75" hidden="false" customHeight="false" outlineLevel="0" collapsed="false">
      <c r="A961" s="249"/>
      <c r="B961" s="250"/>
    </row>
    <row r="962" customFormat="false" ht="15.75" hidden="false" customHeight="false" outlineLevel="0" collapsed="false">
      <c r="A962" s="249"/>
      <c r="B962" s="250"/>
    </row>
    <row r="963" customFormat="false" ht="15.75" hidden="false" customHeight="false" outlineLevel="0" collapsed="false">
      <c r="A963" s="249"/>
      <c r="B963" s="250"/>
    </row>
    <row r="964" customFormat="false" ht="15.75" hidden="false" customHeight="false" outlineLevel="0" collapsed="false">
      <c r="A964" s="249"/>
      <c r="B964" s="250"/>
    </row>
    <row r="965" customFormat="false" ht="15.75" hidden="false" customHeight="false" outlineLevel="0" collapsed="false">
      <c r="A965" s="249"/>
      <c r="B965" s="250"/>
    </row>
    <row r="966" customFormat="false" ht="15.75" hidden="false" customHeight="false" outlineLevel="0" collapsed="false">
      <c r="A966" s="249"/>
      <c r="B966" s="250"/>
    </row>
    <row r="967" customFormat="false" ht="15.75" hidden="false" customHeight="false" outlineLevel="0" collapsed="false">
      <c r="A967" s="249"/>
      <c r="B967" s="250"/>
    </row>
    <row r="968" customFormat="false" ht="15.75" hidden="false" customHeight="false" outlineLevel="0" collapsed="false">
      <c r="A968" s="249"/>
      <c r="B968" s="250"/>
    </row>
    <row r="969" customFormat="false" ht="15.75" hidden="false" customHeight="false" outlineLevel="0" collapsed="false">
      <c r="A969" s="249"/>
      <c r="B969" s="250"/>
    </row>
    <row r="970" customFormat="false" ht="15.75" hidden="false" customHeight="false" outlineLevel="0" collapsed="false">
      <c r="A970" s="249"/>
      <c r="B970" s="250"/>
    </row>
    <row r="971" customFormat="false" ht="15.75" hidden="false" customHeight="false" outlineLevel="0" collapsed="false">
      <c r="A971" s="249"/>
      <c r="B971" s="250"/>
    </row>
    <row r="972" customFormat="false" ht="15.75" hidden="false" customHeight="false" outlineLevel="0" collapsed="false">
      <c r="A972" s="249"/>
      <c r="B972" s="250"/>
    </row>
    <row r="973" customFormat="false" ht="15.75" hidden="false" customHeight="false" outlineLevel="0" collapsed="false">
      <c r="A973" s="249"/>
      <c r="B973" s="250"/>
    </row>
    <row r="974" customFormat="false" ht="15.75" hidden="false" customHeight="false" outlineLevel="0" collapsed="false">
      <c r="A974" s="249"/>
      <c r="B974" s="250"/>
    </row>
    <row r="975" customFormat="false" ht="15.75" hidden="false" customHeight="false" outlineLevel="0" collapsed="false">
      <c r="A975" s="249"/>
      <c r="B975" s="250"/>
    </row>
    <row r="976" customFormat="false" ht="15.75" hidden="false" customHeight="false" outlineLevel="0" collapsed="false">
      <c r="A976" s="249"/>
      <c r="B976" s="250"/>
    </row>
    <row r="977" customFormat="false" ht="15.75" hidden="false" customHeight="false" outlineLevel="0" collapsed="false">
      <c r="A977" s="249"/>
      <c r="B977" s="250"/>
    </row>
    <row r="978" customFormat="false" ht="15.75" hidden="false" customHeight="false" outlineLevel="0" collapsed="false">
      <c r="A978" s="249"/>
      <c r="B978" s="250"/>
    </row>
    <row r="979" customFormat="false" ht="15.75" hidden="false" customHeight="false" outlineLevel="0" collapsed="false">
      <c r="A979" s="249"/>
      <c r="B979" s="250"/>
    </row>
    <row r="980" customFormat="false" ht="15.75" hidden="false" customHeight="false" outlineLevel="0" collapsed="false">
      <c r="A980" s="249"/>
      <c r="B980" s="250"/>
    </row>
    <row r="981" customFormat="false" ht="15.75" hidden="false" customHeight="false" outlineLevel="0" collapsed="false">
      <c r="A981" s="249"/>
      <c r="B981" s="250"/>
    </row>
    <row r="982" customFormat="false" ht="15.75" hidden="false" customHeight="false" outlineLevel="0" collapsed="false">
      <c r="A982" s="249"/>
      <c r="B982" s="250"/>
    </row>
    <row r="983" customFormat="false" ht="15.75" hidden="false" customHeight="false" outlineLevel="0" collapsed="false">
      <c r="A983" s="249"/>
      <c r="B983" s="250"/>
    </row>
    <row r="984" customFormat="false" ht="15.75" hidden="false" customHeight="false" outlineLevel="0" collapsed="false">
      <c r="A984" s="249"/>
      <c r="B984" s="250"/>
    </row>
    <row r="985" customFormat="false" ht="15.75" hidden="false" customHeight="false" outlineLevel="0" collapsed="false">
      <c r="A985" s="249"/>
      <c r="B985" s="250"/>
    </row>
    <row r="986" customFormat="false" ht="15.75" hidden="false" customHeight="false" outlineLevel="0" collapsed="false">
      <c r="A986" s="249"/>
      <c r="B986" s="250"/>
    </row>
    <row r="987" customFormat="false" ht="15.75" hidden="false" customHeight="false" outlineLevel="0" collapsed="false">
      <c r="A987" s="249"/>
      <c r="B987" s="250"/>
    </row>
    <row r="988" customFormat="false" ht="15.75" hidden="false" customHeight="false" outlineLevel="0" collapsed="false">
      <c r="A988" s="249"/>
      <c r="B988" s="250"/>
    </row>
    <row r="989" customFormat="false" ht="15.75" hidden="false" customHeight="false" outlineLevel="0" collapsed="false">
      <c r="A989" s="249"/>
      <c r="B989" s="250"/>
    </row>
    <row r="990" customFormat="false" ht="15.75" hidden="false" customHeight="false" outlineLevel="0" collapsed="false">
      <c r="A990" s="249"/>
      <c r="B990" s="250"/>
    </row>
    <row r="991" customFormat="false" ht="15.75" hidden="false" customHeight="false" outlineLevel="0" collapsed="false">
      <c r="A991" s="249"/>
      <c r="B991" s="250"/>
    </row>
    <row r="992" customFormat="false" ht="15.75" hidden="false" customHeight="false" outlineLevel="0" collapsed="false">
      <c r="A992" s="249"/>
      <c r="B992" s="250"/>
    </row>
    <row r="993" customFormat="false" ht="15.75" hidden="false" customHeight="false" outlineLevel="0" collapsed="false">
      <c r="A993" s="249"/>
      <c r="B993" s="250"/>
    </row>
    <row r="994" customFormat="false" ht="15.75" hidden="false" customHeight="false" outlineLevel="0" collapsed="false">
      <c r="A994" s="249"/>
      <c r="B994" s="250"/>
    </row>
    <row r="995" customFormat="false" ht="15.75" hidden="false" customHeight="false" outlineLevel="0" collapsed="false">
      <c r="A995" s="249"/>
      <c r="B995" s="250"/>
    </row>
    <row r="996" customFormat="false" ht="15.75" hidden="false" customHeight="false" outlineLevel="0" collapsed="false">
      <c r="A996" s="249"/>
      <c r="B996" s="250"/>
    </row>
    <row r="997" customFormat="false" ht="15.75" hidden="false" customHeight="false" outlineLevel="0" collapsed="false">
      <c r="A997" s="249"/>
      <c r="B997" s="250"/>
    </row>
    <row r="998" customFormat="false" ht="15.75" hidden="false" customHeight="false" outlineLevel="0" collapsed="false">
      <c r="A998" s="249"/>
      <c r="B998" s="250"/>
    </row>
    <row r="999" customFormat="false" ht="15.75" hidden="false" customHeight="false" outlineLevel="0" collapsed="false">
      <c r="A999" s="249"/>
      <c r="B999" s="250"/>
    </row>
    <row r="1000" customFormat="false" ht="15.75" hidden="false" customHeight="false" outlineLevel="0" collapsed="false">
      <c r="A1000" s="249"/>
      <c r="B1000" s="250"/>
    </row>
    <row r="1001" customFormat="false" ht="15.75" hidden="false" customHeight="false" outlineLevel="0" collapsed="false">
      <c r="A1001" s="249"/>
      <c r="B1001" s="250"/>
    </row>
  </sheetData>
  <conditionalFormatting sqref="C3:EJ140">
    <cfRule type="expression" priority="2" aboveAverage="0" equalAverage="0" bottom="0" percent="0" rank="0" text="" dxfId="97">
      <formula>C3=$B$1</formula>
    </cfRule>
  </conditionalFormatting>
  <dataValidations count="1">
    <dataValidation allowBlank="true" errorStyle="stop" operator="between" showDropDown="false" showErrorMessage="true" showInputMessage="false" sqref="B1" type="list">
      <formula1>Data!$A$3:$A$140</formula1>
      <formula2>0</formula2>
    </dataValidation>
  </dataValidations>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P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75" zeroHeight="false" outlineLevelRow="0" outlineLevelCol="0"/>
  <cols>
    <col collapsed="false" customWidth="true" hidden="false" outlineLevel="0" max="1" min="1" style="0" width="2.25"/>
    <col collapsed="false" customWidth="true" hidden="false" outlineLevel="0" max="2" min="2" style="0" width="3.63"/>
    <col collapsed="false" customWidth="true" hidden="false" outlineLevel="0" max="3" min="3" style="0" width="3.5"/>
    <col collapsed="false" customWidth="true" hidden="false" outlineLevel="0" max="4" min="4" style="0" width="16"/>
    <col collapsed="false" customWidth="true" hidden="false" outlineLevel="0" max="5" min="5" style="0" width="3.63"/>
    <col collapsed="false" customWidth="true" hidden="false" outlineLevel="0" max="6" min="6" style="0" width="3.25"/>
    <col collapsed="false" customWidth="true" hidden="false" outlineLevel="0" max="7" min="7" style="0" width="13.13"/>
    <col collapsed="false" customWidth="true" hidden="false" outlineLevel="0" max="8" min="8" style="0" width="3.63"/>
    <col collapsed="false" customWidth="true" hidden="false" outlineLevel="0" max="9" min="9" style="0" width="3.25"/>
    <col collapsed="false" customWidth="true" hidden="false" outlineLevel="0" max="10" min="10" style="0" width="12.25"/>
  </cols>
  <sheetData>
    <row r="1" customFormat="false" ht="6" hidden="false" customHeight="true" outlineLevel="0" collapsed="false">
      <c r="A1" s="6"/>
      <c r="B1" s="254"/>
      <c r="C1" s="254"/>
      <c r="D1" s="254"/>
      <c r="E1" s="254"/>
      <c r="F1" s="254"/>
      <c r="G1" s="254"/>
      <c r="H1" s="254"/>
      <c r="I1" s="254"/>
      <c r="J1" s="254"/>
      <c r="L1" s="255"/>
      <c r="M1" s="249"/>
      <c r="N1" s="249"/>
      <c r="O1" s="249"/>
      <c r="P1" s="249"/>
    </row>
    <row r="2" customFormat="false" ht="21" hidden="false" customHeight="true" outlineLevel="0" collapsed="false">
      <c r="A2" s="6"/>
      <c r="B2" s="256" t="s">
        <v>237</v>
      </c>
      <c r="C2" s="256"/>
      <c r="D2" s="256"/>
      <c r="E2" s="256"/>
      <c r="F2" s="256"/>
      <c r="G2" s="256"/>
      <c r="H2" s="256"/>
      <c r="I2" s="256"/>
      <c r="J2" s="256"/>
      <c r="L2" s="255"/>
      <c r="M2" s="249"/>
      <c r="N2" s="249"/>
      <c r="O2" s="249"/>
      <c r="P2" s="249"/>
    </row>
    <row r="3" customFormat="false" ht="15.75" hidden="false" customHeight="false" outlineLevel="0" collapsed="false">
      <c r="A3" s="6"/>
      <c r="B3" s="257" t="s">
        <v>238</v>
      </c>
      <c r="C3" s="257"/>
      <c r="D3" s="257"/>
      <c r="E3" s="257" t="s">
        <v>230</v>
      </c>
      <c r="F3" s="257"/>
      <c r="G3" s="257"/>
      <c r="H3" s="258" t="s">
        <v>231</v>
      </c>
      <c r="I3" s="258"/>
      <c r="J3" s="258"/>
      <c r="L3" s="255" t="s">
        <v>239</v>
      </c>
      <c r="M3" s="249"/>
      <c r="N3" s="249"/>
      <c r="O3" s="249"/>
      <c r="P3" s="249"/>
    </row>
    <row r="4" customFormat="false" ht="15.75" hidden="false" customHeight="false" outlineLevel="0" collapsed="false">
      <c r="A4" s="3"/>
      <c r="B4" s="259" t="n">
        <f aca="false">INDEX(PalData,MATCH(D4,PalNames,0)+1,MATCH("Image",PalData_Header,0))</f>
        <v>0</v>
      </c>
      <c r="C4" s="45" t="n">
        <f aca="false" t="array" ref="C4:C4">INDEX(PalData,MATCH(D4,PalNames,0)+1,MATCH("ZukanIndex",PalData_Header,0))</f>
        <v>85</v>
      </c>
      <c r="D4" s="260" t="s">
        <v>123</v>
      </c>
      <c r="E4" s="259" t="n">
        <f aca="false">INDEX(PalData,MATCH(G4,PalNames,0)+1,MATCH("Image",PalData_Header,0))</f>
        <v>0</v>
      </c>
      <c r="F4" s="45" t="n">
        <f aca="false" t="array" ref="F4:F4">INDEX(PalData,MATCH(G4,PalNames,0)+1,MATCH("ZukanIndex",PalData_Header,0))</f>
        <v>85</v>
      </c>
      <c r="G4" s="261" t="s">
        <v>122</v>
      </c>
      <c r="H4" s="45" t="n">
        <f aca="false">INDEX(PalData,MATCH(J4,PalNames,0)+1,MATCH("Image",PalData_Header,0))</f>
        <v>0</v>
      </c>
      <c r="I4" s="45" t="n">
        <f aca="false" t="array" ref="I4:I4">INDEX(PalData,MATCH(J4,PalNames,0)+1,MATCH("ZukanIndex",PalData_Header,0))</f>
        <v>7</v>
      </c>
      <c r="J4" s="46" t="s">
        <v>132</v>
      </c>
      <c r="L4" s="3" t="s">
        <v>21</v>
      </c>
    </row>
    <row r="5" customFormat="false" ht="15.75" hidden="false" customHeight="false" outlineLevel="0" collapsed="false">
      <c r="A5" s="3"/>
      <c r="B5" s="262" t="n">
        <f aca="false">INDEX(PalData,MATCH(D5,PalNames,0)+1,MATCH("Image",PalData_Header,0))</f>
        <v>0</v>
      </c>
      <c r="C5" s="48" t="n">
        <f aca="false" t="array" ref="C5:C5">INDEX(PalData,MATCH(D5,PalNames,0)+1,MATCH("ZukanIndex",PalData_Header,0))</f>
        <v>40</v>
      </c>
      <c r="D5" s="263" t="s">
        <v>78</v>
      </c>
      <c r="E5" s="262" t="n">
        <f aca="false">INDEX(PalData,MATCH(G5,PalNames,0)+1,MATCH("Image",PalData_Header,0))</f>
        <v>0</v>
      </c>
      <c r="F5" s="48" t="n">
        <f aca="false" t="array" ref="F5:F5">INDEX(PalData,MATCH(G5,PalNames,0)+1,MATCH("ZukanIndex",PalData_Header,0))</f>
        <v>40</v>
      </c>
      <c r="G5" s="264" t="s">
        <v>77</v>
      </c>
      <c r="H5" s="48" t="n">
        <f aca="false">INDEX(PalData,MATCH(J5,PalNames,0)+1,MATCH("Image",PalData_Header,0))</f>
        <v>0</v>
      </c>
      <c r="I5" s="48" t="n">
        <f aca="false" t="array" ref="I5:I5">INDEX(PalData,MATCH(J5,PalNames,0)+1,MATCH("ZukanIndex",PalData_Header,0))</f>
        <v>66</v>
      </c>
      <c r="J5" s="49" t="s">
        <v>101</v>
      </c>
      <c r="L5" s="3" t="s">
        <v>79</v>
      </c>
    </row>
    <row r="6" customFormat="false" ht="15.75" hidden="false" customHeight="false" outlineLevel="0" collapsed="false">
      <c r="A6" s="3"/>
      <c r="B6" s="259" t="n">
        <f aca="false">INDEX(PalData,MATCH(D6,PalNames,0)+1,MATCH("Image",PalData_Header,0))</f>
        <v>0</v>
      </c>
      <c r="C6" s="45" t="n">
        <f aca="false" t="array" ref="C6:C6">INDEX(PalData,MATCH(D6,PalNames,0)+1,MATCH("ZukanIndex",PalData_Header,0))</f>
        <v>24</v>
      </c>
      <c r="D6" s="260" t="s">
        <v>103</v>
      </c>
      <c r="E6" s="259" t="n">
        <f aca="false">INDEX(PalData,MATCH(G6,PalNames,0)+1,MATCH("Image",PalData_Header,0))</f>
        <v>0</v>
      </c>
      <c r="F6" s="45" t="n">
        <f aca="false" t="array" ref="F6:F6">INDEX(PalData,MATCH(G6,PalNames,0)+1,MATCH("ZukanIndex",PalData_Header,0))</f>
        <v>24</v>
      </c>
      <c r="G6" s="261" t="s">
        <v>102</v>
      </c>
      <c r="H6" s="45" t="n">
        <f aca="false">INDEX(PalData,MATCH(J6,PalNames,0)+1,MATCH("Image",PalData_Header,0))</f>
        <v>0</v>
      </c>
      <c r="I6" s="45" t="n">
        <f aca="false" t="array" ref="I6:I6">INDEX(PalData,MATCH(J6,PalNames,0)+1,MATCH("ZukanIndex",PalData_Header,0))</f>
        <v>10</v>
      </c>
      <c r="J6" s="46" t="s">
        <v>114</v>
      </c>
      <c r="L6" s="3" t="s">
        <v>113</v>
      </c>
    </row>
    <row r="7" customFormat="false" ht="15.75" hidden="false" customHeight="false" outlineLevel="0" collapsed="false">
      <c r="A7" s="3"/>
      <c r="B7" s="262" t="n">
        <f aca="false">INDEX(PalData,MATCH(D7,PalNames,0)+1,MATCH("Image",PalData_Header,0))</f>
        <v>0</v>
      </c>
      <c r="C7" s="48" t="n">
        <f aca="false" t="array" ref="C7:C7">INDEX(PalData,MATCH(D7,PalNames,0)+1,MATCH("ZukanIndex",PalData_Header,0))</f>
        <v>71</v>
      </c>
      <c r="D7" s="263" t="s">
        <v>146</v>
      </c>
      <c r="E7" s="262" t="n">
        <f aca="false">INDEX(PalData,MATCH(G7,PalNames,0)+1,MATCH("Image",PalData_Header,0))</f>
        <v>0</v>
      </c>
      <c r="F7" s="48" t="n">
        <f aca="false" t="array" ref="F7:F7">INDEX(PalData,MATCH(G7,PalNames,0)+1,MATCH("ZukanIndex",PalData_Header,0))</f>
        <v>71</v>
      </c>
      <c r="G7" s="264" t="s">
        <v>145</v>
      </c>
      <c r="H7" s="48" t="n">
        <f aca="false">INDEX(PalData,MATCH(J7,PalNames,0)+1,MATCH("Image",PalData_Header,0))</f>
        <v>0</v>
      </c>
      <c r="I7" s="48" t="n">
        <f aca="false" t="array" ref="I7:I7">INDEX(PalData,MATCH(J7,PalNames,0)+1,MATCH("ZukanIndex",PalData_Header,0))</f>
        <v>57</v>
      </c>
      <c r="J7" s="49" t="s">
        <v>58</v>
      </c>
      <c r="L7" s="3" t="s">
        <v>109</v>
      </c>
    </row>
    <row r="8" customFormat="false" ht="15.75" hidden="false" customHeight="false" outlineLevel="0" collapsed="false">
      <c r="A8" s="3"/>
      <c r="B8" s="259" t="n">
        <f aca="false">INDEX(PalData,MATCH(D8,PalNames,0)+1,MATCH("Image",PalData_Header,0))</f>
        <v>0</v>
      </c>
      <c r="C8" s="45" t="n">
        <f aca="false" t="array" ref="C8:C8">INDEX(PalData,MATCH(D8,PalNames,0)+1,MATCH("ZukanIndex",PalData_Header,0))</f>
        <v>37</v>
      </c>
      <c r="D8" s="260" t="s">
        <v>49</v>
      </c>
      <c r="E8" s="259" t="n">
        <f aca="false">INDEX(PalData,MATCH(G8,PalNames,0)+1,MATCH("Image",PalData_Header,0))</f>
        <v>0</v>
      </c>
      <c r="F8" s="45" t="n">
        <f aca="false" t="array" ref="F8:F8">INDEX(PalData,MATCH(G8,PalNames,0)+1,MATCH("ZukanIndex",PalData_Header,0))</f>
        <v>37</v>
      </c>
      <c r="G8" s="261" t="s">
        <v>48</v>
      </c>
      <c r="H8" s="45" t="n">
        <f aca="false">INDEX(PalData,MATCH(J8,PalNames,0)+1,MATCH("Image",PalData_Header,0))</f>
        <v>0</v>
      </c>
      <c r="I8" s="45" t="n">
        <f aca="false" t="array" ref="I8:I8">INDEX(PalData,MATCH(J8,PalNames,0)+1,MATCH("ZukanIndex",PalData_Header,0))</f>
        <v>32</v>
      </c>
      <c r="J8" s="46" t="s">
        <v>71</v>
      </c>
      <c r="L8" s="3" t="s">
        <v>83</v>
      </c>
    </row>
    <row r="9" customFormat="false" ht="15.75" hidden="false" customHeight="false" outlineLevel="0" collapsed="false">
      <c r="A9" s="3"/>
      <c r="B9" s="262" t="n">
        <f aca="false">INDEX(PalData,MATCH(D9,PalNames,0)+1,MATCH("Image",PalData_Header,0))</f>
        <v>0</v>
      </c>
      <c r="C9" s="48" t="n">
        <f aca="false" t="array" ref="C9:C9">INDEX(PalData,MATCH(D9,PalNames,0)+1,MATCH("ZukanIndex",PalData_Header,0))</f>
        <v>80</v>
      </c>
      <c r="D9" s="263" t="s">
        <v>52</v>
      </c>
      <c r="E9" s="262" t="n">
        <f aca="false">INDEX(PalData,MATCH(G9,PalNames,0)+1,MATCH("Image",PalData_Header,0))</f>
        <v>0</v>
      </c>
      <c r="F9" s="48" t="n">
        <f aca="false" t="array" ref="F9:F9">INDEX(PalData,MATCH(G9,PalNames,0)+1,MATCH("ZukanIndex",PalData_Header,0))</f>
        <v>80</v>
      </c>
      <c r="G9" s="264" t="s">
        <v>51</v>
      </c>
      <c r="H9" s="48" t="n">
        <f aca="false">INDEX(PalData,MATCH(J9,PalNames,0)+1,MATCH("Image",PalData_Header,0))</f>
        <v>0</v>
      </c>
      <c r="I9" s="48" t="n">
        <f aca="false" t="array" ref="I9:I9">INDEX(PalData,MATCH(J9,PalNames,0)+1,MATCH("ZukanIndex",PalData_Header,0))</f>
        <v>65</v>
      </c>
      <c r="J9" s="49" t="s">
        <v>133</v>
      </c>
      <c r="L9" s="3"/>
    </row>
    <row r="10" customFormat="false" ht="15.75" hidden="false" customHeight="false" outlineLevel="0" collapsed="false">
      <c r="A10" s="3"/>
      <c r="B10" s="259" t="n">
        <f aca="false">INDEX(PalData,MATCH(D10,PalNames,0)+1,MATCH("Image",PalData_Header,0))</f>
        <v>0</v>
      </c>
      <c r="C10" s="45" t="n">
        <f aca="false" t="array" ref="C10:C10">INDEX(PalData,MATCH(D10,PalNames,0)+1,MATCH("ZukanIndex",PalData_Header,0))</f>
        <v>58</v>
      </c>
      <c r="D10" s="260" t="s">
        <v>118</v>
      </c>
      <c r="E10" s="259" t="n">
        <f aca="false">INDEX(PalData,MATCH(G10,PalNames,0)+1,MATCH("Image",PalData_Header,0))</f>
        <v>0</v>
      </c>
      <c r="F10" s="45" t="n">
        <f aca="false" t="array" ref="F10:F10">INDEX(PalData,MATCH(G10,PalNames,0)+1,MATCH("ZukanIndex",PalData_Header,0))</f>
        <v>58</v>
      </c>
      <c r="G10" s="261" t="s">
        <v>117</v>
      </c>
      <c r="H10" s="45" t="n">
        <f aca="false">INDEX(PalData,MATCH(J10,PalNames,0)+1,MATCH("Image",PalData_Header,0))</f>
        <v>0</v>
      </c>
      <c r="I10" s="45" t="n">
        <f aca="false" t="array" ref="I10:I10">INDEX(PalData,MATCH(J10,PalNames,0)+1,MATCH("ZukanIndex",PalData_Header,0))</f>
        <v>75</v>
      </c>
      <c r="J10" s="46" t="s">
        <v>84</v>
      </c>
      <c r="L10" s="3"/>
    </row>
    <row r="11" customFormat="false" ht="15.75" hidden="false" customHeight="false" outlineLevel="0" collapsed="false">
      <c r="A11" s="3"/>
      <c r="B11" s="262" t="n">
        <f aca="false">INDEX(PalData,MATCH(D11,PalNames,0)+1,MATCH("Image",PalData_Header,0))</f>
        <v>0</v>
      </c>
      <c r="C11" s="48" t="n">
        <f aca="false" t="array" ref="C11:C11">INDEX(PalData,MATCH(D11,PalNames,0)+1,MATCH("ZukanIndex",PalData_Header,0))</f>
        <v>90</v>
      </c>
      <c r="D11" s="263" t="s">
        <v>100</v>
      </c>
      <c r="E11" s="262" t="n">
        <f aca="false">INDEX(PalData,MATCH(G11,PalNames,0)+1,MATCH("Image",PalData_Header,0))</f>
        <v>0</v>
      </c>
      <c r="F11" s="48" t="n">
        <f aca="false" t="array" ref="F11:F11">INDEX(PalData,MATCH(G11,PalNames,0)+1,MATCH("ZukanIndex",PalData_Header,0))</f>
        <v>90</v>
      </c>
      <c r="G11" s="264" t="s">
        <v>99</v>
      </c>
      <c r="H11" s="48" t="n">
        <f aca="false">INDEX(PalData,MATCH(J11,PalNames,0)+1,MATCH("Image",PalData_Header,0))</f>
        <v>0</v>
      </c>
      <c r="I11" s="48" t="n">
        <f aca="false" t="array" ref="I11:I11">INDEX(PalData,MATCH(J11,PalNames,0)+1,MATCH("ZukanIndex",PalData_Header,0))</f>
        <v>91</v>
      </c>
      <c r="J11" s="49" t="s">
        <v>152</v>
      </c>
      <c r="L11" s="3"/>
    </row>
    <row r="12" customFormat="false" ht="15.75" hidden="false" customHeight="false" outlineLevel="0" collapsed="false">
      <c r="A12" s="3"/>
      <c r="B12" s="259" t="n">
        <f aca="false">INDEX(PalData,MATCH(D12,PalNames,0)+1,MATCH("Image",PalData_Header,0))</f>
        <v>0</v>
      </c>
      <c r="C12" s="45" t="n">
        <f aca="false" t="array" ref="C12:C12">INDEX(PalData,MATCH(D12,PalNames,0)+1,MATCH("ZukanIndex",PalData_Header,0))</f>
        <v>33</v>
      </c>
      <c r="D12" s="260" t="s">
        <v>107</v>
      </c>
      <c r="E12" s="259" t="n">
        <f aca="false">INDEX(PalData,MATCH(G12,PalNames,0)+1,MATCH("Image",PalData_Header,0))</f>
        <v>0</v>
      </c>
      <c r="F12" s="45" t="n">
        <f aca="false" t="array" ref="F12:F12">INDEX(PalData,MATCH(G12,PalNames,0)+1,MATCH("ZukanIndex",PalData_Header,0))</f>
        <v>33</v>
      </c>
      <c r="G12" s="261" t="s">
        <v>106</v>
      </c>
      <c r="H12" s="45" t="n">
        <f aca="false">INDEX(PalData,MATCH(J12,PalNames,0)+1,MATCH("Image",PalData_Header,0))</f>
        <v>0</v>
      </c>
      <c r="I12" s="45" t="n">
        <f aca="false" t="array" ref="I12:I12">INDEX(PalData,MATCH(J12,PalNames,0)+1,MATCH("ZukanIndex",PalData_Header,0))</f>
        <v>103</v>
      </c>
      <c r="J12" s="46" t="s">
        <v>68</v>
      </c>
      <c r="L12" s="3"/>
    </row>
    <row r="13" customFormat="false" ht="15.75" hidden="false" customHeight="false" outlineLevel="0" collapsed="false">
      <c r="A13" s="3"/>
      <c r="B13" s="262" t="n">
        <f aca="false">INDEX(PalData,MATCH(D13,PalNames,0)+1,MATCH("Image",PalData_Header,0))</f>
        <v>0</v>
      </c>
      <c r="C13" s="48" t="n">
        <f aca="false" t="array" ref="C13:C13">INDEX(PalData,MATCH(D13,PalNames,0)+1,MATCH("ZukanIndex",PalData_Header,0))</f>
        <v>64</v>
      </c>
      <c r="D13" s="263" t="s">
        <v>45</v>
      </c>
      <c r="E13" s="262" t="n">
        <f aca="false">INDEX(PalData,MATCH(G13,PalNames,0)+1,MATCH("Image",PalData_Header,0))</f>
        <v>0</v>
      </c>
      <c r="F13" s="48" t="n">
        <f aca="false" t="array" ref="F13:F13">INDEX(PalData,MATCH(G13,PalNames,0)+1,MATCH("ZukanIndex",PalData_Header,0))</f>
        <v>64</v>
      </c>
      <c r="G13" s="264" t="s">
        <v>44</v>
      </c>
      <c r="H13" s="48" t="n">
        <f aca="false">INDEX(PalData,MATCH(J13,PalNames,0)+1,MATCH("Image",PalData_Header,0))</f>
        <v>0</v>
      </c>
      <c r="I13" s="48" t="n">
        <f aca="false" t="array" ref="I13:I13">INDEX(PalData,MATCH(J13,PalNames,0)+1,MATCH("ZukanIndex",PalData_Header,0))</f>
        <v>60</v>
      </c>
      <c r="J13" s="49" t="s">
        <v>120</v>
      </c>
    </row>
    <row r="14" customFormat="false" ht="15.75" hidden="false" customHeight="false" outlineLevel="0" collapsed="false">
      <c r="A14" s="3"/>
      <c r="B14" s="259" t="n">
        <f aca="false">INDEX(PalData,MATCH(D14,PalNames,0)+1,MATCH("Image",PalData_Header,0))</f>
        <v>0</v>
      </c>
      <c r="C14" s="45" t="n">
        <f aca="false" t="array" ref="C14:C14">INDEX(PalData,MATCH(D14,PalNames,0)+1,MATCH("ZukanIndex",PalData_Header,0))</f>
        <v>12</v>
      </c>
      <c r="D14" s="260" t="s">
        <v>81</v>
      </c>
      <c r="E14" s="259" t="n">
        <f aca="false">INDEX(PalData,MATCH(G14,PalNames,0)+1,MATCH("Image",PalData_Header,0))</f>
        <v>0</v>
      </c>
      <c r="F14" s="45" t="n">
        <f aca="false" t="array" ref="F14:F14">INDEX(PalData,MATCH(G14,PalNames,0)+1,MATCH("ZukanIndex",PalData_Header,0))</f>
        <v>12</v>
      </c>
      <c r="G14" s="261" t="s">
        <v>80</v>
      </c>
      <c r="H14" s="45" t="n">
        <f aca="false">INDEX(PalData,MATCH(J14,PalNames,0)+1,MATCH("Image",PalData_Header,0))</f>
        <v>0</v>
      </c>
      <c r="I14" s="45" t="n">
        <f aca="false" t="array" ref="I14:I14">INDEX(PalData,MATCH(J14,PalNames,0)+1,MATCH("ZukanIndex",PalData_Header,0))</f>
        <v>10</v>
      </c>
      <c r="J14" s="46" t="s">
        <v>114</v>
      </c>
    </row>
    <row r="15" customFormat="false" ht="15.75" hidden="false" customHeight="false" outlineLevel="0" collapsed="false">
      <c r="A15" s="3"/>
      <c r="B15" s="262" t="n">
        <f aca="false">INDEX(PalData,MATCH(D15,PalNames,0)+1,MATCH("Image",PalData_Header,0))</f>
        <v>0</v>
      </c>
      <c r="C15" s="48" t="n">
        <f aca="false" t="array" ref="C15:C15">INDEX(PalData,MATCH(D15,PalNames,0)+1,MATCH("ZukanIndex",PalData_Header,0))</f>
        <v>110</v>
      </c>
      <c r="D15" s="263" t="s">
        <v>60</v>
      </c>
      <c r="E15" s="262" t="n">
        <f aca="false">INDEX(PalData,MATCH(G15,PalNames,0)+1,MATCH("Image",PalData_Header,0))</f>
        <v>0</v>
      </c>
      <c r="F15" s="48" t="n">
        <f aca="false" t="array" ref="F15:F15">INDEX(PalData,MATCH(G15,PalNames,0)+1,MATCH("ZukanIndex",PalData_Header,0))</f>
        <v>110</v>
      </c>
      <c r="G15" s="264" t="s">
        <v>21</v>
      </c>
      <c r="H15" s="48" t="n">
        <f aca="false">INDEX(PalData,MATCH(J15,PalNames,0)+1,MATCH("Image",PalData_Header,0))</f>
        <v>0</v>
      </c>
      <c r="I15" s="48" t="n">
        <f aca="false" t="array" ref="I15:I15">INDEX(PalData,MATCH(J15,PalNames,0)+1,MATCH("ZukanIndex",PalData_Header,0))</f>
        <v>97</v>
      </c>
      <c r="J15" s="49" t="s">
        <v>73</v>
      </c>
    </row>
    <row r="16" customFormat="false" ht="15.75" hidden="false" customHeight="false" outlineLevel="0" collapsed="false">
      <c r="A16" s="3"/>
      <c r="B16" s="259" t="n">
        <f aca="false">INDEX(PalData,MATCH(D16,PalNames,0)+1,MATCH("Image",PalData_Header,0))</f>
        <v>0</v>
      </c>
      <c r="C16" s="45" t="n">
        <f aca="false" t="array" ref="C16:C16">INDEX(PalData,MATCH(D16,PalNames,0)+1,MATCH("ZukanIndex",PalData_Header,0))</f>
        <v>89</v>
      </c>
      <c r="D16" s="260" t="s">
        <v>75</v>
      </c>
      <c r="E16" s="259" t="n">
        <f aca="false">INDEX(PalData,MATCH(G16,PalNames,0)+1,MATCH("Image",PalData_Header,0))</f>
        <v>0</v>
      </c>
      <c r="F16" s="45" t="n">
        <f aca="false" t="array" ref="F16:F16">INDEX(PalData,MATCH(G16,PalNames,0)+1,MATCH("ZukanIndex",PalData_Header,0))</f>
        <v>89</v>
      </c>
      <c r="G16" s="261" t="s">
        <v>88</v>
      </c>
      <c r="H16" s="45" t="n">
        <f aca="false">INDEX(PalData,MATCH(J16,PalNames,0)+1,MATCH("Image",PalData_Header,0))</f>
        <v>0</v>
      </c>
      <c r="I16" s="45" t="n">
        <f aca="false" t="array" ref="I16:I16">INDEX(PalData,MATCH(J16,PalNames,0)+1,MATCH("ZukanIndex",PalData_Header,0))</f>
        <v>59</v>
      </c>
      <c r="J16" s="46" t="s">
        <v>121</v>
      </c>
    </row>
    <row r="17" customFormat="false" ht="15.75" hidden="false" customHeight="false" outlineLevel="0" collapsed="false">
      <c r="A17" s="3"/>
      <c r="B17" s="262" t="n">
        <f aca="false">INDEX(PalData,MATCH(D17,PalNames,0)+1,MATCH("Image",PalData_Header,0))</f>
        <v>0</v>
      </c>
      <c r="C17" s="48" t="n">
        <f aca="false" t="array" ref="C17:C17">INDEX(PalData,MATCH(D17,PalNames,0)+1,MATCH("ZukanIndex",PalData_Header,0))</f>
        <v>104</v>
      </c>
      <c r="D17" s="263" t="s">
        <v>98</v>
      </c>
      <c r="E17" s="262" t="n">
        <f aca="false">INDEX(PalData,MATCH(G17,PalNames,0)+1,MATCH("Image",PalData_Header,0))</f>
        <v>0</v>
      </c>
      <c r="F17" s="48" t="n">
        <f aca="false" t="array" ref="F17:F17">INDEX(PalData,MATCH(G17,PalNames,0)+1,MATCH("ZukanIndex",PalData_Header,0))</f>
        <v>104</v>
      </c>
      <c r="G17" s="264" t="s">
        <v>97</v>
      </c>
      <c r="H17" s="48" t="n">
        <f aca="false">INDEX(PalData,MATCH(J17,PalNames,0)+1,MATCH("Image",PalData_Header,0))</f>
        <v>0</v>
      </c>
      <c r="I17" s="48" t="n">
        <f aca="false" t="array" ref="I17:I17">INDEX(PalData,MATCH(J17,PalNames,0)+1,MATCH("ZukanIndex",PalData_Header,0))</f>
        <v>99</v>
      </c>
      <c r="J17" s="49" t="s">
        <v>105</v>
      </c>
    </row>
    <row r="18" customFormat="false" ht="15.75" hidden="false" customHeight="false" outlineLevel="0" collapsed="false">
      <c r="A18" s="3"/>
      <c r="B18" s="259" t="n">
        <f aca="false">INDEX(PalData,MATCH(D18,PalNames,0)+1,MATCH("Image",PalData_Header,0))</f>
        <v>0</v>
      </c>
      <c r="C18" s="45" t="n">
        <f aca="false" t="array" ref="C18:C18">INDEX(PalData,MATCH(D18,PalNames,0)+1,MATCH("ZukanIndex",PalData_Header,0))</f>
        <v>45</v>
      </c>
      <c r="D18" s="260" t="s">
        <v>92</v>
      </c>
      <c r="E18" s="259" t="n">
        <f aca="false">INDEX(PalData,MATCH(G18,PalNames,0)+1,MATCH("Image",PalData_Header,0))</f>
        <v>0</v>
      </c>
      <c r="F18" s="45" t="n">
        <f aca="false" t="array" ref="F18:F18">INDEX(PalData,MATCH(G18,PalNames,0)+1,MATCH("ZukanIndex",PalData_Header,0))</f>
        <v>45</v>
      </c>
      <c r="G18" s="261" t="s">
        <v>91</v>
      </c>
      <c r="H18" s="45" t="n">
        <f aca="false">INDEX(PalData,MATCH(J18,PalNames,0)+1,MATCH("Image",PalData_Header,0))</f>
        <v>0</v>
      </c>
      <c r="I18" s="45" t="n">
        <f aca="false" t="array" ref="I18:I18">INDEX(PalData,MATCH(J18,PalNames,0)+1,MATCH("ZukanIndex",PalData_Header,0))</f>
        <v>70</v>
      </c>
      <c r="J18" s="46" t="s">
        <v>56</v>
      </c>
    </row>
    <row r="19" customFormat="false" ht="15.75" hidden="false" customHeight="false" outlineLevel="0" collapsed="false">
      <c r="A19" s="3"/>
      <c r="B19" s="262" t="n">
        <f aca="false">INDEX(PalData,MATCH(D19,PalNames,0)+1,MATCH("Image",PalData_Header,0))</f>
        <v>0</v>
      </c>
      <c r="C19" s="48" t="n">
        <f aca="false" t="array" ref="C19:C19">INDEX(PalData,MATCH(D19,PalNames,0)+1,MATCH("ZukanIndex",PalData_Header,0))</f>
        <v>84</v>
      </c>
      <c r="D19" s="263" t="s">
        <v>27</v>
      </c>
      <c r="E19" s="262" t="n">
        <f aca="false">INDEX(PalData,MATCH(G19,PalNames,0)+1,MATCH("Image",PalData_Header,0))</f>
        <v>0</v>
      </c>
      <c r="F19" s="48" t="n">
        <f aca="false" t="array" ref="F19:F19">INDEX(PalData,MATCH(G19,PalNames,0)+1,MATCH("ZukanIndex",PalData_Header,0))</f>
        <v>84</v>
      </c>
      <c r="G19" s="264" t="s">
        <v>25</v>
      </c>
      <c r="H19" s="48" t="n">
        <f aca="false">INDEX(PalData,MATCH(J19,PalNames,0)+1,MATCH("Image",PalData_Header,0))</f>
        <v>0</v>
      </c>
      <c r="I19" s="48" t="n">
        <f aca="false" t="array" ref="I19:I19">INDEX(PalData,MATCH(J19,PalNames,0)+1,MATCH("ZukanIndex",PalData_Header,0))</f>
        <v>94</v>
      </c>
      <c r="J19" s="49" t="s">
        <v>54</v>
      </c>
    </row>
    <row r="20" customFormat="false" ht="15.75" hidden="false" customHeight="false" outlineLevel="0" collapsed="false">
      <c r="A20" s="3"/>
      <c r="B20" s="259" t="n">
        <f aca="false">INDEX(PalData,MATCH(D20,PalNames,0)+1,MATCH("Image",PalData_Header,0))</f>
        <v>0</v>
      </c>
      <c r="C20" s="45" t="n">
        <f aca="false" t="array" ref="C20:C20">INDEX(PalData,MATCH(D20,PalNames,0)+1,MATCH("ZukanIndex",PalData_Header,0))</f>
        <v>48</v>
      </c>
      <c r="D20" s="260" t="s">
        <v>127</v>
      </c>
      <c r="E20" s="259" t="n">
        <f aca="false">INDEX(PalData,MATCH(G20,PalNames,0)+1,MATCH("Image",PalData_Header,0))</f>
        <v>0</v>
      </c>
      <c r="F20" s="45" t="n">
        <f aca="false" t="array" ref="F20:F20">INDEX(PalData,MATCH(G20,PalNames,0)+1,MATCH("ZukanIndex",PalData_Header,0))</f>
        <v>48</v>
      </c>
      <c r="G20" s="261" t="s">
        <v>126</v>
      </c>
      <c r="H20" s="45" t="n">
        <f aca="false">INDEX(PalData,MATCH(J20,PalNames,0)+1,MATCH("Image",PalData_Header,0))</f>
        <v>0</v>
      </c>
      <c r="I20" s="45" t="n">
        <f aca="false" t="array" ref="I20:I20">INDEX(PalData,MATCH(J20,PalNames,0)+1,MATCH("ZukanIndex",PalData_Header,0))</f>
        <v>22</v>
      </c>
      <c r="J20" s="46" t="s">
        <v>62</v>
      </c>
    </row>
    <row r="21" customFormat="false" ht="15.75" hidden="false" customHeight="false" outlineLevel="0" collapsed="false">
      <c r="A21" s="3"/>
      <c r="B21" s="262" t="n">
        <f aca="false">INDEX(PalData,MATCH(D21,PalNames,0)+1,MATCH("Image",PalData_Header,0))</f>
        <v>0</v>
      </c>
      <c r="C21" s="48" t="n">
        <f aca="false" t="array" ref="C21:C21">INDEX(PalData,MATCH(D21,PalNames,0)+1,MATCH("ZukanIndex",PalData_Header,0))</f>
        <v>86</v>
      </c>
      <c r="D21" s="263" t="s">
        <v>30</v>
      </c>
      <c r="E21" s="262" t="n">
        <f aca="false">INDEX(PalData,MATCH(G21,PalNames,0)+1,MATCH("Image",PalData_Header,0))</f>
        <v>0</v>
      </c>
      <c r="F21" s="48" t="n">
        <f aca="false" t="array" ref="F21:F21">INDEX(PalData,MATCH(G21,PalNames,0)+1,MATCH("ZukanIndex",PalData_Header,0))</f>
        <v>86</v>
      </c>
      <c r="G21" s="264" t="s">
        <v>29</v>
      </c>
      <c r="H21" s="48" t="n">
        <f aca="false">INDEX(PalData,MATCH(J21,PalNames,0)+1,MATCH("Image",PalData_Header,0))</f>
        <v>0</v>
      </c>
      <c r="I21" s="48" t="n">
        <f aca="false" t="array" ref="I21:I21">INDEX(PalData,MATCH(J21,PalNames,0)+1,MATCH("ZukanIndex",PalData_Header,0))</f>
        <v>6</v>
      </c>
      <c r="J21" s="49" t="s">
        <v>61</v>
      </c>
    </row>
    <row r="22" customFormat="false" ht="15.75" hidden="false" customHeight="false" outlineLevel="0" collapsed="false">
      <c r="A22" s="3"/>
      <c r="B22" s="259" t="n">
        <f aca="false">INDEX(PalData,MATCH(D22,PalNames,0)+1,MATCH("Image",PalData_Header,0))</f>
        <v>0</v>
      </c>
      <c r="C22" s="45" t="n">
        <f aca="false" t="array" ref="C22:C22">INDEX(PalData,MATCH(D22,PalNames,0)+1,MATCH("ZukanIndex",PalData_Header,0))</f>
        <v>65</v>
      </c>
      <c r="D22" s="260" t="s">
        <v>134</v>
      </c>
      <c r="E22" s="259" t="n">
        <f aca="false">INDEX(PalData,MATCH(G22,PalNames,0)+1,MATCH("Image",PalData_Header,0))</f>
        <v>0</v>
      </c>
      <c r="F22" s="45" t="n">
        <f aca="false" t="array" ref="F22:F22">INDEX(PalData,MATCH(G22,PalNames,0)+1,MATCH("ZukanIndex",PalData_Header,0))</f>
        <v>65</v>
      </c>
      <c r="G22" s="261" t="s">
        <v>133</v>
      </c>
      <c r="H22" s="45" t="n">
        <f aca="false">INDEX(PalData,MATCH(J22,PalNames,0)+1,MATCH("Image",PalData_Header,0))</f>
        <v>0</v>
      </c>
      <c r="I22" s="45" t="n">
        <f aca="false" t="array" ref="I22:I22">INDEX(PalData,MATCH(J22,PalNames,0)+1,MATCH("ZukanIndex",PalData_Header,0))</f>
        <v>43</v>
      </c>
      <c r="J22" s="46" t="s">
        <v>47</v>
      </c>
    </row>
    <row r="23" customFormat="false" ht="15.75" hidden="false" customHeight="false" outlineLevel="0" collapsed="false">
      <c r="A23" s="3"/>
      <c r="B23" s="262" t="n">
        <f aca="false">INDEX(PalData,MATCH(D23,PalNames,0)+1,MATCH("Image",PalData_Header,0))</f>
        <v>0</v>
      </c>
      <c r="C23" s="48" t="n">
        <f aca="false" t="array" ref="C23:C23">INDEX(PalData,MATCH(D23,PalNames,0)+1,MATCH("ZukanIndex",PalData_Header,0))</f>
        <v>31</v>
      </c>
      <c r="D23" s="263" t="s">
        <v>65</v>
      </c>
      <c r="E23" s="262" t="n">
        <f aca="false">INDEX(PalData,MATCH(G23,PalNames,0)+1,MATCH("Image",PalData_Header,0))</f>
        <v>0</v>
      </c>
      <c r="F23" s="48" t="n">
        <f aca="false" t="array" ref="F23:F23">INDEX(PalData,MATCH(G23,PalNames,0)+1,MATCH("ZukanIndex",PalData_Header,0))</f>
        <v>31</v>
      </c>
      <c r="G23" s="264" t="s">
        <v>64</v>
      </c>
      <c r="H23" s="48" t="n">
        <f aca="false">INDEX(PalData,MATCH(J23,PalNames,0)+1,MATCH("Image",PalData_Header,0))</f>
        <v>0</v>
      </c>
      <c r="I23" s="48" t="n">
        <f aca="false" t="array" ref="I23:I23">INDEX(PalData,MATCH(J23,PalNames,0)+1,MATCH("ZukanIndex",PalData_Header,0))</f>
        <v>9</v>
      </c>
      <c r="J23" s="49" t="s">
        <v>128</v>
      </c>
    </row>
    <row r="24" customFormat="false" ht="15.75" hidden="false" customHeight="false" outlineLevel="0" collapsed="false">
      <c r="A24" s="3"/>
      <c r="B24" s="259" t="n">
        <f aca="false">INDEX(PalData,MATCH(D24,PalNames,0)+1,MATCH("Image",PalData_Header,0))</f>
        <v>0</v>
      </c>
      <c r="C24" s="45" t="n">
        <f aca="false" t="array" ref="C24:C24">INDEX(PalData,MATCH(D24,PalNames,0)+1,MATCH("ZukanIndex",PalData_Header,0))</f>
        <v>102</v>
      </c>
      <c r="D24" s="260" t="s">
        <v>136</v>
      </c>
      <c r="E24" s="259" t="n">
        <f aca="false">INDEX(PalData,MATCH(G24,PalNames,0)+1,MATCH("Image",PalData_Header,0))</f>
        <v>0</v>
      </c>
      <c r="F24" s="45" t="n">
        <f aca="false" t="array" ref="F24:F24">INDEX(PalData,MATCH(G24,PalNames,0)+1,MATCH("ZukanIndex",PalData_Header,0))</f>
        <v>102</v>
      </c>
      <c r="G24" s="261" t="s">
        <v>135</v>
      </c>
      <c r="H24" s="45" t="n">
        <f aca="false">INDEX(PalData,MATCH(J24,PalNames,0)+1,MATCH("Image",PalData_Header,0))</f>
        <v>0</v>
      </c>
      <c r="I24" s="45" t="n">
        <f aca="false" t="array" ref="I24:I24">INDEX(PalData,MATCH(J24,PalNames,0)+1,MATCH("ZukanIndex",PalData_Header,0))</f>
        <v>101</v>
      </c>
      <c r="J24" s="46" t="s">
        <v>82</v>
      </c>
    </row>
    <row r="25" customFormat="false" ht="15.75" hidden="false" customHeight="false" outlineLevel="0" collapsed="false">
      <c r="A25" s="3"/>
      <c r="B25" s="262" t="n">
        <f aca="false">INDEX(PalData,MATCH(D25,PalNames,0)+1,MATCH("Image",PalData_Header,0))</f>
        <v>0</v>
      </c>
      <c r="C25" s="48" t="n">
        <f aca="false" t="array" ref="C25:C25">INDEX(PalData,MATCH(D25,PalNames,0)+1,MATCH("ZukanIndex",PalData_Header,0))</f>
        <v>88</v>
      </c>
      <c r="D25" s="263" t="s">
        <v>76</v>
      </c>
      <c r="E25" s="262" t="n">
        <f aca="false">INDEX(PalData,MATCH(G25,PalNames,0)+1,MATCH("Image",PalData_Header,0))</f>
        <v>0</v>
      </c>
      <c r="F25" s="48" t="n">
        <f aca="false" t="array" ref="F25:F25">INDEX(PalData,MATCH(G25,PalNames,0)+1,MATCH("ZukanIndex",PalData_Header,0))</f>
        <v>88</v>
      </c>
      <c r="G25" s="264" t="s">
        <v>124</v>
      </c>
      <c r="H25" s="48" t="n">
        <f aca="false">INDEX(PalData,MATCH(J25,PalNames,0)+1,MATCH("Image",PalData_Header,0))</f>
        <v>0</v>
      </c>
      <c r="I25" s="48" t="n">
        <f aca="false" t="array" ref="I25:I25">INDEX(PalData,MATCH(J25,PalNames,0)+1,MATCH("ZukanIndex",PalData_Header,0))</f>
        <v>57</v>
      </c>
      <c r="J25" s="49" t="s">
        <v>58</v>
      </c>
    </row>
    <row r="26" customFormat="false" ht="15.75" hidden="false" customHeight="false" outlineLevel="0" collapsed="false">
      <c r="A26" s="3"/>
      <c r="B26" s="259" t="n">
        <f aca="false">INDEX(PalData,MATCH(D26,PalNames,0)+1,MATCH("Image",PalData_Header,0))</f>
        <v>0</v>
      </c>
      <c r="C26" s="45" t="n">
        <f aca="false" t="array" ref="C26:C26">INDEX(PalData,MATCH(D26,PalNames,0)+1,MATCH("ZukanIndex",PalData_Header,0))</f>
        <v>32</v>
      </c>
      <c r="D26" s="260" t="s">
        <v>72</v>
      </c>
      <c r="E26" s="259" t="n">
        <f aca="false">INDEX(PalData,MATCH(G26,PalNames,0)+1,MATCH("Image",PalData_Header,0))</f>
        <v>0</v>
      </c>
      <c r="F26" s="45" t="n">
        <f aca="false" t="array" ref="F26:F26">INDEX(PalData,MATCH(G26,PalNames,0)+1,MATCH("ZukanIndex",PalData_Header,0))</f>
        <v>32</v>
      </c>
      <c r="G26" s="261" t="s">
        <v>71</v>
      </c>
      <c r="H26" s="45" t="n">
        <f aca="false">INDEX(PalData,MATCH(J26,PalNames,0)+1,MATCH("Image",PalData_Header,0))</f>
        <v>0</v>
      </c>
      <c r="I26" s="45" t="n">
        <f aca="false" t="array" ref="I26:I26">INDEX(PalData,MATCH(J26,PalNames,0)+1,MATCH("ZukanIndex",PalData_Header,0))</f>
        <v>53</v>
      </c>
      <c r="J26" s="46" t="s">
        <v>137</v>
      </c>
    </row>
    <row r="27" customFormat="false" ht="15.75" hidden="false" customHeight="false" outlineLevel="0" collapsed="false">
      <c r="A27" s="3"/>
      <c r="B27" s="262" t="n">
        <f aca="false">INDEX(PalData,MATCH(D27,PalNames,0)+1,MATCH("Image",PalData_Header,0))</f>
        <v>0</v>
      </c>
      <c r="C27" s="48" t="n">
        <f aca="false" t="array" ref="C27:C27">INDEX(PalData,MATCH(D27,PalNames,0)+1,MATCH("ZukanIndex",PalData_Header,0))</f>
        <v>104</v>
      </c>
      <c r="D27" s="263" t="s">
        <v>97</v>
      </c>
      <c r="E27" s="262" t="n">
        <f aca="false">INDEX(PalData,MATCH(G27,PalNames,0)+1,MATCH("Image",PalData_Header,0))</f>
        <v>0</v>
      </c>
      <c r="F27" s="48" t="n">
        <f aca="false" t="array" ref="F27:F27">INDEX(PalData,MATCH(G27,PalNames,0)+1,MATCH("ZukanIndex",PalData_Header,0))</f>
        <v>33</v>
      </c>
      <c r="G27" s="264" t="s">
        <v>106</v>
      </c>
      <c r="H27" s="48" t="n">
        <f aca="false">INDEX(PalData,MATCH(J27,PalNames,0)+1,MATCH("Image",PalData_Header,0))</f>
        <v>0</v>
      </c>
      <c r="I27" s="48" t="n">
        <f aca="false" t="array" ref="I27:I27">INDEX(PalData,MATCH(J27,PalNames,0)+1,MATCH("ZukanIndex",PalData_Header,0))</f>
        <v>87</v>
      </c>
      <c r="J27" s="49" t="s">
        <v>116</v>
      </c>
    </row>
    <row r="28" customFormat="false" ht="15.75" hidden="false" customHeight="false" outlineLevel="0" collapsed="false">
      <c r="A28" s="3"/>
      <c r="B28" s="259" t="n">
        <f aca="false">INDEX(PalData,MATCH(D28,PalNames,0)+1,MATCH("Image",PalData_Header,0))</f>
        <v>0</v>
      </c>
      <c r="C28" s="45" t="n">
        <f aca="false" t="array" ref="C28:C28">INDEX(PalData,MATCH(D28,PalNames,0)+1,MATCH("ZukanIndex",PalData_Header,0))</f>
        <v>105</v>
      </c>
      <c r="D28" s="260" t="s">
        <v>53</v>
      </c>
      <c r="E28" s="259" t="n">
        <f aca="false">INDEX(PalData,MATCH(G28,PalNames,0)+1,MATCH("Image",PalData_Header,0))</f>
        <v>0</v>
      </c>
      <c r="F28" s="45" t="n">
        <f aca="false" t="array" ref="F28:F28">INDEX(PalData,MATCH(G28,PalNames,0)+1,MATCH("ZukanIndex",PalData_Header,0))</f>
        <v>71</v>
      </c>
      <c r="G28" s="261" t="s">
        <v>145</v>
      </c>
      <c r="H28" s="45" t="n">
        <f aca="false">INDEX(PalData,MATCH(J28,PalNames,0)+1,MATCH("Image",PalData_Header,0))</f>
        <v>0</v>
      </c>
      <c r="I28" s="45" t="n">
        <f aca="false" t="array" ref="I28:I28">INDEX(PalData,MATCH(J28,PalNames,0)+1,MATCH("ZukanIndex",PalData_Header,0))</f>
        <v>100</v>
      </c>
      <c r="J28" s="46" t="s">
        <v>12</v>
      </c>
    </row>
    <row r="29" customFormat="false" ht="15.75" hidden="false" customHeight="false" outlineLevel="0" collapsed="false">
      <c r="A29" s="3"/>
      <c r="B29" s="262" t="n">
        <f aca="false">INDEX(PalData,MATCH(D29,PalNames,0)+1,MATCH("Image",PalData_Header,0))</f>
        <v>0</v>
      </c>
      <c r="C29" s="48" t="n">
        <f aca="false" t="array" ref="C29:C29">INDEX(PalData,MATCH(D29,PalNames,0)+1,MATCH("ZukanIndex",PalData_Header,0))</f>
        <v>103</v>
      </c>
      <c r="D29" s="263" t="s">
        <v>68</v>
      </c>
      <c r="E29" s="262" t="n">
        <f aca="false">INDEX(PalData,MATCH(G29,PalNames,0)+1,MATCH("Image",PalData_Header,0))</f>
        <v>0</v>
      </c>
      <c r="F29" s="48" t="n">
        <f aca="false" t="array" ref="F29:F29">INDEX(PalData,MATCH(G29,PalNames,0)+1,MATCH("ZukanIndex",PalData_Header,0))</f>
        <v>33</v>
      </c>
      <c r="G29" s="264" t="s">
        <v>106</v>
      </c>
      <c r="H29" s="48" t="n">
        <f aca="false">INDEX(PalData,MATCH(J29,PalNames,0)+1,MATCH("Image",PalData_Header,0))</f>
        <v>0</v>
      </c>
      <c r="I29" s="48" t="n">
        <f aca="false" t="array" ref="I29:I29">INDEX(PalData,MATCH(J29,PalNames,0)+1,MATCH("ZukanIndex",PalData_Header,0))</f>
        <v>60</v>
      </c>
      <c r="J29" s="49" t="s">
        <v>120</v>
      </c>
    </row>
    <row r="30" customFormat="false" ht="15.75" hidden="false" customHeight="false" outlineLevel="0" collapsed="false">
      <c r="A30" s="3"/>
      <c r="B30" s="259" t="n">
        <f aca="false">INDEX(PalData,MATCH(D30,PalNames,0)+1,MATCH("Image",PalData_Header,0))</f>
        <v>0</v>
      </c>
      <c r="C30" s="45" t="n">
        <f aca="false" t="array" ref="C30:C30">INDEX(PalData,MATCH(D30,PalNames,0)+1,MATCH("ZukanIndex",PalData_Header,0))</f>
        <v>106</v>
      </c>
      <c r="D30" s="260" t="s">
        <v>112</v>
      </c>
      <c r="E30" s="259" t="n">
        <f aca="false">INDEX(PalData,MATCH(G30,PalNames,0)+1,MATCH("Image",PalData_Header,0))</f>
        <v>0</v>
      </c>
      <c r="F30" s="45" t="n">
        <f aca="false" t="array" ref="F30:F30">INDEX(PalData,MATCH(G30,PalNames,0)+1,MATCH("ZukanIndex",PalData_Header,0))</f>
        <v>103</v>
      </c>
      <c r="G30" s="261" t="s">
        <v>68</v>
      </c>
      <c r="H30" s="45" t="n">
        <f aca="false">INDEX(PalData,MATCH(J30,PalNames,0)+1,MATCH("Image",PalData_Header,0))</f>
        <v>0</v>
      </c>
      <c r="I30" s="45" t="n">
        <f aca="false" t="array" ref="I30:I30">INDEX(PalData,MATCH(J30,PalNames,0)+1,MATCH("ZukanIndex",PalData_Header,0))</f>
        <v>85</v>
      </c>
      <c r="J30" s="46" t="s">
        <v>122</v>
      </c>
    </row>
    <row r="31" customFormat="false" ht="15.75" hidden="false" customHeight="false" outlineLevel="0" collapsed="false">
      <c r="A31" s="3"/>
      <c r="B31" s="265" t="n">
        <f aca="false">INDEX(PalData,MATCH(D31,PalNames,0)+1,MATCH("Image",PalData_Header,0))</f>
        <v>0</v>
      </c>
      <c r="C31" s="266" t="n">
        <f aca="false" t="array" ref="C31:C31">INDEX(PalData,MATCH(D31,PalNames,0)+1,MATCH("ZukanIndex",PalData_Header,0))</f>
        <v>107</v>
      </c>
      <c r="D31" s="267" t="s">
        <v>130</v>
      </c>
      <c r="E31" s="265" t="n">
        <f aca="false">INDEX(PalData,MATCH(G31,PalNames,0)+1,MATCH("Image",PalData_Header,0))</f>
        <v>0</v>
      </c>
      <c r="F31" s="266" t="n">
        <f aca="false" t="array" ref="F31:F31">INDEX(PalData,MATCH(G31,PalNames,0)+1,MATCH("ZukanIndex",PalData_Header,0))</f>
        <v>61</v>
      </c>
      <c r="G31" s="268" t="s">
        <v>89</v>
      </c>
      <c r="H31" s="266" t="n">
        <f aca="false">INDEX(PalData,MATCH(J31,PalNames,0)+1,MATCH("Image",PalData_Header,0))</f>
        <v>0</v>
      </c>
      <c r="I31" s="266" t="n">
        <f aca="false" t="array" ref="I31:I31">INDEX(PalData,MATCH(J31,PalNames,0)+1,MATCH("ZukanIndex",PalData_Header,0))</f>
        <v>98</v>
      </c>
      <c r="J31" s="269" t="s">
        <v>15</v>
      </c>
    </row>
  </sheetData>
  <mergeCells count="4">
    <mergeCell ref="B2:J2"/>
    <mergeCell ref="B3:D3"/>
    <mergeCell ref="E3:G3"/>
    <mergeCell ref="H3:J3"/>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1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B4" activeCellId="0" sqref="B4"/>
    </sheetView>
  </sheetViews>
  <sheetFormatPr defaultColWidth="12.640625" defaultRowHeight="15.75" zeroHeight="false" outlineLevelRow="0" outlineLevelCol="0"/>
  <cols>
    <col collapsed="false" customWidth="true" hidden="false" outlineLevel="0" max="1" min="1" style="0" width="8.13"/>
    <col collapsed="false" customWidth="true" hidden="false" outlineLevel="0" max="2" min="2" style="0" width="4.5"/>
    <col collapsed="false" customWidth="true" hidden="false" outlineLevel="0" max="6" min="5" style="0" width="4.5"/>
    <col collapsed="false" customWidth="true" hidden="false" outlineLevel="0" max="10" min="9" style="0" width="4.5"/>
    <col collapsed="false" customWidth="true" hidden="false" outlineLevel="0" max="14" min="13" style="0" width="4.5"/>
    <col collapsed="false" customWidth="true" hidden="false" outlineLevel="0" max="18" min="17" style="0" width="4.5"/>
    <col collapsed="false" customWidth="true" hidden="false" outlineLevel="0" max="19" min="19" style="0" width="14.01"/>
    <col collapsed="false" customWidth="true" hidden="false" outlineLevel="0" max="20" min="20" style="0" width="5.13"/>
    <col collapsed="false" customWidth="true" hidden="false" outlineLevel="0" max="22" min="21" style="0" width="4.5"/>
    <col collapsed="false" customWidth="true" hidden="false" outlineLevel="0" max="23" min="23" style="0" width="14.01"/>
    <col collapsed="false" customWidth="true" hidden="false" outlineLevel="0" max="24" min="24" style="0" width="5.13"/>
  </cols>
  <sheetData>
    <row r="1" customFormat="false" ht="15.75" hidden="false" customHeight="false" outlineLevel="0" collapsed="false">
      <c r="A1" s="6"/>
      <c r="B1" s="257" t="s">
        <v>240</v>
      </c>
      <c r="C1" s="257"/>
      <c r="D1" s="257"/>
      <c r="E1" s="1"/>
      <c r="F1" s="257" t="s">
        <v>241</v>
      </c>
      <c r="G1" s="257"/>
      <c r="H1" s="257"/>
      <c r="I1" s="1"/>
      <c r="J1" s="257" t="s">
        <v>242</v>
      </c>
      <c r="K1" s="257"/>
      <c r="L1" s="257"/>
      <c r="M1" s="1"/>
      <c r="N1" s="257" t="s">
        <v>243</v>
      </c>
      <c r="O1" s="257"/>
      <c r="P1" s="257"/>
      <c r="R1" s="270" t="s">
        <v>244</v>
      </c>
      <c r="S1" s="270"/>
      <c r="T1" s="270"/>
      <c r="V1" s="270" t="s">
        <v>245</v>
      </c>
      <c r="W1" s="270"/>
      <c r="X1" s="270"/>
    </row>
    <row r="2" customFormat="false" ht="15.75" hidden="false" customHeight="false" outlineLevel="0" collapsed="false">
      <c r="A2" s="3"/>
      <c r="B2" s="271" t="s">
        <v>7</v>
      </c>
      <c r="C2" s="45" t="s">
        <v>8</v>
      </c>
      <c r="D2" s="46" t="s">
        <v>233</v>
      </c>
      <c r="F2" s="271" t="s">
        <v>7</v>
      </c>
      <c r="G2" s="35" t="s">
        <v>8</v>
      </c>
      <c r="H2" s="272" t="s">
        <v>233</v>
      </c>
      <c r="J2" s="271" t="s">
        <v>7</v>
      </c>
      <c r="K2" s="35" t="s">
        <v>8</v>
      </c>
      <c r="L2" s="272" t="s">
        <v>233</v>
      </c>
      <c r="N2" s="271" t="s">
        <v>7</v>
      </c>
      <c r="O2" s="35" t="s">
        <v>8</v>
      </c>
      <c r="P2" s="272" t="s">
        <v>233</v>
      </c>
      <c r="R2" s="273" t="s">
        <v>7</v>
      </c>
      <c r="S2" s="274" t="s">
        <v>8</v>
      </c>
      <c r="T2" s="275" t="s">
        <v>246</v>
      </c>
      <c r="V2" s="273" t="s">
        <v>7</v>
      </c>
      <c r="W2" s="274" t="s">
        <v>8</v>
      </c>
      <c r="X2" s="275" t="s">
        <v>246</v>
      </c>
    </row>
    <row r="3" customFormat="false" ht="15.75" hidden="false" customHeight="false" outlineLevel="0" collapsed="false">
      <c r="B3" s="276" t="n">
        <v>100</v>
      </c>
      <c r="C3" s="40" t="s">
        <v>12</v>
      </c>
      <c r="D3" s="277" t="n">
        <v>570</v>
      </c>
      <c r="F3" s="276" t="n">
        <v>3</v>
      </c>
      <c r="G3" s="40" t="s">
        <v>35</v>
      </c>
      <c r="H3" s="277" t="n">
        <v>1500</v>
      </c>
      <c r="J3" s="276" t="n">
        <v>96</v>
      </c>
      <c r="K3" s="40" t="s">
        <v>24</v>
      </c>
      <c r="L3" s="277" t="n">
        <v>10</v>
      </c>
      <c r="N3" s="276" t="n">
        <v>1</v>
      </c>
      <c r="O3" s="40" t="s">
        <v>90</v>
      </c>
      <c r="P3" s="277" t="n">
        <v>1470</v>
      </c>
      <c r="R3" s="262" t="n">
        <v>100</v>
      </c>
      <c r="S3" s="278" t="s">
        <v>12</v>
      </c>
      <c r="T3" s="279" t="n">
        <v>1</v>
      </c>
      <c r="V3" s="262" t="n">
        <v>100</v>
      </c>
      <c r="W3" s="278" t="s">
        <v>12</v>
      </c>
      <c r="X3" s="279" t="n">
        <v>1</v>
      </c>
    </row>
    <row r="4" customFormat="false" ht="15.75" hidden="false" customHeight="false" outlineLevel="0" collapsed="false">
      <c r="B4" s="280" t="n">
        <v>42</v>
      </c>
      <c r="C4" s="35" t="s">
        <v>13</v>
      </c>
      <c r="D4" s="272" t="n">
        <v>790</v>
      </c>
      <c r="F4" s="280" t="n">
        <v>16</v>
      </c>
      <c r="G4" s="35" t="s">
        <v>140</v>
      </c>
      <c r="H4" s="272" t="n">
        <v>1490</v>
      </c>
      <c r="J4" s="280" t="n">
        <v>102</v>
      </c>
      <c r="K4" s="35" t="s">
        <v>136</v>
      </c>
      <c r="L4" s="272" t="n">
        <v>30</v>
      </c>
      <c r="N4" s="280" t="n">
        <v>2</v>
      </c>
      <c r="O4" s="35" t="s">
        <v>32</v>
      </c>
      <c r="P4" s="272" t="n">
        <v>1460</v>
      </c>
      <c r="R4" s="262" t="n">
        <v>40</v>
      </c>
      <c r="S4" s="281" t="s">
        <v>77</v>
      </c>
      <c r="T4" s="213" t="n">
        <v>2</v>
      </c>
      <c r="V4" s="262" t="n">
        <v>42</v>
      </c>
      <c r="W4" s="278" t="s">
        <v>13</v>
      </c>
      <c r="X4" s="279" t="n">
        <v>99</v>
      </c>
    </row>
    <row r="5" customFormat="false" ht="15.75" hidden="false" customHeight="false" outlineLevel="0" collapsed="false">
      <c r="B5" s="276" t="n">
        <v>98</v>
      </c>
      <c r="C5" s="40" t="s">
        <v>15</v>
      </c>
      <c r="D5" s="277" t="n">
        <v>150</v>
      </c>
      <c r="F5" s="276" t="n">
        <v>24</v>
      </c>
      <c r="G5" s="40" t="s">
        <v>102</v>
      </c>
      <c r="H5" s="277" t="n">
        <v>1480</v>
      </c>
      <c r="J5" s="276" t="n">
        <v>102</v>
      </c>
      <c r="K5" s="40" t="s">
        <v>135</v>
      </c>
      <c r="L5" s="277" t="n">
        <v>50</v>
      </c>
      <c r="N5" s="276" t="n">
        <v>3</v>
      </c>
      <c r="O5" s="40" t="s">
        <v>35</v>
      </c>
      <c r="P5" s="277" t="n">
        <v>1500</v>
      </c>
      <c r="R5" s="262" t="n">
        <v>40</v>
      </c>
      <c r="S5" s="278" t="s">
        <v>78</v>
      </c>
      <c r="T5" s="279" t="n">
        <v>3</v>
      </c>
      <c r="V5" s="262" t="n">
        <v>98</v>
      </c>
      <c r="W5" s="281" t="s">
        <v>15</v>
      </c>
      <c r="X5" s="213" t="n">
        <v>102</v>
      </c>
    </row>
    <row r="6" customFormat="false" ht="15.75" hidden="false" customHeight="false" outlineLevel="0" collapsed="false">
      <c r="B6" s="280" t="n">
        <v>82</v>
      </c>
      <c r="C6" s="35" t="s">
        <v>18</v>
      </c>
      <c r="D6" s="272" t="n">
        <v>500</v>
      </c>
      <c r="F6" s="280" t="n">
        <v>1</v>
      </c>
      <c r="G6" s="35" t="s">
        <v>90</v>
      </c>
      <c r="H6" s="272" t="n">
        <v>1470</v>
      </c>
      <c r="J6" s="280" t="n">
        <v>107</v>
      </c>
      <c r="K6" s="35" t="s">
        <v>130</v>
      </c>
      <c r="L6" s="272" t="n">
        <v>60</v>
      </c>
      <c r="N6" s="280" t="n">
        <v>4</v>
      </c>
      <c r="O6" s="35" t="s">
        <v>93</v>
      </c>
      <c r="P6" s="272" t="n">
        <v>1430</v>
      </c>
      <c r="R6" s="262" t="n">
        <v>24</v>
      </c>
      <c r="S6" s="281" t="s">
        <v>102</v>
      </c>
      <c r="T6" s="213" t="n">
        <v>4</v>
      </c>
      <c r="V6" s="262" t="n">
        <v>82</v>
      </c>
      <c r="W6" s="278" t="s">
        <v>18</v>
      </c>
      <c r="X6" s="279" t="n">
        <v>45</v>
      </c>
    </row>
    <row r="7" customFormat="false" ht="15.75" hidden="false" customHeight="false" outlineLevel="0" collapsed="false">
      <c r="B7" s="276" t="n">
        <v>73</v>
      </c>
      <c r="C7" s="40" t="s">
        <v>20</v>
      </c>
      <c r="D7" s="277" t="n">
        <v>220</v>
      </c>
      <c r="F7" s="276" t="n">
        <v>2</v>
      </c>
      <c r="G7" s="40" t="s">
        <v>32</v>
      </c>
      <c r="H7" s="277" t="n">
        <v>1460</v>
      </c>
      <c r="J7" s="276" t="n">
        <v>109</v>
      </c>
      <c r="K7" s="40" t="s">
        <v>109</v>
      </c>
      <c r="L7" s="277" t="n">
        <v>70</v>
      </c>
      <c r="N7" s="276" t="n">
        <v>5</v>
      </c>
      <c r="O7" s="40" t="s">
        <v>59</v>
      </c>
      <c r="P7" s="277" t="n">
        <v>1400</v>
      </c>
      <c r="R7" s="262" t="n">
        <v>24</v>
      </c>
      <c r="S7" s="278" t="s">
        <v>103</v>
      </c>
      <c r="T7" s="279" t="n">
        <v>5</v>
      </c>
      <c r="V7" s="262" t="n">
        <v>73</v>
      </c>
      <c r="W7" s="281" t="s">
        <v>20</v>
      </c>
      <c r="X7" s="213" t="n">
        <v>118</v>
      </c>
    </row>
    <row r="8" customFormat="false" ht="15.75" hidden="false" customHeight="false" outlineLevel="0" collapsed="false">
      <c r="B8" s="280" t="n">
        <v>50</v>
      </c>
      <c r="C8" s="35" t="s">
        <v>22</v>
      </c>
      <c r="D8" s="272" t="n">
        <v>1070</v>
      </c>
      <c r="F8" s="280" t="n">
        <v>18</v>
      </c>
      <c r="G8" s="35" t="s">
        <v>38</v>
      </c>
      <c r="H8" s="272" t="n">
        <v>1455</v>
      </c>
      <c r="J8" s="280" t="n">
        <v>108</v>
      </c>
      <c r="K8" s="35" t="s">
        <v>113</v>
      </c>
      <c r="L8" s="272" t="n">
        <v>80</v>
      </c>
      <c r="N8" s="280" t="n">
        <v>6</v>
      </c>
      <c r="O8" s="35" t="s">
        <v>61</v>
      </c>
      <c r="P8" s="272" t="n">
        <v>1330</v>
      </c>
      <c r="R8" s="262" t="n">
        <v>20</v>
      </c>
      <c r="S8" s="281" t="s">
        <v>129</v>
      </c>
      <c r="T8" s="213" t="n">
        <v>6</v>
      </c>
      <c r="V8" s="262" t="n">
        <v>50</v>
      </c>
      <c r="W8" s="278" t="s">
        <v>22</v>
      </c>
      <c r="X8" s="279" t="n">
        <v>95</v>
      </c>
    </row>
    <row r="9" customFormat="false" ht="15.75" hidden="false" customHeight="false" outlineLevel="0" collapsed="false">
      <c r="B9" s="276" t="n">
        <v>96</v>
      </c>
      <c r="C9" s="40" t="s">
        <v>24</v>
      </c>
      <c r="D9" s="277" t="n">
        <v>10</v>
      </c>
      <c r="F9" s="276" t="n">
        <v>14</v>
      </c>
      <c r="G9" s="40" t="s">
        <v>148</v>
      </c>
      <c r="H9" s="277" t="n">
        <v>1450</v>
      </c>
      <c r="J9" s="276" t="n">
        <v>111</v>
      </c>
      <c r="K9" s="48" t="s">
        <v>79</v>
      </c>
      <c r="L9" s="277" t="n">
        <v>90</v>
      </c>
      <c r="N9" s="276" t="n">
        <v>7</v>
      </c>
      <c r="O9" s="40" t="s">
        <v>132</v>
      </c>
      <c r="P9" s="277" t="n">
        <v>1410</v>
      </c>
      <c r="R9" s="262" t="n">
        <v>4</v>
      </c>
      <c r="S9" s="278" t="s">
        <v>93</v>
      </c>
      <c r="T9" s="279" t="n">
        <v>7</v>
      </c>
      <c r="V9" s="262" t="n">
        <v>96</v>
      </c>
      <c r="W9" s="281" t="s">
        <v>24</v>
      </c>
      <c r="X9" s="213" t="n">
        <v>74</v>
      </c>
    </row>
    <row r="10" customFormat="false" ht="15.75" hidden="false" customHeight="false" outlineLevel="0" collapsed="false">
      <c r="B10" s="280" t="n">
        <v>84</v>
      </c>
      <c r="C10" s="35" t="s">
        <v>25</v>
      </c>
      <c r="D10" s="272" t="n">
        <v>710</v>
      </c>
      <c r="F10" s="280" t="n">
        <v>24</v>
      </c>
      <c r="G10" s="35" t="s">
        <v>103</v>
      </c>
      <c r="H10" s="272" t="n">
        <v>1440</v>
      </c>
      <c r="J10" s="280" t="n">
        <v>110</v>
      </c>
      <c r="K10" s="45" t="s">
        <v>60</v>
      </c>
      <c r="L10" s="272" t="n">
        <v>100</v>
      </c>
      <c r="N10" s="280" t="n">
        <v>8</v>
      </c>
      <c r="O10" s="35" t="s">
        <v>139</v>
      </c>
      <c r="P10" s="272" t="n">
        <v>1250</v>
      </c>
      <c r="R10" s="262" t="n">
        <v>27</v>
      </c>
      <c r="S10" s="281" t="s">
        <v>141</v>
      </c>
      <c r="T10" s="213" t="n">
        <v>8</v>
      </c>
      <c r="V10" s="262" t="n">
        <v>84</v>
      </c>
      <c r="W10" s="281" t="s">
        <v>25</v>
      </c>
      <c r="X10" s="213" t="n">
        <v>108</v>
      </c>
    </row>
    <row r="11" customFormat="false" ht="15.75" hidden="false" customHeight="false" outlineLevel="0" collapsed="false">
      <c r="B11" s="276" t="n">
        <v>84</v>
      </c>
      <c r="C11" s="40" t="s">
        <v>27</v>
      </c>
      <c r="D11" s="277" t="n">
        <v>670</v>
      </c>
      <c r="F11" s="276" t="n">
        <v>4</v>
      </c>
      <c r="G11" s="40" t="s">
        <v>93</v>
      </c>
      <c r="H11" s="277" t="n">
        <v>1430</v>
      </c>
      <c r="J11" s="276" t="n">
        <v>110</v>
      </c>
      <c r="K11" s="48" t="s">
        <v>21</v>
      </c>
      <c r="L11" s="277" t="n">
        <v>120</v>
      </c>
      <c r="N11" s="276" t="n">
        <v>9</v>
      </c>
      <c r="O11" s="40" t="s">
        <v>128</v>
      </c>
      <c r="P11" s="277" t="n">
        <v>1155</v>
      </c>
      <c r="R11" s="262" t="n">
        <v>37</v>
      </c>
      <c r="S11" s="278" t="s">
        <v>48</v>
      </c>
      <c r="T11" s="279" t="n">
        <v>9</v>
      </c>
      <c r="V11" s="262" t="n">
        <v>84</v>
      </c>
      <c r="W11" s="278" t="s">
        <v>27</v>
      </c>
      <c r="X11" s="279" t="n">
        <v>109</v>
      </c>
    </row>
    <row r="12" customFormat="false" ht="15.75" hidden="false" customHeight="false" outlineLevel="0" collapsed="false">
      <c r="B12" s="280" t="n">
        <v>30</v>
      </c>
      <c r="C12" s="35" t="s">
        <v>28</v>
      </c>
      <c r="D12" s="272" t="n">
        <v>1320</v>
      </c>
      <c r="F12" s="280" t="n">
        <v>32</v>
      </c>
      <c r="G12" s="45" t="s">
        <v>72</v>
      </c>
      <c r="H12" s="272" t="n">
        <v>1422</v>
      </c>
      <c r="J12" s="280" t="n">
        <v>83</v>
      </c>
      <c r="K12" s="45" t="s">
        <v>39</v>
      </c>
      <c r="L12" s="272" t="n">
        <v>130</v>
      </c>
      <c r="N12" s="280" t="n">
        <v>10</v>
      </c>
      <c r="O12" s="35" t="s">
        <v>114</v>
      </c>
      <c r="P12" s="272" t="n">
        <v>1350</v>
      </c>
      <c r="R12" s="262" t="n">
        <v>37</v>
      </c>
      <c r="S12" s="281" t="s">
        <v>49</v>
      </c>
      <c r="T12" s="213" t="n">
        <v>10</v>
      </c>
      <c r="V12" s="262" t="n">
        <v>30</v>
      </c>
      <c r="W12" s="278" t="s">
        <v>28</v>
      </c>
      <c r="X12" s="279" t="n">
        <v>21</v>
      </c>
    </row>
    <row r="13" customFormat="false" ht="15.75" hidden="false" customHeight="false" outlineLevel="0" collapsed="false">
      <c r="B13" s="276" t="n">
        <v>86</v>
      </c>
      <c r="C13" s="40" t="s">
        <v>29</v>
      </c>
      <c r="D13" s="277" t="n">
        <v>860</v>
      </c>
      <c r="F13" s="276" t="n">
        <v>32</v>
      </c>
      <c r="G13" s="40" t="s">
        <v>71</v>
      </c>
      <c r="H13" s="277" t="n">
        <v>1420</v>
      </c>
      <c r="J13" s="276" t="n">
        <v>106</v>
      </c>
      <c r="K13" s="40" t="s">
        <v>112</v>
      </c>
      <c r="L13" s="277" t="n">
        <v>140</v>
      </c>
      <c r="N13" s="276" t="n">
        <v>11</v>
      </c>
      <c r="O13" s="40" t="s">
        <v>115</v>
      </c>
      <c r="P13" s="277" t="n">
        <v>520</v>
      </c>
      <c r="R13" s="262" t="n">
        <v>67</v>
      </c>
      <c r="S13" s="278" t="s">
        <v>43</v>
      </c>
      <c r="T13" s="279" t="n">
        <v>11</v>
      </c>
      <c r="V13" s="262" t="n">
        <v>86</v>
      </c>
      <c r="W13" s="278" t="s">
        <v>29</v>
      </c>
      <c r="X13" s="279" t="n">
        <v>71</v>
      </c>
    </row>
    <row r="14" customFormat="false" ht="15.75" hidden="false" customHeight="false" outlineLevel="0" collapsed="false">
      <c r="B14" s="280" t="n">
        <v>86</v>
      </c>
      <c r="C14" s="35" t="s">
        <v>30</v>
      </c>
      <c r="D14" s="272" t="n">
        <v>840</v>
      </c>
      <c r="F14" s="280" t="n">
        <v>7</v>
      </c>
      <c r="G14" s="35" t="s">
        <v>132</v>
      </c>
      <c r="H14" s="272" t="n">
        <v>1410</v>
      </c>
      <c r="J14" s="280" t="n">
        <v>98</v>
      </c>
      <c r="K14" s="35" t="s">
        <v>15</v>
      </c>
      <c r="L14" s="272" t="n">
        <v>150</v>
      </c>
      <c r="N14" s="280" t="n">
        <v>12</v>
      </c>
      <c r="O14" s="35" t="s">
        <v>80</v>
      </c>
      <c r="P14" s="272" t="n">
        <v>1370</v>
      </c>
      <c r="R14" s="262" t="n">
        <v>47</v>
      </c>
      <c r="S14" s="281" t="s">
        <v>63</v>
      </c>
      <c r="T14" s="213" t="n">
        <v>12</v>
      </c>
      <c r="V14" s="262" t="n">
        <v>86</v>
      </c>
      <c r="W14" s="281" t="s">
        <v>30</v>
      </c>
      <c r="X14" s="213" t="n">
        <v>72</v>
      </c>
    </row>
    <row r="15" customFormat="false" ht="15.75" hidden="false" customHeight="false" outlineLevel="0" collapsed="false">
      <c r="B15" s="276" t="n">
        <v>72</v>
      </c>
      <c r="C15" s="40" t="s">
        <v>26</v>
      </c>
      <c r="D15" s="277" t="n">
        <v>640</v>
      </c>
      <c r="F15" s="276" t="n">
        <v>70</v>
      </c>
      <c r="G15" s="40" t="s">
        <v>56</v>
      </c>
      <c r="H15" s="277" t="n">
        <v>1405</v>
      </c>
      <c r="J15" s="276" t="n">
        <v>97</v>
      </c>
      <c r="K15" s="40" t="s">
        <v>73</v>
      </c>
      <c r="L15" s="277" t="n">
        <v>190</v>
      </c>
      <c r="N15" s="276" t="n">
        <v>12</v>
      </c>
      <c r="O15" s="40" t="s">
        <v>81</v>
      </c>
      <c r="P15" s="277" t="n">
        <v>1360</v>
      </c>
      <c r="R15" s="262" t="n">
        <v>103</v>
      </c>
      <c r="S15" s="278" t="s">
        <v>68</v>
      </c>
      <c r="T15" s="279" t="n">
        <v>13</v>
      </c>
      <c r="V15" s="262" t="n">
        <v>72</v>
      </c>
      <c r="W15" s="278" t="s">
        <v>26</v>
      </c>
      <c r="X15" s="279" t="n">
        <v>127</v>
      </c>
    </row>
    <row r="16" customFormat="false" ht="15.75" hidden="false" customHeight="false" outlineLevel="0" collapsed="false">
      <c r="B16" s="280" t="n">
        <v>35</v>
      </c>
      <c r="C16" s="35" t="s">
        <v>31</v>
      </c>
      <c r="D16" s="272" t="n">
        <v>930</v>
      </c>
      <c r="F16" s="280" t="n">
        <v>5</v>
      </c>
      <c r="G16" s="35" t="s">
        <v>59</v>
      </c>
      <c r="H16" s="272" t="n">
        <v>1400</v>
      </c>
      <c r="J16" s="280" t="n">
        <v>103</v>
      </c>
      <c r="K16" s="35" t="s">
        <v>68</v>
      </c>
      <c r="L16" s="272" t="n">
        <v>200</v>
      </c>
      <c r="N16" s="280" t="n">
        <v>13</v>
      </c>
      <c r="O16" s="35" t="s">
        <v>69</v>
      </c>
      <c r="P16" s="272" t="n">
        <v>1240</v>
      </c>
      <c r="R16" s="262" t="n">
        <v>16</v>
      </c>
      <c r="S16" s="281" t="s">
        <v>140</v>
      </c>
      <c r="T16" s="213" t="n">
        <v>14</v>
      </c>
      <c r="V16" s="262" t="n">
        <v>35</v>
      </c>
      <c r="W16" s="278" t="s">
        <v>31</v>
      </c>
      <c r="X16" s="279" t="n">
        <v>75</v>
      </c>
    </row>
    <row r="17" customFormat="false" ht="15.75" hidden="false" customHeight="false" outlineLevel="0" collapsed="false">
      <c r="B17" s="276" t="n">
        <v>2</v>
      </c>
      <c r="C17" s="40" t="s">
        <v>32</v>
      </c>
      <c r="D17" s="277" t="n">
        <v>1460</v>
      </c>
      <c r="F17" s="276" t="n">
        <v>15</v>
      </c>
      <c r="G17" s="40" t="s">
        <v>74</v>
      </c>
      <c r="H17" s="277" t="n">
        <v>1390</v>
      </c>
      <c r="J17" s="276" t="n">
        <v>104</v>
      </c>
      <c r="K17" s="40" t="s">
        <v>98</v>
      </c>
      <c r="L17" s="277" t="n">
        <v>210</v>
      </c>
      <c r="N17" s="276" t="n">
        <v>13</v>
      </c>
      <c r="O17" s="40" t="s">
        <v>70</v>
      </c>
      <c r="P17" s="277" t="n">
        <v>1240</v>
      </c>
      <c r="R17" s="262" t="n">
        <v>26</v>
      </c>
      <c r="S17" s="278" t="s">
        <v>46</v>
      </c>
      <c r="T17" s="279" t="n">
        <v>15</v>
      </c>
      <c r="V17" s="262" t="n">
        <v>2</v>
      </c>
      <c r="W17" s="281" t="s">
        <v>32</v>
      </c>
      <c r="X17" s="213" t="n">
        <v>46</v>
      </c>
    </row>
    <row r="18" customFormat="false" ht="15.75" hidden="false" customHeight="false" outlineLevel="0" collapsed="false">
      <c r="B18" s="280" t="n">
        <v>44</v>
      </c>
      <c r="C18" s="35" t="s">
        <v>33</v>
      </c>
      <c r="D18" s="272" t="n">
        <v>1080</v>
      </c>
      <c r="F18" s="280" t="n">
        <v>17</v>
      </c>
      <c r="G18" s="35" t="s">
        <v>42</v>
      </c>
      <c r="H18" s="272" t="n">
        <v>1380</v>
      </c>
      <c r="J18" s="280" t="n">
        <v>73</v>
      </c>
      <c r="K18" s="35" t="s">
        <v>20</v>
      </c>
      <c r="L18" s="272" t="n">
        <v>220</v>
      </c>
      <c r="N18" s="280" t="n">
        <v>14</v>
      </c>
      <c r="O18" s="35" t="s">
        <v>148</v>
      </c>
      <c r="P18" s="272" t="n">
        <v>1450</v>
      </c>
      <c r="R18" s="262" t="n">
        <v>49</v>
      </c>
      <c r="S18" s="281" t="s">
        <v>66</v>
      </c>
      <c r="T18" s="213" t="n">
        <v>16</v>
      </c>
      <c r="V18" s="262" t="n">
        <v>44</v>
      </c>
      <c r="W18" s="281" t="s">
        <v>33</v>
      </c>
      <c r="X18" s="213" t="n">
        <v>44</v>
      </c>
    </row>
    <row r="19" customFormat="false" ht="15.75" hidden="false" customHeight="false" outlineLevel="0" collapsed="false">
      <c r="B19" s="276" t="n">
        <v>25</v>
      </c>
      <c r="C19" s="48" t="s">
        <v>34</v>
      </c>
      <c r="D19" s="277" t="n">
        <v>870</v>
      </c>
      <c r="F19" s="276" t="n">
        <v>12</v>
      </c>
      <c r="G19" s="40" t="s">
        <v>80</v>
      </c>
      <c r="H19" s="277" t="n">
        <v>1370</v>
      </c>
      <c r="J19" s="276" t="n">
        <v>88</v>
      </c>
      <c r="K19" s="48" t="s">
        <v>76</v>
      </c>
      <c r="L19" s="277" t="n">
        <v>230</v>
      </c>
      <c r="N19" s="276" t="n">
        <v>15</v>
      </c>
      <c r="O19" s="40" t="s">
        <v>74</v>
      </c>
      <c r="P19" s="277" t="n">
        <v>1390</v>
      </c>
      <c r="R19" s="262" t="n">
        <v>12</v>
      </c>
      <c r="S19" s="278" t="s">
        <v>80</v>
      </c>
      <c r="T19" s="279" t="n">
        <v>17</v>
      </c>
      <c r="V19" s="262" t="n">
        <v>25</v>
      </c>
      <c r="W19" s="281" t="s">
        <v>34</v>
      </c>
      <c r="X19" s="213" t="n">
        <v>128</v>
      </c>
    </row>
    <row r="20" customFormat="false" ht="15.75" hidden="false" customHeight="false" outlineLevel="0" collapsed="false">
      <c r="B20" s="280" t="n">
        <v>3</v>
      </c>
      <c r="C20" s="35" t="s">
        <v>35</v>
      </c>
      <c r="D20" s="272" t="n">
        <v>1500</v>
      </c>
      <c r="F20" s="280" t="n">
        <v>12</v>
      </c>
      <c r="G20" s="35" t="s">
        <v>81</v>
      </c>
      <c r="H20" s="272" t="n">
        <v>1360</v>
      </c>
      <c r="J20" s="280" t="n">
        <v>58</v>
      </c>
      <c r="K20" s="35" t="s">
        <v>118</v>
      </c>
      <c r="L20" s="272" t="n">
        <v>240</v>
      </c>
      <c r="N20" s="280" t="n">
        <v>16</v>
      </c>
      <c r="O20" s="35" t="s">
        <v>140</v>
      </c>
      <c r="P20" s="272" t="n">
        <v>1490</v>
      </c>
      <c r="R20" s="262" t="n">
        <v>12</v>
      </c>
      <c r="S20" s="281" t="s">
        <v>81</v>
      </c>
      <c r="T20" s="213" t="n">
        <v>18</v>
      </c>
      <c r="V20" s="262" t="n">
        <v>3</v>
      </c>
      <c r="W20" s="281" t="s">
        <v>35</v>
      </c>
      <c r="X20" s="213" t="n">
        <v>62</v>
      </c>
    </row>
    <row r="21" customFormat="false" ht="15.75" hidden="false" customHeight="false" outlineLevel="0" collapsed="false">
      <c r="B21" s="276" t="n">
        <v>55</v>
      </c>
      <c r="C21" s="40" t="s">
        <v>36</v>
      </c>
      <c r="D21" s="277" t="n">
        <v>800</v>
      </c>
      <c r="F21" s="276" t="n">
        <v>10</v>
      </c>
      <c r="G21" s="40" t="s">
        <v>114</v>
      </c>
      <c r="H21" s="277" t="n">
        <v>1350</v>
      </c>
      <c r="J21" s="276" t="n">
        <v>104</v>
      </c>
      <c r="K21" s="40" t="s">
        <v>97</v>
      </c>
      <c r="L21" s="277" t="n">
        <v>250</v>
      </c>
      <c r="N21" s="276" t="n">
        <v>17</v>
      </c>
      <c r="O21" s="40" t="s">
        <v>42</v>
      </c>
      <c r="P21" s="277" t="n">
        <v>1380</v>
      </c>
      <c r="R21" s="262" t="n">
        <v>56</v>
      </c>
      <c r="S21" s="278" t="s">
        <v>143</v>
      </c>
      <c r="T21" s="279" t="n">
        <v>19</v>
      </c>
      <c r="V21" s="262" t="n">
        <v>55</v>
      </c>
      <c r="W21" s="278" t="s">
        <v>36</v>
      </c>
      <c r="X21" s="279" t="n">
        <v>123</v>
      </c>
    </row>
    <row r="22" customFormat="false" ht="15.75" hidden="false" customHeight="false" outlineLevel="0" collapsed="false">
      <c r="B22" s="280" t="n">
        <v>41</v>
      </c>
      <c r="C22" s="35" t="s">
        <v>37</v>
      </c>
      <c r="D22" s="272" t="n">
        <v>490</v>
      </c>
      <c r="F22" s="280" t="n">
        <v>27</v>
      </c>
      <c r="G22" s="35" t="s">
        <v>141</v>
      </c>
      <c r="H22" s="272" t="n">
        <v>1340</v>
      </c>
      <c r="J22" s="280" t="n">
        <v>99</v>
      </c>
      <c r="K22" s="35" t="s">
        <v>105</v>
      </c>
      <c r="L22" s="272" t="n">
        <v>260</v>
      </c>
      <c r="N22" s="280" t="n">
        <v>18</v>
      </c>
      <c r="O22" s="35" t="s">
        <v>38</v>
      </c>
      <c r="P22" s="272" t="n">
        <v>1455</v>
      </c>
      <c r="R22" s="262" t="n">
        <v>5</v>
      </c>
      <c r="S22" s="281" t="s">
        <v>59</v>
      </c>
      <c r="T22" s="213" t="n">
        <v>20</v>
      </c>
      <c r="V22" s="262" t="n">
        <v>41</v>
      </c>
      <c r="W22" s="281" t="s">
        <v>37</v>
      </c>
      <c r="X22" s="213" t="n">
        <v>132</v>
      </c>
    </row>
    <row r="23" customFormat="false" ht="15.75" hidden="false" customHeight="false" outlineLevel="0" collapsed="false">
      <c r="B23" s="276" t="n">
        <v>18</v>
      </c>
      <c r="C23" s="40" t="s">
        <v>38</v>
      </c>
      <c r="D23" s="277" t="n">
        <v>1455</v>
      </c>
      <c r="F23" s="276" t="n">
        <v>6</v>
      </c>
      <c r="G23" s="40" t="s">
        <v>61</v>
      </c>
      <c r="H23" s="277" t="n">
        <v>1330</v>
      </c>
      <c r="J23" s="276" t="n">
        <v>85</v>
      </c>
      <c r="K23" s="40" t="s">
        <v>123</v>
      </c>
      <c r="L23" s="277" t="n">
        <v>270</v>
      </c>
      <c r="N23" s="276" t="n">
        <v>19</v>
      </c>
      <c r="O23" s="40" t="s">
        <v>40</v>
      </c>
      <c r="P23" s="277" t="n">
        <v>1230</v>
      </c>
      <c r="R23" s="262" t="n">
        <v>30</v>
      </c>
      <c r="S23" s="278" t="s">
        <v>28</v>
      </c>
      <c r="T23" s="279" t="n">
        <v>21</v>
      </c>
      <c r="V23" s="262" t="n">
        <v>18</v>
      </c>
      <c r="W23" s="278" t="s">
        <v>38</v>
      </c>
      <c r="X23" s="279" t="n">
        <v>135</v>
      </c>
    </row>
    <row r="24" customFormat="false" ht="15.75" hidden="false" customHeight="false" outlineLevel="0" collapsed="false">
      <c r="B24" s="280" t="n">
        <v>83</v>
      </c>
      <c r="C24" s="45" t="s">
        <v>39</v>
      </c>
      <c r="D24" s="272" t="n">
        <v>130</v>
      </c>
      <c r="F24" s="280" t="n">
        <v>30</v>
      </c>
      <c r="G24" s="35" t="s">
        <v>28</v>
      </c>
      <c r="H24" s="272" t="n">
        <v>1320</v>
      </c>
      <c r="J24" s="280" t="n">
        <v>85</v>
      </c>
      <c r="K24" s="35" t="s">
        <v>122</v>
      </c>
      <c r="L24" s="272" t="n">
        <v>280</v>
      </c>
      <c r="N24" s="280" t="n">
        <v>20</v>
      </c>
      <c r="O24" s="35" t="s">
        <v>129</v>
      </c>
      <c r="P24" s="272" t="n">
        <v>1130</v>
      </c>
      <c r="R24" s="262" t="n">
        <v>63</v>
      </c>
      <c r="S24" s="281" t="s">
        <v>96</v>
      </c>
      <c r="T24" s="213" t="n">
        <v>22</v>
      </c>
      <c r="V24" s="262" t="n">
        <v>83</v>
      </c>
      <c r="W24" s="281" t="s">
        <v>39</v>
      </c>
      <c r="X24" s="213" t="n">
        <v>40</v>
      </c>
    </row>
    <row r="25" customFormat="false" ht="15.75" hidden="false" customHeight="false" outlineLevel="0" collapsed="false">
      <c r="B25" s="276" t="n">
        <v>19</v>
      </c>
      <c r="C25" s="40" t="s">
        <v>40</v>
      </c>
      <c r="D25" s="277" t="n">
        <v>1230</v>
      </c>
      <c r="F25" s="276" t="n">
        <v>39</v>
      </c>
      <c r="G25" s="40" t="s">
        <v>125</v>
      </c>
      <c r="H25" s="277" t="n">
        <v>1310</v>
      </c>
      <c r="J25" s="276" t="n">
        <v>90</v>
      </c>
      <c r="K25" s="40" t="s">
        <v>100</v>
      </c>
      <c r="L25" s="277" t="n">
        <v>290</v>
      </c>
      <c r="N25" s="276" t="n">
        <v>21</v>
      </c>
      <c r="O25" s="40" t="s">
        <v>111</v>
      </c>
      <c r="P25" s="277" t="n">
        <v>1180</v>
      </c>
      <c r="R25" s="262" t="n">
        <v>10</v>
      </c>
      <c r="S25" s="278" t="s">
        <v>114</v>
      </c>
      <c r="T25" s="279" t="n">
        <v>23</v>
      </c>
      <c r="V25" s="262" t="n">
        <v>19</v>
      </c>
      <c r="W25" s="281" t="s">
        <v>40</v>
      </c>
      <c r="X25" s="213" t="n">
        <v>106</v>
      </c>
    </row>
    <row r="26" customFormat="false" ht="15.75" hidden="false" customHeight="false" outlineLevel="0" collapsed="false">
      <c r="B26" s="280" t="n">
        <v>62</v>
      </c>
      <c r="C26" s="35" t="s">
        <v>41</v>
      </c>
      <c r="D26" s="272" t="n">
        <v>1210</v>
      </c>
      <c r="F26" s="280" t="n">
        <v>53</v>
      </c>
      <c r="G26" s="35" t="s">
        <v>137</v>
      </c>
      <c r="H26" s="272" t="n">
        <v>1300</v>
      </c>
      <c r="J26" s="280" t="n">
        <v>90</v>
      </c>
      <c r="K26" s="35" t="s">
        <v>99</v>
      </c>
      <c r="L26" s="272" t="n">
        <v>300</v>
      </c>
      <c r="N26" s="280" t="n">
        <v>22</v>
      </c>
      <c r="O26" s="35" t="s">
        <v>62</v>
      </c>
      <c r="P26" s="272" t="n">
        <v>1220</v>
      </c>
      <c r="R26" s="262" t="n">
        <v>62</v>
      </c>
      <c r="S26" s="281" t="s">
        <v>41</v>
      </c>
      <c r="T26" s="213" t="n">
        <v>24</v>
      </c>
      <c r="V26" s="262" t="n">
        <v>62</v>
      </c>
      <c r="W26" s="281" t="s">
        <v>41</v>
      </c>
      <c r="X26" s="213" t="n">
        <v>24</v>
      </c>
    </row>
    <row r="27" customFormat="false" ht="15.75" hidden="false" customHeight="false" outlineLevel="0" collapsed="false">
      <c r="B27" s="276" t="n">
        <v>17</v>
      </c>
      <c r="C27" s="40" t="s">
        <v>42</v>
      </c>
      <c r="D27" s="277" t="n">
        <v>1380</v>
      </c>
      <c r="F27" s="276" t="n">
        <v>23</v>
      </c>
      <c r="G27" s="40" t="s">
        <v>87</v>
      </c>
      <c r="H27" s="277" t="n">
        <v>1290</v>
      </c>
      <c r="J27" s="276" t="n">
        <v>101</v>
      </c>
      <c r="K27" s="40" t="s">
        <v>82</v>
      </c>
      <c r="L27" s="277" t="n">
        <v>310</v>
      </c>
      <c r="N27" s="276" t="n">
        <v>23</v>
      </c>
      <c r="O27" s="40" t="s">
        <v>87</v>
      </c>
      <c r="P27" s="277" t="n">
        <v>1290</v>
      </c>
      <c r="R27" s="262" t="n">
        <v>31</v>
      </c>
      <c r="S27" s="278" t="s">
        <v>64</v>
      </c>
      <c r="T27" s="279" t="n">
        <v>25</v>
      </c>
      <c r="V27" s="262" t="n">
        <v>17</v>
      </c>
      <c r="W27" s="278" t="s">
        <v>42</v>
      </c>
      <c r="X27" s="279" t="n">
        <v>47</v>
      </c>
    </row>
    <row r="28" customFormat="false" ht="15.75" hidden="false" customHeight="false" outlineLevel="0" collapsed="false">
      <c r="B28" s="280" t="n">
        <v>67</v>
      </c>
      <c r="C28" s="35" t="s">
        <v>43</v>
      </c>
      <c r="D28" s="272" t="n">
        <v>850</v>
      </c>
      <c r="F28" s="280" t="n">
        <v>28</v>
      </c>
      <c r="G28" s="35" t="s">
        <v>57</v>
      </c>
      <c r="H28" s="272" t="n">
        <v>1280</v>
      </c>
      <c r="J28" s="280" t="n">
        <v>101</v>
      </c>
      <c r="K28" s="35" t="s">
        <v>83</v>
      </c>
      <c r="L28" s="272" t="n">
        <v>315</v>
      </c>
      <c r="N28" s="280" t="n">
        <v>24</v>
      </c>
      <c r="O28" s="35" t="s">
        <v>102</v>
      </c>
      <c r="P28" s="272" t="n">
        <v>1480</v>
      </c>
      <c r="R28" s="262" t="n">
        <v>31</v>
      </c>
      <c r="S28" s="281" t="s">
        <v>65</v>
      </c>
      <c r="T28" s="213" t="n">
        <v>26</v>
      </c>
      <c r="V28" s="262" t="n">
        <v>67</v>
      </c>
      <c r="W28" s="278" t="s">
        <v>43</v>
      </c>
      <c r="X28" s="279" t="n">
        <v>11</v>
      </c>
    </row>
    <row r="29" customFormat="false" ht="15.75" hidden="false" customHeight="false" outlineLevel="0" collapsed="false">
      <c r="B29" s="276" t="n">
        <v>64</v>
      </c>
      <c r="C29" s="40" t="s">
        <v>44</v>
      </c>
      <c r="D29" s="277" t="n">
        <v>820</v>
      </c>
      <c r="F29" s="276" t="n">
        <v>81</v>
      </c>
      <c r="G29" s="48" t="s">
        <v>86</v>
      </c>
      <c r="H29" s="277" t="n">
        <v>1270</v>
      </c>
      <c r="J29" s="276" t="n">
        <v>88</v>
      </c>
      <c r="K29" s="40" t="s">
        <v>124</v>
      </c>
      <c r="L29" s="277" t="n">
        <v>320</v>
      </c>
      <c r="N29" s="276" t="n">
        <v>24</v>
      </c>
      <c r="O29" s="40" t="s">
        <v>103</v>
      </c>
      <c r="P29" s="277" t="n">
        <v>1440</v>
      </c>
      <c r="R29" s="262" t="n">
        <v>1</v>
      </c>
      <c r="S29" s="278" t="s">
        <v>90</v>
      </c>
      <c r="T29" s="279" t="n">
        <v>27</v>
      </c>
      <c r="V29" s="262" t="n">
        <v>64</v>
      </c>
      <c r="W29" s="278" t="s">
        <v>44</v>
      </c>
      <c r="X29" s="279" t="n">
        <v>63</v>
      </c>
    </row>
    <row r="30" customFormat="false" ht="15.75" hidden="false" customHeight="false" outlineLevel="0" collapsed="false">
      <c r="B30" s="280" t="n">
        <v>64</v>
      </c>
      <c r="C30" s="35" t="s">
        <v>45</v>
      </c>
      <c r="D30" s="272" t="n">
        <v>810</v>
      </c>
      <c r="F30" s="280" t="n">
        <v>81</v>
      </c>
      <c r="G30" s="35" t="s">
        <v>85</v>
      </c>
      <c r="H30" s="272" t="n">
        <v>1260</v>
      </c>
      <c r="J30" s="280" t="n">
        <v>51</v>
      </c>
      <c r="K30" s="35" t="s">
        <v>50</v>
      </c>
      <c r="L30" s="272" t="n">
        <v>330</v>
      </c>
      <c r="N30" s="280" t="n">
        <v>25</v>
      </c>
      <c r="O30" s="45" t="s">
        <v>34</v>
      </c>
      <c r="P30" s="272" t="n">
        <v>870</v>
      </c>
      <c r="R30" s="262" t="n">
        <v>101</v>
      </c>
      <c r="S30" s="281" t="s">
        <v>82</v>
      </c>
      <c r="T30" s="213" t="n">
        <v>28</v>
      </c>
      <c r="V30" s="262" t="n">
        <v>64</v>
      </c>
      <c r="W30" s="281" t="s">
        <v>45</v>
      </c>
      <c r="X30" s="213" t="n">
        <v>64</v>
      </c>
    </row>
    <row r="31" customFormat="false" ht="15.75" hidden="false" customHeight="false" outlineLevel="0" collapsed="false">
      <c r="B31" s="276" t="n">
        <v>26</v>
      </c>
      <c r="C31" s="40" t="s">
        <v>46</v>
      </c>
      <c r="D31" s="277" t="n">
        <v>1060</v>
      </c>
      <c r="F31" s="276" t="n">
        <v>8</v>
      </c>
      <c r="G31" s="40" t="s">
        <v>139</v>
      </c>
      <c r="H31" s="277" t="n">
        <v>1250</v>
      </c>
      <c r="J31" s="276" t="n">
        <v>92</v>
      </c>
      <c r="K31" s="40" t="s">
        <v>149</v>
      </c>
      <c r="L31" s="277" t="n">
        <v>340</v>
      </c>
      <c r="N31" s="276" t="n">
        <v>26</v>
      </c>
      <c r="O31" s="40" t="s">
        <v>46</v>
      </c>
      <c r="P31" s="277" t="n">
        <v>1060</v>
      </c>
      <c r="R31" s="262" t="n">
        <v>101</v>
      </c>
      <c r="S31" s="278" t="s">
        <v>83</v>
      </c>
      <c r="T31" s="279" t="n">
        <v>29</v>
      </c>
      <c r="V31" s="262" t="n">
        <v>26</v>
      </c>
      <c r="W31" s="278" t="s">
        <v>46</v>
      </c>
      <c r="X31" s="279" t="n">
        <v>15</v>
      </c>
    </row>
    <row r="32" customFormat="false" ht="15.75" hidden="false" customHeight="false" outlineLevel="0" collapsed="false">
      <c r="B32" s="280" t="n">
        <v>43</v>
      </c>
      <c r="C32" s="35" t="s">
        <v>47</v>
      </c>
      <c r="D32" s="272" t="n">
        <v>895</v>
      </c>
      <c r="F32" s="280" t="n">
        <v>13</v>
      </c>
      <c r="G32" s="35" t="s">
        <v>69</v>
      </c>
      <c r="H32" s="272" t="n">
        <v>1240</v>
      </c>
      <c r="J32" s="280" t="n">
        <v>95</v>
      </c>
      <c r="K32" s="35" t="s">
        <v>119</v>
      </c>
      <c r="L32" s="272" t="n">
        <v>350</v>
      </c>
      <c r="N32" s="280" t="n">
        <v>27</v>
      </c>
      <c r="O32" s="35" t="s">
        <v>141</v>
      </c>
      <c r="P32" s="272" t="n">
        <v>1340</v>
      </c>
      <c r="R32" s="262" t="n">
        <v>46</v>
      </c>
      <c r="S32" s="281" t="s">
        <v>94</v>
      </c>
      <c r="T32" s="213" t="n">
        <v>30</v>
      </c>
      <c r="V32" s="262" t="n">
        <v>43</v>
      </c>
      <c r="W32" s="281" t="s">
        <v>47</v>
      </c>
      <c r="X32" s="213" t="n">
        <v>136</v>
      </c>
    </row>
    <row r="33" customFormat="false" ht="15.75" hidden="false" customHeight="false" outlineLevel="0" collapsed="false">
      <c r="B33" s="276" t="n">
        <v>37</v>
      </c>
      <c r="C33" s="40" t="s">
        <v>48</v>
      </c>
      <c r="D33" s="277" t="n">
        <v>920</v>
      </c>
      <c r="F33" s="276" t="n">
        <v>13</v>
      </c>
      <c r="G33" s="40" t="s">
        <v>70</v>
      </c>
      <c r="H33" s="277" t="n">
        <v>1240</v>
      </c>
      <c r="J33" s="276" t="n">
        <v>58</v>
      </c>
      <c r="K33" s="40" t="s">
        <v>117</v>
      </c>
      <c r="L33" s="277" t="n">
        <v>360</v>
      </c>
      <c r="N33" s="276" t="n">
        <v>28</v>
      </c>
      <c r="O33" s="40" t="s">
        <v>57</v>
      </c>
      <c r="P33" s="277" t="n">
        <v>1280</v>
      </c>
      <c r="R33" s="262" t="n">
        <v>32</v>
      </c>
      <c r="S33" s="278" t="s">
        <v>71</v>
      </c>
      <c r="T33" s="279" t="n">
        <v>31</v>
      </c>
      <c r="V33" s="262" t="n">
        <v>37</v>
      </c>
      <c r="W33" s="278" t="s">
        <v>48</v>
      </c>
      <c r="X33" s="279" t="n">
        <v>9</v>
      </c>
    </row>
    <row r="34" customFormat="false" ht="15.75" hidden="false" customHeight="false" outlineLevel="0" collapsed="false">
      <c r="B34" s="280" t="n">
        <v>37</v>
      </c>
      <c r="C34" s="35" t="s">
        <v>49</v>
      </c>
      <c r="D34" s="272" t="n">
        <v>900</v>
      </c>
      <c r="F34" s="280" t="n">
        <v>19</v>
      </c>
      <c r="G34" s="35" t="s">
        <v>40</v>
      </c>
      <c r="H34" s="272" t="n">
        <v>1230</v>
      </c>
      <c r="J34" s="280" t="n">
        <v>105</v>
      </c>
      <c r="K34" s="35" t="s">
        <v>53</v>
      </c>
      <c r="L34" s="272" t="n">
        <v>370</v>
      </c>
      <c r="N34" s="280" t="n">
        <v>29</v>
      </c>
      <c r="O34" s="35" t="s">
        <v>108</v>
      </c>
      <c r="P34" s="272" t="n">
        <v>910</v>
      </c>
      <c r="R34" s="262" t="n">
        <v>32</v>
      </c>
      <c r="S34" s="281" t="s">
        <v>72</v>
      </c>
      <c r="T34" s="213" t="n">
        <v>32</v>
      </c>
      <c r="V34" s="262" t="n">
        <v>37</v>
      </c>
      <c r="W34" s="281" t="s">
        <v>49</v>
      </c>
      <c r="X34" s="213" t="n">
        <v>10</v>
      </c>
    </row>
    <row r="35" customFormat="false" ht="15.75" hidden="false" customHeight="false" outlineLevel="0" collapsed="false">
      <c r="B35" s="276" t="n">
        <v>51</v>
      </c>
      <c r="C35" s="40" t="s">
        <v>50</v>
      </c>
      <c r="D35" s="277" t="n">
        <v>330</v>
      </c>
      <c r="F35" s="276" t="n">
        <v>22</v>
      </c>
      <c r="G35" s="40" t="s">
        <v>62</v>
      </c>
      <c r="H35" s="277" t="n">
        <v>1220</v>
      </c>
      <c r="J35" s="276" t="n">
        <v>74</v>
      </c>
      <c r="K35" s="40" t="s">
        <v>14</v>
      </c>
      <c r="L35" s="277" t="n">
        <v>380</v>
      </c>
      <c r="N35" s="276" t="n">
        <v>30</v>
      </c>
      <c r="O35" s="40" t="s">
        <v>28</v>
      </c>
      <c r="P35" s="277" t="n">
        <v>1320</v>
      </c>
      <c r="R35" s="262" t="n">
        <v>102</v>
      </c>
      <c r="S35" s="278" t="s">
        <v>135</v>
      </c>
      <c r="T35" s="279" t="n">
        <v>33</v>
      </c>
      <c r="V35" s="262" t="n">
        <v>51</v>
      </c>
      <c r="W35" s="281" t="s">
        <v>50</v>
      </c>
      <c r="X35" s="213" t="n">
        <v>94</v>
      </c>
    </row>
    <row r="36" customFormat="false" ht="15.75" hidden="false" customHeight="false" outlineLevel="0" collapsed="false">
      <c r="B36" s="280" t="n">
        <v>80</v>
      </c>
      <c r="C36" s="35" t="s">
        <v>51</v>
      </c>
      <c r="D36" s="272" t="n">
        <v>540</v>
      </c>
      <c r="F36" s="280" t="n">
        <v>62</v>
      </c>
      <c r="G36" s="35" t="s">
        <v>41</v>
      </c>
      <c r="H36" s="272" t="n">
        <v>1210</v>
      </c>
      <c r="J36" s="280" t="n">
        <v>33</v>
      </c>
      <c r="K36" s="35" t="s">
        <v>107</v>
      </c>
      <c r="L36" s="272" t="n">
        <v>390</v>
      </c>
      <c r="N36" s="280" t="n">
        <v>31</v>
      </c>
      <c r="O36" s="35" t="s">
        <v>64</v>
      </c>
      <c r="P36" s="272" t="n">
        <v>1090</v>
      </c>
      <c r="R36" s="262" t="n">
        <v>102</v>
      </c>
      <c r="S36" s="281" t="s">
        <v>136</v>
      </c>
      <c r="T36" s="213" t="n">
        <v>34</v>
      </c>
      <c r="V36" s="262" t="n">
        <v>80</v>
      </c>
      <c r="W36" s="278" t="s">
        <v>51</v>
      </c>
      <c r="X36" s="279" t="n">
        <v>37</v>
      </c>
    </row>
    <row r="37" customFormat="false" ht="15.75" hidden="false" customHeight="false" outlineLevel="0" collapsed="false">
      <c r="B37" s="276" t="n">
        <v>80</v>
      </c>
      <c r="C37" s="40" t="s">
        <v>52</v>
      </c>
      <c r="D37" s="277" t="n">
        <v>530</v>
      </c>
      <c r="F37" s="276" t="n">
        <v>34</v>
      </c>
      <c r="G37" s="40" t="s">
        <v>151</v>
      </c>
      <c r="H37" s="277" t="n">
        <v>1190</v>
      </c>
      <c r="J37" s="276" t="n">
        <v>54</v>
      </c>
      <c r="K37" s="40" t="s">
        <v>138</v>
      </c>
      <c r="L37" s="277" t="n">
        <v>410</v>
      </c>
      <c r="N37" s="276" t="n">
        <v>31</v>
      </c>
      <c r="O37" s="48" t="s">
        <v>65</v>
      </c>
      <c r="P37" s="277" t="n">
        <v>1100</v>
      </c>
      <c r="R37" s="262" t="n">
        <v>58</v>
      </c>
      <c r="S37" s="278" t="s">
        <v>117</v>
      </c>
      <c r="T37" s="279" t="n">
        <v>35</v>
      </c>
      <c r="V37" s="262" t="n">
        <v>80</v>
      </c>
      <c r="W37" s="281" t="s">
        <v>52</v>
      </c>
      <c r="X37" s="213" t="n">
        <v>38</v>
      </c>
    </row>
    <row r="38" customFormat="false" ht="15.75" hidden="false" customHeight="false" outlineLevel="0" collapsed="false">
      <c r="B38" s="280" t="n">
        <v>105</v>
      </c>
      <c r="C38" s="35" t="s">
        <v>53</v>
      </c>
      <c r="D38" s="272" t="n">
        <v>370</v>
      </c>
      <c r="F38" s="280" t="n">
        <v>21</v>
      </c>
      <c r="G38" s="35" t="s">
        <v>111</v>
      </c>
      <c r="H38" s="272" t="n">
        <v>1180</v>
      </c>
      <c r="J38" s="280" t="n">
        <v>38</v>
      </c>
      <c r="K38" s="35" t="s">
        <v>110</v>
      </c>
      <c r="L38" s="272" t="n">
        <v>420</v>
      </c>
      <c r="N38" s="280" t="n">
        <v>32</v>
      </c>
      <c r="O38" s="35" t="s">
        <v>71</v>
      </c>
      <c r="P38" s="272" t="n">
        <v>1420</v>
      </c>
      <c r="R38" s="262" t="n">
        <v>58</v>
      </c>
      <c r="S38" s="281" t="s">
        <v>118</v>
      </c>
      <c r="T38" s="213" t="n">
        <v>36</v>
      </c>
      <c r="V38" s="262" t="n">
        <v>105</v>
      </c>
      <c r="W38" s="278" t="s">
        <v>53</v>
      </c>
      <c r="X38" s="279" t="n">
        <v>73</v>
      </c>
    </row>
    <row r="39" customFormat="false" ht="15.75" hidden="false" customHeight="false" outlineLevel="0" collapsed="false">
      <c r="B39" s="276" t="n">
        <v>94</v>
      </c>
      <c r="C39" s="40" t="s">
        <v>54</v>
      </c>
      <c r="D39" s="277" t="n">
        <v>1010</v>
      </c>
      <c r="F39" s="276" t="n">
        <v>76</v>
      </c>
      <c r="G39" s="40" t="s">
        <v>150</v>
      </c>
      <c r="H39" s="277" t="n">
        <v>1160</v>
      </c>
      <c r="J39" s="276" t="n">
        <v>33</v>
      </c>
      <c r="K39" s="40" t="s">
        <v>106</v>
      </c>
      <c r="L39" s="277" t="n">
        <v>430</v>
      </c>
      <c r="N39" s="276" t="n">
        <v>32</v>
      </c>
      <c r="O39" s="48" t="s">
        <v>72</v>
      </c>
      <c r="P39" s="277" t="n">
        <v>1422</v>
      </c>
      <c r="R39" s="262" t="n">
        <v>80</v>
      </c>
      <c r="S39" s="278" t="s">
        <v>51</v>
      </c>
      <c r="T39" s="279" t="n">
        <v>37</v>
      </c>
      <c r="V39" s="262" t="n">
        <v>94</v>
      </c>
      <c r="W39" s="281" t="s">
        <v>54</v>
      </c>
      <c r="X39" s="213" t="n">
        <v>70</v>
      </c>
    </row>
    <row r="40" customFormat="false" ht="15.75" hidden="false" customHeight="false" outlineLevel="0" collapsed="false">
      <c r="B40" s="280" t="n">
        <v>93</v>
      </c>
      <c r="C40" s="35" t="s">
        <v>55</v>
      </c>
      <c r="D40" s="272" t="n">
        <v>980</v>
      </c>
      <c r="F40" s="280" t="n">
        <v>9</v>
      </c>
      <c r="G40" s="35" t="s">
        <v>128</v>
      </c>
      <c r="H40" s="272" t="n">
        <v>1155</v>
      </c>
      <c r="J40" s="280" t="n">
        <v>89</v>
      </c>
      <c r="K40" s="45" t="s">
        <v>75</v>
      </c>
      <c r="L40" s="272" t="n">
        <v>440</v>
      </c>
      <c r="N40" s="280" t="n">
        <v>33</v>
      </c>
      <c r="O40" s="35" t="s">
        <v>106</v>
      </c>
      <c r="P40" s="272" t="n">
        <v>430</v>
      </c>
      <c r="R40" s="262" t="n">
        <v>80</v>
      </c>
      <c r="S40" s="281" t="s">
        <v>52</v>
      </c>
      <c r="T40" s="213" t="n">
        <v>38</v>
      </c>
      <c r="V40" s="262" t="n">
        <v>93</v>
      </c>
      <c r="W40" s="281" t="s">
        <v>55</v>
      </c>
      <c r="X40" s="213" t="n">
        <v>48</v>
      </c>
    </row>
    <row r="41" customFormat="false" ht="15.75" hidden="false" customHeight="false" outlineLevel="0" collapsed="false">
      <c r="B41" s="276" t="n">
        <v>70</v>
      </c>
      <c r="C41" s="40" t="s">
        <v>56</v>
      </c>
      <c r="D41" s="277" t="n">
        <v>1405</v>
      </c>
      <c r="F41" s="276" t="n">
        <v>66</v>
      </c>
      <c r="G41" s="40" t="s">
        <v>101</v>
      </c>
      <c r="H41" s="277" t="n">
        <v>1150</v>
      </c>
      <c r="J41" s="276" t="n">
        <v>79</v>
      </c>
      <c r="K41" s="40" t="s">
        <v>131</v>
      </c>
      <c r="L41" s="277" t="n">
        <v>450</v>
      </c>
      <c r="N41" s="276" t="n">
        <v>33</v>
      </c>
      <c r="O41" s="40" t="s">
        <v>107</v>
      </c>
      <c r="P41" s="277" t="n">
        <v>390</v>
      </c>
      <c r="R41" s="262" t="n">
        <v>34</v>
      </c>
      <c r="S41" s="278" t="s">
        <v>151</v>
      </c>
      <c r="T41" s="279" t="n">
        <v>39</v>
      </c>
      <c r="V41" s="262" t="n">
        <v>70</v>
      </c>
      <c r="W41" s="278" t="s">
        <v>56</v>
      </c>
      <c r="X41" s="279" t="n">
        <v>137</v>
      </c>
    </row>
    <row r="42" customFormat="false" ht="15.75" hidden="false" customHeight="false" outlineLevel="0" collapsed="false">
      <c r="B42" s="280" t="n">
        <v>28</v>
      </c>
      <c r="C42" s="35" t="s">
        <v>57</v>
      </c>
      <c r="D42" s="272" t="n">
        <v>1280</v>
      </c>
      <c r="F42" s="280" t="n">
        <v>45</v>
      </c>
      <c r="G42" s="35" t="s">
        <v>92</v>
      </c>
      <c r="H42" s="272" t="n">
        <v>1140</v>
      </c>
      <c r="J42" s="280" t="n">
        <v>91</v>
      </c>
      <c r="K42" s="35" t="s">
        <v>152</v>
      </c>
      <c r="L42" s="272" t="n">
        <v>460</v>
      </c>
      <c r="N42" s="280" t="n">
        <v>34</v>
      </c>
      <c r="O42" s="35" t="s">
        <v>151</v>
      </c>
      <c r="P42" s="272" t="n">
        <v>1190</v>
      </c>
      <c r="R42" s="262" t="n">
        <v>83</v>
      </c>
      <c r="S42" s="281" t="s">
        <v>39</v>
      </c>
      <c r="T42" s="213" t="n">
        <v>40</v>
      </c>
      <c r="V42" s="262" t="n">
        <v>28</v>
      </c>
      <c r="W42" s="278" t="s">
        <v>57</v>
      </c>
      <c r="X42" s="279" t="n">
        <v>91</v>
      </c>
    </row>
    <row r="43" customFormat="false" ht="15.75" hidden="false" customHeight="false" outlineLevel="0" collapsed="false">
      <c r="B43" s="276" t="n">
        <v>57</v>
      </c>
      <c r="C43" s="40" t="s">
        <v>58</v>
      </c>
      <c r="D43" s="277" t="n">
        <v>760</v>
      </c>
      <c r="F43" s="276" t="n">
        <v>20</v>
      </c>
      <c r="G43" s="40" t="s">
        <v>129</v>
      </c>
      <c r="H43" s="277" t="n">
        <v>1130</v>
      </c>
      <c r="J43" s="276" t="n">
        <v>89</v>
      </c>
      <c r="K43" s="40" t="s">
        <v>88</v>
      </c>
      <c r="L43" s="277" t="n">
        <v>470</v>
      </c>
      <c r="N43" s="276" t="n">
        <v>35</v>
      </c>
      <c r="O43" s="40" t="s">
        <v>31</v>
      </c>
      <c r="P43" s="277" t="n">
        <v>930</v>
      </c>
      <c r="R43" s="262" t="n">
        <v>36</v>
      </c>
      <c r="S43" s="278" t="s">
        <v>104</v>
      </c>
      <c r="T43" s="279" t="n">
        <v>41</v>
      </c>
      <c r="V43" s="262" t="n">
        <v>57</v>
      </c>
      <c r="W43" s="281" t="s">
        <v>58</v>
      </c>
      <c r="X43" s="213" t="n">
        <v>104</v>
      </c>
    </row>
    <row r="44" customFormat="false" ht="15.75" hidden="false" customHeight="false" outlineLevel="0" collapsed="false">
      <c r="B44" s="280" t="n">
        <v>5</v>
      </c>
      <c r="C44" s="35" t="s">
        <v>59</v>
      </c>
      <c r="D44" s="272" t="n">
        <v>1400</v>
      </c>
      <c r="F44" s="280" t="n">
        <v>45</v>
      </c>
      <c r="G44" s="35" t="s">
        <v>91</v>
      </c>
      <c r="H44" s="272" t="n">
        <v>1120</v>
      </c>
      <c r="J44" s="280" t="n">
        <v>91</v>
      </c>
      <c r="K44" s="35" t="s">
        <v>153</v>
      </c>
      <c r="L44" s="272" t="n">
        <v>480</v>
      </c>
      <c r="N44" s="280" t="n">
        <v>36</v>
      </c>
      <c r="O44" s="35" t="s">
        <v>104</v>
      </c>
      <c r="P44" s="272" t="n">
        <v>890</v>
      </c>
      <c r="R44" s="262" t="n">
        <v>65</v>
      </c>
      <c r="S44" s="281" t="s">
        <v>133</v>
      </c>
      <c r="T44" s="213" t="n">
        <v>42</v>
      </c>
      <c r="V44" s="262" t="n">
        <v>5</v>
      </c>
      <c r="W44" s="281" t="s">
        <v>59</v>
      </c>
      <c r="X44" s="213" t="n">
        <v>20</v>
      </c>
    </row>
    <row r="45" customFormat="false" ht="15.75" hidden="false" customHeight="false" outlineLevel="0" collapsed="false">
      <c r="B45" s="276" t="n">
        <v>110</v>
      </c>
      <c r="C45" s="48" t="s">
        <v>21</v>
      </c>
      <c r="D45" s="277" t="n">
        <v>120</v>
      </c>
      <c r="F45" s="276" t="n">
        <v>63</v>
      </c>
      <c r="G45" s="40" t="s">
        <v>96</v>
      </c>
      <c r="H45" s="277" t="n">
        <v>1110</v>
      </c>
      <c r="J45" s="276" t="n">
        <v>41</v>
      </c>
      <c r="K45" s="40" t="s">
        <v>37</v>
      </c>
      <c r="L45" s="277" t="n">
        <v>490</v>
      </c>
      <c r="N45" s="276" t="n">
        <v>37</v>
      </c>
      <c r="O45" s="40" t="s">
        <v>48</v>
      </c>
      <c r="P45" s="277" t="n">
        <v>920</v>
      </c>
      <c r="R45" s="262" t="n">
        <v>65</v>
      </c>
      <c r="S45" s="278" t="s">
        <v>134</v>
      </c>
      <c r="T45" s="279" t="n">
        <v>43</v>
      </c>
      <c r="V45" s="262" t="n">
        <v>110</v>
      </c>
      <c r="W45" s="281" t="s">
        <v>21</v>
      </c>
      <c r="X45" s="213" t="n">
        <v>66</v>
      </c>
    </row>
    <row r="46" customFormat="false" ht="15.75" hidden="false" customHeight="false" outlineLevel="0" collapsed="false">
      <c r="B46" s="280" t="n">
        <v>110</v>
      </c>
      <c r="C46" s="45" t="s">
        <v>60</v>
      </c>
      <c r="D46" s="272" t="n">
        <v>100</v>
      </c>
      <c r="F46" s="280" t="n">
        <v>31</v>
      </c>
      <c r="G46" s="45" t="s">
        <v>65</v>
      </c>
      <c r="H46" s="272" t="n">
        <v>1100</v>
      </c>
      <c r="J46" s="280" t="n">
        <v>82</v>
      </c>
      <c r="K46" s="35" t="s">
        <v>18</v>
      </c>
      <c r="L46" s="272" t="n">
        <v>500</v>
      </c>
      <c r="N46" s="280" t="n">
        <v>37</v>
      </c>
      <c r="O46" s="35" t="s">
        <v>49</v>
      </c>
      <c r="P46" s="272" t="n">
        <v>900</v>
      </c>
      <c r="R46" s="262" t="n">
        <v>44</v>
      </c>
      <c r="S46" s="281" t="s">
        <v>33</v>
      </c>
      <c r="T46" s="213" t="n">
        <v>44</v>
      </c>
      <c r="V46" s="262" t="n">
        <v>110</v>
      </c>
      <c r="W46" s="278" t="s">
        <v>60</v>
      </c>
      <c r="X46" s="279" t="n">
        <v>67</v>
      </c>
    </row>
    <row r="47" customFormat="false" ht="15.75" hidden="false" customHeight="false" outlineLevel="0" collapsed="false">
      <c r="B47" s="276" t="n">
        <v>6</v>
      </c>
      <c r="C47" s="40" t="s">
        <v>61</v>
      </c>
      <c r="D47" s="277" t="n">
        <v>1330</v>
      </c>
      <c r="F47" s="276" t="n">
        <v>31</v>
      </c>
      <c r="G47" s="40" t="s">
        <v>64</v>
      </c>
      <c r="H47" s="277" t="n">
        <v>1090</v>
      </c>
      <c r="J47" s="276" t="n">
        <v>52</v>
      </c>
      <c r="K47" s="40" t="s">
        <v>67</v>
      </c>
      <c r="L47" s="277" t="n">
        <v>510</v>
      </c>
      <c r="N47" s="276" t="n">
        <v>38</v>
      </c>
      <c r="O47" s="40" t="s">
        <v>110</v>
      </c>
      <c r="P47" s="277" t="n">
        <v>420</v>
      </c>
      <c r="R47" s="262" t="n">
        <v>82</v>
      </c>
      <c r="S47" s="278" t="s">
        <v>18</v>
      </c>
      <c r="T47" s="279" t="n">
        <v>45</v>
      </c>
      <c r="V47" s="262" t="n">
        <v>6</v>
      </c>
      <c r="W47" s="278" t="s">
        <v>61</v>
      </c>
      <c r="X47" s="279" t="n">
        <v>59</v>
      </c>
    </row>
    <row r="48" customFormat="false" ht="15.75" hidden="false" customHeight="false" outlineLevel="0" collapsed="false">
      <c r="B48" s="280" t="n">
        <v>22</v>
      </c>
      <c r="C48" s="35" t="s">
        <v>62</v>
      </c>
      <c r="D48" s="272" t="n">
        <v>1220</v>
      </c>
      <c r="F48" s="280" t="n">
        <v>44</v>
      </c>
      <c r="G48" s="35" t="s">
        <v>33</v>
      </c>
      <c r="H48" s="272" t="n">
        <v>1080</v>
      </c>
      <c r="J48" s="280" t="n">
        <v>11</v>
      </c>
      <c r="K48" s="35" t="s">
        <v>115</v>
      </c>
      <c r="L48" s="272" t="n">
        <v>520</v>
      </c>
      <c r="N48" s="280" t="n">
        <v>39</v>
      </c>
      <c r="O48" s="35" t="s">
        <v>125</v>
      </c>
      <c r="P48" s="272" t="n">
        <v>1310</v>
      </c>
      <c r="R48" s="262" t="n">
        <v>2</v>
      </c>
      <c r="S48" s="281" t="s">
        <v>32</v>
      </c>
      <c r="T48" s="213" t="n">
        <v>46</v>
      </c>
      <c r="V48" s="262" t="n">
        <v>22</v>
      </c>
      <c r="W48" s="278" t="s">
        <v>62</v>
      </c>
      <c r="X48" s="279" t="n">
        <v>101</v>
      </c>
    </row>
    <row r="49" customFormat="false" ht="15.75" hidden="false" customHeight="false" outlineLevel="0" collapsed="false">
      <c r="B49" s="276" t="n">
        <v>47</v>
      </c>
      <c r="C49" s="40" t="s">
        <v>63</v>
      </c>
      <c r="D49" s="277" t="n">
        <v>1030</v>
      </c>
      <c r="F49" s="276" t="n">
        <v>50</v>
      </c>
      <c r="G49" s="40" t="s">
        <v>22</v>
      </c>
      <c r="H49" s="277" t="n">
        <v>1070</v>
      </c>
      <c r="J49" s="276" t="n">
        <v>80</v>
      </c>
      <c r="K49" s="40" t="s">
        <v>52</v>
      </c>
      <c r="L49" s="277" t="n">
        <v>530</v>
      </c>
      <c r="N49" s="276" t="n">
        <v>40</v>
      </c>
      <c r="O49" s="40" t="s">
        <v>77</v>
      </c>
      <c r="P49" s="277" t="n">
        <v>590</v>
      </c>
      <c r="R49" s="262" t="n">
        <v>17</v>
      </c>
      <c r="S49" s="278" t="s">
        <v>42</v>
      </c>
      <c r="T49" s="279" t="n">
        <v>47</v>
      </c>
      <c r="V49" s="262" t="n">
        <v>47</v>
      </c>
      <c r="W49" s="281" t="s">
        <v>63</v>
      </c>
      <c r="X49" s="213" t="n">
        <v>12</v>
      </c>
    </row>
    <row r="50" customFormat="false" ht="15.75" hidden="false" customHeight="false" outlineLevel="0" collapsed="false">
      <c r="B50" s="280" t="n">
        <v>31</v>
      </c>
      <c r="C50" s="35" t="s">
        <v>64</v>
      </c>
      <c r="D50" s="272" t="n">
        <v>1090</v>
      </c>
      <c r="F50" s="280" t="n">
        <v>26</v>
      </c>
      <c r="G50" s="35" t="s">
        <v>46</v>
      </c>
      <c r="H50" s="272" t="n">
        <v>1060</v>
      </c>
      <c r="J50" s="280" t="n">
        <v>80</v>
      </c>
      <c r="K50" s="35" t="s">
        <v>51</v>
      </c>
      <c r="L50" s="272" t="n">
        <v>540</v>
      </c>
      <c r="N50" s="280" t="n">
        <v>40</v>
      </c>
      <c r="O50" s="35" t="s">
        <v>78</v>
      </c>
      <c r="P50" s="272" t="n">
        <v>580</v>
      </c>
      <c r="R50" s="262" t="n">
        <v>93</v>
      </c>
      <c r="S50" s="281" t="s">
        <v>55</v>
      </c>
      <c r="T50" s="213" t="n">
        <v>48</v>
      </c>
      <c r="V50" s="262" t="n">
        <v>31</v>
      </c>
      <c r="W50" s="278" t="s">
        <v>64</v>
      </c>
      <c r="X50" s="279" t="n">
        <v>25</v>
      </c>
    </row>
    <row r="51" customFormat="false" ht="15.75" hidden="false" customHeight="false" outlineLevel="0" collapsed="false">
      <c r="B51" s="276" t="n">
        <v>31</v>
      </c>
      <c r="C51" s="48" t="s">
        <v>65</v>
      </c>
      <c r="D51" s="277" t="n">
        <v>1100</v>
      </c>
      <c r="F51" s="276" t="n">
        <v>78</v>
      </c>
      <c r="G51" s="40" t="s">
        <v>144</v>
      </c>
      <c r="H51" s="277" t="n">
        <v>1050</v>
      </c>
      <c r="J51" s="276" t="n">
        <v>65</v>
      </c>
      <c r="K51" s="40" t="s">
        <v>134</v>
      </c>
      <c r="L51" s="277" t="n">
        <v>550</v>
      </c>
      <c r="N51" s="276" t="n">
        <v>41</v>
      </c>
      <c r="O51" s="40" t="s">
        <v>37</v>
      </c>
      <c r="P51" s="277" t="n">
        <v>490</v>
      </c>
      <c r="R51" s="262" t="n">
        <v>88</v>
      </c>
      <c r="S51" s="278" t="s">
        <v>124</v>
      </c>
      <c r="T51" s="279" t="n">
        <v>49</v>
      </c>
      <c r="V51" s="262" t="n">
        <v>31</v>
      </c>
      <c r="W51" s="281" t="s">
        <v>65</v>
      </c>
      <c r="X51" s="213" t="n">
        <v>26</v>
      </c>
    </row>
    <row r="52" customFormat="false" ht="15.75" hidden="false" customHeight="false" outlineLevel="0" collapsed="false">
      <c r="B52" s="280" t="n">
        <v>49</v>
      </c>
      <c r="C52" s="35" t="s">
        <v>66</v>
      </c>
      <c r="D52" s="272" t="n">
        <v>1040</v>
      </c>
      <c r="F52" s="280" t="n">
        <v>49</v>
      </c>
      <c r="G52" s="35" t="s">
        <v>66</v>
      </c>
      <c r="H52" s="272" t="n">
        <v>1040</v>
      </c>
      <c r="J52" s="280" t="n">
        <v>65</v>
      </c>
      <c r="K52" s="35" t="s">
        <v>133</v>
      </c>
      <c r="L52" s="272" t="n">
        <v>560</v>
      </c>
      <c r="N52" s="280" t="n">
        <v>42</v>
      </c>
      <c r="O52" s="35" t="s">
        <v>13</v>
      </c>
      <c r="P52" s="272" t="n">
        <v>790</v>
      </c>
      <c r="R52" s="262" t="n">
        <v>88</v>
      </c>
      <c r="S52" s="281" t="s">
        <v>76</v>
      </c>
      <c r="T52" s="213" t="n">
        <v>50</v>
      </c>
      <c r="V52" s="262" t="n">
        <v>49</v>
      </c>
      <c r="W52" s="281" t="s">
        <v>66</v>
      </c>
      <c r="X52" s="213" t="n">
        <v>16</v>
      </c>
    </row>
    <row r="53" customFormat="false" ht="15.75" hidden="false" customHeight="false" outlineLevel="0" collapsed="false">
      <c r="B53" s="276" t="n">
        <v>52</v>
      </c>
      <c r="C53" s="40" t="s">
        <v>67</v>
      </c>
      <c r="D53" s="277" t="n">
        <v>510</v>
      </c>
      <c r="F53" s="276" t="n">
        <v>47</v>
      </c>
      <c r="G53" s="40" t="s">
        <v>63</v>
      </c>
      <c r="H53" s="277" t="n">
        <v>1030</v>
      </c>
      <c r="J53" s="276" t="n">
        <v>100</v>
      </c>
      <c r="K53" s="40" t="s">
        <v>12</v>
      </c>
      <c r="L53" s="277" t="n">
        <v>570</v>
      </c>
      <c r="N53" s="276" t="n">
        <v>43</v>
      </c>
      <c r="O53" s="40" t="s">
        <v>47</v>
      </c>
      <c r="P53" s="277" t="n">
        <v>895</v>
      </c>
      <c r="R53" s="262" t="n">
        <v>66</v>
      </c>
      <c r="S53" s="278" t="s">
        <v>101</v>
      </c>
      <c r="T53" s="279" t="n">
        <v>51</v>
      </c>
      <c r="V53" s="262" t="n">
        <v>52</v>
      </c>
      <c r="W53" s="278" t="s">
        <v>67</v>
      </c>
      <c r="X53" s="279" t="n">
        <v>131</v>
      </c>
    </row>
    <row r="54" customFormat="false" ht="15.75" hidden="false" customHeight="false" outlineLevel="0" collapsed="false">
      <c r="B54" s="280" t="n">
        <v>103</v>
      </c>
      <c r="C54" s="35" t="s">
        <v>68</v>
      </c>
      <c r="D54" s="272" t="n">
        <v>200</v>
      </c>
      <c r="F54" s="280" t="n">
        <v>48</v>
      </c>
      <c r="G54" s="35" t="s">
        <v>126</v>
      </c>
      <c r="H54" s="272" t="n">
        <v>1020</v>
      </c>
      <c r="J54" s="280" t="n">
        <v>40</v>
      </c>
      <c r="K54" s="35" t="s">
        <v>78</v>
      </c>
      <c r="L54" s="272" t="n">
        <v>580</v>
      </c>
      <c r="N54" s="280" t="n">
        <v>44</v>
      </c>
      <c r="O54" s="35" t="s">
        <v>33</v>
      </c>
      <c r="P54" s="272" t="n">
        <v>1080</v>
      </c>
      <c r="R54" s="262" t="n">
        <v>48</v>
      </c>
      <c r="S54" s="281" t="s">
        <v>126</v>
      </c>
      <c r="T54" s="213" t="n">
        <v>52</v>
      </c>
      <c r="V54" s="262" t="n">
        <v>103</v>
      </c>
      <c r="W54" s="278" t="s">
        <v>68</v>
      </c>
      <c r="X54" s="279" t="n">
        <v>13</v>
      </c>
    </row>
    <row r="55" customFormat="false" ht="15.75" hidden="false" customHeight="false" outlineLevel="0" collapsed="false">
      <c r="B55" s="276" t="n">
        <v>13</v>
      </c>
      <c r="C55" s="40" t="s">
        <v>69</v>
      </c>
      <c r="D55" s="277" t="n">
        <v>1240</v>
      </c>
      <c r="F55" s="276" t="n">
        <v>94</v>
      </c>
      <c r="G55" s="40" t="s">
        <v>54</v>
      </c>
      <c r="H55" s="277" t="n">
        <v>1010</v>
      </c>
      <c r="J55" s="276" t="n">
        <v>40</v>
      </c>
      <c r="K55" s="40" t="s">
        <v>77</v>
      </c>
      <c r="L55" s="277" t="n">
        <v>590</v>
      </c>
      <c r="N55" s="276" t="n">
        <v>45</v>
      </c>
      <c r="O55" s="40" t="s">
        <v>91</v>
      </c>
      <c r="P55" s="277" t="n">
        <v>1120</v>
      </c>
      <c r="R55" s="262" t="n">
        <v>48</v>
      </c>
      <c r="S55" s="278" t="s">
        <v>127</v>
      </c>
      <c r="T55" s="279" t="n">
        <v>53</v>
      </c>
      <c r="V55" s="262" t="n">
        <v>13</v>
      </c>
      <c r="W55" s="281" t="s">
        <v>69</v>
      </c>
      <c r="X55" s="213" t="n">
        <v>112</v>
      </c>
    </row>
    <row r="56" customFormat="false" ht="15.75" hidden="false" customHeight="false" outlineLevel="0" collapsed="false">
      <c r="B56" s="280" t="n">
        <v>13</v>
      </c>
      <c r="C56" s="35" t="s">
        <v>70</v>
      </c>
      <c r="D56" s="272" t="n">
        <v>1240</v>
      </c>
      <c r="F56" s="280" t="n">
        <v>48</v>
      </c>
      <c r="G56" s="35" t="s">
        <v>127</v>
      </c>
      <c r="H56" s="272" t="n">
        <v>1000</v>
      </c>
      <c r="J56" s="280" t="n">
        <v>71</v>
      </c>
      <c r="K56" s="35" t="s">
        <v>146</v>
      </c>
      <c r="L56" s="272" t="n">
        <v>620</v>
      </c>
      <c r="N56" s="280" t="n">
        <v>45</v>
      </c>
      <c r="O56" s="35" t="s">
        <v>92</v>
      </c>
      <c r="P56" s="272" t="n">
        <v>1140</v>
      </c>
      <c r="R56" s="262" t="n">
        <v>85</v>
      </c>
      <c r="S56" s="281" t="s">
        <v>122</v>
      </c>
      <c r="T56" s="213" t="n">
        <v>54</v>
      </c>
      <c r="V56" s="262" t="n">
        <v>13</v>
      </c>
      <c r="W56" s="278" t="s">
        <v>70</v>
      </c>
      <c r="X56" s="279" t="n">
        <v>113</v>
      </c>
    </row>
    <row r="57" customFormat="false" ht="15.75" hidden="false" customHeight="false" outlineLevel="0" collapsed="false">
      <c r="B57" s="276" t="n">
        <v>32</v>
      </c>
      <c r="C57" s="40" t="s">
        <v>71</v>
      </c>
      <c r="D57" s="277" t="n">
        <v>1420</v>
      </c>
      <c r="F57" s="276" t="n">
        <v>77</v>
      </c>
      <c r="G57" s="40" t="s">
        <v>147</v>
      </c>
      <c r="H57" s="277" t="n">
        <v>990</v>
      </c>
      <c r="J57" s="276" t="n">
        <v>72</v>
      </c>
      <c r="K57" s="40" t="s">
        <v>26</v>
      </c>
      <c r="L57" s="277" t="n">
        <v>640</v>
      </c>
      <c r="N57" s="276" t="n">
        <v>46</v>
      </c>
      <c r="O57" s="40" t="s">
        <v>94</v>
      </c>
      <c r="P57" s="277" t="n">
        <v>950</v>
      </c>
      <c r="R57" s="262" t="n">
        <v>85</v>
      </c>
      <c r="S57" s="278" t="s">
        <v>123</v>
      </c>
      <c r="T57" s="279" t="n">
        <v>55</v>
      </c>
      <c r="V57" s="262" t="n">
        <v>32</v>
      </c>
      <c r="W57" s="278" t="s">
        <v>71</v>
      </c>
      <c r="X57" s="279" t="n">
        <v>31</v>
      </c>
    </row>
    <row r="58" customFormat="false" ht="15.75" hidden="false" customHeight="false" outlineLevel="0" collapsed="false">
      <c r="B58" s="280" t="n">
        <v>32</v>
      </c>
      <c r="C58" s="45" t="s">
        <v>72</v>
      </c>
      <c r="D58" s="272" t="n">
        <v>1422</v>
      </c>
      <c r="F58" s="280" t="n">
        <v>93</v>
      </c>
      <c r="G58" s="35" t="s">
        <v>55</v>
      </c>
      <c r="H58" s="272" t="n">
        <v>980</v>
      </c>
      <c r="J58" s="280" t="n">
        <v>71</v>
      </c>
      <c r="K58" s="35" t="s">
        <v>145</v>
      </c>
      <c r="L58" s="272" t="n">
        <v>660</v>
      </c>
      <c r="N58" s="280" t="n">
        <v>47</v>
      </c>
      <c r="O58" s="35" t="s">
        <v>63</v>
      </c>
      <c r="P58" s="272" t="n">
        <v>1030</v>
      </c>
      <c r="R58" s="262" t="n">
        <v>61</v>
      </c>
      <c r="S58" s="281" t="s">
        <v>89</v>
      </c>
      <c r="T58" s="213" t="n">
        <v>56</v>
      </c>
      <c r="V58" s="262" t="n">
        <v>32</v>
      </c>
      <c r="W58" s="281" t="s">
        <v>72</v>
      </c>
      <c r="X58" s="213" t="n">
        <v>32</v>
      </c>
    </row>
    <row r="59" customFormat="false" ht="15.75" hidden="false" customHeight="false" outlineLevel="0" collapsed="false">
      <c r="B59" s="276" t="n">
        <v>97</v>
      </c>
      <c r="C59" s="40" t="s">
        <v>73</v>
      </c>
      <c r="D59" s="277" t="n">
        <v>190</v>
      </c>
      <c r="F59" s="276" t="n">
        <v>46</v>
      </c>
      <c r="G59" s="40" t="s">
        <v>94</v>
      </c>
      <c r="H59" s="277" t="n">
        <v>950</v>
      </c>
      <c r="J59" s="276" t="n">
        <v>84</v>
      </c>
      <c r="K59" s="40" t="s">
        <v>27</v>
      </c>
      <c r="L59" s="277" t="n">
        <v>670</v>
      </c>
      <c r="N59" s="276" t="n">
        <v>48</v>
      </c>
      <c r="O59" s="40" t="s">
        <v>126</v>
      </c>
      <c r="P59" s="277" t="n">
        <v>1020</v>
      </c>
      <c r="R59" s="262" t="n">
        <v>45</v>
      </c>
      <c r="S59" s="278" t="s">
        <v>91</v>
      </c>
      <c r="T59" s="279" t="n">
        <v>57</v>
      </c>
      <c r="V59" s="262" t="n">
        <v>97</v>
      </c>
      <c r="W59" s="278" t="s">
        <v>73</v>
      </c>
      <c r="X59" s="279" t="n">
        <v>125</v>
      </c>
    </row>
    <row r="60" customFormat="false" ht="15.75" hidden="false" customHeight="false" outlineLevel="0" collapsed="false">
      <c r="B60" s="280" t="n">
        <v>15</v>
      </c>
      <c r="C60" s="35" t="s">
        <v>74</v>
      </c>
      <c r="D60" s="272" t="n">
        <v>1390</v>
      </c>
      <c r="F60" s="280" t="n">
        <v>69</v>
      </c>
      <c r="G60" s="35" t="s">
        <v>95</v>
      </c>
      <c r="H60" s="272" t="n">
        <v>940</v>
      </c>
      <c r="J60" s="280" t="n">
        <v>56</v>
      </c>
      <c r="K60" s="35" t="s">
        <v>143</v>
      </c>
      <c r="L60" s="272" t="n">
        <v>680</v>
      </c>
      <c r="N60" s="280" t="n">
        <v>48</v>
      </c>
      <c r="O60" s="35" t="s">
        <v>127</v>
      </c>
      <c r="P60" s="272" t="n">
        <v>1000</v>
      </c>
      <c r="R60" s="262" t="n">
        <v>45</v>
      </c>
      <c r="S60" s="281" t="s">
        <v>92</v>
      </c>
      <c r="T60" s="213" t="n">
        <v>58</v>
      </c>
      <c r="V60" s="262" t="n">
        <v>15</v>
      </c>
      <c r="W60" s="281" t="s">
        <v>74</v>
      </c>
      <c r="X60" s="213" t="n">
        <v>82</v>
      </c>
    </row>
    <row r="61" customFormat="false" ht="15.75" hidden="false" customHeight="false" outlineLevel="0" collapsed="false">
      <c r="B61" s="276" t="n">
        <v>89</v>
      </c>
      <c r="C61" s="48" t="s">
        <v>75</v>
      </c>
      <c r="D61" s="277" t="n">
        <v>440</v>
      </c>
      <c r="F61" s="276" t="n">
        <v>35</v>
      </c>
      <c r="G61" s="40" t="s">
        <v>31</v>
      </c>
      <c r="H61" s="277" t="n">
        <v>930</v>
      </c>
      <c r="J61" s="276" t="n">
        <v>75</v>
      </c>
      <c r="K61" s="40" t="s">
        <v>84</v>
      </c>
      <c r="L61" s="277" t="n">
        <v>700</v>
      </c>
      <c r="N61" s="276" t="n">
        <v>49</v>
      </c>
      <c r="O61" s="40" t="s">
        <v>66</v>
      </c>
      <c r="P61" s="277" t="n">
        <v>1040</v>
      </c>
      <c r="R61" s="262" t="n">
        <v>6</v>
      </c>
      <c r="S61" s="278" t="s">
        <v>61</v>
      </c>
      <c r="T61" s="279" t="n">
        <v>59</v>
      </c>
      <c r="V61" s="262" t="n">
        <v>89</v>
      </c>
      <c r="W61" s="278" t="s">
        <v>75</v>
      </c>
      <c r="X61" s="279" t="n">
        <v>111</v>
      </c>
    </row>
    <row r="62" customFormat="false" ht="15.75" hidden="false" customHeight="false" outlineLevel="0" collapsed="false">
      <c r="B62" s="280" t="n">
        <v>88</v>
      </c>
      <c r="C62" s="45" t="s">
        <v>76</v>
      </c>
      <c r="D62" s="272" t="n">
        <v>230</v>
      </c>
      <c r="F62" s="280" t="n">
        <v>37</v>
      </c>
      <c r="G62" s="35" t="s">
        <v>48</v>
      </c>
      <c r="H62" s="272" t="n">
        <v>920</v>
      </c>
      <c r="J62" s="280" t="n">
        <v>84</v>
      </c>
      <c r="K62" s="35" t="s">
        <v>25</v>
      </c>
      <c r="L62" s="272" t="n">
        <v>710</v>
      </c>
      <c r="N62" s="280" t="n">
        <v>50</v>
      </c>
      <c r="O62" s="35" t="s">
        <v>22</v>
      </c>
      <c r="P62" s="272" t="n">
        <v>1070</v>
      </c>
      <c r="R62" s="262" t="n">
        <v>71</v>
      </c>
      <c r="S62" s="281" t="s">
        <v>145</v>
      </c>
      <c r="T62" s="213" t="n">
        <v>60</v>
      </c>
      <c r="V62" s="262" t="n">
        <v>88</v>
      </c>
      <c r="W62" s="281" t="s">
        <v>76</v>
      </c>
      <c r="X62" s="213" t="n">
        <v>50</v>
      </c>
    </row>
    <row r="63" customFormat="false" ht="15.75" hidden="false" customHeight="false" outlineLevel="0" collapsed="false">
      <c r="B63" s="276" t="n">
        <v>40</v>
      </c>
      <c r="C63" s="40" t="s">
        <v>77</v>
      </c>
      <c r="D63" s="277" t="n">
        <v>590</v>
      </c>
      <c r="F63" s="276" t="n">
        <v>29</v>
      </c>
      <c r="G63" s="40" t="s">
        <v>108</v>
      </c>
      <c r="H63" s="277" t="n">
        <v>910</v>
      </c>
      <c r="J63" s="276" t="n">
        <v>60</v>
      </c>
      <c r="K63" s="40" t="s">
        <v>120</v>
      </c>
      <c r="L63" s="277" t="n">
        <v>740</v>
      </c>
      <c r="N63" s="276" t="n">
        <v>51</v>
      </c>
      <c r="O63" s="40" t="s">
        <v>50</v>
      </c>
      <c r="P63" s="277" t="n">
        <v>330</v>
      </c>
      <c r="R63" s="262" t="n">
        <v>71</v>
      </c>
      <c r="S63" s="278" t="s">
        <v>146</v>
      </c>
      <c r="T63" s="279" t="n">
        <v>61</v>
      </c>
      <c r="V63" s="262" t="n">
        <v>40</v>
      </c>
      <c r="W63" s="281" t="s">
        <v>77</v>
      </c>
      <c r="X63" s="213" t="n">
        <v>2</v>
      </c>
    </row>
    <row r="64" customFormat="false" ht="15.75" hidden="false" customHeight="false" outlineLevel="0" collapsed="false">
      <c r="B64" s="280" t="n">
        <v>40</v>
      </c>
      <c r="C64" s="35" t="s">
        <v>78</v>
      </c>
      <c r="D64" s="272" t="n">
        <v>580</v>
      </c>
      <c r="F64" s="280" t="n">
        <v>37</v>
      </c>
      <c r="G64" s="35" t="s">
        <v>49</v>
      </c>
      <c r="H64" s="272" t="n">
        <v>900</v>
      </c>
      <c r="J64" s="280" t="n">
        <v>68</v>
      </c>
      <c r="K64" s="35" t="s">
        <v>142</v>
      </c>
      <c r="L64" s="272" t="n">
        <v>750</v>
      </c>
      <c r="N64" s="280" t="n">
        <v>52</v>
      </c>
      <c r="O64" s="35" t="s">
        <v>67</v>
      </c>
      <c r="P64" s="272" t="n">
        <v>510</v>
      </c>
      <c r="R64" s="262" t="n">
        <v>3</v>
      </c>
      <c r="S64" s="281" t="s">
        <v>35</v>
      </c>
      <c r="T64" s="213" t="n">
        <v>62</v>
      </c>
      <c r="V64" s="262" t="n">
        <v>40</v>
      </c>
      <c r="W64" s="278" t="s">
        <v>78</v>
      </c>
      <c r="X64" s="279" t="n">
        <v>3</v>
      </c>
    </row>
    <row r="65" customFormat="false" ht="15.75" hidden="false" customHeight="false" outlineLevel="0" collapsed="false">
      <c r="B65" s="276" t="n">
        <v>111</v>
      </c>
      <c r="C65" s="40" t="s">
        <v>79</v>
      </c>
      <c r="D65" s="277" t="n">
        <v>90</v>
      </c>
      <c r="F65" s="276" t="n">
        <v>43</v>
      </c>
      <c r="G65" s="40" t="s">
        <v>47</v>
      </c>
      <c r="H65" s="277" t="n">
        <v>895</v>
      </c>
      <c r="J65" s="276" t="n">
        <v>57</v>
      </c>
      <c r="K65" s="40" t="s">
        <v>58</v>
      </c>
      <c r="L65" s="277" t="n">
        <v>760</v>
      </c>
      <c r="N65" s="276" t="n">
        <v>53</v>
      </c>
      <c r="O65" s="40" t="s">
        <v>137</v>
      </c>
      <c r="P65" s="277" t="n">
        <v>1300</v>
      </c>
      <c r="R65" s="262" t="n">
        <v>64</v>
      </c>
      <c r="S65" s="278" t="s">
        <v>44</v>
      </c>
      <c r="T65" s="279" t="n">
        <v>63</v>
      </c>
      <c r="V65" s="262" t="n">
        <v>111</v>
      </c>
      <c r="W65" s="278" t="s">
        <v>79</v>
      </c>
      <c r="X65" s="279" t="n">
        <v>105</v>
      </c>
    </row>
    <row r="66" customFormat="false" ht="15.75" hidden="false" customHeight="false" outlineLevel="0" collapsed="false">
      <c r="B66" s="280" t="n">
        <v>12</v>
      </c>
      <c r="C66" s="35" t="s">
        <v>80</v>
      </c>
      <c r="D66" s="272" t="n">
        <v>1370</v>
      </c>
      <c r="F66" s="280" t="n">
        <v>36</v>
      </c>
      <c r="G66" s="35" t="s">
        <v>104</v>
      </c>
      <c r="H66" s="272" t="n">
        <v>890</v>
      </c>
      <c r="J66" s="280" t="n">
        <v>87</v>
      </c>
      <c r="K66" s="35" t="s">
        <v>116</v>
      </c>
      <c r="L66" s="272" t="n">
        <v>780</v>
      </c>
      <c r="N66" s="280" t="n">
        <v>54</v>
      </c>
      <c r="O66" s="35" t="s">
        <v>138</v>
      </c>
      <c r="P66" s="272" t="n">
        <v>410</v>
      </c>
      <c r="R66" s="262" t="n">
        <v>64</v>
      </c>
      <c r="S66" s="281" t="s">
        <v>45</v>
      </c>
      <c r="T66" s="213" t="n">
        <v>64</v>
      </c>
      <c r="V66" s="262" t="n">
        <v>12</v>
      </c>
      <c r="W66" s="278" t="s">
        <v>80</v>
      </c>
      <c r="X66" s="279" t="n">
        <v>17</v>
      </c>
    </row>
    <row r="67" customFormat="false" ht="15.75" hidden="false" customHeight="false" outlineLevel="0" collapsed="false">
      <c r="B67" s="276" t="n">
        <v>12</v>
      </c>
      <c r="C67" s="40" t="s">
        <v>81</v>
      </c>
      <c r="D67" s="277" t="n">
        <v>1360</v>
      </c>
      <c r="F67" s="276" t="n">
        <v>59</v>
      </c>
      <c r="G67" s="40" t="s">
        <v>121</v>
      </c>
      <c r="H67" s="277" t="n">
        <v>880</v>
      </c>
      <c r="J67" s="276" t="n">
        <v>42</v>
      </c>
      <c r="K67" s="40" t="s">
        <v>13</v>
      </c>
      <c r="L67" s="277" t="n">
        <v>790</v>
      </c>
      <c r="N67" s="276" t="n">
        <v>55</v>
      </c>
      <c r="O67" s="40" t="s">
        <v>36</v>
      </c>
      <c r="P67" s="277" t="n">
        <v>800</v>
      </c>
      <c r="R67" s="262" t="n">
        <v>7</v>
      </c>
      <c r="S67" s="278" t="s">
        <v>132</v>
      </c>
      <c r="T67" s="279" t="n">
        <v>65</v>
      </c>
      <c r="V67" s="262" t="n">
        <v>12</v>
      </c>
      <c r="W67" s="281" t="s">
        <v>81</v>
      </c>
      <c r="X67" s="213" t="n">
        <v>18</v>
      </c>
    </row>
    <row r="68" customFormat="false" ht="15.75" hidden="false" customHeight="false" outlineLevel="0" collapsed="false">
      <c r="B68" s="280" t="n">
        <v>101</v>
      </c>
      <c r="C68" s="35" t="s">
        <v>82</v>
      </c>
      <c r="D68" s="272" t="n">
        <v>310</v>
      </c>
      <c r="F68" s="280" t="n">
        <v>25</v>
      </c>
      <c r="G68" s="45" t="s">
        <v>34</v>
      </c>
      <c r="H68" s="272" t="n">
        <v>870</v>
      </c>
      <c r="J68" s="280" t="n">
        <v>55</v>
      </c>
      <c r="K68" s="35" t="s">
        <v>36</v>
      </c>
      <c r="L68" s="272" t="n">
        <v>800</v>
      </c>
      <c r="N68" s="280" t="n">
        <v>56</v>
      </c>
      <c r="O68" s="35" t="s">
        <v>143</v>
      </c>
      <c r="P68" s="272" t="n">
        <v>680</v>
      </c>
      <c r="R68" s="262" t="n">
        <v>110</v>
      </c>
      <c r="S68" s="281" t="s">
        <v>21</v>
      </c>
      <c r="T68" s="213" t="n">
        <v>66</v>
      </c>
      <c r="V68" s="262" t="n">
        <v>101</v>
      </c>
      <c r="W68" s="281" t="s">
        <v>82</v>
      </c>
      <c r="X68" s="213" t="n">
        <v>28</v>
      </c>
    </row>
    <row r="69" customFormat="false" ht="15.75" hidden="false" customHeight="false" outlineLevel="0" collapsed="false">
      <c r="B69" s="276" t="n">
        <v>101</v>
      </c>
      <c r="C69" s="40" t="s">
        <v>83</v>
      </c>
      <c r="D69" s="277" t="n">
        <v>315</v>
      </c>
      <c r="F69" s="276" t="n">
        <v>86</v>
      </c>
      <c r="G69" s="40" t="s">
        <v>29</v>
      </c>
      <c r="H69" s="277" t="n">
        <v>860</v>
      </c>
      <c r="J69" s="276" t="n">
        <v>64</v>
      </c>
      <c r="K69" s="40" t="s">
        <v>45</v>
      </c>
      <c r="L69" s="277" t="n">
        <v>810</v>
      </c>
      <c r="N69" s="276" t="n">
        <v>57</v>
      </c>
      <c r="O69" s="40" t="s">
        <v>58</v>
      </c>
      <c r="P69" s="277" t="n">
        <v>760</v>
      </c>
      <c r="R69" s="262" t="n">
        <v>110</v>
      </c>
      <c r="S69" s="278" t="s">
        <v>60</v>
      </c>
      <c r="T69" s="279" t="n">
        <v>67</v>
      </c>
      <c r="V69" s="262" t="n">
        <v>101</v>
      </c>
      <c r="W69" s="278" t="s">
        <v>83</v>
      </c>
      <c r="X69" s="279" t="n">
        <v>29</v>
      </c>
    </row>
    <row r="70" customFormat="false" ht="15.75" hidden="false" customHeight="false" outlineLevel="0" collapsed="false">
      <c r="B70" s="280" t="n">
        <v>75</v>
      </c>
      <c r="C70" s="35" t="s">
        <v>84</v>
      </c>
      <c r="D70" s="272" t="n">
        <v>700</v>
      </c>
      <c r="F70" s="280" t="n">
        <v>67</v>
      </c>
      <c r="G70" s="35" t="s">
        <v>43</v>
      </c>
      <c r="H70" s="272" t="n">
        <v>850</v>
      </c>
      <c r="J70" s="280" t="n">
        <v>64</v>
      </c>
      <c r="K70" s="35" t="s">
        <v>44</v>
      </c>
      <c r="L70" s="272" t="n">
        <v>820</v>
      </c>
      <c r="N70" s="280" t="n">
        <v>58</v>
      </c>
      <c r="O70" s="35" t="s">
        <v>117</v>
      </c>
      <c r="P70" s="272" t="n">
        <v>360</v>
      </c>
      <c r="R70" s="262" t="n">
        <v>90</v>
      </c>
      <c r="S70" s="281" t="s">
        <v>99</v>
      </c>
      <c r="T70" s="213" t="n">
        <v>68</v>
      </c>
      <c r="V70" s="262" t="n">
        <v>75</v>
      </c>
      <c r="W70" s="281" t="s">
        <v>84</v>
      </c>
      <c r="X70" s="213" t="n">
        <v>116</v>
      </c>
    </row>
    <row r="71" customFormat="false" ht="15.75" hidden="false" customHeight="false" outlineLevel="0" collapsed="false">
      <c r="B71" s="276" t="n">
        <v>81</v>
      </c>
      <c r="C71" s="40" t="s">
        <v>85</v>
      </c>
      <c r="D71" s="277" t="n">
        <v>1260</v>
      </c>
      <c r="F71" s="276" t="n">
        <v>86</v>
      </c>
      <c r="G71" s="40" t="s">
        <v>30</v>
      </c>
      <c r="H71" s="277" t="n">
        <v>840</v>
      </c>
      <c r="J71" s="276" t="n">
        <v>61</v>
      </c>
      <c r="K71" s="40" t="s">
        <v>89</v>
      </c>
      <c r="L71" s="277" t="n">
        <v>830</v>
      </c>
      <c r="N71" s="276" t="n">
        <v>58</v>
      </c>
      <c r="O71" s="40" t="s">
        <v>118</v>
      </c>
      <c r="P71" s="277" t="n">
        <v>240</v>
      </c>
      <c r="R71" s="262" t="n">
        <v>90</v>
      </c>
      <c r="S71" s="278" t="s">
        <v>100</v>
      </c>
      <c r="T71" s="279" t="n">
        <v>69</v>
      </c>
      <c r="V71" s="262" t="n">
        <v>81</v>
      </c>
      <c r="W71" s="278" t="s">
        <v>85</v>
      </c>
      <c r="X71" s="279" t="n">
        <v>83</v>
      </c>
    </row>
    <row r="72" customFormat="false" ht="15.75" hidden="false" customHeight="false" outlineLevel="0" collapsed="false">
      <c r="B72" s="280" t="n">
        <v>81</v>
      </c>
      <c r="C72" s="45" t="s">
        <v>86</v>
      </c>
      <c r="D72" s="272" t="n">
        <v>1270</v>
      </c>
      <c r="F72" s="280" t="n">
        <v>61</v>
      </c>
      <c r="G72" s="35" t="s">
        <v>89</v>
      </c>
      <c r="H72" s="272" t="n">
        <v>830</v>
      </c>
      <c r="J72" s="280" t="n">
        <v>86</v>
      </c>
      <c r="K72" s="35" t="s">
        <v>30</v>
      </c>
      <c r="L72" s="272" t="n">
        <v>840</v>
      </c>
      <c r="N72" s="280" t="n">
        <v>59</v>
      </c>
      <c r="O72" s="35" t="s">
        <v>121</v>
      </c>
      <c r="P72" s="272" t="n">
        <v>880</v>
      </c>
      <c r="R72" s="262" t="n">
        <v>94</v>
      </c>
      <c r="S72" s="281" t="s">
        <v>54</v>
      </c>
      <c r="T72" s="213" t="n">
        <v>70</v>
      </c>
      <c r="V72" s="262" t="n">
        <v>81</v>
      </c>
      <c r="W72" s="281" t="s">
        <v>86</v>
      </c>
      <c r="X72" s="213" t="n">
        <v>84</v>
      </c>
    </row>
    <row r="73" customFormat="false" ht="15.75" hidden="false" customHeight="false" outlineLevel="0" collapsed="false">
      <c r="B73" s="276" t="n">
        <v>23</v>
      </c>
      <c r="C73" s="40" t="s">
        <v>87</v>
      </c>
      <c r="D73" s="277" t="n">
        <v>1290</v>
      </c>
      <c r="F73" s="276" t="n">
        <v>64</v>
      </c>
      <c r="G73" s="40" t="s">
        <v>44</v>
      </c>
      <c r="H73" s="277" t="n">
        <v>820</v>
      </c>
      <c r="J73" s="276" t="n">
        <v>67</v>
      </c>
      <c r="K73" s="40" t="s">
        <v>43</v>
      </c>
      <c r="L73" s="277" t="n">
        <v>850</v>
      </c>
      <c r="N73" s="276" t="n">
        <v>60</v>
      </c>
      <c r="O73" s="40" t="s">
        <v>120</v>
      </c>
      <c r="P73" s="277" t="n">
        <v>740</v>
      </c>
      <c r="R73" s="262" t="n">
        <v>86</v>
      </c>
      <c r="S73" s="278" t="s">
        <v>29</v>
      </c>
      <c r="T73" s="279" t="n">
        <v>71</v>
      </c>
      <c r="V73" s="262" t="n">
        <v>23</v>
      </c>
      <c r="W73" s="278" t="s">
        <v>87</v>
      </c>
      <c r="X73" s="279" t="n">
        <v>85</v>
      </c>
    </row>
    <row r="74" customFormat="false" ht="15.75" hidden="false" customHeight="false" outlineLevel="0" collapsed="false">
      <c r="B74" s="280" t="n">
        <v>89</v>
      </c>
      <c r="C74" s="35" t="s">
        <v>88</v>
      </c>
      <c r="D74" s="272" t="n">
        <v>470</v>
      </c>
      <c r="F74" s="280" t="n">
        <v>64</v>
      </c>
      <c r="G74" s="35" t="s">
        <v>45</v>
      </c>
      <c r="H74" s="272" t="n">
        <v>810</v>
      </c>
      <c r="J74" s="280" t="n">
        <v>86</v>
      </c>
      <c r="K74" s="35" t="s">
        <v>29</v>
      </c>
      <c r="L74" s="272" t="n">
        <v>860</v>
      </c>
      <c r="N74" s="280" t="n">
        <v>61</v>
      </c>
      <c r="O74" s="35" t="s">
        <v>89</v>
      </c>
      <c r="P74" s="272" t="n">
        <v>830</v>
      </c>
      <c r="R74" s="262" t="n">
        <v>86</v>
      </c>
      <c r="S74" s="281" t="s">
        <v>30</v>
      </c>
      <c r="T74" s="213" t="n">
        <v>72</v>
      </c>
      <c r="V74" s="262" t="n">
        <v>89</v>
      </c>
      <c r="W74" s="281" t="s">
        <v>88</v>
      </c>
      <c r="X74" s="213" t="n">
        <v>110</v>
      </c>
    </row>
    <row r="75" customFormat="false" ht="15.75" hidden="false" customHeight="false" outlineLevel="0" collapsed="false">
      <c r="B75" s="276" t="n">
        <v>61</v>
      </c>
      <c r="C75" s="40" t="s">
        <v>89</v>
      </c>
      <c r="D75" s="277" t="n">
        <v>830</v>
      </c>
      <c r="F75" s="276" t="n">
        <v>55</v>
      </c>
      <c r="G75" s="40" t="s">
        <v>36</v>
      </c>
      <c r="H75" s="277" t="n">
        <v>800</v>
      </c>
      <c r="J75" s="276" t="n">
        <v>25</v>
      </c>
      <c r="K75" s="48" t="s">
        <v>34</v>
      </c>
      <c r="L75" s="277" t="n">
        <v>870</v>
      </c>
      <c r="N75" s="276" t="n">
        <v>62</v>
      </c>
      <c r="O75" s="40" t="s">
        <v>41</v>
      </c>
      <c r="P75" s="277" t="n">
        <v>1210</v>
      </c>
      <c r="R75" s="262" t="n">
        <v>105</v>
      </c>
      <c r="S75" s="278" t="s">
        <v>53</v>
      </c>
      <c r="T75" s="279" t="n">
        <v>73</v>
      </c>
      <c r="V75" s="262" t="n">
        <v>61</v>
      </c>
      <c r="W75" s="281" t="s">
        <v>89</v>
      </c>
      <c r="X75" s="213" t="n">
        <v>56</v>
      </c>
    </row>
    <row r="76" customFormat="false" ht="15.75" hidden="false" customHeight="false" outlineLevel="0" collapsed="false">
      <c r="B76" s="280" t="n">
        <v>1</v>
      </c>
      <c r="C76" s="35" t="s">
        <v>90</v>
      </c>
      <c r="D76" s="272" t="n">
        <v>1470</v>
      </c>
      <c r="F76" s="280" t="n">
        <v>42</v>
      </c>
      <c r="G76" s="35" t="s">
        <v>13</v>
      </c>
      <c r="H76" s="272" t="n">
        <v>790</v>
      </c>
      <c r="J76" s="280" t="n">
        <v>59</v>
      </c>
      <c r="K76" s="35" t="s">
        <v>121</v>
      </c>
      <c r="L76" s="272" t="n">
        <v>880</v>
      </c>
      <c r="N76" s="280" t="n">
        <v>63</v>
      </c>
      <c r="O76" s="35" t="s">
        <v>96</v>
      </c>
      <c r="P76" s="272" t="n">
        <v>1110</v>
      </c>
      <c r="R76" s="262" t="n">
        <v>96</v>
      </c>
      <c r="S76" s="281" t="s">
        <v>24</v>
      </c>
      <c r="T76" s="213" t="n">
        <v>74</v>
      </c>
      <c r="V76" s="262" t="n">
        <v>1</v>
      </c>
      <c r="W76" s="278" t="s">
        <v>90</v>
      </c>
      <c r="X76" s="279" t="n">
        <v>27</v>
      </c>
    </row>
    <row r="77" customFormat="false" ht="15.75" hidden="false" customHeight="false" outlineLevel="0" collapsed="false">
      <c r="B77" s="276" t="n">
        <v>45</v>
      </c>
      <c r="C77" s="40" t="s">
        <v>91</v>
      </c>
      <c r="D77" s="277" t="n">
        <v>1120</v>
      </c>
      <c r="F77" s="276" t="n">
        <v>87</v>
      </c>
      <c r="G77" s="40" t="s">
        <v>116</v>
      </c>
      <c r="H77" s="277" t="n">
        <v>780</v>
      </c>
      <c r="J77" s="276" t="n">
        <v>36</v>
      </c>
      <c r="K77" s="40" t="s">
        <v>104</v>
      </c>
      <c r="L77" s="277" t="n">
        <v>890</v>
      </c>
      <c r="N77" s="276" t="n">
        <v>64</v>
      </c>
      <c r="O77" s="40" t="s">
        <v>44</v>
      </c>
      <c r="P77" s="277" t="n">
        <v>820</v>
      </c>
      <c r="R77" s="262" t="n">
        <v>35</v>
      </c>
      <c r="S77" s="278" t="s">
        <v>31</v>
      </c>
      <c r="T77" s="279" t="n">
        <v>75</v>
      </c>
      <c r="V77" s="262" t="n">
        <v>45</v>
      </c>
      <c r="W77" s="278" t="s">
        <v>91</v>
      </c>
      <c r="X77" s="279" t="n">
        <v>57</v>
      </c>
    </row>
    <row r="78" customFormat="false" ht="15.75" hidden="false" customHeight="false" outlineLevel="0" collapsed="false">
      <c r="B78" s="280" t="n">
        <v>45</v>
      </c>
      <c r="C78" s="35" t="s">
        <v>92</v>
      </c>
      <c r="D78" s="272" t="n">
        <v>1140</v>
      </c>
      <c r="F78" s="280" t="n">
        <v>57</v>
      </c>
      <c r="G78" s="35" t="s">
        <v>58</v>
      </c>
      <c r="H78" s="272" t="n">
        <v>760</v>
      </c>
      <c r="J78" s="280" t="n">
        <v>43</v>
      </c>
      <c r="K78" s="35" t="s">
        <v>47</v>
      </c>
      <c r="L78" s="272" t="n">
        <v>895</v>
      </c>
      <c r="N78" s="280" t="n">
        <v>64</v>
      </c>
      <c r="O78" s="35" t="s">
        <v>45</v>
      </c>
      <c r="P78" s="272" t="n">
        <v>810</v>
      </c>
      <c r="R78" s="262" t="n">
        <v>59</v>
      </c>
      <c r="S78" s="281" t="s">
        <v>121</v>
      </c>
      <c r="T78" s="213" t="n">
        <v>76</v>
      </c>
      <c r="V78" s="262" t="n">
        <v>45</v>
      </c>
      <c r="W78" s="281" t="s">
        <v>92</v>
      </c>
      <c r="X78" s="213" t="n">
        <v>58</v>
      </c>
    </row>
    <row r="79" customFormat="false" ht="15.75" hidden="false" customHeight="false" outlineLevel="0" collapsed="false">
      <c r="B79" s="276" t="n">
        <v>4</v>
      </c>
      <c r="C79" s="40" t="s">
        <v>93</v>
      </c>
      <c r="D79" s="277" t="n">
        <v>1430</v>
      </c>
      <c r="F79" s="276" t="n">
        <v>68</v>
      </c>
      <c r="G79" s="40" t="s">
        <v>142</v>
      </c>
      <c r="H79" s="277" t="n">
        <v>750</v>
      </c>
      <c r="J79" s="276" t="n">
        <v>37</v>
      </c>
      <c r="K79" s="40" t="s">
        <v>49</v>
      </c>
      <c r="L79" s="277" t="n">
        <v>900</v>
      </c>
      <c r="N79" s="276" t="n">
        <v>65</v>
      </c>
      <c r="O79" s="40" t="s">
        <v>133</v>
      </c>
      <c r="P79" s="277" t="n">
        <v>560</v>
      </c>
      <c r="R79" s="262" t="n">
        <v>107</v>
      </c>
      <c r="S79" s="278" t="s">
        <v>130</v>
      </c>
      <c r="T79" s="279" t="n">
        <v>77</v>
      </c>
      <c r="V79" s="262" t="n">
        <v>4</v>
      </c>
      <c r="W79" s="278" t="s">
        <v>93</v>
      </c>
      <c r="X79" s="279" t="n">
        <v>7</v>
      </c>
    </row>
    <row r="80" customFormat="false" ht="15.75" hidden="false" customHeight="false" outlineLevel="0" collapsed="false">
      <c r="B80" s="280" t="n">
        <v>46</v>
      </c>
      <c r="C80" s="35" t="s">
        <v>94</v>
      </c>
      <c r="D80" s="272" t="n">
        <v>950</v>
      </c>
      <c r="F80" s="280" t="n">
        <v>60</v>
      </c>
      <c r="G80" s="35" t="s">
        <v>120</v>
      </c>
      <c r="H80" s="272" t="n">
        <v>740</v>
      </c>
      <c r="J80" s="280" t="n">
        <v>29</v>
      </c>
      <c r="K80" s="35" t="s">
        <v>108</v>
      </c>
      <c r="L80" s="272" t="n">
        <v>910</v>
      </c>
      <c r="N80" s="280" t="n">
        <v>65</v>
      </c>
      <c r="O80" s="35" t="s">
        <v>134</v>
      </c>
      <c r="P80" s="272" t="n">
        <v>550</v>
      </c>
      <c r="R80" s="262" t="n">
        <v>79</v>
      </c>
      <c r="S80" s="281" t="s">
        <v>131</v>
      </c>
      <c r="T80" s="213" t="n">
        <v>78</v>
      </c>
      <c r="V80" s="262" t="n">
        <v>46</v>
      </c>
      <c r="W80" s="281" t="s">
        <v>94</v>
      </c>
      <c r="X80" s="213" t="n">
        <v>30</v>
      </c>
    </row>
    <row r="81" customFormat="false" ht="15.75" hidden="false" customHeight="false" outlineLevel="0" collapsed="false">
      <c r="B81" s="276" t="n">
        <v>69</v>
      </c>
      <c r="C81" s="40" t="s">
        <v>95</v>
      </c>
      <c r="D81" s="277" t="n">
        <v>940</v>
      </c>
      <c r="F81" s="276" t="n">
        <v>84</v>
      </c>
      <c r="G81" s="40" t="s">
        <v>25</v>
      </c>
      <c r="H81" s="277" t="n">
        <v>710</v>
      </c>
      <c r="J81" s="276" t="n">
        <v>37</v>
      </c>
      <c r="K81" s="40" t="s">
        <v>48</v>
      </c>
      <c r="L81" s="277" t="n">
        <v>920</v>
      </c>
      <c r="N81" s="276" t="n">
        <v>66</v>
      </c>
      <c r="O81" s="40" t="s">
        <v>101</v>
      </c>
      <c r="P81" s="277" t="n">
        <v>1150</v>
      </c>
      <c r="R81" s="262" t="n">
        <v>14</v>
      </c>
      <c r="S81" s="278" t="s">
        <v>148</v>
      </c>
      <c r="T81" s="279" t="n">
        <v>79</v>
      </c>
      <c r="V81" s="262" t="n">
        <v>69</v>
      </c>
      <c r="W81" s="278" t="s">
        <v>95</v>
      </c>
      <c r="X81" s="279" t="n">
        <v>81</v>
      </c>
    </row>
    <row r="82" customFormat="false" ht="15.75" hidden="false" customHeight="false" outlineLevel="0" collapsed="false">
      <c r="B82" s="280" t="n">
        <v>63</v>
      </c>
      <c r="C82" s="35" t="s">
        <v>96</v>
      </c>
      <c r="D82" s="272" t="n">
        <v>1110</v>
      </c>
      <c r="F82" s="280" t="n">
        <v>75</v>
      </c>
      <c r="G82" s="35" t="s">
        <v>84</v>
      </c>
      <c r="H82" s="272" t="n">
        <v>700</v>
      </c>
      <c r="J82" s="280" t="n">
        <v>35</v>
      </c>
      <c r="K82" s="35" t="s">
        <v>31</v>
      </c>
      <c r="L82" s="272" t="n">
        <v>930</v>
      </c>
      <c r="N82" s="280" t="n">
        <v>67</v>
      </c>
      <c r="O82" s="35" t="s">
        <v>43</v>
      </c>
      <c r="P82" s="272" t="n">
        <v>850</v>
      </c>
      <c r="R82" s="262" t="n">
        <v>76</v>
      </c>
      <c r="S82" s="281" t="s">
        <v>150</v>
      </c>
      <c r="T82" s="213" t="n">
        <v>80</v>
      </c>
      <c r="V82" s="262" t="n">
        <v>63</v>
      </c>
      <c r="W82" s="281" t="s">
        <v>96</v>
      </c>
      <c r="X82" s="213" t="n">
        <v>22</v>
      </c>
    </row>
    <row r="83" customFormat="false" ht="15.75" hidden="false" customHeight="false" outlineLevel="0" collapsed="false">
      <c r="B83" s="276" t="n">
        <v>104</v>
      </c>
      <c r="C83" s="40" t="s">
        <v>97</v>
      </c>
      <c r="D83" s="277" t="n">
        <v>250</v>
      </c>
      <c r="F83" s="276" t="n">
        <v>56</v>
      </c>
      <c r="G83" s="40" t="s">
        <v>143</v>
      </c>
      <c r="H83" s="277" t="n">
        <v>680</v>
      </c>
      <c r="J83" s="276" t="n">
        <v>69</v>
      </c>
      <c r="K83" s="40" t="s">
        <v>95</v>
      </c>
      <c r="L83" s="277" t="n">
        <v>940</v>
      </c>
      <c r="N83" s="276" t="n">
        <v>68</v>
      </c>
      <c r="O83" s="40" t="s">
        <v>142</v>
      </c>
      <c r="P83" s="277" t="n">
        <v>750</v>
      </c>
      <c r="R83" s="262" t="n">
        <v>69</v>
      </c>
      <c r="S83" s="278" t="s">
        <v>95</v>
      </c>
      <c r="T83" s="279" t="n">
        <v>81</v>
      </c>
      <c r="V83" s="262" t="n">
        <v>104</v>
      </c>
      <c r="W83" s="281" t="s">
        <v>97</v>
      </c>
      <c r="X83" s="213" t="n">
        <v>92</v>
      </c>
    </row>
    <row r="84" customFormat="false" ht="15.75" hidden="false" customHeight="false" outlineLevel="0" collapsed="false">
      <c r="B84" s="280" t="n">
        <v>104</v>
      </c>
      <c r="C84" s="35" t="s">
        <v>98</v>
      </c>
      <c r="D84" s="272" t="n">
        <v>210</v>
      </c>
      <c r="F84" s="280" t="n">
        <v>84</v>
      </c>
      <c r="G84" s="35" t="s">
        <v>27</v>
      </c>
      <c r="H84" s="272" t="n">
        <v>670</v>
      </c>
      <c r="J84" s="280" t="n">
        <v>46</v>
      </c>
      <c r="K84" s="35" t="s">
        <v>94</v>
      </c>
      <c r="L84" s="272" t="n">
        <v>950</v>
      </c>
      <c r="N84" s="280" t="n">
        <v>69</v>
      </c>
      <c r="O84" s="35" t="s">
        <v>95</v>
      </c>
      <c r="P84" s="272" t="n">
        <v>940</v>
      </c>
      <c r="R84" s="262" t="n">
        <v>15</v>
      </c>
      <c r="S84" s="281" t="s">
        <v>74</v>
      </c>
      <c r="T84" s="213" t="n">
        <v>82</v>
      </c>
      <c r="V84" s="262" t="n">
        <v>104</v>
      </c>
      <c r="W84" s="278" t="s">
        <v>98</v>
      </c>
      <c r="X84" s="279" t="n">
        <v>93</v>
      </c>
    </row>
    <row r="85" customFormat="false" ht="15.75" hidden="false" customHeight="false" outlineLevel="0" collapsed="false">
      <c r="B85" s="276" t="n">
        <v>90</v>
      </c>
      <c r="C85" s="40" t="s">
        <v>99</v>
      </c>
      <c r="D85" s="277" t="n">
        <v>300</v>
      </c>
      <c r="F85" s="276" t="n">
        <v>71</v>
      </c>
      <c r="G85" s="40" t="s">
        <v>145</v>
      </c>
      <c r="H85" s="277" t="n">
        <v>660</v>
      </c>
      <c r="J85" s="276" t="n">
        <v>93</v>
      </c>
      <c r="K85" s="40" t="s">
        <v>55</v>
      </c>
      <c r="L85" s="277" t="n">
        <v>980</v>
      </c>
      <c r="N85" s="276" t="n">
        <v>70</v>
      </c>
      <c r="O85" s="40" t="s">
        <v>56</v>
      </c>
      <c r="P85" s="277" t="n">
        <v>1405</v>
      </c>
      <c r="R85" s="262" t="n">
        <v>81</v>
      </c>
      <c r="S85" s="278" t="s">
        <v>85</v>
      </c>
      <c r="T85" s="279" t="n">
        <v>83</v>
      </c>
      <c r="V85" s="262" t="n">
        <v>90</v>
      </c>
      <c r="W85" s="281" t="s">
        <v>99</v>
      </c>
      <c r="X85" s="213" t="n">
        <v>68</v>
      </c>
    </row>
    <row r="86" customFormat="false" ht="15.75" hidden="false" customHeight="false" outlineLevel="0" collapsed="false">
      <c r="B86" s="280" t="n">
        <v>90</v>
      </c>
      <c r="C86" s="35" t="s">
        <v>100</v>
      </c>
      <c r="D86" s="272" t="n">
        <v>290</v>
      </c>
      <c r="F86" s="280" t="n">
        <v>72</v>
      </c>
      <c r="G86" s="35" t="s">
        <v>26</v>
      </c>
      <c r="H86" s="272" t="n">
        <v>640</v>
      </c>
      <c r="J86" s="280" t="n">
        <v>77</v>
      </c>
      <c r="K86" s="35" t="s">
        <v>147</v>
      </c>
      <c r="L86" s="272" t="n">
        <v>990</v>
      </c>
      <c r="N86" s="280" t="n">
        <v>71</v>
      </c>
      <c r="O86" s="35" t="s">
        <v>145</v>
      </c>
      <c r="P86" s="272" t="n">
        <v>660</v>
      </c>
      <c r="R86" s="262" t="n">
        <v>81</v>
      </c>
      <c r="S86" s="281" t="s">
        <v>86</v>
      </c>
      <c r="T86" s="213" t="n">
        <v>84</v>
      </c>
      <c r="V86" s="262" t="n">
        <v>90</v>
      </c>
      <c r="W86" s="278" t="s">
        <v>100</v>
      </c>
      <c r="X86" s="279" t="n">
        <v>69</v>
      </c>
    </row>
    <row r="87" customFormat="false" ht="15.75" hidden="false" customHeight="false" outlineLevel="0" collapsed="false">
      <c r="B87" s="276" t="n">
        <v>66</v>
      </c>
      <c r="C87" s="40" t="s">
        <v>101</v>
      </c>
      <c r="D87" s="277" t="n">
        <v>1150</v>
      </c>
      <c r="F87" s="276" t="n">
        <v>71</v>
      </c>
      <c r="G87" s="40" t="s">
        <v>146</v>
      </c>
      <c r="H87" s="277" t="n">
        <v>620</v>
      </c>
      <c r="J87" s="276" t="n">
        <v>48</v>
      </c>
      <c r="K87" s="40" t="s">
        <v>127</v>
      </c>
      <c r="L87" s="277" t="n">
        <v>1000</v>
      </c>
      <c r="N87" s="276" t="n">
        <v>71</v>
      </c>
      <c r="O87" s="40" t="s">
        <v>146</v>
      </c>
      <c r="P87" s="277" t="n">
        <v>620</v>
      </c>
      <c r="R87" s="262" t="n">
        <v>23</v>
      </c>
      <c r="S87" s="278" t="s">
        <v>87</v>
      </c>
      <c r="T87" s="279" t="n">
        <v>85</v>
      </c>
      <c r="V87" s="262" t="n">
        <v>66</v>
      </c>
      <c r="W87" s="278" t="s">
        <v>101</v>
      </c>
      <c r="X87" s="279" t="n">
        <v>51</v>
      </c>
    </row>
    <row r="88" customFormat="false" ht="15.75" hidden="false" customHeight="false" outlineLevel="0" collapsed="false">
      <c r="B88" s="280" t="n">
        <v>24</v>
      </c>
      <c r="C88" s="35" t="s">
        <v>102</v>
      </c>
      <c r="D88" s="272" t="n">
        <v>1480</v>
      </c>
      <c r="F88" s="280" t="n">
        <v>40</v>
      </c>
      <c r="G88" s="35" t="s">
        <v>77</v>
      </c>
      <c r="H88" s="272" t="n">
        <v>590</v>
      </c>
      <c r="J88" s="280" t="n">
        <v>94</v>
      </c>
      <c r="K88" s="35" t="s">
        <v>54</v>
      </c>
      <c r="L88" s="272" t="n">
        <v>1010</v>
      </c>
      <c r="N88" s="280" t="n">
        <v>72</v>
      </c>
      <c r="O88" s="35" t="s">
        <v>26</v>
      </c>
      <c r="P88" s="272" t="n">
        <v>640</v>
      </c>
      <c r="R88" s="262" t="n">
        <v>29</v>
      </c>
      <c r="S88" s="281" t="s">
        <v>108</v>
      </c>
      <c r="T88" s="213" t="n">
        <v>86</v>
      </c>
      <c r="V88" s="262" t="n">
        <v>24</v>
      </c>
      <c r="W88" s="281" t="s">
        <v>102</v>
      </c>
      <c r="X88" s="213" t="n">
        <v>4</v>
      </c>
    </row>
    <row r="89" customFormat="false" ht="15.75" hidden="false" customHeight="false" outlineLevel="0" collapsed="false">
      <c r="B89" s="276" t="n">
        <v>24</v>
      </c>
      <c r="C89" s="40" t="s">
        <v>103</v>
      </c>
      <c r="D89" s="277" t="n">
        <v>1440</v>
      </c>
      <c r="F89" s="276" t="n">
        <v>40</v>
      </c>
      <c r="G89" s="40" t="s">
        <v>78</v>
      </c>
      <c r="H89" s="277" t="n">
        <v>580</v>
      </c>
      <c r="J89" s="276" t="n">
        <v>48</v>
      </c>
      <c r="K89" s="40" t="s">
        <v>126</v>
      </c>
      <c r="L89" s="277" t="n">
        <v>1020</v>
      </c>
      <c r="N89" s="276" t="n">
        <v>73</v>
      </c>
      <c r="O89" s="40" t="s">
        <v>20</v>
      </c>
      <c r="P89" s="277" t="n">
        <v>220</v>
      </c>
      <c r="R89" s="262" t="n">
        <v>91</v>
      </c>
      <c r="S89" s="278" t="s">
        <v>152</v>
      </c>
      <c r="T89" s="279" t="n">
        <v>87</v>
      </c>
      <c r="V89" s="262" t="n">
        <v>24</v>
      </c>
      <c r="W89" s="278" t="s">
        <v>103</v>
      </c>
      <c r="X89" s="279" t="n">
        <v>5</v>
      </c>
    </row>
    <row r="90" customFormat="false" ht="15.75" hidden="false" customHeight="false" outlineLevel="0" collapsed="false">
      <c r="B90" s="280" t="n">
        <v>36</v>
      </c>
      <c r="C90" s="35" t="s">
        <v>104</v>
      </c>
      <c r="D90" s="272" t="n">
        <v>890</v>
      </c>
      <c r="F90" s="280" t="n">
        <v>100</v>
      </c>
      <c r="G90" s="35" t="s">
        <v>12</v>
      </c>
      <c r="H90" s="272" t="n">
        <v>570</v>
      </c>
      <c r="J90" s="280" t="n">
        <v>47</v>
      </c>
      <c r="K90" s="35" t="s">
        <v>63</v>
      </c>
      <c r="L90" s="272" t="n">
        <v>1030</v>
      </c>
      <c r="N90" s="280" t="n">
        <v>74</v>
      </c>
      <c r="O90" s="35" t="s">
        <v>14</v>
      </c>
      <c r="P90" s="272" t="n">
        <v>380</v>
      </c>
      <c r="R90" s="262" t="n">
        <v>91</v>
      </c>
      <c r="S90" s="281" t="s">
        <v>153</v>
      </c>
      <c r="T90" s="213" t="n">
        <v>88</v>
      </c>
      <c r="V90" s="262" t="n">
        <v>36</v>
      </c>
      <c r="W90" s="278" t="s">
        <v>104</v>
      </c>
      <c r="X90" s="279" t="n">
        <v>41</v>
      </c>
    </row>
    <row r="91" customFormat="false" ht="15.75" hidden="false" customHeight="false" outlineLevel="0" collapsed="false">
      <c r="B91" s="276" t="n">
        <v>99</v>
      </c>
      <c r="C91" s="40" t="s">
        <v>105</v>
      </c>
      <c r="D91" s="277" t="n">
        <v>260</v>
      </c>
      <c r="F91" s="276" t="n">
        <v>65</v>
      </c>
      <c r="G91" s="40" t="s">
        <v>133</v>
      </c>
      <c r="H91" s="277" t="n">
        <v>560</v>
      </c>
      <c r="J91" s="276" t="n">
        <v>49</v>
      </c>
      <c r="K91" s="40" t="s">
        <v>66</v>
      </c>
      <c r="L91" s="277" t="n">
        <v>1040</v>
      </c>
      <c r="N91" s="276" t="n">
        <v>75</v>
      </c>
      <c r="O91" s="40" t="s">
        <v>84</v>
      </c>
      <c r="P91" s="277" t="n">
        <v>700</v>
      </c>
      <c r="R91" s="262" t="n">
        <v>78</v>
      </c>
      <c r="S91" s="278" t="s">
        <v>144</v>
      </c>
      <c r="T91" s="279" t="n">
        <v>89</v>
      </c>
      <c r="V91" s="262" t="n">
        <v>99</v>
      </c>
      <c r="W91" s="278" t="s">
        <v>105</v>
      </c>
      <c r="X91" s="279" t="n">
        <v>133</v>
      </c>
    </row>
    <row r="92" customFormat="false" ht="15.75" hidden="false" customHeight="false" outlineLevel="0" collapsed="false">
      <c r="B92" s="280" t="n">
        <v>33</v>
      </c>
      <c r="C92" s="35" t="s">
        <v>106</v>
      </c>
      <c r="D92" s="272" t="n">
        <v>430</v>
      </c>
      <c r="F92" s="280" t="n">
        <v>65</v>
      </c>
      <c r="G92" s="35" t="s">
        <v>134</v>
      </c>
      <c r="H92" s="272" t="n">
        <v>550</v>
      </c>
      <c r="J92" s="280" t="n">
        <v>78</v>
      </c>
      <c r="K92" s="35" t="s">
        <v>144</v>
      </c>
      <c r="L92" s="272" t="n">
        <v>1050</v>
      </c>
      <c r="N92" s="280" t="n">
        <v>76</v>
      </c>
      <c r="O92" s="35" t="s">
        <v>150</v>
      </c>
      <c r="P92" s="272" t="n">
        <v>1160</v>
      </c>
      <c r="R92" s="262" t="n">
        <v>38</v>
      </c>
      <c r="S92" s="281" t="s">
        <v>110</v>
      </c>
      <c r="T92" s="213" t="n">
        <v>90</v>
      </c>
      <c r="V92" s="262" t="n">
        <v>33</v>
      </c>
      <c r="W92" s="278" t="s">
        <v>106</v>
      </c>
      <c r="X92" s="279" t="n">
        <v>97</v>
      </c>
    </row>
    <row r="93" customFormat="false" ht="15.75" hidden="false" customHeight="false" outlineLevel="0" collapsed="false">
      <c r="B93" s="276" t="n">
        <v>33</v>
      </c>
      <c r="C93" s="40" t="s">
        <v>107</v>
      </c>
      <c r="D93" s="277" t="n">
        <v>390</v>
      </c>
      <c r="F93" s="276" t="n">
        <v>80</v>
      </c>
      <c r="G93" s="40" t="s">
        <v>51</v>
      </c>
      <c r="H93" s="277" t="n">
        <v>540</v>
      </c>
      <c r="J93" s="276" t="n">
        <v>26</v>
      </c>
      <c r="K93" s="40" t="s">
        <v>46</v>
      </c>
      <c r="L93" s="277" t="n">
        <v>1060</v>
      </c>
      <c r="N93" s="276" t="n">
        <v>77</v>
      </c>
      <c r="O93" s="40" t="s">
        <v>147</v>
      </c>
      <c r="P93" s="277" t="n">
        <v>990</v>
      </c>
      <c r="R93" s="262" t="n">
        <v>28</v>
      </c>
      <c r="S93" s="278" t="s">
        <v>57</v>
      </c>
      <c r="T93" s="279" t="n">
        <v>91</v>
      </c>
      <c r="V93" s="262" t="n">
        <v>33</v>
      </c>
      <c r="W93" s="281" t="s">
        <v>107</v>
      </c>
      <c r="X93" s="213" t="n">
        <v>98</v>
      </c>
    </row>
    <row r="94" customFormat="false" ht="15.75" hidden="false" customHeight="false" outlineLevel="0" collapsed="false">
      <c r="B94" s="280" t="n">
        <v>29</v>
      </c>
      <c r="C94" s="35" t="s">
        <v>108</v>
      </c>
      <c r="D94" s="272" t="n">
        <v>910</v>
      </c>
      <c r="F94" s="280" t="n">
        <v>80</v>
      </c>
      <c r="G94" s="35" t="s">
        <v>52</v>
      </c>
      <c r="H94" s="272" t="n">
        <v>530</v>
      </c>
      <c r="J94" s="280" t="n">
        <v>50</v>
      </c>
      <c r="K94" s="35" t="s">
        <v>22</v>
      </c>
      <c r="L94" s="272" t="n">
        <v>1070</v>
      </c>
      <c r="N94" s="280" t="n">
        <v>78</v>
      </c>
      <c r="O94" s="35" t="s">
        <v>144</v>
      </c>
      <c r="P94" s="272" t="n">
        <v>1050</v>
      </c>
      <c r="R94" s="262" t="n">
        <v>104</v>
      </c>
      <c r="S94" s="281" t="s">
        <v>97</v>
      </c>
      <c r="T94" s="213" t="n">
        <v>92</v>
      </c>
      <c r="V94" s="262" t="n">
        <v>29</v>
      </c>
      <c r="W94" s="281" t="s">
        <v>108</v>
      </c>
      <c r="X94" s="213" t="n">
        <v>86</v>
      </c>
    </row>
    <row r="95" customFormat="false" ht="15.75" hidden="false" customHeight="false" outlineLevel="0" collapsed="false">
      <c r="B95" s="276" t="n">
        <v>109</v>
      </c>
      <c r="C95" s="40" t="s">
        <v>109</v>
      </c>
      <c r="D95" s="277" t="n">
        <v>70</v>
      </c>
      <c r="F95" s="276" t="n">
        <v>11</v>
      </c>
      <c r="G95" s="40" t="s">
        <v>115</v>
      </c>
      <c r="H95" s="277" t="n">
        <v>520</v>
      </c>
      <c r="J95" s="276" t="n">
        <v>44</v>
      </c>
      <c r="K95" s="40" t="s">
        <v>33</v>
      </c>
      <c r="L95" s="277" t="n">
        <v>1080</v>
      </c>
      <c r="N95" s="276" t="n">
        <v>79</v>
      </c>
      <c r="O95" s="40" t="s">
        <v>131</v>
      </c>
      <c r="P95" s="277" t="n">
        <v>450</v>
      </c>
      <c r="R95" s="262" t="n">
        <v>104</v>
      </c>
      <c r="S95" s="278" t="s">
        <v>98</v>
      </c>
      <c r="T95" s="279" t="n">
        <v>93</v>
      </c>
      <c r="V95" s="262" t="n">
        <v>109</v>
      </c>
      <c r="W95" s="278" t="s">
        <v>109</v>
      </c>
      <c r="X95" s="279" t="n">
        <v>129</v>
      </c>
    </row>
    <row r="96" customFormat="false" ht="15.75" hidden="false" customHeight="false" outlineLevel="0" collapsed="false">
      <c r="B96" s="280" t="n">
        <v>38</v>
      </c>
      <c r="C96" s="35" t="s">
        <v>110</v>
      </c>
      <c r="D96" s="272" t="n">
        <v>420</v>
      </c>
      <c r="F96" s="280" t="n">
        <v>52</v>
      </c>
      <c r="G96" s="35" t="s">
        <v>67</v>
      </c>
      <c r="H96" s="272" t="n">
        <v>510</v>
      </c>
      <c r="J96" s="280" t="n">
        <v>31</v>
      </c>
      <c r="K96" s="35" t="s">
        <v>64</v>
      </c>
      <c r="L96" s="272" t="n">
        <v>1090</v>
      </c>
      <c r="N96" s="280" t="n">
        <v>80</v>
      </c>
      <c r="O96" s="35" t="s">
        <v>51</v>
      </c>
      <c r="P96" s="272" t="n">
        <v>540</v>
      </c>
      <c r="R96" s="262" t="n">
        <v>51</v>
      </c>
      <c r="S96" s="281" t="s">
        <v>50</v>
      </c>
      <c r="T96" s="213" t="n">
        <v>94</v>
      </c>
      <c r="V96" s="262" t="n">
        <v>38</v>
      </c>
      <c r="W96" s="281" t="s">
        <v>110</v>
      </c>
      <c r="X96" s="213" t="n">
        <v>90</v>
      </c>
    </row>
    <row r="97" customFormat="false" ht="15.75" hidden="false" customHeight="false" outlineLevel="0" collapsed="false">
      <c r="B97" s="276" t="n">
        <v>21</v>
      </c>
      <c r="C97" s="40" t="s">
        <v>111</v>
      </c>
      <c r="D97" s="277" t="n">
        <v>1180</v>
      </c>
      <c r="F97" s="276" t="n">
        <v>82</v>
      </c>
      <c r="G97" s="40" t="s">
        <v>18</v>
      </c>
      <c r="H97" s="277" t="n">
        <v>500</v>
      </c>
      <c r="J97" s="276" t="n">
        <v>31</v>
      </c>
      <c r="K97" s="48" t="s">
        <v>65</v>
      </c>
      <c r="L97" s="277" t="n">
        <v>1100</v>
      </c>
      <c r="N97" s="276" t="n">
        <v>80</v>
      </c>
      <c r="O97" s="40" t="s">
        <v>52</v>
      </c>
      <c r="P97" s="277" t="n">
        <v>530</v>
      </c>
      <c r="R97" s="262" t="n">
        <v>50</v>
      </c>
      <c r="S97" s="278" t="s">
        <v>22</v>
      </c>
      <c r="T97" s="279" t="n">
        <v>95</v>
      </c>
      <c r="V97" s="262" t="n">
        <v>21</v>
      </c>
      <c r="W97" s="278" t="s">
        <v>111</v>
      </c>
      <c r="X97" s="279" t="n">
        <v>121</v>
      </c>
    </row>
    <row r="98" customFormat="false" ht="15.75" hidden="false" customHeight="false" outlineLevel="0" collapsed="false">
      <c r="B98" s="280" t="n">
        <v>106</v>
      </c>
      <c r="C98" s="35" t="s">
        <v>112</v>
      </c>
      <c r="D98" s="272" t="n">
        <v>140</v>
      </c>
      <c r="F98" s="280" t="n">
        <v>41</v>
      </c>
      <c r="G98" s="35" t="s">
        <v>37</v>
      </c>
      <c r="H98" s="272" t="n">
        <v>490</v>
      </c>
      <c r="J98" s="280" t="n">
        <v>63</v>
      </c>
      <c r="K98" s="35" t="s">
        <v>96</v>
      </c>
      <c r="L98" s="272" t="n">
        <v>1110</v>
      </c>
      <c r="N98" s="280" t="n">
        <v>81</v>
      </c>
      <c r="O98" s="35" t="s">
        <v>85</v>
      </c>
      <c r="P98" s="272" t="n">
        <v>1260</v>
      </c>
      <c r="R98" s="262" t="n">
        <v>68</v>
      </c>
      <c r="S98" s="281" t="s">
        <v>142</v>
      </c>
      <c r="T98" s="213" t="n">
        <v>96</v>
      </c>
      <c r="V98" s="262" t="n">
        <v>106</v>
      </c>
      <c r="W98" s="281" t="s">
        <v>112</v>
      </c>
      <c r="X98" s="213" t="n">
        <v>134</v>
      </c>
    </row>
    <row r="99" customFormat="false" ht="15.75" hidden="false" customHeight="false" outlineLevel="0" collapsed="false">
      <c r="B99" s="276" t="n">
        <v>108</v>
      </c>
      <c r="C99" s="40" t="s">
        <v>113</v>
      </c>
      <c r="D99" s="277" t="n">
        <v>80</v>
      </c>
      <c r="F99" s="276" t="n">
        <v>91</v>
      </c>
      <c r="G99" s="40" t="s">
        <v>153</v>
      </c>
      <c r="H99" s="277" t="n">
        <v>480</v>
      </c>
      <c r="J99" s="276" t="n">
        <v>45</v>
      </c>
      <c r="K99" s="40" t="s">
        <v>91</v>
      </c>
      <c r="L99" s="277" t="n">
        <v>1120</v>
      </c>
      <c r="N99" s="276" t="n">
        <v>81</v>
      </c>
      <c r="O99" s="48" t="s">
        <v>86</v>
      </c>
      <c r="P99" s="277" t="n">
        <v>1270</v>
      </c>
      <c r="R99" s="262" t="n">
        <v>33</v>
      </c>
      <c r="S99" s="278" t="s">
        <v>106</v>
      </c>
      <c r="T99" s="279" t="n">
        <v>97</v>
      </c>
      <c r="V99" s="262" t="n">
        <v>108</v>
      </c>
      <c r="W99" s="281" t="s">
        <v>113</v>
      </c>
      <c r="X99" s="213" t="n">
        <v>120</v>
      </c>
    </row>
    <row r="100" customFormat="false" ht="15.75" hidden="false" customHeight="false" outlineLevel="0" collapsed="false">
      <c r="B100" s="280" t="n">
        <v>10</v>
      </c>
      <c r="C100" s="35" t="s">
        <v>114</v>
      </c>
      <c r="D100" s="272" t="n">
        <v>1350</v>
      </c>
      <c r="F100" s="280" t="n">
        <v>89</v>
      </c>
      <c r="G100" s="35" t="s">
        <v>88</v>
      </c>
      <c r="H100" s="272" t="n">
        <v>470</v>
      </c>
      <c r="J100" s="280" t="n">
        <v>20</v>
      </c>
      <c r="K100" s="35" t="s">
        <v>129</v>
      </c>
      <c r="L100" s="272" t="n">
        <v>1130</v>
      </c>
      <c r="N100" s="280" t="n">
        <v>82</v>
      </c>
      <c r="O100" s="35" t="s">
        <v>18</v>
      </c>
      <c r="P100" s="272" t="n">
        <v>500</v>
      </c>
      <c r="R100" s="262" t="n">
        <v>33</v>
      </c>
      <c r="S100" s="281" t="s">
        <v>107</v>
      </c>
      <c r="T100" s="213" t="n">
        <v>98</v>
      </c>
      <c r="V100" s="262" t="n">
        <v>10</v>
      </c>
      <c r="W100" s="278" t="s">
        <v>114</v>
      </c>
      <c r="X100" s="279" t="n">
        <v>23</v>
      </c>
    </row>
    <row r="101" customFormat="false" ht="15.75" hidden="false" customHeight="false" outlineLevel="0" collapsed="false">
      <c r="B101" s="276" t="n">
        <v>11</v>
      </c>
      <c r="C101" s="40" t="s">
        <v>115</v>
      </c>
      <c r="D101" s="277" t="n">
        <v>520</v>
      </c>
      <c r="F101" s="276" t="n">
        <v>91</v>
      </c>
      <c r="G101" s="40" t="s">
        <v>152</v>
      </c>
      <c r="H101" s="277" t="n">
        <v>460</v>
      </c>
      <c r="J101" s="276" t="n">
        <v>45</v>
      </c>
      <c r="K101" s="40" t="s">
        <v>92</v>
      </c>
      <c r="L101" s="277" t="n">
        <v>1140</v>
      </c>
      <c r="N101" s="276" t="n">
        <v>83</v>
      </c>
      <c r="O101" s="48" t="s">
        <v>39</v>
      </c>
      <c r="P101" s="277" t="n">
        <v>130</v>
      </c>
      <c r="R101" s="262" t="n">
        <v>42</v>
      </c>
      <c r="S101" s="278" t="s">
        <v>13</v>
      </c>
      <c r="T101" s="279" t="n">
        <v>99</v>
      </c>
      <c r="V101" s="262" t="n">
        <v>11</v>
      </c>
      <c r="W101" s="281" t="s">
        <v>115</v>
      </c>
      <c r="X101" s="213" t="n">
        <v>122</v>
      </c>
    </row>
    <row r="102" customFormat="false" ht="15.75" hidden="false" customHeight="false" outlineLevel="0" collapsed="false">
      <c r="B102" s="280" t="n">
        <v>87</v>
      </c>
      <c r="C102" s="35" t="s">
        <v>116</v>
      </c>
      <c r="D102" s="272" t="n">
        <v>780</v>
      </c>
      <c r="F102" s="280" t="n">
        <v>79</v>
      </c>
      <c r="G102" s="35" t="s">
        <v>131</v>
      </c>
      <c r="H102" s="272" t="n">
        <v>450</v>
      </c>
      <c r="J102" s="280" t="n">
        <v>66</v>
      </c>
      <c r="K102" s="35" t="s">
        <v>101</v>
      </c>
      <c r="L102" s="272" t="n">
        <v>1150</v>
      </c>
      <c r="N102" s="280" t="n">
        <v>84</v>
      </c>
      <c r="O102" s="35" t="s">
        <v>25</v>
      </c>
      <c r="P102" s="272" t="n">
        <v>710</v>
      </c>
      <c r="R102" s="262" t="n">
        <v>60</v>
      </c>
      <c r="S102" s="281" t="s">
        <v>120</v>
      </c>
      <c r="T102" s="213" t="n">
        <v>100</v>
      </c>
      <c r="V102" s="262" t="n">
        <v>87</v>
      </c>
      <c r="W102" s="281" t="s">
        <v>116</v>
      </c>
      <c r="X102" s="213" t="n">
        <v>130</v>
      </c>
    </row>
    <row r="103" customFormat="false" ht="15.75" hidden="false" customHeight="false" outlineLevel="0" collapsed="false">
      <c r="B103" s="276" t="n">
        <v>58</v>
      </c>
      <c r="C103" s="40" t="s">
        <v>117</v>
      </c>
      <c r="D103" s="277" t="n">
        <v>360</v>
      </c>
      <c r="F103" s="276" t="n">
        <v>89</v>
      </c>
      <c r="G103" s="48" t="s">
        <v>75</v>
      </c>
      <c r="H103" s="277" t="n">
        <v>440</v>
      </c>
      <c r="J103" s="276" t="n">
        <v>9</v>
      </c>
      <c r="K103" s="40" t="s">
        <v>128</v>
      </c>
      <c r="L103" s="277" t="n">
        <v>1155</v>
      </c>
      <c r="N103" s="276" t="n">
        <v>84</v>
      </c>
      <c r="O103" s="40" t="s">
        <v>27</v>
      </c>
      <c r="P103" s="277" t="n">
        <v>670</v>
      </c>
      <c r="R103" s="262" t="n">
        <v>22</v>
      </c>
      <c r="S103" s="278" t="s">
        <v>62</v>
      </c>
      <c r="T103" s="279" t="n">
        <v>101</v>
      </c>
      <c r="V103" s="262" t="n">
        <v>58</v>
      </c>
      <c r="W103" s="278" t="s">
        <v>117</v>
      </c>
      <c r="X103" s="279" t="n">
        <v>35</v>
      </c>
    </row>
    <row r="104" customFormat="false" ht="15.75" hidden="false" customHeight="false" outlineLevel="0" collapsed="false">
      <c r="B104" s="280" t="n">
        <v>58</v>
      </c>
      <c r="C104" s="35" t="s">
        <v>118</v>
      </c>
      <c r="D104" s="272" t="n">
        <v>240</v>
      </c>
      <c r="F104" s="280" t="n">
        <v>33</v>
      </c>
      <c r="G104" s="35" t="s">
        <v>106</v>
      </c>
      <c r="H104" s="272" t="n">
        <v>430</v>
      </c>
      <c r="J104" s="280" t="n">
        <v>76</v>
      </c>
      <c r="K104" s="35" t="s">
        <v>150</v>
      </c>
      <c r="L104" s="272" t="n">
        <v>1160</v>
      </c>
      <c r="N104" s="280" t="n">
        <v>85</v>
      </c>
      <c r="O104" s="35" t="s">
        <v>122</v>
      </c>
      <c r="P104" s="272" t="n">
        <v>280</v>
      </c>
      <c r="R104" s="262" t="n">
        <v>98</v>
      </c>
      <c r="S104" s="281" t="s">
        <v>15</v>
      </c>
      <c r="T104" s="213" t="n">
        <v>102</v>
      </c>
      <c r="V104" s="262" t="n">
        <v>58</v>
      </c>
      <c r="W104" s="281" t="s">
        <v>118</v>
      </c>
      <c r="X104" s="213" t="n">
        <v>36</v>
      </c>
    </row>
    <row r="105" customFormat="false" ht="15.75" hidden="false" customHeight="false" outlineLevel="0" collapsed="false">
      <c r="B105" s="276" t="n">
        <v>95</v>
      </c>
      <c r="C105" s="40" t="s">
        <v>119</v>
      </c>
      <c r="D105" s="277" t="n">
        <v>350</v>
      </c>
      <c r="F105" s="276" t="n">
        <v>38</v>
      </c>
      <c r="G105" s="40" t="s">
        <v>110</v>
      </c>
      <c r="H105" s="277" t="n">
        <v>420</v>
      </c>
      <c r="J105" s="276" t="n">
        <v>21</v>
      </c>
      <c r="K105" s="40" t="s">
        <v>111</v>
      </c>
      <c r="L105" s="277" t="n">
        <v>1180</v>
      </c>
      <c r="N105" s="276" t="n">
        <v>85</v>
      </c>
      <c r="O105" s="40" t="s">
        <v>123</v>
      </c>
      <c r="P105" s="277" t="n">
        <v>270</v>
      </c>
      <c r="R105" s="262" t="n">
        <v>77</v>
      </c>
      <c r="S105" s="278" t="s">
        <v>147</v>
      </c>
      <c r="T105" s="279" t="n">
        <v>103</v>
      </c>
      <c r="V105" s="262" t="n">
        <v>95</v>
      </c>
      <c r="W105" s="281" t="s">
        <v>119</v>
      </c>
      <c r="X105" s="213" t="n">
        <v>124</v>
      </c>
    </row>
    <row r="106" customFormat="false" ht="15.75" hidden="false" customHeight="false" outlineLevel="0" collapsed="false">
      <c r="B106" s="280" t="n">
        <v>74</v>
      </c>
      <c r="C106" s="35" t="s">
        <v>14</v>
      </c>
      <c r="D106" s="272" t="n">
        <v>380</v>
      </c>
      <c r="F106" s="280" t="n">
        <v>54</v>
      </c>
      <c r="G106" s="35" t="s">
        <v>138</v>
      </c>
      <c r="H106" s="272" t="n">
        <v>410</v>
      </c>
      <c r="J106" s="280" t="n">
        <v>34</v>
      </c>
      <c r="K106" s="35" t="s">
        <v>151</v>
      </c>
      <c r="L106" s="272" t="n">
        <v>1190</v>
      </c>
      <c r="N106" s="280" t="n">
        <v>86</v>
      </c>
      <c r="O106" s="35" t="s">
        <v>29</v>
      </c>
      <c r="P106" s="272" t="n">
        <v>860</v>
      </c>
      <c r="R106" s="262" t="n">
        <v>57</v>
      </c>
      <c r="S106" s="281" t="s">
        <v>58</v>
      </c>
      <c r="T106" s="213" t="n">
        <v>104</v>
      </c>
      <c r="V106" s="262" t="n">
        <v>74</v>
      </c>
      <c r="W106" s="281" t="s">
        <v>14</v>
      </c>
      <c r="X106" s="213" t="n">
        <v>126</v>
      </c>
    </row>
    <row r="107" customFormat="false" ht="15.75" hidden="false" customHeight="false" outlineLevel="0" collapsed="false">
      <c r="B107" s="276" t="n">
        <v>60</v>
      </c>
      <c r="C107" s="40" t="s">
        <v>120</v>
      </c>
      <c r="D107" s="277" t="n">
        <v>740</v>
      </c>
      <c r="F107" s="276" t="n">
        <v>33</v>
      </c>
      <c r="G107" s="40" t="s">
        <v>107</v>
      </c>
      <c r="H107" s="277" t="n">
        <v>390</v>
      </c>
      <c r="J107" s="276" t="n">
        <v>62</v>
      </c>
      <c r="K107" s="40" t="s">
        <v>41</v>
      </c>
      <c r="L107" s="277" t="n">
        <v>1210</v>
      </c>
      <c r="N107" s="276" t="n">
        <v>86</v>
      </c>
      <c r="O107" s="40" t="s">
        <v>30</v>
      </c>
      <c r="P107" s="277" t="n">
        <v>840</v>
      </c>
      <c r="R107" s="262" t="n">
        <v>111</v>
      </c>
      <c r="S107" s="278" t="s">
        <v>79</v>
      </c>
      <c r="T107" s="279" t="n">
        <v>105</v>
      </c>
      <c r="V107" s="262" t="n">
        <v>60</v>
      </c>
      <c r="W107" s="281" t="s">
        <v>120</v>
      </c>
      <c r="X107" s="213" t="n">
        <v>100</v>
      </c>
    </row>
    <row r="108" customFormat="false" ht="15.75" hidden="false" customHeight="false" outlineLevel="0" collapsed="false">
      <c r="B108" s="280" t="n">
        <v>59</v>
      </c>
      <c r="C108" s="35" t="s">
        <v>121</v>
      </c>
      <c r="D108" s="272" t="n">
        <v>880</v>
      </c>
      <c r="F108" s="280" t="n">
        <v>74</v>
      </c>
      <c r="G108" s="35" t="s">
        <v>14</v>
      </c>
      <c r="H108" s="272" t="n">
        <v>380</v>
      </c>
      <c r="J108" s="280" t="n">
        <v>22</v>
      </c>
      <c r="K108" s="35" t="s">
        <v>62</v>
      </c>
      <c r="L108" s="272" t="n">
        <v>1220</v>
      </c>
      <c r="N108" s="280" t="n">
        <v>87</v>
      </c>
      <c r="O108" s="35" t="s">
        <v>116</v>
      </c>
      <c r="P108" s="272" t="n">
        <v>780</v>
      </c>
      <c r="R108" s="262" t="n">
        <v>19</v>
      </c>
      <c r="S108" s="281" t="s">
        <v>40</v>
      </c>
      <c r="T108" s="213" t="n">
        <v>106</v>
      </c>
      <c r="V108" s="262" t="n">
        <v>59</v>
      </c>
      <c r="W108" s="281" t="s">
        <v>121</v>
      </c>
      <c r="X108" s="213" t="n">
        <v>76</v>
      </c>
    </row>
    <row r="109" customFormat="false" ht="15.75" hidden="false" customHeight="false" outlineLevel="0" collapsed="false">
      <c r="B109" s="276" t="n">
        <v>85</v>
      </c>
      <c r="C109" s="40" t="s">
        <v>122</v>
      </c>
      <c r="D109" s="277" t="n">
        <v>280</v>
      </c>
      <c r="F109" s="276" t="n">
        <v>105</v>
      </c>
      <c r="G109" s="40" t="s">
        <v>53</v>
      </c>
      <c r="H109" s="277" t="n">
        <v>370</v>
      </c>
      <c r="J109" s="276" t="n">
        <v>19</v>
      </c>
      <c r="K109" s="40" t="s">
        <v>40</v>
      </c>
      <c r="L109" s="277" t="n">
        <v>1230</v>
      </c>
      <c r="N109" s="276" t="n">
        <v>88</v>
      </c>
      <c r="O109" s="40" t="s">
        <v>124</v>
      </c>
      <c r="P109" s="277" t="n">
        <v>320</v>
      </c>
      <c r="R109" s="262" t="n">
        <v>8</v>
      </c>
      <c r="S109" s="278" t="s">
        <v>139</v>
      </c>
      <c r="T109" s="279" t="n">
        <v>107</v>
      </c>
      <c r="V109" s="262" t="n">
        <v>85</v>
      </c>
      <c r="W109" s="281" t="s">
        <v>122</v>
      </c>
      <c r="X109" s="213" t="n">
        <v>54</v>
      </c>
    </row>
    <row r="110" customFormat="false" ht="15.75" hidden="false" customHeight="false" outlineLevel="0" collapsed="false">
      <c r="B110" s="280" t="n">
        <v>85</v>
      </c>
      <c r="C110" s="35" t="s">
        <v>123</v>
      </c>
      <c r="D110" s="272" t="n">
        <v>270</v>
      </c>
      <c r="F110" s="280" t="n">
        <v>58</v>
      </c>
      <c r="G110" s="35" t="s">
        <v>117</v>
      </c>
      <c r="H110" s="272" t="n">
        <v>360</v>
      </c>
      <c r="J110" s="280" t="n">
        <v>13</v>
      </c>
      <c r="K110" s="35" t="s">
        <v>69</v>
      </c>
      <c r="L110" s="272" t="n">
        <v>1240</v>
      </c>
      <c r="N110" s="280" t="n">
        <v>88</v>
      </c>
      <c r="O110" s="45" t="s">
        <v>76</v>
      </c>
      <c r="P110" s="272" t="n">
        <v>230</v>
      </c>
      <c r="R110" s="262" t="n">
        <v>84</v>
      </c>
      <c r="S110" s="281" t="s">
        <v>25</v>
      </c>
      <c r="T110" s="213" t="n">
        <v>108</v>
      </c>
      <c r="V110" s="262" t="n">
        <v>85</v>
      </c>
      <c r="W110" s="278" t="s">
        <v>123</v>
      </c>
      <c r="X110" s="279" t="n">
        <v>55</v>
      </c>
    </row>
    <row r="111" customFormat="false" ht="15.75" hidden="false" customHeight="false" outlineLevel="0" collapsed="false">
      <c r="B111" s="276" t="n">
        <v>88</v>
      </c>
      <c r="C111" s="40" t="s">
        <v>124</v>
      </c>
      <c r="D111" s="277" t="n">
        <v>320</v>
      </c>
      <c r="F111" s="276" t="n">
        <v>95</v>
      </c>
      <c r="G111" s="40" t="s">
        <v>119</v>
      </c>
      <c r="H111" s="277" t="n">
        <v>350</v>
      </c>
      <c r="J111" s="276" t="n">
        <v>13</v>
      </c>
      <c r="K111" s="40" t="s">
        <v>70</v>
      </c>
      <c r="L111" s="277" t="n">
        <v>1240</v>
      </c>
      <c r="N111" s="276" t="n">
        <v>89</v>
      </c>
      <c r="O111" s="40" t="s">
        <v>88</v>
      </c>
      <c r="P111" s="277" t="n">
        <v>470</v>
      </c>
      <c r="R111" s="262" t="n">
        <v>84</v>
      </c>
      <c r="S111" s="278" t="s">
        <v>27</v>
      </c>
      <c r="T111" s="279" t="n">
        <v>109</v>
      </c>
      <c r="V111" s="262" t="n">
        <v>88</v>
      </c>
      <c r="W111" s="278" t="s">
        <v>124</v>
      </c>
      <c r="X111" s="279" t="n">
        <v>49</v>
      </c>
    </row>
    <row r="112" customFormat="false" ht="15.75" hidden="false" customHeight="false" outlineLevel="0" collapsed="false">
      <c r="B112" s="280" t="n">
        <v>39</v>
      </c>
      <c r="C112" s="35" t="s">
        <v>125</v>
      </c>
      <c r="D112" s="272" t="n">
        <v>1310</v>
      </c>
      <c r="F112" s="280" t="n">
        <v>92</v>
      </c>
      <c r="G112" s="35" t="s">
        <v>149</v>
      </c>
      <c r="H112" s="272" t="n">
        <v>340</v>
      </c>
      <c r="J112" s="280" t="n">
        <v>8</v>
      </c>
      <c r="K112" s="35" t="s">
        <v>139</v>
      </c>
      <c r="L112" s="272" t="n">
        <v>1250</v>
      </c>
      <c r="N112" s="280" t="n">
        <v>89</v>
      </c>
      <c r="O112" s="45" t="s">
        <v>75</v>
      </c>
      <c r="P112" s="272" t="n">
        <v>440</v>
      </c>
      <c r="R112" s="262" t="n">
        <v>89</v>
      </c>
      <c r="S112" s="281" t="s">
        <v>88</v>
      </c>
      <c r="T112" s="213" t="n">
        <v>110</v>
      </c>
      <c r="V112" s="262" t="n">
        <v>39</v>
      </c>
      <c r="W112" s="278" t="s">
        <v>125</v>
      </c>
      <c r="X112" s="279" t="n">
        <v>117</v>
      </c>
    </row>
    <row r="113" customFormat="false" ht="15.75" hidden="false" customHeight="false" outlineLevel="0" collapsed="false">
      <c r="B113" s="276" t="n">
        <v>48</v>
      </c>
      <c r="C113" s="40" t="s">
        <v>126</v>
      </c>
      <c r="D113" s="277" t="n">
        <v>1020</v>
      </c>
      <c r="F113" s="276" t="n">
        <v>51</v>
      </c>
      <c r="G113" s="40" t="s">
        <v>50</v>
      </c>
      <c r="H113" s="277" t="n">
        <v>330</v>
      </c>
      <c r="J113" s="276" t="n">
        <v>81</v>
      </c>
      <c r="K113" s="40" t="s">
        <v>85</v>
      </c>
      <c r="L113" s="277" t="n">
        <v>1260</v>
      </c>
      <c r="N113" s="276" t="n">
        <v>90</v>
      </c>
      <c r="O113" s="40" t="s">
        <v>99</v>
      </c>
      <c r="P113" s="277" t="n">
        <v>300</v>
      </c>
      <c r="R113" s="262" t="n">
        <v>89</v>
      </c>
      <c r="S113" s="278" t="s">
        <v>75</v>
      </c>
      <c r="T113" s="279" t="n">
        <v>111</v>
      </c>
      <c r="V113" s="262" t="n">
        <v>48</v>
      </c>
      <c r="W113" s="281" t="s">
        <v>126</v>
      </c>
      <c r="X113" s="213" t="n">
        <v>52</v>
      </c>
    </row>
    <row r="114" customFormat="false" ht="15.75" hidden="false" customHeight="false" outlineLevel="0" collapsed="false">
      <c r="B114" s="280" t="n">
        <v>48</v>
      </c>
      <c r="C114" s="35" t="s">
        <v>127</v>
      </c>
      <c r="D114" s="272" t="n">
        <v>1000</v>
      </c>
      <c r="F114" s="280" t="n">
        <v>88</v>
      </c>
      <c r="G114" s="35" t="s">
        <v>124</v>
      </c>
      <c r="H114" s="272" t="n">
        <v>320</v>
      </c>
      <c r="J114" s="280" t="n">
        <v>81</v>
      </c>
      <c r="K114" s="45" t="s">
        <v>86</v>
      </c>
      <c r="L114" s="272" t="n">
        <v>1270</v>
      </c>
      <c r="N114" s="280" t="n">
        <v>90</v>
      </c>
      <c r="O114" s="35" t="s">
        <v>100</v>
      </c>
      <c r="P114" s="272" t="n">
        <v>290</v>
      </c>
      <c r="R114" s="262" t="n">
        <v>13</v>
      </c>
      <c r="S114" s="281" t="s">
        <v>69</v>
      </c>
      <c r="T114" s="213" t="n">
        <v>112</v>
      </c>
      <c r="V114" s="262" t="n">
        <v>48</v>
      </c>
      <c r="W114" s="278" t="s">
        <v>127</v>
      </c>
      <c r="X114" s="279" t="n">
        <v>53</v>
      </c>
    </row>
    <row r="115" customFormat="false" ht="15.75" hidden="false" customHeight="false" outlineLevel="0" collapsed="false">
      <c r="B115" s="276" t="n">
        <v>9</v>
      </c>
      <c r="C115" s="40" t="s">
        <v>128</v>
      </c>
      <c r="D115" s="277" t="n">
        <v>1155</v>
      </c>
      <c r="F115" s="276" t="n">
        <v>101</v>
      </c>
      <c r="G115" s="40" t="s">
        <v>83</v>
      </c>
      <c r="H115" s="277" t="n">
        <v>315</v>
      </c>
      <c r="J115" s="276" t="n">
        <v>28</v>
      </c>
      <c r="K115" s="40" t="s">
        <v>57</v>
      </c>
      <c r="L115" s="277" t="n">
        <v>1280</v>
      </c>
      <c r="N115" s="276" t="n">
        <v>91</v>
      </c>
      <c r="O115" s="40" t="s">
        <v>152</v>
      </c>
      <c r="P115" s="277" t="n">
        <v>460</v>
      </c>
      <c r="R115" s="262" t="n">
        <v>13</v>
      </c>
      <c r="S115" s="278" t="s">
        <v>70</v>
      </c>
      <c r="T115" s="279" t="n">
        <v>113</v>
      </c>
      <c r="V115" s="262" t="n">
        <v>9</v>
      </c>
      <c r="W115" s="281" t="s">
        <v>128</v>
      </c>
      <c r="X115" s="213" t="n">
        <v>138</v>
      </c>
    </row>
    <row r="116" customFormat="false" ht="15.75" hidden="false" customHeight="false" outlineLevel="0" collapsed="false">
      <c r="B116" s="280" t="n">
        <v>20</v>
      </c>
      <c r="C116" s="35" t="s">
        <v>129</v>
      </c>
      <c r="D116" s="272" t="n">
        <v>1130</v>
      </c>
      <c r="F116" s="280" t="n">
        <v>101</v>
      </c>
      <c r="G116" s="35" t="s">
        <v>82</v>
      </c>
      <c r="H116" s="272" t="n">
        <v>310</v>
      </c>
      <c r="J116" s="280" t="n">
        <v>23</v>
      </c>
      <c r="K116" s="35" t="s">
        <v>87</v>
      </c>
      <c r="L116" s="272" t="n">
        <v>1290</v>
      </c>
      <c r="N116" s="280" t="n">
        <v>91</v>
      </c>
      <c r="O116" s="35" t="s">
        <v>153</v>
      </c>
      <c r="P116" s="272" t="n">
        <v>480</v>
      </c>
      <c r="R116" s="262" t="n">
        <v>53</v>
      </c>
      <c r="S116" s="281" t="s">
        <v>137</v>
      </c>
      <c r="T116" s="213" t="n">
        <v>114</v>
      </c>
      <c r="V116" s="262" t="n">
        <v>20</v>
      </c>
      <c r="W116" s="281" t="s">
        <v>129</v>
      </c>
      <c r="X116" s="213" t="n">
        <v>6</v>
      </c>
    </row>
    <row r="117" customFormat="false" ht="15.75" hidden="false" customHeight="false" outlineLevel="0" collapsed="false">
      <c r="B117" s="276" t="n">
        <v>107</v>
      </c>
      <c r="C117" s="40" t="s">
        <v>130</v>
      </c>
      <c r="D117" s="277" t="n">
        <v>60</v>
      </c>
      <c r="F117" s="276" t="n">
        <v>90</v>
      </c>
      <c r="G117" s="40" t="s">
        <v>99</v>
      </c>
      <c r="H117" s="277" t="n">
        <v>300</v>
      </c>
      <c r="J117" s="276" t="n">
        <v>53</v>
      </c>
      <c r="K117" s="40" t="s">
        <v>137</v>
      </c>
      <c r="L117" s="277" t="n">
        <v>1300</v>
      </c>
      <c r="N117" s="276" t="n">
        <v>92</v>
      </c>
      <c r="O117" s="40" t="s">
        <v>149</v>
      </c>
      <c r="P117" s="277" t="n">
        <v>340</v>
      </c>
      <c r="R117" s="262" t="n">
        <v>54</v>
      </c>
      <c r="S117" s="278" t="s">
        <v>138</v>
      </c>
      <c r="T117" s="279" t="n">
        <v>115</v>
      </c>
      <c r="V117" s="262" t="n">
        <v>107</v>
      </c>
      <c r="W117" s="278" t="s">
        <v>130</v>
      </c>
      <c r="X117" s="279" t="n">
        <v>77</v>
      </c>
    </row>
    <row r="118" customFormat="false" ht="15.75" hidden="false" customHeight="false" outlineLevel="0" collapsed="false">
      <c r="B118" s="280" t="n">
        <v>79</v>
      </c>
      <c r="C118" s="35" t="s">
        <v>131</v>
      </c>
      <c r="D118" s="272" t="n">
        <v>450</v>
      </c>
      <c r="F118" s="280" t="n">
        <v>90</v>
      </c>
      <c r="G118" s="35" t="s">
        <v>100</v>
      </c>
      <c r="H118" s="272" t="n">
        <v>290</v>
      </c>
      <c r="J118" s="280" t="n">
        <v>39</v>
      </c>
      <c r="K118" s="35" t="s">
        <v>125</v>
      </c>
      <c r="L118" s="272" t="n">
        <v>1310</v>
      </c>
      <c r="N118" s="280" t="n">
        <v>93</v>
      </c>
      <c r="O118" s="35" t="s">
        <v>55</v>
      </c>
      <c r="P118" s="272" t="n">
        <v>980</v>
      </c>
      <c r="R118" s="262" t="n">
        <v>75</v>
      </c>
      <c r="S118" s="281" t="s">
        <v>84</v>
      </c>
      <c r="T118" s="213" t="n">
        <v>116</v>
      </c>
      <c r="V118" s="262" t="n">
        <v>79</v>
      </c>
      <c r="W118" s="281" t="s">
        <v>131</v>
      </c>
      <c r="X118" s="213" t="n">
        <v>78</v>
      </c>
    </row>
    <row r="119" customFormat="false" ht="15.75" hidden="false" customHeight="false" outlineLevel="0" collapsed="false">
      <c r="B119" s="276" t="n">
        <v>7</v>
      </c>
      <c r="C119" s="40" t="s">
        <v>132</v>
      </c>
      <c r="D119" s="277" t="n">
        <v>1410</v>
      </c>
      <c r="F119" s="276" t="n">
        <v>85</v>
      </c>
      <c r="G119" s="40" t="s">
        <v>122</v>
      </c>
      <c r="H119" s="277" t="n">
        <v>280</v>
      </c>
      <c r="J119" s="276" t="n">
        <v>30</v>
      </c>
      <c r="K119" s="40" t="s">
        <v>28</v>
      </c>
      <c r="L119" s="277" t="n">
        <v>1320</v>
      </c>
      <c r="N119" s="276" t="n">
        <v>94</v>
      </c>
      <c r="O119" s="40" t="s">
        <v>54</v>
      </c>
      <c r="P119" s="277" t="n">
        <v>1010</v>
      </c>
      <c r="R119" s="262" t="n">
        <v>39</v>
      </c>
      <c r="S119" s="278" t="s">
        <v>125</v>
      </c>
      <c r="T119" s="279" t="n">
        <v>117</v>
      </c>
      <c r="V119" s="262" t="n">
        <v>7</v>
      </c>
      <c r="W119" s="278" t="s">
        <v>132</v>
      </c>
      <c r="X119" s="279" t="n">
        <v>65</v>
      </c>
    </row>
    <row r="120" customFormat="false" ht="15.75" hidden="false" customHeight="false" outlineLevel="0" collapsed="false">
      <c r="B120" s="280" t="n">
        <v>65</v>
      </c>
      <c r="C120" s="35" t="s">
        <v>133</v>
      </c>
      <c r="D120" s="272" t="n">
        <v>560</v>
      </c>
      <c r="F120" s="280" t="n">
        <v>85</v>
      </c>
      <c r="G120" s="35" t="s">
        <v>123</v>
      </c>
      <c r="H120" s="272" t="n">
        <v>270</v>
      </c>
      <c r="J120" s="280" t="n">
        <v>6</v>
      </c>
      <c r="K120" s="35" t="s">
        <v>61</v>
      </c>
      <c r="L120" s="272" t="n">
        <v>1330</v>
      </c>
      <c r="N120" s="280" t="n">
        <v>95</v>
      </c>
      <c r="O120" s="35" t="s">
        <v>119</v>
      </c>
      <c r="P120" s="272" t="n">
        <v>350</v>
      </c>
      <c r="R120" s="262" t="n">
        <v>73</v>
      </c>
      <c r="S120" s="281" t="s">
        <v>20</v>
      </c>
      <c r="T120" s="213" t="n">
        <v>118</v>
      </c>
      <c r="V120" s="262" t="n">
        <v>65</v>
      </c>
      <c r="W120" s="281" t="s">
        <v>133</v>
      </c>
      <c r="X120" s="213" t="n">
        <v>42</v>
      </c>
    </row>
    <row r="121" customFormat="false" ht="15.75" hidden="false" customHeight="false" outlineLevel="0" collapsed="false">
      <c r="B121" s="276" t="n">
        <v>65</v>
      </c>
      <c r="C121" s="40" t="s">
        <v>134</v>
      </c>
      <c r="D121" s="277" t="n">
        <v>550</v>
      </c>
      <c r="F121" s="276" t="n">
        <v>99</v>
      </c>
      <c r="G121" s="40" t="s">
        <v>105</v>
      </c>
      <c r="H121" s="277" t="n">
        <v>260</v>
      </c>
      <c r="J121" s="276" t="n">
        <v>27</v>
      </c>
      <c r="K121" s="40" t="s">
        <v>141</v>
      </c>
      <c r="L121" s="277" t="n">
        <v>1340</v>
      </c>
      <c r="N121" s="276" t="n">
        <v>96</v>
      </c>
      <c r="O121" s="40" t="s">
        <v>24</v>
      </c>
      <c r="P121" s="277" t="n">
        <v>10</v>
      </c>
      <c r="R121" s="262" t="n">
        <v>92</v>
      </c>
      <c r="S121" s="278" t="s">
        <v>149</v>
      </c>
      <c r="T121" s="279" t="n">
        <v>119</v>
      </c>
      <c r="V121" s="262" t="n">
        <v>65</v>
      </c>
      <c r="W121" s="278" t="s">
        <v>134</v>
      </c>
      <c r="X121" s="279" t="n">
        <v>43</v>
      </c>
    </row>
    <row r="122" customFormat="false" ht="15.75" hidden="false" customHeight="false" outlineLevel="0" collapsed="false">
      <c r="B122" s="280" t="n">
        <v>102</v>
      </c>
      <c r="C122" s="35" t="s">
        <v>135</v>
      </c>
      <c r="D122" s="272" t="n">
        <v>50</v>
      </c>
      <c r="F122" s="280" t="n">
        <v>104</v>
      </c>
      <c r="G122" s="35" t="s">
        <v>97</v>
      </c>
      <c r="H122" s="272" t="n">
        <v>250</v>
      </c>
      <c r="J122" s="280" t="n">
        <v>10</v>
      </c>
      <c r="K122" s="35" t="s">
        <v>114</v>
      </c>
      <c r="L122" s="272" t="n">
        <v>1350</v>
      </c>
      <c r="N122" s="280" t="n">
        <v>97</v>
      </c>
      <c r="O122" s="35" t="s">
        <v>73</v>
      </c>
      <c r="P122" s="272" t="n">
        <v>190</v>
      </c>
      <c r="R122" s="262" t="n">
        <v>108</v>
      </c>
      <c r="S122" s="281" t="s">
        <v>113</v>
      </c>
      <c r="T122" s="213" t="n">
        <v>120</v>
      </c>
      <c r="V122" s="262" t="n">
        <v>102</v>
      </c>
      <c r="W122" s="278" t="s">
        <v>135</v>
      </c>
      <c r="X122" s="279" t="n">
        <v>33</v>
      </c>
    </row>
    <row r="123" customFormat="false" ht="15.75" hidden="false" customHeight="false" outlineLevel="0" collapsed="false">
      <c r="B123" s="276" t="n">
        <v>102</v>
      </c>
      <c r="C123" s="40" t="s">
        <v>136</v>
      </c>
      <c r="D123" s="277" t="n">
        <v>30</v>
      </c>
      <c r="F123" s="276" t="n">
        <v>58</v>
      </c>
      <c r="G123" s="40" t="s">
        <v>118</v>
      </c>
      <c r="H123" s="277" t="n">
        <v>240</v>
      </c>
      <c r="J123" s="276" t="n">
        <v>12</v>
      </c>
      <c r="K123" s="40" t="s">
        <v>81</v>
      </c>
      <c r="L123" s="277" t="n">
        <v>1360</v>
      </c>
      <c r="N123" s="276" t="n">
        <v>98</v>
      </c>
      <c r="O123" s="40" t="s">
        <v>15</v>
      </c>
      <c r="P123" s="277" t="n">
        <v>150</v>
      </c>
      <c r="R123" s="262" t="n">
        <v>21</v>
      </c>
      <c r="S123" s="278" t="s">
        <v>111</v>
      </c>
      <c r="T123" s="279" t="n">
        <v>121</v>
      </c>
      <c r="V123" s="262" t="n">
        <v>102</v>
      </c>
      <c r="W123" s="281" t="s">
        <v>136</v>
      </c>
      <c r="X123" s="213" t="n">
        <v>34</v>
      </c>
    </row>
    <row r="124" customFormat="false" ht="15.75" hidden="false" customHeight="false" outlineLevel="0" collapsed="false">
      <c r="B124" s="280" t="n">
        <v>53</v>
      </c>
      <c r="C124" s="35" t="s">
        <v>137</v>
      </c>
      <c r="D124" s="272" t="n">
        <v>1300</v>
      </c>
      <c r="F124" s="280" t="n">
        <v>88</v>
      </c>
      <c r="G124" s="45" t="s">
        <v>76</v>
      </c>
      <c r="H124" s="272" t="n">
        <v>230</v>
      </c>
      <c r="J124" s="280" t="n">
        <v>12</v>
      </c>
      <c r="K124" s="35" t="s">
        <v>80</v>
      </c>
      <c r="L124" s="272" t="n">
        <v>1370</v>
      </c>
      <c r="N124" s="280" t="n">
        <v>99</v>
      </c>
      <c r="O124" s="35" t="s">
        <v>105</v>
      </c>
      <c r="P124" s="272" t="n">
        <v>260</v>
      </c>
      <c r="R124" s="262" t="n">
        <v>11</v>
      </c>
      <c r="S124" s="281" t="s">
        <v>115</v>
      </c>
      <c r="T124" s="213" t="n">
        <v>122</v>
      </c>
      <c r="V124" s="262" t="n">
        <v>53</v>
      </c>
      <c r="W124" s="281" t="s">
        <v>137</v>
      </c>
      <c r="X124" s="213" t="n">
        <v>114</v>
      </c>
    </row>
    <row r="125" customFormat="false" ht="15.75" hidden="false" customHeight="false" outlineLevel="0" collapsed="false">
      <c r="B125" s="276" t="n">
        <v>54</v>
      </c>
      <c r="C125" s="40" t="s">
        <v>138</v>
      </c>
      <c r="D125" s="277" t="n">
        <v>410</v>
      </c>
      <c r="F125" s="276" t="n">
        <v>73</v>
      </c>
      <c r="G125" s="40" t="s">
        <v>20</v>
      </c>
      <c r="H125" s="277" t="n">
        <v>220</v>
      </c>
      <c r="J125" s="276" t="n">
        <v>17</v>
      </c>
      <c r="K125" s="40" t="s">
        <v>42</v>
      </c>
      <c r="L125" s="277" t="n">
        <v>1380</v>
      </c>
      <c r="N125" s="276" t="n">
        <v>100</v>
      </c>
      <c r="O125" s="40" t="s">
        <v>12</v>
      </c>
      <c r="P125" s="277" t="n">
        <v>570</v>
      </c>
      <c r="R125" s="262" t="n">
        <v>55</v>
      </c>
      <c r="S125" s="278" t="s">
        <v>36</v>
      </c>
      <c r="T125" s="279" t="n">
        <v>123</v>
      </c>
      <c r="V125" s="262" t="n">
        <v>54</v>
      </c>
      <c r="W125" s="278" t="s">
        <v>138</v>
      </c>
      <c r="X125" s="279" t="n">
        <v>115</v>
      </c>
    </row>
    <row r="126" customFormat="false" ht="15.75" hidden="false" customHeight="false" outlineLevel="0" collapsed="false">
      <c r="B126" s="280" t="n">
        <v>8</v>
      </c>
      <c r="C126" s="35" t="s">
        <v>139</v>
      </c>
      <c r="D126" s="272" t="n">
        <v>1250</v>
      </c>
      <c r="F126" s="280" t="n">
        <v>104</v>
      </c>
      <c r="G126" s="35" t="s">
        <v>98</v>
      </c>
      <c r="H126" s="272" t="n">
        <v>210</v>
      </c>
      <c r="J126" s="280" t="n">
        <v>15</v>
      </c>
      <c r="K126" s="35" t="s">
        <v>74</v>
      </c>
      <c r="L126" s="272" t="n">
        <v>1390</v>
      </c>
      <c r="N126" s="280" t="n">
        <v>101</v>
      </c>
      <c r="O126" s="35" t="s">
        <v>82</v>
      </c>
      <c r="P126" s="272" t="n">
        <v>310</v>
      </c>
      <c r="R126" s="262" t="n">
        <v>95</v>
      </c>
      <c r="S126" s="281" t="s">
        <v>119</v>
      </c>
      <c r="T126" s="213" t="n">
        <v>124</v>
      </c>
      <c r="V126" s="262" t="n">
        <v>8</v>
      </c>
      <c r="W126" s="278" t="s">
        <v>139</v>
      </c>
      <c r="X126" s="279" t="n">
        <v>107</v>
      </c>
    </row>
    <row r="127" customFormat="false" ht="15.75" hidden="false" customHeight="false" outlineLevel="0" collapsed="false">
      <c r="B127" s="276" t="n">
        <v>16</v>
      </c>
      <c r="C127" s="40" t="s">
        <v>140</v>
      </c>
      <c r="D127" s="277" t="n">
        <v>1490</v>
      </c>
      <c r="F127" s="276" t="n">
        <v>103</v>
      </c>
      <c r="G127" s="40" t="s">
        <v>68</v>
      </c>
      <c r="H127" s="277" t="n">
        <v>200</v>
      </c>
      <c r="J127" s="276" t="n">
        <v>5</v>
      </c>
      <c r="K127" s="40" t="s">
        <v>59</v>
      </c>
      <c r="L127" s="277" t="n">
        <v>1400</v>
      </c>
      <c r="N127" s="276" t="n">
        <v>101</v>
      </c>
      <c r="O127" s="40" t="s">
        <v>83</v>
      </c>
      <c r="P127" s="277" t="n">
        <v>315</v>
      </c>
      <c r="R127" s="262" t="n">
        <v>97</v>
      </c>
      <c r="S127" s="278" t="s">
        <v>73</v>
      </c>
      <c r="T127" s="279" t="n">
        <v>125</v>
      </c>
      <c r="V127" s="262" t="n">
        <v>16</v>
      </c>
      <c r="W127" s="281" t="s">
        <v>140</v>
      </c>
      <c r="X127" s="213" t="n">
        <v>14</v>
      </c>
    </row>
    <row r="128" customFormat="false" ht="15.75" hidden="false" customHeight="false" outlineLevel="0" collapsed="false">
      <c r="B128" s="280" t="n">
        <v>27</v>
      </c>
      <c r="C128" s="35" t="s">
        <v>141</v>
      </c>
      <c r="D128" s="272" t="n">
        <v>1340</v>
      </c>
      <c r="F128" s="280" t="n">
        <v>97</v>
      </c>
      <c r="G128" s="35" t="s">
        <v>73</v>
      </c>
      <c r="H128" s="272" t="n">
        <v>190</v>
      </c>
      <c r="J128" s="280" t="n">
        <v>70</v>
      </c>
      <c r="K128" s="35" t="s">
        <v>56</v>
      </c>
      <c r="L128" s="272" t="n">
        <v>1405</v>
      </c>
      <c r="N128" s="280" t="n">
        <v>102</v>
      </c>
      <c r="O128" s="35" t="s">
        <v>135</v>
      </c>
      <c r="P128" s="272" t="n">
        <v>50</v>
      </c>
      <c r="R128" s="262" t="n">
        <v>74</v>
      </c>
      <c r="S128" s="281" t="s">
        <v>14</v>
      </c>
      <c r="T128" s="213" t="n">
        <v>126</v>
      </c>
      <c r="V128" s="262" t="n">
        <v>27</v>
      </c>
      <c r="W128" s="281" t="s">
        <v>141</v>
      </c>
      <c r="X128" s="213" t="n">
        <v>8</v>
      </c>
    </row>
    <row r="129" customFormat="false" ht="15.75" hidden="false" customHeight="false" outlineLevel="0" collapsed="false">
      <c r="B129" s="276" t="n">
        <v>68</v>
      </c>
      <c r="C129" s="40" t="s">
        <v>142</v>
      </c>
      <c r="D129" s="277" t="n">
        <v>750</v>
      </c>
      <c r="F129" s="276" t="n">
        <v>98</v>
      </c>
      <c r="G129" s="40" t="s">
        <v>15</v>
      </c>
      <c r="H129" s="277" t="n">
        <v>150</v>
      </c>
      <c r="J129" s="276" t="n">
        <v>7</v>
      </c>
      <c r="K129" s="40" t="s">
        <v>132</v>
      </c>
      <c r="L129" s="277" t="n">
        <v>1410</v>
      </c>
      <c r="N129" s="276" t="n">
        <v>102</v>
      </c>
      <c r="O129" s="40" t="s">
        <v>136</v>
      </c>
      <c r="P129" s="277" t="n">
        <v>30</v>
      </c>
      <c r="R129" s="262" t="n">
        <v>72</v>
      </c>
      <c r="S129" s="278" t="s">
        <v>26</v>
      </c>
      <c r="T129" s="279" t="n">
        <v>127</v>
      </c>
      <c r="V129" s="262" t="n">
        <v>68</v>
      </c>
      <c r="W129" s="281" t="s">
        <v>142</v>
      </c>
      <c r="X129" s="213" t="n">
        <v>96</v>
      </c>
    </row>
    <row r="130" customFormat="false" ht="15.75" hidden="false" customHeight="false" outlineLevel="0" collapsed="false">
      <c r="B130" s="280" t="n">
        <v>56</v>
      </c>
      <c r="C130" s="35" t="s">
        <v>143</v>
      </c>
      <c r="D130" s="272" t="n">
        <v>680</v>
      </c>
      <c r="F130" s="280" t="n">
        <v>106</v>
      </c>
      <c r="G130" s="35" t="s">
        <v>112</v>
      </c>
      <c r="H130" s="272" t="n">
        <v>140</v>
      </c>
      <c r="J130" s="280" t="n">
        <v>32</v>
      </c>
      <c r="K130" s="35" t="s">
        <v>71</v>
      </c>
      <c r="L130" s="272" t="n">
        <v>1420</v>
      </c>
      <c r="N130" s="280" t="n">
        <v>103</v>
      </c>
      <c r="O130" s="35" t="s">
        <v>68</v>
      </c>
      <c r="P130" s="272" t="n">
        <v>200</v>
      </c>
      <c r="R130" s="262" t="n">
        <v>25</v>
      </c>
      <c r="S130" s="281" t="s">
        <v>34</v>
      </c>
      <c r="T130" s="213" t="n">
        <v>128</v>
      </c>
      <c r="V130" s="262" t="n">
        <v>56</v>
      </c>
      <c r="W130" s="278" t="s">
        <v>143</v>
      </c>
      <c r="X130" s="279" t="n">
        <v>19</v>
      </c>
    </row>
    <row r="131" customFormat="false" ht="15.75" hidden="false" customHeight="false" outlineLevel="0" collapsed="false">
      <c r="B131" s="276" t="n">
        <v>78</v>
      </c>
      <c r="C131" s="40" t="s">
        <v>144</v>
      </c>
      <c r="D131" s="277" t="n">
        <v>1050</v>
      </c>
      <c r="F131" s="276" t="n">
        <v>83</v>
      </c>
      <c r="G131" s="48" t="s">
        <v>39</v>
      </c>
      <c r="H131" s="277" t="n">
        <v>130</v>
      </c>
      <c r="J131" s="276" t="n">
        <v>32</v>
      </c>
      <c r="K131" s="48" t="s">
        <v>72</v>
      </c>
      <c r="L131" s="277" t="n">
        <v>1422</v>
      </c>
      <c r="N131" s="276" t="n">
        <v>104</v>
      </c>
      <c r="O131" s="40" t="s">
        <v>97</v>
      </c>
      <c r="P131" s="277" t="n">
        <v>250</v>
      </c>
      <c r="R131" s="262" t="n">
        <v>109</v>
      </c>
      <c r="S131" s="278" t="s">
        <v>109</v>
      </c>
      <c r="T131" s="279" t="n">
        <v>129</v>
      </c>
      <c r="V131" s="262" t="n">
        <v>78</v>
      </c>
      <c r="W131" s="278" t="s">
        <v>144</v>
      </c>
      <c r="X131" s="279" t="n">
        <v>89</v>
      </c>
    </row>
    <row r="132" customFormat="false" ht="15.75" hidden="false" customHeight="false" outlineLevel="0" collapsed="false">
      <c r="B132" s="280" t="n">
        <v>71</v>
      </c>
      <c r="C132" s="35" t="s">
        <v>145</v>
      </c>
      <c r="D132" s="272" t="n">
        <v>660</v>
      </c>
      <c r="F132" s="280" t="n">
        <v>110</v>
      </c>
      <c r="G132" s="45" t="s">
        <v>21</v>
      </c>
      <c r="H132" s="272" t="n">
        <v>120</v>
      </c>
      <c r="J132" s="280" t="n">
        <v>4</v>
      </c>
      <c r="K132" s="35" t="s">
        <v>93</v>
      </c>
      <c r="L132" s="272" t="n">
        <v>1430</v>
      </c>
      <c r="N132" s="280" t="n">
        <v>104</v>
      </c>
      <c r="O132" s="35" t="s">
        <v>98</v>
      </c>
      <c r="P132" s="272" t="n">
        <v>210</v>
      </c>
      <c r="R132" s="262" t="n">
        <v>87</v>
      </c>
      <c r="S132" s="281" t="s">
        <v>116</v>
      </c>
      <c r="T132" s="213" t="n">
        <v>130</v>
      </c>
      <c r="V132" s="262" t="n">
        <v>71</v>
      </c>
      <c r="W132" s="281" t="s">
        <v>145</v>
      </c>
      <c r="X132" s="213" t="n">
        <v>60</v>
      </c>
    </row>
    <row r="133" customFormat="false" ht="15.75" hidden="false" customHeight="false" outlineLevel="0" collapsed="false">
      <c r="B133" s="276" t="n">
        <v>71</v>
      </c>
      <c r="C133" s="40" t="s">
        <v>146</v>
      </c>
      <c r="D133" s="277" t="n">
        <v>620</v>
      </c>
      <c r="F133" s="276" t="n">
        <v>110</v>
      </c>
      <c r="G133" s="48" t="s">
        <v>60</v>
      </c>
      <c r="H133" s="277" t="n">
        <v>100</v>
      </c>
      <c r="J133" s="276" t="n">
        <v>24</v>
      </c>
      <c r="K133" s="40" t="s">
        <v>103</v>
      </c>
      <c r="L133" s="277" t="n">
        <v>1440</v>
      </c>
      <c r="N133" s="276" t="n">
        <v>105</v>
      </c>
      <c r="O133" s="40" t="s">
        <v>53</v>
      </c>
      <c r="P133" s="277" t="n">
        <v>370</v>
      </c>
      <c r="R133" s="262" t="n">
        <v>52</v>
      </c>
      <c r="S133" s="278" t="s">
        <v>67</v>
      </c>
      <c r="T133" s="279" t="n">
        <v>131</v>
      </c>
      <c r="V133" s="262" t="n">
        <v>71</v>
      </c>
      <c r="W133" s="278" t="s">
        <v>146</v>
      </c>
      <c r="X133" s="279" t="n">
        <v>61</v>
      </c>
    </row>
    <row r="134" customFormat="false" ht="15.75" hidden="false" customHeight="false" outlineLevel="0" collapsed="false">
      <c r="B134" s="280" t="n">
        <v>77</v>
      </c>
      <c r="C134" s="35" t="s">
        <v>147</v>
      </c>
      <c r="D134" s="272" t="n">
        <v>990</v>
      </c>
      <c r="F134" s="280" t="n">
        <v>111</v>
      </c>
      <c r="G134" s="35" t="s">
        <v>79</v>
      </c>
      <c r="H134" s="272" t="n">
        <v>90</v>
      </c>
      <c r="J134" s="280" t="n">
        <v>14</v>
      </c>
      <c r="K134" s="35" t="s">
        <v>148</v>
      </c>
      <c r="L134" s="272" t="n">
        <v>1450</v>
      </c>
      <c r="N134" s="280" t="n">
        <v>106</v>
      </c>
      <c r="O134" s="35" t="s">
        <v>112</v>
      </c>
      <c r="P134" s="272" t="n">
        <v>140</v>
      </c>
      <c r="R134" s="262" t="n">
        <v>41</v>
      </c>
      <c r="S134" s="281" t="s">
        <v>37</v>
      </c>
      <c r="T134" s="213" t="n">
        <v>132</v>
      </c>
      <c r="V134" s="262" t="n">
        <v>77</v>
      </c>
      <c r="W134" s="278" t="s">
        <v>147</v>
      </c>
      <c r="X134" s="279" t="n">
        <v>103</v>
      </c>
    </row>
    <row r="135" customFormat="false" ht="15.75" hidden="false" customHeight="false" outlineLevel="0" collapsed="false">
      <c r="B135" s="276" t="n">
        <v>14</v>
      </c>
      <c r="C135" s="40" t="s">
        <v>148</v>
      </c>
      <c r="D135" s="277" t="n">
        <v>1450</v>
      </c>
      <c r="F135" s="276" t="n">
        <v>108</v>
      </c>
      <c r="G135" s="40" t="s">
        <v>113</v>
      </c>
      <c r="H135" s="277" t="n">
        <v>80</v>
      </c>
      <c r="J135" s="276" t="n">
        <v>18</v>
      </c>
      <c r="K135" s="40" t="s">
        <v>38</v>
      </c>
      <c r="L135" s="277" t="n">
        <v>1455</v>
      </c>
      <c r="N135" s="276" t="n">
        <v>107</v>
      </c>
      <c r="O135" s="40" t="s">
        <v>130</v>
      </c>
      <c r="P135" s="277" t="n">
        <v>60</v>
      </c>
      <c r="R135" s="262" t="n">
        <v>99</v>
      </c>
      <c r="S135" s="278" t="s">
        <v>105</v>
      </c>
      <c r="T135" s="279" t="n">
        <v>133</v>
      </c>
      <c r="V135" s="262" t="n">
        <v>14</v>
      </c>
      <c r="W135" s="278" t="s">
        <v>148</v>
      </c>
      <c r="X135" s="279" t="n">
        <v>79</v>
      </c>
    </row>
    <row r="136" customFormat="false" ht="15.75" hidden="false" customHeight="false" outlineLevel="0" collapsed="false">
      <c r="B136" s="280" t="n">
        <v>92</v>
      </c>
      <c r="C136" s="35" t="s">
        <v>149</v>
      </c>
      <c r="D136" s="272" t="n">
        <v>340</v>
      </c>
      <c r="F136" s="280" t="n">
        <v>109</v>
      </c>
      <c r="G136" s="35" t="s">
        <v>109</v>
      </c>
      <c r="H136" s="272" t="n">
        <v>70</v>
      </c>
      <c r="J136" s="280" t="n">
        <v>2</v>
      </c>
      <c r="K136" s="35" t="s">
        <v>32</v>
      </c>
      <c r="L136" s="272" t="n">
        <v>1460</v>
      </c>
      <c r="N136" s="280" t="n">
        <v>108</v>
      </c>
      <c r="O136" s="35" t="s">
        <v>113</v>
      </c>
      <c r="P136" s="272" t="n">
        <v>80</v>
      </c>
      <c r="R136" s="262" t="n">
        <v>106</v>
      </c>
      <c r="S136" s="281" t="s">
        <v>112</v>
      </c>
      <c r="T136" s="213" t="n">
        <v>134</v>
      </c>
      <c r="V136" s="262" t="n">
        <v>92</v>
      </c>
      <c r="W136" s="278" t="s">
        <v>149</v>
      </c>
      <c r="X136" s="279" t="n">
        <v>119</v>
      </c>
    </row>
    <row r="137" customFormat="false" ht="15.75" hidden="false" customHeight="false" outlineLevel="0" collapsed="false">
      <c r="B137" s="276" t="n">
        <v>76</v>
      </c>
      <c r="C137" s="40" t="s">
        <v>150</v>
      </c>
      <c r="D137" s="277" t="n">
        <v>1160</v>
      </c>
      <c r="F137" s="276" t="n">
        <v>107</v>
      </c>
      <c r="G137" s="40" t="s">
        <v>130</v>
      </c>
      <c r="H137" s="277" t="n">
        <v>60</v>
      </c>
      <c r="J137" s="276" t="n">
        <v>1</v>
      </c>
      <c r="K137" s="40" t="s">
        <v>90</v>
      </c>
      <c r="L137" s="277" t="n">
        <v>1470</v>
      </c>
      <c r="N137" s="276" t="n">
        <v>109</v>
      </c>
      <c r="O137" s="40" t="s">
        <v>109</v>
      </c>
      <c r="P137" s="277" t="n">
        <v>70</v>
      </c>
      <c r="R137" s="262" t="n">
        <v>18</v>
      </c>
      <c r="S137" s="278" t="s">
        <v>38</v>
      </c>
      <c r="T137" s="279" t="n">
        <v>135</v>
      </c>
      <c r="V137" s="262" t="n">
        <v>76</v>
      </c>
      <c r="W137" s="281" t="s">
        <v>150</v>
      </c>
      <c r="X137" s="213" t="n">
        <v>80</v>
      </c>
    </row>
    <row r="138" customFormat="false" ht="15.75" hidden="false" customHeight="false" outlineLevel="0" collapsed="false">
      <c r="B138" s="280" t="n">
        <v>34</v>
      </c>
      <c r="C138" s="35" t="s">
        <v>151</v>
      </c>
      <c r="D138" s="272" t="n">
        <v>1190</v>
      </c>
      <c r="F138" s="280" t="n">
        <v>102</v>
      </c>
      <c r="G138" s="35" t="s">
        <v>135</v>
      </c>
      <c r="H138" s="272" t="n">
        <v>50</v>
      </c>
      <c r="J138" s="280" t="n">
        <v>24</v>
      </c>
      <c r="K138" s="35" t="s">
        <v>102</v>
      </c>
      <c r="L138" s="272" t="n">
        <v>1480</v>
      </c>
      <c r="N138" s="280" t="n">
        <v>110</v>
      </c>
      <c r="O138" s="45" t="s">
        <v>21</v>
      </c>
      <c r="P138" s="272" t="n">
        <v>120</v>
      </c>
      <c r="R138" s="262" t="n">
        <v>43</v>
      </c>
      <c r="S138" s="281" t="s">
        <v>47</v>
      </c>
      <c r="T138" s="213" t="n">
        <v>136</v>
      </c>
      <c r="V138" s="262" t="n">
        <v>34</v>
      </c>
      <c r="W138" s="278" t="s">
        <v>151</v>
      </c>
      <c r="X138" s="279" t="n">
        <v>39</v>
      </c>
    </row>
    <row r="139" customFormat="false" ht="15.75" hidden="false" customHeight="false" outlineLevel="0" collapsed="false">
      <c r="B139" s="276" t="n">
        <v>91</v>
      </c>
      <c r="C139" s="40" t="s">
        <v>152</v>
      </c>
      <c r="D139" s="277" t="n">
        <v>460</v>
      </c>
      <c r="F139" s="276" t="n">
        <v>102</v>
      </c>
      <c r="G139" s="40" t="s">
        <v>136</v>
      </c>
      <c r="H139" s="277" t="n">
        <v>30</v>
      </c>
      <c r="J139" s="276" t="n">
        <v>16</v>
      </c>
      <c r="K139" s="40" t="s">
        <v>140</v>
      </c>
      <c r="L139" s="277" t="n">
        <v>1490</v>
      </c>
      <c r="N139" s="276" t="n">
        <v>110</v>
      </c>
      <c r="O139" s="48" t="s">
        <v>60</v>
      </c>
      <c r="P139" s="277" t="n">
        <v>100</v>
      </c>
      <c r="R139" s="262" t="n">
        <v>70</v>
      </c>
      <c r="S139" s="278" t="s">
        <v>56</v>
      </c>
      <c r="T139" s="279" t="n">
        <v>137</v>
      </c>
      <c r="V139" s="262" t="n">
        <v>91</v>
      </c>
      <c r="W139" s="278" t="s">
        <v>152</v>
      </c>
      <c r="X139" s="279" t="n">
        <v>87</v>
      </c>
    </row>
    <row r="140" customFormat="false" ht="15.75" hidden="false" customHeight="false" outlineLevel="0" collapsed="false">
      <c r="B140" s="282" t="n">
        <v>91</v>
      </c>
      <c r="C140" s="283" t="s">
        <v>153</v>
      </c>
      <c r="D140" s="284" t="n">
        <v>480</v>
      </c>
      <c r="F140" s="282" t="n">
        <v>96</v>
      </c>
      <c r="G140" s="283" t="s">
        <v>24</v>
      </c>
      <c r="H140" s="284" t="n">
        <v>10</v>
      </c>
      <c r="J140" s="282" t="n">
        <v>3</v>
      </c>
      <c r="K140" s="283" t="s">
        <v>35</v>
      </c>
      <c r="L140" s="284" t="n">
        <v>1500</v>
      </c>
      <c r="N140" s="282" t="n">
        <v>111</v>
      </c>
      <c r="O140" s="283" t="s">
        <v>79</v>
      </c>
      <c r="P140" s="284" t="n">
        <v>90</v>
      </c>
      <c r="R140" s="265" t="n">
        <v>9</v>
      </c>
      <c r="S140" s="285" t="s">
        <v>128</v>
      </c>
      <c r="T140" s="286" t="n">
        <v>138</v>
      </c>
      <c r="V140" s="265" t="n">
        <v>91</v>
      </c>
      <c r="W140" s="285" t="s">
        <v>153</v>
      </c>
      <c r="X140" s="286" t="n">
        <v>88</v>
      </c>
    </row>
    <row r="141" customFormat="false" ht="15.75" hidden="false" customHeight="false" outlineLevel="0" collapsed="false">
      <c r="B141" s="6" t="n">
        <f aca="false">PalData!I140</f>
        <v>-1</v>
      </c>
      <c r="C141" s="6" t="str">
        <f aca="false">PalData!A140</f>
        <v>Alpha Melpaca</v>
      </c>
      <c r="D141" s="6" t="n">
        <f aca="false">PalData!BB140</f>
        <v>890</v>
      </c>
      <c r="R141" s="3"/>
      <c r="S141" s="3"/>
      <c r="T141" s="3"/>
      <c r="V141" s="3"/>
      <c r="W141" s="3"/>
      <c r="X141" s="3"/>
    </row>
    <row r="142" customFormat="false" ht="15.75" hidden="false" customHeight="false" outlineLevel="0" collapsed="false">
      <c r="B142" s="6" t="n">
        <f aca="false">PalData!I141</f>
        <v>-1</v>
      </c>
      <c r="C142" s="6" t="str">
        <f aca="false">PalData!A141</f>
        <v>Alpha Kitsun</v>
      </c>
      <c r="D142" s="6" t="n">
        <f aca="false">PalData!BB141</f>
        <v>830</v>
      </c>
      <c r="R142" s="3"/>
      <c r="S142" s="3"/>
      <c r="T142" s="3"/>
      <c r="V142" s="3"/>
      <c r="W142" s="3"/>
      <c r="X142" s="3"/>
    </row>
    <row r="143" customFormat="false" ht="15.75" hidden="false" customHeight="false" outlineLevel="0" collapsed="false">
      <c r="B143" s="6" t="n">
        <f aca="false">PalData!I142</f>
        <v>-1</v>
      </c>
      <c r="C143" s="6" t="str">
        <f aca="false">PalData!A142</f>
        <v>Alpha Anubis</v>
      </c>
      <c r="D143" s="6" t="n">
        <f aca="false">PalData!BB142</f>
        <v>570</v>
      </c>
      <c r="R143" s="3"/>
      <c r="S143" s="3"/>
      <c r="T143" s="3"/>
      <c r="V143" s="3"/>
      <c r="W143" s="3"/>
      <c r="X143" s="3"/>
    </row>
    <row r="144" customFormat="false" ht="15.75" hidden="false" customHeight="false" outlineLevel="0" collapsed="false">
      <c r="B144" s="6" t="n">
        <f aca="false">PalData!I143</f>
        <v>-1</v>
      </c>
      <c r="C144" s="6" t="str">
        <f aca="false">PalData!A143</f>
        <v>Alpha Incineram</v>
      </c>
      <c r="D144" s="6" t="n">
        <f aca="false">PalData!BB143</f>
        <v>590</v>
      </c>
      <c r="R144" s="3"/>
      <c r="S144" s="3"/>
      <c r="T144" s="3"/>
      <c r="V144" s="3"/>
      <c r="W144" s="3"/>
      <c r="X144" s="3"/>
    </row>
    <row r="145" customFormat="false" ht="15.75" hidden="false" customHeight="false" outlineLevel="0" collapsed="false">
      <c r="B145" s="6" t="n">
        <f aca="false">PalData!I144</f>
        <v>-1</v>
      </c>
      <c r="C145" s="6" t="str">
        <f aca="false">PalData!A144</f>
        <v>Alpha Incineram Noct</v>
      </c>
      <c r="D145" s="6" t="n">
        <f aca="false">PalData!BB144</f>
        <v>580</v>
      </c>
      <c r="R145" s="3"/>
      <c r="S145" s="3"/>
      <c r="T145" s="3"/>
      <c r="V145" s="3"/>
      <c r="W145" s="3"/>
      <c r="X145" s="3"/>
    </row>
    <row r="146" customFormat="false" ht="15.75" hidden="false" customHeight="false" outlineLevel="0" collapsed="false">
      <c r="R146" s="3"/>
      <c r="S146" s="3"/>
      <c r="T146" s="3"/>
      <c r="V146" s="3"/>
      <c r="W146" s="3"/>
      <c r="X146" s="3"/>
    </row>
    <row r="147" customFormat="false" ht="15.75" hidden="false" customHeight="false" outlineLevel="0" collapsed="false">
      <c r="R147" s="3"/>
      <c r="S147" s="3"/>
      <c r="T147" s="3"/>
      <c r="V147" s="3"/>
      <c r="W147" s="3"/>
      <c r="X147" s="3"/>
    </row>
    <row r="148" customFormat="false" ht="15.75" hidden="false" customHeight="false" outlineLevel="0" collapsed="false">
      <c r="R148" s="3"/>
      <c r="S148" s="3"/>
      <c r="T148" s="3"/>
      <c r="V148" s="3"/>
      <c r="W148" s="3"/>
      <c r="X148" s="3"/>
    </row>
    <row r="149" customFormat="false" ht="15.75" hidden="false" customHeight="false" outlineLevel="0" collapsed="false">
      <c r="R149" s="3"/>
      <c r="S149" s="3"/>
      <c r="T149" s="3"/>
      <c r="V149" s="3"/>
      <c r="W149" s="3"/>
      <c r="X149" s="3"/>
    </row>
    <row r="150" customFormat="false" ht="15.75" hidden="false" customHeight="false" outlineLevel="0" collapsed="false">
      <c r="R150" s="3"/>
      <c r="S150" s="3"/>
      <c r="T150" s="3"/>
      <c r="V150" s="3"/>
      <c r="W150" s="3"/>
      <c r="X150" s="3"/>
    </row>
    <row r="151" customFormat="false" ht="15.75" hidden="false" customHeight="false" outlineLevel="0" collapsed="false">
      <c r="R151" s="3"/>
      <c r="S151" s="3"/>
      <c r="T151" s="3"/>
      <c r="V151" s="3"/>
      <c r="W151" s="3"/>
      <c r="X151" s="3"/>
    </row>
    <row r="152" customFormat="false" ht="15.75" hidden="false" customHeight="false" outlineLevel="0" collapsed="false">
      <c r="R152" s="3"/>
      <c r="S152" s="3"/>
      <c r="T152" s="3"/>
      <c r="V152" s="3"/>
      <c r="W152" s="3"/>
      <c r="X152" s="3"/>
    </row>
    <row r="153" customFormat="false" ht="15.75" hidden="false" customHeight="false" outlineLevel="0" collapsed="false">
      <c r="R153" s="3"/>
      <c r="S153" s="3"/>
      <c r="T153" s="3"/>
      <c r="V153" s="3"/>
      <c r="W153" s="3"/>
      <c r="X153" s="3"/>
    </row>
    <row r="154" customFormat="false" ht="15.75" hidden="false" customHeight="false" outlineLevel="0" collapsed="false">
      <c r="R154" s="3"/>
      <c r="S154" s="3"/>
      <c r="T154" s="3"/>
      <c r="V154" s="3"/>
      <c r="W154" s="3"/>
      <c r="X154" s="3"/>
    </row>
    <row r="155" customFormat="false" ht="15.75" hidden="false" customHeight="false" outlineLevel="0" collapsed="false">
      <c r="R155" s="3"/>
      <c r="S155" s="3"/>
      <c r="T155" s="3"/>
      <c r="V155" s="3"/>
      <c r="W155" s="3"/>
      <c r="X155" s="3"/>
    </row>
    <row r="156" customFormat="false" ht="15.75" hidden="false" customHeight="false" outlineLevel="0" collapsed="false">
      <c r="R156" s="3"/>
      <c r="S156" s="3"/>
      <c r="T156" s="3"/>
      <c r="V156" s="3"/>
      <c r="W156" s="3"/>
      <c r="X156" s="3"/>
    </row>
    <row r="157" customFormat="false" ht="15.75" hidden="false" customHeight="false" outlineLevel="0" collapsed="false">
      <c r="R157" s="3"/>
      <c r="S157" s="3"/>
      <c r="T157" s="3"/>
      <c r="V157" s="3"/>
      <c r="W157" s="3"/>
      <c r="X157" s="3"/>
    </row>
    <row r="158" customFormat="false" ht="15.75" hidden="false" customHeight="false" outlineLevel="0" collapsed="false">
      <c r="R158" s="3"/>
      <c r="S158" s="3"/>
      <c r="T158" s="3"/>
      <c r="V158" s="3"/>
      <c r="W158" s="3"/>
      <c r="X158" s="3"/>
    </row>
    <row r="159" customFormat="false" ht="15.75" hidden="false" customHeight="false" outlineLevel="0" collapsed="false">
      <c r="R159" s="3"/>
      <c r="S159" s="3"/>
      <c r="T159" s="3"/>
      <c r="V159" s="3"/>
      <c r="W159" s="3"/>
      <c r="X159" s="3"/>
    </row>
    <row r="160" customFormat="false" ht="15.75" hidden="false" customHeight="false" outlineLevel="0" collapsed="false">
      <c r="R160" s="3"/>
      <c r="S160" s="3"/>
      <c r="T160" s="3"/>
      <c r="V160" s="3"/>
      <c r="W160" s="3"/>
      <c r="X160" s="3"/>
    </row>
    <row r="161" customFormat="false" ht="15.75" hidden="false" customHeight="false" outlineLevel="0" collapsed="false">
      <c r="R161" s="3"/>
      <c r="S161" s="3"/>
      <c r="T161" s="3"/>
      <c r="V161" s="3"/>
      <c r="W161" s="3"/>
      <c r="X161" s="3"/>
    </row>
    <row r="162" customFormat="false" ht="15.75" hidden="false" customHeight="false" outlineLevel="0" collapsed="false">
      <c r="R162" s="3"/>
      <c r="S162" s="3"/>
      <c r="T162" s="3"/>
      <c r="V162" s="3"/>
      <c r="W162" s="3"/>
      <c r="X162" s="3"/>
    </row>
    <row r="163" customFormat="false" ht="15.75" hidden="false" customHeight="false" outlineLevel="0" collapsed="false">
      <c r="R163" s="3"/>
      <c r="S163" s="3"/>
      <c r="T163" s="3"/>
      <c r="V163" s="3"/>
      <c r="W163" s="3"/>
      <c r="X163" s="3"/>
    </row>
    <row r="164" customFormat="false" ht="15.75" hidden="false" customHeight="false" outlineLevel="0" collapsed="false">
      <c r="R164" s="3"/>
      <c r="S164" s="3"/>
      <c r="T164" s="3"/>
      <c r="V164" s="3"/>
      <c r="W164" s="3"/>
      <c r="X164" s="3"/>
    </row>
    <row r="165" customFormat="false" ht="15.75" hidden="false" customHeight="false" outlineLevel="0" collapsed="false">
      <c r="R165" s="3"/>
      <c r="S165" s="3"/>
      <c r="T165" s="3"/>
      <c r="V165" s="3"/>
      <c r="W165" s="3"/>
      <c r="X165" s="3"/>
    </row>
    <row r="166" customFormat="false" ht="15.75" hidden="false" customHeight="false" outlineLevel="0" collapsed="false">
      <c r="R166" s="3"/>
      <c r="S166" s="3"/>
      <c r="T166" s="3"/>
      <c r="V166" s="3"/>
      <c r="W166" s="3"/>
      <c r="X166" s="3"/>
    </row>
    <row r="167" customFormat="false" ht="15.75" hidden="false" customHeight="false" outlineLevel="0" collapsed="false">
      <c r="R167" s="3"/>
      <c r="S167" s="3"/>
      <c r="T167" s="3"/>
      <c r="V167" s="3"/>
      <c r="W167" s="3"/>
      <c r="X167" s="3"/>
    </row>
    <row r="168" customFormat="false" ht="15.75" hidden="false" customHeight="false" outlineLevel="0" collapsed="false">
      <c r="R168" s="3"/>
      <c r="S168" s="3"/>
      <c r="T168" s="3"/>
      <c r="V168" s="3"/>
      <c r="W168" s="3"/>
      <c r="X168" s="3"/>
    </row>
    <row r="169" customFormat="false" ht="15.75" hidden="false" customHeight="false" outlineLevel="0" collapsed="false">
      <c r="R169" s="3"/>
      <c r="S169" s="3"/>
      <c r="T169" s="3"/>
      <c r="V169" s="3"/>
      <c r="W169" s="3"/>
      <c r="X169" s="3"/>
    </row>
    <row r="170" customFormat="false" ht="15.75" hidden="false" customHeight="false" outlineLevel="0" collapsed="false">
      <c r="R170" s="3"/>
      <c r="S170" s="3"/>
      <c r="T170" s="3"/>
      <c r="V170" s="3"/>
      <c r="W170" s="3"/>
      <c r="X170" s="3"/>
    </row>
    <row r="171" customFormat="false" ht="15.75" hidden="false" customHeight="false" outlineLevel="0" collapsed="false">
      <c r="R171" s="3"/>
      <c r="S171" s="3"/>
      <c r="T171" s="3"/>
      <c r="V171" s="3"/>
      <c r="W171" s="3"/>
      <c r="X171" s="3"/>
    </row>
    <row r="172" customFormat="false" ht="15.75" hidden="false" customHeight="false" outlineLevel="0" collapsed="false">
      <c r="R172" s="3"/>
      <c r="S172" s="3"/>
      <c r="T172" s="3"/>
      <c r="V172" s="3"/>
      <c r="W172" s="3"/>
      <c r="X172" s="3"/>
    </row>
    <row r="173" customFormat="false" ht="15.75" hidden="false" customHeight="false" outlineLevel="0" collapsed="false">
      <c r="R173" s="3"/>
      <c r="S173" s="3"/>
      <c r="T173" s="3"/>
      <c r="V173" s="3"/>
      <c r="W173" s="3"/>
      <c r="X173" s="3"/>
    </row>
    <row r="174" customFormat="false" ht="15.75" hidden="false" customHeight="false" outlineLevel="0" collapsed="false">
      <c r="R174" s="3"/>
      <c r="S174" s="3"/>
      <c r="T174" s="3"/>
      <c r="V174" s="3"/>
      <c r="W174" s="3"/>
      <c r="X174" s="3"/>
    </row>
    <row r="175" customFormat="false" ht="15.75" hidden="false" customHeight="false" outlineLevel="0" collapsed="false">
      <c r="R175" s="3"/>
      <c r="S175" s="3"/>
      <c r="T175" s="3"/>
      <c r="V175" s="3"/>
      <c r="W175" s="3"/>
      <c r="X175" s="3"/>
    </row>
    <row r="176" customFormat="false" ht="15.75" hidden="false" customHeight="false" outlineLevel="0" collapsed="false">
      <c r="R176" s="3"/>
      <c r="S176" s="3"/>
      <c r="T176" s="3"/>
      <c r="V176" s="3"/>
      <c r="W176" s="3"/>
      <c r="X176" s="3"/>
    </row>
    <row r="177" customFormat="false" ht="15.75" hidden="false" customHeight="false" outlineLevel="0" collapsed="false">
      <c r="R177" s="3"/>
      <c r="S177" s="3"/>
      <c r="T177" s="3"/>
      <c r="V177" s="3"/>
      <c r="W177" s="3"/>
      <c r="X177" s="3"/>
    </row>
    <row r="178" customFormat="false" ht="15.75" hidden="false" customHeight="false" outlineLevel="0" collapsed="false">
      <c r="R178" s="3"/>
      <c r="S178" s="3"/>
      <c r="T178" s="3"/>
      <c r="V178" s="3"/>
      <c r="W178" s="3"/>
      <c r="X178" s="3"/>
    </row>
    <row r="179" customFormat="false" ht="15.75" hidden="false" customHeight="false" outlineLevel="0" collapsed="false">
      <c r="R179" s="3"/>
      <c r="S179" s="3"/>
      <c r="T179" s="3"/>
      <c r="V179" s="3"/>
      <c r="W179" s="3"/>
      <c r="X179" s="3"/>
    </row>
    <row r="180" customFormat="false" ht="15.75" hidden="false" customHeight="false" outlineLevel="0" collapsed="false">
      <c r="R180" s="3"/>
      <c r="S180" s="3"/>
      <c r="T180" s="3"/>
      <c r="V180" s="3"/>
      <c r="W180" s="3"/>
      <c r="X180" s="3"/>
    </row>
    <row r="181" customFormat="false" ht="15.75" hidden="false" customHeight="false" outlineLevel="0" collapsed="false">
      <c r="R181" s="3"/>
      <c r="S181" s="3"/>
      <c r="T181" s="3"/>
      <c r="V181" s="3"/>
      <c r="W181" s="3"/>
      <c r="X181" s="3"/>
    </row>
    <row r="182" customFormat="false" ht="15.75" hidden="false" customHeight="false" outlineLevel="0" collapsed="false">
      <c r="R182" s="3"/>
      <c r="S182" s="3"/>
      <c r="T182" s="3"/>
      <c r="V182" s="3"/>
      <c r="W182" s="3"/>
      <c r="X182" s="3"/>
    </row>
    <row r="183" customFormat="false" ht="15.75" hidden="false" customHeight="false" outlineLevel="0" collapsed="false">
      <c r="R183" s="3"/>
      <c r="S183" s="3"/>
      <c r="T183" s="3"/>
      <c r="V183" s="3"/>
      <c r="W183" s="3"/>
      <c r="X183" s="3"/>
    </row>
    <row r="184" customFormat="false" ht="15.75" hidden="false" customHeight="false" outlineLevel="0" collapsed="false">
      <c r="R184" s="3"/>
      <c r="S184" s="3"/>
      <c r="T184" s="3"/>
      <c r="V184" s="3"/>
      <c r="W184" s="3"/>
      <c r="X184" s="3"/>
    </row>
    <row r="185" customFormat="false" ht="15.75" hidden="false" customHeight="false" outlineLevel="0" collapsed="false">
      <c r="R185" s="3"/>
      <c r="S185" s="3"/>
      <c r="T185" s="3"/>
      <c r="V185" s="3"/>
      <c r="W185" s="3"/>
      <c r="X185" s="3"/>
    </row>
    <row r="186" customFormat="false" ht="15.75" hidden="false" customHeight="false" outlineLevel="0" collapsed="false">
      <c r="R186" s="3"/>
      <c r="S186" s="3"/>
      <c r="T186" s="3"/>
      <c r="V186" s="3"/>
      <c r="W186" s="3"/>
      <c r="X186" s="3"/>
    </row>
    <row r="187" customFormat="false" ht="15.75" hidden="false" customHeight="false" outlineLevel="0" collapsed="false">
      <c r="R187" s="3"/>
      <c r="S187" s="3"/>
      <c r="T187" s="3"/>
      <c r="V187" s="3"/>
      <c r="W187" s="3"/>
      <c r="X187" s="3"/>
    </row>
    <row r="188" customFormat="false" ht="15.75" hidden="false" customHeight="false" outlineLevel="0" collapsed="false">
      <c r="R188" s="3"/>
      <c r="S188" s="3"/>
      <c r="T188" s="3"/>
      <c r="V188" s="3"/>
      <c r="W188" s="3"/>
      <c r="X188" s="3"/>
    </row>
    <row r="189" customFormat="false" ht="15.75" hidden="false" customHeight="false" outlineLevel="0" collapsed="false">
      <c r="R189" s="3"/>
      <c r="S189" s="3"/>
      <c r="T189" s="3"/>
      <c r="V189" s="3"/>
      <c r="W189" s="3"/>
      <c r="X189" s="3"/>
    </row>
    <row r="190" customFormat="false" ht="15.75" hidden="false" customHeight="false" outlineLevel="0" collapsed="false">
      <c r="R190" s="3"/>
      <c r="S190" s="3"/>
      <c r="T190" s="3"/>
      <c r="V190" s="3"/>
      <c r="W190" s="3"/>
      <c r="X190" s="3"/>
    </row>
    <row r="191" customFormat="false" ht="15.75" hidden="false" customHeight="false" outlineLevel="0" collapsed="false">
      <c r="R191" s="3"/>
      <c r="S191" s="3"/>
      <c r="T191" s="3"/>
      <c r="V191" s="3"/>
      <c r="W191" s="3"/>
      <c r="X191" s="3"/>
    </row>
    <row r="192" customFormat="false" ht="15.75" hidden="false" customHeight="false" outlineLevel="0" collapsed="false">
      <c r="R192" s="3"/>
      <c r="S192" s="3"/>
      <c r="T192" s="3"/>
      <c r="V192" s="3"/>
      <c r="W192" s="3"/>
      <c r="X192" s="3"/>
    </row>
    <row r="193" customFormat="false" ht="15.75" hidden="false" customHeight="false" outlineLevel="0" collapsed="false">
      <c r="R193" s="3"/>
      <c r="S193" s="3"/>
      <c r="T193" s="3"/>
      <c r="V193" s="3"/>
      <c r="W193" s="3"/>
      <c r="X193" s="3"/>
    </row>
    <row r="194" customFormat="false" ht="15.75" hidden="false" customHeight="false" outlineLevel="0" collapsed="false">
      <c r="R194" s="3"/>
      <c r="S194" s="3"/>
      <c r="T194" s="3"/>
      <c r="V194" s="3"/>
      <c r="W194" s="3"/>
      <c r="X194" s="3"/>
    </row>
    <row r="195" customFormat="false" ht="15.75" hidden="false" customHeight="false" outlineLevel="0" collapsed="false">
      <c r="R195" s="3"/>
      <c r="S195" s="3"/>
      <c r="T195" s="3"/>
      <c r="V195" s="3"/>
      <c r="W195" s="3"/>
      <c r="X195" s="3"/>
    </row>
    <row r="196" customFormat="false" ht="15.75" hidden="false" customHeight="false" outlineLevel="0" collapsed="false">
      <c r="R196" s="3"/>
      <c r="S196" s="3"/>
      <c r="T196" s="3"/>
      <c r="V196" s="3"/>
      <c r="W196" s="3"/>
      <c r="X196" s="3"/>
    </row>
    <row r="197" customFormat="false" ht="15.75" hidden="false" customHeight="false" outlineLevel="0" collapsed="false">
      <c r="R197" s="3"/>
      <c r="S197" s="3"/>
      <c r="T197" s="3"/>
      <c r="V197" s="3"/>
      <c r="W197" s="3"/>
      <c r="X197" s="3"/>
    </row>
    <row r="198" customFormat="false" ht="15.75" hidden="false" customHeight="false" outlineLevel="0" collapsed="false">
      <c r="R198" s="3"/>
      <c r="S198" s="3"/>
      <c r="T198" s="3"/>
      <c r="V198" s="3"/>
      <c r="W198" s="3"/>
      <c r="X198" s="3"/>
    </row>
    <row r="199" customFormat="false" ht="15.75" hidden="false" customHeight="false" outlineLevel="0" collapsed="false">
      <c r="R199" s="3"/>
      <c r="S199" s="3"/>
      <c r="T199" s="3"/>
      <c r="V199" s="3"/>
      <c r="W199" s="3"/>
      <c r="X199" s="3"/>
    </row>
    <row r="200" customFormat="false" ht="15.75" hidden="false" customHeight="false" outlineLevel="0" collapsed="false">
      <c r="R200" s="3"/>
      <c r="S200" s="3"/>
      <c r="T200" s="3"/>
      <c r="V200" s="3"/>
      <c r="W200" s="3"/>
      <c r="X200" s="3"/>
    </row>
    <row r="201" customFormat="false" ht="15.75" hidden="false" customHeight="false" outlineLevel="0" collapsed="false">
      <c r="R201" s="3"/>
      <c r="S201" s="3"/>
      <c r="T201" s="3"/>
      <c r="V201" s="3"/>
      <c r="W201" s="3"/>
      <c r="X201" s="3"/>
    </row>
    <row r="202" customFormat="false" ht="15.75" hidden="false" customHeight="false" outlineLevel="0" collapsed="false">
      <c r="R202" s="3"/>
      <c r="S202" s="3"/>
      <c r="T202" s="3"/>
      <c r="V202" s="3"/>
      <c r="W202" s="3"/>
      <c r="X202" s="3"/>
    </row>
    <row r="203" customFormat="false" ht="15.75" hidden="false" customHeight="false" outlineLevel="0" collapsed="false">
      <c r="R203" s="3"/>
      <c r="S203" s="3"/>
      <c r="T203" s="3"/>
      <c r="V203" s="3"/>
      <c r="W203" s="3"/>
      <c r="X203" s="3"/>
    </row>
    <row r="204" customFormat="false" ht="15.75" hidden="false" customHeight="false" outlineLevel="0" collapsed="false">
      <c r="R204" s="3"/>
      <c r="S204" s="3"/>
      <c r="T204" s="3"/>
      <c r="V204" s="3"/>
      <c r="W204" s="3"/>
      <c r="X204" s="3"/>
    </row>
    <row r="205" customFormat="false" ht="15.75" hidden="false" customHeight="false" outlineLevel="0" collapsed="false">
      <c r="R205" s="3"/>
      <c r="S205" s="3"/>
      <c r="T205" s="3"/>
      <c r="V205" s="3"/>
      <c r="W205" s="3"/>
      <c r="X205" s="3"/>
    </row>
    <row r="206" customFormat="false" ht="15.75" hidden="false" customHeight="false" outlineLevel="0" collapsed="false">
      <c r="R206" s="3"/>
      <c r="S206" s="3"/>
      <c r="T206" s="3"/>
      <c r="V206" s="3"/>
      <c r="W206" s="3"/>
      <c r="X206" s="3"/>
    </row>
    <row r="207" customFormat="false" ht="15.75" hidden="false" customHeight="false" outlineLevel="0" collapsed="false">
      <c r="R207" s="3"/>
      <c r="S207" s="3"/>
      <c r="T207" s="3"/>
      <c r="V207" s="3"/>
      <c r="W207" s="3"/>
      <c r="X207" s="3"/>
    </row>
    <row r="208" customFormat="false" ht="15.75" hidden="false" customHeight="false" outlineLevel="0" collapsed="false">
      <c r="R208" s="3"/>
      <c r="S208" s="3"/>
      <c r="T208" s="3"/>
      <c r="V208" s="3"/>
      <c r="W208" s="3"/>
      <c r="X208" s="3"/>
    </row>
    <row r="209" customFormat="false" ht="15.75" hidden="false" customHeight="false" outlineLevel="0" collapsed="false">
      <c r="R209" s="3"/>
      <c r="S209" s="3"/>
      <c r="T209" s="3"/>
      <c r="V209" s="3"/>
      <c r="W209" s="3"/>
      <c r="X209" s="3"/>
    </row>
    <row r="210" customFormat="false" ht="15.75" hidden="false" customHeight="false" outlineLevel="0" collapsed="false">
      <c r="R210" s="3"/>
      <c r="S210" s="3"/>
      <c r="T210" s="3"/>
      <c r="V210" s="3"/>
      <c r="W210" s="3"/>
      <c r="X210" s="3"/>
    </row>
    <row r="211" customFormat="false" ht="15.75" hidden="false" customHeight="false" outlineLevel="0" collapsed="false">
      <c r="R211" s="3"/>
      <c r="S211" s="3"/>
      <c r="T211" s="3"/>
      <c r="V211" s="3"/>
      <c r="W211" s="3"/>
      <c r="X211" s="3"/>
    </row>
    <row r="212" customFormat="false" ht="15.75" hidden="false" customHeight="false" outlineLevel="0" collapsed="false">
      <c r="R212" s="3"/>
      <c r="S212" s="3"/>
      <c r="T212" s="3"/>
      <c r="V212" s="3"/>
      <c r="W212" s="3"/>
      <c r="X212" s="3"/>
    </row>
    <row r="213" customFormat="false" ht="15.75" hidden="false" customHeight="false" outlineLevel="0" collapsed="false">
      <c r="R213" s="3"/>
      <c r="S213" s="3"/>
      <c r="T213" s="3"/>
      <c r="V213" s="3"/>
      <c r="W213" s="3"/>
      <c r="X213" s="3"/>
    </row>
    <row r="214" customFormat="false" ht="15.75" hidden="false" customHeight="false" outlineLevel="0" collapsed="false">
      <c r="R214" s="3"/>
      <c r="S214" s="3"/>
      <c r="T214" s="3"/>
      <c r="V214" s="3"/>
      <c r="W214" s="3"/>
      <c r="X214" s="3"/>
    </row>
    <row r="215" customFormat="false" ht="15.75" hidden="false" customHeight="false" outlineLevel="0" collapsed="false">
      <c r="R215" s="3"/>
      <c r="S215" s="3"/>
      <c r="T215" s="3"/>
      <c r="V215" s="3"/>
      <c r="W215" s="3"/>
      <c r="X215" s="3"/>
    </row>
    <row r="216" customFormat="false" ht="15.75" hidden="false" customHeight="false" outlineLevel="0" collapsed="false">
      <c r="R216" s="3"/>
      <c r="S216" s="3"/>
      <c r="T216" s="3"/>
      <c r="V216" s="3"/>
      <c r="W216" s="3"/>
      <c r="X216" s="3"/>
    </row>
    <row r="217" customFormat="false" ht="15.75" hidden="false" customHeight="false" outlineLevel="0" collapsed="false">
      <c r="R217" s="3"/>
      <c r="S217" s="3"/>
      <c r="T217" s="3"/>
      <c r="V217" s="3"/>
      <c r="W217" s="3"/>
      <c r="X217" s="3"/>
    </row>
    <row r="218" customFormat="false" ht="15.75" hidden="false" customHeight="false" outlineLevel="0" collapsed="false">
      <c r="R218" s="3"/>
      <c r="S218" s="3"/>
      <c r="T218" s="3"/>
      <c r="V218" s="3"/>
      <c r="W218" s="3"/>
      <c r="X218" s="3"/>
    </row>
    <row r="219" customFormat="false" ht="15.75" hidden="false" customHeight="false" outlineLevel="0" collapsed="false">
      <c r="R219" s="3"/>
      <c r="S219" s="3"/>
      <c r="T219" s="3"/>
      <c r="V219" s="3"/>
      <c r="W219" s="3"/>
      <c r="X219" s="3"/>
    </row>
    <row r="220" customFormat="false" ht="15.75" hidden="false" customHeight="false" outlineLevel="0" collapsed="false">
      <c r="R220" s="3"/>
      <c r="S220" s="3"/>
      <c r="T220" s="3"/>
      <c r="V220" s="3"/>
      <c r="W220" s="3"/>
      <c r="X220" s="3"/>
    </row>
    <row r="221" customFormat="false" ht="15.75" hidden="false" customHeight="false" outlineLevel="0" collapsed="false">
      <c r="R221" s="3"/>
      <c r="S221" s="3"/>
      <c r="T221" s="3"/>
      <c r="V221" s="3"/>
      <c r="W221" s="3"/>
      <c r="X221" s="3"/>
    </row>
    <row r="222" customFormat="false" ht="15.75" hidden="false" customHeight="false" outlineLevel="0" collapsed="false">
      <c r="R222" s="3"/>
      <c r="S222" s="3"/>
      <c r="T222" s="3"/>
      <c r="V222" s="3"/>
      <c r="W222" s="3"/>
      <c r="X222" s="3"/>
    </row>
    <row r="223" customFormat="false" ht="15.75" hidden="false" customHeight="false" outlineLevel="0" collapsed="false">
      <c r="R223" s="3"/>
      <c r="S223" s="3"/>
      <c r="T223" s="3"/>
      <c r="V223" s="3"/>
      <c r="W223" s="3"/>
      <c r="X223" s="3"/>
    </row>
    <row r="224" customFormat="false" ht="15.75" hidden="false" customHeight="false" outlineLevel="0" collapsed="false">
      <c r="R224" s="3"/>
      <c r="S224" s="3"/>
      <c r="T224" s="3"/>
      <c r="V224" s="3"/>
      <c r="W224" s="3"/>
      <c r="X224" s="3"/>
    </row>
    <row r="225" customFormat="false" ht="15.75" hidden="false" customHeight="false" outlineLevel="0" collapsed="false">
      <c r="R225" s="3"/>
      <c r="S225" s="3"/>
      <c r="T225" s="3"/>
      <c r="V225" s="3"/>
      <c r="W225" s="3"/>
      <c r="X225" s="3"/>
    </row>
    <row r="226" customFormat="false" ht="15.75" hidden="false" customHeight="false" outlineLevel="0" collapsed="false">
      <c r="R226" s="3"/>
      <c r="S226" s="3"/>
      <c r="T226" s="3"/>
      <c r="V226" s="3"/>
      <c r="W226" s="3"/>
      <c r="X226" s="3"/>
    </row>
    <row r="227" customFormat="false" ht="15.75" hidden="false" customHeight="false" outlineLevel="0" collapsed="false">
      <c r="R227" s="3"/>
      <c r="S227" s="3"/>
      <c r="T227" s="3"/>
      <c r="V227" s="3"/>
      <c r="W227" s="3"/>
      <c r="X227" s="3"/>
    </row>
    <row r="228" customFormat="false" ht="15.75" hidden="false" customHeight="false" outlineLevel="0" collapsed="false">
      <c r="R228" s="3"/>
      <c r="S228" s="3"/>
      <c r="T228" s="3"/>
      <c r="V228" s="3"/>
      <c r="W228" s="3"/>
      <c r="X228" s="3"/>
    </row>
    <row r="229" customFormat="false" ht="15.75" hidden="false" customHeight="false" outlineLevel="0" collapsed="false">
      <c r="R229" s="3"/>
      <c r="S229" s="3"/>
      <c r="T229" s="3"/>
      <c r="V229" s="3"/>
      <c r="W229" s="3"/>
      <c r="X229" s="3"/>
    </row>
    <row r="230" customFormat="false" ht="15.75" hidden="false" customHeight="false" outlineLevel="0" collapsed="false">
      <c r="R230" s="3"/>
      <c r="S230" s="3"/>
      <c r="T230" s="3"/>
      <c r="V230" s="3"/>
      <c r="W230" s="3"/>
      <c r="X230" s="3"/>
    </row>
    <row r="231" customFormat="false" ht="15.75" hidden="false" customHeight="false" outlineLevel="0" collapsed="false">
      <c r="R231" s="3"/>
      <c r="S231" s="3"/>
      <c r="T231" s="3"/>
      <c r="V231" s="3"/>
      <c r="W231" s="3"/>
      <c r="X231" s="3"/>
    </row>
    <row r="232" customFormat="false" ht="15.75" hidden="false" customHeight="false" outlineLevel="0" collapsed="false">
      <c r="R232" s="3"/>
      <c r="S232" s="3"/>
      <c r="T232" s="3"/>
      <c r="V232" s="3"/>
      <c r="W232" s="3"/>
      <c r="X232" s="3"/>
    </row>
    <row r="233" customFormat="false" ht="15.75" hidden="false" customHeight="false" outlineLevel="0" collapsed="false">
      <c r="R233" s="3"/>
      <c r="S233" s="3"/>
      <c r="T233" s="3"/>
      <c r="V233" s="3"/>
      <c r="W233" s="3"/>
      <c r="X233" s="3"/>
    </row>
    <row r="234" customFormat="false" ht="15.75" hidden="false" customHeight="false" outlineLevel="0" collapsed="false">
      <c r="R234" s="3"/>
      <c r="S234" s="3"/>
      <c r="T234" s="3"/>
      <c r="V234" s="3"/>
      <c r="W234" s="3"/>
      <c r="X234" s="3"/>
    </row>
    <row r="235" customFormat="false" ht="15.75" hidden="false" customHeight="false" outlineLevel="0" collapsed="false">
      <c r="R235" s="3"/>
      <c r="S235" s="3"/>
      <c r="T235" s="3"/>
      <c r="V235" s="3"/>
      <c r="W235" s="3"/>
      <c r="X235" s="3"/>
    </row>
    <row r="236" customFormat="false" ht="15.75" hidden="false" customHeight="false" outlineLevel="0" collapsed="false">
      <c r="R236" s="3"/>
      <c r="S236" s="3"/>
      <c r="T236" s="3"/>
      <c r="V236" s="3"/>
      <c r="W236" s="3"/>
      <c r="X236" s="3"/>
    </row>
    <row r="237" customFormat="false" ht="15.75" hidden="false" customHeight="false" outlineLevel="0" collapsed="false">
      <c r="R237" s="3"/>
      <c r="S237" s="3"/>
      <c r="T237" s="3"/>
      <c r="V237" s="3"/>
      <c r="W237" s="3"/>
      <c r="X237" s="3"/>
    </row>
    <row r="238" customFormat="false" ht="15.75" hidden="false" customHeight="false" outlineLevel="0" collapsed="false">
      <c r="R238" s="3"/>
      <c r="S238" s="3"/>
      <c r="T238" s="3"/>
      <c r="V238" s="3"/>
      <c r="W238" s="3"/>
      <c r="X238" s="3"/>
    </row>
    <row r="239" customFormat="false" ht="15.75" hidden="false" customHeight="false" outlineLevel="0" collapsed="false">
      <c r="R239" s="3"/>
      <c r="S239" s="3"/>
      <c r="T239" s="3"/>
      <c r="V239" s="3"/>
      <c r="W239" s="3"/>
      <c r="X239" s="3"/>
    </row>
    <row r="240" customFormat="false" ht="15.75" hidden="false" customHeight="false" outlineLevel="0" collapsed="false">
      <c r="R240" s="3"/>
      <c r="S240" s="3"/>
      <c r="T240" s="3"/>
      <c r="V240" s="3"/>
      <c r="W240" s="3"/>
      <c r="X240" s="3"/>
    </row>
    <row r="241" customFormat="false" ht="15.75" hidden="false" customHeight="false" outlineLevel="0" collapsed="false">
      <c r="R241" s="3"/>
      <c r="S241" s="3"/>
      <c r="T241" s="3"/>
      <c r="V241" s="3"/>
      <c r="W241" s="3"/>
      <c r="X241" s="3"/>
    </row>
    <row r="242" customFormat="false" ht="15.75" hidden="false" customHeight="false" outlineLevel="0" collapsed="false">
      <c r="R242" s="3"/>
      <c r="S242" s="3"/>
      <c r="T242" s="3"/>
      <c r="V242" s="3"/>
      <c r="W242" s="3"/>
      <c r="X242" s="3"/>
    </row>
    <row r="243" customFormat="false" ht="15.75" hidden="false" customHeight="false" outlineLevel="0" collapsed="false">
      <c r="R243" s="3"/>
      <c r="S243" s="3"/>
      <c r="T243" s="3"/>
      <c r="V243" s="3"/>
      <c r="W243" s="3"/>
      <c r="X243" s="3"/>
    </row>
    <row r="244" customFormat="false" ht="15.75" hidden="false" customHeight="false" outlineLevel="0" collapsed="false">
      <c r="R244" s="3"/>
      <c r="S244" s="3"/>
      <c r="T244" s="3"/>
      <c r="V244" s="3"/>
      <c r="W244" s="3"/>
      <c r="X244" s="3"/>
    </row>
    <row r="245" customFormat="false" ht="15.75" hidden="false" customHeight="false" outlineLevel="0" collapsed="false">
      <c r="R245" s="3"/>
      <c r="S245" s="3"/>
      <c r="T245" s="3"/>
      <c r="V245" s="3"/>
      <c r="W245" s="3"/>
      <c r="X245" s="3"/>
    </row>
    <row r="246" customFormat="false" ht="15.75" hidden="false" customHeight="false" outlineLevel="0" collapsed="false">
      <c r="R246" s="3"/>
      <c r="S246" s="3"/>
      <c r="T246" s="3"/>
      <c r="V246" s="3"/>
      <c r="W246" s="3"/>
      <c r="X246" s="3"/>
    </row>
    <row r="247" customFormat="false" ht="15.75" hidden="false" customHeight="false" outlineLevel="0" collapsed="false">
      <c r="R247" s="3"/>
      <c r="S247" s="3"/>
      <c r="T247" s="3"/>
      <c r="V247" s="3"/>
      <c r="W247" s="3"/>
      <c r="X247" s="3"/>
    </row>
    <row r="248" customFormat="false" ht="15.75" hidden="false" customHeight="false" outlineLevel="0" collapsed="false">
      <c r="R248" s="3"/>
      <c r="S248" s="3"/>
      <c r="T248" s="3"/>
      <c r="V248" s="3"/>
      <c r="W248" s="3"/>
      <c r="X248" s="3"/>
    </row>
    <row r="249" customFormat="false" ht="15.75" hidden="false" customHeight="false" outlineLevel="0" collapsed="false">
      <c r="R249" s="3"/>
      <c r="S249" s="3"/>
      <c r="T249" s="3"/>
      <c r="V249" s="3"/>
      <c r="W249" s="3"/>
      <c r="X249" s="3"/>
    </row>
    <row r="250" customFormat="false" ht="15.75" hidden="false" customHeight="false" outlineLevel="0" collapsed="false">
      <c r="R250" s="3"/>
      <c r="S250" s="3"/>
      <c r="T250" s="3"/>
      <c r="V250" s="3"/>
      <c r="W250" s="3"/>
      <c r="X250" s="3"/>
    </row>
    <row r="251" customFormat="false" ht="15.75" hidden="false" customHeight="false" outlineLevel="0" collapsed="false">
      <c r="R251" s="3"/>
      <c r="S251" s="3"/>
      <c r="T251" s="3"/>
      <c r="V251" s="3"/>
      <c r="W251" s="3"/>
      <c r="X251" s="3"/>
    </row>
    <row r="252" customFormat="false" ht="15.75" hidden="false" customHeight="false" outlineLevel="0" collapsed="false">
      <c r="R252" s="3"/>
      <c r="S252" s="3"/>
      <c r="T252" s="3"/>
      <c r="V252" s="3"/>
      <c r="W252" s="3"/>
      <c r="X252" s="3"/>
    </row>
    <row r="253" customFormat="false" ht="15.75" hidden="false" customHeight="false" outlineLevel="0" collapsed="false">
      <c r="R253" s="3"/>
      <c r="S253" s="3"/>
      <c r="T253" s="3"/>
      <c r="V253" s="3"/>
      <c r="W253" s="3"/>
      <c r="X253" s="3"/>
    </row>
    <row r="254" customFormat="false" ht="15.75" hidden="false" customHeight="false" outlineLevel="0" collapsed="false">
      <c r="R254" s="3"/>
      <c r="S254" s="3"/>
      <c r="T254" s="3"/>
      <c r="V254" s="3"/>
      <c r="W254" s="3"/>
      <c r="X254" s="3"/>
    </row>
    <row r="255" customFormat="false" ht="15.75" hidden="false" customHeight="false" outlineLevel="0" collapsed="false">
      <c r="R255" s="3"/>
      <c r="S255" s="3"/>
      <c r="T255" s="3"/>
      <c r="V255" s="3"/>
      <c r="W255" s="3"/>
      <c r="X255" s="3"/>
    </row>
    <row r="256" customFormat="false" ht="15.75" hidden="false" customHeight="false" outlineLevel="0" collapsed="false">
      <c r="R256" s="3"/>
      <c r="S256" s="3"/>
      <c r="T256" s="3"/>
      <c r="V256" s="3"/>
      <c r="W256" s="3"/>
      <c r="X256" s="3"/>
    </row>
    <row r="257" customFormat="false" ht="15.75" hidden="false" customHeight="false" outlineLevel="0" collapsed="false">
      <c r="R257" s="3"/>
      <c r="S257" s="3"/>
      <c r="T257" s="3"/>
      <c r="V257" s="3"/>
      <c r="W257" s="3"/>
      <c r="X257" s="3"/>
    </row>
    <row r="258" customFormat="false" ht="15.75" hidden="false" customHeight="false" outlineLevel="0" collapsed="false">
      <c r="R258" s="3"/>
      <c r="S258" s="3"/>
      <c r="T258" s="3"/>
      <c r="V258" s="3"/>
      <c r="W258" s="3"/>
      <c r="X258" s="3"/>
    </row>
    <row r="259" customFormat="false" ht="15.75" hidden="false" customHeight="false" outlineLevel="0" collapsed="false">
      <c r="R259" s="3"/>
      <c r="S259" s="3"/>
      <c r="T259" s="3"/>
      <c r="V259" s="3"/>
      <c r="W259" s="3"/>
      <c r="X259" s="3"/>
    </row>
    <row r="260" customFormat="false" ht="15.75" hidden="false" customHeight="false" outlineLevel="0" collapsed="false">
      <c r="R260" s="3"/>
      <c r="S260" s="3"/>
      <c r="T260" s="3"/>
      <c r="V260" s="3"/>
      <c r="W260" s="3"/>
      <c r="X260" s="3"/>
    </row>
    <row r="261" customFormat="false" ht="15.75" hidden="false" customHeight="false" outlineLevel="0" collapsed="false">
      <c r="R261" s="3"/>
      <c r="S261" s="3"/>
      <c r="T261" s="3"/>
      <c r="V261" s="3"/>
      <c r="W261" s="3"/>
      <c r="X261" s="3"/>
    </row>
    <row r="262" customFormat="false" ht="15.75" hidden="false" customHeight="false" outlineLevel="0" collapsed="false">
      <c r="R262" s="3"/>
      <c r="S262" s="3"/>
      <c r="T262" s="3"/>
      <c r="V262" s="3"/>
      <c r="W262" s="3"/>
      <c r="X262" s="3"/>
    </row>
    <row r="263" customFormat="false" ht="15.75" hidden="false" customHeight="false" outlineLevel="0" collapsed="false">
      <c r="R263" s="3"/>
      <c r="S263" s="3"/>
      <c r="T263" s="3"/>
      <c r="V263" s="3"/>
      <c r="W263" s="3"/>
      <c r="X263" s="3"/>
    </row>
    <row r="264" customFormat="false" ht="15.75" hidden="false" customHeight="false" outlineLevel="0" collapsed="false">
      <c r="R264" s="3"/>
      <c r="S264" s="3"/>
      <c r="T264" s="3"/>
      <c r="V264" s="3"/>
      <c r="W264" s="3"/>
      <c r="X264" s="3"/>
    </row>
    <row r="265" customFormat="false" ht="15.75" hidden="false" customHeight="false" outlineLevel="0" collapsed="false">
      <c r="R265" s="3"/>
      <c r="S265" s="3"/>
      <c r="T265" s="3"/>
      <c r="V265" s="3"/>
      <c r="W265" s="3"/>
      <c r="X265" s="3"/>
    </row>
    <row r="266" customFormat="false" ht="15.75" hidden="false" customHeight="false" outlineLevel="0" collapsed="false">
      <c r="R266" s="3"/>
      <c r="S266" s="3"/>
      <c r="T266" s="3"/>
      <c r="V266" s="3"/>
      <c r="W266" s="3"/>
      <c r="X266" s="3"/>
    </row>
    <row r="267" customFormat="false" ht="15.75" hidden="false" customHeight="false" outlineLevel="0" collapsed="false">
      <c r="R267" s="3"/>
      <c r="S267" s="3"/>
      <c r="T267" s="3"/>
      <c r="V267" s="3"/>
      <c r="W267" s="3"/>
      <c r="X267" s="3"/>
    </row>
    <row r="268" customFormat="false" ht="15.75" hidden="false" customHeight="false" outlineLevel="0" collapsed="false">
      <c r="R268" s="3"/>
      <c r="S268" s="3"/>
      <c r="T268" s="3"/>
      <c r="V268" s="3"/>
      <c r="W268" s="3"/>
      <c r="X268" s="3"/>
    </row>
    <row r="269" customFormat="false" ht="15.75" hidden="false" customHeight="false" outlineLevel="0" collapsed="false">
      <c r="R269" s="3"/>
      <c r="S269" s="3"/>
      <c r="T269" s="3"/>
      <c r="V269" s="3"/>
      <c r="W269" s="3"/>
      <c r="X269" s="3"/>
    </row>
    <row r="270" customFormat="false" ht="15.75" hidden="false" customHeight="false" outlineLevel="0" collapsed="false">
      <c r="R270" s="3"/>
      <c r="S270" s="3"/>
      <c r="T270" s="3"/>
      <c r="V270" s="3"/>
      <c r="W270" s="3"/>
      <c r="X270" s="3"/>
    </row>
    <row r="271" customFormat="false" ht="15.75" hidden="false" customHeight="false" outlineLevel="0" collapsed="false">
      <c r="R271" s="3"/>
      <c r="S271" s="3"/>
      <c r="T271" s="3"/>
      <c r="V271" s="3"/>
      <c r="W271" s="3"/>
      <c r="X271" s="3"/>
    </row>
    <row r="272" customFormat="false" ht="15.75" hidden="false" customHeight="false" outlineLevel="0" collapsed="false">
      <c r="R272" s="3"/>
      <c r="S272" s="3"/>
      <c r="T272" s="3"/>
      <c r="V272" s="3"/>
      <c r="W272" s="3"/>
      <c r="X272" s="3"/>
    </row>
    <row r="273" customFormat="false" ht="15.75" hidden="false" customHeight="false" outlineLevel="0" collapsed="false">
      <c r="R273" s="3"/>
      <c r="S273" s="3"/>
      <c r="T273" s="3"/>
      <c r="V273" s="3"/>
      <c r="W273" s="3"/>
      <c r="X273" s="3"/>
    </row>
    <row r="274" customFormat="false" ht="15.75" hidden="false" customHeight="false" outlineLevel="0" collapsed="false">
      <c r="R274" s="3"/>
      <c r="S274" s="3"/>
      <c r="T274" s="3"/>
      <c r="V274" s="3"/>
      <c r="W274" s="3"/>
      <c r="X274" s="3"/>
    </row>
    <row r="275" customFormat="false" ht="15.75" hidden="false" customHeight="false" outlineLevel="0" collapsed="false">
      <c r="R275" s="3"/>
      <c r="S275" s="3"/>
      <c r="T275" s="3"/>
      <c r="V275" s="3"/>
      <c r="W275" s="3"/>
      <c r="X275" s="3"/>
    </row>
    <row r="276" customFormat="false" ht="15.75" hidden="false" customHeight="false" outlineLevel="0" collapsed="false">
      <c r="R276" s="3"/>
      <c r="S276" s="3"/>
      <c r="T276" s="3"/>
      <c r="V276" s="3"/>
      <c r="W276" s="3"/>
      <c r="X276" s="3"/>
    </row>
    <row r="277" customFormat="false" ht="15.75" hidden="false" customHeight="false" outlineLevel="0" collapsed="false">
      <c r="R277" s="3"/>
      <c r="S277" s="3"/>
      <c r="T277" s="3"/>
      <c r="V277" s="3"/>
      <c r="W277" s="3"/>
      <c r="X277" s="3"/>
    </row>
    <row r="278" customFormat="false" ht="15.75" hidden="false" customHeight="false" outlineLevel="0" collapsed="false">
      <c r="R278" s="3"/>
      <c r="S278" s="3"/>
      <c r="T278" s="3"/>
      <c r="V278" s="3"/>
      <c r="W278" s="3"/>
      <c r="X278" s="3"/>
    </row>
    <row r="279" customFormat="false" ht="15.75" hidden="false" customHeight="false" outlineLevel="0" collapsed="false">
      <c r="R279" s="3"/>
      <c r="S279" s="3"/>
      <c r="T279" s="3"/>
      <c r="V279" s="3"/>
      <c r="W279" s="3"/>
      <c r="X279" s="3"/>
    </row>
    <row r="280" customFormat="false" ht="15.75" hidden="false" customHeight="false" outlineLevel="0" collapsed="false">
      <c r="R280" s="3"/>
      <c r="S280" s="3"/>
      <c r="T280" s="3"/>
      <c r="V280" s="3"/>
      <c r="W280" s="3"/>
      <c r="X280" s="3"/>
    </row>
    <row r="281" customFormat="false" ht="15.75" hidden="false" customHeight="false" outlineLevel="0" collapsed="false">
      <c r="R281" s="3"/>
      <c r="S281" s="3"/>
      <c r="T281" s="3"/>
      <c r="V281" s="3"/>
      <c r="W281" s="3"/>
      <c r="X281" s="3"/>
    </row>
    <row r="282" customFormat="false" ht="15.75" hidden="false" customHeight="false" outlineLevel="0" collapsed="false">
      <c r="R282" s="3"/>
      <c r="S282" s="3"/>
      <c r="T282" s="3"/>
      <c r="V282" s="3"/>
      <c r="W282" s="3"/>
      <c r="X282" s="3"/>
    </row>
    <row r="283" customFormat="false" ht="15.75" hidden="false" customHeight="false" outlineLevel="0" collapsed="false">
      <c r="R283" s="3"/>
      <c r="S283" s="3"/>
      <c r="T283" s="3"/>
      <c r="V283" s="3"/>
      <c r="W283" s="3"/>
      <c r="X283" s="3"/>
    </row>
    <row r="284" customFormat="false" ht="15.75" hidden="false" customHeight="false" outlineLevel="0" collapsed="false">
      <c r="R284" s="3"/>
      <c r="S284" s="3"/>
      <c r="T284" s="3"/>
      <c r="V284" s="3"/>
      <c r="W284" s="3"/>
      <c r="X284" s="3"/>
    </row>
    <row r="285" customFormat="false" ht="15.75" hidden="false" customHeight="false" outlineLevel="0" collapsed="false">
      <c r="R285" s="3"/>
      <c r="S285" s="3"/>
      <c r="T285" s="3"/>
      <c r="V285" s="3"/>
      <c r="W285" s="3"/>
      <c r="X285" s="3"/>
    </row>
    <row r="286" customFormat="false" ht="15.75" hidden="false" customHeight="false" outlineLevel="0" collapsed="false">
      <c r="R286" s="3"/>
      <c r="S286" s="3"/>
      <c r="T286" s="3"/>
      <c r="V286" s="3"/>
      <c r="W286" s="3"/>
      <c r="X286" s="3"/>
    </row>
    <row r="287" customFormat="false" ht="15.75" hidden="false" customHeight="false" outlineLevel="0" collapsed="false">
      <c r="R287" s="3"/>
      <c r="S287" s="3"/>
      <c r="T287" s="3"/>
      <c r="V287" s="3"/>
      <c r="W287" s="3"/>
      <c r="X287" s="3"/>
    </row>
    <row r="288" customFormat="false" ht="15.75" hidden="false" customHeight="false" outlineLevel="0" collapsed="false">
      <c r="R288" s="3"/>
      <c r="S288" s="3"/>
      <c r="T288" s="3"/>
      <c r="V288" s="3"/>
      <c r="W288" s="3"/>
      <c r="X288" s="3"/>
    </row>
    <row r="289" customFormat="false" ht="15.75" hidden="false" customHeight="false" outlineLevel="0" collapsed="false">
      <c r="R289" s="3"/>
      <c r="S289" s="3"/>
      <c r="T289" s="3"/>
      <c r="V289" s="3"/>
      <c r="W289" s="3"/>
      <c r="X289" s="3"/>
    </row>
    <row r="290" customFormat="false" ht="15.75" hidden="false" customHeight="false" outlineLevel="0" collapsed="false">
      <c r="R290" s="3"/>
      <c r="S290" s="3"/>
      <c r="T290" s="3"/>
      <c r="V290" s="3"/>
      <c r="W290" s="3"/>
      <c r="X290" s="3"/>
    </row>
    <row r="291" customFormat="false" ht="15.75" hidden="false" customHeight="false" outlineLevel="0" collapsed="false">
      <c r="R291" s="3"/>
      <c r="S291" s="3"/>
      <c r="T291" s="3"/>
      <c r="V291" s="3"/>
      <c r="W291" s="3"/>
      <c r="X291" s="3"/>
    </row>
    <row r="292" customFormat="false" ht="15.75" hidden="false" customHeight="false" outlineLevel="0" collapsed="false">
      <c r="R292" s="3"/>
      <c r="S292" s="3"/>
      <c r="T292" s="3"/>
      <c r="V292" s="3"/>
      <c r="W292" s="3"/>
      <c r="X292" s="3"/>
    </row>
    <row r="293" customFormat="false" ht="15.75" hidden="false" customHeight="false" outlineLevel="0" collapsed="false">
      <c r="R293" s="3"/>
      <c r="S293" s="3"/>
      <c r="T293" s="3"/>
      <c r="V293" s="3"/>
      <c r="W293" s="3"/>
      <c r="X293" s="3"/>
    </row>
    <row r="294" customFormat="false" ht="15.75" hidden="false" customHeight="false" outlineLevel="0" collapsed="false">
      <c r="R294" s="3"/>
      <c r="S294" s="3"/>
      <c r="T294" s="3"/>
      <c r="V294" s="3"/>
      <c r="W294" s="3"/>
      <c r="X294" s="3"/>
    </row>
    <row r="295" customFormat="false" ht="15.75" hidden="false" customHeight="false" outlineLevel="0" collapsed="false">
      <c r="R295" s="3"/>
      <c r="S295" s="3"/>
      <c r="T295" s="3"/>
      <c r="V295" s="3"/>
      <c r="W295" s="3"/>
      <c r="X295" s="3"/>
    </row>
    <row r="296" customFormat="false" ht="15.75" hidden="false" customHeight="false" outlineLevel="0" collapsed="false">
      <c r="R296" s="3"/>
      <c r="S296" s="3"/>
      <c r="T296" s="3"/>
      <c r="V296" s="3"/>
      <c r="W296" s="3"/>
      <c r="X296" s="3"/>
    </row>
    <row r="297" customFormat="false" ht="15.75" hidden="false" customHeight="false" outlineLevel="0" collapsed="false">
      <c r="R297" s="3"/>
      <c r="S297" s="3"/>
      <c r="T297" s="3"/>
      <c r="V297" s="3"/>
      <c r="W297" s="3"/>
      <c r="X297" s="3"/>
    </row>
    <row r="298" customFormat="false" ht="15.75" hidden="false" customHeight="false" outlineLevel="0" collapsed="false">
      <c r="R298" s="3"/>
      <c r="S298" s="3"/>
      <c r="T298" s="3"/>
      <c r="V298" s="3"/>
      <c r="W298" s="3"/>
      <c r="X298" s="3"/>
    </row>
    <row r="299" customFormat="false" ht="15.75" hidden="false" customHeight="false" outlineLevel="0" collapsed="false">
      <c r="R299" s="3"/>
      <c r="S299" s="3"/>
      <c r="T299" s="3"/>
      <c r="V299" s="3"/>
      <c r="W299" s="3"/>
      <c r="X299" s="3"/>
    </row>
    <row r="300" customFormat="false" ht="15.75" hidden="false" customHeight="false" outlineLevel="0" collapsed="false">
      <c r="R300" s="3"/>
      <c r="S300" s="3"/>
      <c r="T300" s="3"/>
      <c r="V300" s="3"/>
      <c r="W300" s="3"/>
      <c r="X300" s="3"/>
    </row>
    <row r="301" customFormat="false" ht="15.75" hidden="false" customHeight="false" outlineLevel="0" collapsed="false">
      <c r="R301" s="3"/>
      <c r="S301" s="3"/>
      <c r="T301" s="3"/>
      <c r="V301" s="3"/>
      <c r="W301" s="3"/>
      <c r="X301" s="3"/>
    </row>
    <row r="302" customFormat="false" ht="15.75" hidden="false" customHeight="false" outlineLevel="0" collapsed="false">
      <c r="R302" s="3"/>
      <c r="S302" s="3"/>
      <c r="T302" s="3"/>
      <c r="V302" s="3"/>
      <c r="W302" s="3"/>
      <c r="X302" s="3"/>
    </row>
    <row r="303" customFormat="false" ht="15.75" hidden="false" customHeight="false" outlineLevel="0" collapsed="false">
      <c r="R303" s="3"/>
      <c r="S303" s="3"/>
      <c r="T303" s="3"/>
      <c r="V303" s="3"/>
      <c r="W303" s="3"/>
      <c r="X303" s="3"/>
    </row>
    <row r="304" customFormat="false" ht="15.75" hidden="false" customHeight="false" outlineLevel="0" collapsed="false">
      <c r="R304" s="3"/>
      <c r="S304" s="3"/>
      <c r="T304" s="3"/>
      <c r="V304" s="3"/>
      <c r="W304" s="3"/>
      <c r="X304" s="3"/>
    </row>
    <row r="305" customFormat="false" ht="15.75" hidden="false" customHeight="false" outlineLevel="0" collapsed="false">
      <c r="R305" s="3"/>
      <c r="S305" s="3"/>
      <c r="T305" s="3"/>
      <c r="V305" s="3"/>
      <c r="W305" s="3"/>
      <c r="X305" s="3"/>
    </row>
    <row r="306" customFormat="false" ht="15.75" hidden="false" customHeight="false" outlineLevel="0" collapsed="false">
      <c r="R306" s="3"/>
      <c r="S306" s="3"/>
      <c r="T306" s="3"/>
      <c r="V306" s="3"/>
      <c r="W306" s="3"/>
      <c r="X306" s="3"/>
    </row>
    <row r="307" customFormat="false" ht="15.75" hidden="false" customHeight="false" outlineLevel="0" collapsed="false">
      <c r="R307" s="3"/>
      <c r="S307" s="3"/>
      <c r="T307" s="3"/>
      <c r="V307" s="3"/>
      <c r="W307" s="3"/>
      <c r="X307" s="3"/>
    </row>
    <row r="308" customFormat="false" ht="15.75" hidden="false" customHeight="false" outlineLevel="0" collapsed="false">
      <c r="R308" s="3"/>
      <c r="S308" s="3"/>
      <c r="T308" s="3"/>
      <c r="V308" s="3"/>
      <c r="W308" s="3"/>
      <c r="X308" s="3"/>
    </row>
    <row r="309" customFormat="false" ht="15.75" hidden="false" customHeight="false" outlineLevel="0" collapsed="false">
      <c r="R309" s="3"/>
      <c r="S309" s="3"/>
      <c r="T309" s="3"/>
      <c r="V309" s="3"/>
      <c r="W309" s="3"/>
      <c r="X309" s="3"/>
    </row>
    <row r="310" customFormat="false" ht="15.75" hidden="false" customHeight="false" outlineLevel="0" collapsed="false">
      <c r="R310" s="3"/>
      <c r="S310" s="3"/>
      <c r="T310" s="3"/>
      <c r="V310" s="3"/>
      <c r="W310" s="3"/>
      <c r="X310" s="3"/>
    </row>
    <row r="311" customFormat="false" ht="15.75" hidden="false" customHeight="false" outlineLevel="0" collapsed="false">
      <c r="R311" s="3"/>
      <c r="S311" s="3"/>
      <c r="T311" s="3"/>
      <c r="V311" s="3"/>
      <c r="W311" s="3"/>
      <c r="X311" s="3"/>
    </row>
    <row r="312" customFormat="false" ht="15.75" hidden="false" customHeight="false" outlineLevel="0" collapsed="false">
      <c r="R312" s="3"/>
      <c r="S312" s="3"/>
      <c r="T312" s="3"/>
      <c r="V312" s="3"/>
      <c r="W312" s="3"/>
      <c r="X312" s="3"/>
    </row>
    <row r="313" customFormat="false" ht="15.75" hidden="false" customHeight="false" outlineLevel="0" collapsed="false">
      <c r="R313" s="3"/>
      <c r="S313" s="3"/>
      <c r="T313" s="3"/>
      <c r="V313" s="3"/>
      <c r="W313" s="3"/>
      <c r="X313" s="3"/>
    </row>
    <row r="314" customFormat="false" ht="15.75" hidden="false" customHeight="false" outlineLevel="0" collapsed="false">
      <c r="R314" s="3"/>
      <c r="S314" s="3"/>
      <c r="T314" s="3"/>
      <c r="V314" s="3"/>
      <c r="W314" s="3"/>
      <c r="X314" s="3"/>
    </row>
    <row r="315" customFormat="false" ht="15.75" hidden="false" customHeight="false" outlineLevel="0" collapsed="false">
      <c r="R315" s="3"/>
      <c r="S315" s="3"/>
      <c r="T315" s="3"/>
      <c r="V315" s="3"/>
      <c r="W315" s="3"/>
      <c r="X315" s="3"/>
    </row>
    <row r="316" customFormat="false" ht="15.75" hidden="false" customHeight="false" outlineLevel="0" collapsed="false">
      <c r="R316" s="3"/>
      <c r="S316" s="3"/>
      <c r="T316" s="3"/>
      <c r="V316" s="3"/>
      <c r="W316" s="3"/>
      <c r="X316" s="3"/>
    </row>
    <row r="317" customFormat="false" ht="15.75" hidden="false" customHeight="false" outlineLevel="0" collapsed="false">
      <c r="R317" s="3"/>
      <c r="S317" s="3"/>
      <c r="T317" s="3"/>
      <c r="V317" s="3"/>
      <c r="W317" s="3"/>
      <c r="X317" s="3"/>
    </row>
    <row r="318" customFormat="false" ht="15.75" hidden="false" customHeight="false" outlineLevel="0" collapsed="false">
      <c r="R318" s="3"/>
      <c r="S318" s="3"/>
      <c r="T318" s="3"/>
      <c r="V318" s="3"/>
      <c r="W318" s="3"/>
      <c r="X318" s="3"/>
    </row>
    <row r="319" customFormat="false" ht="15.75" hidden="false" customHeight="false" outlineLevel="0" collapsed="false">
      <c r="R319" s="3"/>
      <c r="S319" s="3"/>
      <c r="T319" s="3"/>
      <c r="V319" s="3"/>
      <c r="W319" s="3"/>
      <c r="X319" s="3"/>
    </row>
    <row r="320" customFormat="false" ht="15.75" hidden="false" customHeight="false" outlineLevel="0" collapsed="false">
      <c r="R320" s="3"/>
      <c r="S320" s="3"/>
      <c r="T320" s="3"/>
      <c r="V320" s="3"/>
      <c r="W320" s="3"/>
      <c r="X320" s="3"/>
    </row>
    <row r="321" customFormat="false" ht="15.75" hidden="false" customHeight="false" outlineLevel="0" collapsed="false">
      <c r="R321" s="3"/>
      <c r="S321" s="3"/>
      <c r="T321" s="3"/>
      <c r="V321" s="3"/>
      <c r="W321" s="3"/>
      <c r="X321" s="3"/>
    </row>
    <row r="322" customFormat="false" ht="15.75" hidden="false" customHeight="false" outlineLevel="0" collapsed="false">
      <c r="R322" s="3"/>
      <c r="S322" s="3"/>
      <c r="T322" s="3"/>
      <c r="V322" s="3"/>
      <c r="W322" s="3"/>
      <c r="X322" s="3"/>
    </row>
    <row r="323" customFormat="false" ht="15.75" hidden="false" customHeight="false" outlineLevel="0" collapsed="false">
      <c r="R323" s="3"/>
      <c r="S323" s="3"/>
      <c r="T323" s="3"/>
      <c r="V323" s="3"/>
      <c r="W323" s="3"/>
      <c r="X323" s="3"/>
    </row>
    <row r="324" customFormat="false" ht="15.75" hidden="false" customHeight="false" outlineLevel="0" collapsed="false">
      <c r="R324" s="3"/>
      <c r="S324" s="3"/>
      <c r="T324" s="3"/>
      <c r="V324" s="3"/>
      <c r="W324" s="3"/>
      <c r="X324" s="3"/>
    </row>
    <row r="325" customFormat="false" ht="15.75" hidden="false" customHeight="false" outlineLevel="0" collapsed="false">
      <c r="R325" s="3"/>
      <c r="S325" s="3"/>
      <c r="T325" s="3"/>
      <c r="V325" s="3"/>
      <c r="W325" s="3"/>
      <c r="X325" s="3"/>
    </row>
    <row r="326" customFormat="false" ht="15.75" hidden="false" customHeight="false" outlineLevel="0" collapsed="false">
      <c r="R326" s="3"/>
      <c r="S326" s="3"/>
      <c r="T326" s="3"/>
      <c r="V326" s="3"/>
      <c r="W326" s="3"/>
      <c r="X326" s="3"/>
    </row>
    <row r="327" customFormat="false" ht="15.75" hidden="false" customHeight="false" outlineLevel="0" collapsed="false">
      <c r="R327" s="3"/>
      <c r="S327" s="3"/>
      <c r="T327" s="3"/>
      <c r="V327" s="3"/>
      <c r="W327" s="3"/>
      <c r="X327" s="3"/>
    </row>
    <row r="328" customFormat="false" ht="15.75" hidden="false" customHeight="false" outlineLevel="0" collapsed="false">
      <c r="R328" s="3"/>
      <c r="S328" s="3"/>
      <c r="T328" s="3"/>
      <c r="V328" s="3"/>
      <c r="W328" s="3"/>
      <c r="X328" s="3"/>
    </row>
    <row r="329" customFormat="false" ht="15.75" hidden="false" customHeight="false" outlineLevel="0" collapsed="false">
      <c r="R329" s="3"/>
      <c r="S329" s="3"/>
      <c r="T329" s="3"/>
      <c r="V329" s="3"/>
      <c r="W329" s="3"/>
      <c r="X329" s="3"/>
    </row>
    <row r="330" customFormat="false" ht="15.75" hidden="false" customHeight="false" outlineLevel="0" collapsed="false">
      <c r="R330" s="3"/>
      <c r="S330" s="3"/>
      <c r="T330" s="3"/>
      <c r="V330" s="3"/>
      <c r="W330" s="3"/>
      <c r="X330" s="3"/>
    </row>
    <row r="331" customFormat="false" ht="15.75" hidden="false" customHeight="false" outlineLevel="0" collapsed="false">
      <c r="R331" s="3"/>
      <c r="S331" s="3"/>
      <c r="T331" s="3"/>
      <c r="V331" s="3"/>
      <c r="W331" s="3"/>
      <c r="X331" s="3"/>
    </row>
    <row r="332" customFormat="false" ht="15.75" hidden="false" customHeight="false" outlineLevel="0" collapsed="false">
      <c r="R332" s="3"/>
      <c r="S332" s="3"/>
      <c r="T332" s="3"/>
      <c r="V332" s="3"/>
      <c r="W332" s="3"/>
      <c r="X332" s="3"/>
    </row>
    <row r="333" customFormat="false" ht="15.75" hidden="false" customHeight="false" outlineLevel="0" collapsed="false">
      <c r="R333" s="3"/>
      <c r="S333" s="3"/>
      <c r="T333" s="3"/>
      <c r="V333" s="3"/>
      <c r="W333" s="3"/>
      <c r="X333" s="3"/>
    </row>
    <row r="334" customFormat="false" ht="15.75" hidden="false" customHeight="false" outlineLevel="0" collapsed="false">
      <c r="R334" s="3"/>
      <c r="S334" s="3"/>
      <c r="T334" s="3"/>
      <c r="V334" s="3"/>
      <c r="W334" s="3"/>
      <c r="X334" s="3"/>
    </row>
    <row r="335" customFormat="false" ht="15.75" hidden="false" customHeight="false" outlineLevel="0" collapsed="false">
      <c r="R335" s="3"/>
      <c r="S335" s="3"/>
      <c r="T335" s="3"/>
      <c r="V335" s="3"/>
      <c r="W335" s="3"/>
      <c r="X335" s="3"/>
    </row>
    <row r="336" customFormat="false" ht="15.75" hidden="false" customHeight="false" outlineLevel="0" collapsed="false">
      <c r="R336" s="3"/>
      <c r="S336" s="3"/>
      <c r="T336" s="3"/>
      <c r="V336" s="3"/>
      <c r="W336" s="3"/>
      <c r="X336" s="3"/>
    </row>
    <row r="337" customFormat="false" ht="15.75" hidden="false" customHeight="false" outlineLevel="0" collapsed="false">
      <c r="R337" s="3"/>
      <c r="S337" s="3"/>
      <c r="T337" s="3"/>
      <c r="V337" s="3"/>
      <c r="W337" s="3"/>
      <c r="X337" s="3"/>
    </row>
    <row r="338" customFormat="false" ht="15.75" hidden="false" customHeight="false" outlineLevel="0" collapsed="false">
      <c r="R338" s="3"/>
      <c r="S338" s="3"/>
      <c r="T338" s="3"/>
      <c r="V338" s="3"/>
      <c r="W338" s="3"/>
      <c r="X338" s="3"/>
    </row>
    <row r="339" customFormat="false" ht="15.75" hidden="false" customHeight="false" outlineLevel="0" collapsed="false">
      <c r="R339" s="3"/>
      <c r="S339" s="3"/>
      <c r="T339" s="3"/>
      <c r="V339" s="3"/>
      <c r="W339" s="3"/>
      <c r="X339" s="3"/>
    </row>
    <row r="340" customFormat="false" ht="15.75" hidden="false" customHeight="false" outlineLevel="0" collapsed="false">
      <c r="R340" s="3"/>
      <c r="S340" s="3"/>
      <c r="T340" s="3"/>
      <c r="V340" s="3"/>
      <c r="W340" s="3"/>
      <c r="X340" s="3"/>
    </row>
    <row r="341" customFormat="false" ht="15.75" hidden="false" customHeight="false" outlineLevel="0" collapsed="false">
      <c r="R341" s="3"/>
      <c r="S341" s="3"/>
      <c r="T341" s="3"/>
      <c r="V341" s="3"/>
      <c r="W341" s="3"/>
      <c r="X341" s="3"/>
    </row>
    <row r="342" customFormat="false" ht="15.75" hidden="false" customHeight="false" outlineLevel="0" collapsed="false">
      <c r="R342" s="3"/>
      <c r="S342" s="3"/>
      <c r="T342" s="3"/>
      <c r="V342" s="3"/>
      <c r="W342" s="3"/>
      <c r="X342" s="3"/>
    </row>
    <row r="343" customFormat="false" ht="15.75" hidden="false" customHeight="false" outlineLevel="0" collapsed="false">
      <c r="R343" s="3"/>
      <c r="S343" s="3"/>
      <c r="T343" s="3"/>
      <c r="V343" s="3"/>
      <c r="W343" s="3"/>
      <c r="X343" s="3"/>
    </row>
    <row r="344" customFormat="false" ht="15.75" hidden="false" customHeight="false" outlineLevel="0" collapsed="false">
      <c r="R344" s="3"/>
      <c r="S344" s="3"/>
      <c r="T344" s="3"/>
      <c r="V344" s="3"/>
      <c r="W344" s="3"/>
      <c r="X344" s="3"/>
    </row>
    <row r="345" customFormat="false" ht="15.75" hidden="false" customHeight="false" outlineLevel="0" collapsed="false">
      <c r="R345" s="3"/>
      <c r="S345" s="3"/>
      <c r="T345" s="3"/>
      <c r="V345" s="3"/>
      <c r="W345" s="3"/>
      <c r="X345" s="3"/>
    </row>
    <row r="346" customFormat="false" ht="15.75" hidden="false" customHeight="false" outlineLevel="0" collapsed="false">
      <c r="R346" s="3"/>
      <c r="S346" s="3"/>
      <c r="T346" s="3"/>
      <c r="V346" s="3"/>
      <c r="W346" s="3"/>
      <c r="X346" s="3"/>
    </row>
    <row r="347" customFormat="false" ht="15.75" hidden="false" customHeight="false" outlineLevel="0" collapsed="false">
      <c r="R347" s="3"/>
      <c r="S347" s="3"/>
      <c r="T347" s="3"/>
      <c r="V347" s="3"/>
      <c r="W347" s="3"/>
      <c r="X347" s="3"/>
    </row>
    <row r="348" customFormat="false" ht="15.75" hidden="false" customHeight="false" outlineLevel="0" collapsed="false">
      <c r="R348" s="3"/>
      <c r="S348" s="3"/>
      <c r="T348" s="3"/>
      <c r="V348" s="3"/>
      <c r="W348" s="3"/>
      <c r="X348" s="3"/>
    </row>
    <row r="349" customFormat="false" ht="15.75" hidden="false" customHeight="false" outlineLevel="0" collapsed="false">
      <c r="R349" s="3"/>
      <c r="S349" s="3"/>
      <c r="T349" s="3"/>
      <c r="V349" s="3"/>
      <c r="W349" s="3"/>
      <c r="X349" s="3"/>
    </row>
    <row r="350" customFormat="false" ht="15.75" hidden="false" customHeight="false" outlineLevel="0" collapsed="false">
      <c r="R350" s="3"/>
      <c r="S350" s="3"/>
      <c r="T350" s="3"/>
      <c r="V350" s="3"/>
      <c r="W350" s="3"/>
      <c r="X350" s="3"/>
    </row>
    <row r="351" customFormat="false" ht="15.75" hidden="false" customHeight="false" outlineLevel="0" collapsed="false">
      <c r="R351" s="3"/>
      <c r="S351" s="3"/>
      <c r="T351" s="3"/>
      <c r="V351" s="3"/>
      <c r="W351" s="3"/>
      <c r="X351" s="3"/>
    </row>
    <row r="352" customFormat="false" ht="15.75" hidden="false" customHeight="false" outlineLevel="0" collapsed="false">
      <c r="R352" s="3"/>
      <c r="S352" s="3"/>
      <c r="T352" s="3"/>
      <c r="V352" s="3"/>
      <c r="W352" s="3"/>
      <c r="X352" s="3"/>
    </row>
    <row r="353" customFormat="false" ht="15.75" hidden="false" customHeight="false" outlineLevel="0" collapsed="false">
      <c r="R353" s="3"/>
      <c r="S353" s="3"/>
      <c r="T353" s="3"/>
      <c r="V353" s="3"/>
      <c r="W353" s="3"/>
      <c r="X353" s="3"/>
    </row>
    <row r="354" customFormat="false" ht="15.75" hidden="false" customHeight="false" outlineLevel="0" collapsed="false">
      <c r="R354" s="3"/>
      <c r="S354" s="3"/>
      <c r="T354" s="3"/>
      <c r="V354" s="3"/>
      <c r="W354" s="3"/>
      <c r="X354" s="3"/>
    </row>
    <row r="355" customFormat="false" ht="15.75" hidden="false" customHeight="false" outlineLevel="0" collapsed="false">
      <c r="R355" s="3"/>
      <c r="S355" s="3"/>
      <c r="T355" s="3"/>
      <c r="V355" s="3"/>
      <c r="W355" s="3"/>
      <c r="X355" s="3"/>
    </row>
    <row r="356" customFormat="false" ht="15.75" hidden="false" customHeight="false" outlineLevel="0" collapsed="false">
      <c r="R356" s="3"/>
      <c r="S356" s="3"/>
      <c r="T356" s="3"/>
      <c r="V356" s="3"/>
      <c r="W356" s="3"/>
      <c r="X356" s="3"/>
    </row>
    <row r="357" customFormat="false" ht="15.75" hidden="false" customHeight="false" outlineLevel="0" collapsed="false">
      <c r="R357" s="3"/>
      <c r="S357" s="3"/>
      <c r="T357" s="3"/>
      <c r="V357" s="3"/>
      <c r="W357" s="3"/>
      <c r="X357" s="3"/>
    </row>
    <row r="358" customFormat="false" ht="15.75" hidden="false" customHeight="false" outlineLevel="0" collapsed="false">
      <c r="R358" s="3"/>
      <c r="S358" s="3"/>
      <c r="T358" s="3"/>
      <c r="V358" s="3"/>
      <c r="W358" s="3"/>
      <c r="X358" s="3"/>
    </row>
    <row r="359" customFormat="false" ht="15.75" hidden="false" customHeight="false" outlineLevel="0" collapsed="false">
      <c r="R359" s="3"/>
      <c r="S359" s="3"/>
      <c r="T359" s="3"/>
      <c r="V359" s="3"/>
      <c r="W359" s="3"/>
      <c r="X359" s="3"/>
    </row>
    <row r="360" customFormat="false" ht="15.75" hidden="false" customHeight="false" outlineLevel="0" collapsed="false">
      <c r="R360" s="3"/>
      <c r="S360" s="3"/>
      <c r="T360" s="3"/>
      <c r="V360" s="3"/>
      <c r="W360" s="3"/>
      <c r="X360" s="3"/>
    </row>
    <row r="361" customFormat="false" ht="15.75" hidden="false" customHeight="false" outlineLevel="0" collapsed="false">
      <c r="R361" s="3"/>
      <c r="S361" s="3"/>
      <c r="T361" s="3"/>
      <c r="V361" s="3"/>
      <c r="W361" s="3"/>
      <c r="X361" s="3"/>
    </row>
    <row r="362" customFormat="false" ht="15.75" hidden="false" customHeight="false" outlineLevel="0" collapsed="false">
      <c r="R362" s="3"/>
      <c r="S362" s="3"/>
      <c r="T362" s="3"/>
      <c r="V362" s="3"/>
      <c r="W362" s="3"/>
      <c r="X362" s="3"/>
    </row>
    <row r="363" customFormat="false" ht="15.75" hidden="false" customHeight="false" outlineLevel="0" collapsed="false">
      <c r="R363" s="3"/>
      <c r="S363" s="3"/>
      <c r="T363" s="3"/>
      <c r="V363" s="3"/>
      <c r="W363" s="3"/>
      <c r="X363" s="3"/>
    </row>
    <row r="364" customFormat="false" ht="15.75" hidden="false" customHeight="false" outlineLevel="0" collapsed="false">
      <c r="R364" s="3"/>
      <c r="S364" s="3"/>
      <c r="T364" s="3"/>
      <c r="V364" s="3"/>
      <c r="W364" s="3"/>
      <c r="X364" s="3"/>
    </row>
    <row r="365" customFormat="false" ht="15.75" hidden="false" customHeight="false" outlineLevel="0" collapsed="false">
      <c r="R365" s="3"/>
      <c r="S365" s="3"/>
      <c r="T365" s="3"/>
      <c r="V365" s="3"/>
      <c r="W365" s="3"/>
      <c r="X365" s="3"/>
    </row>
    <row r="366" customFormat="false" ht="15.75" hidden="false" customHeight="false" outlineLevel="0" collapsed="false">
      <c r="R366" s="3"/>
      <c r="S366" s="3"/>
      <c r="T366" s="3"/>
      <c r="V366" s="3"/>
      <c r="W366" s="3"/>
      <c r="X366" s="3"/>
    </row>
    <row r="367" customFormat="false" ht="15.75" hidden="false" customHeight="false" outlineLevel="0" collapsed="false">
      <c r="R367" s="3"/>
      <c r="S367" s="3"/>
      <c r="T367" s="3"/>
      <c r="V367" s="3"/>
      <c r="W367" s="3"/>
      <c r="X367" s="3"/>
    </row>
    <row r="368" customFormat="false" ht="15.75" hidden="false" customHeight="false" outlineLevel="0" collapsed="false">
      <c r="R368" s="3"/>
      <c r="S368" s="3"/>
      <c r="T368" s="3"/>
      <c r="V368" s="3"/>
      <c r="W368" s="3"/>
      <c r="X368" s="3"/>
    </row>
    <row r="369" customFormat="false" ht="15.75" hidden="false" customHeight="false" outlineLevel="0" collapsed="false">
      <c r="R369" s="3"/>
      <c r="S369" s="3"/>
      <c r="T369" s="3"/>
      <c r="V369" s="3"/>
      <c r="W369" s="3"/>
      <c r="X369" s="3"/>
    </row>
    <row r="370" customFormat="false" ht="15.75" hidden="false" customHeight="false" outlineLevel="0" collapsed="false">
      <c r="R370" s="3"/>
      <c r="S370" s="3"/>
      <c r="T370" s="3"/>
      <c r="V370" s="3"/>
      <c r="W370" s="3"/>
      <c r="X370" s="3"/>
    </row>
    <row r="371" customFormat="false" ht="15.75" hidden="false" customHeight="false" outlineLevel="0" collapsed="false">
      <c r="R371" s="3"/>
      <c r="S371" s="3"/>
      <c r="T371" s="3"/>
      <c r="V371" s="3"/>
      <c r="W371" s="3"/>
      <c r="X371" s="3"/>
    </row>
    <row r="372" customFormat="false" ht="15.75" hidden="false" customHeight="false" outlineLevel="0" collapsed="false">
      <c r="R372" s="3"/>
      <c r="S372" s="3"/>
      <c r="T372" s="3"/>
      <c r="V372" s="3"/>
      <c r="W372" s="3"/>
      <c r="X372" s="3"/>
    </row>
    <row r="373" customFormat="false" ht="15.75" hidden="false" customHeight="false" outlineLevel="0" collapsed="false">
      <c r="R373" s="3"/>
      <c r="S373" s="3"/>
      <c r="T373" s="3"/>
      <c r="V373" s="3"/>
      <c r="W373" s="3"/>
      <c r="X373" s="3"/>
    </row>
    <row r="374" customFormat="false" ht="15.75" hidden="false" customHeight="false" outlineLevel="0" collapsed="false">
      <c r="R374" s="3"/>
      <c r="S374" s="3"/>
      <c r="T374" s="3"/>
      <c r="V374" s="3"/>
      <c r="W374" s="3"/>
      <c r="X374" s="3"/>
    </row>
    <row r="375" customFormat="false" ht="15.75" hidden="false" customHeight="false" outlineLevel="0" collapsed="false">
      <c r="R375" s="3"/>
      <c r="S375" s="3"/>
      <c r="T375" s="3"/>
      <c r="V375" s="3"/>
      <c r="W375" s="3"/>
      <c r="X375" s="3"/>
    </row>
    <row r="376" customFormat="false" ht="15.75" hidden="false" customHeight="false" outlineLevel="0" collapsed="false">
      <c r="R376" s="3"/>
      <c r="S376" s="3"/>
      <c r="T376" s="3"/>
      <c r="V376" s="3"/>
      <c r="W376" s="3"/>
      <c r="X376" s="3"/>
    </row>
    <row r="377" customFormat="false" ht="15.75" hidden="false" customHeight="false" outlineLevel="0" collapsed="false">
      <c r="R377" s="3"/>
      <c r="S377" s="3"/>
      <c r="T377" s="3"/>
      <c r="V377" s="3"/>
      <c r="W377" s="3"/>
      <c r="X377" s="3"/>
    </row>
    <row r="378" customFormat="false" ht="15.75" hidden="false" customHeight="false" outlineLevel="0" collapsed="false">
      <c r="R378" s="3"/>
      <c r="S378" s="3"/>
      <c r="T378" s="3"/>
      <c r="V378" s="3"/>
      <c r="W378" s="3"/>
      <c r="X378" s="3"/>
    </row>
    <row r="379" customFormat="false" ht="15.75" hidden="false" customHeight="false" outlineLevel="0" collapsed="false">
      <c r="R379" s="3"/>
      <c r="S379" s="3"/>
      <c r="T379" s="3"/>
      <c r="V379" s="3"/>
      <c r="W379" s="3"/>
      <c r="X379" s="3"/>
    </row>
    <row r="380" customFormat="false" ht="15.75" hidden="false" customHeight="false" outlineLevel="0" collapsed="false">
      <c r="R380" s="3"/>
      <c r="S380" s="3"/>
      <c r="T380" s="3"/>
      <c r="V380" s="3"/>
      <c r="W380" s="3"/>
      <c r="X380" s="3"/>
    </row>
    <row r="381" customFormat="false" ht="15.75" hidden="false" customHeight="false" outlineLevel="0" collapsed="false">
      <c r="R381" s="3"/>
      <c r="S381" s="3"/>
      <c r="T381" s="3"/>
      <c r="V381" s="3"/>
      <c r="W381" s="3"/>
      <c r="X381" s="3"/>
    </row>
    <row r="382" customFormat="false" ht="15.75" hidden="false" customHeight="false" outlineLevel="0" collapsed="false">
      <c r="R382" s="3"/>
      <c r="S382" s="3"/>
      <c r="T382" s="3"/>
      <c r="V382" s="3"/>
      <c r="W382" s="3"/>
      <c r="X382" s="3"/>
    </row>
    <row r="383" customFormat="false" ht="15.75" hidden="false" customHeight="false" outlineLevel="0" collapsed="false">
      <c r="R383" s="3"/>
      <c r="S383" s="3"/>
      <c r="T383" s="3"/>
      <c r="V383" s="3"/>
      <c r="W383" s="3"/>
      <c r="X383" s="3"/>
    </row>
    <row r="384" customFormat="false" ht="15.75" hidden="false" customHeight="false" outlineLevel="0" collapsed="false">
      <c r="R384" s="3"/>
      <c r="S384" s="3"/>
      <c r="T384" s="3"/>
      <c r="V384" s="3"/>
      <c r="W384" s="3"/>
      <c r="X384" s="3"/>
    </row>
    <row r="385" customFormat="false" ht="15.75" hidden="false" customHeight="false" outlineLevel="0" collapsed="false">
      <c r="R385" s="3"/>
      <c r="S385" s="3"/>
      <c r="T385" s="3"/>
      <c r="V385" s="3"/>
      <c r="W385" s="3"/>
      <c r="X385" s="3"/>
    </row>
    <row r="386" customFormat="false" ht="15.75" hidden="false" customHeight="false" outlineLevel="0" collapsed="false">
      <c r="R386" s="3"/>
      <c r="S386" s="3"/>
      <c r="T386" s="3"/>
      <c r="V386" s="3"/>
      <c r="W386" s="3"/>
      <c r="X386" s="3"/>
    </row>
    <row r="387" customFormat="false" ht="15.75" hidden="false" customHeight="false" outlineLevel="0" collapsed="false">
      <c r="R387" s="3"/>
      <c r="S387" s="3"/>
      <c r="T387" s="3"/>
      <c r="V387" s="3"/>
      <c r="W387" s="3"/>
      <c r="X387" s="3"/>
    </row>
    <row r="388" customFormat="false" ht="15.75" hidden="false" customHeight="false" outlineLevel="0" collapsed="false">
      <c r="R388" s="3"/>
      <c r="S388" s="3"/>
      <c r="T388" s="3"/>
      <c r="V388" s="3"/>
      <c r="W388" s="3"/>
      <c r="X388" s="3"/>
    </row>
    <row r="389" customFormat="false" ht="15.75" hidden="false" customHeight="false" outlineLevel="0" collapsed="false">
      <c r="R389" s="3"/>
      <c r="S389" s="3"/>
      <c r="T389" s="3"/>
      <c r="V389" s="3"/>
      <c r="W389" s="3"/>
      <c r="X389" s="3"/>
    </row>
    <row r="390" customFormat="false" ht="15.75" hidden="false" customHeight="false" outlineLevel="0" collapsed="false">
      <c r="R390" s="3"/>
      <c r="S390" s="3"/>
      <c r="T390" s="3"/>
      <c r="V390" s="3"/>
      <c r="W390" s="3"/>
      <c r="X390" s="3"/>
    </row>
    <row r="391" customFormat="false" ht="15.75" hidden="false" customHeight="false" outlineLevel="0" collapsed="false">
      <c r="R391" s="3"/>
      <c r="S391" s="3"/>
      <c r="T391" s="3"/>
      <c r="V391" s="3"/>
      <c r="W391" s="3"/>
      <c r="X391" s="3"/>
    </row>
    <row r="392" customFormat="false" ht="15.75" hidden="false" customHeight="false" outlineLevel="0" collapsed="false">
      <c r="R392" s="3"/>
      <c r="S392" s="3"/>
      <c r="T392" s="3"/>
      <c r="V392" s="3"/>
      <c r="W392" s="3"/>
      <c r="X392" s="3"/>
    </row>
    <row r="393" customFormat="false" ht="15.75" hidden="false" customHeight="false" outlineLevel="0" collapsed="false">
      <c r="R393" s="3"/>
      <c r="S393" s="3"/>
      <c r="T393" s="3"/>
      <c r="V393" s="3"/>
      <c r="W393" s="3"/>
      <c r="X393" s="3"/>
    </row>
    <row r="394" customFormat="false" ht="15.75" hidden="false" customHeight="false" outlineLevel="0" collapsed="false">
      <c r="R394" s="3"/>
      <c r="S394" s="3"/>
      <c r="T394" s="3"/>
      <c r="V394" s="3"/>
      <c r="W394" s="3"/>
      <c r="X394" s="3"/>
    </row>
    <row r="395" customFormat="false" ht="15.75" hidden="false" customHeight="false" outlineLevel="0" collapsed="false">
      <c r="R395" s="3"/>
      <c r="S395" s="3"/>
      <c r="T395" s="3"/>
      <c r="V395" s="3"/>
      <c r="W395" s="3"/>
      <c r="X395" s="3"/>
    </row>
    <row r="396" customFormat="false" ht="15.75" hidden="false" customHeight="false" outlineLevel="0" collapsed="false">
      <c r="R396" s="3"/>
      <c r="S396" s="3"/>
      <c r="T396" s="3"/>
      <c r="V396" s="3"/>
      <c r="W396" s="3"/>
      <c r="X396" s="3"/>
    </row>
    <row r="397" customFormat="false" ht="15.75" hidden="false" customHeight="false" outlineLevel="0" collapsed="false">
      <c r="R397" s="3"/>
      <c r="S397" s="3"/>
      <c r="T397" s="3"/>
      <c r="V397" s="3"/>
      <c r="W397" s="3"/>
      <c r="X397" s="3"/>
    </row>
    <row r="398" customFormat="false" ht="15.75" hidden="false" customHeight="false" outlineLevel="0" collapsed="false">
      <c r="R398" s="3"/>
      <c r="S398" s="3"/>
      <c r="T398" s="3"/>
      <c r="V398" s="3"/>
      <c r="W398" s="3"/>
      <c r="X398" s="3"/>
    </row>
    <row r="399" customFormat="false" ht="15.75" hidden="false" customHeight="false" outlineLevel="0" collapsed="false">
      <c r="R399" s="3"/>
      <c r="S399" s="3"/>
      <c r="T399" s="3"/>
      <c r="V399" s="3"/>
      <c r="W399" s="3"/>
      <c r="X399" s="3"/>
    </row>
    <row r="400" customFormat="false" ht="15.75" hidden="false" customHeight="false" outlineLevel="0" collapsed="false">
      <c r="R400" s="3"/>
      <c r="S400" s="3"/>
      <c r="T400" s="3"/>
      <c r="V400" s="3"/>
      <c r="W400" s="3"/>
      <c r="X400" s="3"/>
    </row>
    <row r="401" customFormat="false" ht="15.75" hidden="false" customHeight="false" outlineLevel="0" collapsed="false">
      <c r="R401" s="3"/>
      <c r="S401" s="3"/>
      <c r="T401" s="3"/>
      <c r="V401" s="3"/>
      <c r="W401" s="3"/>
      <c r="X401" s="3"/>
    </row>
    <row r="402" customFormat="false" ht="15.75" hidden="false" customHeight="false" outlineLevel="0" collapsed="false">
      <c r="R402" s="3"/>
      <c r="S402" s="3"/>
      <c r="T402" s="3"/>
      <c r="V402" s="3"/>
      <c r="W402" s="3"/>
      <c r="X402" s="3"/>
    </row>
    <row r="403" customFormat="false" ht="15.75" hidden="false" customHeight="false" outlineLevel="0" collapsed="false">
      <c r="R403" s="3"/>
      <c r="S403" s="3"/>
      <c r="T403" s="3"/>
      <c r="V403" s="3"/>
      <c r="W403" s="3"/>
      <c r="X403" s="3"/>
    </row>
    <row r="404" customFormat="false" ht="15.75" hidden="false" customHeight="false" outlineLevel="0" collapsed="false">
      <c r="R404" s="3"/>
      <c r="S404" s="3"/>
      <c r="T404" s="3"/>
      <c r="V404" s="3"/>
      <c r="W404" s="3"/>
      <c r="X404" s="3"/>
    </row>
    <row r="405" customFormat="false" ht="15.75" hidden="false" customHeight="false" outlineLevel="0" collapsed="false">
      <c r="R405" s="3"/>
      <c r="S405" s="3"/>
      <c r="T405" s="3"/>
      <c r="V405" s="3"/>
      <c r="W405" s="3"/>
      <c r="X405" s="3"/>
    </row>
    <row r="406" customFormat="false" ht="15.75" hidden="false" customHeight="false" outlineLevel="0" collapsed="false">
      <c r="R406" s="3"/>
      <c r="S406" s="3"/>
      <c r="T406" s="3"/>
      <c r="V406" s="3"/>
      <c r="W406" s="3"/>
      <c r="X406" s="3"/>
    </row>
    <row r="407" customFormat="false" ht="15.75" hidden="false" customHeight="false" outlineLevel="0" collapsed="false">
      <c r="R407" s="3"/>
      <c r="S407" s="3"/>
      <c r="T407" s="3"/>
      <c r="V407" s="3"/>
      <c r="W407" s="3"/>
      <c r="X407" s="3"/>
    </row>
    <row r="408" customFormat="false" ht="15.75" hidden="false" customHeight="false" outlineLevel="0" collapsed="false">
      <c r="R408" s="3"/>
      <c r="S408" s="3"/>
      <c r="T408" s="3"/>
      <c r="V408" s="3"/>
      <c r="W408" s="3"/>
      <c r="X408" s="3"/>
    </row>
    <row r="409" customFormat="false" ht="15.75" hidden="false" customHeight="false" outlineLevel="0" collapsed="false">
      <c r="R409" s="3"/>
      <c r="S409" s="3"/>
      <c r="T409" s="3"/>
      <c r="V409" s="3"/>
      <c r="W409" s="3"/>
      <c r="X409" s="3"/>
    </row>
    <row r="410" customFormat="false" ht="15.75" hidden="false" customHeight="false" outlineLevel="0" collapsed="false">
      <c r="R410" s="3"/>
      <c r="S410" s="3"/>
      <c r="T410" s="3"/>
      <c r="V410" s="3"/>
      <c r="W410" s="3"/>
      <c r="X410" s="3"/>
    </row>
    <row r="411" customFormat="false" ht="15.75" hidden="false" customHeight="false" outlineLevel="0" collapsed="false">
      <c r="R411" s="3"/>
      <c r="S411" s="3"/>
      <c r="T411" s="3"/>
      <c r="V411" s="3"/>
      <c r="W411" s="3"/>
      <c r="X411" s="3"/>
    </row>
    <row r="412" customFormat="false" ht="15.75" hidden="false" customHeight="false" outlineLevel="0" collapsed="false">
      <c r="R412" s="3"/>
      <c r="S412" s="3"/>
      <c r="T412" s="3"/>
      <c r="V412" s="3"/>
      <c r="W412" s="3"/>
      <c r="X412" s="3"/>
    </row>
    <row r="413" customFormat="false" ht="15.75" hidden="false" customHeight="false" outlineLevel="0" collapsed="false">
      <c r="R413" s="3"/>
      <c r="S413" s="3"/>
      <c r="T413" s="3"/>
      <c r="V413" s="3"/>
      <c r="W413" s="3"/>
      <c r="X413" s="3"/>
    </row>
    <row r="414" customFormat="false" ht="15.75" hidden="false" customHeight="false" outlineLevel="0" collapsed="false">
      <c r="R414" s="3"/>
      <c r="S414" s="3"/>
      <c r="T414" s="3"/>
      <c r="V414" s="3"/>
      <c r="W414" s="3"/>
      <c r="X414" s="3"/>
    </row>
    <row r="415" customFormat="false" ht="15.75" hidden="false" customHeight="false" outlineLevel="0" collapsed="false">
      <c r="R415" s="3"/>
      <c r="S415" s="3"/>
      <c r="T415" s="3"/>
      <c r="V415" s="3"/>
      <c r="W415" s="3"/>
      <c r="X415" s="3"/>
    </row>
    <row r="416" customFormat="false" ht="15.75" hidden="false" customHeight="false" outlineLevel="0" collapsed="false">
      <c r="R416" s="3"/>
      <c r="S416" s="3"/>
      <c r="T416" s="3"/>
      <c r="V416" s="3"/>
      <c r="W416" s="3"/>
      <c r="X416" s="3"/>
    </row>
    <row r="417" customFormat="false" ht="15.75" hidden="false" customHeight="false" outlineLevel="0" collapsed="false">
      <c r="R417" s="3"/>
      <c r="S417" s="3"/>
      <c r="T417" s="3"/>
      <c r="V417" s="3"/>
      <c r="W417" s="3"/>
      <c r="X417" s="3"/>
    </row>
    <row r="418" customFormat="false" ht="15.75" hidden="false" customHeight="false" outlineLevel="0" collapsed="false">
      <c r="R418" s="3"/>
      <c r="S418" s="3"/>
      <c r="T418" s="3"/>
      <c r="V418" s="3"/>
      <c r="W418" s="3"/>
      <c r="X418" s="3"/>
    </row>
    <row r="419" customFormat="false" ht="15.75" hidden="false" customHeight="false" outlineLevel="0" collapsed="false">
      <c r="R419" s="3"/>
      <c r="S419" s="3"/>
      <c r="T419" s="3"/>
      <c r="V419" s="3"/>
      <c r="W419" s="3"/>
      <c r="X419" s="3"/>
    </row>
    <row r="420" customFormat="false" ht="15.75" hidden="false" customHeight="false" outlineLevel="0" collapsed="false">
      <c r="R420" s="3"/>
      <c r="S420" s="3"/>
      <c r="T420" s="3"/>
      <c r="V420" s="3"/>
      <c r="W420" s="3"/>
      <c r="X420" s="3"/>
    </row>
    <row r="421" customFormat="false" ht="15.75" hidden="false" customHeight="false" outlineLevel="0" collapsed="false">
      <c r="R421" s="3"/>
      <c r="S421" s="3"/>
      <c r="T421" s="3"/>
      <c r="V421" s="3"/>
      <c r="W421" s="3"/>
      <c r="X421" s="3"/>
    </row>
    <row r="422" customFormat="false" ht="15.75" hidden="false" customHeight="false" outlineLevel="0" collapsed="false">
      <c r="R422" s="3"/>
      <c r="S422" s="3"/>
      <c r="T422" s="3"/>
      <c r="V422" s="3"/>
      <c r="W422" s="3"/>
      <c r="X422" s="3"/>
    </row>
    <row r="423" customFormat="false" ht="15.75" hidden="false" customHeight="false" outlineLevel="0" collapsed="false">
      <c r="R423" s="3"/>
      <c r="S423" s="3"/>
      <c r="T423" s="3"/>
      <c r="V423" s="3"/>
      <c r="W423" s="3"/>
      <c r="X423" s="3"/>
    </row>
    <row r="424" customFormat="false" ht="15.75" hidden="false" customHeight="false" outlineLevel="0" collapsed="false">
      <c r="R424" s="3"/>
      <c r="S424" s="3"/>
      <c r="T424" s="3"/>
      <c r="V424" s="3"/>
      <c r="W424" s="3"/>
      <c r="X424" s="3"/>
    </row>
    <row r="425" customFormat="false" ht="15.75" hidden="false" customHeight="false" outlineLevel="0" collapsed="false">
      <c r="R425" s="3"/>
      <c r="S425" s="3"/>
      <c r="T425" s="3"/>
      <c r="V425" s="3"/>
      <c r="W425" s="3"/>
      <c r="X425" s="3"/>
    </row>
    <row r="426" customFormat="false" ht="15.75" hidden="false" customHeight="false" outlineLevel="0" collapsed="false">
      <c r="R426" s="3"/>
      <c r="S426" s="3"/>
      <c r="T426" s="3"/>
      <c r="V426" s="3"/>
      <c r="W426" s="3"/>
      <c r="X426" s="3"/>
    </row>
    <row r="427" customFormat="false" ht="15.75" hidden="false" customHeight="false" outlineLevel="0" collapsed="false">
      <c r="R427" s="3"/>
      <c r="S427" s="3"/>
      <c r="T427" s="3"/>
      <c r="V427" s="3"/>
      <c r="W427" s="3"/>
      <c r="X427" s="3"/>
    </row>
    <row r="428" customFormat="false" ht="15.75" hidden="false" customHeight="false" outlineLevel="0" collapsed="false">
      <c r="R428" s="3"/>
      <c r="S428" s="3"/>
      <c r="T428" s="3"/>
      <c r="V428" s="3"/>
      <c r="W428" s="3"/>
      <c r="X428" s="3"/>
    </row>
    <row r="429" customFormat="false" ht="15.75" hidden="false" customHeight="false" outlineLevel="0" collapsed="false">
      <c r="R429" s="3"/>
      <c r="S429" s="3"/>
      <c r="T429" s="3"/>
      <c r="V429" s="3"/>
      <c r="W429" s="3"/>
      <c r="X429" s="3"/>
    </row>
    <row r="430" customFormat="false" ht="15.75" hidden="false" customHeight="false" outlineLevel="0" collapsed="false">
      <c r="R430" s="3"/>
      <c r="S430" s="3"/>
      <c r="T430" s="3"/>
      <c r="V430" s="3"/>
      <c r="W430" s="3"/>
      <c r="X430" s="3"/>
    </row>
    <row r="431" customFormat="false" ht="15.75" hidden="false" customHeight="false" outlineLevel="0" collapsed="false">
      <c r="R431" s="3"/>
      <c r="S431" s="3"/>
      <c r="T431" s="3"/>
      <c r="V431" s="3"/>
      <c r="W431" s="3"/>
      <c r="X431" s="3"/>
    </row>
    <row r="432" customFormat="false" ht="15.75" hidden="false" customHeight="false" outlineLevel="0" collapsed="false">
      <c r="R432" s="3"/>
      <c r="S432" s="3"/>
      <c r="T432" s="3"/>
      <c r="V432" s="3"/>
      <c r="W432" s="3"/>
      <c r="X432" s="3"/>
    </row>
    <row r="433" customFormat="false" ht="15.75" hidden="false" customHeight="false" outlineLevel="0" collapsed="false">
      <c r="R433" s="3"/>
      <c r="S433" s="3"/>
      <c r="T433" s="3"/>
      <c r="V433" s="3"/>
      <c r="W433" s="3"/>
      <c r="X433" s="3"/>
    </row>
    <row r="434" customFormat="false" ht="15.75" hidden="false" customHeight="false" outlineLevel="0" collapsed="false">
      <c r="R434" s="3"/>
      <c r="S434" s="3"/>
      <c r="T434" s="3"/>
      <c r="V434" s="3"/>
      <c r="W434" s="3"/>
      <c r="X434" s="3"/>
    </row>
    <row r="435" customFormat="false" ht="15.75" hidden="false" customHeight="false" outlineLevel="0" collapsed="false">
      <c r="R435" s="3"/>
      <c r="S435" s="3"/>
      <c r="T435" s="3"/>
      <c r="V435" s="3"/>
      <c r="W435" s="3"/>
      <c r="X435" s="3"/>
    </row>
    <row r="436" customFormat="false" ht="15.75" hidden="false" customHeight="false" outlineLevel="0" collapsed="false">
      <c r="R436" s="3"/>
      <c r="S436" s="3"/>
      <c r="T436" s="3"/>
      <c r="V436" s="3"/>
      <c r="W436" s="3"/>
      <c r="X436" s="3"/>
    </row>
    <row r="437" customFormat="false" ht="15.75" hidden="false" customHeight="false" outlineLevel="0" collapsed="false">
      <c r="R437" s="3"/>
      <c r="S437" s="3"/>
      <c r="T437" s="3"/>
      <c r="V437" s="3"/>
      <c r="W437" s="3"/>
      <c r="X437" s="3"/>
    </row>
    <row r="438" customFormat="false" ht="15.75" hidden="false" customHeight="false" outlineLevel="0" collapsed="false">
      <c r="R438" s="3"/>
      <c r="S438" s="3"/>
      <c r="T438" s="3"/>
      <c r="V438" s="3"/>
      <c r="W438" s="3"/>
      <c r="X438" s="3"/>
    </row>
    <row r="439" customFormat="false" ht="15.75" hidden="false" customHeight="false" outlineLevel="0" collapsed="false">
      <c r="R439" s="3"/>
      <c r="S439" s="3"/>
      <c r="T439" s="3"/>
      <c r="V439" s="3"/>
      <c r="W439" s="3"/>
      <c r="X439" s="3"/>
    </row>
    <row r="440" customFormat="false" ht="15.75" hidden="false" customHeight="false" outlineLevel="0" collapsed="false">
      <c r="R440" s="3"/>
      <c r="S440" s="3"/>
      <c r="T440" s="3"/>
      <c r="V440" s="3"/>
      <c r="W440" s="3"/>
      <c r="X440" s="3"/>
    </row>
    <row r="441" customFormat="false" ht="15.75" hidden="false" customHeight="false" outlineLevel="0" collapsed="false">
      <c r="R441" s="3"/>
      <c r="S441" s="3"/>
      <c r="T441" s="3"/>
      <c r="V441" s="3"/>
      <c r="W441" s="3"/>
      <c r="X441" s="3"/>
    </row>
    <row r="442" customFormat="false" ht="15.75" hidden="false" customHeight="false" outlineLevel="0" collapsed="false">
      <c r="R442" s="3"/>
      <c r="S442" s="3"/>
      <c r="T442" s="3"/>
      <c r="V442" s="3"/>
      <c r="W442" s="3"/>
      <c r="X442" s="3"/>
    </row>
    <row r="443" customFormat="false" ht="15.75" hidden="false" customHeight="false" outlineLevel="0" collapsed="false">
      <c r="R443" s="3"/>
      <c r="S443" s="3"/>
      <c r="T443" s="3"/>
      <c r="V443" s="3"/>
      <c r="W443" s="3"/>
      <c r="X443" s="3"/>
    </row>
    <row r="444" customFormat="false" ht="15.75" hidden="false" customHeight="false" outlineLevel="0" collapsed="false">
      <c r="R444" s="3"/>
      <c r="S444" s="3"/>
      <c r="T444" s="3"/>
      <c r="V444" s="3"/>
      <c r="W444" s="3"/>
      <c r="X444" s="3"/>
    </row>
    <row r="445" customFormat="false" ht="15.75" hidden="false" customHeight="false" outlineLevel="0" collapsed="false">
      <c r="R445" s="3"/>
      <c r="S445" s="3"/>
      <c r="T445" s="3"/>
      <c r="V445" s="3"/>
      <c r="W445" s="3"/>
      <c r="X445" s="3"/>
    </row>
    <row r="446" customFormat="false" ht="15.75" hidden="false" customHeight="false" outlineLevel="0" collapsed="false">
      <c r="R446" s="3"/>
      <c r="S446" s="3"/>
      <c r="T446" s="3"/>
      <c r="V446" s="3"/>
      <c r="W446" s="3"/>
      <c r="X446" s="3"/>
    </row>
    <row r="447" customFormat="false" ht="15.75" hidden="false" customHeight="false" outlineLevel="0" collapsed="false">
      <c r="R447" s="3"/>
      <c r="S447" s="3"/>
      <c r="T447" s="3"/>
      <c r="V447" s="3"/>
      <c r="W447" s="3"/>
      <c r="X447" s="3"/>
    </row>
    <row r="448" customFormat="false" ht="15.75" hidden="false" customHeight="false" outlineLevel="0" collapsed="false">
      <c r="R448" s="3"/>
      <c r="S448" s="3"/>
      <c r="T448" s="3"/>
      <c r="V448" s="3"/>
      <c r="W448" s="3"/>
      <c r="X448" s="3"/>
    </row>
    <row r="449" customFormat="false" ht="15.75" hidden="false" customHeight="false" outlineLevel="0" collapsed="false">
      <c r="R449" s="3"/>
      <c r="S449" s="3"/>
      <c r="T449" s="3"/>
      <c r="V449" s="3"/>
      <c r="W449" s="3"/>
      <c r="X449" s="3"/>
    </row>
    <row r="450" customFormat="false" ht="15.75" hidden="false" customHeight="false" outlineLevel="0" collapsed="false">
      <c r="R450" s="3"/>
      <c r="S450" s="3"/>
      <c r="T450" s="3"/>
      <c r="V450" s="3"/>
      <c r="W450" s="3"/>
      <c r="X450" s="3"/>
    </row>
    <row r="451" customFormat="false" ht="15.75" hidden="false" customHeight="false" outlineLevel="0" collapsed="false">
      <c r="R451" s="3"/>
      <c r="S451" s="3"/>
      <c r="T451" s="3"/>
      <c r="V451" s="3"/>
      <c r="W451" s="3"/>
      <c r="X451" s="3"/>
    </row>
    <row r="452" customFormat="false" ht="15.75" hidden="false" customHeight="false" outlineLevel="0" collapsed="false">
      <c r="R452" s="3"/>
      <c r="S452" s="3"/>
      <c r="T452" s="3"/>
      <c r="V452" s="3"/>
      <c r="W452" s="3"/>
      <c r="X452" s="3"/>
    </row>
    <row r="453" customFormat="false" ht="15.75" hidden="false" customHeight="false" outlineLevel="0" collapsed="false">
      <c r="R453" s="3"/>
      <c r="S453" s="3"/>
      <c r="T453" s="3"/>
      <c r="V453" s="3"/>
      <c r="W453" s="3"/>
      <c r="X453" s="3"/>
    </row>
    <row r="454" customFormat="false" ht="15.75" hidden="false" customHeight="false" outlineLevel="0" collapsed="false">
      <c r="R454" s="3"/>
      <c r="S454" s="3"/>
      <c r="T454" s="3"/>
      <c r="V454" s="3"/>
      <c r="W454" s="3"/>
      <c r="X454" s="3"/>
    </row>
    <row r="455" customFormat="false" ht="15.75" hidden="false" customHeight="false" outlineLevel="0" collapsed="false">
      <c r="R455" s="3"/>
      <c r="S455" s="3"/>
      <c r="T455" s="3"/>
      <c r="V455" s="3"/>
      <c r="W455" s="3"/>
      <c r="X455" s="3"/>
    </row>
    <row r="456" customFormat="false" ht="15.75" hidden="false" customHeight="false" outlineLevel="0" collapsed="false">
      <c r="R456" s="3"/>
      <c r="S456" s="3"/>
      <c r="T456" s="3"/>
      <c r="V456" s="3"/>
      <c r="W456" s="3"/>
      <c r="X456" s="3"/>
    </row>
    <row r="457" customFormat="false" ht="15.75" hidden="false" customHeight="false" outlineLevel="0" collapsed="false">
      <c r="R457" s="3"/>
      <c r="S457" s="3"/>
      <c r="T457" s="3"/>
      <c r="V457" s="3"/>
      <c r="W457" s="3"/>
      <c r="X457" s="3"/>
    </row>
    <row r="458" customFormat="false" ht="15.75" hidden="false" customHeight="false" outlineLevel="0" collapsed="false">
      <c r="R458" s="3"/>
      <c r="S458" s="3"/>
      <c r="T458" s="3"/>
      <c r="V458" s="3"/>
      <c r="W458" s="3"/>
      <c r="X458" s="3"/>
    </row>
    <row r="459" customFormat="false" ht="15.75" hidden="false" customHeight="false" outlineLevel="0" collapsed="false">
      <c r="R459" s="3"/>
      <c r="S459" s="3"/>
      <c r="T459" s="3"/>
      <c r="V459" s="3"/>
      <c r="W459" s="3"/>
      <c r="X459" s="3"/>
    </row>
    <row r="460" customFormat="false" ht="15.75" hidden="false" customHeight="false" outlineLevel="0" collapsed="false">
      <c r="R460" s="3"/>
      <c r="S460" s="3"/>
      <c r="T460" s="3"/>
      <c r="V460" s="3"/>
      <c r="W460" s="3"/>
      <c r="X460" s="3"/>
    </row>
    <row r="461" customFormat="false" ht="15.75" hidden="false" customHeight="false" outlineLevel="0" collapsed="false">
      <c r="R461" s="3"/>
      <c r="S461" s="3"/>
      <c r="T461" s="3"/>
      <c r="V461" s="3"/>
      <c r="W461" s="3"/>
      <c r="X461" s="3"/>
    </row>
    <row r="462" customFormat="false" ht="15.75" hidden="false" customHeight="false" outlineLevel="0" collapsed="false">
      <c r="R462" s="3"/>
      <c r="S462" s="3"/>
      <c r="T462" s="3"/>
      <c r="V462" s="3"/>
      <c r="W462" s="3"/>
      <c r="X462" s="3"/>
    </row>
    <row r="463" customFormat="false" ht="15.75" hidden="false" customHeight="false" outlineLevel="0" collapsed="false">
      <c r="R463" s="3"/>
      <c r="S463" s="3"/>
      <c r="T463" s="3"/>
      <c r="V463" s="3"/>
      <c r="W463" s="3"/>
      <c r="X463" s="3"/>
    </row>
    <row r="464" customFormat="false" ht="15.75" hidden="false" customHeight="false" outlineLevel="0" collapsed="false">
      <c r="R464" s="3"/>
      <c r="S464" s="3"/>
      <c r="T464" s="3"/>
      <c r="V464" s="3"/>
      <c r="W464" s="3"/>
      <c r="X464" s="3"/>
    </row>
    <row r="465" customFormat="false" ht="15.75" hidden="false" customHeight="false" outlineLevel="0" collapsed="false">
      <c r="R465" s="3"/>
      <c r="S465" s="3"/>
      <c r="T465" s="3"/>
      <c r="V465" s="3"/>
      <c r="W465" s="3"/>
      <c r="X465" s="3"/>
    </row>
    <row r="466" customFormat="false" ht="15.75" hidden="false" customHeight="false" outlineLevel="0" collapsed="false">
      <c r="R466" s="3"/>
      <c r="S466" s="3"/>
      <c r="T466" s="3"/>
      <c r="V466" s="3"/>
      <c r="W466" s="3"/>
      <c r="X466" s="3"/>
    </row>
    <row r="467" customFormat="false" ht="15.75" hidden="false" customHeight="false" outlineLevel="0" collapsed="false">
      <c r="R467" s="3"/>
      <c r="S467" s="3"/>
      <c r="T467" s="3"/>
      <c r="V467" s="3"/>
      <c r="W467" s="3"/>
      <c r="X467" s="3"/>
    </row>
    <row r="468" customFormat="false" ht="15.75" hidden="false" customHeight="false" outlineLevel="0" collapsed="false">
      <c r="R468" s="3"/>
      <c r="S468" s="3"/>
      <c r="T468" s="3"/>
      <c r="V468" s="3"/>
      <c r="W468" s="3"/>
      <c r="X468" s="3"/>
    </row>
    <row r="469" customFormat="false" ht="15.75" hidden="false" customHeight="false" outlineLevel="0" collapsed="false">
      <c r="R469" s="3"/>
      <c r="S469" s="3"/>
      <c r="T469" s="3"/>
      <c r="V469" s="3"/>
      <c r="W469" s="3"/>
      <c r="X469" s="3"/>
    </row>
    <row r="470" customFormat="false" ht="15.75" hidden="false" customHeight="false" outlineLevel="0" collapsed="false">
      <c r="R470" s="3"/>
      <c r="S470" s="3"/>
      <c r="T470" s="3"/>
      <c r="V470" s="3"/>
      <c r="W470" s="3"/>
      <c r="X470" s="3"/>
    </row>
    <row r="471" customFormat="false" ht="15.75" hidden="false" customHeight="false" outlineLevel="0" collapsed="false">
      <c r="R471" s="3"/>
      <c r="S471" s="3"/>
      <c r="T471" s="3"/>
      <c r="V471" s="3"/>
      <c r="W471" s="3"/>
      <c r="X471" s="3"/>
    </row>
    <row r="472" customFormat="false" ht="15.75" hidden="false" customHeight="false" outlineLevel="0" collapsed="false">
      <c r="R472" s="3"/>
      <c r="S472" s="3"/>
      <c r="T472" s="3"/>
      <c r="V472" s="3"/>
      <c r="W472" s="3"/>
      <c r="X472" s="3"/>
    </row>
    <row r="473" customFormat="false" ht="15.75" hidden="false" customHeight="false" outlineLevel="0" collapsed="false">
      <c r="R473" s="3"/>
      <c r="S473" s="3"/>
      <c r="T473" s="3"/>
      <c r="V473" s="3"/>
      <c r="W473" s="3"/>
      <c r="X473" s="3"/>
    </row>
    <row r="474" customFormat="false" ht="15.75" hidden="false" customHeight="false" outlineLevel="0" collapsed="false">
      <c r="R474" s="3"/>
      <c r="S474" s="3"/>
      <c r="T474" s="3"/>
      <c r="V474" s="3"/>
      <c r="W474" s="3"/>
      <c r="X474" s="3"/>
    </row>
    <row r="475" customFormat="false" ht="15.75" hidden="false" customHeight="false" outlineLevel="0" collapsed="false">
      <c r="R475" s="3"/>
      <c r="S475" s="3"/>
      <c r="T475" s="3"/>
      <c r="V475" s="3"/>
      <c r="W475" s="3"/>
      <c r="X475" s="3"/>
    </row>
    <row r="476" customFormat="false" ht="15.75" hidden="false" customHeight="false" outlineLevel="0" collapsed="false">
      <c r="R476" s="3"/>
      <c r="S476" s="3"/>
      <c r="T476" s="3"/>
      <c r="V476" s="3"/>
      <c r="W476" s="3"/>
      <c r="X476" s="3"/>
    </row>
    <row r="477" customFormat="false" ht="15.75" hidden="false" customHeight="false" outlineLevel="0" collapsed="false">
      <c r="R477" s="3"/>
      <c r="S477" s="3"/>
      <c r="T477" s="3"/>
      <c r="V477" s="3"/>
      <c r="W477" s="3"/>
      <c r="X477" s="3"/>
    </row>
    <row r="478" customFormat="false" ht="15.75" hidden="false" customHeight="false" outlineLevel="0" collapsed="false">
      <c r="R478" s="3"/>
      <c r="S478" s="3"/>
      <c r="T478" s="3"/>
      <c r="V478" s="3"/>
      <c r="W478" s="3"/>
      <c r="X478" s="3"/>
    </row>
    <row r="479" customFormat="false" ht="15.75" hidden="false" customHeight="false" outlineLevel="0" collapsed="false">
      <c r="R479" s="3"/>
      <c r="S479" s="3"/>
      <c r="T479" s="3"/>
      <c r="V479" s="3"/>
      <c r="W479" s="3"/>
      <c r="X479" s="3"/>
    </row>
    <row r="480" customFormat="false" ht="15.75" hidden="false" customHeight="false" outlineLevel="0" collapsed="false">
      <c r="R480" s="3"/>
      <c r="S480" s="3"/>
      <c r="T480" s="3"/>
      <c r="V480" s="3"/>
      <c r="W480" s="3"/>
      <c r="X480" s="3"/>
    </row>
    <row r="481" customFormat="false" ht="15.75" hidden="false" customHeight="false" outlineLevel="0" collapsed="false">
      <c r="R481" s="3"/>
      <c r="S481" s="3"/>
      <c r="T481" s="3"/>
      <c r="V481" s="3"/>
      <c r="W481" s="3"/>
      <c r="X481" s="3"/>
    </row>
    <row r="482" customFormat="false" ht="15.75" hidden="false" customHeight="false" outlineLevel="0" collapsed="false">
      <c r="R482" s="3"/>
      <c r="S482" s="3"/>
      <c r="T482" s="3"/>
      <c r="V482" s="3"/>
      <c r="W482" s="3"/>
      <c r="X482" s="3"/>
    </row>
    <row r="483" customFormat="false" ht="15.75" hidden="false" customHeight="false" outlineLevel="0" collapsed="false">
      <c r="R483" s="3"/>
      <c r="S483" s="3"/>
      <c r="T483" s="3"/>
      <c r="V483" s="3"/>
      <c r="W483" s="3"/>
      <c r="X483" s="3"/>
    </row>
    <row r="484" customFormat="false" ht="15.75" hidden="false" customHeight="false" outlineLevel="0" collapsed="false">
      <c r="R484" s="3"/>
      <c r="S484" s="3"/>
      <c r="T484" s="3"/>
      <c r="V484" s="3"/>
      <c r="W484" s="3"/>
      <c r="X484" s="3"/>
    </row>
    <row r="485" customFormat="false" ht="15.75" hidden="false" customHeight="false" outlineLevel="0" collapsed="false">
      <c r="R485" s="3"/>
      <c r="S485" s="3"/>
      <c r="T485" s="3"/>
      <c r="V485" s="3"/>
      <c r="W485" s="3"/>
      <c r="X485" s="3"/>
    </row>
    <row r="486" customFormat="false" ht="15.75" hidden="false" customHeight="false" outlineLevel="0" collapsed="false">
      <c r="R486" s="3"/>
      <c r="S486" s="3"/>
      <c r="T486" s="3"/>
      <c r="V486" s="3"/>
      <c r="W486" s="3"/>
      <c r="X486" s="3"/>
    </row>
    <row r="487" customFormat="false" ht="15.75" hidden="false" customHeight="false" outlineLevel="0" collapsed="false">
      <c r="R487" s="3"/>
      <c r="S487" s="3"/>
      <c r="T487" s="3"/>
      <c r="V487" s="3"/>
      <c r="W487" s="3"/>
      <c r="X487" s="3"/>
    </row>
    <row r="488" customFormat="false" ht="15.75" hidden="false" customHeight="false" outlineLevel="0" collapsed="false">
      <c r="R488" s="3"/>
      <c r="S488" s="3"/>
      <c r="T488" s="3"/>
      <c r="V488" s="3"/>
      <c r="W488" s="3"/>
      <c r="X488" s="3"/>
    </row>
    <row r="489" customFormat="false" ht="15.75" hidden="false" customHeight="false" outlineLevel="0" collapsed="false">
      <c r="R489" s="3"/>
      <c r="S489" s="3"/>
      <c r="T489" s="3"/>
      <c r="V489" s="3"/>
      <c r="W489" s="3"/>
      <c r="X489" s="3"/>
    </row>
    <row r="490" customFormat="false" ht="15.75" hidden="false" customHeight="false" outlineLevel="0" collapsed="false">
      <c r="R490" s="3"/>
      <c r="S490" s="3"/>
      <c r="T490" s="3"/>
      <c r="V490" s="3"/>
      <c r="W490" s="3"/>
      <c r="X490" s="3"/>
    </row>
    <row r="491" customFormat="false" ht="15.75" hidden="false" customHeight="false" outlineLevel="0" collapsed="false">
      <c r="R491" s="3"/>
      <c r="S491" s="3"/>
      <c r="T491" s="3"/>
      <c r="V491" s="3"/>
      <c r="W491" s="3"/>
      <c r="X491" s="3"/>
    </row>
    <row r="492" customFormat="false" ht="15.75" hidden="false" customHeight="false" outlineLevel="0" collapsed="false">
      <c r="R492" s="3"/>
      <c r="S492" s="3"/>
      <c r="T492" s="3"/>
      <c r="V492" s="3"/>
      <c r="W492" s="3"/>
      <c r="X492" s="3"/>
    </row>
    <row r="493" customFormat="false" ht="15.75" hidden="false" customHeight="false" outlineLevel="0" collapsed="false">
      <c r="R493" s="3"/>
      <c r="S493" s="3"/>
      <c r="T493" s="3"/>
      <c r="V493" s="3"/>
      <c r="W493" s="3"/>
      <c r="X493" s="3"/>
    </row>
    <row r="494" customFormat="false" ht="15.75" hidden="false" customHeight="false" outlineLevel="0" collapsed="false">
      <c r="R494" s="3"/>
      <c r="S494" s="3"/>
      <c r="T494" s="3"/>
      <c r="V494" s="3"/>
      <c r="W494" s="3"/>
      <c r="X494" s="3"/>
    </row>
    <row r="495" customFormat="false" ht="15.75" hidden="false" customHeight="false" outlineLevel="0" collapsed="false">
      <c r="R495" s="3"/>
      <c r="S495" s="3"/>
      <c r="T495" s="3"/>
      <c r="V495" s="3"/>
      <c r="W495" s="3"/>
      <c r="X495" s="3"/>
    </row>
    <row r="496" customFormat="false" ht="15.75" hidden="false" customHeight="false" outlineLevel="0" collapsed="false">
      <c r="R496" s="3"/>
      <c r="S496" s="3"/>
      <c r="T496" s="3"/>
      <c r="V496" s="3"/>
      <c r="W496" s="3"/>
      <c r="X496" s="3"/>
    </row>
    <row r="497" customFormat="false" ht="15.75" hidden="false" customHeight="false" outlineLevel="0" collapsed="false">
      <c r="R497" s="3"/>
      <c r="S497" s="3"/>
      <c r="T497" s="3"/>
      <c r="V497" s="3"/>
      <c r="W497" s="3"/>
      <c r="X497" s="3"/>
    </row>
    <row r="498" customFormat="false" ht="15.75" hidden="false" customHeight="false" outlineLevel="0" collapsed="false">
      <c r="R498" s="3"/>
      <c r="S498" s="3"/>
      <c r="T498" s="3"/>
      <c r="V498" s="3"/>
      <c r="W498" s="3"/>
      <c r="X498" s="3"/>
    </row>
    <row r="499" customFormat="false" ht="15.75" hidden="false" customHeight="false" outlineLevel="0" collapsed="false">
      <c r="R499" s="3"/>
      <c r="S499" s="3"/>
      <c r="T499" s="3"/>
      <c r="V499" s="3"/>
      <c r="W499" s="3"/>
      <c r="X499" s="3"/>
    </row>
    <row r="500" customFormat="false" ht="15.75" hidden="false" customHeight="false" outlineLevel="0" collapsed="false">
      <c r="R500" s="3"/>
      <c r="S500" s="3"/>
      <c r="T500" s="3"/>
      <c r="V500" s="3"/>
      <c r="W500" s="3"/>
      <c r="X500" s="3"/>
    </row>
    <row r="501" customFormat="false" ht="15.75" hidden="false" customHeight="false" outlineLevel="0" collapsed="false">
      <c r="R501" s="3"/>
      <c r="S501" s="3"/>
      <c r="T501" s="3"/>
      <c r="V501" s="3"/>
      <c r="W501" s="3"/>
      <c r="X501" s="3"/>
    </row>
    <row r="502" customFormat="false" ht="15.75" hidden="false" customHeight="false" outlineLevel="0" collapsed="false">
      <c r="R502" s="3"/>
      <c r="S502" s="3"/>
      <c r="T502" s="3"/>
      <c r="V502" s="3"/>
      <c r="W502" s="3"/>
      <c r="X502" s="3"/>
    </row>
    <row r="503" customFormat="false" ht="15.75" hidden="false" customHeight="false" outlineLevel="0" collapsed="false">
      <c r="R503" s="3"/>
      <c r="S503" s="3"/>
      <c r="T503" s="3"/>
      <c r="V503" s="3"/>
      <c r="W503" s="3"/>
      <c r="X503" s="3"/>
    </row>
    <row r="504" customFormat="false" ht="15.75" hidden="false" customHeight="false" outlineLevel="0" collapsed="false">
      <c r="R504" s="3"/>
      <c r="S504" s="3"/>
      <c r="T504" s="3"/>
      <c r="V504" s="3"/>
      <c r="W504" s="3"/>
      <c r="X504" s="3"/>
    </row>
    <row r="505" customFormat="false" ht="15.75" hidden="false" customHeight="false" outlineLevel="0" collapsed="false">
      <c r="R505" s="3"/>
      <c r="S505" s="3"/>
      <c r="T505" s="3"/>
      <c r="V505" s="3"/>
      <c r="W505" s="3"/>
      <c r="X505" s="3"/>
    </row>
    <row r="506" customFormat="false" ht="15.75" hidden="false" customHeight="false" outlineLevel="0" collapsed="false">
      <c r="R506" s="3"/>
      <c r="S506" s="3"/>
      <c r="T506" s="3"/>
      <c r="V506" s="3"/>
      <c r="W506" s="3"/>
      <c r="X506" s="3"/>
    </row>
    <row r="507" customFormat="false" ht="15.75" hidden="false" customHeight="false" outlineLevel="0" collapsed="false">
      <c r="R507" s="3"/>
      <c r="S507" s="3"/>
      <c r="T507" s="3"/>
      <c r="V507" s="3"/>
      <c r="W507" s="3"/>
      <c r="X507" s="3"/>
    </row>
    <row r="508" customFormat="false" ht="15.75" hidden="false" customHeight="false" outlineLevel="0" collapsed="false">
      <c r="R508" s="3"/>
      <c r="S508" s="3"/>
      <c r="T508" s="3"/>
      <c r="V508" s="3"/>
      <c r="W508" s="3"/>
      <c r="X508" s="3"/>
    </row>
    <row r="509" customFormat="false" ht="15.75" hidden="false" customHeight="false" outlineLevel="0" collapsed="false">
      <c r="R509" s="3"/>
      <c r="S509" s="3"/>
      <c r="T509" s="3"/>
      <c r="V509" s="3"/>
      <c r="W509" s="3"/>
      <c r="X509" s="3"/>
    </row>
    <row r="510" customFormat="false" ht="15.75" hidden="false" customHeight="false" outlineLevel="0" collapsed="false">
      <c r="R510" s="3"/>
      <c r="S510" s="3"/>
      <c r="T510" s="3"/>
      <c r="V510" s="3"/>
      <c r="W510" s="3"/>
      <c r="X510" s="3"/>
    </row>
    <row r="511" customFormat="false" ht="15.75" hidden="false" customHeight="false" outlineLevel="0" collapsed="false">
      <c r="R511" s="3"/>
      <c r="S511" s="3"/>
      <c r="T511" s="3"/>
      <c r="V511" s="3"/>
      <c r="W511" s="3"/>
      <c r="X511" s="3"/>
    </row>
    <row r="512" customFormat="false" ht="15.75" hidden="false" customHeight="false" outlineLevel="0" collapsed="false">
      <c r="R512" s="3"/>
      <c r="S512" s="3"/>
      <c r="T512" s="3"/>
      <c r="V512" s="3"/>
      <c r="W512" s="3"/>
      <c r="X512" s="3"/>
    </row>
    <row r="513" customFormat="false" ht="15.75" hidden="false" customHeight="false" outlineLevel="0" collapsed="false">
      <c r="R513" s="3"/>
      <c r="S513" s="3"/>
      <c r="T513" s="3"/>
      <c r="V513" s="3"/>
      <c r="W513" s="3"/>
      <c r="X513" s="3"/>
    </row>
    <row r="514" customFormat="false" ht="15.75" hidden="false" customHeight="false" outlineLevel="0" collapsed="false">
      <c r="R514" s="3"/>
      <c r="S514" s="3"/>
      <c r="T514" s="3"/>
      <c r="V514" s="3"/>
      <c r="W514" s="3"/>
      <c r="X514" s="3"/>
    </row>
    <row r="515" customFormat="false" ht="15.75" hidden="false" customHeight="false" outlineLevel="0" collapsed="false">
      <c r="R515" s="3"/>
      <c r="S515" s="3"/>
      <c r="T515" s="3"/>
      <c r="V515" s="3"/>
      <c r="W515" s="3"/>
      <c r="X515" s="3"/>
    </row>
    <row r="516" customFormat="false" ht="15.75" hidden="false" customHeight="false" outlineLevel="0" collapsed="false">
      <c r="R516" s="3"/>
      <c r="S516" s="3"/>
      <c r="T516" s="3"/>
      <c r="V516" s="3"/>
      <c r="W516" s="3"/>
      <c r="X516" s="3"/>
    </row>
    <row r="517" customFormat="false" ht="15.75" hidden="false" customHeight="false" outlineLevel="0" collapsed="false">
      <c r="R517" s="3"/>
      <c r="S517" s="3"/>
      <c r="T517" s="3"/>
      <c r="V517" s="3"/>
      <c r="W517" s="3"/>
      <c r="X517" s="3"/>
    </row>
    <row r="518" customFormat="false" ht="15.75" hidden="false" customHeight="false" outlineLevel="0" collapsed="false">
      <c r="R518" s="3"/>
      <c r="S518" s="3"/>
      <c r="T518" s="3"/>
      <c r="V518" s="3"/>
      <c r="W518" s="3"/>
      <c r="X518" s="3"/>
    </row>
    <row r="519" customFormat="false" ht="15.75" hidden="false" customHeight="false" outlineLevel="0" collapsed="false">
      <c r="R519" s="3"/>
      <c r="S519" s="3"/>
      <c r="T519" s="3"/>
      <c r="V519" s="3"/>
      <c r="W519" s="3"/>
      <c r="X519" s="3"/>
    </row>
    <row r="520" customFormat="false" ht="15.75" hidden="false" customHeight="false" outlineLevel="0" collapsed="false">
      <c r="R520" s="3"/>
      <c r="S520" s="3"/>
      <c r="T520" s="3"/>
      <c r="V520" s="3"/>
      <c r="W520" s="3"/>
      <c r="X520" s="3"/>
    </row>
    <row r="521" customFormat="false" ht="15.75" hidden="false" customHeight="false" outlineLevel="0" collapsed="false">
      <c r="R521" s="3"/>
      <c r="S521" s="3"/>
      <c r="T521" s="3"/>
      <c r="V521" s="3"/>
      <c r="W521" s="3"/>
      <c r="X521" s="3"/>
    </row>
    <row r="522" customFormat="false" ht="15.75" hidden="false" customHeight="false" outlineLevel="0" collapsed="false">
      <c r="R522" s="3"/>
      <c r="S522" s="3"/>
      <c r="T522" s="3"/>
      <c r="V522" s="3"/>
      <c r="W522" s="3"/>
      <c r="X522" s="3"/>
    </row>
    <row r="523" customFormat="false" ht="15.75" hidden="false" customHeight="false" outlineLevel="0" collapsed="false">
      <c r="R523" s="3"/>
      <c r="S523" s="3"/>
      <c r="T523" s="3"/>
      <c r="V523" s="3"/>
      <c r="W523" s="3"/>
      <c r="X523" s="3"/>
    </row>
    <row r="524" customFormat="false" ht="15.75" hidden="false" customHeight="false" outlineLevel="0" collapsed="false">
      <c r="R524" s="3"/>
      <c r="S524" s="3"/>
      <c r="T524" s="3"/>
      <c r="V524" s="3"/>
      <c r="W524" s="3"/>
      <c r="X524" s="3"/>
    </row>
    <row r="525" customFormat="false" ht="15.75" hidden="false" customHeight="false" outlineLevel="0" collapsed="false">
      <c r="R525" s="3"/>
      <c r="S525" s="3"/>
      <c r="T525" s="3"/>
      <c r="V525" s="3"/>
      <c r="W525" s="3"/>
      <c r="X525" s="3"/>
    </row>
    <row r="526" customFormat="false" ht="15.75" hidden="false" customHeight="false" outlineLevel="0" collapsed="false">
      <c r="R526" s="3"/>
      <c r="S526" s="3"/>
      <c r="T526" s="3"/>
      <c r="V526" s="3"/>
      <c r="W526" s="3"/>
      <c r="X526" s="3"/>
    </row>
    <row r="527" customFormat="false" ht="15.75" hidden="false" customHeight="false" outlineLevel="0" collapsed="false">
      <c r="R527" s="3"/>
      <c r="S527" s="3"/>
      <c r="T527" s="3"/>
      <c r="V527" s="3"/>
      <c r="W527" s="3"/>
      <c r="X527" s="3"/>
    </row>
    <row r="528" customFormat="false" ht="15.75" hidden="false" customHeight="false" outlineLevel="0" collapsed="false">
      <c r="R528" s="3"/>
      <c r="S528" s="3"/>
      <c r="T528" s="3"/>
      <c r="V528" s="3"/>
      <c r="W528" s="3"/>
      <c r="X528" s="3"/>
    </row>
    <row r="529" customFormat="false" ht="15.75" hidden="false" customHeight="false" outlineLevel="0" collapsed="false">
      <c r="R529" s="3"/>
      <c r="S529" s="3"/>
      <c r="T529" s="3"/>
      <c r="V529" s="3"/>
      <c r="W529" s="3"/>
      <c r="X529" s="3"/>
    </row>
    <row r="530" customFormat="false" ht="15.75" hidden="false" customHeight="false" outlineLevel="0" collapsed="false">
      <c r="R530" s="3"/>
      <c r="S530" s="3"/>
      <c r="T530" s="3"/>
      <c r="V530" s="3"/>
      <c r="W530" s="3"/>
      <c r="X530" s="3"/>
    </row>
    <row r="531" customFormat="false" ht="15.75" hidden="false" customHeight="false" outlineLevel="0" collapsed="false">
      <c r="R531" s="3"/>
      <c r="S531" s="3"/>
      <c r="T531" s="3"/>
      <c r="V531" s="3"/>
      <c r="W531" s="3"/>
      <c r="X531" s="3"/>
    </row>
    <row r="532" customFormat="false" ht="15.75" hidden="false" customHeight="false" outlineLevel="0" collapsed="false">
      <c r="R532" s="3"/>
      <c r="S532" s="3"/>
      <c r="T532" s="3"/>
      <c r="V532" s="3"/>
      <c r="W532" s="3"/>
      <c r="X532" s="3"/>
    </row>
    <row r="533" customFormat="false" ht="15.75" hidden="false" customHeight="false" outlineLevel="0" collapsed="false">
      <c r="R533" s="3"/>
      <c r="S533" s="3"/>
      <c r="T533" s="3"/>
      <c r="V533" s="3"/>
      <c r="W533" s="3"/>
      <c r="X533" s="3"/>
    </row>
    <row r="534" customFormat="false" ht="15.75" hidden="false" customHeight="false" outlineLevel="0" collapsed="false">
      <c r="R534" s="3"/>
      <c r="S534" s="3"/>
      <c r="T534" s="3"/>
      <c r="V534" s="3"/>
      <c r="W534" s="3"/>
      <c r="X534" s="3"/>
    </row>
    <row r="535" customFormat="false" ht="15.75" hidden="false" customHeight="false" outlineLevel="0" collapsed="false">
      <c r="R535" s="3"/>
      <c r="S535" s="3"/>
      <c r="T535" s="3"/>
      <c r="V535" s="3"/>
      <c r="W535" s="3"/>
      <c r="X535" s="3"/>
    </row>
    <row r="536" customFormat="false" ht="15.75" hidden="false" customHeight="false" outlineLevel="0" collapsed="false">
      <c r="R536" s="3"/>
      <c r="S536" s="3"/>
      <c r="T536" s="3"/>
      <c r="V536" s="3"/>
      <c r="W536" s="3"/>
      <c r="X536" s="3"/>
    </row>
    <row r="537" customFormat="false" ht="15.75" hidden="false" customHeight="false" outlineLevel="0" collapsed="false">
      <c r="R537" s="3"/>
      <c r="S537" s="3"/>
      <c r="T537" s="3"/>
      <c r="V537" s="3"/>
      <c r="W537" s="3"/>
      <c r="X537" s="3"/>
    </row>
    <row r="538" customFormat="false" ht="15.75" hidden="false" customHeight="false" outlineLevel="0" collapsed="false">
      <c r="R538" s="3"/>
      <c r="S538" s="3"/>
      <c r="T538" s="3"/>
      <c r="V538" s="3"/>
      <c r="W538" s="3"/>
      <c r="X538" s="3"/>
    </row>
    <row r="539" customFormat="false" ht="15.75" hidden="false" customHeight="false" outlineLevel="0" collapsed="false">
      <c r="R539" s="3"/>
      <c r="S539" s="3"/>
      <c r="T539" s="3"/>
      <c r="V539" s="3"/>
      <c r="W539" s="3"/>
      <c r="X539" s="3"/>
    </row>
    <row r="540" customFormat="false" ht="15.75" hidden="false" customHeight="false" outlineLevel="0" collapsed="false">
      <c r="R540" s="3"/>
      <c r="S540" s="3"/>
      <c r="T540" s="3"/>
      <c r="V540" s="3"/>
      <c r="W540" s="3"/>
      <c r="X540" s="3"/>
    </row>
    <row r="541" customFormat="false" ht="15.75" hidden="false" customHeight="false" outlineLevel="0" collapsed="false">
      <c r="R541" s="3"/>
      <c r="S541" s="3"/>
      <c r="T541" s="3"/>
      <c r="V541" s="3"/>
      <c r="W541" s="3"/>
      <c r="X541" s="3"/>
    </row>
    <row r="542" customFormat="false" ht="15.75" hidden="false" customHeight="false" outlineLevel="0" collapsed="false">
      <c r="R542" s="3"/>
      <c r="S542" s="3"/>
      <c r="T542" s="3"/>
      <c r="V542" s="3"/>
      <c r="W542" s="3"/>
      <c r="X542" s="3"/>
    </row>
    <row r="543" customFormat="false" ht="15.75" hidden="false" customHeight="false" outlineLevel="0" collapsed="false">
      <c r="R543" s="3"/>
      <c r="S543" s="3"/>
      <c r="T543" s="3"/>
      <c r="V543" s="3"/>
      <c r="W543" s="3"/>
      <c r="X543" s="3"/>
    </row>
    <row r="544" customFormat="false" ht="15.75" hidden="false" customHeight="false" outlineLevel="0" collapsed="false">
      <c r="R544" s="3"/>
      <c r="S544" s="3"/>
      <c r="T544" s="3"/>
      <c r="V544" s="3"/>
      <c r="W544" s="3"/>
      <c r="X544" s="3"/>
    </row>
    <row r="545" customFormat="false" ht="15.75" hidden="false" customHeight="false" outlineLevel="0" collapsed="false">
      <c r="R545" s="3"/>
      <c r="S545" s="3"/>
      <c r="T545" s="3"/>
      <c r="V545" s="3"/>
      <c r="W545" s="3"/>
      <c r="X545" s="3"/>
    </row>
    <row r="546" customFormat="false" ht="15.75" hidden="false" customHeight="false" outlineLevel="0" collapsed="false">
      <c r="R546" s="3"/>
      <c r="S546" s="3"/>
      <c r="T546" s="3"/>
      <c r="V546" s="3"/>
      <c r="W546" s="3"/>
      <c r="X546" s="3"/>
    </row>
    <row r="547" customFormat="false" ht="15.75" hidden="false" customHeight="false" outlineLevel="0" collapsed="false">
      <c r="R547" s="3"/>
      <c r="S547" s="3"/>
      <c r="T547" s="3"/>
      <c r="V547" s="3"/>
      <c r="W547" s="3"/>
      <c r="X547" s="3"/>
    </row>
    <row r="548" customFormat="false" ht="15.75" hidden="false" customHeight="false" outlineLevel="0" collapsed="false">
      <c r="R548" s="3"/>
      <c r="S548" s="3"/>
      <c r="T548" s="3"/>
      <c r="V548" s="3"/>
      <c r="W548" s="3"/>
      <c r="X548" s="3"/>
    </row>
    <row r="549" customFormat="false" ht="15.75" hidden="false" customHeight="false" outlineLevel="0" collapsed="false">
      <c r="R549" s="3"/>
      <c r="S549" s="3"/>
      <c r="T549" s="3"/>
      <c r="V549" s="3"/>
      <c r="W549" s="3"/>
      <c r="X549" s="3"/>
    </row>
    <row r="550" customFormat="false" ht="15.75" hidden="false" customHeight="false" outlineLevel="0" collapsed="false">
      <c r="R550" s="3"/>
      <c r="S550" s="3"/>
      <c r="T550" s="3"/>
      <c r="V550" s="3"/>
      <c r="W550" s="3"/>
      <c r="X550" s="3"/>
    </row>
    <row r="551" customFormat="false" ht="15.75" hidden="false" customHeight="false" outlineLevel="0" collapsed="false">
      <c r="R551" s="3"/>
      <c r="S551" s="3"/>
      <c r="T551" s="3"/>
      <c r="V551" s="3"/>
      <c r="W551" s="3"/>
      <c r="X551" s="3"/>
    </row>
    <row r="552" customFormat="false" ht="15.75" hidden="false" customHeight="false" outlineLevel="0" collapsed="false">
      <c r="R552" s="3"/>
      <c r="S552" s="3"/>
      <c r="T552" s="3"/>
      <c r="V552" s="3"/>
      <c r="W552" s="3"/>
      <c r="X552" s="3"/>
    </row>
    <row r="553" customFormat="false" ht="15.75" hidden="false" customHeight="false" outlineLevel="0" collapsed="false">
      <c r="R553" s="3"/>
      <c r="S553" s="3"/>
      <c r="T553" s="3"/>
      <c r="V553" s="3"/>
      <c r="W553" s="3"/>
      <c r="X553" s="3"/>
    </row>
    <row r="554" customFormat="false" ht="15.75" hidden="false" customHeight="false" outlineLevel="0" collapsed="false">
      <c r="R554" s="3"/>
      <c r="S554" s="3"/>
      <c r="T554" s="3"/>
      <c r="V554" s="3"/>
      <c r="W554" s="3"/>
      <c r="X554" s="3"/>
    </row>
    <row r="555" customFormat="false" ht="15.75" hidden="false" customHeight="false" outlineLevel="0" collapsed="false">
      <c r="R555" s="3"/>
      <c r="S555" s="3"/>
      <c r="T555" s="3"/>
      <c r="V555" s="3"/>
      <c r="W555" s="3"/>
      <c r="X555" s="3"/>
    </row>
    <row r="556" customFormat="false" ht="15.75" hidden="false" customHeight="false" outlineLevel="0" collapsed="false">
      <c r="R556" s="3"/>
      <c r="S556" s="3"/>
      <c r="T556" s="3"/>
      <c r="V556" s="3"/>
      <c r="W556" s="3"/>
      <c r="X556" s="3"/>
    </row>
    <row r="557" customFormat="false" ht="15.75" hidden="false" customHeight="false" outlineLevel="0" collapsed="false">
      <c r="R557" s="3"/>
      <c r="S557" s="3"/>
      <c r="T557" s="3"/>
      <c r="V557" s="3"/>
      <c r="W557" s="3"/>
      <c r="X557" s="3"/>
    </row>
    <row r="558" customFormat="false" ht="15.75" hidden="false" customHeight="false" outlineLevel="0" collapsed="false">
      <c r="R558" s="3"/>
      <c r="S558" s="3"/>
      <c r="T558" s="3"/>
      <c r="V558" s="3"/>
      <c r="W558" s="3"/>
      <c r="X558" s="3"/>
    </row>
    <row r="559" customFormat="false" ht="15.75" hidden="false" customHeight="false" outlineLevel="0" collapsed="false">
      <c r="R559" s="3"/>
      <c r="S559" s="3"/>
      <c r="T559" s="3"/>
      <c r="V559" s="3"/>
      <c r="W559" s="3"/>
      <c r="X559" s="3"/>
    </row>
    <row r="560" customFormat="false" ht="15.75" hidden="false" customHeight="false" outlineLevel="0" collapsed="false">
      <c r="R560" s="3"/>
      <c r="S560" s="3"/>
      <c r="T560" s="3"/>
      <c r="V560" s="3"/>
      <c r="W560" s="3"/>
      <c r="X560" s="3"/>
    </row>
    <row r="561" customFormat="false" ht="15.75" hidden="false" customHeight="false" outlineLevel="0" collapsed="false">
      <c r="R561" s="3"/>
      <c r="S561" s="3"/>
      <c r="T561" s="3"/>
      <c r="V561" s="3"/>
      <c r="W561" s="3"/>
      <c r="X561" s="3"/>
    </row>
    <row r="562" customFormat="false" ht="15.75" hidden="false" customHeight="false" outlineLevel="0" collapsed="false">
      <c r="R562" s="3"/>
      <c r="S562" s="3"/>
      <c r="T562" s="3"/>
      <c r="V562" s="3"/>
      <c r="W562" s="3"/>
      <c r="X562" s="3"/>
    </row>
    <row r="563" customFormat="false" ht="15.75" hidden="false" customHeight="false" outlineLevel="0" collapsed="false">
      <c r="R563" s="3"/>
      <c r="S563" s="3"/>
      <c r="T563" s="3"/>
      <c r="V563" s="3"/>
      <c r="W563" s="3"/>
      <c r="X563" s="3"/>
    </row>
    <row r="564" customFormat="false" ht="15.75" hidden="false" customHeight="false" outlineLevel="0" collapsed="false">
      <c r="R564" s="3"/>
      <c r="S564" s="3"/>
      <c r="T564" s="3"/>
      <c r="V564" s="3"/>
      <c r="W564" s="3"/>
      <c r="X564" s="3"/>
    </row>
    <row r="565" customFormat="false" ht="15.75" hidden="false" customHeight="false" outlineLevel="0" collapsed="false">
      <c r="R565" s="3"/>
      <c r="S565" s="3"/>
      <c r="T565" s="3"/>
      <c r="V565" s="3"/>
      <c r="W565" s="3"/>
      <c r="X565" s="3"/>
    </row>
    <row r="566" customFormat="false" ht="15.75" hidden="false" customHeight="false" outlineLevel="0" collapsed="false">
      <c r="R566" s="3"/>
      <c r="S566" s="3"/>
      <c r="T566" s="3"/>
      <c r="V566" s="3"/>
      <c r="W566" s="3"/>
      <c r="X566" s="3"/>
    </row>
    <row r="567" customFormat="false" ht="15.75" hidden="false" customHeight="false" outlineLevel="0" collapsed="false">
      <c r="R567" s="3"/>
      <c r="S567" s="3"/>
      <c r="T567" s="3"/>
      <c r="V567" s="3"/>
      <c r="W567" s="3"/>
      <c r="X567" s="3"/>
    </row>
    <row r="568" customFormat="false" ht="15.75" hidden="false" customHeight="false" outlineLevel="0" collapsed="false">
      <c r="R568" s="3"/>
      <c r="S568" s="3"/>
      <c r="T568" s="3"/>
      <c r="V568" s="3"/>
      <c r="W568" s="3"/>
      <c r="X568" s="3"/>
    </row>
    <row r="569" customFormat="false" ht="15.75" hidden="false" customHeight="false" outlineLevel="0" collapsed="false">
      <c r="R569" s="3"/>
      <c r="S569" s="3"/>
      <c r="T569" s="3"/>
      <c r="V569" s="3"/>
      <c r="W569" s="3"/>
      <c r="X569" s="3"/>
    </row>
    <row r="570" customFormat="false" ht="15.75" hidden="false" customHeight="false" outlineLevel="0" collapsed="false">
      <c r="R570" s="3"/>
      <c r="S570" s="3"/>
      <c r="T570" s="3"/>
      <c r="V570" s="3"/>
      <c r="W570" s="3"/>
      <c r="X570" s="3"/>
    </row>
    <row r="571" customFormat="false" ht="15.75" hidden="false" customHeight="false" outlineLevel="0" collapsed="false">
      <c r="R571" s="3"/>
      <c r="S571" s="3"/>
      <c r="T571" s="3"/>
      <c r="V571" s="3"/>
      <c r="W571" s="3"/>
      <c r="X571" s="3"/>
    </row>
    <row r="572" customFormat="false" ht="15.75" hidden="false" customHeight="false" outlineLevel="0" collapsed="false">
      <c r="R572" s="3"/>
      <c r="S572" s="3"/>
      <c r="T572" s="3"/>
      <c r="V572" s="3"/>
      <c r="W572" s="3"/>
      <c r="X572" s="3"/>
    </row>
    <row r="573" customFormat="false" ht="15.75" hidden="false" customHeight="false" outlineLevel="0" collapsed="false">
      <c r="R573" s="3"/>
      <c r="S573" s="3"/>
      <c r="T573" s="3"/>
      <c r="V573" s="3"/>
      <c r="W573" s="3"/>
      <c r="X573" s="3"/>
    </row>
    <row r="574" customFormat="false" ht="15.75" hidden="false" customHeight="false" outlineLevel="0" collapsed="false">
      <c r="R574" s="3"/>
      <c r="S574" s="3"/>
      <c r="T574" s="3"/>
      <c r="V574" s="3"/>
      <c r="W574" s="3"/>
      <c r="X574" s="3"/>
    </row>
    <row r="575" customFormat="false" ht="15.75" hidden="false" customHeight="false" outlineLevel="0" collapsed="false">
      <c r="R575" s="3"/>
      <c r="S575" s="3"/>
      <c r="T575" s="3"/>
      <c r="V575" s="3"/>
      <c r="W575" s="3"/>
      <c r="X575" s="3"/>
    </row>
    <row r="576" customFormat="false" ht="15.75" hidden="false" customHeight="false" outlineLevel="0" collapsed="false">
      <c r="R576" s="3"/>
      <c r="S576" s="3"/>
      <c r="T576" s="3"/>
      <c r="V576" s="3"/>
      <c r="W576" s="3"/>
      <c r="X576" s="3"/>
    </row>
    <row r="577" customFormat="false" ht="15.75" hidden="false" customHeight="false" outlineLevel="0" collapsed="false">
      <c r="R577" s="3"/>
      <c r="S577" s="3"/>
      <c r="T577" s="3"/>
      <c r="V577" s="3"/>
      <c r="W577" s="3"/>
      <c r="X577" s="3"/>
    </row>
    <row r="578" customFormat="false" ht="15.75" hidden="false" customHeight="false" outlineLevel="0" collapsed="false">
      <c r="R578" s="3"/>
      <c r="S578" s="3"/>
      <c r="T578" s="3"/>
      <c r="V578" s="3"/>
      <c r="W578" s="3"/>
      <c r="X578" s="3"/>
    </row>
    <row r="579" customFormat="false" ht="15.75" hidden="false" customHeight="false" outlineLevel="0" collapsed="false">
      <c r="R579" s="3"/>
      <c r="S579" s="3"/>
      <c r="T579" s="3"/>
      <c r="V579" s="3"/>
      <c r="W579" s="3"/>
      <c r="X579" s="3"/>
    </row>
    <row r="580" customFormat="false" ht="15.75" hidden="false" customHeight="false" outlineLevel="0" collapsed="false">
      <c r="R580" s="3"/>
      <c r="S580" s="3"/>
      <c r="T580" s="3"/>
      <c r="V580" s="3"/>
      <c r="W580" s="3"/>
      <c r="X580" s="3"/>
    </row>
    <row r="581" customFormat="false" ht="15.75" hidden="false" customHeight="false" outlineLevel="0" collapsed="false">
      <c r="R581" s="3"/>
      <c r="S581" s="3"/>
      <c r="T581" s="3"/>
      <c r="V581" s="3"/>
      <c r="W581" s="3"/>
      <c r="X581" s="3"/>
    </row>
    <row r="582" customFormat="false" ht="15.75" hidden="false" customHeight="false" outlineLevel="0" collapsed="false">
      <c r="R582" s="3"/>
      <c r="S582" s="3"/>
      <c r="T582" s="3"/>
      <c r="V582" s="3"/>
      <c r="W582" s="3"/>
      <c r="X582" s="3"/>
    </row>
    <row r="583" customFormat="false" ht="15.75" hidden="false" customHeight="false" outlineLevel="0" collapsed="false">
      <c r="R583" s="3"/>
      <c r="S583" s="3"/>
      <c r="T583" s="3"/>
      <c r="V583" s="3"/>
      <c r="W583" s="3"/>
      <c r="X583" s="3"/>
    </row>
    <row r="584" customFormat="false" ht="15.75" hidden="false" customHeight="false" outlineLevel="0" collapsed="false">
      <c r="R584" s="3"/>
      <c r="S584" s="3"/>
      <c r="T584" s="3"/>
      <c r="V584" s="3"/>
      <c r="W584" s="3"/>
      <c r="X584" s="3"/>
    </row>
    <row r="585" customFormat="false" ht="15.75" hidden="false" customHeight="false" outlineLevel="0" collapsed="false">
      <c r="R585" s="3"/>
      <c r="S585" s="3"/>
      <c r="T585" s="3"/>
      <c r="V585" s="3"/>
      <c r="W585" s="3"/>
      <c r="X585" s="3"/>
    </row>
    <row r="586" customFormat="false" ht="15.75" hidden="false" customHeight="false" outlineLevel="0" collapsed="false">
      <c r="R586" s="3"/>
      <c r="S586" s="3"/>
      <c r="T586" s="3"/>
      <c r="V586" s="3"/>
      <c r="W586" s="3"/>
      <c r="X586" s="3"/>
    </row>
    <row r="587" customFormat="false" ht="15.75" hidden="false" customHeight="false" outlineLevel="0" collapsed="false">
      <c r="R587" s="3"/>
      <c r="S587" s="3"/>
      <c r="T587" s="3"/>
      <c r="V587" s="3"/>
      <c r="W587" s="3"/>
      <c r="X587" s="3"/>
    </row>
    <row r="588" customFormat="false" ht="15.75" hidden="false" customHeight="false" outlineLevel="0" collapsed="false">
      <c r="R588" s="3"/>
      <c r="S588" s="3"/>
      <c r="T588" s="3"/>
      <c r="V588" s="3"/>
      <c r="W588" s="3"/>
      <c r="X588" s="3"/>
    </row>
    <row r="589" customFormat="false" ht="15.75" hidden="false" customHeight="false" outlineLevel="0" collapsed="false">
      <c r="R589" s="3"/>
      <c r="S589" s="3"/>
      <c r="T589" s="3"/>
      <c r="V589" s="3"/>
      <c r="W589" s="3"/>
      <c r="X589" s="3"/>
    </row>
    <row r="590" customFormat="false" ht="15.75" hidden="false" customHeight="false" outlineLevel="0" collapsed="false">
      <c r="R590" s="3"/>
      <c r="S590" s="3"/>
      <c r="T590" s="3"/>
      <c r="V590" s="3"/>
      <c r="W590" s="3"/>
      <c r="X590" s="3"/>
    </row>
    <row r="591" customFormat="false" ht="15.75" hidden="false" customHeight="false" outlineLevel="0" collapsed="false">
      <c r="R591" s="3"/>
      <c r="S591" s="3"/>
      <c r="T591" s="3"/>
      <c r="V591" s="3"/>
      <c r="W591" s="3"/>
      <c r="X591" s="3"/>
    </row>
    <row r="592" customFormat="false" ht="15.75" hidden="false" customHeight="false" outlineLevel="0" collapsed="false">
      <c r="R592" s="3"/>
      <c r="S592" s="3"/>
      <c r="T592" s="3"/>
      <c r="V592" s="3"/>
      <c r="W592" s="3"/>
      <c r="X592" s="3"/>
    </row>
    <row r="593" customFormat="false" ht="15.75" hidden="false" customHeight="false" outlineLevel="0" collapsed="false">
      <c r="R593" s="3"/>
      <c r="S593" s="3"/>
      <c r="T593" s="3"/>
      <c r="V593" s="3"/>
      <c r="W593" s="3"/>
      <c r="X593" s="3"/>
    </row>
    <row r="594" customFormat="false" ht="15.75" hidden="false" customHeight="false" outlineLevel="0" collapsed="false">
      <c r="R594" s="3"/>
      <c r="S594" s="3"/>
      <c r="T594" s="3"/>
      <c r="V594" s="3"/>
      <c r="W594" s="3"/>
      <c r="X594" s="3"/>
    </row>
    <row r="595" customFormat="false" ht="15.75" hidden="false" customHeight="false" outlineLevel="0" collapsed="false">
      <c r="R595" s="3"/>
      <c r="S595" s="3"/>
      <c r="T595" s="3"/>
      <c r="V595" s="3"/>
      <c r="W595" s="3"/>
      <c r="X595" s="3"/>
    </row>
    <row r="596" customFormat="false" ht="15.75" hidden="false" customHeight="false" outlineLevel="0" collapsed="false">
      <c r="R596" s="3"/>
      <c r="S596" s="3"/>
      <c r="T596" s="3"/>
      <c r="V596" s="3"/>
      <c r="W596" s="3"/>
      <c r="X596" s="3"/>
    </row>
    <row r="597" customFormat="false" ht="15.75" hidden="false" customHeight="false" outlineLevel="0" collapsed="false">
      <c r="R597" s="3"/>
      <c r="S597" s="3"/>
      <c r="T597" s="3"/>
      <c r="V597" s="3"/>
      <c r="W597" s="3"/>
      <c r="X597" s="3"/>
    </row>
    <row r="598" customFormat="false" ht="15.75" hidden="false" customHeight="false" outlineLevel="0" collapsed="false">
      <c r="R598" s="3"/>
      <c r="S598" s="3"/>
      <c r="T598" s="3"/>
      <c r="V598" s="3"/>
      <c r="W598" s="3"/>
      <c r="X598" s="3"/>
    </row>
    <row r="599" customFormat="false" ht="15.75" hidden="false" customHeight="false" outlineLevel="0" collapsed="false">
      <c r="R599" s="3"/>
      <c r="S599" s="3"/>
      <c r="T599" s="3"/>
      <c r="V599" s="3"/>
      <c r="W599" s="3"/>
      <c r="X599" s="3"/>
    </row>
    <row r="600" customFormat="false" ht="15.75" hidden="false" customHeight="false" outlineLevel="0" collapsed="false">
      <c r="R600" s="3"/>
      <c r="S600" s="3"/>
      <c r="T600" s="3"/>
      <c r="V600" s="3"/>
      <c r="W600" s="3"/>
      <c r="X600" s="3"/>
    </row>
    <row r="601" customFormat="false" ht="15.75" hidden="false" customHeight="false" outlineLevel="0" collapsed="false">
      <c r="R601" s="3"/>
      <c r="S601" s="3"/>
      <c r="T601" s="3"/>
      <c r="V601" s="3"/>
      <c r="W601" s="3"/>
      <c r="X601" s="3"/>
    </row>
    <row r="602" customFormat="false" ht="15.75" hidden="false" customHeight="false" outlineLevel="0" collapsed="false">
      <c r="R602" s="3"/>
      <c r="S602" s="3"/>
      <c r="T602" s="3"/>
      <c r="V602" s="3"/>
      <c r="W602" s="3"/>
      <c r="X602" s="3"/>
    </row>
    <row r="603" customFormat="false" ht="15.75" hidden="false" customHeight="false" outlineLevel="0" collapsed="false">
      <c r="R603" s="3"/>
      <c r="S603" s="3"/>
      <c r="T603" s="3"/>
      <c r="V603" s="3"/>
      <c r="W603" s="3"/>
      <c r="X603" s="3"/>
    </row>
    <row r="604" customFormat="false" ht="15.75" hidden="false" customHeight="false" outlineLevel="0" collapsed="false">
      <c r="R604" s="3"/>
      <c r="S604" s="3"/>
      <c r="T604" s="3"/>
      <c r="V604" s="3"/>
      <c r="W604" s="3"/>
      <c r="X604" s="3"/>
    </row>
    <row r="605" customFormat="false" ht="15.75" hidden="false" customHeight="false" outlineLevel="0" collapsed="false">
      <c r="R605" s="3"/>
      <c r="S605" s="3"/>
      <c r="T605" s="3"/>
      <c r="V605" s="3"/>
      <c r="W605" s="3"/>
      <c r="X605" s="3"/>
    </row>
    <row r="606" customFormat="false" ht="15.75" hidden="false" customHeight="false" outlineLevel="0" collapsed="false">
      <c r="R606" s="3"/>
      <c r="S606" s="3"/>
      <c r="T606" s="3"/>
      <c r="V606" s="3"/>
      <c r="W606" s="3"/>
      <c r="X606" s="3"/>
    </row>
    <row r="607" customFormat="false" ht="15.75" hidden="false" customHeight="false" outlineLevel="0" collapsed="false">
      <c r="R607" s="3"/>
      <c r="S607" s="3"/>
      <c r="T607" s="3"/>
      <c r="V607" s="3"/>
      <c r="W607" s="3"/>
      <c r="X607" s="3"/>
    </row>
    <row r="608" customFormat="false" ht="15.75" hidden="false" customHeight="false" outlineLevel="0" collapsed="false">
      <c r="R608" s="3"/>
      <c r="S608" s="3"/>
      <c r="T608" s="3"/>
      <c r="V608" s="3"/>
      <c r="W608" s="3"/>
      <c r="X608" s="3"/>
    </row>
    <row r="609" customFormat="false" ht="15.75" hidden="false" customHeight="false" outlineLevel="0" collapsed="false">
      <c r="R609" s="3"/>
      <c r="S609" s="3"/>
      <c r="T609" s="3"/>
      <c r="V609" s="3"/>
      <c r="W609" s="3"/>
      <c r="X609" s="3"/>
    </row>
    <row r="610" customFormat="false" ht="15.75" hidden="false" customHeight="false" outlineLevel="0" collapsed="false">
      <c r="R610" s="3"/>
      <c r="S610" s="3"/>
      <c r="T610" s="3"/>
      <c r="V610" s="3"/>
      <c r="W610" s="3"/>
      <c r="X610" s="3"/>
    </row>
    <row r="611" customFormat="false" ht="15.75" hidden="false" customHeight="false" outlineLevel="0" collapsed="false">
      <c r="R611" s="3"/>
      <c r="S611" s="3"/>
      <c r="T611" s="3"/>
      <c r="V611" s="3"/>
      <c r="W611" s="3"/>
      <c r="X611" s="3"/>
    </row>
    <row r="612" customFormat="false" ht="15.75" hidden="false" customHeight="false" outlineLevel="0" collapsed="false">
      <c r="R612" s="3"/>
      <c r="S612" s="3"/>
      <c r="T612" s="3"/>
      <c r="V612" s="3"/>
      <c r="W612" s="3"/>
      <c r="X612" s="3"/>
    </row>
    <row r="613" customFormat="false" ht="15.75" hidden="false" customHeight="false" outlineLevel="0" collapsed="false">
      <c r="R613" s="3"/>
      <c r="S613" s="3"/>
      <c r="T613" s="3"/>
      <c r="V613" s="3"/>
      <c r="W613" s="3"/>
      <c r="X613" s="3"/>
    </row>
    <row r="614" customFormat="false" ht="15.75" hidden="false" customHeight="false" outlineLevel="0" collapsed="false">
      <c r="R614" s="3"/>
      <c r="S614" s="3"/>
      <c r="T614" s="3"/>
      <c r="V614" s="3"/>
      <c r="W614" s="3"/>
      <c r="X614" s="3"/>
    </row>
    <row r="615" customFormat="false" ht="15.75" hidden="false" customHeight="false" outlineLevel="0" collapsed="false">
      <c r="R615" s="3"/>
      <c r="S615" s="3"/>
      <c r="T615" s="3"/>
      <c r="V615" s="3"/>
      <c r="W615" s="3"/>
      <c r="X615" s="3"/>
    </row>
    <row r="616" customFormat="false" ht="15.75" hidden="false" customHeight="false" outlineLevel="0" collapsed="false">
      <c r="R616" s="3"/>
      <c r="S616" s="3"/>
      <c r="T616" s="3"/>
      <c r="V616" s="3"/>
      <c r="W616" s="3"/>
      <c r="X616" s="3"/>
    </row>
    <row r="617" customFormat="false" ht="15.75" hidden="false" customHeight="false" outlineLevel="0" collapsed="false">
      <c r="R617" s="3"/>
      <c r="S617" s="3"/>
      <c r="T617" s="3"/>
      <c r="V617" s="3"/>
      <c r="W617" s="3"/>
      <c r="X617" s="3"/>
    </row>
    <row r="618" customFormat="false" ht="15.75" hidden="false" customHeight="false" outlineLevel="0" collapsed="false">
      <c r="R618" s="3"/>
      <c r="S618" s="3"/>
      <c r="T618" s="3"/>
      <c r="V618" s="3"/>
      <c r="W618" s="3"/>
      <c r="X618" s="3"/>
    </row>
    <row r="619" customFormat="false" ht="15.75" hidden="false" customHeight="false" outlineLevel="0" collapsed="false">
      <c r="R619" s="3"/>
      <c r="S619" s="3"/>
      <c r="T619" s="3"/>
      <c r="V619" s="3"/>
      <c r="W619" s="3"/>
      <c r="X619" s="3"/>
    </row>
    <row r="620" customFormat="false" ht="15.75" hidden="false" customHeight="false" outlineLevel="0" collapsed="false">
      <c r="R620" s="3"/>
      <c r="S620" s="3"/>
      <c r="T620" s="3"/>
      <c r="V620" s="3"/>
      <c r="W620" s="3"/>
      <c r="X620" s="3"/>
    </row>
    <row r="621" customFormat="false" ht="15.75" hidden="false" customHeight="false" outlineLevel="0" collapsed="false">
      <c r="R621" s="3"/>
      <c r="S621" s="3"/>
      <c r="T621" s="3"/>
      <c r="V621" s="3"/>
      <c r="W621" s="3"/>
      <c r="X621" s="3"/>
    </row>
    <row r="622" customFormat="false" ht="15.75" hidden="false" customHeight="false" outlineLevel="0" collapsed="false">
      <c r="R622" s="3"/>
      <c r="S622" s="3"/>
      <c r="T622" s="3"/>
      <c r="V622" s="3"/>
      <c r="W622" s="3"/>
      <c r="X622" s="3"/>
    </row>
    <row r="623" customFormat="false" ht="15.75" hidden="false" customHeight="false" outlineLevel="0" collapsed="false">
      <c r="R623" s="3"/>
      <c r="S623" s="3"/>
      <c r="T623" s="3"/>
      <c r="V623" s="3"/>
      <c r="W623" s="3"/>
      <c r="X623" s="3"/>
    </row>
    <row r="624" customFormat="false" ht="15.75" hidden="false" customHeight="false" outlineLevel="0" collapsed="false">
      <c r="R624" s="3"/>
      <c r="S624" s="3"/>
      <c r="T624" s="3"/>
      <c r="V624" s="3"/>
      <c r="W624" s="3"/>
      <c r="X624" s="3"/>
    </row>
    <row r="625" customFormat="false" ht="15.75" hidden="false" customHeight="false" outlineLevel="0" collapsed="false">
      <c r="R625" s="3"/>
      <c r="S625" s="3"/>
      <c r="T625" s="3"/>
      <c r="V625" s="3"/>
      <c r="W625" s="3"/>
      <c r="X625" s="3"/>
    </row>
    <row r="626" customFormat="false" ht="15.75" hidden="false" customHeight="false" outlineLevel="0" collapsed="false">
      <c r="R626" s="3"/>
      <c r="S626" s="3"/>
      <c r="T626" s="3"/>
      <c r="V626" s="3"/>
      <c r="W626" s="3"/>
      <c r="X626" s="3"/>
    </row>
    <row r="627" customFormat="false" ht="15.75" hidden="false" customHeight="false" outlineLevel="0" collapsed="false">
      <c r="R627" s="3"/>
      <c r="S627" s="3"/>
      <c r="T627" s="3"/>
      <c r="V627" s="3"/>
      <c r="W627" s="3"/>
      <c r="X627" s="3"/>
    </row>
    <row r="628" customFormat="false" ht="15.75" hidden="false" customHeight="false" outlineLevel="0" collapsed="false">
      <c r="R628" s="3"/>
      <c r="S628" s="3"/>
      <c r="T628" s="3"/>
      <c r="V628" s="3"/>
      <c r="W628" s="3"/>
      <c r="X628" s="3"/>
    </row>
    <row r="629" customFormat="false" ht="15.75" hidden="false" customHeight="false" outlineLevel="0" collapsed="false">
      <c r="R629" s="3"/>
      <c r="S629" s="3"/>
      <c r="T629" s="3"/>
      <c r="V629" s="3"/>
      <c r="W629" s="3"/>
      <c r="X629" s="3"/>
    </row>
    <row r="630" customFormat="false" ht="15.75" hidden="false" customHeight="false" outlineLevel="0" collapsed="false">
      <c r="R630" s="3"/>
      <c r="S630" s="3"/>
      <c r="T630" s="3"/>
      <c r="V630" s="3"/>
      <c r="W630" s="3"/>
      <c r="X630" s="3"/>
    </row>
    <row r="631" customFormat="false" ht="15.75" hidden="false" customHeight="false" outlineLevel="0" collapsed="false">
      <c r="R631" s="3"/>
      <c r="S631" s="3"/>
      <c r="T631" s="3"/>
      <c r="V631" s="3"/>
      <c r="W631" s="3"/>
      <c r="X631" s="3"/>
    </row>
    <row r="632" customFormat="false" ht="15.75" hidden="false" customHeight="false" outlineLevel="0" collapsed="false">
      <c r="R632" s="3"/>
      <c r="S632" s="3"/>
      <c r="T632" s="3"/>
      <c r="V632" s="3"/>
      <c r="W632" s="3"/>
      <c r="X632" s="3"/>
    </row>
    <row r="633" customFormat="false" ht="15.75" hidden="false" customHeight="false" outlineLevel="0" collapsed="false">
      <c r="R633" s="3"/>
      <c r="S633" s="3"/>
      <c r="T633" s="3"/>
      <c r="V633" s="3"/>
      <c r="W633" s="3"/>
      <c r="X633" s="3"/>
    </row>
    <row r="634" customFormat="false" ht="15.75" hidden="false" customHeight="false" outlineLevel="0" collapsed="false">
      <c r="R634" s="3"/>
      <c r="S634" s="3"/>
      <c r="T634" s="3"/>
      <c r="V634" s="3"/>
      <c r="W634" s="3"/>
      <c r="X634" s="3"/>
    </row>
    <row r="635" customFormat="false" ht="15.75" hidden="false" customHeight="false" outlineLevel="0" collapsed="false">
      <c r="R635" s="3"/>
      <c r="S635" s="3"/>
      <c r="T635" s="3"/>
      <c r="V635" s="3"/>
      <c r="W635" s="3"/>
      <c r="X635" s="3"/>
    </row>
    <row r="636" customFormat="false" ht="15.75" hidden="false" customHeight="false" outlineLevel="0" collapsed="false">
      <c r="R636" s="3"/>
      <c r="S636" s="3"/>
      <c r="T636" s="3"/>
      <c r="V636" s="3"/>
      <c r="W636" s="3"/>
      <c r="X636" s="3"/>
    </row>
    <row r="637" customFormat="false" ht="15.75" hidden="false" customHeight="false" outlineLevel="0" collapsed="false">
      <c r="R637" s="3"/>
      <c r="S637" s="3"/>
      <c r="T637" s="3"/>
      <c r="V637" s="3"/>
      <c r="W637" s="3"/>
      <c r="X637" s="3"/>
    </row>
    <row r="638" customFormat="false" ht="15.75" hidden="false" customHeight="false" outlineLevel="0" collapsed="false">
      <c r="R638" s="3"/>
      <c r="S638" s="3"/>
      <c r="T638" s="3"/>
      <c r="V638" s="3"/>
      <c r="W638" s="3"/>
      <c r="X638" s="3"/>
    </row>
    <row r="639" customFormat="false" ht="15.75" hidden="false" customHeight="false" outlineLevel="0" collapsed="false">
      <c r="R639" s="3"/>
      <c r="S639" s="3"/>
      <c r="T639" s="3"/>
      <c r="V639" s="3"/>
      <c r="W639" s="3"/>
      <c r="X639" s="3"/>
    </row>
    <row r="640" customFormat="false" ht="15.75" hidden="false" customHeight="false" outlineLevel="0" collapsed="false">
      <c r="R640" s="3"/>
      <c r="S640" s="3"/>
      <c r="T640" s="3"/>
      <c r="V640" s="3"/>
      <c r="W640" s="3"/>
      <c r="X640" s="3"/>
    </row>
    <row r="641" customFormat="false" ht="15.75" hidden="false" customHeight="false" outlineLevel="0" collapsed="false">
      <c r="R641" s="3"/>
      <c r="S641" s="3"/>
      <c r="T641" s="3"/>
      <c r="V641" s="3"/>
      <c r="W641" s="3"/>
      <c r="X641" s="3"/>
    </row>
    <row r="642" customFormat="false" ht="15.75" hidden="false" customHeight="false" outlineLevel="0" collapsed="false">
      <c r="R642" s="3"/>
      <c r="S642" s="3"/>
      <c r="T642" s="3"/>
      <c r="V642" s="3"/>
      <c r="W642" s="3"/>
      <c r="X642" s="3"/>
    </row>
    <row r="643" customFormat="false" ht="15.75" hidden="false" customHeight="false" outlineLevel="0" collapsed="false">
      <c r="R643" s="3"/>
      <c r="S643" s="3"/>
      <c r="T643" s="3"/>
      <c r="V643" s="3"/>
      <c r="W643" s="3"/>
      <c r="X643" s="3"/>
    </row>
    <row r="644" customFormat="false" ht="15.75" hidden="false" customHeight="false" outlineLevel="0" collapsed="false">
      <c r="R644" s="3"/>
      <c r="S644" s="3"/>
      <c r="T644" s="3"/>
      <c r="V644" s="3"/>
      <c r="W644" s="3"/>
      <c r="X644" s="3"/>
    </row>
    <row r="645" customFormat="false" ht="15.75" hidden="false" customHeight="false" outlineLevel="0" collapsed="false">
      <c r="R645" s="3"/>
      <c r="S645" s="3"/>
      <c r="T645" s="3"/>
      <c r="V645" s="3"/>
      <c r="W645" s="3"/>
      <c r="X645" s="3"/>
    </row>
    <row r="646" customFormat="false" ht="15.75" hidden="false" customHeight="false" outlineLevel="0" collapsed="false">
      <c r="R646" s="3"/>
      <c r="S646" s="3"/>
      <c r="T646" s="3"/>
      <c r="V646" s="3"/>
      <c r="W646" s="3"/>
      <c r="X646" s="3"/>
    </row>
    <row r="647" customFormat="false" ht="15.75" hidden="false" customHeight="false" outlineLevel="0" collapsed="false">
      <c r="R647" s="3"/>
      <c r="S647" s="3"/>
      <c r="T647" s="3"/>
      <c r="V647" s="3"/>
      <c r="W647" s="3"/>
      <c r="X647" s="3"/>
    </row>
    <row r="648" customFormat="false" ht="15.75" hidden="false" customHeight="false" outlineLevel="0" collapsed="false">
      <c r="R648" s="3"/>
      <c r="S648" s="3"/>
      <c r="T648" s="3"/>
      <c r="V648" s="3"/>
      <c r="W648" s="3"/>
      <c r="X648" s="3"/>
    </row>
    <row r="649" customFormat="false" ht="15.75" hidden="false" customHeight="false" outlineLevel="0" collapsed="false">
      <c r="R649" s="3"/>
      <c r="S649" s="3"/>
      <c r="T649" s="3"/>
      <c r="V649" s="3"/>
      <c r="W649" s="3"/>
      <c r="X649" s="3"/>
    </row>
    <row r="650" customFormat="false" ht="15.75" hidden="false" customHeight="false" outlineLevel="0" collapsed="false">
      <c r="R650" s="3"/>
      <c r="S650" s="3"/>
      <c r="T650" s="3"/>
      <c r="V650" s="3"/>
      <c r="W650" s="3"/>
      <c r="X650" s="3"/>
    </row>
    <row r="651" customFormat="false" ht="15.75" hidden="false" customHeight="false" outlineLevel="0" collapsed="false">
      <c r="R651" s="3"/>
      <c r="S651" s="3"/>
      <c r="T651" s="3"/>
      <c r="V651" s="3"/>
      <c r="W651" s="3"/>
      <c r="X651" s="3"/>
    </row>
    <row r="652" customFormat="false" ht="15.75" hidden="false" customHeight="false" outlineLevel="0" collapsed="false">
      <c r="R652" s="3"/>
      <c r="S652" s="3"/>
      <c r="T652" s="3"/>
      <c r="V652" s="3"/>
      <c r="W652" s="3"/>
      <c r="X652" s="3"/>
    </row>
    <row r="653" customFormat="false" ht="15.75" hidden="false" customHeight="false" outlineLevel="0" collapsed="false">
      <c r="R653" s="3"/>
      <c r="S653" s="3"/>
      <c r="T653" s="3"/>
      <c r="V653" s="3"/>
      <c r="W653" s="3"/>
      <c r="X653" s="3"/>
    </row>
    <row r="654" customFormat="false" ht="15.75" hidden="false" customHeight="false" outlineLevel="0" collapsed="false">
      <c r="R654" s="3"/>
      <c r="S654" s="3"/>
      <c r="T654" s="3"/>
      <c r="V654" s="3"/>
      <c r="W654" s="3"/>
      <c r="X654" s="3"/>
    </row>
    <row r="655" customFormat="false" ht="15.75" hidden="false" customHeight="false" outlineLevel="0" collapsed="false">
      <c r="R655" s="3"/>
      <c r="S655" s="3"/>
      <c r="T655" s="3"/>
      <c r="V655" s="3"/>
      <c r="W655" s="3"/>
      <c r="X655" s="3"/>
    </row>
    <row r="656" customFormat="false" ht="15.75" hidden="false" customHeight="false" outlineLevel="0" collapsed="false">
      <c r="R656" s="3"/>
      <c r="S656" s="3"/>
      <c r="T656" s="3"/>
      <c r="V656" s="3"/>
      <c r="W656" s="3"/>
      <c r="X656" s="3"/>
    </row>
    <row r="657" customFormat="false" ht="15.75" hidden="false" customHeight="false" outlineLevel="0" collapsed="false">
      <c r="R657" s="3"/>
      <c r="S657" s="3"/>
      <c r="T657" s="3"/>
      <c r="V657" s="3"/>
      <c r="W657" s="3"/>
      <c r="X657" s="3"/>
    </row>
    <row r="658" customFormat="false" ht="15.75" hidden="false" customHeight="false" outlineLevel="0" collapsed="false">
      <c r="R658" s="3"/>
      <c r="S658" s="3"/>
      <c r="T658" s="3"/>
      <c r="V658" s="3"/>
      <c r="W658" s="3"/>
      <c r="X658" s="3"/>
    </row>
    <row r="659" customFormat="false" ht="15.75" hidden="false" customHeight="false" outlineLevel="0" collapsed="false">
      <c r="R659" s="3"/>
      <c r="S659" s="3"/>
      <c r="T659" s="3"/>
      <c r="V659" s="3"/>
      <c r="W659" s="3"/>
      <c r="X659" s="3"/>
    </row>
    <row r="660" customFormat="false" ht="15.75" hidden="false" customHeight="false" outlineLevel="0" collapsed="false">
      <c r="R660" s="3"/>
      <c r="S660" s="3"/>
      <c r="T660" s="3"/>
      <c r="V660" s="3"/>
      <c r="W660" s="3"/>
      <c r="X660" s="3"/>
    </row>
    <row r="661" customFormat="false" ht="15.75" hidden="false" customHeight="false" outlineLevel="0" collapsed="false">
      <c r="R661" s="3"/>
      <c r="S661" s="3"/>
      <c r="T661" s="3"/>
      <c r="V661" s="3"/>
      <c r="W661" s="3"/>
      <c r="X661" s="3"/>
    </row>
    <row r="662" customFormat="false" ht="15.75" hidden="false" customHeight="false" outlineLevel="0" collapsed="false">
      <c r="R662" s="3"/>
      <c r="S662" s="3"/>
      <c r="T662" s="3"/>
      <c r="V662" s="3"/>
      <c r="W662" s="3"/>
      <c r="X662" s="3"/>
    </row>
    <row r="663" customFormat="false" ht="15.75" hidden="false" customHeight="false" outlineLevel="0" collapsed="false">
      <c r="R663" s="3"/>
      <c r="S663" s="3"/>
      <c r="T663" s="3"/>
      <c r="V663" s="3"/>
      <c r="W663" s="3"/>
      <c r="X663" s="3"/>
    </row>
    <row r="664" customFormat="false" ht="15.75" hidden="false" customHeight="false" outlineLevel="0" collapsed="false">
      <c r="R664" s="3"/>
      <c r="S664" s="3"/>
      <c r="T664" s="3"/>
      <c r="V664" s="3"/>
      <c r="W664" s="3"/>
      <c r="X664" s="3"/>
    </row>
    <row r="665" customFormat="false" ht="15.75" hidden="false" customHeight="false" outlineLevel="0" collapsed="false">
      <c r="R665" s="3"/>
      <c r="S665" s="3"/>
      <c r="T665" s="3"/>
      <c r="V665" s="3"/>
      <c r="W665" s="3"/>
      <c r="X665" s="3"/>
    </row>
    <row r="666" customFormat="false" ht="15.75" hidden="false" customHeight="false" outlineLevel="0" collapsed="false">
      <c r="R666" s="3"/>
      <c r="S666" s="3"/>
      <c r="T666" s="3"/>
      <c r="V666" s="3"/>
      <c r="W666" s="3"/>
      <c r="X666" s="3"/>
    </row>
    <row r="667" customFormat="false" ht="15.75" hidden="false" customHeight="false" outlineLevel="0" collapsed="false">
      <c r="R667" s="3"/>
      <c r="S667" s="3"/>
      <c r="T667" s="3"/>
      <c r="V667" s="3"/>
      <c r="W667" s="3"/>
      <c r="X667" s="3"/>
    </row>
    <row r="668" customFormat="false" ht="15.75" hidden="false" customHeight="false" outlineLevel="0" collapsed="false">
      <c r="R668" s="3"/>
      <c r="S668" s="3"/>
      <c r="T668" s="3"/>
      <c r="V668" s="3"/>
      <c r="W668" s="3"/>
      <c r="X668" s="3"/>
    </row>
    <row r="669" customFormat="false" ht="15.75" hidden="false" customHeight="false" outlineLevel="0" collapsed="false">
      <c r="R669" s="3"/>
      <c r="S669" s="3"/>
      <c r="T669" s="3"/>
      <c r="V669" s="3"/>
      <c r="W669" s="3"/>
      <c r="X669" s="3"/>
    </row>
    <row r="670" customFormat="false" ht="15.75" hidden="false" customHeight="false" outlineLevel="0" collapsed="false">
      <c r="R670" s="3"/>
      <c r="S670" s="3"/>
      <c r="T670" s="3"/>
      <c r="V670" s="3"/>
      <c r="W670" s="3"/>
      <c r="X670" s="3"/>
    </row>
    <row r="671" customFormat="false" ht="15.75" hidden="false" customHeight="false" outlineLevel="0" collapsed="false">
      <c r="R671" s="3"/>
      <c r="S671" s="3"/>
      <c r="T671" s="3"/>
      <c r="V671" s="3"/>
      <c r="W671" s="3"/>
      <c r="X671" s="3"/>
    </row>
    <row r="672" customFormat="false" ht="15.75" hidden="false" customHeight="false" outlineLevel="0" collapsed="false">
      <c r="R672" s="3"/>
      <c r="S672" s="3"/>
      <c r="T672" s="3"/>
      <c r="V672" s="3"/>
      <c r="W672" s="3"/>
      <c r="X672" s="3"/>
    </row>
    <row r="673" customFormat="false" ht="15.75" hidden="false" customHeight="false" outlineLevel="0" collapsed="false">
      <c r="R673" s="3"/>
      <c r="S673" s="3"/>
      <c r="T673" s="3"/>
      <c r="V673" s="3"/>
      <c r="W673" s="3"/>
      <c r="X673" s="3"/>
    </row>
    <row r="674" customFormat="false" ht="15.75" hidden="false" customHeight="false" outlineLevel="0" collapsed="false">
      <c r="R674" s="3"/>
      <c r="S674" s="3"/>
      <c r="T674" s="3"/>
      <c r="V674" s="3"/>
      <c r="W674" s="3"/>
      <c r="X674" s="3"/>
    </row>
    <row r="675" customFormat="false" ht="15.75" hidden="false" customHeight="false" outlineLevel="0" collapsed="false">
      <c r="R675" s="3"/>
      <c r="S675" s="3"/>
      <c r="T675" s="3"/>
      <c r="V675" s="3"/>
      <c r="W675" s="3"/>
      <c r="X675" s="3"/>
    </row>
    <row r="676" customFormat="false" ht="15.75" hidden="false" customHeight="false" outlineLevel="0" collapsed="false">
      <c r="R676" s="3"/>
      <c r="S676" s="3"/>
      <c r="T676" s="3"/>
      <c r="V676" s="3"/>
      <c r="W676" s="3"/>
      <c r="X676" s="3"/>
    </row>
    <row r="677" customFormat="false" ht="15.75" hidden="false" customHeight="false" outlineLevel="0" collapsed="false">
      <c r="R677" s="3"/>
      <c r="S677" s="3"/>
      <c r="T677" s="3"/>
      <c r="V677" s="3"/>
      <c r="W677" s="3"/>
      <c r="X677" s="3"/>
    </row>
    <row r="678" customFormat="false" ht="15.75" hidden="false" customHeight="false" outlineLevel="0" collapsed="false">
      <c r="R678" s="3"/>
      <c r="S678" s="3"/>
      <c r="T678" s="3"/>
      <c r="V678" s="3"/>
      <c r="W678" s="3"/>
      <c r="X678" s="3"/>
    </row>
    <row r="679" customFormat="false" ht="15.75" hidden="false" customHeight="false" outlineLevel="0" collapsed="false">
      <c r="R679" s="3"/>
      <c r="S679" s="3"/>
      <c r="T679" s="3"/>
      <c r="V679" s="3"/>
      <c r="W679" s="3"/>
      <c r="X679" s="3"/>
    </row>
    <row r="680" customFormat="false" ht="15.75" hidden="false" customHeight="false" outlineLevel="0" collapsed="false">
      <c r="R680" s="3"/>
      <c r="S680" s="3"/>
      <c r="T680" s="3"/>
      <c r="V680" s="3"/>
      <c r="W680" s="3"/>
      <c r="X680" s="3"/>
    </row>
    <row r="681" customFormat="false" ht="15.75" hidden="false" customHeight="false" outlineLevel="0" collapsed="false">
      <c r="R681" s="3"/>
      <c r="S681" s="3"/>
      <c r="T681" s="3"/>
      <c r="V681" s="3"/>
      <c r="W681" s="3"/>
      <c r="X681" s="3"/>
    </row>
    <row r="682" customFormat="false" ht="15.75" hidden="false" customHeight="false" outlineLevel="0" collapsed="false">
      <c r="R682" s="3"/>
      <c r="S682" s="3"/>
      <c r="T682" s="3"/>
      <c r="V682" s="3"/>
      <c r="W682" s="3"/>
      <c r="X682" s="3"/>
    </row>
    <row r="683" customFormat="false" ht="15.75" hidden="false" customHeight="false" outlineLevel="0" collapsed="false">
      <c r="R683" s="3"/>
      <c r="S683" s="3"/>
      <c r="T683" s="3"/>
      <c r="V683" s="3"/>
      <c r="W683" s="3"/>
      <c r="X683" s="3"/>
    </row>
    <row r="684" customFormat="false" ht="15.75" hidden="false" customHeight="false" outlineLevel="0" collapsed="false">
      <c r="R684" s="3"/>
      <c r="S684" s="3"/>
      <c r="T684" s="3"/>
      <c r="V684" s="3"/>
      <c r="W684" s="3"/>
      <c r="X684" s="3"/>
    </row>
    <row r="685" customFormat="false" ht="15.75" hidden="false" customHeight="false" outlineLevel="0" collapsed="false">
      <c r="R685" s="3"/>
      <c r="S685" s="3"/>
      <c r="T685" s="3"/>
      <c r="V685" s="3"/>
      <c r="W685" s="3"/>
      <c r="X685" s="3"/>
    </row>
    <row r="686" customFormat="false" ht="15.75" hidden="false" customHeight="false" outlineLevel="0" collapsed="false">
      <c r="R686" s="3"/>
      <c r="S686" s="3"/>
      <c r="T686" s="3"/>
      <c r="V686" s="3"/>
      <c r="W686" s="3"/>
      <c r="X686" s="3"/>
    </row>
    <row r="687" customFormat="false" ht="15.75" hidden="false" customHeight="false" outlineLevel="0" collapsed="false">
      <c r="R687" s="3"/>
      <c r="S687" s="3"/>
      <c r="T687" s="3"/>
      <c r="V687" s="3"/>
      <c r="W687" s="3"/>
      <c r="X687" s="3"/>
    </row>
    <row r="688" customFormat="false" ht="15.75" hidden="false" customHeight="false" outlineLevel="0" collapsed="false">
      <c r="R688" s="3"/>
      <c r="S688" s="3"/>
      <c r="T688" s="3"/>
      <c r="V688" s="3"/>
      <c r="W688" s="3"/>
      <c r="X688" s="3"/>
    </row>
    <row r="689" customFormat="false" ht="15.75" hidden="false" customHeight="false" outlineLevel="0" collapsed="false">
      <c r="R689" s="3"/>
      <c r="S689" s="3"/>
      <c r="T689" s="3"/>
      <c r="V689" s="3"/>
      <c r="W689" s="3"/>
      <c r="X689" s="3"/>
    </row>
    <row r="690" customFormat="false" ht="15.75" hidden="false" customHeight="false" outlineLevel="0" collapsed="false">
      <c r="R690" s="3"/>
      <c r="S690" s="3"/>
      <c r="T690" s="3"/>
      <c r="V690" s="3"/>
      <c r="W690" s="3"/>
      <c r="X690" s="3"/>
    </row>
    <row r="691" customFormat="false" ht="15.75" hidden="false" customHeight="false" outlineLevel="0" collapsed="false">
      <c r="R691" s="3"/>
      <c r="S691" s="3"/>
      <c r="T691" s="3"/>
      <c r="V691" s="3"/>
      <c r="W691" s="3"/>
      <c r="X691" s="3"/>
    </row>
    <row r="692" customFormat="false" ht="15.75" hidden="false" customHeight="false" outlineLevel="0" collapsed="false">
      <c r="R692" s="3"/>
      <c r="S692" s="3"/>
      <c r="T692" s="3"/>
      <c r="V692" s="3"/>
      <c r="W692" s="3"/>
      <c r="X692" s="3"/>
    </row>
    <row r="693" customFormat="false" ht="15.75" hidden="false" customHeight="false" outlineLevel="0" collapsed="false">
      <c r="R693" s="3"/>
      <c r="S693" s="3"/>
      <c r="T693" s="3"/>
      <c r="V693" s="3"/>
      <c r="W693" s="3"/>
      <c r="X693" s="3"/>
    </row>
    <row r="694" customFormat="false" ht="15.75" hidden="false" customHeight="false" outlineLevel="0" collapsed="false">
      <c r="R694" s="3"/>
      <c r="S694" s="3"/>
      <c r="T694" s="3"/>
      <c r="V694" s="3"/>
      <c r="W694" s="3"/>
      <c r="X694" s="3"/>
    </row>
    <row r="695" customFormat="false" ht="15.75" hidden="false" customHeight="false" outlineLevel="0" collapsed="false">
      <c r="R695" s="3"/>
      <c r="S695" s="3"/>
      <c r="T695" s="3"/>
      <c r="V695" s="3"/>
      <c r="W695" s="3"/>
      <c r="X695" s="3"/>
    </row>
    <row r="696" customFormat="false" ht="15.75" hidden="false" customHeight="false" outlineLevel="0" collapsed="false">
      <c r="R696" s="3"/>
      <c r="S696" s="3"/>
      <c r="T696" s="3"/>
      <c r="V696" s="3"/>
      <c r="W696" s="3"/>
      <c r="X696" s="3"/>
    </row>
    <row r="697" customFormat="false" ht="15.75" hidden="false" customHeight="false" outlineLevel="0" collapsed="false">
      <c r="R697" s="3"/>
      <c r="S697" s="3"/>
      <c r="T697" s="3"/>
      <c r="V697" s="3"/>
      <c r="W697" s="3"/>
      <c r="X697" s="3"/>
    </row>
    <row r="698" customFormat="false" ht="15.75" hidden="false" customHeight="false" outlineLevel="0" collapsed="false">
      <c r="R698" s="3"/>
      <c r="S698" s="3"/>
      <c r="T698" s="3"/>
      <c r="V698" s="3"/>
      <c r="W698" s="3"/>
      <c r="X698" s="3"/>
    </row>
    <row r="699" customFormat="false" ht="15.75" hidden="false" customHeight="false" outlineLevel="0" collapsed="false">
      <c r="R699" s="3"/>
      <c r="S699" s="3"/>
      <c r="T699" s="3"/>
      <c r="V699" s="3"/>
      <c r="W699" s="3"/>
      <c r="X699" s="3"/>
    </row>
    <row r="700" customFormat="false" ht="15.75" hidden="false" customHeight="false" outlineLevel="0" collapsed="false">
      <c r="R700" s="3"/>
      <c r="S700" s="3"/>
      <c r="T700" s="3"/>
      <c r="V700" s="3"/>
      <c r="W700" s="3"/>
      <c r="X700" s="3"/>
    </row>
    <row r="701" customFormat="false" ht="15.75" hidden="false" customHeight="false" outlineLevel="0" collapsed="false">
      <c r="R701" s="3"/>
      <c r="S701" s="3"/>
      <c r="T701" s="3"/>
      <c r="V701" s="3"/>
      <c r="W701" s="3"/>
      <c r="X701" s="3"/>
    </row>
    <row r="702" customFormat="false" ht="15.75" hidden="false" customHeight="false" outlineLevel="0" collapsed="false">
      <c r="R702" s="3"/>
      <c r="S702" s="3"/>
      <c r="T702" s="3"/>
      <c r="V702" s="3"/>
      <c r="W702" s="3"/>
      <c r="X702" s="3"/>
    </row>
    <row r="703" customFormat="false" ht="15.75" hidden="false" customHeight="false" outlineLevel="0" collapsed="false">
      <c r="R703" s="3"/>
      <c r="S703" s="3"/>
      <c r="T703" s="3"/>
      <c r="V703" s="3"/>
      <c r="W703" s="3"/>
      <c r="X703" s="3"/>
    </row>
    <row r="704" customFormat="false" ht="15.75" hidden="false" customHeight="false" outlineLevel="0" collapsed="false">
      <c r="R704" s="3"/>
      <c r="S704" s="3"/>
      <c r="T704" s="3"/>
      <c r="V704" s="3"/>
      <c r="W704" s="3"/>
      <c r="X704" s="3"/>
    </row>
    <row r="705" customFormat="false" ht="15.75" hidden="false" customHeight="false" outlineLevel="0" collapsed="false">
      <c r="R705" s="3"/>
      <c r="S705" s="3"/>
      <c r="T705" s="3"/>
      <c r="V705" s="3"/>
      <c r="W705" s="3"/>
      <c r="X705" s="3"/>
    </row>
    <row r="706" customFormat="false" ht="15.75" hidden="false" customHeight="false" outlineLevel="0" collapsed="false">
      <c r="R706" s="3"/>
      <c r="S706" s="3"/>
      <c r="T706" s="3"/>
      <c r="V706" s="3"/>
      <c r="W706" s="3"/>
      <c r="X706" s="3"/>
    </row>
    <row r="707" customFormat="false" ht="15.75" hidden="false" customHeight="false" outlineLevel="0" collapsed="false">
      <c r="R707" s="3"/>
      <c r="S707" s="3"/>
      <c r="T707" s="3"/>
      <c r="V707" s="3"/>
      <c r="W707" s="3"/>
      <c r="X707" s="3"/>
    </row>
    <row r="708" customFormat="false" ht="15.75" hidden="false" customHeight="false" outlineLevel="0" collapsed="false">
      <c r="R708" s="3"/>
      <c r="S708" s="3"/>
      <c r="T708" s="3"/>
      <c r="V708" s="3"/>
      <c r="W708" s="3"/>
      <c r="X708" s="3"/>
    </row>
    <row r="709" customFormat="false" ht="15.75" hidden="false" customHeight="false" outlineLevel="0" collapsed="false">
      <c r="R709" s="3"/>
      <c r="S709" s="3"/>
      <c r="T709" s="3"/>
      <c r="V709" s="3"/>
      <c r="W709" s="3"/>
      <c r="X709" s="3"/>
    </row>
    <row r="710" customFormat="false" ht="15.75" hidden="false" customHeight="false" outlineLevel="0" collapsed="false">
      <c r="R710" s="3"/>
      <c r="S710" s="3"/>
      <c r="T710" s="3"/>
      <c r="V710" s="3"/>
      <c r="W710" s="3"/>
      <c r="X710" s="3"/>
    </row>
    <row r="711" customFormat="false" ht="15.75" hidden="false" customHeight="false" outlineLevel="0" collapsed="false">
      <c r="R711" s="3"/>
      <c r="S711" s="3"/>
      <c r="T711" s="3"/>
      <c r="V711" s="3"/>
      <c r="W711" s="3"/>
      <c r="X711" s="3"/>
    </row>
    <row r="712" customFormat="false" ht="15.75" hidden="false" customHeight="false" outlineLevel="0" collapsed="false">
      <c r="R712" s="3"/>
      <c r="S712" s="3"/>
      <c r="T712" s="3"/>
      <c r="V712" s="3"/>
      <c r="W712" s="3"/>
      <c r="X712" s="3"/>
    </row>
    <row r="713" customFormat="false" ht="15.75" hidden="false" customHeight="false" outlineLevel="0" collapsed="false">
      <c r="R713" s="3"/>
      <c r="S713" s="3"/>
      <c r="T713" s="3"/>
      <c r="V713" s="3"/>
      <c r="W713" s="3"/>
      <c r="X713" s="3"/>
    </row>
    <row r="714" customFormat="false" ht="15.75" hidden="false" customHeight="false" outlineLevel="0" collapsed="false">
      <c r="R714" s="3"/>
      <c r="S714" s="3"/>
      <c r="T714" s="3"/>
      <c r="V714" s="3"/>
      <c r="W714" s="3"/>
      <c r="X714" s="3"/>
    </row>
    <row r="715" customFormat="false" ht="15.75" hidden="false" customHeight="false" outlineLevel="0" collapsed="false">
      <c r="R715" s="3"/>
      <c r="S715" s="3"/>
      <c r="T715" s="3"/>
      <c r="V715" s="3"/>
      <c r="W715" s="3"/>
      <c r="X715" s="3"/>
    </row>
    <row r="716" customFormat="false" ht="15.75" hidden="false" customHeight="false" outlineLevel="0" collapsed="false">
      <c r="R716" s="3"/>
      <c r="S716" s="3"/>
      <c r="T716" s="3"/>
      <c r="V716" s="3"/>
      <c r="W716" s="3"/>
      <c r="X716" s="3"/>
    </row>
    <row r="717" customFormat="false" ht="15.75" hidden="false" customHeight="false" outlineLevel="0" collapsed="false">
      <c r="R717" s="3"/>
      <c r="S717" s="3"/>
      <c r="T717" s="3"/>
      <c r="V717" s="3"/>
      <c r="W717" s="3"/>
      <c r="X717" s="3"/>
    </row>
    <row r="718" customFormat="false" ht="15.75" hidden="false" customHeight="false" outlineLevel="0" collapsed="false">
      <c r="R718" s="3"/>
      <c r="S718" s="3"/>
      <c r="T718" s="3"/>
      <c r="V718" s="3"/>
      <c r="W718" s="3"/>
      <c r="X718" s="3"/>
    </row>
    <row r="719" customFormat="false" ht="15.75" hidden="false" customHeight="false" outlineLevel="0" collapsed="false">
      <c r="R719" s="3"/>
      <c r="S719" s="3"/>
      <c r="T719" s="3"/>
      <c r="V719" s="3"/>
      <c r="W719" s="3"/>
      <c r="X719" s="3"/>
    </row>
    <row r="720" customFormat="false" ht="15.75" hidden="false" customHeight="false" outlineLevel="0" collapsed="false">
      <c r="R720" s="3"/>
      <c r="S720" s="3"/>
      <c r="T720" s="3"/>
      <c r="V720" s="3"/>
      <c r="W720" s="3"/>
      <c r="X720" s="3"/>
    </row>
    <row r="721" customFormat="false" ht="15.75" hidden="false" customHeight="false" outlineLevel="0" collapsed="false">
      <c r="R721" s="3"/>
      <c r="S721" s="3"/>
      <c r="T721" s="3"/>
      <c r="V721" s="3"/>
      <c r="W721" s="3"/>
      <c r="X721" s="3"/>
    </row>
    <row r="722" customFormat="false" ht="15.75" hidden="false" customHeight="false" outlineLevel="0" collapsed="false">
      <c r="R722" s="3"/>
      <c r="S722" s="3"/>
      <c r="T722" s="3"/>
      <c r="V722" s="3"/>
      <c r="W722" s="3"/>
      <c r="X722" s="3"/>
    </row>
    <row r="723" customFormat="false" ht="15.75" hidden="false" customHeight="false" outlineLevel="0" collapsed="false">
      <c r="R723" s="3"/>
      <c r="S723" s="3"/>
      <c r="T723" s="3"/>
      <c r="V723" s="3"/>
      <c r="W723" s="3"/>
      <c r="X723" s="3"/>
    </row>
    <row r="724" customFormat="false" ht="15.75" hidden="false" customHeight="false" outlineLevel="0" collapsed="false">
      <c r="R724" s="3"/>
      <c r="S724" s="3"/>
      <c r="T724" s="3"/>
      <c r="V724" s="3"/>
      <c r="W724" s="3"/>
      <c r="X724" s="3"/>
    </row>
    <row r="725" customFormat="false" ht="15.75" hidden="false" customHeight="false" outlineLevel="0" collapsed="false">
      <c r="R725" s="3"/>
      <c r="S725" s="3"/>
      <c r="T725" s="3"/>
      <c r="V725" s="3"/>
      <c r="W725" s="3"/>
      <c r="X725" s="3"/>
    </row>
    <row r="726" customFormat="false" ht="15.75" hidden="false" customHeight="false" outlineLevel="0" collapsed="false">
      <c r="R726" s="3"/>
      <c r="S726" s="3"/>
      <c r="T726" s="3"/>
      <c r="V726" s="3"/>
      <c r="W726" s="3"/>
      <c r="X726" s="3"/>
    </row>
    <row r="727" customFormat="false" ht="15.75" hidden="false" customHeight="false" outlineLevel="0" collapsed="false">
      <c r="R727" s="3"/>
      <c r="S727" s="3"/>
      <c r="T727" s="3"/>
      <c r="V727" s="3"/>
      <c r="W727" s="3"/>
      <c r="X727" s="3"/>
    </row>
    <row r="728" customFormat="false" ht="15.75" hidden="false" customHeight="false" outlineLevel="0" collapsed="false">
      <c r="R728" s="3"/>
      <c r="S728" s="3"/>
      <c r="T728" s="3"/>
      <c r="V728" s="3"/>
      <c r="W728" s="3"/>
      <c r="X728" s="3"/>
    </row>
    <row r="729" customFormat="false" ht="15.75" hidden="false" customHeight="false" outlineLevel="0" collapsed="false">
      <c r="R729" s="3"/>
      <c r="S729" s="3"/>
      <c r="T729" s="3"/>
      <c r="V729" s="3"/>
      <c r="W729" s="3"/>
      <c r="X729" s="3"/>
    </row>
    <row r="730" customFormat="false" ht="15.75" hidden="false" customHeight="false" outlineLevel="0" collapsed="false">
      <c r="R730" s="3"/>
      <c r="S730" s="3"/>
      <c r="T730" s="3"/>
      <c r="V730" s="3"/>
      <c r="W730" s="3"/>
      <c r="X730" s="3"/>
    </row>
    <row r="731" customFormat="false" ht="15.75" hidden="false" customHeight="false" outlineLevel="0" collapsed="false">
      <c r="R731" s="3"/>
      <c r="S731" s="3"/>
      <c r="T731" s="3"/>
      <c r="V731" s="3"/>
      <c r="W731" s="3"/>
      <c r="X731" s="3"/>
    </row>
    <row r="732" customFormat="false" ht="15.75" hidden="false" customHeight="false" outlineLevel="0" collapsed="false">
      <c r="R732" s="3"/>
      <c r="S732" s="3"/>
      <c r="T732" s="3"/>
      <c r="V732" s="3"/>
      <c r="W732" s="3"/>
      <c r="X732" s="3"/>
    </row>
    <row r="733" customFormat="false" ht="15.75" hidden="false" customHeight="false" outlineLevel="0" collapsed="false">
      <c r="R733" s="3"/>
      <c r="S733" s="3"/>
      <c r="T733" s="3"/>
      <c r="V733" s="3"/>
      <c r="W733" s="3"/>
      <c r="X733" s="3"/>
    </row>
    <row r="734" customFormat="false" ht="15.75" hidden="false" customHeight="false" outlineLevel="0" collapsed="false">
      <c r="R734" s="3"/>
      <c r="S734" s="3"/>
      <c r="T734" s="3"/>
      <c r="V734" s="3"/>
      <c r="W734" s="3"/>
      <c r="X734" s="3"/>
    </row>
    <row r="735" customFormat="false" ht="15.75" hidden="false" customHeight="false" outlineLevel="0" collapsed="false">
      <c r="R735" s="3"/>
      <c r="S735" s="3"/>
      <c r="T735" s="3"/>
      <c r="V735" s="3"/>
      <c r="W735" s="3"/>
      <c r="X735" s="3"/>
    </row>
    <row r="736" customFormat="false" ht="15.75" hidden="false" customHeight="false" outlineLevel="0" collapsed="false">
      <c r="R736" s="3"/>
      <c r="S736" s="3"/>
      <c r="T736" s="3"/>
      <c r="V736" s="3"/>
      <c r="W736" s="3"/>
      <c r="X736" s="3"/>
    </row>
    <row r="737" customFormat="false" ht="15.75" hidden="false" customHeight="false" outlineLevel="0" collapsed="false">
      <c r="R737" s="3"/>
      <c r="S737" s="3"/>
      <c r="T737" s="3"/>
      <c r="V737" s="3"/>
      <c r="W737" s="3"/>
      <c r="X737" s="3"/>
    </row>
    <row r="738" customFormat="false" ht="15.75" hidden="false" customHeight="false" outlineLevel="0" collapsed="false">
      <c r="R738" s="3"/>
      <c r="S738" s="3"/>
      <c r="T738" s="3"/>
      <c r="V738" s="3"/>
      <c r="W738" s="3"/>
      <c r="X738" s="3"/>
    </row>
    <row r="739" customFormat="false" ht="15.75" hidden="false" customHeight="false" outlineLevel="0" collapsed="false">
      <c r="R739" s="3"/>
      <c r="S739" s="3"/>
      <c r="T739" s="3"/>
      <c r="V739" s="3"/>
      <c r="W739" s="3"/>
      <c r="X739" s="3"/>
    </row>
    <row r="740" customFormat="false" ht="15.75" hidden="false" customHeight="false" outlineLevel="0" collapsed="false">
      <c r="R740" s="3"/>
      <c r="S740" s="3"/>
      <c r="T740" s="3"/>
      <c r="V740" s="3"/>
      <c r="W740" s="3"/>
      <c r="X740" s="3"/>
    </row>
    <row r="741" customFormat="false" ht="15.75" hidden="false" customHeight="false" outlineLevel="0" collapsed="false">
      <c r="R741" s="3"/>
      <c r="S741" s="3"/>
      <c r="T741" s="3"/>
      <c r="V741" s="3"/>
      <c r="W741" s="3"/>
      <c r="X741" s="3"/>
    </row>
    <row r="742" customFormat="false" ht="15.75" hidden="false" customHeight="false" outlineLevel="0" collapsed="false">
      <c r="R742" s="3"/>
      <c r="S742" s="3"/>
      <c r="T742" s="3"/>
      <c r="V742" s="3"/>
      <c r="W742" s="3"/>
      <c r="X742" s="3"/>
    </row>
    <row r="743" customFormat="false" ht="15.75" hidden="false" customHeight="false" outlineLevel="0" collapsed="false">
      <c r="R743" s="3"/>
      <c r="S743" s="3"/>
      <c r="T743" s="3"/>
      <c r="V743" s="3"/>
      <c r="W743" s="3"/>
      <c r="X743" s="3"/>
    </row>
    <row r="744" customFormat="false" ht="15.75" hidden="false" customHeight="false" outlineLevel="0" collapsed="false">
      <c r="R744" s="3"/>
      <c r="S744" s="3"/>
      <c r="T744" s="3"/>
      <c r="V744" s="3"/>
      <c r="W744" s="3"/>
      <c r="X744" s="3"/>
    </row>
    <row r="745" customFormat="false" ht="15.75" hidden="false" customHeight="false" outlineLevel="0" collapsed="false">
      <c r="R745" s="3"/>
      <c r="S745" s="3"/>
      <c r="T745" s="3"/>
      <c r="V745" s="3"/>
      <c r="W745" s="3"/>
      <c r="X745" s="3"/>
    </row>
    <row r="746" customFormat="false" ht="15.75" hidden="false" customHeight="false" outlineLevel="0" collapsed="false">
      <c r="R746" s="3"/>
      <c r="S746" s="3"/>
      <c r="T746" s="3"/>
      <c r="V746" s="3"/>
      <c r="W746" s="3"/>
      <c r="X746" s="3"/>
    </row>
    <row r="747" customFormat="false" ht="15.75" hidden="false" customHeight="false" outlineLevel="0" collapsed="false">
      <c r="R747" s="3"/>
      <c r="S747" s="3"/>
      <c r="T747" s="3"/>
      <c r="V747" s="3"/>
      <c r="W747" s="3"/>
      <c r="X747" s="3"/>
    </row>
    <row r="748" customFormat="false" ht="15.75" hidden="false" customHeight="false" outlineLevel="0" collapsed="false">
      <c r="R748" s="3"/>
      <c r="S748" s="3"/>
      <c r="T748" s="3"/>
      <c r="V748" s="3"/>
      <c r="W748" s="3"/>
      <c r="X748" s="3"/>
    </row>
    <row r="749" customFormat="false" ht="15.75" hidden="false" customHeight="false" outlineLevel="0" collapsed="false">
      <c r="R749" s="3"/>
      <c r="S749" s="3"/>
      <c r="T749" s="3"/>
      <c r="V749" s="3"/>
      <c r="W749" s="3"/>
      <c r="X749" s="3"/>
    </row>
    <row r="750" customFormat="false" ht="15.75" hidden="false" customHeight="false" outlineLevel="0" collapsed="false">
      <c r="R750" s="3"/>
      <c r="S750" s="3"/>
      <c r="T750" s="3"/>
      <c r="V750" s="3"/>
      <c r="W750" s="3"/>
      <c r="X750" s="3"/>
    </row>
    <row r="751" customFormat="false" ht="15.75" hidden="false" customHeight="false" outlineLevel="0" collapsed="false">
      <c r="R751" s="3"/>
      <c r="S751" s="3"/>
      <c r="T751" s="3"/>
      <c r="V751" s="3"/>
      <c r="W751" s="3"/>
      <c r="X751" s="3"/>
    </row>
    <row r="752" customFormat="false" ht="15.75" hidden="false" customHeight="false" outlineLevel="0" collapsed="false">
      <c r="R752" s="3"/>
      <c r="S752" s="3"/>
      <c r="T752" s="3"/>
      <c r="V752" s="3"/>
      <c r="W752" s="3"/>
      <c r="X752" s="3"/>
    </row>
    <row r="753" customFormat="false" ht="15.75" hidden="false" customHeight="false" outlineLevel="0" collapsed="false">
      <c r="R753" s="3"/>
      <c r="S753" s="3"/>
      <c r="T753" s="3"/>
      <c r="V753" s="3"/>
      <c r="W753" s="3"/>
      <c r="X753" s="3"/>
    </row>
    <row r="754" customFormat="false" ht="15.75" hidden="false" customHeight="false" outlineLevel="0" collapsed="false">
      <c r="R754" s="3"/>
      <c r="S754" s="3"/>
      <c r="T754" s="3"/>
      <c r="V754" s="3"/>
      <c r="W754" s="3"/>
      <c r="X754" s="3"/>
    </row>
    <row r="755" customFormat="false" ht="15.75" hidden="false" customHeight="false" outlineLevel="0" collapsed="false">
      <c r="R755" s="3"/>
      <c r="S755" s="3"/>
      <c r="T755" s="3"/>
      <c r="V755" s="3"/>
      <c r="W755" s="3"/>
      <c r="X755" s="3"/>
    </row>
    <row r="756" customFormat="false" ht="15.75" hidden="false" customHeight="false" outlineLevel="0" collapsed="false">
      <c r="R756" s="3"/>
      <c r="S756" s="3"/>
      <c r="T756" s="3"/>
      <c r="V756" s="3"/>
      <c r="W756" s="3"/>
      <c r="X756" s="3"/>
    </row>
    <row r="757" customFormat="false" ht="15.75" hidden="false" customHeight="false" outlineLevel="0" collapsed="false">
      <c r="R757" s="3"/>
      <c r="S757" s="3"/>
      <c r="T757" s="3"/>
      <c r="V757" s="3"/>
      <c r="W757" s="3"/>
      <c r="X757" s="3"/>
    </row>
    <row r="758" customFormat="false" ht="15.75" hidden="false" customHeight="false" outlineLevel="0" collapsed="false">
      <c r="R758" s="3"/>
      <c r="S758" s="3"/>
      <c r="T758" s="3"/>
      <c r="V758" s="3"/>
      <c r="W758" s="3"/>
      <c r="X758" s="3"/>
    </row>
    <row r="759" customFormat="false" ht="15.75" hidden="false" customHeight="false" outlineLevel="0" collapsed="false">
      <c r="R759" s="3"/>
      <c r="S759" s="3"/>
      <c r="T759" s="3"/>
      <c r="V759" s="3"/>
      <c r="W759" s="3"/>
      <c r="X759" s="3"/>
    </row>
    <row r="760" customFormat="false" ht="15.75" hidden="false" customHeight="false" outlineLevel="0" collapsed="false">
      <c r="R760" s="3"/>
      <c r="S760" s="3"/>
      <c r="T760" s="3"/>
      <c r="V760" s="3"/>
      <c r="W760" s="3"/>
      <c r="X760" s="3"/>
    </row>
    <row r="761" customFormat="false" ht="15.75" hidden="false" customHeight="false" outlineLevel="0" collapsed="false">
      <c r="R761" s="3"/>
      <c r="S761" s="3"/>
      <c r="T761" s="3"/>
      <c r="V761" s="3"/>
      <c r="W761" s="3"/>
      <c r="X761" s="3"/>
    </row>
    <row r="762" customFormat="false" ht="15.75" hidden="false" customHeight="false" outlineLevel="0" collapsed="false">
      <c r="R762" s="3"/>
      <c r="S762" s="3"/>
      <c r="T762" s="3"/>
      <c r="V762" s="3"/>
      <c r="W762" s="3"/>
      <c r="X762" s="3"/>
    </row>
    <row r="763" customFormat="false" ht="15.75" hidden="false" customHeight="false" outlineLevel="0" collapsed="false">
      <c r="R763" s="3"/>
      <c r="S763" s="3"/>
      <c r="T763" s="3"/>
      <c r="V763" s="3"/>
      <c r="W763" s="3"/>
      <c r="X763" s="3"/>
    </row>
    <row r="764" customFormat="false" ht="15.75" hidden="false" customHeight="false" outlineLevel="0" collapsed="false">
      <c r="R764" s="3"/>
      <c r="S764" s="3"/>
      <c r="T764" s="3"/>
      <c r="V764" s="3"/>
      <c r="W764" s="3"/>
      <c r="X764" s="3"/>
    </row>
    <row r="765" customFormat="false" ht="15.75" hidden="false" customHeight="false" outlineLevel="0" collapsed="false">
      <c r="R765" s="3"/>
      <c r="S765" s="3"/>
      <c r="T765" s="3"/>
      <c r="V765" s="3"/>
      <c r="W765" s="3"/>
      <c r="X765" s="3"/>
    </row>
    <row r="766" customFormat="false" ht="15.75" hidden="false" customHeight="false" outlineLevel="0" collapsed="false">
      <c r="R766" s="3"/>
      <c r="S766" s="3"/>
      <c r="T766" s="3"/>
      <c r="V766" s="3"/>
      <c r="W766" s="3"/>
      <c r="X766" s="3"/>
    </row>
    <row r="767" customFormat="false" ht="15.75" hidden="false" customHeight="false" outlineLevel="0" collapsed="false">
      <c r="R767" s="3"/>
      <c r="S767" s="3"/>
      <c r="T767" s="3"/>
      <c r="V767" s="3"/>
      <c r="W767" s="3"/>
      <c r="X767" s="3"/>
    </row>
    <row r="768" customFormat="false" ht="15.75" hidden="false" customHeight="false" outlineLevel="0" collapsed="false">
      <c r="R768" s="3"/>
      <c r="S768" s="3"/>
      <c r="T768" s="3"/>
      <c r="V768" s="3"/>
      <c r="W768" s="3"/>
      <c r="X768" s="3"/>
    </row>
    <row r="769" customFormat="false" ht="15.75" hidden="false" customHeight="false" outlineLevel="0" collapsed="false">
      <c r="R769" s="3"/>
      <c r="S769" s="3"/>
      <c r="T769" s="3"/>
      <c r="V769" s="3"/>
      <c r="W769" s="3"/>
      <c r="X769" s="3"/>
    </row>
    <row r="770" customFormat="false" ht="15.75" hidden="false" customHeight="false" outlineLevel="0" collapsed="false">
      <c r="R770" s="3"/>
      <c r="S770" s="3"/>
      <c r="T770" s="3"/>
      <c r="V770" s="3"/>
      <c r="W770" s="3"/>
      <c r="X770" s="3"/>
    </row>
    <row r="771" customFormat="false" ht="15.75" hidden="false" customHeight="false" outlineLevel="0" collapsed="false">
      <c r="R771" s="3"/>
      <c r="S771" s="3"/>
      <c r="T771" s="3"/>
      <c r="V771" s="3"/>
      <c r="W771" s="3"/>
      <c r="X771" s="3"/>
    </row>
    <row r="772" customFormat="false" ht="15.75" hidden="false" customHeight="false" outlineLevel="0" collapsed="false">
      <c r="R772" s="3"/>
      <c r="S772" s="3"/>
      <c r="T772" s="3"/>
      <c r="V772" s="3"/>
      <c r="W772" s="3"/>
      <c r="X772" s="3"/>
    </row>
    <row r="773" customFormat="false" ht="15.75" hidden="false" customHeight="false" outlineLevel="0" collapsed="false">
      <c r="R773" s="3"/>
      <c r="S773" s="3"/>
      <c r="T773" s="3"/>
      <c r="V773" s="3"/>
      <c r="W773" s="3"/>
      <c r="X773" s="3"/>
    </row>
    <row r="774" customFormat="false" ht="15.75" hidden="false" customHeight="false" outlineLevel="0" collapsed="false">
      <c r="R774" s="3"/>
      <c r="S774" s="3"/>
      <c r="T774" s="3"/>
      <c r="V774" s="3"/>
      <c r="W774" s="3"/>
      <c r="X774" s="3"/>
    </row>
    <row r="775" customFormat="false" ht="15.75" hidden="false" customHeight="false" outlineLevel="0" collapsed="false">
      <c r="R775" s="3"/>
      <c r="S775" s="3"/>
      <c r="T775" s="3"/>
      <c r="V775" s="3"/>
      <c r="W775" s="3"/>
      <c r="X775" s="3"/>
    </row>
    <row r="776" customFormat="false" ht="15.75" hidden="false" customHeight="false" outlineLevel="0" collapsed="false">
      <c r="R776" s="3"/>
      <c r="S776" s="3"/>
      <c r="T776" s="3"/>
      <c r="V776" s="3"/>
      <c r="W776" s="3"/>
      <c r="X776" s="3"/>
    </row>
    <row r="777" customFormat="false" ht="15.75" hidden="false" customHeight="false" outlineLevel="0" collapsed="false">
      <c r="R777" s="3"/>
      <c r="S777" s="3"/>
      <c r="T777" s="3"/>
      <c r="V777" s="3"/>
      <c r="W777" s="3"/>
      <c r="X777" s="3"/>
    </row>
    <row r="778" customFormat="false" ht="15.75" hidden="false" customHeight="false" outlineLevel="0" collapsed="false">
      <c r="R778" s="3"/>
      <c r="S778" s="3"/>
      <c r="T778" s="3"/>
      <c r="V778" s="3"/>
      <c r="W778" s="3"/>
      <c r="X778" s="3"/>
    </row>
    <row r="779" customFormat="false" ht="15.75" hidden="false" customHeight="false" outlineLevel="0" collapsed="false">
      <c r="R779" s="3"/>
      <c r="S779" s="3"/>
      <c r="T779" s="3"/>
      <c r="V779" s="3"/>
      <c r="W779" s="3"/>
      <c r="X779" s="3"/>
    </row>
    <row r="780" customFormat="false" ht="15.75" hidden="false" customHeight="false" outlineLevel="0" collapsed="false">
      <c r="R780" s="3"/>
      <c r="S780" s="3"/>
      <c r="T780" s="3"/>
      <c r="V780" s="3"/>
      <c r="W780" s="3"/>
      <c r="X780" s="3"/>
    </row>
    <row r="781" customFormat="false" ht="15.75" hidden="false" customHeight="false" outlineLevel="0" collapsed="false">
      <c r="R781" s="3"/>
      <c r="S781" s="3"/>
      <c r="T781" s="3"/>
      <c r="V781" s="3"/>
      <c r="W781" s="3"/>
      <c r="X781" s="3"/>
    </row>
    <row r="782" customFormat="false" ht="15.75" hidden="false" customHeight="false" outlineLevel="0" collapsed="false">
      <c r="R782" s="3"/>
      <c r="S782" s="3"/>
      <c r="T782" s="3"/>
      <c r="V782" s="3"/>
      <c r="W782" s="3"/>
      <c r="X782" s="3"/>
    </row>
    <row r="783" customFormat="false" ht="15.75" hidden="false" customHeight="false" outlineLevel="0" collapsed="false">
      <c r="R783" s="3"/>
      <c r="S783" s="3"/>
      <c r="T783" s="3"/>
      <c r="V783" s="3"/>
      <c r="W783" s="3"/>
      <c r="X783" s="3"/>
    </row>
    <row r="784" customFormat="false" ht="15.75" hidden="false" customHeight="false" outlineLevel="0" collapsed="false">
      <c r="R784" s="3"/>
      <c r="S784" s="3"/>
      <c r="T784" s="3"/>
      <c r="V784" s="3"/>
      <c r="W784" s="3"/>
      <c r="X784" s="3"/>
    </row>
    <row r="785" customFormat="false" ht="15.75" hidden="false" customHeight="false" outlineLevel="0" collapsed="false">
      <c r="R785" s="3"/>
      <c r="S785" s="3"/>
      <c r="T785" s="3"/>
      <c r="V785" s="3"/>
      <c r="W785" s="3"/>
      <c r="X785" s="3"/>
    </row>
    <row r="786" customFormat="false" ht="15.75" hidden="false" customHeight="false" outlineLevel="0" collapsed="false">
      <c r="R786" s="3"/>
      <c r="S786" s="3"/>
      <c r="T786" s="3"/>
      <c r="V786" s="3"/>
      <c r="W786" s="3"/>
      <c r="X786" s="3"/>
    </row>
    <row r="787" customFormat="false" ht="15.75" hidden="false" customHeight="false" outlineLevel="0" collapsed="false">
      <c r="R787" s="3"/>
      <c r="S787" s="3"/>
      <c r="T787" s="3"/>
      <c r="V787" s="3"/>
      <c r="W787" s="3"/>
      <c r="X787" s="3"/>
    </row>
    <row r="788" customFormat="false" ht="15.75" hidden="false" customHeight="false" outlineLevel="0" collapsed="false">
      <c r="R788" s="3"/>
      <c r="S788" s="3"/>
      <c r="T788" s="3"/>
      <c r="V788" s="3"/>
      <c r="W788" s="3"/>
      <c r="X788" s="3"/>
    </row>
    <row r="789" customFormat="false" ht="15.75" hidden="false" customHeight="false" outlineLevel="0" collapsed="false">
      <c r="R789" s="3"/>
      <c r="S789" s="3"/>
      <c r="T789" s="3"/>
      <c r="V789" s="3"/>
      <c r="W789" s="3"/>
      <c r="X789" s="3"/>
    </row>
    <row r="790" customFormat="false" ht="15.75" hidden="false" customHeight="false" outlineLevel="0" collapsed="false">
      <c r="R790" s="3"/>
      <c r="S790" s="3"/>
      <c r="T790" s="3"/>
      <c r="V790" s="3"/>
      <c r="W790" s="3"/>
      <c r="X790" s="3"/>
    </row>
    <row r="791" customFormat="false" ht="15.75" hidden="false" customHeight="false" outlineLevel="0" collapsed="false">
      <c r="R791" s="3"/>
      <c r="S791" s="3"/>
      <c r="T791" s="3"/>
      <c r="V791" s="3"/>
      <c r="W791" s="3"/>
      <c r="X791" s="3"/>
    </row>
    <row r="792" customFormat="false" ht="15.75" hidden="false" customHeight="false" outlineLevel="0" collapsed="false">
      <c r="R792" s="3"/>
      <c r="S792" s="3"/>
      <c r="T792" s="3"/>
      <c r="V792" s="3"/>
      <c r="W792" s="3"/>
      <c r="X792" s="3"/>
    </row>
    <row r="793" customFormat="false" ht="15.75" hidden="false" customHeight="false" outlineLevel="0" collapsed="false">
      <c r="R793" s="3"/>
      <c r="S793" s="3"/>
      <c r="T793" s="3"/>
      <c r="V793" s="3"/>
      <c r="W793" s="3"/>
      <c r="X793" s="3"/>
    </row>
    <row r="794" customFormat="false" ht="15.75" hidden="false" customHeight="false" outlineLevel="0" collapsed="false">
      <c r="R794" s="3"/>
      <c r="S794" s="3"/>
      <c r="T794" s="3"/>
      <c r="V794" s="3"/>
      <c r="W794" s="3"/>
      <c r="X794" s="3"/>
    </row>
    <row r="795" customFormat="false" ht="15.75" hidden="false" customHeight="false" outlineLevel="0" collapsed="false">
      <c r="R795" s="3"/>
      <c r="S795" s="3"/>
      <c r="T795" s="3"/>
      <c r="V795" s="3"/>
      <c r="W795" s="3"/>
      <c r="X795" s="3"/>
    </row>
    <row r="796" customFormat="false" ht="15.75" hidden="false" customHeight="false" outlineLevel="0" collapsed="false">
      <c r="R796" s="3"/>
      <c r="S796" s="3"/>
      <c r="T796" s="3"/>
      <c r="V796" s="3"/>
      <c r="W796" s="3"/>
      <c r="X796" s="3"/>
    </row>
    <row r="797" customFormat="false" ht="15.75" hidden="false" customHeight="false" outlineLevel="0" collapsed="false">
      <c r="R797" s="3"/>
      <c r="S797" s="3"/>
      <c r="T797" s="3"/>
      <c r="V797" s="3"/>
      <c r="W797" s="3"/>
      <c r="X797" s="3"/>
    </row>
    <row r="798" customFormat="false" ht="15.75" hidden="false" customHeight="false" outlineLevel="0" collapsed="false">
      <c r="R798" s="3"/>
      <c r="S798" s="3"/>
      <c r="T798" s="3"/>
      <c r="V798" s="3"/>
      <c r="W798" s="3"/>
      <c r="X798" s="3"/>
    </row>
    <row r="799" customFormat="false" ht="15.75" hidden="false" customHeight="false" outlineLevel="0" collapsed="false">
      <c r="R799" s="3"/>
      <c r="S799" s="3"/>
      <c r="T799" s="3"/>
      <c r="V799" s="3"/>
      <c r="W799" s="3"/>
      <c r="X799" s="3"/>
    </row>
    <row r="800" customFormat="false" ht="15.75" hidden="false" customHeight="false" outlineLevel="0" collapsed="false">
      <c r="R800" s="3"/>
      <c r="S800" s="3"/>
      <c r="T800" s="3"/>
      <c r="V800" s="3"/>
      <c r="W800" s="3"/>
      <c r="X800" s="3"/>
    </row>
    <row r="801" customFormat="false" ht="15.75" hidden="false" customHeight="false" outlineLevel="0" collapsed="false">
      <c r="R801" s="3"/>
      <c r="S801" s="3"/>
      <c r="T801" s="3"/>
      <c r="V801" s="3"/>
      <c r="W801" s="3"/>
      <c r="X801" s="3"/>
    </row>
    <row r="802" customFormat="false" ht="15.75" hidden="false" customHeight="false" outlineLevel="0" collapsed="false">
      <c r="R802" s="3"/>
      <c r="S802" s="3"/>
      <c r="T802" s="3"/>
      <c r="V802" s="3"/>
      <c r="W802" s="3"/>
      <c r="X802" s="3"/>
    </row>
    <row r="803" customFormat="false" ht="15.75" hidden="false" customHeight="false" outlineLevel="0" collapsed="false">
      <c r="R803" s="3"/>
      <c r="S803" s="3"/>
      <c r="T803" s="3"/>
      <c r="V803" s="3"/>
      <c r="W803" s="3"/>
      <c r="X803" s="3"/>
    </row>
    <row r="804" customFormat="false" ht="15.75" hidden="false" customHeight="false" outlineLevel="0" collapsed="false">
      <c r="R804" s="3"/>
      <c r="S804" s="3"/>
      <c r="T804" s="3"/>
      <c r="V804" s="3"/>
      <c r="W804" s="3"/>
      <c r="X804" s="3"/>
    </row>
    <row r="805" customFormat="false" ht="15.75" hidden="false" customHeight="false" outlineLevel="0" collapsed="false">
      <c r="R805" s="3"/>
      <c r="S805" s="3"/>
      <c r="T805" s="3"/>
      <c r="V805" s="3"/>
      <c r="W805" s="3"/>
      <c r="X805" s="3"/>
    </row>
    <row r="806" customFormat="false" ht="15.75" hidden="false" customHeight="false" outlineLevel="0" collapsed="false">
      <c r="R806" s="3"/>
      <c r="S806" s="3"/>
      <c r="T806" s="3"/>
      <c r="V806" s="3"/>
      <c r="W806" s="3"/>
      <c r="X806" s="3"/>
    </row>
    <row r="807" customFormat="false" ht="15.75" hidden="false" customHeight="false" outlineLevel="0" collapsed="false">
      <c r="R807" s="3"/>
      <c r="S807" s="3"/>
      <c r="T807" s="3"/>
      <c r="V807" s="3"/>
      <c r="W807" s="3"/>
      <c r="X807" s="3"/>
    </row>
    <row r="808" customFormat="false" ht="15.75" hidden="false" customHeight="false" outlineLevel="0" collapsed="false">
      <c r="R808" s="3"/>
      <c r="S808" s="3"/>
      <c r="T808" s="3"/>
      <c r="V808" s="3"/>
      <c r="W808" s="3"/>
      <c r="X808" s="3"/>
    </row>
    <row r="809" customFormat="false" ht="15.75" hidden="false" customHeight="false" outlineLevel="0" collapsed="false">
      <c r="R809" s="3"/>
      <c r="S809" s="3"/>
      <c r="T809" s="3"/>
      <c r="V809" s="3"/>
      <c r="W809" s="3"/>
      <c r="X809" s="3"/>
    </row>
    <row r="810" customFormat="false" ht="15.75" hidden="false" customHeight="false" outlineLevel="0" collapsed="false">
      <c r="R810" s="3"/>
      <c r="S810" s="3"/>
      <c r="T810" s="3"/>
      <c r="V810" s="3"/>
      <c r="W810" s="3"/>
      <c r="X810" s="3"/>
    </row>
    <row r="811" customFormat="false" ht="15.75" hidden="false" customHeight="false" outlineLevel="0" collapsed="false">
      <c r="R811" s="3"/>
      <c r="S811" s="3"/>
      <c r="T811" s="3"/>
      <c r="V811" s="3"/>
      <c r="W811" s="3"/>
      <c r="X811" s="3"/>
    </row>
    <row r="812" customFormat="false" ht="15.75" hidden="false" customHeight="false" outlineLevel="0" collapsed="false">
      <c r="R812" s="3"/>
      <c r="S812" s="3"/>
      <c r="T812" s="3"/>
      <c r="V812" s="3"/>
      <c r="W812" s="3"/>
      <c r="X812" s="3"/>
    </row>
    <row r="813" customFormat="false" ht="15.75" hidden="false" customHeight="false" outlineLevel="0" collapsed="false">
      <c r="R813" s="3"/>
      <c r="S813" s="3"/>
      <c r="T813" s="3"/>
      <c r="V813" s="3"/>
      <c r="W813" s="3"/>
      <c r="X813" s="3"/>
    </row>
    <row r="814" customFormat="false" ht="15.75" hidden="false" customHeight="false" outlineLevel="0" collapsed="false">
      <c r="R814" s="3"/>
      <c r="S814" s="3"/>
      <c r="T814" s="3"/>
      <c r="V814" s="3"/>
      <c r="W814" s="3"/>
      <c r="X814" s="3"/>
    </row>
    <row r="815" customFormat="false" ht="15.75" hidden="false" customHeight="false" outlineLevel="0" collapsed="false">
      <c r="R815" s="3"/>
      <c r="S815" s="3"/>
      <c r="T815" s="3"/>
      <c r="V815" s="3"/>
      <c r="W815" s="3"/>
      <c r="X815" s="3"/>
    </row>
    <row r="816" customFormat="false" ht="15.75" hidden="false" customHeight="false" outlineLevel="0" collapsed="false">
      <c r="R816" s="3"/>
      <c r="S816" s="3"/>
      <c r="T816" s="3"/>
      <c r="V816" s="3"/>
      <c r="W816" s="3"/>
      <c r="X816" s="3"/>
    </row>
    <row r="817" customFormat="false" ht="15.75" hidden="false" customHeight="false" outlineLevel="0" collapsed="false">
      <c r="R817" s="3"/>
      <c r="S817" s="3"/>
      <c r="T817" s="3"/>
      <c r="V817" s="3"/>
      <c r="W817" s="3"/>
      <c r="X817" s="3"/>
    </row>
    <row r="818" customFormat="false" ht="15.75" hidden="false" customHeight="false" outlineLevel="0" collapsed="false">
      <c r="R818" s="3"/>
      <c r="S818" s="3"/>
      <c r="T818" s="3"/>
      <c r="V818" s="3"/>
      <c r="W818" s="3"/>
      <c r="X818" s="3"/>
    </row>
    <row r="819" customFormat="false" ht="15.75" hidden="false" customHeight="false" outlineLevel="0" collapsed="false">
      <c r="R819" s="3"/>
      <c r="S819" s="3"/>
      <c r="T819" s="3"/>
      <c r="V819" s="3"/>
      <c r="W819" s="3"/>
      <c r="X819" s="3"/>
    </row>
    <row r="820" customFormat="false" ht="15.75" hidden="false" customHeight="false" outlineLevel="0" collapsed="false">
      <c r="R820" s="3"/>
      <c r="S820" s="3"/>
      <c r="T820" s="3"/>
      <c r="V820" s="3"/>
      <c r="W820" s="3"/>
      <c r="X820" s="3"/>
    </row>
    <row r="821" customFormat="false" ht="15.75" hidden="false" customHeight="false" outlineLevel="0" collapsed="false">
      <c r="R821" s="3"/>
      <c r="S821" s="3"/>
      <c r="T821" s="3"/>
      <c r="V821" s="3"/>
      <c r="W821" s="3"/>
      <c r="X821" s="3"/>
    </row>
    <row r="822" customFormat="false" ht="15.75" hidden="false" customHeight="false" outlineLevel="0" collapsed="false">
      <c r="R822" s="3"/>
      <c r="S822" s="3"/>
      <c r="T822" s="3"/>
      <c r="V822" s="3"/>
      <c r="W822" s="3"/>
      <c r="X822" s="3"/>
    </row>
    <row r="823" customFormat="false" ht="15.75" hidden="false" customHeight="false" outlineLevel="0" collapsed="false">
      <c r="R823" s="3"/>
      <c r="S823" s="3"/>
      <c r="T823" s="3"/>
      <c r="V823" s="3"/>
      <c r="W823" s="3"/>
      <c r="X823" s="3"/>
    </row>
    <row r="824" customFormat="false" ht="15.75" hidden="false" customHeight="false" outlineLevel="0" collapsed="false">
      <c r="R824" s="3"/>
      <c r="S824" s="3"/>
      <c r="T824" s="3"/>
      <c r="V824" s="3"/>
      <c r="W824" s="3"/>
      <c r="X824" s="3"/>
    </row>
    <row r="825" customFormat="false" ht="15.75" hidden="false" customHeight="false" outlineLevel="0" collapsed="false">
      <c r="R825" s="3"/>
      <c r="S825" s="3"/>
      <c r="T825" s="3"/>
      <c r="V825" s="3"/>
      <c r="W825" s="3"/>
      <c r="X825" s="3"/>
    </row>
    <row r="826" customFormat="false" ht="15.75" hidden="false" customHeight="false" outlineLevel="0" collapsed="false">
      <c r="R826" s="3"/>
      <c r="S826" s="3"/>
      <c r="T826" s="3"/>
      <c r="V826" s="3"/>
      <c r="W826" s="3"/>
      <c r="X826" s="3"/>
    </row>
    <row r="827" customFormat="false" ht="15.75" hidden="false" customHeight="false" outlineLevel="0" collapsed="false">
      <c r="R827" s="3"/>
      <c r="S827" s="3"/>
      <c r="T827" s="3"/>
      <c r="V827" s="3"/>
      <c r="W827" s="3"/>
      <c r="X827" s="3"/>
    </row>
    <row r="828" customFormat="false" ht="15.75" hidden="false" customHeight="false" outlineLevel="0" collapsed="false">
      <c r="R828" s="3"/>
      <c r="S828" s="3"/>
      <c r="T828" s="3"/>
      <c r="V828" s="3"/>
      <c r="W828" s="3"/>
      <c r="X828" s="3"/>
    </row>
    <row r="829" customFormat="false" ht="15.75" hidden="false" customHeight="false" outlineLevel="0" collapsed="false">
      <c r="R829" s="3"/>
      <c r="S829" s="3"/>
      <c r="T829" s="3"/>
      <c r="V829" s="3"/>
      <c r="W829" s="3"/>
      <c r="X829" s="3"/>
    </row>
    <row r="830" customFormat="false" ht="15.75" hidden="false" customHeight="false" outlineLevel="0" collapsed="false">
      <c r="R830" s="3"/>
      <c r="S830" s="3"/>
      <c r="T830" s="3"/>
      <c r="V830" s="3"/>
      <c r="W830" s="3"/>
      <c r="X830" s="3"/>
    </row>
    <row r="831" customFormat="false" ht="15.75" hidden="false" customHeight="false" outlineLevel="0" collapsed="false">
      <c r="R831" s="3"/>
      <c r="S831" s="3"/>
      <c r="T831" s="3"/>
      <c r="V831" s="3"/>
      <c r="W831" s="3"/>
      <c r="X831" s="3"/>
    </row>
    <row r="832" customFormat="false" ht="15.75" hidden="false" customHeight="false" outlineLevel="0" collapsed="false">
      <c r="R832" s="3"/>
      <c r="S832" s="3"/>
      <c r="T832" s="3"/>
      <c r="V832" s="3"/>
      <c r="W832" s="3"/>
      <c r="X832" s="3"/>
    </row>
    <row r="833" customFormat="false" ht="15.75" hidden="false" customHeight="false" outlineLevel="0" collapsed="false">
      <c r="R833" s="3"/>
      <c r="S833" s="3"/>
      <c r="T833" s="3"/>
      <c r="V833" s="3"/>
      <c r="W833" s="3"/>
      <c r="X833" s="3"/>
    </row>
    <row r="834" customFormat="false" ht="15.75" hidden="false" customHeight="false" outlineLevel="0" collapsed="false">
      <c r="R834" s="3"/>
      <c r="S834" s="3"/>
      <c r="T834" s="3"/>
      <c r="V834" s="3"/>
      <c r="W834" s="3"/>
      <c r="X834" s="3"/>
    </row>
    <row r="835" customFormat="false" ht="15.75" hidden="false" customHeight="false" outlineLevel="0" collapsed="false">
      <c r="R835" s="3"/>
      <c r="S835" s="3"/>
      <c r="T835" s="3"/>
      <c r="V835" s="3"/>
      <c r="W835" s="3"/>
      <c r="X835" s="3"/>
    </row>
    <row r="836" customFormat="false" ht="15.75" hidden="false" customHeight="false" outlineLevel="0" collapsed="false">
      <c r="R836" s="3"/>
      <c r="S836" s="3"/>
      <c r="T836" s="3"/>
      <c r="V836" s="3"/>
      <c r="W836" s="3"/>
      <c r="X836" s="3"/>
    </row>
    <row r="837" customFormat="false" ht="15.75" hidden="false" customHeight="false" outlineLevel="0" collapsed="false">
      <c r="R837" s="3"/>
      <c r="S837" s="3"/>
      <c r="T837" s="3"/>
      <c r="V837" s="3"/>
      <c r="W837" s="3"/>
      <c r="X837" s="3"/>
    </row>
    <row r="838" customFormat="false" ht="15.75" hidden="false" customHeight="false" outlineLevel="0" collapsed="false">
      <c r="R838" s="3"/>
      <c r="S838" s="3"/>
      <c r="T838" s="3"/>
      <c r="V838" s="3"/>
      <c r="W838" s="3"/>
      <c r="X838" s="3"/>
    </row>
    <row r="839" customFormat="false" ht="15.75" hidden="false" customHeight="false" outlineLevel="0" collapsed="false">
      <c r="R839" s="3"/>
      <c r="S839" s="3"/>
      <c r="T839" s="3"/>
      <c r="V839" s="3"/>
      <c r="W839" s="3"/>
      <c r="X839" s="3"/>
    </row>
    <row r="840" customFormat="false" ht="15.75" hidden="false" customHeight="false" outlineLevel="0" collapsed="false">
      <c r="R840" s="3"/>
      <c r="S840" s="3"/>
      <c r="T840" s="3"/>
      <c r="V840" s="3"/>
      <c r="W840" s="3"/>
      <c r="X840" s="3"/>
    </row>
    <row r="841" customFormat="false" ht="15.75" hidden="false" customHeight="false" outlineLevel="0" collapsed="false">
      <c r="R841" s="3"/>
      <c r="S841" s="3"/>
      <c r="T841" s="3"/>
      <c r="V841" s="3"/>
      <c r="W841" s="3"/>
      <c r="X841" s="3"/>
    </row>
    <row r="842" customFormat="false" ht="15.75" hidden="false" customHeight="false" outlineLevel="0" collapsed="false">
      <c r="R842" s="3"/>
      <c r="S842" s="3"/>
      <c r="T842" s="3"/>
      <c r="V842" s="3"/>
      <c r="W842" s="3"/>
      <c r="X842" s="3"/>
    </row>
    <row r="843" customFormat="false" ht="15.75" hidden="false" customHeight="false" outlineLevel="0" collapsed="false">
      <c r="R843" s="3"/>
      <c r="S843" s="3"/>
      <c r="T843" s="3"/>
      <c r="V843" s="3"/>
      <c r="W843" s="3"/>
      <c r="X843" s="3"/>
    </row>
    <row r="844" customFormat="false" ht="15.75" hidden="false" customHeight="false" outlineLevel="0" collapsed="false">
      <c r="R844" s="3"/>
      <c r="S844" s="3"/>
      <c r="T844" s="3"/>
      <c r="V844" s="3"/>
      <c r="W844" s="3"/>
      <c r="X844" s="3"/>
    </row>
    <row r="845" customFormat="false" ht="15.75" hidden="false" customHeight="false" outlineLevel="0" collapsed="false">
      <c r="R845" s="3"/>
      <c r="S845" s="3"/>
      <c r="T845" s="3"/>
      <c r="V845" s="3"/>
      <c r="W845" s="3"/>
      <c r="X845" s="3"/>
    </row>
    <row r="846" customFormat="false" ht="15.75" hidden="false" customHeight="false" outlineLevel="0" collapsed="false">
      <c r="R846" s="3"/>
      <c r="S846" s="3"/>
      <c r="T846" s="3"/>
      <c r="V846" s="3"/>
      <c r="W846" s="3"/>
      <c r="X846" s="3"/>
    </row>
    <row r="847" customFormat="false" ht="15.75" hidden="false" customHeight="false" outlineLevel="0" collapsed="false">
      <c r="R847" s="3"/>
      <c r="S847" s="3"/>
      <c r="T847" s="3"/>
      <c r="V847" s="3"/>
      <c r="W847" s="3"/>
      <c r="X847" s="3"/>
    </row>
    <row r="848" customFormat="false" ht="15.75" hidden="false" customHeight="false" outlineLevel="0" collapsed="false">
      <c r="R848" s="3"/>
      <c r="S848" s="3"/>
      <c r="T848" s="3"/>
      <c r="V848" s="3"/>
      <c r="W848" s="3"/>
      <c r="X848" s="3"/>
    </row>
    <row r="849" customFormat="false" ht="15.75" hidden="false" customHeight="false" outlineLevel="0" collapsed="false">
      <c r="R849" s="3"/>
      <c r="S849" s="3"/>
      <c r="T849" s="3"/>
      <c r="V849" s="3"/>
      <c r="W849" s="3"/>
      <c r="X849" s="3"/>
    </row>
    <row r="850" customFormat="false" ht="15.75" hidden="false" customHeight="false" outlineLevel="0" collapsed="false">
      <c r="R850" s="3"/>
      <c r="S850" s="3"/>
      <c r="T850" s="3"/>
      <c r="V850" s="3"/>
      <c r="W850" s="3"/>
      <c r="X850" s="3"/>
    </row>
    <row r="851" customFormat="false" ht="15.75" hidden="false" customHeight="false" outlineLevel="0" collapsed="false">
      <c r="R851" s="3"/>
      <c r="S851" s="3"/>
      <c r="T851" s="3"/>
      <c r="V851" s="3"/>
      <c r="W851" s="3"/>
      <c r="X851" s="3"/>
    </row>
    <row r="852" customFormat="false" ht="15.75" hidden="false" customHeight="false" outlineLevel="0" collapsed="false">
      <c r="R852" s="3"/>
      <c r="S852" s="3"/>
      <c r="T852" s="3"/>
      <c r="V852" s="3"/>
      <c r="W852" s="3"/>
      <c r="X852" s="3"/>
    </row>
    <row r="853" customFormat="false" ht="15.75" hidden="false" customHeight="false" outlineLevel="0" collapsed="false">
      <c r="R853" s="3"/>
      <c r="S853" s="3"/>
      <c r="T853" s="3"/>
      <c r="V853" s="3"/>
      <c r="W853" s="3"/>
      <c r="X853" s="3"/>
    </row>
    <row r="854" customFormat="false" ht="15.75" hidden="false" customHeight="false" outlineLevel="0" collapsed="false">
      <c r="R854" s="3"/>
      <c r="S854" s="3"/>
      <c r="T854" s="3"/>
      <c r="V854" s="3"/>
      <c r="W854" s="3"/>
      <c r="X854" s="3"/>
    </row>
    <row r="855" customFormat="false" ht="15.75" hidden="false" customHeight="false" outlineLevel="0" collapsed="false">
      <c r="R855" s="3"/>
      <c r="S855" s="3"/>
      <c r="T855" s="3"/>
      <c r="V855" s="3"/>
      <c r="W855" s="3"/>
      <c r="X855" s="3"/>
    </row>
    <row r="856" customFormat="false" ht="15.75" hidden="false" customHeight="false" outlineLevel="0" collapsed="false">
      <c r="R856" s="3"/>
      <c r="S856" s="3"/>
      <c r="T856" s="3"/>
      <c r="V856" s="3"/>
      <c r="W856" s="3"/>
      <c r="X856" s="3"/>
    </row>
    <row r="857" customFormat="false" ht="15.75" hidden="false" customHeight="false" outlineLevel="0" collapsed="false">
      <c r="R857" s="3"/>
      <c r="S857" s="3"/>
      <c r="T857" s="3"/>
      <c r="V857" s="3"/>
      <c r="W857" s="3"/>
      <c r="X857" s="3"/>
    </row>
    <row r="858" customFormat="false" ht="15.75" hidden="false" customHeight="false" outlineLevel="0" collapsed="false">
      <c r="R858" s="3"/>
      <c r="S858" s="3"/>
      <c r="T858" s="3"/>
      <c r="V858" s="3"/>
      <c r="W858" s="3"/>
      <c r="X858" s="3"/>
    </row>
    <row r="859" customFormat="false" ht="15.75" hidden="false" customHeight="false" outlineLevel="0" collapsed="false">
      <c r="R859" s="3"/>
      <c r="S859" s="3"/>
      <c r="T859" s="3"/>
      <c r="V859" s="3"/>
      <c r="W859" s="3"/>
      <c r="X859" s="3"/>
    </row>
    <row r="860" customFormat="false" ht="15.75" hidden="false" customHeight="false" outlineLevel="0" collapsed="false">
      <c r="R860" s="3"/>
      <c r="S860" s="3"/>
      <c r="T860" s="3"/>
      <c r="V860" s="3"/>
      <c r="W860" s="3"/>
      <c r="X860" s="3"/>
    </row>
    <row r="861" customFormat="false" ht="15.75" hidden="false" customHeight="false" outlineLevel="0" collapsed="false">
      <c r="R861" s="3"/>
      <c r="S861" s="3"/>
      <c r="T861" s="3"/>
      <c r="V861" s="3"/>
      <c r="W861" s="3"/>
      <c r="X861" s="3"/>
    </row>
    <row r="862" customFormat="false" ht="15.75" hidden="false" customHeight="false" outlineLevel="0" collapsed="false">
      <c r="R862" s="3"/>
      <c r="S862" s="3"/>
      <c r="T862" s="3"/>
      <c r="V862" s="3"/>
      <c r="W862" s="3"/>
      <c r="X862" s="3"/>
    </row>
    <row r="863" customFormat="false" ht="15.75" hidden="false" customHeight="false" outlineLevel="0" collapsed="false">
      <c r="R863" s="3"/>
      <c r="S863" s="3"/>
      <c r="T863" s="3"/>
      <c r="V863" s="3"/>
      <c r="W863" s="3"/>
      <c r="X863" s="3"/>
    </row>
    <row r="864" customFormat="false" ht="15.75" hidden="false" customHeight="false" outlineLevel="0" collapsed="false">
      <c r="R864" s="3"/>
      <c r="S864" s="3"/>
      <c r="T864" s="3"/>
      <c r="V864" s="3"/>
      <c r="W864" s="3"/>
      <c r="X864" s="3"/>
    </row>
    <row r="865" customFormat="false" ht="15.75" hidden="false" customHeight="false" outlineLevel="0" collapsed="false">
      <c r="R865" s="3"/>
      <c r="S865" s="3"/>
      <c r="T865" s="3"/>
      <c r="V865" s="3"/>
      <c r="W865" s="3"/>
      <c r="X865" s="3"/>
    </row>
    <row r="866" customFormat="false" ht="15.75" hidden="false" customHeight="false" outlineLevel="0" collapsed="false">
      <c r="R866" s="3"/>
      <c r="S866" s="3"/>
      <c r="T866" s="3"/>
      <c r="V866" s="3"/>
      <c r="W866" s="3"/>
      <c r="X866" s="3"/>
    </row>
    <row r="867" customFormat="false" ht="15.75" hidden="false" customHeight="false" outlineLevel="0" collapsed="false">
      <c r="R867" s="3"/>
      <c r="S867" s="3"/>
      <c r="T867" s="3"/>
      <c r="V867" s="3"/>
      <c r="W867" s="3"/>
      <c r="X867" s="3"/>
    </row>
    <row r="868" customFormat="false" ht="15.75" hidden="false" customHeight="false" outlineLevel="0" collapsed="false">
      <c r="R868" s="3"/>
      <c r="S868" s="3"/>
      <c r="T868" s="3"/>
      <c r="V868" s="3"/>
      <c r="W868" s="3"/>
      <c r="X868" s="3"/>
    </row>
    <row r="869" customFormat="false" ht="15.75" hidden="false" customHeight="false" outlineLevel="0" collapsed="false">
      <c r="R869" s="3"/>
      <c r="S869" s="3"/>
      <c r="T869" s="3"/>
      <c r="V869" s="3"/>
      <c r="W869" s="3"/>
      <c r="X869" s="3"/>
    </row>
    <row r="870" customFormat="false" ht="15.75" hidden="false" customHeight="false" outlineLevel="0" collapsed="false">
      <c r="R870" s="3"/>
      <c r="S870" s="3"/>
      <c r="T870" s="3"/>
      <c r="V870" s="3"/>
      <c r="W870" s="3"/>
      <c r="X870" s="3"/>
    </row>
    <row r="871" customFormat="false" ht="15.75" hidden="false" customHeight="false" outlineLevel="0" collapsed="false">
      <c r="R871" s="3"/>
      <c r="S871" s="3"/>
      <c r="T871" s="3"/>
      <c r="V871" s="3"/>
      <c r="W871" s="3"/>
      <c r="X871" s="3"/>
    </row>
    <row r="872" customFormat="false" ht="15.75" hidden="false" customHeight="false" outlineLevel="0" collapsed="false">
      <c r="R872" s="3"/>
      <c r="S872" s="3"/>
      <c r="T872" s="3"/>
      <c r="V872" s="3"/>
      <c r="W872" s="3"/>
      <c r="X872" s="3"/>
    </row>
    <row r="873" customFormat="false" ht="15.75" hidden="false" customHeight="false" outlineLevel="0" collapsed="false">
      <c r="R873" s="3"/>
      <c r="S873" s="3"/>
      <c r="T873" s="3"/>
      <c r="V873" s="3"/>
      <c r="W873" s="3"/>
      <c r="X873" s="3"/>
    </row>
    <row r="874" customFormat="false" ht="15.75" hidden="false" customHeight="false" outlineLevel="0" collapsed="false">
      <c r="R874" s="3"/>
      <c r="S874" s="3"/>
      <c r="T874" s="3"/>
      <c r="V874" s="3"/>
      <c r="W874" s="3"/>
      <c r="X874" s="3"/>
    </row>
    <row r="875" customFormat="false" ht="15.75" hidden="false" customHeight="false" outlineLevel="0" collapsed="false">
      <c r="R875" s="3"/>
      <c r="S875" s="3"/>
      <c r="T875" s="3"/>
      <c r="V875" s="3"/>
      <c r="W875" s="3"/>
      <c r="X875" s="3"/>
    </row>
    <row r="876" customFormat="false" ht="15.75" hidden="false" customHeight="false" outlineLevel="0" collapsed="false">
      <c r="R876" s="3"/>
      <c r="S876" s="3"/>
      <c r="T876" s="3"/>
      <c r="V876" s="3"/>
      <c r="W876" s="3"/>
      <c r="X876" s="3"/>
    </row>
    <row r="877" customFormat="false" ht="15.75" hidden="false" customHeight="false" outlineLevel="0" collapsed="false">
      <c r="R877" s="3"/>
      <c r="S877" s="3"/>
      <c r="T877" s="3"/>
      <c r="V877" s="3"/>
      <c r="W877" s="3"/>
      <c r="X877" s="3"/>
    </row>
    <row r="878" customFormat="false" ht="15.75" hidden="false" customHeight="false" outlineLevel="0" collapsed="false">
      <c r="R878" s="3"/>
      <c r="S878" s="3"/>
      <c r="T878" s="3"/>
      <c r="V878" s="3"/>
      <c r="W878" s="3"/>
      <c r="X878" s="3"/>
    </row>
    <row r="879" customFormat="false" ht="15.75" hidden="false" customHeight="false" outlineLevel="0" collapsed="false">
      <c r="R879" s="3"/>
      <c r="S879" s="3"/>
      <c r="T879" s="3"/>
      <c r="V879" s="3"/>
      <c r="W879" s="3"/>
      <c r="X879" s="3"/>
    </row>
    <row r="880" customFormat="false" ht="15.75" hidden="false" customHeight="false" outlineLevel="0" collapsed="false">
      <c r="R880" s="3"/>
      <c r="S880" s="3"/>
      <c r="T880" s="3"/>
      <c r="V880" s="3"/>
      <c r="W880" s="3"/>
      <c r="X880" s="3"/>
    </row>
    <row r="881" customFormat="false" ht="15.75" hidden="false" customHeight="false" outlineLevel="0" collapsed="false">
      <c r="R881" s="3"/>
      <c r="S881" s="3"/>
      <c r="T881" s="3"/>
      <c r="V881" s="3"/>
      <c r="W881" s="3"/>
      <c r="X881" s="3"/>
    </row>
    <row r="882" customFormat="false" ht="15.75" hidden="false" customHeight="false" outlineLevel="0" collapsed="false">
      <c r="R882" s="3"/>
      <c r="S882" s="3"/>
      <c r="T882" s="3"/>
      <c r="V882" s="3"/>
      <c r="W882" s="3"/>
      <c r="X882" s="3"/>
    </row>
    <row r="883" customFormat="false" ht="15.75" hidden="false" customHeight="false" outlineLevel="0" collapsed="false">
      <c r="R883" s="3"/>
      <c r="S883" s="3"/>
      <c r="T883" s="3"/>
      <c r="V883" s="3"/>
      <c r="W883" s="3"/>
      <c r="X883" s="3"/>
    </row>
    <row r="884" customFormat="false" ht="15.75" hidden="false" customHeight="false" outlineLevel="0" collapsed="false">
      <c r="R884" s="3"/>
      <c r="S884" s="3"/>
      <c r="T884" s="3"/>
      <c r="V884" s="3"/>
      <c r="W884" s="3"/>
      <c r="X884" s="3"/>
    </row>
    <row r="885" customFormat="false" ht="15.75" hidden="false" customHeight="false" outlineLevel="0" collapsed="false">
      <c r="R885" s="3"/>
      <c r="S885" s="3"/>
      <c r="T885" s="3"/>
      <c r="V885" s="3"/>
      <c r="W885" s="3"/>
      <c r="X885" s="3"/>
    </row>
    <row r="886" customFormat="false" ht="15.75" hidden="false" customHeight="false" outlineLevel="0" collapsed="false">
      <c r="R886" s="3"/>
      <c r="S886" s="3"/>
      <c r="T886" s="3"/>
      <c r="V886" s="3"/>
      <c r="W886" s="3"/>
      <c r="X886" s="3"/>
    </row>
    <row r="887" customFormat="false" ht="15.75" hidden="false" customHeight="false" outlineLevel="0" collapsed="false">
      <c r="R887" s="3"/>
      <c r="S887" s="3"/>
      <c r="T887" s="3"/>
      <c r="V887" s="3"/>
      <c r="W887" s="3"/>
      <c r="X887" s="3"/>
    </row>
    <row r="888" customFormat="false" ht="15.75" hidden="false" customHeight="false" outlineLevel="0" collapsed="false">
      <c r="R888" s="3"/>
      <c r="S888" s="3"/>
      <c r="T888" s="3"/>
      <c r="V888" s="3"/>
      <c r="W888" s="3"/>
      <c r="X888" s="3"/>
    </row>
    <row r="889" customFormat="false" ht="15.75" hidden="false" customHeight="false" outlineLevel="0" collapsed="false">
      <c r="R889" s="3"/>
      <c r="S889" s="3"/>
      <c r="T889" s="3"/>
      <c r="V889" s="3"/>
      <c r="W889" s="3"/>
      <c r="X889" s="3"/>
    </row>
    <row r="890" customFormat="false" ht="15.75" hidden="false" customHeight="false" outlineLevel="0" collapsed="false">
      <c r="R890" s="3"/>
      <c r="S890" s="3"/>
      <c r="T890" s="3"/>
      <c r="V890" s="3"/>
      <c r="W890" s="3"/>
      <c r="X890" s="3"/>
    </row>
    <row r="891" customFormat="false" ht="15.75" hidden="false" customHeight="false" outlineLevel="0" collapsed="false">
      <c r="R891" s="3"/>
      <c r="S891" s="3"/>
      <c r="T891" s="3"/>
      <c r="V891" s="3"/>
      <c r="W891" s="3"/>
      <c r="X891" s="3"/>
    </row>
    <row r="892" customFormat="false" ht="15.75" hidden="false" customHeight="false" outlineLevel="0" collapsed="false">
      <c r="R892" s="3"/>
      <c r="S892" s="3"/>
      <c r="T892" s="3"/>
      <c r="V892" s="3"/>
      <c r="W892" s="3"/>
      <c r="X892" s="3"/>
    </row>
    <row r="893" customFormat="false" ht="15.75" hidden="false" customHeight="false" outlineLevel="0" collapsed="false">
      <c r="R893" s="3"/>
      <c r="S893" s="3"/>
      <c r="T893" s="3"/>
      <c r="V893" s="3"/>
      <c r="W893" s="3"/>
      <c r="X893" s="3"/>
    </row>
    <row r="894" customFormat="false" ht="15.75" hidden="false" customHeight="false" outlineLevel="0" collapsed="false">
      <c r="R894" s="3"/>
      <c r="S894" s="3"/>
      <c r="T894" s="3"/>
      <c r="V894" s="3"/>
      <c r="W894" s="3"/>
      <c r="X894" s="3"/>
    </row>
    <row r="895" customFormat="false" ht="15.75" hidden="false" customHeight="false" outlineLevel="0" collapsed="false">
      <c r="R895" s="3"/>
      <c r="S895" s="3"/>
      <c r="T895" s="3"/>
      <c r="V895" s="3"/>
      <c r="W895" s="3"/>
      <c r="X895" s="3"/>
    </row>
    <row r="896" customFormat="false" ht="15.75" hidden="false" customHeight="false" outlineLevel="0" collapsed="false">
      <c r="R896" s="3"/>
      <c r="S896" s="3"/>
      <c r="T896" s="3"/>
      <c r="V896" s="3"/>
      <c r="W896" s="3"/>
      <c r="X896" s="3"/>
    </row>
    <row r="897" customFormat="false" ht="15.75" hidden="false" customHeight="false" outlineLevel="0" collapsed="false">
      <c r="R897" s="3"/>
      <c r="S897" s="3"/>
      <c r="T897" s="3"/>
      <c r="V897" s="3"/>
      <c r="W897" s="3"/>
      <c r="X897" s="3"/>
    </row>
    <row r="898" customFormat="false" ht="15.75" hidden="false" customHeight="false" outlineLevel="0" collapsed="false">
      <c r="R898" s="3"/>
      <c r="S898" s="3"/>
      <c r="T898" s="3"/>
      <c r="V898" s="3"/>
      <c r="W898" s="3"/>
      <c r="X898" s="3"/>
    </row>
    <row r="899" customFormat="false" ht="15.75" hidden="false" customHeight="false" outlineLevel="0" collapsed="false">
      <c r="R899" s="3"/>
      <c r="S899" s="3"/>
      <c r="T899" s="3"/>
      <c r="V899" s="3"/>
      <c r="W899" s="3"/>
      <c r="X899" s="3"/>
    </row>
    <row r="900" customFormat="false" ht="15.75" hidden="false" customHeight="false" outlineLevel="0" collapsed="false">
      <c r="R900" s="3"/>
      <c r="S900" s="3"/>
      <c r="T900" s="3"/>
      <c r="V900" s="3"/>
      <c r="W900" s="3"/>
      <c r="X900" s="3"/>
    </row>
    <row r="901" customFormat="false" ht="15.75" hidden="false" customHeight="false" outlineLevel="0" collapsed="false">
      <c r="R901" s="3"/>
      <c r="S901" s="3"/>
      <c r="T901" s="3"/>
      <c r="V901" s="3"/>
      <c r="W901" s="3"/>
      <c r="X901" s="3"/>
    </row>
    <row r="902" customFormat="false" ht="15.75" hidden="false" customHeight="false" outlineLevel="0" collapsed="false">
      <c r="R902" s="3"/>
      <c r="S902" s="3"/>
      <c r="T902" s="3"/>
      <c r="V902" s="3"/>
      <c r="W902" s="3"/>
      <c r="X902" s="3"/>
    </row>
    <row r="903" customFormat="false" ht="15.75" hidden="false" customHeight="false" outlineLevel="0" collapsed="false">
      <c r="R903" s="3"/>
      <c r="S903" s="3"/>
      <c r="T903" s="3"/>
      <c r="V903" s="3"/>
      <c r="W903" s="3"/>
      <c r="X903" s="3"/>
    </row>
    <row r="904" customFormat="false" ht="15.75" hidden="false" customHeight="false" outlineLevel="0" collapsed="false">
      <c r="R904" s="3"/>
      <c r="S904" s="3"/>
      <c r="T904" s="3"/>
      <c r="V904" s="3"/>
      <c r="W904" s="3"/>
      <c r="X904" s="3"/>
    </row>
    <row r="905" customFormat="false" ht="15.75" hidden="false" customHeight="false" outlineLevel="0" collapsed="false">
      <c r="R905" s="3"/>
      <c r="S905" s="3"/>
      <c r="T905" s="3"/>
      <c r="V905" s="3"/>
      <c r="W905" s="3"/>
      <c r="X905" s="3"/>
    </row>
    <row r="906" customFormat="false" ht="15.75" hidden="false" customHeight="false" outlineLevel="0" collapsed="false">
      <c r="R906" s="3"/>
      <c r="S906" s="3"/>
      <c r="T906" s="3"/>
      <c r="V906" s="3"/>
      <c r="W906" s="3"/>
      <c r="X906" s="3"/>
    </row>
    <row r="907" customFormat="false" ht="15.75" hidden="false" customHeight="false" outlineLevel="0" collapsed="false">
      <c r="R907" s="3"/>
      <c r="S907" s="3"/>
      <c r="T907" s="3"/>
      <c r="V907" s="3"/>
      <c r="W907" s="3"/>
      <c r="X907" s="3"/>
    </row>
    <row r="908" customFormat="false" ht="15.75" hidden="false" customHeight="false" outlineLevel="0" collapsed="false">
      <c r="R908" s="3"/>
      <c r="S908" s="3"/>
      <c r="T908" s="3"/>
      <c r="V908" s="3"/>
      <c r="W908" s="3"/>
      <c r="X908" s="3"/>
    </row>
    <row r="909" customFormat="false" ht="15.75" hidden="false" customHeight="false" outlineLevel="0" collapsed="false">
      <c r="R909" s="3"/>
      <c r="S909" s="3"/>
      <c r="T909" s="3"/>
      <c r="V909" s="3"/>
      <c r="W909" s="3"/>
      <c r="X909" s="3"/>
    </row>
    <row r="910" customFormat="false" ht="15.75" hidden="false" customHeight="false" outlineLevel="0" collapsed="false">
      <c r="R910" s="3"/>
      <c r="S910" s="3"/>
      <c r="T910" s="3"/>
      <c r="V910" s="3"/>
      <c r="W910" s="3"/>
      <c r="X910" s="3"/>
    </row>
    <row r="911" customFormat="false" ht="15.75" hidden="false" customHeight="false" outlineLevel="0" collapsed="false">
      <c r="R911" s="3"/>
      <c r="S911" s="3"/>
      <c r="T911" s="3"/>
      <c r="V911" s="3"/>
      <c r="W911" s="3"/>
      <c r="X911" s="3"/>
    </row>
    <row r="912" customFormat="false" ht="15.75" hidden="false" customHeight="false" outlineLevel="0" collapsed="false">
      <c r="R912" s="3"/>
      <c r="S912" s="3"/>
      <c r="T912" s="3"/>
      <c r="V912" s="3"/>
      <c r="W912" s="3"/>
      <c r="X912" s="3"/>
    </row>
    <row r="913" customFormat="false" ht="15.75" hidden="false" customHeight="false" outlineLevel="0" collapsed="false">
      <c r="R913" s="3"/>
      <c r="S913" s="3"/>
      <c r="T913" s="3"/>
      <c r="V913" s="3"/>
      <c r="W913" s="3"/>
      <c r="X913" s="3"/>
    </row>
    <row r="914" customFormat="false" ht="15.75" hidden="false" customHeight="false" outlineLevel="0" collapsed="false">
      <c r="R914" s="3"/>
      <c r="S914" s="3"/>
      <c r="T914" s="3"/>
      <c r="V914" s="3"/>
      <c r="W914" s="3"/>
      <c r="X914" s="3"/>
    </row>
    <row r="915" customFormat="false" ht="15.75" hidden="false" customHeight="false" outlineLevel="0" collapsed="false">
      <c r="R915" s="3"/>
      <c r="S915" s="3"/>
      <c r="T915" s="3"/>
      <c r="V915" s="3"/>
      <c r="W915" s="3"/>
      <c r="X915" s="3"/>
    </row>
    <row r="916" customFormat="false" ht="15.75" hidden="false" customHeight="false" outlineLevel="0" collapsed="false">
      <c r="R916" s="3"/>
      <c r="S916" s="3"/>
      <c r="T916" s="3"/>
      <c r="V916" s="3"/>
      <c r="W916" s="3"/>
      <c r="X916" s="3"/>
    </row>
    <row r="917" customFormat="false" ht="15.75" hidden="false" customHeight="false" outlineLevel="0" collapsed="false">
      <c r="R917" s="3"/>
      <c r="S917" s="3"/>
      <c r="T917" s="3"/>
      <c r="V917" s="3"/>
      <c r="W917" s="3"/>
      <c r="X917" s="3"/>
    </row>
    <row r="918" customFormat="false" ht="15.75" hidden="false" customHeight="false" outlineLevel="0" collapsed="false">
      <c r="R918" s="3"/>
      <c r="S918" s="3"/>
      <c r="T918" s="3"/>
      <c r="V918" s="3"/>
      <c r="W918" s="3"/>
      <c r="X918" s="3"/>
    </row>
    <row r="919" customFormat="false" ht="15.75" hidden="false" customHeight="false" outlineLevel="0" collapsed="false">
      <c r="R919" s="3"/>
      <c r="S919" s="3"/>
      <c r="T919" s="3"/>
      <c r="V919" s="3"/>
      <c r="W919" s="3"/>
      <c r="X919" s="3"/>
    </row>
    <row r="920" customFormat="false" ht="15.75" hidden="false" customHeight="false" outlineLevel="0" collapsed="false">
      <c r="R920" s="3"/>
      <c r="S920" s="3"/>
      <c r="T920" s="3"/>
      <c r="V920" s="3"/>
      <c r="W920" s="3"/>
      <c r="X920" s="3"/>
    </row>
    <row r="921" customFormat="false" ht="15.75" hidden="false" customHeight="false" outlineLevel="0" collapsed="false">
      <c r="R921" s="3"/>
      <c r="S921" s="3"/>
      <c r="T921" s="3"/>
      <c r="V921" s="3"/>
      <c r="W921" s="3"/>
      <c r="X921" s="3"/>
    </row>
    <row r="922" customFormat="false" ht="15.75" hidden="false" customHeight="false" outlineLevel="0" collapsed="false">
      <c r="R922" s="3"/>
      <c r="S922" s="3"/>
      <c r="T922" s="3"/>
      <c r="V922" s="3"/>
      <c r="W922" s="3"/>
      <c r="X922" s="3"/>
    </row>
    <row r="923" customFormat="false" ht="15.75" hidden="false" customHeight="false" outlineLevel="0" collapsed="false">
      <c r="R923" s="3"/>
      <c r="S923" s="3"/>
      <c r="T923" s="3"/>
      <c r="V923" s="3"/>
      <c r="W923" s="3"/>
      <c r="X923" s="3"/>
    </row>
    <row r="924" customFormat="false" ht="15.75" hidden="false" customHeight="false" outlineLevel="0" collapsed="false">
      <c r="R924" s="3"/>
      <c r="S924" s="3"/>
      <c r="T924" s="3"/>
      <c r="V924" s="3"/>
      <c r="W924" s="3"/>
      <c r="X924" s="3"/>
    </row>
    <row r="925" customFormat="false" ht="15.75" hidden="false" customHeight="false" outlineLevel="0" collapsed="false">
      <c r="R925" s="3"/>
      <c r="S925" s="3"/>
      <c r="T925" s="3"/>
      <c r="V925" s="3"/>
      <c r="W925" s="3"/>
      <c r="X925" s="3"/>
    </row>
    <row r="926" customFormat="false" ht="15.75" hidden="false" customHeight="false" outlineLevel="0" collapsed="false">
      <c r="R926" s="3"/>
      <c r="S926" s="3"/>
      <c r="T926" s="3"/>
      <c r="V926" s="3"/>
      <c r="W926" s="3"/>
      <c r="X926" s="3"/>
    </row>
    <row r="927" customFormat="false" ht="15.75" hidden="false" customHeight="false" outlineLevel="0" collapsed="false">
      <c r="R927" s="3"/>
      <c r="S927" s="3"/>
      <c r="T927" s="3"/>
      <c r="V927" s="3"/>
      <c r="W927" s="3"/>
      <c r="X927" s="3"/>
    </row>
    <row r="928" customFormat="false" ht="15.75" hidden="false" customHeight="false" outlineLevel="0" collapsed="false">
      <c r="R928" s="3"/>
      <c r="S928" s="3"/>
      <c r="T928" s="3"/>
      <c r="V928" s="3"/>
      <c r="W928" s="3"/>
      <c r="X928" s="3"/>
    </row>
    <row r="929" customFormat="false" ht="15.75" hidden="false" customHeight="false" outlineLevel="0" collapsed="false">
      <c r="R929" s="3"/>
      <c r="S929" s="3"/>
      <c r="T929" s="3"/>
      <c r="V929" s="3"/>
      <c r="W929" s="3"/>
      <c r="X929" s="3"/>
    </row>
    <row r="930" customFormat="false" ht="15.75" hidden="false" customHeight="false" outlineLevel="0" collapsed="false">
      <c r="R930" s="3"/>
      <c r="S930" s="3"/>
      <c r="T930" s="3"/>
      <c r="V930" s="3"/>
      <c r="W930" s="3"/>
      <c r="X930" s="3"/>
    </row>
    <row r="931" customFormat="false" ht="15.75" hidden="false" customHeight="false" outlineLevel="0" collapsed="false">
      <c r="R931" s="3"/>
      <c r="S931" s="3"/>
      <c r="T931" s="3"/>
      <c r="V931" s="3"/>
      <c r="W931" s="3"/>
      <c r="X931" s="3"/>
    </row>
    <row r="932" customFormat="false" ht="15.75" hidden="false" customHeight="false" outlineLevel="0" collapsed="false">
      <c r="R932" s="3"/>
      <c r="S932" s="3"/>
      <c r="T932" s="3"/>
      <c r="V932" s="3"/>
      <c r="W932" s="3"/>
      <c r="X932" s="3"/>
    </row>
    <row r="933" customFormat="false" ht="15.75" hidden="false" customHeight="false" outlineLevel="0" collapsed="false">
      <c r="R933" s="3"/>
      <c r="S933" s="3"/>
      <c r="T933" s="3"/>
      <c r="V933" s="3"/>
      <c r="W933" s="3"/>
      <c r="X933" s="3"/>
    </row>
    <row r="934" customFormat="false" ht="15.75" hidden="false" customHeight="false" outlineLevel="0" collapsed="false">
      <c r="R934" s="3"/>
      <c r="S934" s="3"/>
      <c r="T934" s="3"/>
      <c r="V934" s="3"/>
      <c r="W934" s="3"/>
      <c r="X934" s="3"/>
    </row>
    <row r="935" customFormat="false" ht="15.75" hidden="false" customHeight="false" outlineLevel="0" collapsed="false">
      <c r="R935" s="3"/>
      <c r="S935" s="3"/>
      <c r="T935" s="3"/>
      <c r="V935" s="3"/>
      <c r="W935" s="3"/>
      <c r="X935" s="3"/>
    </row>
    <row r="936" customFormat="false" ht="15.75" hidden="false" customHeight="false" outlineLevel="0" collapsed="false">
      <c r="R936" s="3"/>
      <c r="S936" s="3"/>
      <c r="T936" s="3"/>
      <c r="V936" s="3"/>
      <c r="W936" s="3"/>
      <c r="X936" s="3"/>
    </row>
    <row r="937" customFormat="false" ht="15.75" hidden="false" customHeight="false" outlineLevel="0" collapsed="false">
      <c r="R937" s="3"/>
      <c r="S937" s="3"/>
      <c r="T937" s="3"/>
      <c r="V937" s="3"/>
      <c r="W937" s="3"/>
      <c r="X937" s="3"/>
    </row>
    <row r="938" customFormat="false" ht="15.75" hidden="false" customHeight="false" outlineLevel="0" collapsed="false">
      <c r="R938" s="3"/>
      <c r="S938" s="3"/>
      <c r="T938" s="3"/>
      <c r="V938" s="3"/>
      <c r="W938" s="3"/>
      <c r="X938" s="3"/>
    </row>
    <row r="939" customFormat="false" ht="15.75" hidden="false" customHeight="false" outlineLevel="0" collapsed="false">
      <c r="R939" s="3"/>
      <c r="S939" s="3"/>
      <c r="T939" s="3"/>
      <c r="V939" s="3"/>
      <c r="W939" s="3"/>
      <c r="X939" s="3"/>
    </row>
    <row r="940" customFormat="false" ht="15.75" hidden="false" customHeight="false" outlineLevel="0" collapsed="false">
      <c r="R940" s="3"/>
      <c r="S940" s="3"/>
      <c r="T940" s="3"/>
      <c r="V940" s="3"/>
      <c r="W940" s="3"/>
      <c r="X940" s="3"/>
    </row>
    <row r="941" customFormat="false" ht="15.75" hidden="false" customHeight="false" outlineLevel="0" collapsed="false">
      <c r="R941" s="3"/>
      <c r="S941" s="3"/>
      <c r="T941" s="3"/>
      <c r="V941" s="3"/>
      <c r="W941" s="3"/>
      <c r="X941" s="3"/>
    </row>
    <row r="942" customFormat="false" ht="15.75" hidden="false" customHeight="false" outlineLevel="0" collapsed="false">
      <c r="R942" s="3"/>
      <c r="S942" s="3"/>
      <c r="T942" s="3"/>
      <c r="V942" s="3"/>
      <c r="W942" s="3"/>
      <c r="X942" s="3"/>
    </row>
    <row r="943" customFormat="false" ht="15.75" hidden="false" customHeight="false" outlineLevel="0" collapsed="false">
      <c r="R943" s="3"/>
      <c r="S943" s="3"/>
      <c r="T943" s="3"/>
      <c r="V943" s="3"/>
      <c r="W943" s="3"/>
      <c r="X943" s="3"/>
    </row>
    <row r="944" customFormat="false" ht="15.75" hidden="false" customHeight="false" outlineLevel="0" collapsed="false">
      <c r="R944" s="3"/>
      <c r="S944" s="3"/>
      <c r="T944" s="3"/>
      <c r="V944" s="3"/>
      <c r="W944" s="3"/>
      <c r="X944" s="3"/>
    </row>
    <row r="945" customFormat="false" ht="15.75" hidden="false" customHeight="false" outlineLevel="0" collapsed="false">
      <c r="R945" s="3"/>
      <c r="S945" s="3"/>
      <c r="T945" s="3"/>
      <c r="V945" s="3"/>
      <c r="W945" s="3"/>
      <c r="X945" s="3"/>
    </row>
    <row r="946" customFormat="false" ht="15.75" hidden="false" customHeight="false" outlineLevel="0" collapsed="false">
      <c r="R946" s="3"/>
      <c r="S946" s="3"/>
      <c r="T946" s="3"/>
      <c r="V946" s="3"/>
      <c r="W946" s="3"/>
      <c r="X946" s="3"/>
    </row>
    <row r="947" customFormat="false" ht="15.75" hidden="false" customHeight="false" outlineLevel="0" collapsed="false">
      <c r="R947" s="3"/>
      <c r="S947" s="3"/>
      <c r="T947" s="3"/>
      <c r="V947" s="3"/>
      <c r="W947" s="3"/>
      <c r="X947" s="3"/>
    </row>
    <row r="948" customFormat="false" ht="15.75" hidden="false" customHeight="false" outlineLevel="0" collapsed="false">
      <c r="R948" s="3"/>
      <c r="S948" s="3"/>
      <c r="T948" s="3"/>
      <c r="V948" s="3"/>
      <c r="W948" s="3"/>
      <c r="X948" s="3"/>
    </row>
    <row r="949" customFormat="false" ht="15.75" hidden="false" customHeight="false" outlineLevel="0" collapsed="false">
      <c r="R949" s="3"/>
      <c r="S949" s="3"/>
      <c r="T949" s="3"/>
      <c r="V949" s="3"/>
      <c r="W949" s="3"/>
      <c r="X949" s="3"/>
    </row>
    <row r="950" customFormat="false" ht="15.75" hidden="false" customHeight="false" outlineLevel="0" collapsed="false">
      <c r="R950" s="3"/>
      <c r="S950" s="3"/>
      <c r="T950" s="3"/>
      <c r="V950" s="3"/>
      <c r="W950" s="3"/>
      <c r="X950" s="3"/>
    </row>
    <row r="951" customFormat="false" ht="15.75" hidden="false" customHeight="false" outlineLevel="0" collapsed="false">
      <c r="R951" s="3"/>
      <c r="S951" s="3"/>
      <c r="T951" s="3"/>
      <c r="V951" s="3"/>
      <c r="W951" s="3"/>
      <c r="X951" s="3"/>
    </row>
    <row r="952" customFormat="false" ht="15.75" hidden="false" customHeight="false" outlineLevel="0" collapsed="false">
      <c r="R952" s="3"/>
      <c r="S952" s="3"/>
      <c r="T952" s="3"/>
      <c r="V952" s="3"/>
      <c r="W952" s="3"/>
      <c r="X952" s="3"/>
    </row>
    <row r="953" customFormat="false" ht="15.75" hidden="false" customHeight="false" outlineLevel="0" collapsed="false">
      <c r="R953" s="3"/>
      <c r="S953" s="3"/>
      <c r="T953" s="3"/>
      <c r="V953" s="3"/>
      <c r="W953" s="3"/>
      <c r="X953" s="3"/>
    </row>
    <row r="954" customFormat="false" ht="15.75" hidden="false" customHeight="false" outlineLevel="0" collapsed="false">
      <c r="R954" s="3"/>
      <c r="S954" s="3"/>
      <c r="T954" s="3"/>
      <c r="V954" s="3"/>
      <c r="W954" s="3"/>
      <c r="X954" s="3"/>
    </row>
    <row r="955" customFormat="false" ht="15.75" hidden="false" customHeight="false" outlineLevel="0" collapsed="false">
      <c r="R955" s="3"/>
      <c r="S955" s="3"/>
      <c r="T955" s="3"/>
      <c r="V955" s="3"/>
      <c r="W955" s="3"/>
      <c r="X955" s="3"/>
    </row>
    <row r="956" customFormat="false" ht="15.75" hidden="false" customHeight="false" outlineLevel="0" collapsed="false">
      <c r="R956" s="3"/>
      <c r="S956" s="3"/>
      <c r="T956" s="3"/>
      <c r="V956" s="3"/>
      <c r="W956" s="3"/>
      <c r="X956" s="3"/>
    </row>
    <row r="957" customFormat="false" ht="15.75" hidden="false" customHeight="false" outlineLevel="0" collapsed="false">
      <c r="R957" s="3"/>
      <c r="S957" s="3"/>
      <c r="T957" s="3"/>
      <c r="V957" s="3"/>
      <c r="W957" s="3"/>
      <c r="X957" s="3"/>
    </row>
    <row r="958" customFormat="false" ht="15.75" hidden="false" customHeight="false" outlineLevel="0" collapsed="false">
      <c r="R958" s="3"/>
      <c r="S958" s="3"/>
      <c r="T958" s="3"/>
      <c r="V958" s="3"/>
      <c r="W958" s="3"/>
      <c r="X958" s="3"/>
    </row>
    <row r="959" customFormat="false" ht="15.75" hidden="false" customHeight="false" outlineLevel="0" collapsed="false">
      <c r="R959" s="3"/>
      <c r="S959" s="3"/>
      <c r="T959" s="3"/>
      <c r="V959" s="3"/>
      <c r="W959" s="3"/>
      <c r="X959" s="3"/>
    </row>
    <row r="960" customFormat="false" ht="15.75" hidden="false" customHeight="false" outlineLevel="0" collapsed="false">
      <c r="R960" s="3"/>
      <c r="S960" s="3"/>
      <c r="T960" s="3"/>
      <c r="V960" s="3"/>
      <c r="W960" s="3"/>
      <c r="X960" s="3"/>
    </row>
    <row r="961" customFormat="false" ht="15.75" hidden="false" customHeight="false" outlineLevel="0" collapsed="false">
      <c r="R961" s="3"/>
      <c r="S961" s="3"/>
      <c r="T961" s="3"/>
      <c r="V961" s="3"/>
      <c r="W961" s="3"/>
      <c r="X961" s="3"/>
    </row>
    <row r="962" customFormat="false" ht="15.75" hidden="false" customHeight="false" outlineLevel="0" collapsed="false">
      <c r="R962" s="3"/>
      <c r="S962" s="3"/>
      <c r="T962" s="3"/>
      <c r="V962" s="3"/>
      <c r="W962" s="3"/>
      <c r="X962" s="3"/>
    </row>
    <row r="963" customFormat="false" ht="15.75" hidden="false" customHeight="false" outlineLevel="0" collapsed="false">
      <c r="R963" s="3"/>
      <c r="S963" s="3"/>
      <c r="T963" s="3"/>
      <c r="V963" s="3"/>
      <c r="W963" s="3"/>
      <c r="X963" s="3"/>
    </row>
    <row r="964" customFormat="false" ht="15.75" hidden="false" customHeight="false" outlineLevel="0" collapsed="false">
      <c r="R964" s="3"/>
      <c r="S964" s="3"/>
      <c r="T964" s="3"/>
      <c r="V964" s="3"/>
      <c r="W964" s="3"/>
      <c r="X964" s="3"/>
    </row>
    <row r="965" customFormat="false" ht="15.75" hidden="false" customHeight="false" outlineLevel="0" collapsed="false">
      <c r="R965" s="3"/>
      <c r="S965" s="3"/>
      <c r="T965" s="3"/>
      <c r="V965" s="3"/>
      <c r="W965" s="3"/>
      <c r="X965" s="3"/>
    </row>
    <row r="966" customFormat="false" ht="15.75" hidden="false" customHeight="false" outlineLevel="0" collapsed="false">
      <c r="R966" s="3"/>
      <c r="S966" s="3"/>
      <c r="T966" s="3"/>
      <c r="V966" s="3"/>
      <c r="W966" s="3"/>
      <c r="X966" s="3"/>
    </row>
    <row r="967" customFormat="false" ht="15.75" hidden="false" customHeight="false" outlineLevel="0" collapsed="false">
      <c r="R967" s="3"/>
      <c r="S967" s="3"/>
      <c r="T967" s="3"/>
      <c r="V967" s="3"/>
      <c r="W967" s="3"/>
      <c r="X967" s="3"/>
    </row>
    <row r="968" customFormat="false" ht="15.75" hidden="false" customHeight="false" outlineLevel="0" collapsed="false">
      <c r="R968" s="3"/>
      <c r="S968" s="3"/>
      <c r="T968" s="3"/>
      <c r="V968" s="3"/>
      <c r="W968" s="3"/>
      <c r="X968" s="3"/>
    </row>
    <row r="969" customFormat="false" ht="15.75" hidden="false" customHeight="false" outlineLevel="0" collapsed="false">
      <c r="R969" s="3"/>
      <c r="S969" s="3"/>
      <c r="T969" s="3"/>
      <c r="V969" s="3"/>
      <c r="W969" s="3"/>
      <c r="X969" s="3"/>
    </row>
    <row r="970" customFormat="false" ht="15.75" hidden="false" customHeight="false" outlineLevel="0" collapsed="false">
      <c r="R970" s="3"/>
      <c r="S970" s="3"/>
      <c r="T970" s="3"/>
      <c r="V970" s="3"/>
      <c r="W970" s="3"/>
      <c r="X970" s="3"/>
    </row>
    <row r="971" customFormat="false" ht="15.75" hidden="false" customHeight="false" outlineLevel="0" collapsed="false">
      <c r="R971" s="3"/>
      <c r="S971" s="3"/>
      <c r="T971" s="3"/>
      <c r="V971" s="3"/>
      <c r="W971" s="3"/>
      <c r="X971" s="3"/>
    </row>
    <row r="972" customFormat="false" ht="15.75" hidden="false" customHeight="false" outlineLevel="0" collapsed="false">
      <c r="R972" s="3"/>
      <c r="S972" s="3"/>
      <c r="T972" s="3"/>
      <c r="V972" s="3"/>
      <c r="W972" s="3"/>
      <c r="X972" s="3"/>
    </row>
    <row r="973" customFormat="false" ht="15.75" hidden="false" customHeight="false" outlineLevel="0" collapsed="false">
      <c r="R973" s="3"/>
      <c r="S973" s="3"/>
      <c r="T973" s="3"/>
      <c r="V973" s="3"/>
      <c r="W973" s="3"/>
      <c r="X973" s="3"/>
    </row>
    <row r="974" customFormat="false" ht="15.75" hidden="false" customHeight="false" outlineLevel="0" collapsed="false">
      <c r="R974" s="3"/>
      <c r="S974" s="3"/>
      <c r="T974" s="3"/>
      <c r="V974" s="3"/>
      <c r="W974" s="3"/>
      <c r="X974" s="3"/>
    </row>
    <row r="975" customFormat="false" ht="15.75" hidden="false" customHeight="false" outlineLevel="0" collapsed="false">
      <c r="R975" s="3"/>
      <c r="S975" s="3"/>
      <c r="T975" s="3"/>
      <c r="V975" s="3"/>
      <c r="W975" s="3"/>
      <c r="X975" s="3"/>
    </row>
    <row r="976" customFormat="false" ht="15.75" hidden="false" customHeight="false" outlineLevel="0" collapsed="false">
      <c r="R976" s="3"/>
      <c r="S976" s="3"/>
      <c r="T976" s="3"/>
      <c r="V976" s="3"/>
      <c r="W976" s="3"/>
      <c r="X976" s="3"/>
    </row>
    <row r="977" customFormat="false" ht="15.75" hidden="false" customHeight="false" outlineLevel="0" collapsed="false">
      <c r="R977" s="3"/>
      <c r="S977" s="3"/>
      <c r="T977" s="3"/>
      <c r="V977" s="3"/>
      <c r="W977" s="3"/>
      <c r="X977" s="3"/>
    </row>
    <row r="978" customFormat="false" ht="15.75" hidden="false" customHeight="false" outlineLevel="0" collapsed="false">
      <c r="R978" s="3"/>
      <c r="S978" s="3"/>
      <c r="T978" s="3"/>
      <c r="V978" s="3"/>
      <c r="W978" s="3"/>
      <c r="X978" s="3"/>
    </row>
    <row r="979" customFormat="false" ht="15.75" hidden="false" customHeight="false" outlineLevel="0" collapsed="false">
      <c r="R979" s="3"/>
      <c r="S979" s="3"/>
      <c r="T979" s="3"/>
      <c r="V979" s="3"/>
      <c r="W979" s="3"/>
      <c r="X979" s="3"/>
    </row>
    <row r="980" customFormat="false" ht="15.75" hidden="false" customHeight="false" outlineLevel="0" collapsed="false">
      <c r="R980" s="3"/>
      <c r="S980" s="3"/>
      <c r="T980" s="3"/>
      <c r="V980" s="3"/>
      <c r="W980" s="3"/>
      <c r="X980" s="3"/>
    </row>
    <row r="981" customFormat="false" ht="15.75" hidden="false" customHeight="false" outlineLevel="0" collapsed="false">
      <c r="R981" s="3"/>
      <c r="S981" s="3"/>
      <c r="T981" s="3"/>
      <c r="V981" s="3"/>
      <c r="W981" s="3"/>
      <c r="X981" s="3"/>
    </row>
    <row r="982" customFormat="false" ht="15.75" hidden="false" customHeight="false" outlineLevel="0" collapsed="false">
      <c r="R982" s="3"/>
      <c r="S982" s="3"/>
      <c r="T982" s="3"/>
      <c r="V982" s="3"/>
      <c r="W982" s="3"/>
      <c r="X982" s="3"/>
    </row>
    <row r="983" customFormat="false" ht="15.75" hidden="false" customHeight="false" outlineLevel="0" collapsed="false">
      <c r="R983" s="3"/>
      <c r="S983" s="3"/>
      <c r="T983" s="3"/>
      <c r="V983" s="3"/>
      <c r="W983" s="3"/>
      <c r="X983" s="3"/>
    </row>
    <row r="984" customFormat="false" ht="15.75" hidden="false" customHeight="false" outlineLevel="0" collapsed="false">
      <c r="R984" s="3"/>
      <c r="S984" s="3"/>
      <c r="T984" s="3"/>
      <c r="V984" s="3"/>
      <c r="W984" s="3"/>
      <c r="X984" s="3"/>
    </row>
    <row r="985" customFormat="false" ht="15.75" hidden="false" customHeight="false" outlineLevel="0" collapsed="false">
      <c r="R985" s="3"/>
      <c r="S985" s="3"/>
      <c r="T985" s="3"/>
      <c r="V985" s="3"/>
      <c r="W985" s="3"/>
      <c r="X985" s="3"/>
    </row>
    <row r="986" customFormat="false" ht="15.75" hidden="false" customHeight="false" outlineLevel="0" collapsed="false">
      <c r="R986" s="3"/>
      <c r="S986" s="3"/>
      <c r="T986" s="3"/>
      <c r="V986" s="3"/>
      <c r="W986" s="3"/>
      <c r="X986" s="3"/>
    </row>
    <row r="987" customFormat="false" ht="15.75" hidden="false" customHeight="false" outlineLevel="0" collapsed="false">
      <c r="R987" s="3"/>
      <c r="S987" s="3"/>
      <c r="T987" s="3"/>
      <c r="V987" s="3"/>
      <c r="W987" s="3"/>
      <c r="X987" s="3"/>
    </row>
    <row r="988" customFormat="false" ht="15.75" hidden="false" customHeight="false" outlineLevel="0" collapsed="false">
      <c r="R988" s="3"/>
      <c r="S988" s="3"/>
      <c r="T988" s="3"/>
      <c r="V988" s="3"/>
      <c r="W988" s="3"/>
      <c r="X988" s="3"/>
    </row>
    <row r="989" customFormat="false" ht="15.75" hidden="false" customHeight="false" outlineLevel="0" collapsed="false">
      <c r="R989" s="3"/>
      <c r="S989" s="3"/>
      <c r="T989" s="3"/>
      <c r="V989" s="3"/>
      <c r="W989" s="3"/>
      <c r="X989" s="3"/>
    </row>
    <row r="990" customFormat="false" ht="15.75" hidden="false" customHeight="false" outlineLevel="0" collapsed="false">
      <c r="R990" s="3"/>
      <c r="S990" s="3"/>
      <c r="T990" s="3"/>
      <c r="V990" s="3"/>
      <c r="W990" s="3"/>
      <c r="X990" s="3"/>
    </row>
    <row r="991" customFormat="false" ht="15.75" hidden="false" customHeight="false" outlineLevel="0" collapsed="false">
      <c r="R991" s="3"/>
      <c r="S991" s="3"/>
      <c r="T991" s="3"/>
      <c r="V991" s="3"/>
      <c r="W991" s="3"/>
      <c r="X991" s="3"/>
    </row>
    <row r="992" customFormat="false" ht="15.75" hidden="false" customHeight="false" outlineLevel="0" collapsed="false">
      <c r="R992" s="3"/>
      <c r="S992" s="3"/>
      <c r="T992" s="3"/>
      <c r="V992" s="3"/>
      <c r="W992" s="3"/>
      <c r="X992" s="3"/>
    </row>
    <row r="993" customFormat="false" ht="15.75" hidden="false" customHeight="false" outlineLevel="0" collapsed="false">
      <c r="R993" s="3"/>
      <c r="S993" s="3"/>
      <c r="T993" s="3"/>
      <c r="V993" s="3"/>
      <c r="W993" s="3"/>
      <c r="X993" s="3"/>
    </row>
    <row r="994" customFormat="false" ht="15.75" hidden="false" customHeight="false" outlineLevel="0" collapsed="false">
      <c r="R994" s="3"/>
      <c r="S994" s="3"/>
      <c r="T994" s="3"/>
      <c r="V994" s="3"/>
      <c r="W994" s="3"/>
      <c r="X994" s="3"/>
    </row>
    <row r="995" customFormat="false" ht="15.75" hidden="false" customHeight="false" outlineLevel="0" collapsed="false">
      <c r="R995" s="3"/>
      <c r="S995" s="3"/>
      <c r="T995" s="3"/>
      <c r="V995" s="3"/>
      <c r="W995" s="3"/>
      <c r="X995" s="3"/>
    </row>
    <row r="996" customFormat="false" ht="15.75" hidden="false" customHeight="false" outlineLevel="0" collapsed="false">
      <c r="R996" s="3"/>
      <c r="S996" s="3"/>
      <c r="T996" s="3"/>
      <c r="V996" s="3"/>
      <c r="W996" s="3"/>
      <c r="X996" s="3"/>
    </row>
    <row r="997" customFormat="false" ht="15.75" hidden="false" customHeight="false" outlineLevel="0" collapsed="false">
      <c r="R997" s="3"/>
      <c r="S997" s="3"/>
      <c r="T997" s="3"/>
      <c r="V997" s="3"/>
      <c r="W997" s="3"/>
      <c r="X997" s="3"/>
    </row>
    <row r="998" customFormat="false" ht="15.75" hidden="false" customHeight="false" outlineLevel="0" collapsed="false">
      <c r="R998" s="3"/>
      <c r="S998" s="3"/>
      <c r="T998" s="3"/>
      <c r="V998" s="3"/>
      <c r="W998" s="3"/>
      <c r="X998" s="3"/>
    </row>
    <row r="999" customFormat="false" ht="15.75" hidden="false" customHeight="false" outlineLevel="0" collapsed="false">
      <c r="R999" s="3"/>
      <c r="S999" s="3"/>
      <c r="T999" s="3"/>
      <c r="V999" s="3"/>
      <c r="W999" s="3"/>
      <c r="X999" s="3"/>
    </row>
    <row r="1000" customFormat="false" ht="15.75" hidden="false" customHeight="false" outlineLevel="0" collapsed="false">
      <c r="R1000" s="3"/>
      <c r="S1000" s="3"/>
      <c r="T1000" s="3"/>
      <c r="V1000" s="3"/>
      <c r="W1000" s="3"/>
      <c r="X1000" s="3"/>
    </row>
    <row r="1001" customFormat="false" ht="15.75" hidden="false" customHeight="false" outlineLevel="0" collapsed="false">
      <c r="R1001" s="3"/>
      <c r="S1001" s="3"/>
      <c r="T1001" s="3"/>
      <c r="V1001" s="3"/>
      <c r="W1001" s="3"/>
      <c r="X1001" s="3"/>
    </row>
  </sheetData>
  <mergeCells count="6">
    <mergeCell ref="B1:D1"/>
    <mergeCell ref="F1:H1"/>
    <mergeCell ref="J1:L1"/>
    <mergeCell ref="N1:P1"/>
    <mergeCell ref="R1:T1"/>
    <mergeCell ref="V1:X1"/>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tableParts>
    <tablePart r:id="rId3"/>
    <tablePart r:id="rId4"/>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K14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3" topLeftCell="C4" activePane="bottomRight" state="frozen"/>
      <selection pane="topLeft" activeCell="A1" activeCellId="0" sqref="A1"/>
      <selection pane="topRight" activeCell="C1" activeCellId="0" sqref="C1"/>
      <selection pane="bottomLeft" activeCell="A4" activeCellId="0" sqref="A4"/>
      <selection pane="bottomRight" activeCell="C4" activeCellId="0" sqref="C4"/>
    </sheetView>
  </sheetViews>
  <sheetFormatPr defaultColWidth="12.640625" defaultRowHeight="15.75" zeroHeight="false" outlineLevelRow="0" outlineLevelCol="0"/>
  <cols>
    <col collapsed="false" customWidth="true" hidden="false" outlineLevel="0" max="1" min="1" style="0" width="10.25"/>
    <col collapsed="false" customWidth="true" hidden="false" outlineLevel="0" max="2" min="2" style="0" width="13.5"/>
    <col collapsed="false" customWidth="true" hidden="false" outlineLevel="0" max="3" min="3" style="0" width="32.49"/>
    <col collapsed="false" customWidth="true" hidden="false" outlineLevel="0" max="4" min="4" style="0" width="7.26"/>
    <col collapsed="false" customWidth="true" hidden="false" outlineLevel="0" max="9" min="5" style="0" width="6.24"/>
    <col collapsed="false" customWidth="true" hidden="false" outlineLevel="0" max="10" min="10" style="0" width="24.75"/>
    <col collapsed="false" customWidth="true" hidden="false" outlineLevel="0" max="11" min="11" style="0" width="11.5"/>
    <col collapsed="false" customWidth="true" hidden="false" outlineLevel="0" max="12" min="12" style="0" width="19.25"/>
    <col collapsed="false" customWidth="true" hidden="false" outlineLevel="0" max="13" min="13" style="0" width="8.25"/>
    <col collapsed="false" customWidth="true" hidden="false" outlineLevel="0" max="16" min="14" style="0" width="6.24"/>
    <col collapsed="false" customWidth="true" hidden="false" outlineLevel="0" max="17" min="17" style="0" width="7"/>
    <col collapsed="false" customWidth="true" hidden="false" outlineLevel="0" max="18" min="18" style="0" width="7.13"/>
    <col collapsed="false" customWidth="true" hidden="false" outlineLevel="0" max="19" min="19" style="0" width="18.51"/>
    <col collapsed="false" customWidth="true" hidden="false" outlineLevel="0" max="20" min="20" style="0" width="8.63"/>
    <col collapsed="false" customWidth="true" hidden="false" outlineLevel="0" max="21" min="21" style="0" width="15"/>
    <col collapsed="false" customWidth="true" hidden="false" outlineLevel="0" max="22" min="22" style="0" width="8.25"/>
    <col collapsed="false" customWidth="true" hidden="false" outlineLevel="0" max="26" min="23" style="0" width="6.24"/>
    <col collapsed="false" customWidth="true" hidden="false" outlineLevel="0" max="27" min="27" style="0" width="6.38"/>
    <col collapsed="false" customWidth="true" hidden="false" outlineLevel="0" max="28" min="28" style="0" width="18.51"/>
    <col collapsed="false" customWidth="true" hidden="false" outlineLevel="0" max="29" min="29" style="0" width="8.63"/>
    <col collapsed="false" customWidth="true" hidden="false" outlineLevel="0" max="30" min="30" style="0" width="11.63"/>
    <col collapsed="false" customWidth="true" hidden="false" outlineLevel="0" max="31" min="31" style="0" width="5.5"/>
    <col collapsed="false" customWidth="true" hidden="false" outlineLevel="0" max="36" min="32" style="0" width="6.24"/>
    <col collapsed="false" customWidth="true" hidden="false" outlineLevel="0" max="37" min="37" style="0" width="20.76"/>
  </cols>
  <sheetData>
    <row r="1" customFormat="false" ht="15.75" hidden="false" customHeight="false" outlineLevel="0" collapsed="false">
      <c r="A1" s="3"/>
      <c r="B1" s="3"/>
      <c r="C1" s="287" t="s">
        <v>247</v>
      </c>
      <c r="D1" s="288"/>
      <c r="E1" s="288"/>
      <c r="F1" s="288"/>
      <c r="G1" s="288"/>
      <c r="H1" s="288"/>
      <c r="I1" s="288"/>
      <c r="J1" s="288"/>
      <c r="K1" s="289"/>
      <c r="L1" s="289"/>
      <c r="M1" s="289"/>
      <c r="N1" s="289"/>
      <c r="O1" s="289"/>
      <c r="P1" s="289"/>
      <c r="Q1" s="289"/>
      <c r="R1" s="289"/>
      <c r="S1" s="289"/>
      <c r="T1" s="289"/>
      <c r="U1" s="289"/>
      <c r="V1" s="289"/>
      <c r="W1" s="289"/>
      <c r="X1" s="289"/>
      <c r="Y1" s="289"/>
      <c r="Z1" s="289"/>
      <c r="AA1" s="289"/>
      <c r="AB1" s="289"/>
      <c r="AC1" s="289"/>
      <c r="AD1" s="289"/>
      <c r="AE1" s="289"/>
      <c r="AF1" s="289"/>
      <c r="AG1" s="289"/>
      <c r="AH1" s="289"/>
      <c r="AI1" s="289"/>
      <c r="AJ1" s="289"/>
      <c r="AK1" s="290"/>
    </row>
    <row r="2" customFormat="false" ht="15.75" hidden="false" customHeight="false" outlineLevel="0" collapsed="false">
      <c r="A2" s="291"/>
      <c r="B2" s="64"/>
      <c r="C2" s="292" t="s">
        <v>248</v>
      </c>
      <c r="D2" s="292"/>
      <c r="E2" s="292"/>
      <c r="F2" s="292"/>
      <c r="G2" s="292"/>
      <c r="H2" s="292"/>
      <c r="I2" s="292"/>
      <c r="J2" s="293" t="s">
        <v>249</v>
      </c>
      <c r="K2" s="293"/>
      <c r="L2" s="293"/>
      <c r="M2" s="293"/>
      <c r="N2" s="293"/>
      <c r="O2" s="293"/>
      <c r="P2" s="293"/>
      <c r="Q2" s="293"/>
      <c r="R2" s="293"/>
      <c r="S2" s="294" t="s">
        <v>250</v>
      </c>
      <c r="T2" s="294"/>
      <c r="U2" s="294"/>
      <c r="V2" s="294"/>
      <c r="W2" s="294"/>
      <c r="X2" s="294"/>
      <c r="Y2" s="294"/>
      <c r="Z2" s="294"/>
      <c r="AA2" s="294"/>
      <c r="AB2" s="293" t="s">
        <v>251</v>
      </c>
      <c r="AC2" s="293"/>
      <c r="AD2" s="293"/>
      <c r="AE2" s="293"/>
      <c r="AF2" s="293"/>
      <c r="AG2" s="293"/>
      <c r="AH2" s="293"/>
      <c r="AI2" s="293"/>
      <c r="AJ2" s="293"/>
      <c r="AK2" s="290" t="s">
        <v>252</v>
      </c>
    </row>
    <row r="3" customFormat="false" ht="15.75" hidden="false" customHeight="false" outlineLevel="0" collapsed="false">
      <c r="A3" s="295" t="s">
        <v>253</v>
      </c>
      <c r="B3" s="296" t="s">
        <v>8</v>
      </c>
      <c r="C3" s="242" t="s">
        <v>8</v>
      </c>
      <c r="D3" s="242" t="s">
        <v>254</v>
      </c>
      <c r="E3" s="242" t="s">
        <v>255</v>
      </c>
      <c r="F3" s="242" t="s">
        <v>256</v>
      </c>
      <c r="G3" s="242" t="s">
        <v>257</v>
      </c>
      <c r="H3" s="242" t="s">
        <v>258</v>
      </c>
      <c r="I3" s="242" t="s">
        <v>259</v>
      </c>
      <c r="J3" s="295" t="s">
        <v>254</v>
      </c>
      <c r="K3" s="297" t="s">
        <v>260</v>
      </c>
      <c r="L3" s="297" t="s">
        <v>261</v>
      </c>
      <c r="M3" s="83"/>
      <c r="N3" s="242" t="s">
        <v>255</v>
      </c>
      <c r="O3" s="242" t="s">
        <v>256</v>
      </c>
      <c r="P3" s="242" t="s">
        <v>257</v>
      </c>
      <c r="Q3" s="242" t="s">
        <v>258</v>
      </c>
      <c r="R3" s="298" t="s">
        <v>259</v>
      </c>
      <c r="S3" s="297" t="s">
        <v>254</v>
      </c>
      <c r="T3" s="297" t="s">
        <v>260</v>
      </c>
      <c r="U3" s="297" t="s">
        <v>261</v>
      </c>
      <c r="V3" s="83"/>
      <c r="W3" s="242" t="s">
        <v>255</v>
      </c>
      <c r="X3" s="242" t="s">
        <v>256</v>
      </c>
      <c r="Y3" s="242" t="s">
        <v>257</v>
      </c>
      <c r="Z3" s="242" t="s">
        <v>258</v>
      </c>
      <c r="AA3" s="298" t="s">
        <v>259</v>
      </c>
      <c r="AB3" s="295" t="s">
        <v>254</v>
      </c>
      <c r="AC3" s="297" t="s">
        <v>260</v>
      </c>
      <c r="AD3" s="297" t="s">
        <v>261</v>
      </c>
      <c r="AE3" s="83"/>
      <c r="AF3" s="242" t="s">
        <v>255</v>
      </c>
      <c r="AG3" s="242" t="s">
        <v>256</v>
      </c>
      <c r="AH3" s="242" t="s">
        <v>257</v>
      </c>
      <c r="AI3" s="242" t="s">
        <v>258</v>
      </c>
      <c r="AJ3" s="298" t="s">
        <v>259</v>
      </c>
      <c r="AK3" s="297" t="s">
        <v>262</v>
      </c>
    </row>
    <row r="4" customFormat="false" ht="15.75" hidden="false" customHeight="false" outlineLevel="0" collapsed="false">
      <c r="A4" s="299" t="n">
        <v>1</v>
      </c>
      <c r="B4" s="300" t="s">
        <v>90</v>
      </c>
      <c r="C4" s="45" t="str">
        <f aca="false" t="array" ref="C4:C4">IF(ISBLANK(INDEX(PalData,MATCH($B4,PalNames,0)+1,MATCH("ActiveSkill",PalData_Header,0))),INDEX(PalData,MATCH($B4,PalNames,0)+1,MATCH("SkillUnlock_",PalData_Header,0)),INDEX(PalData,MATCH($B4,PalNames,0)+1,MATCH("ActiveSkill",PalData_Header,0)))</f>
        <v>Shiled</v>
      </c>
      <c r="D4" s="45"/>
      <c r="E4" s="45" t="n">
        <f aca="false">INDEX(PalData,MATCH($B4,PalNames,0)+1,MATCH("ActiveSkillBonus0",PalData_Header,0))</f>
        <v>0</v>
      </c>
      <c r="F4" s="45" t="n">
        <f aca="false">INDEX(PalData,MATCH($B4,PalNames,0)+1,MATCH("ActiveSkillBonus1",PalData_Header,0))</f>
        <v>0</v>
      </c>
      <c r="G4" s="45" t="n">
        <f aca="false">INDEX(PalData,MATCH($B4,PalNames,0)+1,MATCH("ActiveSkillBonus2",PalData_Header,0))</f>
        <v>0</v>
      </c>
      <c r="H4" s="45" t="n">
        <f aca="false">INDEX(PalData,MATCH($B4,PalNames,0)+1,MATCH("ActiveSkillBonus3",PalData_Header,0))</f>
        <v>0</v>
      </c>
      <c r="I4" s="260" t="n">
        <f aca="false">INDEX(PalData,MATCH($B4,PalNames,0)+1,MATCH("ActiveSkillBonus4",PalData_Header,0))</f>
        <v>0</v>
      </c>
      <c r="J4" s="44" t="str">
        <f aca="false">IFERROR(__xludf.dummyfunction("IFERROR(INDEX(SkillData,MATCH(Arrayformula(ARRAY_CONSTRAIN(FILTER(INDIRECT(""PalData!""&amp;ADDRESS(MATCH(B4,PalNames,0)+1,(MATCH(""Passive0c"",PalData_Header,0)))&amp;"":""&amp;ADDRESS(MATCH(B4,PalNames,0)+1,(MATCH(""Passive0c"",PalData_Header,0))+4)),LEN(INDIRECT("&amp;"""PalData!""&amp;ADDRESS(MATCH(B4,PalNames,0)+1,(MATCH(""Passive0c"",PalData_Header,0)))&amp;"":""&amp;ADDRESS(MATCH(B4,PalNames,0)+1,(MATCH(""Passive0c"",PalData_Header,0))+4)))&gt;0),1,1)),SkillDataCodeName,0)+1,MATCH(""EffectTypeCombined"",SkillData_Header,0)))"),"FindWool")</f>
        <v>FindWool</v>
      </c>
      <c r="K4" s="45" t="str">
        <f aca="false">IFERROR(__xludf.dummyfunction("IFERROR(INDEX(SkillData,MATCH(Arrayformula(ARRAY_CONSTRAIN(FILTER(INDIRECT(""PalData!""&amp;ADDRESS(MATCH(B4,PalNames,0)+1,(MATCH(""Passive0c"",PalData_Header,0)))&amp;"":""&amp;ADDRESS(MATCH(B4,PalNames,0)+1,(MATCH(""Passive0c"",PalData_Header,0))+4)),LEN(INDIRECT("&amp;"""PalData!""&amp;ADDRESS(MATCH(B4,PalNames,0)+1,(MATCH(""Passive0c"",PalData_Header,0)))&amp;"":""&amp;ADDRESS(MATCH(B4,PalNames,0)+1,(MATCH(""Passive0c"",PalData_Header,0))+4)))&gt;0),1,1)),SkillDataCodeName,0)+1,MATCH(""TargetType1"",SkillData_Header,0)))"),"")</f>
        <v/>
      </c>
      <c r="L4" s="45" t="e">
        <f aca="false" t="array" ref="L4:L4">IF(INDEX(PalData,MATCH($B4,PalNames,0)+1,MATCH("Passive0cCondition",PalData_Header,0))=IFERROR(INDEX(SkillData,MATCH(INDEX(PalData,MATCH($B4,PalNames,0)+1,MATCH("Passive0c",PalData_Header,0)),SkillDataCodeName,0)+1,MATCH("Conditions",SkillData_Header,0))),INDEX(PalData,MATCH($B4,PalNames,0)+1,MATCH("Passive0cCondition",PalData_Header,0)),INDEX(PalData,MATCH($B4,PalNames,0)+1,MATCH("Passive0cCondition",PalData_Header,0)) &amp; IF(ISBLANK(INDEX(PalData,MATCH($B4,PalNames,0)+1,MATCH("Passive0cCondition",PalData_Header,0))),," ")&amp;IFERROR(INDEX(SkillData,MATCH(INDEX(PalData,MATCH($B4,PalNames,0)+1,MATCH("Passive0c",PalData_Header,0)),SkillDataCodeName,0)+1,MATCH("Conditions",SkillData_Header,0))))</f>
        <v>#VALUE!</v>
      </c>
      <c r="M4" s="45" t="str">
        <f aca="false">IFERROR(__xludf.dummyfunction("IFERROR(INDEX(SkillData,MATCH(Arrayformula(ARRAY_CONSTRAIN(FILTER(INDIRECT(""PalData!""&amp;ADDRESS(MATCH(B4,PalNames,0)+1,(MATCH(""Passive0c"",PalData_Header,0)))&amp;"":""&amp;ADDRESS(MATCH(B4,PalNames,0)+1,(MATCH(""Passive0c"",PalData_Header,0))+4)),LEN(INDIRECT("&amp;"""PalData!""&amp;ADDRESS(MATCH(B4,PalNames,0)+1,(MATCH(""Passive0c"",PalData_Header,0)))&amp;"":""&amp;ADDRESS(MATCH(B4,PalNames,0)+1,(MATCH(""Passive0c"",PalData_Header,0))+4)))&gt;0),1,1)),SkillDataCodeName,0)+1,MATCH(""ValueType1"",SkillData_Header,0)))"),"(min,max)")</f>
        <v>(min,max)</v>
      </c>
      <c r="N4" s="45" t="e">
        <f aca="false" t="array" ref="N4:N4">IFERROR(INDEX(SkillData,MATCH(INDEX(PalData,MATCH($B4,PalNames,0)+1,MATCH("Passive0c",PalData_Header,0)),SkillDataCodeName,0)+1,MATCH("EffectValue1",SkillData_Header,0)))</f>
        <v>#VALUE!</v>
      </c>
      <c r="O4" s="45" t="e">
        <f aca="false" t="array" ref="O4:O4">IFERROR(INDEX(SkillData,MATCH(INDEX(PalData,MATCH($B4,PalNames,0)+1,MATCH("Passive1c",PalData_Header,0)),SkillDataCodeName,0)+1,MATCH("EffectValue1",SkillData_Header,0)))</f>
        <v>#VALUE!</v>
      </c>
      <c r="P4" s="45" t="e">
        <f aca="false" t="array" ref="P4:P4">IFERROR(INDEX(SkillData,MATCH(INDEX(PalData,MATCH($B4,PalNames,0)+1,MATCH("Passive2c",PalData_Header,0)),SkillDataCodeName,0)+1,MATCH("EffectValue1",SkillData_Header,0)))</f>
        <v>#VALUE!</v>
      </c>
      <c r="Q4" s="45" t="e">
        <f aca="false" t="array" ref="Q4:Q4">IFERROR(INDEX(SkillData,MATCH(INDEX(PalData,MATCH($B4,PalNames,0)+1,MATCH("Passive3c",PalData_Header,0)),SkillDataCodeName,0)+1,MATCH("EffectValue1",SkillData_Header,0)))</f>
        <v>#VALUE!</v>
      </c>
      <c r="R4" s="260" t="e">
        <f aca="false" t="array" ref="R4:R4">IFERROR(INDEX(SkillData,MATCH(INDEX(PalData,MATCH($B4,PalNames,0)+1,MATCH("Passive4c",PalData_Header,0)),SkillDataCodeName,0)+1,MATCH("EffectValue1",SkillData_Header,0)))</f>
        <v>#VALUE!</v>
      </c>
      <c r="S4" s="45" t="str">
        <f aca="false">IFERROR(__xludf.dummyfunction("IFERROR(INDEX(SkillData,MATCH(Arrayformula(ARRAY_CONSTRAIN(FILTER(INDIRECT(""PalData!""&amp;ADDRESS(MATCH(B4,PalNames,0)+1,(MATCH(""Passive0a"",PalData_Header,0)))&amp;"":""&amp;ADDRESS(MATCH(B4,PalNames,0)+1,(MATCH(""Passive0a"",PalData_Header,0))+4)),LEN(INDIRECT("&amp;"""PalData!""&amp;ADDRESS(MATCH(B4,PalNames,0)+1,(MATCH(""Passive0a"",PalData_Header,0)))&amp;"":""&amp;ADDRESS(MATCH(B4,PalNames,0)+1,(MATCH(""Passive0a"",PalData_Header,0))+4)))&gt;0),1,1)),SkillDataCodeName,0)+1,MATCH(""EffectTypeCombined"",SkillData_Header,0)))"),"CollectItem")</f>
        <v>CollectItem</v>
      </c>
      <c r="T4" s="45" t="str">
        <f aca="false">IFERROR(__xludf.dummyfunction("IFERROR(INDEX(SkillData,MATCH(Arrayformula(ARRAY_CONSTRAIN(FILTER(INDIRECT(""PalData!""&amp;ADDRESS(MATCH(B4,PalNames,0)+1,(MATCH(""Passive0a"",PalData_Header,0)))&amp;"":""&amp;ADDRESS(MATCH(B4,PalNames,0)+1,(MATCH(""Passive0a"",PalData_Header,0))+4)),LEN(INDIRECT("&amp;"""PalData!""&amp;ADDRESS(MATCH(B4,PalNames,0)+1,(MATCH(""Passive0a"",PalData_Header,0)))&amp;"":""&amp;ADDRESS(MATCH(B4,PalNames,0)+1,(MATCH(""Passive0a"",PalData_Header,0))+4)))&gt;0),1,1)),SkillDataCodeName,0)+1,MATCH(""TargetType1"",SkillData_Header,0)))"),"Self")</f>
        <v>Self</v>
      </c>
      <c r="U4" s="45" t="e">
        <f aca="false" t="array" ref="U4:U4">IF(INDEX(PalData,MATCH($B4,PalNames,0)+1,MATCH("Passive0aCondition",PalData_Header,0))=IFERROR(INDEX(SkillData,MATCH(INDEX(PalData,MATCH($B4,PalNames,0)+1,MATCH("Passive0a",PalData_Header,0)),SkillDataCodeName,0)+1,MATCH("Conditions",SkillData_Header,0))),INDEX(PalData,MATCH($B4,PalNames,0)+1,MATCH("Passive0aCondition",PalData_Header,0)),INDEX(PalData,MATCH($B4,PalNames,0)+1,MATCH("Passive0aCondition",PalData_Header,0)) &amp; IF(ISBLANK(INDEX(PalData,MATCH($B4,PalNames,0)+1,MATCH("Passive0aCondition",PalData_Header,0))),," ")&amp;IFERROR(INDEX(SkillData,MATCH(INDEX(PalData,MATCH($B4,PalNames,0)+1,MATCH("Passive0a",PalData_Header,0)),SkillDataCodeName,0)+1,MATCH("Conditions",SkillData_Header,0))))</f>
        <v>#VALUE!</v>
      </c>
      <c r="V4" s="45" t="str">
        <f aca="false">IFERROR(__xludf.dummyfunction("IFERROR(INDEX(SkillData,MATCH(Arrayformula(ARRAY_CONSTRAIN(FILTER(INDIRECT(""PalData!""&amp;ADDRESS(MATCH(B4,PalNames,0)+1,(MATCH(""Passive0a"",PalData_Header,0)))&amp;"":""&amp;ADDRESS(MATCH(B4,PalNames,0)+1,(MATCH(""Passive0a"",PalData_Header,0))+4)),LEN(INDIRECT("&amp;"""PalData!""&amp;ADDRESS(MATCH(B4,PalNames,0)+1,(MATCH(""Passive0a"",PalData_Header,0)))&amp;"":""&amp;ADDRESS(MATCH(B4,PalNames,0)+1,(MATCH(""Passive0a"",PalData_Header,0))+4)))&gt;0),1,1)),SkillDataCodeName,0)+1,MATCH(""ValueType1"",SkillData_Header,0)))"),"")</f>
        <v/>
      </c>
      <c r="W4" s="62" t="n">
        <f aca="false" t="array" ref="W4:W4">IFERROR(INDEX(SkillData,MATCH(INDEX(PalData,MATCH($B4,PalNames,0)+1,MATCH("Passive0a",PalData_Header,0)),SkillDataCodeName,0)+1,MATCH("EffectValue1",SkillData_Header,0)),)</f>
        <v>0</v>
      </c>
      <c r="X4" s="45" t="n">
        <f aca="false">IFERROR(INDEX(SkillData,MATCH(INDEX(PalData,MATCH($B4,PalNames,0)+1,MATCH("Passive1a",PalData_Header,0)),SkillDataCodeName,0)+1,MATCH("EffectValue1",SkillData_Header,0)),)</f>
        <v>0</v>
      </c>
      <c r="Y4" s="45" t="n">
        <f aca="false">IFERROR(INDEX(SkillData,MATCH(INDEX(PalData,MATCH($B4,PalNames,0)+1,MATCH("Passive2a",PalData_Header,0)),SkillDataCodeName,0)+1,MATCH("EffectValue1",SkillData_Header,0)),)</f>
        <v>0</v>
      </c>
      <c r="Z4" s="45" t="n">
        <f aca="false">IFERROR(INDEX(SkillData,MATCH(INDEX(PalData,MATCH($B4,PalNames,0)+1,MATCH("Passive3a",PalData_Header,0)),SkillDataCodeName,0)+1,MATCH("EffectValue1",SkillData_Header,0)),)</f>
        <v>0</v>
      </c>
      <c r="AA4" s="260" t="n">
        <f aca="false">IFERROR(INDEX(SkillData,MATCH(INDEX(PalData,MATCH($B4,PalNames,0)+1,MATCH("Passive4a",PalData_Header,0)),SkillDataCodeName,0)+1,MATCH("EffectValue1",SkillData_Header,0)),)</f>
        <v>0</v>
      </c>
      <c r="AB4" s="44" t="str">
        <f aca="false">IFERROR(__xludf.dummyfunction("IFERROR(INDEX(SkillData,MATCH(Arrayformula(ARRAY_CONSTRAIN(FILTER(INDIRECT(""PalData!""&amp;ADDRESS(MATCH(B4,PalNames,0)+1,(MATCH(""Passive0b"",PalData_Header,0)))&amp;"":""&amp;ADDRESS(MATCH(B4,PalNames,0)+1,(MATCH(""Passive0b"",PalData_Header,0))+4)),LEN(INDIRECT("&amp;"""PalData!""&amp;ADDRESS(MATCH(B4,PalNames,0)+1,(MATCH(""Passive0b"",PalData_Header,0)))&amp;"":""&amp;ADDRESS(MATCH(B4,PalNames,0)+1,(MATCH(""Passive0b"",PalData_Header,0))+4)))&gt;0),1,1)),SkillDataCodeName,0)+1,MATCH(""EffectTypeCombined"",SkillData_Header,0)))"),"")</f>
        <v/>
      </c>
      <c r="AC4" s="45" t="str">
        <f aca="false">IFERROR(__xludf.dummyfunction("IFERROR(INDEX(SkillData,MATCH(Arrayformula(ARRAY_CONSTRAIN(FILTER(INDIRECT(""PalData!""&amp;ADDRESS(MATCH(B4,PalNames,0)+1,(MATCH(""Passive0b"",PalData_Header,0)))&amp;"":""&amp;ADDRESS(MATCH(B4,PalNames,0)+1,(MATCH(""Passive0b"",PalData_Header,0))+4)),LEN(INDIRECT("&amp;"""PalData!""&amp;ADDRESS(MATCH(B4,PalNames,0)+1,(MATCH(""Passive0b"",PalData_Header,0)))&amp;"":""&amp;ADDRESS(MATCH(B4,PalNames,0)+1,(MATCH(""Passive0b"",PalData_Header,0))+4)))&gt;0),1,1)),SkillDataCodeName,0)+1,MATCH(""TargetType1"",SkillData_Header,0)))"),"")</f>
        <v/>
      </c>
      <c r="AD4" s="45" t="e">
        <f aca="false" t="array" ref="AD4:AD4">IF(INDEX(PalData,MATCH($B4,PalNames,0)+1,MATCH("Passive0bCondition",PalData_Header,0))=IFERROR(INDEX(SkillData,MATCH(INDEX(PalData,MATCH($B4,PalNames,0)+1,MATCH("Passive0b",PalData_Header,0)),SkillDataCodeName,0)+1,MATCH("Conditions",SkillData_Header,0))),INDEX(PalData,MATCH($B4,PalNames,0)+1,MATCH("Passive0bCondition",PalData_Header,0)),INDEX(PalData,MATCH($B4,PalNames,0)+1,MATCH("Passive0bCondition",PalData_Header,0)) &amp; IF(ISBLANK(INDEX(PalData,MATCH($B4,PalNames,0)+1,MATCH("Passive0bCondition",PalData_Header,0))),," ")&amp;IFERROR(INDEX(SkillData,MATCH(INDEX(PalData,MATCH($B4,PalNames,0)+1,MATCH("Passive0b",PalData_Header,0)),SkillDataCodeName,0)+1,MATCH("Conditions",SkillData_Header,0))))</f>
        <v>#N/A</v>
      </c>
      <c r="AE4" s="45" t="str">
        <f aca="false">IFERROR(__xludf.dummyfunction("IFERROR(INDEX(SkillData,MATCH(Arrayformula(ARRAY_CONSTRAIN(FILTER(INDIRECT(""PalData!""&amp;ADDRESS(MATCH(B4,PalNames,0)+1,(MATCH(""Passive0b"",PalData_Header,0)))&amp;"":""&amp;ADDRESS(MATCH(B4,PalNames,0)+1,(MATCH(""Passive0b"",PalData_Header,0))+4)),LEN(INDIRECT("&amp;"""PalData!""&amp;ADDRESS(MATCH(B4,PalNames,0)+1,(MATCH(""Passive0b"",PalData_Header,0)))&amp;"":""&amp;ADDRESS(MATCH(B4,PalNames,0)+1,(MATCH(""Passive0b"",PalData_Header,0))+4)))&gt;0),1,1)),SkillDataCodeName,0)+1,MATCH(""ValueType1"",SkillData_Header,0)))"),"")</f>
        <v/>
      </c>
      <c r="AF4" s="45" t="n">
        <f aca="false">IFERROR(INDEX(SkillData,MATCH(INDEX(PalData,MATCH($B4,PalNames,0)+1,MATCH("Passive0b",PalData_Header,0)),SkillDataCodeName,0)+1,MATCH("EffectValue1",SkillData_Header,0)),)</f>
        <v>0</v>
      </c>
      <c r="AG4" s="45" t="n">
        <f aca="false">IFERROR(INDEX(SkillData,MATCH(INDEX(PalData,MATCH($B4,PalNames,0)+1,MATCH("Passive1b",PalData_Header,0)),SkillDataCodeName,0)+1,MATCH("EffectValue1",SkillData_Header,0)),)</f>
        <v>0</v>
      </c>
      <c r="AH4" s="45" t="n">
        <f aca="false">IFERROR(INDEX(SkillData,MATCH(INDEX(PalData,MATCH($B4,PalNames,0)+1,MATCH("Passive2b",PalData_Header,0)),SkillDataCodeName,0)+1,MATCH("EffectValue1",SkillData_Header,0)),)</f>
        <v>0</v>
      </c>
      <c r="AI4" s="45" t="n">
        <f aca="false">IFERROR(INDEX(SkillData,MATCH(INDEX(PalData,MATCH($B4,PalNames,0)+1,MATCH("Passive3b",PalData_Header,0)),SkillDataCodeName,0)+1,MATCH("EffectValue1",SkillData_Header,0)),)</f>
        <v>0</v>
      </c>
      <c r="AJ4" s="260" t="n">
        <f aca="false">IFERROR(INDEX(SkillData,MATCH(INDEX(PalData,MATCH($B4,PalNames,0)+1,MATCH("Passive4b",PalData_Header,0)),SkillDataCodeName,0)+1,MATCH("EffectValue1",SkillData_Header,0)),)</f>
        <v>0</v>
      </c>
      <c r="AK4" s="301" t="s">
        <v>263</v>
      </c>
    </row>
    <row r="5" customFormat="false" ht="15.75" hidden="false" customHeight="false" outlineLevel="0" collapsed="false">
      <c r="A5" s="302" t="n">
        <v>2</v>
      </c>
      <c r="B5" s="303" t="s">
        <v>32</v>
      </c>
      <c r="C5" s="48" t="n">
        <f aca="false">IF(ISBLANK(INDEX(PalData,MATCH($B5,PalNames,0)+1,MATCH("ActiveSkill",PalData_Header,0))),INDEX(PalData,MATCH($B5,PalNames,0)+1,MATCH("SkillUnlock_",PalData_Header,0)),INDEX(PalData,MATCH($B5,PalNames,0)+1,MATCH("ActiveSkill",PalData_Header,0)))</f>
        <v>0</v>
      </c>
      <c r="D5" s="48"/>
      <c r="E5" s="48" t="n">
        <f aca="false">INDEX(PalData,MATCH($B5,PalNames,0)+1,MATCH("ActiveSkillBonus0",PalData_Header,0))</f>
        <v>0</v>
      </c>
      <c r="F5" s="48" t="n">
        <f aca="false">INDEX(PalData,MATCH($B5,PalNames,0)+1,MATCH("ActiveSkillBonus1",PalData_Header,0))</f>
        <v>0</v>
      </c>
      <c r="G5" s="48" t="n">
        <f aca="false">INDEX(PalData,MATCH($B5,PalNames,0)+1,MATCH("ActiveSkillBonus2",PalData_Header,0))</f>
        <v>0</v>
      </c>
      <c r="H5" s="48" t="n">
        <f aca="false">INDEX(PalData,MATCH($B5,PalNames,0)+1,MATCH("ActiveSkillBonus3",PalData_Header,0))</f>
        <v>0</v>
      </c>
      <c r="I5" s="263" t="n">
        <f aca="false">INDEX(PalData,MATCH($B5,PalNames,0)+1,MATCH("ActiveSkillBonus4",PalData_Header,0))</f>
        <v>0</v>
      </c>
      <c r="J5" s="48" t="str">
        <f aca="false">IFERROR(__xludf.dummyfunction("IFERROR(INDEX(SkillData,MATCH(Arrayformula(ARRAY_CONSTRAIN(FILTER(INDIRECT(""PalData!""&amp;ADDRESS(MATCH(B5,PalNames,0)+1,(MATCH(""Passive0c"",PalData_Header,0)))&amp;"":""&amp;ADDRESS(MATCH(B5,PalNames,0)+1,(MATCH(""Passive0c"",PalData_Header,0))+4)),LEN(INDIRECT("&amp;"""PalData!""&amp;ADDRESS(MATCH(B5,PalNames,0)+1,(MATCH(""Passive0c"",PalData_Header,0)))&amp;"":""&amp;ADDRESS(MATCH(B5,PalNames,0)+1,(MATCH(""Passive0c"",PalData_Header,0))+4)))&gt;0),1,1)),SkillDataCodeName,0)+1,MATCH(""EffectTypeCombined"",SkillData_Header,0)))"),"MaxInventoryWeight")</f>
        <v>MaxInventoryWeight</v>
      </c>
      <c r="K5" s="48" t="str">
        <f aca="false">IFERROR(__xludf.dummyfunction("IFERROR(INDEX(SkillData,MATCH(Arrayformula(ARRAY_CONSTRAIN(FILTER(INDIRECT(""PalData!""&amp;ADDRESS(MATCH(B5,PalNames,0)+1,(MATCH(""Passive0c"",PalData_Header,0)))&amp;"":""&amp;ADDRESS(MATCH(B5,PalNames,0)+1,(MATCH(""Passive0c"",PalData_Header,0))+4)),LEN(INDIRECT("&amp;"""PalData!""&amp;ADDRESS(MATCH(B5,PalNames,0)+1,(MATCH(""Passive0c"",PalData_Header,0)))&amp;"":""&amp;ADDRESS(MATCH(B5,PalNames,0)+1,(MATCH(""Passive0c"",PalData_Header,0))+4)))&gt;0),1,1)),SkillDataCodeName,0)+1,MATCH(""TargetType1"",SkillData_Header,0)))"),"Trainer")</f>
        <v>Trainer</v>
      </c>
      <c r="L5" s="48" t="e">
        <f aca="false" t="array" ref="L5:L5">IF(INDEX(PalData,MATCH($B5,PalNames,0)+1,MATCH("Passive0cCondition",PalData_Header,0))=IFERROR(INDEX(SkillData,MATCH(INDEX(PalData,MATCH($B5,PalNames,0)+1,MATCH("Passive0c",PalData_Header,0)),SkillDataCodeName,0)+1,MATCH("Conditions",SkillData_Header,0))),INDEX(PalData,MATCH($B5,PalNames,0)+1,MATCH("Passive0cCondition",PalData_Header,0)),INDEX(PalData,MATCH($B5,PalNames,0)+1,MATCH("Passive0cCondition",PalData_Header,0)) &amp; IF(ISBLANK(INDEX(PalData,MATCH($B5,PalNames,0)+1,MATCH("Passive0cCondition",PalData_Header,0))),," ")&amp;IFERROR(INDEX(SkillData,MATCH(INDEX(PalData,MATCH($B5,PalNames,0)+1,MATCH("Passive0c",PalData_Header,0)),SkillDataCodeName,0)+1,MATCH("Conditions",SkillData_Header,0))))</f>
        <v>#VALUE!</v>
      </c>
      <c r="M5" s="48" t="str">
        <f aca="false">IFERROR(__xludf.dummyfunction("IFERROR(INDEX(SkillData,MATCH(Arrayformula(ARRAY_CONSTRAIN(FILTER(INDIRECT(""PalData!""&amp;ADDRESS(MATCH(B5,PalNames,0)+1,(MATCH(""Passive0c"",PalData_Header,0)))&amp;"":""&amp;ADDRESS(MATCH(B5,PalNames,0)+1,(MATCH(""Passive0c"",PalData_Header,0))+4)),LEN(INDIRECT("&amp;"""PalData!""&amp;ADDRESS(MATCH(B5,PalNames,0)+1,(MATCH(""Passive0c"",PalData_Header,0)))&amp;"":""&amp;ADDRESS(MATCH(B5,PalNames,0)+1,(MATCH(""Passive0c"",PalData_Header,0))+4)))&gt;0),1,1)),SkillDataCodeName,0)+1,MATCH(""ValueType1"",SkillData_Header,0)))"),"+")</f>
        <v>+</v>
      </c>
      <c r="N5" s="61" t="e">
        <f aca="false" t="array" ref="N5:N5">IFERROR(INDEX(SkillData,MATCH(INDEX(PalData,MATCH($B5,PalNames,0)+1,MATCH("Passive0c",PalData_Header,0)),SkillDataCodeName,0)+1,MATCH("EffectValue1",SkillData_Header,0)))</f>
        <v>#VALUE!</v>
      </c>
      <c r="O5" s="61" t="e">
        <f aca="false" t="array" ref="O5:O5">IFERROR(INDEX(SkillData,MATCH(INDEX(PalData,MATCH($B5,PalNames,0)+1,MATCH("Passive1c",PalData_Header,0)),SkillDataCodeName,0)+1,MATCH("EffectValue1",SkillData_Header,0)))</f>
        <v>#VALUE!</v>
      </c>
      <c r="P5" s="61" t="e">
        <f aca="false" t="array" ref="P5:P5">IFERROR(INDEX(SkillData,MATCH(INDEX(PalData,MATCH($B5,PalNames,0)+1,MATCH("Passive2c",PalData_Header,0)),SkillDataCodeName,0)+1,MATCH("EffectValue1",SkillData_Header,0)))</f>
        <v>#VALUE!</v>
      </c>
      <c r="Q5" s="61" t="e">
        <f aca="false" t="array" ref="Q5:Q5">IFERROR(INDEX(SkillData,MATCH(INDEX(PalData,MATCH($B5,PalNames,0)+1,MATCH("Passive3c",PalData_Header,0)),SkillDataCodeName,0)+1,MATCH("EffectValue1",SkillData_Header,0)))</f>
        <v>#VALUE!</v>
      </c>
      <c r="R5" s="304" t="e">
        <f aca="false" t="array" ref="R5:R5">IFERROR(INDEX(SkillData,MATCH(INDEX(PalData,MATCH($B5,PalNames,0)+1,MATCH("Passive4c",PalData_Header,0)),SkillDataCodeName,0)+1,MATCH("EffectValue1",SkillData_Header,0)))</f>
        <v>#VALUE!</v>
      </c>
      <c r="S5" s="48" t="str">
        <f aca="false">IFERROR(__xludf.dummyfunction("IFERROR(INDEX(SkillData,MATCH(Arrayformula(ARRAY_CONSTRAIN(FILTER(INDIRECT(""PalData!""&amp;ADDRESS(MATCH(B5,PalNames,0)+1,(MATCH(""Passive0a"",PalData_Header,0)))&amp;"":""&amp;ADDRESS(MATCH(B5,PalNames,0)+1,(MATCH(""Passive0a"",PalData_Header,0))+4)),LEN(INDIRECT("&amp;"""PalData!""&amp;ADDRESS(MATCH(B5,PalNames,0)+1,(MATCH(""Passive0a"",PalData_Header,0)))&amp;"":""&amp;ADDRESS(MATCH(B5,PalNames,0)+1,(MATCH(""Passive0a"",PalData_Header,0))+4)))&gt;0),1,1)),SkillDataCodeName,0)+1,MATCH(""EffectTypeCombined"",SkillData_Header,0)))"),"")</f>
        <v/>
      </c>
      <c r="T5" s="48" t="str">
        <f aca="false">IFERROR(__xludf.dummyfunction("IFERROR(INDEX(SkillData,MATCH(Arrayformula(ARRAY_CONSTRAIN(FILTER(INDIRECT(""PalData!""&amp;ADDRESS(MATCH(B5,PalNames,0)+1,(MATCH(""Passive0a"",PalData_Header,0)))&amp;"":""&amp;ADDRESS(MATCH(B5,PalNames,0)+1,(MATCH(""Passive0a"",PalData_Header,0))+4)),LEN(INDIRECT("&amp;"""PalData!""&amp;ADDRESS(MATCH(B5,PalNames,0)+1,(MATCH(""Passive0a"",PalData_Header,0)))&amp;"":""&amp;ADDRESS(MATCH(B5,PalNames,0)+1,(MATCH(""Passive0a"",PalData_Header,0))+4)))&gt;0),1,1)),SkillDataCodeName,0)+1,MATCH(""TargetType1"",SkillData_Header,0)))"),"")</f>
        <v/>
      </c>
      <c r="U5" s="48" t="e">
        <f aca="false" t="array" ref="U5:U5">IF(INDEX(PalData,MATCH($B5,PalNames,0)+1,MATCH("Passive0aCondition",PalData_Header,0))=IFERROR(INDEX(SkillData,MATCH(INDEX(PalData,MATCH($B5,PalNames,0)+1,MATCH("Passive0a",PalData_Header,0)),SkillDataCodeName,0)+1,MATCH("Conditions",SkillData_Header,0))),INDEX(PalData,MATCH($B5,PalNames,0)+1,MATCH("Passive0aCondition",PalData_Header,0)),INDEX(PalData,MATCH($B5,PalNames,0)+1,MATCH("Passive0aCondition",PalData_Header,0)) &amp; IF(ISBLANK(INDEX(PalData,MATCH($B5,PalNames,0)+1,MATCH("Passive0aCondition",PalData_Header,0))),," ")&amp;IFERROR(INDEX(SkillData,MATCH(INDEX(PalData,MATCH($B5,PalNames,0)+1,MATCH("Passive0a",PalData_Header,0)),SkillDataCodeName,0)+1,MATCH("Conditions",SkillData_Header,0))))</f>
        <v>#N/A</v>
      </c>
      <c r="V5" s="48" t="str">
        <f aca="false">IFERROR(__xludf.dummyfunction("IFERROR(INDEX(SkillData,MATCH(Arrayformula(ARRAY_CONSTRAIN(FILTER(INDIRECT(""PalData!""&amp;ADDRESS(MATCH(B5,PalNames,0)+1,(MATCH(""Passive0a"",PalData_Header,0)))&amp;"":""&amp;ADDRESS(MATCH(B5,PalNames,0)+1,(MATCH(""Passive0a"",PalData_Header,0))+4)),LEN(INDIRECT("&amp;"""PalData!""&amp;ADDRESS(MATCH(B5,PalNames,0)+1,(MATCH(""Passive0a"",PalData_Header,0)))&amp;"":""&amp;ADDRESS(MATCH(B5,PalNames,0)+1,(MATCH(""Passive0a"",PalData_Header,0))+4)))&gt;0),1,1)),SkillDataCodeName,0)+1,MATCH(""ValueType1"",SkillData_Header,0)))"),"")</f>
        <v/>
      </c>
      <c r="W5" s="48" t="n">
        <f aca="false">IFERROR(INDEX(SkillData,MATCH(INDEX(PalData,MATCH($B5,PalNames,0)+1,MATCH("Passive0a",PalData_Header,0)),SkillDataCodeName,0)+1,MATCH("EffectValue1",SkillData_Header,0)),)</f>
        <v>0</v>
      </c>
      <c r="X5" s="48" t="n">
        <f aca="false">IFERROR(INDEX(SkillData,MATCH(INDEX(PalData,MATCH($B5,PalNames,0)+1,MATCH("Passive1a",PalData_Header,0)),SkillDataCodeName,0)+1,MATCH("EffectValue1",SkillData_Header,0)),)</f>
        <v>0</v>
      </c>
      <c r="Y5" s="48" t="n">
        <f aca="false">IFERROR(INDEX(SkillData,MATCH(INDEX(PalData,MATCH($B5,PalNames,0)+1,MATCH("Passive2a",PalData_Header,0)),SkillDataCodeName,0)+1,MATCH("EffectValue1",SkillData_Header,0)),)</f>
        <v>0</v>
      </c>
      <c r="Z5" s="48" t="n">
        <f aca="false">IFERROR(INDEX(SkillData,MATCH(INDEX(PalData,MATCH($B5,PalNames,0)+1,MATCH("Passive3a",PalData_Header,0)),SkillDataCodeName,0)+1,MATCH("EffectValue1",SkillData_Header,0)),)</f>
        <v>0</v>
      </c>
      <c r="AA5" s="263" t="n">
        <f aca="false">IFERROR(INDEX(SkillData,MATCH(INDEX(PalData,MATCH($B5,PalNames,0)+1,MATCH("Passive4a",PalData_Header,0)),SkillDataCodeName,0)+1,MATCH("EffectValue1",SkillData_Header,0)),)</f>
        <v>0</v>
      </c>
      <c r="AB5" s="47" t="str">
        <f aca="false">IFERROR(__xludf.dummyfunction("IFERROR(INDEX(SkillData,MATCH(Arrayformula(ARRAY_CONSTRAIN(FILTER(INDIRECT(""PalData!""&amp;ADDRESS(MATCH(B5,PalNames,0)+1,(MATCH(""Passive0b"",PalData_Header,0)))&amp;"":""&amp;ADDRESS(MATCH(B5,PalNames,0)+1,(MATCH(""Passive0b"",PalData_Header,0))+4)),LEN(INDIRECT("&amp;"""PalData!""&amp;ADDRESS(MATCH(B5,PalNames,0)+1,(MATCH(""Passive0b"",PalData_Header,0)))&amp;"":""&amp;ADDRESS(MATCH(B5,PalNames,0)+1,(MATCH(""Passive0b"",PalData_Header,0))+4)))&gt;0),1,1)),SkillDataCodeName,0)+1,MATCH(""EffectTypeCombined"",SkillData_Header,0)))"),"")</f>
        <v/>
      </c>
      <c r="AC5" s="48" t="str">
        <f aca="false">IFERROR(__xludf.dummyfunction("IFERROR(INDEX(SkillData,MATCH(Arrayformula(ARRAY_CONSTRAIN(FILTER(INDIRECT(""PalData!""&amp;ADDRESS(MATCH(B5,PalNames,0)+1,(MATCH(""Passive0b"",PalData_Header,0)))&amp;"":""&amp;ADDRESS(MATCH(B5,PalNames,0)+1,(MATCH(""Passive0b"",PalData_Header,0))+4)),LEN(INDIRECT("&amp;"""PalData!""&amp;ADDRESS(MATCH(B5,PalNames,0)+1,(MATCH(""Passive0b"",PalData_Header,0)))&amp;"":""&amp;ADDRESS(MATCH(B5,PalNames,0)+1,(MATCH(""Passive0b"",PalData_Header,0))+4)))&gt;0),1,1)),SkillDataCodeName,0)+1,MATCH(""TargetType1"",SkillData_Header,0)))"),"")</f>
        <v/>
      </c>
      <c r="AD5" s="48" t="e">
        <f aca="false" t="array" ref="AD5:AD5">IF(INDEX(PalData,MATCH($B5,PalNames,0)+1,MATCH("Passive0bCondition",PalData_Header,0))=IFERROR(INDEX(SkillData,MATCH(INDEX(PalData,MATCH($B5,PalNames,0)+1,MATCH("Passive0b",PalData_Header,0)),SkillDataCodeName,0)+1,MATCH("Conditions",SkillData_Header,0))),INDEX(PalData,MATCH($B5,PalNames,0)+1,MATCH("Passive0bCondition",PalData_Header,0)),INDEX(PalData,MATCH($B5,PalNames,0)+1,MATCH("Passive0bCondition",PalData_Header,0)) &amp; IF(ISBLANK(INDEX(PalData,MATCH($B5,PalNames,0)+1,MATCH("Passive0bCondition",PalData_Header,0))),," ")&amp;IFERROR(INDEX(SkillData,MATCH(INDEX(PalData,MATCH($B5,PalNames,0)+1,MATCH("Passive0b",PalData_Header,0)),SkillDataCodeName,0)+1,MATCH("Conditions",SkillData_Header,0))))</f>
        <v>#N/A</v>
      </c>
      <c r="AE5" s="48" t="str">
        <f aca="false">IFERROR(__xludf.dummyfunction("IFERROR(INDEX(SkillData,MATCH(Arrayformula(ARRAY_CONSTRAIN(FILTER(INDIRECT(""PalData!""&amp;ADDRESS(MATCH(B5,PalNames,0)+1,(MATCH(""Passive0b"",PalData_Header,0)))&amp;"":""&amp;ADDRESS(MATCH(B5,PalNames,0)+1,(MATCH(""Passive0b"",PalData_Header,0))+4)),LEN(INDIRECT("&amp;"""PalData!""&amp;ADDRESS(MATCH(B5,PalNames,0)+1,(MATCH(""Passive0b"",PalData_Header,0)))&amp;"":""&amp;ADDRESS(MATCH(B5,PalNames,0)+1,(MATCH(""Passive0b"",PalData_Header,0))+4)))&gt;0),1,1)),SkillDataCodeName,0)+1,MATCH(""ValueType1"",SkillData_Header,0)))"),"")</f>
        <v/>
      </c>
      <c r="AF5" s="48" t="n">
        <f aca="false">IFERROR(INDEX(SkillData,MATCH(INDEX(PalData,MATCH($B5,PalNames,0)+1,MATCH("Passive0b",PalData_Header,0)),SkillDataCodeName,0)+1,MATCH("EffectValue1",SkillData_Header,0)),)</f>
        <v>0</v>
      </c>
      <c r="AG5" s="48" t="n">
        <f aca="false">IFERROR(INDEX(SkillData,MATCH(INDEX(PalData,MATCH($B5,PalNames,0)+1,MATCH("Passive1b",PalData_Header,0)),SkillDataCodeName,0)+1,MATCH("EffectValue1",SkillData_Header,0)),)</f>
        <v>0</v>
      </c>
      <c r="AH5" s="48" t="n">
        <f aca="false">IFERROR(INDEX(SkillData,MATCH(INDEX(PalData,MATCH($B5,PalNames,0)+1,MATCH("Passive2b",PalData_Header,0)),SkillDataCodeName,0)+1,MATCH("EffectValue1",SkillData_Header,0)),)</f>
        <v>0</v>
      </c>
      <c r="AI5" s="48" t="n">
        <f aca="false">IFERROR(INDEX(SkillData,MATCH(INDEX(PalData,MATCH($B5,PalNames,0)+1,MATCH("Passive3b",PalData_Header,0)),SkillDataCodeName,0)+1,MATCH("EffectValue1",SkillData_Header,0)),)</f>
        <v>0</v>
      </c>
      <c r="AJ5" s="263" t="n">
        <f aca="false">IFERROR(INDEX(SkillData,MATCH(INDEX(PalData,MATCH($B5,PalNames,0)+1,MATCH("Passive4b",PalData_Header,0)),SkillDataCodeName,0)+1,MATCH("EffectValue1",SkillData_Header,0)),)</f>
        <v>0</v>
      </c>
      <c r="AK5" s="305" t="s">
        <v>264</v>
      </c>
    </row>
    <row r="6" customFormat="false" ht="15.75" hidden="false" customHeight="false" outlineLevel="0" collapsed="false">
      <c r="A6" s="299" t="n">
        <v>3</v>
      </c>
      <c r="B6" s="300" t="s">
        <v>35</v>
      </c>
      <c r="C6" s="45" t="n">
        <f aca="false">IF(ISBLANK(INDEX(PalData,MATCH($B6,PalNames,0)+1,MATCH("ActiveSkill",PalData_Header,0))),INDEX(PalData,MATCH($B6,PalNames,0)+1,MATCH("SkillUnlock_",PalData_Header,0)),INDEX(PalData,MATCH($B6,PalNames,0)+1,MATCH("ActiveSkill",PalData_Header,0)))</f>
        <v>0</v>
      </c>
      <c r="D6" s="45"/>
      <c r="E6" s="45" t="n">
        <f aca="false">INDEX(PalData,MATCH($B6,PalNames,0)+1,MATCH("ActiveSkillBonus0",PalData_Header,0))</f>
        <v>0</v>
      </c>
      <c r="F6" s="45" t="n">
        <f aca="false">INDEX(PalData,MATCH($B6,PalNames,0)+1,MATCH("ActiveSkillBonus1",PalData_Header,0))</f>
        <v>0</v>
      </c>
      <c r="G6" s="45" t="n">
        <f aca="false">INDEX(PalData,MATCH($B6,PalNames,0)+1,MATCH("ActiveSkillBonus2",PalData_Header,0))</f>
        <v>0</v>
      </c>
      <c r="H6" s="45" t="n">
        <f aca="false">INDEX(PalData,MATCH($B6,PalNames,0)+1,MATCH("ActiveSkillBonus3",PalData_Header,0))</f>
        <v>0</v>
      </c>
      <c r="I6" s="260" t="n">
        <f aca="false">INDEX(PalData,MATCH($B6,PalNames,0)+1,MATCH("ActiveSkillBonus4",PalData_Header,0))</f>
        <v>0</v>
      </c>
      <c r="J6" s="45" t="str">
        <f aca="false">IFERROR(__xludf.dummyfunction("IFERROR(INDEX(SkillData,MATCH(Arrayformula(ARRAY_CONSTRAIN(FILTER(INDIRECT(""PalData!""&amp;ADDRESS(MATCH(B6,PalNames,0)+1,(MATCH(""Passive0c"",PalData_Header,0)))&amp;"":""&amp;ADDRESS(MATCH(B6,PalNames,0)+1,(MATCH(""Passive0c"",PalData_Header,0))+4)),LEN(INDIRECT("&amp;"""PalData!""&amp;ADDRESS(MATCH(B6,PalNames,0)+1,(MATCH(""Passive0c"",PalData_Header,0)))&amp;"":""&amp;ADDRESS(MATCH(B6,PalNames,0)+1,(MATCH(""Passive0c"",PalData_Header,0))+4)))&gt;0),1,1)),SkillDataCodeName,0)+1,MATCH(""EffectTypeCombined"",SkillData_Header,0)))"),"FindEgg")</f>
        <v>FindEgg</v>
      </c>
      <c r="K6" s="45" t="str">
        <f aca="false">IFERROR(__xludf.dummyfunction("IFERROR(INDEX(SkillData,MATCH(Arrayformula(ARRAY_CONSTRAIN(FILTER(INDIRECT(""PalData!""&amp;ADDRESS(MATCH(B6,PalNames,0)+1,(MATCH(""Passive0c"",PalData_Header,0)))&amp;"":""&amp;ADDRESS(MATCH(B6,PalNames,0)+1,(MATCH(""Passive0c"",PalData_Header,0))+4)),LEN(INDIRECT("&amp;"""PalData!""&amp;ADDRESS(MATCH(B6,PalNames,0)+1,(MATCH(""Passive0c"",PalData_Header,0)))&amp;"":""&amp;ADDRESS(MATCH(B6,PalNames,0)+1,(MATCH(""Passive0c"",PalData_Header,0))+4)))&gt;0),1,1)),SkillDataCodeName,0)+1,MATCH(""TargetType1"",SkillData_Header,0)))"),"")</f>
        <v/>
      </c>
      <c r="L6" s="45" t="e">
        <f aca="false" t="array" ref="L6:L6">IF(INDEX(PalData,MATCH($B6,PalNames,0)+1,MATCH("Passive0cCondition",PalData_Header,0))=IFERROR(INDEX(SkillData,MATCH(INDEX(PalData,MATCH($B6,PalNames,0)+1,MATCH("Passive0c",PalData_Header,0)),SkillDataCodeName,0)+1,MATCH("Conditions",SkillData_Header,0))),INDEX(PalData,MATCH($B6,PalNames,0)+1,MATCH("Passive0cCondition",PalData_Header,0)),INDEX(PalData,MATCH($B6,PalNames,0)+1,MATCH("Passive0cCondition",PalData_Header,0)) &amp; IF(ISBLANK(INDEX(PalData,MATCH($B6,PalNames,0)+1,MATCH("Passive0cCondition",PalData_Header,0))),," ")&amp;IFERROR(INDEX(SkillData,MATCH(INDEX(PalData,MATCH($B6,PalNames,0)+1,MATCH("Passive0c",PalData_Header,0)),SkillDataCodeName,0)+1,MATCH("Conditions",SkillData_Header,0))))</f>
        <v>#VALUE!</v>
      </c>
      <c r="M6" s="45" t="str">
        <f aca="false">IFERROR(__xludf.dummyfunction("IFERROR(INDEX(SkillData,MATCH(Arrayformula(ARRAY_CONSTRAIN(FILTER(INDIRECT(""PalData!""&amp;ADDRESS(MATCH(B6,PalNames,0)+1,(MATCH(""Passive0c"",PalData_Header,0)))&amp;"":""&amp;ADDRESS(MATCH(B6,PalNames,0)+1,(MATCH(""Passive0c"",PalData_Header,0))+4)),LEN(INDIRECT("&amp;"""PalData!""&amp;ADDRESS(MATCH(B6,PalNames,0)+1,(MATCH(""Passive0c"",PalData_Header,0)))&amp;"":""&amp;ADDRESS(MATCH(B6,PalNames,0)+1,(MATCH(""Passive0c"",PalData_Header,0))+4)))&gt;0),1,1)),SkillDataCodeName,0)+1,MATCH(""ValueType1"",SkillData_Header,0)))"),"(min,max)")</f>
        <v>(min,max)</v>
      </c>
      <c r="N6" s="45" t="e">
        <f aca="false" t="array" ref="N6:N6">IFERROR(INDEX(SkillData,MATCH(INDEX(PalData,MATCH($B6,PalNames,0)+1,MATCH("Passive0c",PalData_Header,0)),SkillDataCodeName,0)+1,MATCH("EffectValue1",SkillData_Header,0)))</f>
        <v>#VALUE!</v>
      </c>
      <c r="O6" s="45" t="e">
        <f aca="false" t="array" ref="O6:O6">IFERROR(INDEX(SkillData,MATCH(INDEX(PalData,MATCH($B6,PalNames,0)+1,MATCH("Passive1c",PalData_Header,0)),SkillDataCodeName,0)+1,MATCH("EffectValue1",SkillData_Header,0)))</f>
        <v>#VALUE!</v>
      </c>
      <c r="P6" s="45" t="e">
        <f aca="false" t="array" ref="P6:P6">IFERROR(INDEX(SkillData,MATCH(INDEX(PalData,MATCH($B6,PalNames,0)+1,MATCH("Passive2c",PalData_Header,0)),SkillDataCodeName,0)+1,MATCH("EffectValue1",SkillData_Header,0)))</f>
        <v>#VALUE!</v>
      </c>
      <c r="Q6" s="45" t="e">
        <f aca="false" t="array" ref="Q6:Q6">IFERROR(INDEX(SkillData,MATCH(INDEX(PalData,MATCH($B6,PalNames,0)+1,MATCH("Passive3c",PalData_Header,0)),SkillDataCodeName,0)+1,MATCH("EffectValue1",SkillData_Header,0)))</f>
        <v>#VALUE!</v>
      </c>
      <c r="R6" s="260" t="e">
        <f aca="false" t="array" ref="R6:R6">IFERROR(INDEX(SkillData,MATCH(INDEX(PalData,MATCH($B6,PalNames,0)+1,MATCH("Passive4c",PalData_Header,0)),SkillDataCodeName,0)+1,MATCH("EffectValue1",SkillData_Header,0)))</f>
        <v>#VALUE!</v>
      </c>
      <c r="S6" s="45" t="str">
        <f aca="false">IFERROR(__xludf.dummyfunction("IFERROR(INDEX(SkillData,MATCH(Arrayformula(ARRAY_CONSTRAIN(FILTER(INDIRECT(""PalData!""&amp;ADDRESS(MATCH(B6,PalNames,0)+1,(MATCH(""Passive0a"",PalData_Header,0)))&amp;"":""&amp;ADDRESS(MATCH(B6,PalNames,0)+1,(MATCH(""Passive0a"",PalData_Header,0))+4)),LEN(INDIRECT("&amp;"""PalData!""&amp;ADDRESS(MATCH(B6,PalNames,0)+1,(MATCH(""Passive0a"",PalData_Header,0)))&amp;"":""&amp;ADDRESS(MATCH(B6,PalNames,0)+1,(MATCH(""Passive0a"",PalData_Header,0))+4)))&gt;0),1,1)),SkillDataCodeName,0)+1,MATCH(""EffectTypeCombined"",SkillData_Header,0)))"),"")</f>
        <v/>
      </c>
      <c r="T6" s="45" t="str">
        <f aca="false">IFERROR(__xludf.dummyfunction("IFERROR(INDEX(SkillData,MATCH(Arrayformula(ARRAY_CONSTRAIN(FILTER(INDIRECT(""PalData!""&amp;ADDRESS(MATCH(B6,PalNames,0)+1,(MATCH(""Passive0a"",PalData_Header,0)))&amp;"":""&amp;ADDRESS(MATCH(B6,PalNames,0)+1,(MATCH(""Passive0a"",PalData_Header,0))+4)),LEN(INDIRECT("&amp;"""PalData!""&amp;ADDRESS(MATCH(B6,PalNames,0)+1,(MATCH(""Passive0a"",PalData_Header,0)))&amp;"":""&amp;ADDRESS(MATCH(B6,PalNames,0)+1,(MATCH(""Passive0a"",PalData_Header,0))+4)))&gt;0),1,1)),SkillDataCodeName,0)+1,MATCH(""TargetType1"",SkillData_Header,0)))"),"")</f>
        <v/>
      </c>
      <c r="U6" s="45" t="e">
        <f aca="false" t="array" ref="U6:U6">IF(INDEX(PalData,MATCH($B6,PalNames,0)+1,MATCH("Passive0aCondition",PalData_Header,0))=IFERROR(INDEX(SkillData,MATCH(INDEX(PalData,MATCH($B6,PalNames,0)+1,MATCH("Passive0a",PalData_Header,0)),SkillDataCodeName,0)+1,MATCH("Conditions",SkillData_Header,0))),INDEX(PalData,MATCH($B6,PalNames,0)+1,MATCH("Passive0aCondition",PalData_Header,0)),INDEX(PalData,MATCH($B6,PalNames,0)+1,MATCH("Passive0aCondition",PalData_Header,0)) &amp; IF(ISBLANK(INDEX(PalData,MATCH($B6,PalNames,0)+1,MATCH("Passive0aCondition",PalData_Header,0))),," ")&amp;IFERROR(INDEX(SkillData,MATCH(INDEX(PalData,MATCH($B6,PalNames,0)+1,MATCH("Passive0a",PalData_Header,0)),SkillDataCodeName,0)+1,MATCH("Conditions",SkillData_Header,0))))</f>
        <v>#N/A</v>
      </c>
      <c r="V6" s="45" t="str">
        <f aca="false">IFERROR(__xludf.dummyfunction("IFERROR(INDEX(SkillData,MATCH(Arrayformula(ARRAY_CONSTRAIN(FILTER(INDIRECT(""PalData!""&amp;ADDRESS(MATCH(B6,PalNames,0)+1,(MATCH(""Passive0a"",PalData_Header,0)))&amp;"":""&amp;ADDRESS(MATCH(B6,PalNames,0)+1,(MATCH(""Passive0a"",PalData_Header,0))+4)),LEN(INDIRECT("&amp;"""PalData!""&amp;ADDRESS(MATCH(B6,PalNames,0)+1,(MATCH(""Passive0a"",PalData_Header,0)))&amp;"":""&amp;ADDRESS(MATCH(B6,PalNames,0)+1,(MATCH(""Passive0a"",PalData_Header,0))+4)))&gt;0),1,1)),SkillDataCodeName,0)+1,MATCH(""ValueType1"",SkillData_Header,0)))"),"")</f>
        <v/>
      </c>
      <c r="W6" s="45" t="n">
        <f aca="false">IFERROR(INDEX(SkillData,MATCH(INDEX(PalData,MATCH($B6,PalNames,0)+1,MATCH("Passive0a",PalData_Header,0)),SkillDataCodeName,0)+1,MATCH("EffectValue1",SkillData_Header,0)),)</f>
        <v>0</v>
      </c>
      <c r="X6" s="45" t="n">
        <f aca="false">IFERROR(INDEX(SkillData,MATCH(INDEX(PalData,MATCH($B6,PalNames,0)+1,MATCH("Passive1a",PalData_Header,0)),SkillDataCodeName,0)+1,MATCH("EffectValue1",SkillData_Header,0)),)</f>
        <v>0</v>
      </c>
      <c r="Y6" s="45" t="n">
        <f aca="false">IFERROR(INDEX(SkillData,MATCH(INDEX(PalData,MATCH($B6,PalNames,0)+1,MATCH("Passive2a",PalData_Header,0)),SkillDataCodeName,0)+1,MATCH("EffectValue1",SkillData_Header,0)),)</f>
        <v>0</v>
      </c>
      <c r="Z6" s="45" t="n">
        <f aca="false">IFERROR(INDEX(SkillData,MATCH(INDEX(PalData,MATCH($B6,PalNames,0)+1,MATCH("Passive3a",PalData_Header,0)),SkillDataCodeName,0)+1,MATCH("EffectValue1",SkillData_Header,0)),)</f>
        <v>0</v>
      </c>
      <c r="AA6" s="260" t="n">
        <f aca="false">IFERROR(INDEX(SkillData,MATCH(INDEX(PalData,MATCH($B6,PalNames,0)+1,MATCH("Passive4a",PalData_Header,0)),SkillDataCodeName,0)+1,MATCH("EffectValue1",SkillData_Header,0)),)</f>
        <v>0</v>
      </c>
      <c r="AB6" s="44" t="str">
        <f aca="false">IFERROR(__xludf.dummyfunction("IFERROR(INDEX(SkillData,MATCH(Arrayformula(ARRAY_CONSTRAIN(FILTER(INDIRECT(""PalData!""&amp;ADDRESS(MATCH(B6,PalNames,0)+1,(MATCH(""Passive0b"",PalData_Header,0)))&amp;"":""&amp;ADDRESS(MATCH(B6,PalNames,0)+1,(MATCH(""Passive0b"",PalData_Header,0))+4)),LEN(INDIRECT("&amp;"""PalData!""&amp;ADDRESS(MATCH(B6,PalNames,0)+1,(MATCH(""Passive0b"",PalData_Header,0)))&amp;"":""&amp;ADDRESS(MATCH(B6,PalNames,0)+1,(MATCH(""Passive0b"",PalData_Header,0))+4)))&gt;0),1,1)),SkillDataCodeName,0)+1,MATCH(""EffectTypeCombined"",SkillData_Header,0)))"),"")</f>
        <v/>
      </c>
      <c r="AC6" s="45" t="str">
        <f aca="false">IFERROR(__xludf.dummyfunction("IFERROR(INDEX(SkillData,MATCH(Arrayformula(ARRAY_CONSTRAIN(FILTER(INDIRECT(""PalData!""&amp;ADDRESS(MATCH(B6,PalNames,0)+1,(MATCH(""Passive0b"",PalData_Header,0)))&amp;"":""&amp;ADDRESS(MATCH(B6,PalNames,0)+1,(MATCH(""Passive0b"",PalData_Header,0))+4)),LEN(INDIRECT("&amp;"""PalData!""&amp;ADDRESS(MATCH(B6,PalNames,0)+1,(MATCH(""Passive0b"",PalData_Header,0)))&amp;"":""&amp;ADDRESS(MATCH(B6,PalNames,0)+1,(MATCH(""Passive0b"",PalData_Header,0))+4)))&gt;0),1,1)),SkillDataCodeName,0)+1,MATCH(""TargetType1"",SkillData_Header,0)))"),"")</f>
        <v/>
      </c>
      <c r="AD6" s="45" t="e">
        <f aca="false" t="array" ref="AD6:AD6">IF(INDEX(PalData,MATCH($B6,PalNames,0)+1,MATCH("Passive0bCondition",PalData_Header,0))=IFERROR(INDEX(SkillData,MATCH(INDEX(PalData,MATCH($B6,PalNames,0)+1,MATCH("Passive0b",PalData_Header,0)),SkillDataCodeName,0)+1,MATCH("Conditions",SkillData_Header,0))),INDEX(PalData,MATCH($B6,PalNames,0)+1,MATCH("Passive0bCondition",PalData_Header,0)),INDEX(PalData,MATCH($B6,PalNames,0)+1,MATCH("Passive0bCondition",PalData_Header,0)) &amp; IF(ISBLANK(INDEX(PalData,MATCH($B6,PalNames,0)+1,MATCH("Passive0bCondition",PalData_Header,0))),," ")&amp;IFERROR(INDEX(SkillData,MATCH(INDEX(PalData,MATCH($B6,PalNames,0)+1,MATCH("Passive0b",PalData_Header,0)),SkillDataCodeName,0)+1,MATCH("Conditions",SkillData_Header,0))))</f>
        <v>#N/A</v>
      </c>
      <c r="AE6" s="45" t="str">
        <f aca="false">IFERROR(__xludf.dummyfunction("IFERROR(INDEX(SkillData,MATCH(Arrayformula(ARRAY_CONSTRAIN(FILTER(INDIRECT(""PalData!""&amp;ADDRESS(MATCH(B6,PalNames,0)+1,(MATCH(""Passive0b"",PalData_Header,0)))&amp;"":""&amp;ADDRESS(MATCH(B6,PalNames,0)+1,(MATCH(""Passive0b"",PalData_Header,0))+4)),LEN(INDIRECT("&amp;"""PalData!""&amp;ADDRESS(MATCH(B6,PalNames,0)+1,(MATCH(""Passive0b"",PalData_Header,0)))&amp;"":""&amp;ADDRESS(MATCH(B6,PalNames,0)+1,(MATCH(""Passive0b"",PalData_Header,0))+4)))&gt;0),1,1)),SkillDataCodeName,0)+1,MATCH(""ValueType1"",SkillData_Header,0)))"),"")</f>
        <v/>
      </c>
      <c r="AF6" s="45" t="n">
        <f aca="false">IFERROR(INDEX(SkillData,MATCH(INDEX(PalData,MATCH($B6,PalNames,0)+1,MATCH("Passive0b",PalData_Header,0)),SkillDataCodeName,0)+1,MATCH("EffectValue1",SkillData_Header,0)),)</f>
        <v>0</v>
      </c>
      <c r="AG6" s="45" t="n">
        <f aca="false">IFERROR(INDEX(SkillData,MATCH(INDEX(PalData,MATCH($B6,PalNames,0)+1,MATCH("Passive1b",PalData_Header,0)),SkillDataCodeName,0)+1,MATCH("EffectValue1",SkillData_Header,0)),)</f>
        <v>0</v>
      </c>
      <c r="AH6" s="45" t="n">
        <f aca="false">IFERROR(INDEX(SkillData,MATCH(INDEX(PalData,MATCH($B6,PalNames,0)+1,MATCH("Passive2b",PalData_Header,0)),SkillDataCodeName,0)+1,MATCH("EffectValue1",SkillData_Header,0)),)</f>
        <v>0</v>
      </c>
      <c r="AI6" s="45" t="n">
        <f aca="false">IFERROR(INDEX(SkillData,MATCH(INDEX(PalData,MATCH($B6,PalNames,0)+1,MATCH("Passive3b",PalData_Header,0)),SkillDataCodeName,0)+1,MATCH("EffectValue1",SkillData_Header,0)),)</f>
        <v>0</v>
      </c>
      <c r="AJ6" s="260" t="n">
        <f aca="false">IFERROR(INDEX(SkillData,MATCH(INDEX(PalData,MATCH($B6,PalNames,0)+1,MATCH("Passive4b",PalData_Header,0)),SkillDataCodeName,0)+1,MATCH("EffectValue1",SkillData_Header,0)),)</f>
        <v>0</v>
      </c>
      <c r="AK6" s="301" t="s">
        <v>265</v>
      </c>
    </row>
    <row r="7" customFormat="false" ht="15.75" hidden="false" customHeight="false" outlineLevel="0" collapsed="false">
      <c r="A7" s="302" t="n">
        <v>4</v>
      </c>
      <c r="B7" s="303" t="s">
        <v>93</v>
      </c>
      <c r="C7" s="48" t="str">
        <f aca="false" t="array" ref="C7:C7">IF(ISBLANK(INDEX(PalData,MATCH($B7,PalNames,0)+1,MATCH("ActiveSkill",PalData_Header,0))),INDEX(PalData,MATCH($B7,PalNames,0)+1,MATCH("SkillUnlock_",PalData_Header,0)),INDEX(PalData,MATCH($B7,PalNames,0)+1,MATCH("ActiveSkill",PalData_Header,0)))</f>
        <v>OnHeadShoot</v>
      </c>
      <c r="D7" s="48" t="s">
        <v>266</v>
      </c>
      <c r="E7" s="61" t="n">
        <f aca="false" t="array" ref="E7:E7">INDEX(PalData,MATCH($B7,PalNames,0)+1,MATCH("ActiveSkillBonus0",PalData_Header,0))</f>
        <v>10</v>
      </c>
      <c r="F7" s="61" t="n">
        <f aca="false" t="array" ref="F7:F7">INDEX(PalData,MATCH($B7,PalNames,0)+1,MATCH("ActiveSkillBonus1",PalData_Header,0))</f>
        <v>11</v>
      </c>
      <c r="G7" s="61" t="n">
        <f aca="false" t="array" ref="G7:G7">INDEX(PalData,MATCH($B7,PalNames,0)+1,MATCH("ActiveSkillBonus2",PalData_Header,0))</f>
        <v>13</v>
      </c>
      <c r="H7" s="61" t="n">
        <f aca="false" t="array" ref="H7:H7">INDEX(PalData,MATCH($B7,PalNames,0)+1,MATCH("ActiveSkillBonus3",PalData_Header,0))</f>
        <v>16</v>
      </c>
      <c r="I7" s="304" t="n">
        <f aca="false" t="array" ref="I7:I7">INDEX(PalData,MATCH($B7,PalNames,0)+1,MATCH("ActiveSkillBonus4",PalData_Header,0))</f>
        <v>20</v>
      </c>
      <c r="J7" s="48" t="str">
        <f aca="false">IFERROR(__xludf.dummyfunction("IFERROR(INDEX(SkillData,MATCH(Arrayformula(ARRAY_CONSTRAIN(FILTER(INDIRECT(""PalData!""&amp;ADDRESS(MATCH(B7,PalNames,0)+1,(MATCH(""Passive0c"",PalData_Header,0)))&amp;"":""&amp;ADDRESS(MATCH(B7,PalNames,0)+1,(MATCH(""Passive0c"",PalData_Header,0))+4)),LEN(INDIRECT("&amp;"""PalData!""&amp;ADDRESS(MATCH(B7,PalNames,0)+1,(MATCH(""Passive0c"",PalData_Header,0)))&amp;"":""&amp;ADDRESS(MATCH(B7,PalNames,0)+1,(MATCH(""Passive0c"",PalData_Header,0))+4)))&gt;0),1,1)),SkillDataCodeName,0)+1,MATCH(""EffectTypeCombined"",SkillData_Header,0)))"),"")</f>
        <v/>
      </c>
      <c r="K7" s="48" t="str">
        <f aca="false">IFERROR(__xludf.dummyfunction("IFERROR(INDEX(SkillData,MATCH(Arrayformula(ARRAY_CONSTRAIN(FILTER(INDIRECT(""PalData!""&amp;ADDRESS(MATCH(B7,PalNames,0)+1,(MATCH(""Passive0c"",PalData_Header,0)))&amp;"":""&amp;ADDRESS(MATCH(B7,PalNames,0)+1,(MATCH(""Passive0c"",PalData_Header,0))+4)),LEN(INDIRECT("&amp;"""PalData!""&amp;ADDRESS(MATCH(B7,PalNames,0)+1,(MATCH(""Passive0c"",PalData_Header,0)))&amp;"":""&amp;ADDRESS(MATCH(B7,PalNames,0)+1,(MATCH(""Passive0c"",PalData_Header,0))+4)))&gt;0),1,1)),SkillDataCodeName,0)+1,MATCH(""TargetType1"",SkillData_Header,0)))"),"")</f>
        <v/>
      </c>
      <c r="L7" s="48" t="e">
        <f aca="false" t="array" ref="L7:L7">IF(INDEX(PalData,MATCH($B7,PalNames,0)+1,MATCH("Passive0cCondition",PalData_Header,0))=IFERROR(INDEX(SkillData,MATCH(INDEX(PalData,MATCH($B7,PalNames,0)+1,MATCH("Passive0c",PalData_Header,0)),SkillDataCodeName,0)+1,MATCH("Conditions",SkillData_Header,0))),INDEX(PalData,MATCH($B7,PalNames,0)+1,MATCH("Passive0cCondition",PalData_Header,0)),INDEX(PalData,MATCH($B7,PalNames,0)+1,MATCH("Passive0cCondition",PalData_Header,0)) &amp; IF(ISBLANK(INDEX(PalData,MATCH($B7,PalNames,0)+1,MATCH("Passive0cCondition",PalData_Header,0))),," ")&amp;IFERROR(INDEX(SkillData,MATCH(INDEX(PalData,MATCH($B7,PalNames,0)+1,MATCH("Passive0c",PalData_Header,0)),SkillDataCodeName,0)+1,MATCH("Conditions",SkillData_Header,0))))</f>
        <v>#N/A</v>
      </c>
      <c r="M7" s="48" t="str">
        <f aca="false">IFERROR(__xludf.dummyfunction("IFERROR(INDEX(SkillData,MATCH(Arrayformula(ARRAY_CONSTRAIN(FILTER(INDIRECT(""PalData!""&amp;ADDRESS(MATCH(B7,PalNames,0)+1,(MATCH(""Passive0c"",PalData_Header,0)))&amp;"":""&amp;ADDRESS(MATCH(B7,PalNames,0)+1,(MATCH(""Passive0c"",PalData_Header,0))+4)),LEN(INDIRECT("&amp;"""PalData!""&amp;ADDRESS(MATCH(B7,PalNames,0)+1,(MATCH(""Passive0c"",PalData_Header,0)))&amp;"":""&amp;ADDRESS(MATCH(B7,PalNames,0)+1,(MATCH(""Passive0c"",PalData_Header,0))+4)))&gt;0),1,1)),SkillDataCodeName,0)+1,MATCH(""ValueType1"",SkillData_Header,0)))"),"")</f>
        <v/>
      </c>
      <c r="N7" s="48" t="e">
        <f aca="false" t="array" ref="N7:N7">IFERROR(INDEX(SkillData,MATCH(INDEX(PalData,MATCH($B7,PalNames,0)+1,MATCH("Passive0c",PalData_Header,0)),SkillDataCodeName,0)+1,MATCH("EffectValue1",SkillData_Header,0)))</f>
        <v>#VALUE!</v>
      </c>
      <c r="O7" s="48" t="e">
        <f aca="false" t="array" ref="O7:O7">IFERROR(INDEX(SkillData,MATCH(INDEX(PalData,MATCH($B7,PalNames,0)+1,MATCH("Passive1c",PalData_Header,0)),SkillDataCodeName,0)+1,MATCH("EffectValue1",SkillData_Header,0)))</f>
        <v>#VALUE!</v>
      </c>
      <c r="P7" s="48" t="e">
        <f aca="false" t="array" ref="P7:P7">IFERROR(INDEX(SkillData,MATCH(INDEX(PalData,MATCH($B7,PalNames,0)+1,MATCH("Passive2c",PalData_Header,0)),SkillDataCodeName,0)+1,MATCH("EffectValue1",SkillData_Header,0)))</f>
        <v>#VALUE!</v>
      </c>
      <c r="Q7" s="48" t="e">
        <f aca="false" t="array" ref="Q7:Q7">IFERROR(INDEX(SkillData,MATCH(INDEX(PalData,MATCH($B7,PalNames,0)+1,MATCH("Passive3c",PalData_Header,0)),SkillDataCodeName,0)+1,MATCH("EffectValue1",SkillData_Header,0)))</f>
        <v>#VALUE!</v>
      </c>
      <c r="R7" s="263" t="e">
        <f aca="false" t="array" ref="R7:R7">IFERROR(INDEX(SkillData,MATCH(INDEX(PalData,MATCH($B7,PalNames,0)+1,MATCH("Passive4c",PalData_Header,0)),SkillDataCodeName,0)+1,MATCH("EffectValue1",SkillData_Header,0)))</f>
        <v>#VALUE!</v>
      </c>
      <c r="S7" s="48" t="str">
        <f aca="false">IFERROR(__xludf.dummyfunction("IFERROR(INDEX(SkillData,MATCH(Arrayformula(ARRAY_CONSTRAIN(FILTER(INDIRECT(""PalData!""&amp;ADDRESS(MATCH(B7,PalNames,0)+1,(MATCH(""Passive0a"",PalData_Header,0)))&amp;"":""&amp;ADDRESS(MATCH(B7,PalNames,0)+1,(MATCH(""Passive0a"",PalData_Header,0))+4)),LEN(INDIRECT("&amp;"""PalData!""&amp;ADDRESS(MATCH(B7,PalNames,0)+1,(MATCH(""Passive0a"",PalData_Header,0)))&amp;"":""&amp;ADDRESS(MATCH(B7,PalNames,0)+1,(MATCH(""Passive0a"",PalData_Header,0))+4)))&gt;0),1,1)),SkillDataCodeName,0)+1,MATCH(""EffectTypeCombined"",SkillData_Header,0)))"),"")</f>
        <v/>
      </c>
      <c r="T7" s="48" t="str">
        <f aca="false">IFERROR(__xludf.dummyfunction("IFERROR(INDEX(SkillData,MATCH(Arrayformula(ARRAY_CONSTRAIN(FILTER(INDIRECT(""PalData!""&amp;ADDRESS(MATCH(B7,PalNames,0)+1,(MATCH(""Passive0a"",PalData_Header,0)))&amp;"":""&amp;ADDRESS(MATCH(B7,PalNames,0)+1,(MATCH(""Passive0a"",PalData_Header,0))+4)),LEN(INDIRECT("&amp;"""PalData!""&amp;ADDRESS(MATCH(B7,PalNames,0)+1,(MATCH(""Passive0a"",PalData_Header,0)))&amp;"":""&amp;ADDRESS(MATCH(B7,PalNames,0)+1,(MATCH(""Passive0a"",PalData_Header,0))+4)))&gt;0),1,1)),SkillDataCodeName,0)+1,MATCH(""TargetType1"",SkillData_Header,0)))"),"")</f>
        <v/>
      </c>
      <c r="U7" s="48" t="e">
        <f aca="false" t="array" ref="U7:U7">IF(INDEX(PalData,MATCH($B7,PalNames,0)+1,MATCH("Passive0aCondition",PalData_Header,0))=IFERROR(INDEX(SkillData,MATCH(INDEX(PalData,MATCH($B7,PalNames,0)+1,MATCH("Passive0a",PalData_Header,0)),SkillDataCodeName,0)+1,MATCH("Conditions",SkillData_Header,0))),INDEX(PalData,MATCH($B7,PalNames,0)+1,MATCH("Passive0aCondition",PalData_Header,0)),INDEX(PalData,MATCH($B7,PalNames,0)+1,MATCH("Passive0aCondition",PalData_Header,0)) &amp; IF(ISBLANK(INDEX(PalData,MATCH($B7,PalNames,0)+1,MATCH("Passive0aCondition",PalData_Header,0))),," ")&amp;IFERROR(INDEX(SkillData,MATCH(INDEX(PalData,MATCH($B7,PalNames,0)+1,MATCH("Passive0a",PalData_Header,0)),SkillDataCodeName,0)+1,MATCH("Conditions",SkillData_Header,0))))</f>
        <v>#N/A</v>
      </c>
      <c r="V7" s="48" t="str">
        <f aca="false">IFERROR(__xludf.dummyfunction("IFERROR(INDEX(SkillData,MATCH(Arrayformula(ARRAY_CONSTRAIN(FILTER(INDIRECT(""PalData!""&amp;ADDRESS(MATCH(B7,PalNames,0)+1,(MATCH(""Passive0a"",PalData_Header,0)))&amp;"":""&amp;ADDRESS(MATCH(B7,PalNames,0)+1,(MATCH(""Passive0a"",PalData_Header,0))+4)),LEN(INDIRECT("&amp;"""PalData!""&amp;ADDRESS(MATCH(B7,PalNames,0)+1,(MATCH(""Passive0a"",PalData_Header,0)))&amp;"":""&amp;ADDRESS(MATCH(B7,PalNames,0)+1,(MATCH(""Passive0a"",PalData_Header,0))+4)))&gt;0),1,1)),SkillDataCodeName,0)+1,MATCH(""ValueType1"",SkillData_Header,0)))"),"")</f>
        <v/>
      </c>
      <c r="W7" s="48" t="n">
        <f aca="false">IFERROR(INDEX(SkillData,MATCH(INDEX(PalData,MATCH($B7,PalNames,0)+1,MATCH("Passive0a",PalData_Header,0)),SkillDataCodeName,0)+1,MATCH("EffectValue1",SkillData_Header,0)),)</f>
        <v>0</v>
      </c>
      <c r="X7" s="48" t="n">
        <f aca="false">IFERROR(INDEX(SkillData,MATCH(INDEX(PalData,MATCH($B7,PalNames,0)+1,MATCH("Passive1a",PalData_Header,0)),SkillDataCodeName,0)+1,MATCH("EffectValue1",SkillData_Header,0)),)</f>
        <v>0</v>
      </c>
      <c r="Y7" s="48" t="n">
        <f aca="false">IFERROR(INDEX(SkillData,MATCH(INDEX(PalData,MATCH($B7,PalNames,0)+1,MATCH("Passive2a",PalData_Header,0)),SkillDataCodeName,0)+1,MATCH("EffectValue1",SkillData_Header,0)),)</f>
        <v>0</v>
      </c>
      <c r="Z7" s="48" t="n">
        <f aca="false">IFERROR(INDEX(SkillData,MATCH(INDEX(PalData,MATCH($B7,PalNames,0)+1,MATCH("Passive3a",PalData_Header,0)),SkillDataCodeName,0)+1,MATCH("EffectValue1",SkillData_Header,0)),)</f>
        <v>0</v>
      </c>
      <c r="AA7" s="263" t="n">
        <f aca="false">IFERROR(INDEX(SkillData,MATCH(INDEX(PalData,MATCH($B7,PalNames,0)+1,MATCH("Passive4a",PalData_Header,0)),SkillDataCodeName,0)+1,MATCH("EffectValue1",SkillData_Header,0)),)</f>
        <v>0</v>
      </c>
      <c r="AB7" s="47" t="str">
        <f aca="false">IFERROR(__xludf.dummyfunction("IFERROR(INDEX(SkillData,MATCH(Arrayformula(ARRAY_CONSTRAIN(FILTER(INDIRECT(""PalData!""&amp;ADDRESS(MATCH(B7,PalNames,0)+1,(MATCH(""Passive0b"",PalData_Header,0)))&amp;"":""&amp;ADDRESS(MATCH(B7,PalNames,0)+1,(MATCH(""Passive0b"",PalData_Header,0))+4)),LEN(INDIRECT("&amp;"""PalData!""&amp;ADDRESS(MATCH(B7,PalNames,0)+1,(MATCH(""Passive0b"",PalData_Header,0)))&amp;"":""&amp;ADDRESS(MATCH(B7,PalNames,0)+1,(MATCH(""Passive0b"",PalData_Header,0))+4)))&gt;0),1,1)),SkillDataCodeName,0)+1,MATCH(""EffectTypeCombined"",SkillData_Header,0)))"),"")</f>
        <v/>
      </c>
      <c r="AC7" s="48" t="str">
        <f aca="false">IFERROR(__xludf.dummyfunction("IFERROR(INDEX(SkillData,MATCH(Arrayformula(ARRAY_CONSTRAIN(FILTER(INDIRECT(""PalData!""&amp;ADDRESS(MATCH(B7,PalNames,0)+1,(MATCH(""Passive0b"",PalData_Header,0)))&amp;"":""&amp;ADDRESS(MATCH(B7,PalNames,0)+1,(MATCH(""Passive0b"",PalData_Header,0))+4)),LEN(INDIRECT("&amp;"""PalData!""&amp;ADDRESS(MATCH(B7,PalNames,0)+1,(MATCH(""Passive0b"",PalData_Header,0)))&amp;"":""&amp;ADDRESS(MATCH(B7,PalNames,0)+1,(MATCH(""Passive0b"",PalData_Header,0))+4)))&gt;0),1,1)),SkillDataCodeName,0)+1,MATCH(""TargetType1"",SkillData_Header,0)))"),"")</f>
        <v/>
      </c>
      <c r="AD7" s="48" t="e">
        <f aca="false" t="array" ref="AD7:AD7">IF(INDEX(PalData,MATCH($B7,PalNames,0)+1,MATCH("Passive0bCondition",PalData_Header,0))=IFERROR(INDEX(SkillData,MATCH(INDEX(PalData,MATCH($B7,PalNames,0)+1,MATCH("Passive0b",PalData_Header,0)),SkillDataCodeName,0)+1,MATCH("Conditions",SkillData_Header,0))),INDEX(PalData,MATCH($B7,PalNames,0)+1,MATCH("Passive0bCondition",PalData_Header,0)),INDEX(PalData,MATCH($B7,PalNames,0)+1,MATCH("Passive0bCondition",PalData_Header,0)) &amp; IF(ISBLANK(INDEX(PalData,MATCH($B7,PalNames,0)+1,MATCH("Passive0bCondition",PalData_Header,0))),," ")&amp;IFERROR(INDEX(SkillData,MATCH(INDEX(PalData,MATCH($B7,PalNames,0)+1,MATCH("Passive0b",PalData_Header,0)),SkillDataCodeName,0)+1,MATCH("Conditions",SkillData_Header,0))))</f>
        <v>#N/A</v>
      </c>
      <c r="AE7" s="48" t="str">
        <f aca="false">IFERROR(__xludf.dummyfunction("IFERROR(INDEX(SkillData,MATCH(Arrayformula(ARRAY_CONSTRAIN(FILTER(INDIRECT(""PalData!""&amp;ADDRESS(MATCH(B7,PalNames,0)+1,(MATCH(""Passive0b"",PalData_Header,0)))&amp;"":""&amp;ADDRESS(MATCH(B7,PalNames,0)+1,(MATCH(""Passive0b"",PalData_Header,0))+4)),LEN(INDIRECT("&amp;"""PalData!""&amp;ADDRESS(MATCH(B7,PalNames,0)+1,(MATCH(""Passive0b"",PalData_Header,0)))&amp;"":""&amp;ADDRESS(MATCH(B7,PalNames,0)+1,(MATCH(""Passive0b"",PalData_Header,0))+4)))&gt;0),1,1)),SkillDataCodeName,0)+1,MATCH(""ValueType1"",SkillData_Header,0)))"),"")</f>
        <v/>
      </c>
      <c r="AF7" s="48" t="n">
        <f aca="false">IFERROR(INDEX(SkillData,MATCH(INDEX(PalData,MATCH($B7,PalNames,0)+1,MATCH("Passive0b",PalData_Header,0)),SkillDataCodeName,0)+1,MATCH("EffectValue1",SkillData_Header,0)),)</f>
        <v>0</v>
      </c>
      <c r="AG7" s="48" t="n">
        <f aca="false">IFERROR(INDEX(SkillData,MATCH(INDEX(PalData,MATCH($B7,PalNames,0)+1,MATCH("Passive1b",PalData_Header,0)),SkillDataCodeName,0)+1,MATCH("EffectValue1",SkillData_Header,0)),)</f>
        <v>0</v>
      </c>
      <c r="AH7" s="48" t="n">
        <f aca="false">IFERROR(INDEX(SkillData,MATCH(INDEX(PalData,MATCH($B7,PalNames,0)+1,MATCH("Passive2b",PalData_Header,0)),SkillDataCodeName,0)+1,MATCH("EffectValue1",SkillData_Header,0)),)</f>
        <v>0</v>
      </c>
      <c r="AI7" s="48" t="n">
        <f aca="false">IFERROR(INDEX(SkillData,MATCH(INDEX(PalData,MATCH($B7,PalNames,0)+1,MATCH("Passive3b",PalData_Header,0)),SkillDataCodeName,0)+1,MATCH("EffectValue1",SkillData_Header,0)),)</f>
        <v>0</v>
      </c>
      <c r="AJ7" s="263" t="n">
        <f aca="false">IFERROR(INDEX(SkillData,MATCH(INDEX(PalData,MATCH($B7,PalNames,0)+1,MATCH("Passive4b",PalData_Header,0)),SkillDataCodeName,0)+1,MATCH("EffectValue1",SkillData_Header,0)),)</f>
        <v>0</v>
      </c>
      <c r="AK7" s="305" t="s">
        <v>267</v>
      </c>
    </row>
    <row r="8" customFormat="false" ht="15.75" hidden="false" customHeight="false" outlineLevel="0" collapsed="false">
      <c r="A8" s="299" t="n">
        <v>5</v>
      </c>
      <c r="B8" s="300" t="s">
        <v>59</v>
      </c>
      <c r="C8" s="45" t="str">
        <f aca="false" t="array" ref="C8:C8">IF(ISBLANK(INDEX(PalData,MATCH($B8,PalNames,0)+1,MATCH("ActiveSkill",PalData_Header,0))),INDEX(PalData,MATCH($B8,PalNames,0)+1,MATCH("SkillUnlock_",PalData_Header,0)),INDEX(PalData,MATCH($B8,PalNames,0)+1,MATCH("ActiveSkill",PalData_Header,0)))</f>
        <v>Flamethrower</v>
      </c>
      <c r="D8" s="45" t="s">
        <v>266</v>
      </c>
      <c r="E8" s="62" t="n">
        <f aca="false" t="array" ref="E8:E8">INDEX(PalData,MATCH($B8,PalNames,0)+1,MATCH("ActiveSkillBonus0",PalData_Header,0))</f>
        <v>10</v>
      </c>
      <c r="F8" s="62" t="n">
        <f aca="false" t="array" ref="F8:F8">INDEX(PalData,MATCH($B8,PalNames,0)+1,MATCH("ActiveSkillBonus1",PalData_Header,0))</f>
        <v>11</v>
      </c>
      <c r="G8" s="62" t="n">
        <f aca="false" t="array" ref="G8:G8">INDEX(PalData,MATCH($B8,PalNames,0)+1,MATCH("ActiveSkillBonus2",PalData_Header,0))</f>
        <v>13</v>
      </c>
      <c r="H8" s="62" t="n">
        <f aca="false" t="array" ref="H8:H8">INDEX(PalData,MATCH($B8,PalNames,0)+1,MATCH("ActiveSkillBonus3",PalData_Header,0))</f>
        <v>16</v>
      </c>
      <c r="I8" s="306" t="n">
        <f aca="false" t="array" ref="I8:I8">INDEX(PalData,MATCH($B8,PalNames,0)+1,MATCH("ActiveSkillBonus4",PalData_Header,0))</f>
        <v>20</v>
      </c>
      <c r="J8" s="45" t="str">
        <f aca="false">IFERROR(__xludf.dummyfunction("IFERROR(INDEX(SkillData,MATCH(Arrayformula(ARRAY_CONSTRAIN(FILTER(INDIRECT(""PalData!""&amp;ADDRESS(MATCH(B8,PalNames,0)+1,(MATCH(""Passive0c"",PalData_Header,0)))&amp;"":""&amp;ADDRESS(MATCH(B8,PalNames,0)+1,(MATCH(""Passive0c"",PalData_Header,0))+4)),LEN(INDIRECT("&amp;"""PalData!""&amp;ADDRESS(MATCH(B8,PalNames,0)+1,(MATCH(""Passive0c"",PalData_Header,0)))&amp;"":""&amp;ADDRESS(MATCH(B8,PalNames,0)+1,(MATCH(""Passive0c"",PalData_Header,0))+4)))&gt;0),1,1)),SkillDataCodeName,0)+1,MATCH(""EffectTypeCombined"",SkillData_Header,0)))"),"")</f>
        <v/>
      </c>
      <c r="K8" s="45" t="str">
        <f aca="false">IFERROR(__xludf.dummyfunction("IFERROR(INDEX(SkillData,MATCH(Arrayformula(ARRAY_CONSTRAIN(FILTER(INDIRECT(""PalData!""&amp;ADDRESS(MATCH(B8,PalNames,0)+1,(MATCH(""Passive0c"",PalData_Header,0)))&amp;"":""&amp;ADDRESS(MATCH(B8,PalNames,0)+1,(MATCH(""Passive0c"",PalData_Header,0))+4)),LEN(INDIRECT("&amp;"""PalData!""&amp;ADDRESS(MATCH(B8,PalNames,0)+1,(MATCH(""Passive0c"",PalData_Header,0)))&amp;"":""&amp;ADDRESS(MATCH(B8,PalNames,0)+1,(MATCH(""Passive0c"",PalData_Header,0))+4)))&gt;0),1,1)),SkillDataCodeName,0)+1,MATCH(""TargetType1"",SkillData_Header,0)))"),"")</f>
        <v/>
      </c>
      <c r="L8" s="45" t="e">
        <f aca="false" t="array" ref="L8:L8">IF(INDEX(PalData,MATCH($B8,PalNames,0)+1,MATCH("Passive0cCondition",PalData_Header,0))=IFERROR(INDEX(SkillData,MATCH(INDEX(PalData,MATCH($B8,PalNames,0)+1,MATCH("Passive0c",PalData_Header,0)),SkillDataCodeName,0)+1,MATCH("Conditions",SkillData_Header,0))),INDEX(PalData,MATCH($B8,PalNames,0)+1,MATCH("Passive0cCondition",PalData_Header,0)),INDEX(PalData,MATCH($B8,PalNames,0)+1,MATCH("Passive0cCondition",PalData_Header,0)) &amp; IF(ISBLANK(INDEX(PalData,MATCH($B8,PalNames,0)+1,MATCH("Passive0cCondition",PalData_Header,0))),," ")&amp;IFERROR(INDEX(SkillData,MATCH(INDEX(PalData,MATCH($B8,PalNames,0)+1,MATCH("Passive0c",PalData_Header,0)),SkillDataCodeName,0)+1,MATCH("Conditions",SkillData_Header,0))))</f>
        <v>#N/A</v>
      </c>
      <c r="M8" s="45" t="str">
        <f aca="false">IFERROR(__xludf.dummyfunction("IFERROR(INDEX(SkillData,MATCH(Arrayformula(ARRAY_CONSTRAIN(FILTER(INDIRECT(""PalData!""&amp;ADDRESS(MATCH(B8,PalNames,0)+1,(MATCH(""Passive0c"",PalData_Header,0)))&amp;"":""&amp;ADDRESS(MATCH(B8,PalNames,0)+1,(MATCH(""Passive0c"",PalData_Header,0))+4)),LEN(INDIRECT("&amp;"""PalData!""&amp;ADDRESS(MATCH(B8,PalNames,0)+1,(MATCH(""Passive0c"",PalData_Header,0)))&amp;"":""&amp;ADDRESS(MATCH(B8,PalNames,0)+1,(MATCH(""Passive0c"",PalData_Header,0))+4)))&gt;0),1,1)),SkillDataCodeName,0)+1,MATCH(""ValueType1"",SkillData_Header,0)))"),"")</f>
        <v/>
      </c>
      <c r="N8" s="45" t="e">
        <f aca="false" t="array" ref="N8:N8">IFERROR(INDEX(SkillData,MATCH(INDEX(PalData,MATCH($B8,PalNames,0)+1,MATCH("Passive0c",PalData_Header,0)),SkillDataCodeName,0)+1,MATCH("EffectValue1",SkillData_Header,0)))</f>
        <v>#VALUE!</v>
      </c>
      <c r="O8" s="45" t="e">
        <f aca="false" t="array" ref="O8:O8">IFERROR(INDEX(SkillData,MATCH(INDEX(PalData,MATCH($B8,PalNames,0)+1,MATCH("Passive1c",PalData_Header,0)),SkillDataCodeName,0)+1,MATCH("EffectValue1",SkillData_Header,0)))</f>
        <v>#VALUE!</v>
      </c>
      <c r="P8" s="45" t="e">
        <f aca="false" t="array" ref="P8:P8">IFERROR(INDEX(SkillData,MATCH(INDEX(PalData,MATCH($B8,PalNames,0)+1,MATCH("Passive2c",PalData_Header,0)),SkillDataCodeName,0)+1,MATCH("EffectValue1",SkillData_Header,0)))</f>
        <v>#VALUE!</v>
      </c>
      <c r="Q8" s="45" t="e">
        <f aca="false" t="array" ref="Q8:Q8">IFERROR(INDEX(SkillData,MATCH(INDEX(PalData,MATCH($B8,PalNames,0)+1,MATCH("Passive3c",PalData_Header,0)),SkillDataCodeName,0)+1,MATCH("EffectValue1",SkillData_Header,0)))</f>
        <v>#VALUE!</v>
      </c>
      <c r="R8" s="260" t="e">
        <f aca="false" t="array" ref="R8:R8">IFERROR(INDEX(SkillData,MATCH(INDEX(PalData,MATCH($B8,PalNames,0)+1,MATCH("Passive4c",PalData_Header,0)),SkillDataCodeName,0)+1,MATCH("EffectValue1",SkillData_Header,0)))</f>
        <v>#VALUE!</v>
      </c>
      <c r="S8" s="45" t="str">
        <f aca="false">IFERROR(__xludf.dummyfunction("IFERROR(INDEX(SkillData,MATCH(Arrayformula(ARRAY_CONSTRAIN(FILTER(INDIRECT(""PalData!""&amp;ADDRESS(MATCH(B8,PalNames,0)+1,(MATCH(""Passive0a"",PalData_Header,0)))&amp;"":""&amp;ADDRESS(MATCH(B8,PalNames,0)+1,(MATCH(""Passive0a"",PalData_Header,0))+4)),LEN(INDIRECT("&amp;"""PalData!""&amp;ADDRESS(MATCH(B8,PalNames,0)+1,(MATCH(""Passive0a"",PalData_Header,0)))&amp;"":""&amp;ADDRESS(MATCH(B8,PalNames,0)+1,(MATCH(""Passive0a"",PalData_Header,0))+4)))&gt;0),1,1)),SkillDataCodeName,0)+1,MATCH(""EffectTypeCombined"",SkillData_Header,0)))"),"")</f>
        <v/>
      </c>
      <c r="T8" s="45" t="str">
        <f aca="false">IFERROR(__xludf.dummyfunction("IFERROR(INDEX(SkillData,MATCH(Arrayformula(ARRAY_CONSTRAIN(FILTER(INDIRECT(""PalData!""&amp;ADDRESS(MATCH(B8,PalNames,0)+1,(MATCH(""Passive0a"",PalData_Header,0)))&amp;"":""&amp;ADDRESS(MATCH(B8,PalNames,0)+1,(MATCH(""Passive0a"",PalData_Header,0))+4)),LEN(INDIRECT("&amp;"""PalData!""&amp;ADDRESS(MATCH(B8,PalNames,0)+1,(MATCH(""Passive0a"",PalData_Header,0)))&amp;"":""&amp;ADDRESS(MATCH(B8,PalNames,0)+1,(MATCH(""Passive0a"",PalData_Header,0))+4)))&gt;0),1,1)),SkillDataCodeName,0)+1,MATCH(""TargetType1"",SkillData_Header,0)))"),"")</f>
        <v/>
      </c>
      <c r="U8" s="45" t="e">
        <f aca="false" t="array" ref="U8:U8">IF(INDEX(PalData,MATCH($B8,PalNames,0)+1,MATCH("Passive0aCondition",PalData_Header,0))=IFERROR(INDEX(SkillData,MATCH(INDEX(PalData,MATCH($B8,PalNames,0)+1,MATCH("Passive0a",PalData_Header,0)),SkillDataCodeName,0)+1,MATCH("Conditions",SkillData_Header,0))),INDEX(PalData,MATCH($B8,PalNames,0)+1,MATCH("Passive0aCondition",PalData_Header,0)),INDEX(PalData,MATCH($B8,PalNames,0)+1,MATCH("Passive0aCondition",PalData_Header,0)) &amp; IF(ISBLANK(INDEX(PalData,MATCH($B8,PalNames,0)+1,MATCH("Passive0aCondition",PalData_Header,0))),," ")&amp;IFERROR(INDEX(SkillData,MATCH(INDEX(PalData,MATCH($B8,PalNames,0)+1,MATCH("Passive0a",PalData_Header,0)),SkillDataCodeName,0)+1,MATCH("Conditions",SkillData_Header,0))))</f>
        <v>#N/A</v>
      </c>
      <c r="V8" s="45" t="str">
        <f aca="false">IFERROR(__xludf.dummyfunction("IFERROR(INDEX(SkillData,MATCH(Arrayformula(ARRAY_CONSTRAIN(FILTER(INDIRECT(""PalData!""&amp;ADDRESS(MATCH(B8,PalNames,0)+1,(MATCH(""Passive0a"",PalData_Header,0)))&amp;"":""&amp;ADDRESS(MATCH(B8,PalNames,0)+1,(MATCH(""Passive0a"",PalData_Header,0))+4)),LEN(INDIRECT("&amp;"""PalData!""&amp;ADDRESS(MATCH(B8,PalNames,0)+1,(MATCH(""Passive0a"",PalData_Header,0)))&amp;"":""&amp;ADDRESS(MATCH(B8,PalNames,0)+1,(MATCH(""Passive0a"",PalData_Header,0))+4)))&gt;0),1,1)),SkillDataCodeName,0)+1,MATCH(""ValueType1"",SkillData_Header,0)))"),"")</f>
        <v/>
      </c>
      <c r="W8" s="45" t="n">
        <f aca="false">IFERROR(INDEX(SkillData,MATCH(INDEX(PalData,MATCH($B8,PalNames,0)+1,MATCH("Passive0a",PalData_Header,0)),SkillDataCodeName,0)+1,MATCH("EffectValue1",SkillData_Header,0)),)</f>
        <v>0</v>
      </c>
      <c r="X8" s="45" t="n">
        <f aca="false">IFERROR(INDEX(SkillData,MATCH(INDEX(PalData,MATCH($B8,PalNames,0)+1,MATCH("Passive1a",PalData_Header,0)),SkillDataCodeName,0)+1,MATCH("EffectValue1",SkillData_Header,0)),)</f>
        <v>0</v>
      </c>
      <c r="Y8" s="45" t="n">
        <f aca="false">IFERROR(INDEX(SkillData,MATCH(INDEX(PalData,MATCH($B8,PalNames,0)+1,MATCH("Passive2a",PalData_Header,0)),SkillDataCodeName,0)+1,MATCH("EffectValue1",SkillData_Header,0)),)</f>
        <v>0</v>
      </c>
      <c r="Z8" s="45" t="n">
        <f aca="false">IFERROR(INDEX(SkillData,MATCH(INDEX(PalData,MATCH($B8,PalNames,0)+1,MATCH("Passive3a",PalData_Header,0)),SkillDataCodeName,0)+1,MATCH("EffectValue1",SkillData_Header,0)),)</f>
        <v>0</v>
      </c>
      <c r="AA8" s="260" t="n">
        <f aca="false">IFERROR(INDEX(SkillData,MATCH(INDEX(PalData,MATCH($B8,PalNames,0)+1,MATCH("Passive4a",PalData_Header,0)),SkillDataCodeName,0)+1,MATCH("EffectValue1",SkillData_Header,0)),)</f>
        <v>0</v>
      </c>
      <c r="AB8" s="44" t="str">
        <f aca="false">IFERROR(__xludf.dummyfunction("IFERROR(INDEX(SkillData,MATCH(Arrayformula(ARRAY_CONSTRAIN(FILTER(INDIRECT(""PalData!""&amp;ADDRESS(MATCH(B8,PalNames,0)+1,(MATCH(""Passive0b"",PalData_Header,0)))&amp;"":""&amp;ADDRESS(MATCH(B8,PalNames,0)+1,(MATCH(""Passive0b"",PalData_Header,0))+4)),LEN(INDIRECT("&amp;"""PalData!""&amp;ADDRESS(MATCH(B8,PalNames,0)+1,(MATCH(""Passive0b"",PalData_Header,0)))&amp;"":""&amp;ADDRESS(MATCH(B8,PalNames,0)+1,(MATCH(""Passive0b"",PalData_Header,0))+4)))&gt;0),1,1)),SkillDataCodeName,0)+1,MATCH(""EffectTypeCombined"",SkillData_Header,0)))"),"")</f>
        <v/>
      </c>
      <c r="AC8" s="45" t="str">
        <f aca="false">IFERROR(__xludf.dummyfunction("IFERROR(INDEX(SkillData,MATCH(Arrayformula(ARRAY_CONSTRAIN(FILTER(INDIRECT(""PalData!""&amp;ADDRESS(MATCH(B8,PalNames,0)+1,(MATCH(""Passive0b"",PalData_Header,0)))&amp;"":""&amp;ADDRESS(MATCH(B8,PalNames,0)+1,(MATCH(""Passive0b"",PalData_Header,0))+4)),LEN(INDIRECT("&amp;"""PalData!""&amp;ADDRESS(MATCH(B8,PalNames,0)+1,(MATCH(""Passive0b"",PalData_Header,0)))&amp;"":""&amp;ADDRESS(MATCH(B8,PalNames,0)+1,(MATCH(""Passive0b"",PalData_Header,0))+4)))&gt;0),1,1)),SkillDataCodeName,0)+1,MATCH(""TargetType1"",SkillData_Header,0)))"),"")</f>
        <v/>
      </c>
      <c r="AD8" s="45" t="e">
        <f aca="false" t="array" ref="AD8:AD8">IF(INDEX(PalData,MATCH($B8,PalNames,0)+1,MATCH("Passive0bCondition",PalData_Header,0))=IFERROR(INDEX(SkillData,MATCH(INDEX(PalData,MATCH($B8,PalNames,0)+1,MATCH("Passive0b",PalData_Header,0)),SkillDataCodeName,0)+1,MATCH("Conditions",SkillData_Header,0))),INDEX(PalData,MATCH($B8,PalNames,0)+1,MATCH("Passive0bCondition",PalData_Header,0)),INDEX(PalData,MATCH($B8,PalNames,0)+1,MATCH("Passive0bCondition",PalData_Header,0)) &amp; IF(ISBLANK(INDEX(PalData,MATCH($B8,PalNames,0)+1,MATCH("Passive0bCondition",PalData_Header,0))),," ")&amp;IFERROR(INDEX(SkillData,MATCH(INDEX(PalData,MATCH($B8,PalNames,0)+1,MATCH("Passive0b",PalData_Header,0)),SkillDataCodeName,0)+1,MATCH("Conditions",SkillData_Header,0))))</f>
        <v>#N/A</v>
      </c>
      <c r="AE8" s="45" t="str">
        <f aca="false">IFERROR(__xludf.dummyfunction("IFERROR(INDEX(SkillData,MATCH(Arrayformula(ARRAY_CONSTRAIN(FILTER(INDIRECT(""PalData!""&amp;ADDRESS(MATCH(B8,PalNames,0)+1,(MATCH(""Passive0b"",PalData_Header,0)))&amp;"":""&amp;ADDRESS(MATCH(B8,PalNames,0)+1,(MATCH(""Passive0b"",PalData_Header,0))+4)),LEN(INDIRECT("&amp;"""PalData!""&amp;ADDRESS(MATCH(B8,PalNames,0)+1,(MATCH(""Passive0b"",PalData_Header,0)))&amp;"":""&amp;ADDRESS(MATCH(B8,PalNames,0)+1,(MATCH(""Passive0b"",PalData_Header,0))+4)))&gt;0),1,1)),SkillDataCodeName,0)+1,MATCH(""ValueType1"",SkillData_Header,0)))"),"")</f>
        <v/>
      </c>
      <c r="AF8" s="45" t="n">
        <f aca="false">IFERROR(INDEX(SkillData,MATCH(INDEX(PalData,MATCH($B8,PalNames,0)+1,MATCH("Passive0b",PalData_Header,0)),SkillDataCodeName,0)+1,MATCH("EffectValue1",SkillData_Header,0)),)</f>
        <v>0</v>
      </c>
      <c r="AG8" s="45" t="n">
        <f aca="false">IFERROR(INDEX(SkillData,MATCH(INDEX(PalData,MATCH($B8,PalNames,0)+1,MATCH("Passive1b",PalData_Header,0)),SkillDataCodeName,0)+1,MATCH("EffectValue1",SkillData_Header,0)),)</f>
        <v>0</v>
      </c>
      <c r="AH8" s="45" t="n">
        <f aca="false">IFERROR(INDEX(SkillData,MATCH(INDEX(PalData,MATCH($B8,PalNames,0)+1,MATCH("Passive2b",PalData_Header,0)),SkillDataCodeName,0)+1,MATCH("EffectValue1",SkillData_Header,0)),)</f>
        <v>0</v>
      </c>
      <c r="AI8" s="45" t="n">
        <f aca="false">IFERROR(INDEX(SkillData,MATCH(INDEX(PalData,MATCH($B8,PalNames,0)+1,MATCH("Passive3b",PalData_Header,0)),SkillDataCodeName,0)+1,MATCH("EffectValue1",SkillData_Header,0)),)</f>
        <v>0</v>
      </c>
      <c r="AJ8" s="260" t="n">
        <f aca="false">IFERROR(INDEX(SkillData,MATCH(INDEX(PalData,MATCH($B8,PalNames,0)+1,MATCH("Passive4b",PalData_Header,0)),SkillDataCodeName,0)+1,MATCH("EffectValue1",SkillData_Header,0)),)</f>
        <v>0</v>
      </c>
      <c r="AK8" s="301" t="s">
        <v>268</v>
      </c>
    </row>
    <row r="9" customFormat="false" ht="15.75" hidden="false" customHeight="false" outlineLevel="0" collapsed="false">
      <c r="A9" s="302" t="n">
        <v>6</v>
      </c>
      <c r="B9" s="303" t="s">
        <v>61</v>
      </c>
      <c r="C9" s="48" t="str">
        <f aca="false" t="array" ref="C9:C9">IF(ISBLANK(INDEX(PalData,MATCH($B9,PalNames,0)+1,MATCH("ActiveSkill",PalData_Header,0))),INDEX(PalData,MATCH($B9,PalNames,0)+1,MATCH("SkillUnlock_",PalData_Header,0)),INDEX(PalData,MATCH($B9,PalNames,0)+1,MATCH("ActiveSkill",PalData_Header,0)))</f>
        <v>Unique_BluePlatypus_Toboggan</v>
      </c>
      <c r="D9" s="48" t="s">
        <v>269</v>
      </c>
      <c r="E9" s="61" t="n">
        <f aca="false" t="array" ref="E9:E9">INDEX(PalData,MATCH($B9,PalNames,0)+1,MATCH("ActiveSkillBonus0",PalData_Header,0))</f>
        <v>1</v>
      </c>
      <c r="F9" s="61" t="n">
        <f aca="false" t="array" ref="F9:F9">INDEX(PalData,MATCH($B9,PalNames,0)+1,MATCH("ActiveSkillBonus1",PalData_Header,0))</f>
        <v>1.1</v>
      </c>
      <c r="G9" s="61" t="n">
        <f aca="false" t="array" ref="G9:G9">INDEX(PalData,MATCH($B9,PalNames,0)+1,MATCH("ActiveSkillBonus2",PalData_Header,0))</f>
        <v>1.3</v>
      </c>
      <c r="H9" s="61" t="n">
        <f aca="false" t="array" ref="H9:H9">INDEX(PalData,MATCH($B9,PalNames,0)+1,MATCH("ActiveSkillBonus3",PalData_Header,0))</f>
        <v>1.6</v>
      </c>
      <c r="I9" s="304" t="n">
        <f aca="false" t="array" ref="I9:I9">INDEX(PalData,MATCH($B9,PalNames,0)+1,MATCH("ActiveSkillBonus4",PalData_Header,0))</f>
        <v>2</v>
      </c>
      <c r="J9" s="48" t="str">
        <f aca="false">IFERROR(__xludf.dummyfunction("IFERROR(INDEX(SkillData,MATCH(Arrayformula(ARRAY_CONSTRAIN(FILTER(INDIRECT(""PalData!""&amp;ADDRESS(MATCH(B9,PalNames,0)+1,(MATCH(""Passive0c"",PalData_Header,0)))&amp;"":""&amp;ADDRESS(MATCH(B9,PalNames,0)+1,(MATCH(""Passive0c"",PalData_Header,0))+4)),LEN(INDIRECT("&amp;"""PalData!""&amp;ADDRESS(MATCH(B9,PalNames,0)+1,(MATCH(""Passive0c"",PalData_Header,0)))&amp;"":""&amp;ADDRESS(MATCH(B9,PalNames,0)+1,(MATCH(""Passive0c"",PalData_Header,0))+4)))&gt;0),1,1)),SkillDataCodeName,0)+1,MATCH(""EffectTypeCombined"",SkillData_Header,0)))"),"")</f>
        <v/>
      </c>
      <c r="K9" s="48" t="str">
        <f aca="false">IFERROR(__xludf.dummyfunction("IFERROR(INDEX(SkillData,MATCH(Arrayformula(ARRAY_CONSTRAIN(FILTER(INDIRECT(""PalData!""&amp;ADDRESS(MATCH(B9,PalNames,0)+1,(MATCH(""Passive0c"",PalData_Header,0)))&amp;"":""&amp;ADDRESS(MATCH(B9,PalNames,0)+1,(MATCH(""Passive0c"",PalData_Header,0))+4)),LEN(INDIRECT("&amp;"""PalData!""&amp;ADDRESS(MATCH(B9,PalNames,0)+1,(MATCH(""Passive0c"",PalData_Header,0)))&amp;"":""&amp;ADDRESS(MATCH(B9,PalNames,0)+1,(MATCH(""Passive0c"",PalData_Header,0))+4)))&gt;0),1,1)),SkillDataCodeName,0)+1,MATCH(""TargetType1"",SkillData_Header,0)))"),"")</f>
        <v/>
      </c>
      <c r="L9" s="48" t="e">
        <f aca="false" t="array" ref="L9:L9">IF(INDEX(PalData,MATCH($B9,PalNames,0)+1,MATCH("Passive0cCondition",PalData_Header,0))=IFERROR(INDEX(SkillData,MATCH(INDEX(PalData,MATCH($B9,PalNames,0)+1,MATCH("Passive0c",PalData_Header,0)),SkillDataCodeName,0)+1,MATCH("Conditions",SkillData_Header,0))),INDEX(PalData,MATCH($B9,PalNames,0)+1,MATCH("Passive0cCondition",PalData_Header,0)),INDEX(PalData,MATCH($B9,PalNames,0)+1,MATCH("Passive0cCondition",PalData_Header,0)) &amp; IF(ISBLANK(INDEX(PalData,MATCH($B9,PalNames,0)+1,MATCH("Passive0cCondition",PalData_Header,0))),," ")&amp;IFERROR(INDEX(SkillData,MATCH(INDEX(PalData,MATCH($B9,PalNames,0)+1,MATCH("Passive0c",PalData_Header,0)),SkillDataCodeName,0)+1,MATCH("Conditions",SkillData_Header,0))))</f>
        <v>#N/A</v>
      </c>
      <c r="M9" s="48" t="str">
        <f aca="false">IFERROR(__xludf.dummyfunction("IFERROR(INDEX(SkillData,MATCH(Arrayformula(ARRAY_CONSTRAIN(FILTER(INDIRECT(""PalData!""&amp;ADDRESS(MATCH(B9,PalNames,0)+1,(MATCH(""Passive0c"",PalData_Header,0)))&amp;"":""&amp;ADDRESS(MATCH(B9,PalNames,0)+1,(MATCH(""Passive0c"",PalData_Header,0))+4)),LEN(INDIRECT("&amp;"""PalData!""&amp;ADDRESS(MATCH(B9,PalNames,0)+1,(MATCH(""Passive0c"",PalData_Header,0)))&amp;"":""&amp;ADDRESS(MATCH(B9,PalNames,0)+1,(MATCH(""Passive0c"",PalData_Header,0))+4)))&gt;0),1,1)),SkillDataCodeName,0)+1,MATCH(""ValueType1"",SkillData_Header,0)))"),"")</f>
        <v/>
      </c>
      <c r="N9" s="48" t="e">
        <f aca="false" t="array" ref="N9:N9">IFERROR(INDEX(SkillData,MATCH(INDEX(PalData,MATCH($B9,PalNames,0)+1,MATCH("Passive0c",PalData_Header,0)),SkillDataCodeName,0)+1,MATCH("EffectValue1",SkillData_Header,0)))</f>
        <v>#VALUE!</v>
      </c>
      <c r="O9" s="48" t="e">
        <f aca="false" t="array" ref="O9:O9">IFERROR(INDEX(SkillData,MATCH(INDEX(PalData,MATCH($B9,PalNames,0)+1,MATCH("Passive1c",PalData_Header,0)),SkillDataCodeName,0)+1,MATCH("EffectValue1",SkillData_Header,0)))</f>
        <v>#VALUE!</v>
      </c>
      <c r="P9" s="48" t="e">
        <f aca="false" t="array" ref="P9:P9">IFERROR(INDEX(SkillData,MATCH(INDEX(PalData,MATCH($B9,PalNames,0)+1,MATCH("Passive2c",PalData_Header,0)),SkillDataCodeName,0)+1,MATCH("EffectValue1",SkillData_Header,0)))</f>
        <v>#VALUE!</v>
      </c>
      <c r="Q9" s="48" t="e">
        <f aca="false" t="array" ref="Q9:Q9">IFERROR(INDEX(SkillData,MATCH(INDEX(PalData,MATCH($B9,PalNames,0)+1,MATCH("Passive3c",PalData_Header,0)),SkillDataCodeName,0)+1,MATCH("EffectValue1",SkillData_Header,0)))</f>
        <v>#VALUE!</v>
      </c>
      <c r="R9" s="263" t="e">
        <f aca="false" t="array" ref="R9:R9">IFERROR(INDEX(SkillData,MATCH(INDEX(PalData,MATCH($B9,PalNames,0)+1,MATCH("Passive4c",PalData_Header,0)),SkillDataCodeName,0)+1,MATCH("EffectValue1",SkillData_Header,0)))</f>
        <v>#VALUE!</v>
      </c>
      <c r="S9" s="48" t="str">
        <f aca="false">IFERROR(__xludf.dummyfunction("IFERROR(INDEX(SkillData,MATCH(Arrayformula(ARRAY_CONSTRAIN(FILTER(INDIRECT(""PalData!""&amp;ADDRESS(MATCH(B9,PalNames,0)+1,(MATCH(""Passive0a"",PalData_Header,0)))&amp;"":""&amp;ADDRESS(MATCH(B9,PalNames,0)+1,(MATCH(""Passive0a"",PalData_Header,0))+4)),LEN(INDIRECT("&amp;"""PalData!""&amp;ADDRESS(MATCH(B9,PalNames,0)+1,(MATCH(""Passive0a"",PalData_Header,0)))&amp;"":""&amp;ADDRESS(MATCH(B9,PalNames,0)+1,(MATCH(""Passive0a"",PalData_Header,0))+4)))&gt;0),1,1)),SkillDataCodeName,0)+1,MATCH(""EffectTypeCombined"",SkillData_Header,0)))"),"")</f>
        <v/>
      </c>
      <c r="T9" s="48" t="str">
        <f aca="false">IFERROR(__xludf.dummyfunction("IFERROR(INDEX(SkillData,MATCH(Arrayformula(ARRAY_CONSTRAIN(FILTER(INDIRECT(""PalData!""&amp;ADDRESS(MATCH(B9,PalNames,0)+1,(MATCH(""Passive0a"",PalData_Header,0)))&amp;"":""&amp;ADDRESS(MATCH(B9,PalNames,0)+1,(MATCH(""Passive0a"",PalData_Header,0))+4)),LEN(INDIRECT("&amp;"""PalData!""&amp;ADDRESS(MATCH(B9,PalNames,0)+1,(MATCH(""Passive0a"",PalData_Header,0)))&amp;"":""&amp;ADDRESS(MATCH(B9,PalNames,0)+1,(MATCH(""Passive0a"",PalData_Header,0))+4)))&gt;0),1,1)),SkillDataCodeName,0)+1,MATCH(""TargetType1"",SkillData_Header,0)))"),"")</f>
        <v/>
      </c>
      <c r="U9" s="48" t="e">
        <f aca="false" t="array" ref="U9:U9">IF(INDEX(PalData,MATCH($B9,PalNames,0)+1,MATCH("Passive0aCondition",PalData_Header,0))=IFERROR(INDEX(SkillData,MATCH(INDEX(PalData,MATCH($B9,PalNames,0)+1,MATCH("Passive0a",PalData_Header,0)),SkillDataCodeName,0)+1,MATCH("Conditions",SkillData_Header,0))),INDEX(PalData,MATCH($B9,PalNames,0)+1,MATCH("Passive0aCondition",PalData_Header,0)),INDEX(PalData,MATCH($B9,PalNames,0)+1,MATCH("Passive0aCondition",PalData_Header,0)) &amp; IF(ISBLANK(INDEX(PalData,MATCH($B9,PalNames,0)+1,MATCH("Passive0aCondition",PalData_Header,0))),," ")&amp;IFERROR(INDEX(SkillData,MATCH(INDEX(PalData,MATCH($B9,PalNames,0)+1,MATCH("Passive0a",PalData_Header,0)),SkillDataCodeName,0)+1,MATCH("Conditions",SkillData_Header,0))))</f>
        <v>#N/A</v>
      </c>
      <c r="V9" s="48" t="str">
        <f aca="false">IFERROR(__xludf.dummyfunction("IFERROR(INDEX(SkillData,MATCH(Arrayformula(ARRAY_CONSTRAIN(FILTER(INDIRECT(""PalData!""&amp;ADDRESS(MATCH(B9,PalNames,0)+1,(MATCH(""Passive0a"",PalData_Header,0)))&amp;"":""&amp;ADDRESS(MATCH(B9,PalNames,0)+1,(MATCH(""Passive0a"",PalData_Header,0))+4)),LEN(INDIRECT("&amp;"""PalData!""&amp;ADDRESS(MATCH(B9,PalNames,0)+1,(MATCH(""Passive0a"",PalData_Header,0)))&amp;"":""&amp;ADDRESS(MATCH(B9,PalNames,0)+1,(MATCH(""Passive0a"",PalData_Header,0))+4)))&gt;0),1,1)),SkillDataCodeName,0)+1,MATCH(""ValueType1"",SkillData_Header,0)))"),"")</f>
        <v/>
      </c>
      <c r="W9" s="48" t="n">
        <f aca="false">IFERROR(INDEX(SkillData,MATCH(INDEX(PalData,MATCH($B9,PalNames,0)+1,MATCH("Passive0a",PalData_Header,0)),SkillDataCodeName,0)+1,MATCH("EffectValue1",SkillData_Header,0)),)</f>
        <v>0</v>
      </c>
      <c r="X9" s="48" t="n">
        <f aca="false">IFERROR(INDEX(SkillData,MATCH(INDEX(PalData,MATCH($B9,PalNames,0)+1,MATCH("Passive1a",PalData_Header,0)),SkillDataCodeName,0)+1,MATCH("EffectValue1",SkillData_Header,0)),)</f>
        <v>0</v>
      </c>
      <c r="Y9" s="48" t="n">
        <f aca="false">IFERROR(INDEX(SkillData,MATCH(INDEX(PalData,MATCH($B9,PalNames,0)+1,MATCH("Passive2a",PalData_Header,0)),SkillDataCodeName,0)+1,MATCH("EffectValue1",SkillData_Header,0)),)</f>
        <v>0</v>
      </c>
      <c r="Z9" s="48" t="n">
        <f aca="false">IFERROR(INDEX(SkillData,MATCH(INDEX(PalData,MATCH($B9,PalNames,0)+1,MATCH("Passive3a",PalData_Header,0)),SkillDataCodeName,0)+1,MATCH("EffectValue1",SkillData_Header,0)),)</f>
        <v>0</v>
      </c>
      <c r="AA9" s="263" t="n">
        <f aca="false">IFERROR(INDEX(SkillData,MATCH(INDEX(PalData,MATCH($B9,PalNames,0)+1,MATCH("Passive4a",PalData_Header,0)),SkillDataCodeName,0)+1,MATCH("EffectValue1",SkillData_Header,0)),)</f>
        <v>0</v>
      </c>
      <c r="AB9" s="48" t="str">
        <f aca="false">IFERROR(__xludf.dummyfunction("IFERROR(INDEX(SkillData,MATCH(Arrayformula(ARRAY_CONSTRAIN(FILTER(INDIRECT(""PalData!""&amp;ADDRESS(MATCH(B9,PalNames,0)+1,(MATCH(""Passive0b"",PalData_Header,0)))&amp;"":""&amp;ADDRESS(MATCH(B9,PalNames,0)+1,(MATCH(""Passive0b"",PalData_Header,0))+4)),LEN(INDIRECT("&amp;"""PalData!""&amp;ADDRESS(MATCH(B9,PalNames,0)+1,(MATCH(""Passive0b"",PalData_Header,0)))&amp;"":""&amp;ADDRESS(MATCH(B9,PalNames,0)+1,(MATCH(""Passive0b"",PalData_Header,0))+4)))&gt;0),1,1)),SkillDataCodeName,0)+1,MATCH(""EffectTypeCombined"",SkillData_Header,0)))"),"")</f>
        <v/>
      </c>
      <c r="AC9" s="48" t="str">
        <f aca="false">IFERROR(__xludf.dummyfunction("IFERROR(INDEX(SkillData,MATCH(Arrayformula(ARRAY_CONSTRAIN(FILTER(INDIRECT(""PalData!""&amp;ADDRESS(MATCH(B9,PalNames,0)+1,(MATCH(""Passive0b"",PalData_Header,0)))&amp;"":""&amp;ADDRESS(MATCH(B9,PalNames,0)+1,(MATCH(""Passive0b"",PalData_Header,0))+4)),LEN(INDIRECT("&amp;"""PalData!""&amp;ADDRESS(MATCH(B9,PalNames,0)+1,(MATCH(""Passive0b"",PalData_Header,0)))&amp;"":""&amp;ADDRESS(MATCH(B9,PalNames,0)+1,(MATCH(""Passive0b"",PalData_Header,0))+4)))&gt;0),1,1)),SkillDataCodeName,0)+1,MATCH(""TargetType1"",SkillData_Header,0)))"),"")</f>
        <v/>
      </c>
      <c r="AD9" s="48" t="e">
        <f aca="false" t="array" ref="AD9:AD9">IF(INDEX(PalData,MATCH($B9,PalNames,0)+1,MATCH("Passive0bCondition",PalData_Header,0))=IFERROR(INDEX(SkillData,MATCH(INDEX(PalData,MATCH($B9,PalNames,0)+1,MATCH("Passive0b",PalData_Header,0)),SkillDataCodeName,0)+1,MATCH("Conditions",SkillData_Header,0))),INDEX(PalData,MATCH($B9,PalNames,0)+1,MATCH("Passive0bCondition",PalData_Header,0)),INDEX(PalData,MATCH($B9,PalNames,0)+1,MATCH("Passive0bCondition",PalData_Header,0)) &amp; IF(ISBLANK(INDEX(PalData,MATCH($B9,PalNames,0)+1,MATCH("Passive0bCondition",PalData_Header,0))),," ")&amp;IFERROR(INDEX(SkillData,MATCH(INDEX(PalData,MATCH($B9,PalNames,0)+1,MATCH("Passive0b",PalData_Header,0)),SkillDataCodeName,0)+1,MATCH("Conditions",SkillData_Header,0))))</f>
        <v>#N/A</v>
      </c>
      <c r="AE9" s="48" t="str">
        <f aca="false">IFERROR(__xludf.dummyfunction("IFERROR(INDEX(SkillData,MATCH(Arrayformula(ARRAY_CONSTRAIN(FILTER(INDIRECT(""PalData!""&amp;ADDRESS(MATCH(B9,PalNames,0)+1,(MATCH(""Passive0b"",PalData_Header,0)))&amp;"":""&amp;ADDRESS(MATCH(B9,PalNames,0)+1,(MATCH(""Passive0b"",PalData_Header,0))+4)),LEN(INDIRECT("&amp;"""PalData!""&amp;ADDRESS(MATCH(B9,PalNames,0)+1,(MATCH(""Passive0b"",PalData_Header,0)))&amp;"":""&amp;ADDRESS(MATCH(B9,PalNames,0)+1,(MATCH(""Passive0b"",PalData_Header,0))+4)))&gt;0),1,1)),SkillDataCodeName,0)+1,MATCH(""ValueType1"",SkillData_Header,0)))"),"")</f>
        <v/>
      </c>
      <c r="AF9" s="48" t="n">
        <f aca="false">IFERROR(INDEX(SkillData,MATCH(INDEX(PalData,MATCH($B9,PalNames,0)+1,MATCH("Passive0b",PalData_Header,0)),SkillDataCodeName,0)+1,MATCH("EffectValue1",SkillData_Header,0)),)</f>
        <v>0</v>
      </c>
      <c r="AG9" s="48" t="n">
        <f aca="false">IFERROR(INDEX(SkillData,MATCH(INDEX(PalData,MATCH($B9,PalNames,0)+1,MATCH("Passive1b",PalData_Header,0)),SkillDataCodeName,0)+1,MATCH("EffectValue1",SkillData_Header,0)),)</f>
        <v>0</v>
      </c>
      <c r="AH9" s="48" t="n">
        <f aca="false">IFERROR(INDEX(SkillData,MATCH(INDEX(PalData,MATCH($B9,PalNames,0)+1,MATCH("Passive2b",PalData_Header,0)),SkillDataCodeName,0)+1,MATCH("EffectValue1",SkillData_Header,0)),)</f>
        <v>0</v>
      </c>
      <c r="AI9" s="48" t="n">
        <f aca="false">IFERROR(INDEX(SkillData,MATCH(INDEX(PalData,MATCH($B9,PalNames,0)+1,MATCH("Passive3b",PalData_Header,0)),SkillDataCodeName,0)+1,MATCH("EffectValue1",SkillData_Header,0)),)</f>
        <v>0</v>
      </c>
      <c r="AJ9" s="263" t="n">
        <f aca="false">IFERROR(INDEX(SkillData,MATCH(INDEX(PalData,MATCH($B9,PalNames,0)+1,MATCH("Passive4b",PalData_Header,0)),SkillDataCodeName,0)+1,MATCH("EffectValue1",SkillData_Header,0)),)</f>
        <v>0</v>
      </c>
      <c r="AK9" s="305" t="s">
        <v>270</v>
      </c>
    </row>
    <row r="10" customFormat="false" ht="15.75" hidden="false" customHeight="false" outlineLevel="0" collapsed="false">
      <c r="A10" s="299" t="n">
        <v>7</v>
      </c>
      <c r="B10" s="300" t="s">
        <v>132</v>
      </c>
      <c r="C10" s="45" t="n">
        <f aca="false">IF(ISBLANK(INDEX(PalData,MATCH($B10,PalNames,0)+1,MATCH("ActiveSkill",PalData_Header,0))),INDEX(PalData,MATCH($B10,PalNames,0)+1,MATCH("SkillUnlock_",PalData_Header,0)),INDEX(PalData,MATCH($B10,PalNames,0)+1,MATCH("ActiveSkill",PalData_Header,0)))</f>
        <v>0</v>
      </c>
      <c r="D10" s="45"/>
      <c r="E10" s="45" t="n">
        <f aca="false">INDEX(PalData,MATCH($B10,PalNames,0)+1,MATCH("ActiveSkillBonus0",PalData_Header,0))</f>
        <v>0</v>
      </c>
      <c r="F10" s="45" t="n">
        <f aca="false">INDEX(PalData,MATCH($B10,PalNames,0)+1,MATCH("ActiveSkillBonus1",PalData_Header,0))</f>
        <v>0</v>
      </c>
      <c r="G10" s="45" t="n">
        <f aca="false">INDEX(PalData,MATCH($B10,PalNames,0)+1,MATCH("ActiveSkillBonus2",PalData_Header,0))</f>
        <v>0</v>
      </c>
      <c r="H10" s="45" t="n">
        <f aca="false">INDEX(PalData,MATCH($B10,PalNames,0)+1,MATCH("ActiveSkillBonus3",PalData_Header,0))</f>
        <v>0</v>
      </c>
      <c r="I10" s="260" t="n">
        <f aca="false">INDEX(PalData,MATCH($B10,PalNames,0)+1,MATCH("ActiveSkillBonus4",PalData_Header,0))</f>
        <v>0</v>
      </c>
      <c r="J10" s="45" t="str">
        <f aca="false">IFERROR(__xludf.dummyfunction("IFERROR(INDEX(SkillData,MATCH(Arrayformula(ARRAY_CONSTRAIN(FILTER(INDIRECT(""PalData!""&amp;ADDRESS(MATCH(B10,PalNames,0)+1,(MATCH(""Passive0c"",PalData_Header,0)))&amp;"":""&amp;ADDRESS(MATCH(B10,PalNames,0)+1,(MATCH(""Passive0c"",PalData_Header,0))+4)),LEN(INDIRECT"&amp;"(""PalData!""&amp;ADDRESS(MATCH(B10,PalNames,0)+1,(MATCH(""Passive0c"",PalData_Header,0)))&amp;"":""&amp;ADDRESS(MATCH(B10,PalNames,0)+1,(MATCH(""Passive0c"",PalData_Header,0))+4)))&gt;0),1,1)),SkillDataCodeName,0)+1,MATCH(""EffectTypeCombined"",SkillData_Header,0)))"),"ShotAttack")</f>
        <v>ShotAttack</v>
      </c>
      <c r="K10" s="45" t="str">
        <f aca="false">IFERROR(__xludf.dummyfunction("IFERROR(INDEX(SkillData,MATCH(Arrayformula(ARRAY_CONSTRAIN(FILTER(INDIRECT(""PalData!""&amp;ADDRESS(MATCH(B10,PalNames,0)+1,(MATCH(""Passive0c"",PalData_Header,0)))&amp;"":""&amp;ADDRESS(MATCH(B10,PalNames,0)+1,(MATCH(""Passive0c"",PalData_Header,0))+4)),LEN(INDIRECT"&amp;"(""PalData!""&amp;ADDRESS(MATCH(B10,PalNames,0)+1,(MATCH(""Passive0c"",PalData_Header,0)))&amp;"":""&amp;ADDRESS(MATCH(B10,PalNames,0)+1,(MATCH(""Passive0c"",PalData_Header,0))+4)))&gt;0),1,1)),SkillDataCodeName,0)+1,MATCH(""TargetType1"",SkillData_Header,0)))"),"Self")</f>
        <v>Self</v>
      </c>
      <c r="L10" s="45" t="e">
        <f aca="false" t="array" ref="L10:L10">IF(INDEX(PalData,MATCH($B10,PalNames,0)+1,MATCH("Passive0cCondition",PalData_Header,0))=IFERROR(INDEX(SkillData,MATCH(INDEX(PalData,MATCH($B10,PalNames,0)+1,MATCH("Passive0c",PalData_Header,0)),SkillDataCodeName,0)+1,MATCH("Conditions",SkillData_Header,0))),INDEX(PalData,MATCH($B10,PalNames,0)+1,MATCH("Passive0cCondition",PalData_Header,0)),INDEX(PalData,MATCH($B10,PalNames,0)+1,MATCH("Passive0cCondition",PalData_Header,0)) &amp; IF(ISBLANK(INDEX(PalData,MATCH($B10,PalNames,0)+1,MATCH("Passive0cCondition",PalData_Header,0))),," ")&amp;IFERROR(INDEX(SkillData,MATCH(INDEX(PalData,MATCH($B10,PalNames,0)+1,MATCH("Passive0c",PalData_Header,0)),SkillDataCodeName,0)+1,MATCH("Conditions",SkillData_Header,0))))</f>
        <v>#VALUE!</v>
      </c>
      <c r="M10" s="45" t="str">
        <f aca="false">IFERROR(__xludf.dummyfunction("IFERROR(INDEX(SkillData,MATCH(Arrayformula(ARRAY_CONSTRAIN(FILTER(INDIRECT(""PalData!""&amp;ADDRESS(MATCH(B10,PalNames,0)+1,(MATCH(""Passive0c"",PalData_Header,0)))&amp;"":""&amp;ADDRESS(MATCH(B10,PalNames,0)+1,(MATCH(""Passive0c"",PalData_Header,0))+4)),LEN(INDIRECT"&amp;"(""PalData!""&amp;ADDRESS(MATCH(B10,PalNames,0)+1,(MATCH(""Passive0c"",PalData_Header,0)))&amp;"":""&amp;ADDRESS(MATCH(B10,PalNames,0)+1,(MATCH(""Passive0c"",PalData_Header,0))+4)))&gt;0),1,1)),SkillDataCodeName,0)+1,MATCH(""ValueType1"",SkillData_Header,0)))"),"%")</f>
        <v>%</v>
      </c>
      <c r="N10" s="62" t="e">
        <f aca="false" t="array" ref="N10:N10">IFERROR(INDEX(SkillData,MATCH(INDEX(PalData,MATCH($B10,PalNames,0)+1,MATCH("Passive0c",PalData_Header,0)),SkillDataCodeName,0)+1,MATCH("EffectValue1",SkillData_Header,0)))</f>
        <v>#VALUE!</v>
      </c>
      <c r="O10" s="62" t="e">
        <f aca="false" t="array" ref="O10:O10">IFERROR(INDEX(SkillData,MATCH(INDEX(PalData,MATCH($B10,PalNames,0)+1,MATCH("Passive1c",PalData_Header,0)),SkillDataCodeName,0)+1,MATCH("EffectValue1",SkillData_Header,0)))</f>
        <v>#VALUE!</v>
      </c>
      <c r="P10" s="62" t="e">
        <f aca="false" t="array" ref="P10:P10">IFERROR(INDEX(SkillData,MATCH(INDEX(PalData,MATCH($B10,PalNames,0)+1,MATCH("Passive2c",PalData_Header,0)),SkillDataCodeName,0)+1,MATCH("EffectValue1",SkillData_Header,0)))</f>
        <v>#VALUE!</v>
      </c>
      <c r="Q10" s="62" t="e">
        <f aca="false" t="array" ref="Q10:Q10">IFERROR(INDEX(SkillData,MATCH(INDEX(PalData,MATCH($B10,PalNames,0)+1,MATCH("Passive3c",PalData_Header,0)),SkillDataCodeName,0)+1,MATCH("EffectValue1",SkillData_Header,0)))</f>
        <v>#VALUE!</v>
      </c>
      <c r="R10" s="306" t="e">
        <f aca="false" t="array" ref="R10:R10">IFERROR(INDEX(SkillData,MATCH(INDEX(PalData,MATCH($B10,PalNames,0)+1,MATCH("Passive4c",PalData_Header,0)),SkillDataCodeName,0)+1,MATCH("EffectValue1",SkillData_Header,0)))</f>
        <v>#VALUE!</v>
      </c>
      <c r="S10" s="45" t="str">
        <f aca="false">IFERROR(__xludf.dummyfunction("IFERROR(INDEX(SkillData,MATCH(Arrayformula(ARRAY_CONSTRAIN(FILTER(INDIRECT(""PalData!""&amp;ADDRESS(MATCH(B10,PalNames,0)+1,(MATCH(""Passive0a"",PalData_Header,0)))&amp;"":""&amp;ADDRESS(MATCH(B10,PalNames,0)+1,(MATCH(""Passive0a"",PalData_Header,0))+4)),LEN(INDIRECT"&amp;"(""PalData!""&amp;ADDRESS(MATCH(B10,PalNames,0)+1,(MATCH(""Passive0a"",PalData_Header,0)))&amp;"":""&amp;ADDRESS(MATCH(B10,PalNames,0)+1,(MATCH(""Passive0a"",PalData_Header,0))+4)))&gt;0),1,1)),SkillDataCodeName,0)+1,MATCH(""EffectTypeCombined"",SkillData_Header,0)))"),"")</f>
        <v/>
      </c>
      <c r="T10" s="45" t="str">
        <f aca="false">IFERROR(__xludf.dummyfunction("IFERROR(INDEX(SkillData,MATCH(Arrayformula(ARRAY_CONSTRAIN(FILTER(INDIRECT(""PalData!""&amp;ADDRESS(MATCH(B10,PalNames,0)+1,(MATCH(""Passive0a"",PalData_Header,0)))&amp;"":""&amp;ADDRESS(MATCH(B10,PalNames,0)+1,(MATCH(""Passive0a"",PalData_Header,0))+4)),LEN(INDIRECT"&amp;"(""PalData!""&amp;ADDRESS(MATCH(B10,PalNames,0)+1,(MATCH(""Passive0a"",PalData_Header,0)))&amp;"":""&amp;ADDRESS(MATCH(B10,PalNames,0)+1,(MATCH(""Passive0a"",PalData_Header,0))+4)))&gt;0),1,1)),SkillDataCodeName,0)+1,MATCH(""TargetType1"",SkillData_Header,0)))"),"")</f>
        <v/>
      </c>
      <c r="U10" s="45" t="e">
        <f aca="false" t="array" ref="U10:U10">IF(INDEX(PalData,MATCH($B10,PalNames,0)+1,MATCH("Passive0aCondition",PalData_Header,0))=IFERROR(INDEX(SkillData,MATCH(INDEX(PalData,MATCH($B10,PalNames,0)+1,MATCH("Passive0a",PalData_Header,0)),SkillDataCodeName,0)+1,MATCH("Conditions",SkillData_Header,0))),INDEX(PalData,MATCH($B10,PalNames,0)+1,MATCH("Passive0aCondition",PalData_Header,0)),INDEX(PalData,MATCH($B10,PalNames,0)+1,MATCH("Passive0aCondition",PalData_Header,0)) &amp; IF(ISBLANK(INDEX(PalData,MATCH($B10,PalNames,0)+1,MATCH("Passive0aCondition",PalData_Header,0))),," ")&amp;IFERROR(INDEX(SkillData,MATCH(INDEX(PalData,MATCH($B10,PalNames,0)+1,MATCH("Passive0a",PalData_Header,0)),SkillDataCodeName,0)+1,MATCH("Conditions",SkillData_Header,0))))</f>
        <v>#N/A</v>
      </c>
      <c r="V10" s="45" t="str">
        <f aca="false">IFERROR(__xludf.dummyfunction("IFERROR(INDEX(SkillData,MATCH(Arrayformula(ARRAY_CONSTRAIN(FILTER(INDIRECT(""PalData!""&amp;ADDRESS(MATCH(B10,PalNames,0)+1,(MATCH(""Passive0a"",PalData_Header,0)))&amp;"":""&amp;ADDRESS(MATCH(B10,PalNames,0)+1,(MATCH(""Passive0a"",PalData_Header,0))+4)),LEN(INDIRECT"&amp;"(""PalData!""&amp;ADDRESS(MATCH(B10,PalNames,0)+1,(MATCH(""Passive0a"",PalData_Header,0)))&amp;"":""&amp;ADDRESS(MATCH(B10,PalNames,0)+1,(MATCH(""Passive0a"",PalData_Header,0))+4)))&gt;0),1,1)),SkillDataCodeName,0)+1,MATCH(""ValueType1"",SkillData_Header,0)))"),"")</f>
        <v/>
      </c>
      <c r="W10" s="45" t="n">
        <f aca="false">IFERROR(INDEX(SkillData,MATCH(INDEX(PalData,MATCH($B10,PalNames,0)+1,MATCH("Passive0a",PalData_Header,0)),SkillDataCodeName,0)+1,MATCH("EffectValue1",SkillData_Header,0)),)</f>
        <v>0</v>
      </c>
      <c r="X10" s="45" t="n">
        <f aca="false">IFERROR(INDEX(SkillData,MATCH(INDEX(PalData,MATCH($B10,PalNames,0)+1,MATCH("Passive1a",PalData_Header,0)),SkillDataCodeName,0)+1,MATCH("EffectValue1",SkillData_Header,0)),)</f>
        <v>0</v>
      </c>
      <c r="Y10" s="45" t="n">
        <f aca="false">IFERROR(INDEX(SkillData,MATCH(INDEX(PalData,MATCH($B10,PalNames,0)+1,MATCH("Passive2a",PalData_Header,0)),SkillDataCodeName,0)+1,MATCH("EffectValue1",SkillData_Header,0)),)</f>
        <v>0</v>
      </c>
      <c r="Z10" s="45" t="n">
        <f aca="false">IFERROR(INDEX(SkillData,MATCH(INDEX(PalData,MATCH($B10,PalNames,0)+1,MATCH("Passive3a",PalData_Header,0)),SkillDataCodeName,0)+1,MATCH("EffectValue1",SkillData_Header,0)),)</f>
        <v>0</v>
      </c>
      <c r="AA10" s="260" t="n">
        <f aca="false">IFERROR(INDEX(SkillData,MATCH(INDEX(PalData,MATCH($B10,PalNames,0)+1,MATCH("Passive4a",PalData_Header,0)),SkillDataCodeName,0)+1,MATCH("EffectValue1",SkillData_Header,0)),)</f>
        <v>0</v>
      </c>
      <c r="AB10" s="45" t="str">
        <f aca="false">IFERROR(__xludf.dummyfunction("IFERROR(INDEX(SkillData,MATCH(Arrayformula(ARRAY_CONSTRAIN(FILTER(INDIRECT(""PalData!""&amp;ADDRESS(MATCH(B10,PalNames,0)+1,(MATCH(""Passive0b"",PalData_Header,0)))&amp;"":""&amp;ADDRESS(MATCH(B10,PalNames,0)+1,(MATCH(""Passive0b"",PalData_Header,0))+4)),LEN(INDIRECT"&amp;"(""PalData!""&amp;ADDRESS(MATCH(B10,PalNames,0)+1,(MATCH(""Passive0b"",PalData_Header,0)))&amp;"":""&amp;ADDRESS(MATCH(B10,PalNames,0)+1,(MATCH(""Passive0b"",PalData_Header,0))+4)))&gt;0),1,1)),SkillDataCodeName,0)+1,MATCH(""EffectTypeCombined"",SkillData_Header,0)))"),"")</f>
        <v/>
      </c>
      <c r="AC10" s="45" t="str">
        <f aca="false">IFERROR(__xludf.dummyfunction("IFERROR(INDEX(SkillData,MATCH(Arrayformula(ARRAY_CONSTRAIN(FILTER(INDIRECT(""PalData!""&amp;ADDRESS(MATCH(B10,PalNames,0)+1,(MATCH(""Passive0b"",PalData_Header,0)))&amp;"":""&amp;ADDRESS(MATCH(B10,PalNames,0)+1,(MATCH(""Passive0b"",PalData_Header,0))+4)),LEN(INDIRECT"&amp;"(""PalData!""&amp;ADDRESS(MATCH(B10,PalNames,0)+1,(MATCH(""Passive0b"",PalData_Header,0)))&amp;"":""&amp;ADDRESS(MATCH(B10,PalNames,0)+1,(MATCH(""Passive0b"",PalData_Header,0))+4)))&gt;0),1,1)),SkillDataCodeName,0)+1,MATCH(""TargetType1"",SkillData_Header,0)))"),"")</f>
        <v/>
      </c>
      <c r="AD10" s="45" t="e">
        <f aca="false" t="array" ref="AD10:AD10">IF(INDEX(PalData,MATCH($B10,PalNames,0)+1,MATCH("Passive0bCondition",PalData_Header,0))=IFERROR(INDEX(SkillData,MATCH(INDEX(PalData,MATCH($B10,PalNames,0)+1,MATCH("Passive0b",PalData_Header,0)),SkillDataCodeName,0)+1,MATCH("Conditions",SkillData_Header,0))),INDEX(PalData,MATCH($B10,PalNames,0)+1,MATCH("Passive0bCondition",PalData_Header,0)),INDEX(PalData,MATCH($B10,PalNames,0)+1,MATCH("Passive0bCondition",PalData_Header,0)) &amp; IF(ISBLANK(INDEX(PalData,MATCH($B10,PalNames,0)+1,MATCH("Passive0bCondition",PalData_Header,0))),," ")&amp;IFERROR(INDEX(SkillData,MATCH(INDEX(PalData,MATCH($B10,PalNames,0)+1,MATCH("Passive0b",PalData_Header,0)),SkillDataCodeName,0)+1,MATCH("Conditions",SkillData_Header,0))))</f>
        <v>#N/A</v>
      </c>
      <c r="AE10" s="45" t="str">
        <f aca="false">IFERROR(__xludf.dummyfunction("IFERROR(INDEX(SkillData,MATCH(Arrayformula(ARRAY_CONSTRAIN(FILTER(INDIRECT(""PalData!""&amp;ADDRESS(MATCH(B10,PalNames,0)+1,(MATCH(""Passive0b"",PalData_Header,0)))&amp;"":""&amp;ADDRESS(MATCH(B10,PalNames,0)+1,(MATCH(""Passive0b"",PalData_Header,0))+4)),LEN(INDIRECT"&amp;"(""PalData!""&amp;ADDRESS(MATCH(B10,PalNames,0)+1,(MATCH(""Passive0b"",PalData_Header,0)))&amp;"":""&amp;ADDRESS(MATCH(B10,PalNames,0)+1,(MATCH(""Passive0b"",PalData_Header,0))+4)))&gt;0),1,1)),SkillDataCodeName,0)+1,MATCH(""ValueType1"",SkillData_Header,0)))"),"")</f>
        <v/>
      </c>
      <c r="AF10" s="45" t="n">
        <f aca="false">IFERROR(INDEX(SkillData,MATCH(INDEX(PalData,MATCH($B10,PalNames,0)+1,MATCH("Passive0b",PalData_Header,0)),SkillDataCodeName,0)+1,MATCH("EffectValue1",SkillData_Header,0)),)</f>
        <v>0</v>
      </c>
      <c r="AG10" s="45" t="n">
        <f aca="false">IFERROR(INDEX(SkillData,MATCH(INDEX(PalData,MATCH($B10,PalNames,0)+1,MATCH("Passive1b",PalData_Header,0)),SkillDataCodeName,0)+1,MATCH("EffectValue1",SkillData_Header,0)),)</f>
        <v>0</v>
      </c>
      <c r="AH10" s="45" t="n">
        <f aca="false">IFERROR(INDEX(SkillData,MATCH(INDEX(PalData,MATCH($B10,PalNames,0)+1,MATCH("Passive2b",PalData_Header,0)),SkillDataCodeName,0)+1,MATCH("EffectValue1",SkillData_Header,0)),)</f>
        <v>0</v>
      </c>
      <c r="AI10" s="45" t="n">
        <f aca="false">IFERROR(INDEX(SkillData,MATCH(INDEX(PalData,MATCH($B10,PalNames,0)+1,MATCH("Passive3b",PalData_Header,0)),SkillDataCodeName,0)+1,MATCH("EffectValue1",SkillData_Header,0)),)</f>
        <v>0</v>
      </c>
      <c r="AJ10" s="260" t="n">
        <f aca="false">IFERROR(INDEX(SkillData,MATCH(INDEX(PalData,MATCH($B10,PalNames,0)+1,MATCH("Passive4b",PalData_Header,0)),SkillDataCodeName,0)+1,MATCH("EffectValue1",SkillData_Header,0)),)</f>
        <v>0</v>
      </c>
      <c r="AK10" s="301" t="s">
        <v>271</v>
      </c>
    </row>
    <row r="11" customFormat="false" ht="15.75" hidden="false" customHeight="false" outlineLevel="0" collapsed="false">
      <c r="A11" s="302" t="n">
        <v>8</v>
      </c>
      <c r="B11" s="303" t="s">
        <v>139</v>
      </c>
      <c r="C11" s="48" t="str">
        <f aca="false" t="array" ref="C11:C11">IF(ISBLANK(INDEX(PalData,MATCH($B11,PalNames,0)+1,MATCH("ActiveSkill",PalData_Header,0))),INDEX(PalData,MATCH($B11,PalNames,0)+1,MATCH("SkillUnlock_",PalData_Header,0)),INDEX(PalData,MATCH($B11,PalNames,0)+1,MATCH("ActiveSkill",PalData_Header,0)))</f>
        <v>AssaultRifle</v>
      </c>
      <c r="D11" s="48" t="s">
        <v>266</v>
      </c>
      <c r="E11" s="61" t="n">
        <f aca="false" t="array" ref="E11:E11">INDEX(PalData,MATCH($B11,PalNames,0)+1,MATCH("ActiveSkillBonus0",PalData_Header,0))</f>
        <v>20</v>
      </c>
      <c r="F11" s="61" t="n">
        <f aca="false" t="array" ref="F11:F11">INDEX(PalData,MATCH($B11,PalNames,0)+1,MATCH("ActiveSkillBonus1",PalData_Header,0))</f>
        <v>22</v>
      </c>
      <c r="G11" s="61" t="n">
        <f aca="false" t="array" ref="G11:G11">INDEX(PalData,MATCH($B11,PalNames,0)+1,MATCH("ActiveSkillBonus2",PalData_Header,0))</f>
        <v>26</v>
      </c>
      <c r="H11" s="61" t="n">
        <f aca="false" t="array" ref="H11:H11">INDEX(PalData,MATCH($B11,PalNames,0)+1,MATCH("ActiveSkillBonus3",PalData_Header,0))</f>
        <v>32</v>
      </c>
      <c r="I11" s="304" t="n">
        <f aca="false" t="array" ref="I11:I11">INDEX(PalData,MATCH($B11,PalNames,0)+1,MATCH("ActiveSkillBonus4",PalData_Header,0))</f>
        <v>40</v>
      </c>
      <c r="J11" s="48" t="str">
        <f aca="false">IFERROR(__xludf.dummyfunction("IFERROR(INDEX(SkillData,MATCH(Arrayformula(ARRAY_CONSTRAIN(FILTER(INDIRECT(""PalData!""&amp;ADDRESS(MATCH(B11,PalNames,0)+1,(MATCH(""Passive0c"",PalData_Header,0)))&amp;"":""&amp;ADDRESS(MATCH(B11,PalNames,0)+1,(MATCH(""Passive0c"",PalData_Header,0))+4)),LEN(INDIRECT"&amp;"(""PalData!""&amp;ADDRESS(MATCH(B11,PalNames,0)+1,(MATCH(""Passive0c"",PalData_Header,0)))&amp;"":""&amp;ADDRESS(MATCH(B11,PalNames,0)+1,(MATCH(""Passive0c"",PalData_Header,0))+4)))&gt;0),1,1)),SkillDataCodeName,0)+1,MATCH(""EffectTypeCombined"",SkillData_Header,0)))"),"")</f>
        <v/>
      </c>
      <c r="K11" s="48" t="str">
        <f aca="false">IFERROR(__xludf.dummyfunction("IFERROR(INDEX(SkillData,MATCH(Arrayformula(ARRAY_CONSTRAIN(FILTER(INDIRECT(""PalData!""&amp;ADDRESS(MATCH(B11,PalNames,0)+1,(MATCH(""Passive0c"",PalData_Header,0)))&amp;"":""&amp;ADDRESS(MATCH(B11,PalNames,0)+1,(MATCH(""Passive0c"",PalData_Header,0))+4)),LEN(INDIRECT"&amp;"(""PalData!""&amp;ADDRESS(MATCH(B11,PalNames,0)+1,(MATCH(""Passive0c"",PalData_Header,0)))&amp;"":""&amp;ADDRESS(MATCH(B11,PalNames,0)+1,(MATCH(""Passive0c"",PalData_Header,0))+4)))&gt;0),1,1)),SkillDataCodeName,0)+1,MATCH(""TargetType1"",SkillData_Header,0)))"),"")</f>
        <v/>
      </c>
      <c r="L11" s="48" t="e">
        <f aca="false" t="array" ref="L11:L11">IF(INDEX(PalData,MATCH($B11,PalNames,0)+1,MATCH("Passive0cCondition",PalData_Header,0))=IFERROR(INDEX(SkillData,MATCH(INDEX(PalData,MATCH($B11,PalNames,0)+1,MATCH("Passive0c",PalData_Header,0)),SkillDataCodeName,0)+1,MATCH("Conditions",SkillData_Header,0))),INDEX(PalData,MATCH($B11,PalNames,0)+1,MATCH("Passive0cCondition",PalData_Header,0)),INDEX(PalData,MATCH($B11,PalNames,0)+1,MATCH("Passive0cCondition",PalData_Header,0)) &amp; IF(ISBLANK(INDEX(PalData,MATCH($B11,PalNames,0)+1,MATCH("Passive0cCondition",PalData_Header,0))),," ")&amp;IFERROR(INDEX(SkillData,MATCH(INDEX(PalData,MATCH($B11,PalNames,0)+1,MATCH("Passive0c",PalData_Header,0)),SkillDataCodeName,0)+1,MATCH("Conditions",SkillData_Header,0))))</f>
        <v>#N/A</v>
      </c>
      <c r="M11" s="48" t="str">
        <f aca="false">IFERROR(__xludf.dummyfunction("IFERROR(INDEX(SkillData,MATCH(Arrayformula(ARRAY_CONSTRAIN(FILTER(INDIRECT(""PalData!""&amp;ADDRESS(MATCH(B11,PalNames,0)+1,(MATCH(""Passive0c"",PalData_Header,0)))&amp;"":""&amp;ADDRESS(MATCH(B11,PalNames,0)+1,(MATCH(""Passive0c"",PalData_Header,0))+4)),LEN(INDIRECT"&amp;"(""PalData!""&amp;ADDRESS(MATCH(B11,PalNames,0)+1,(MATCH(""Passive0c"",PalData_Header,0)))&amp;"":""&amp;ADDRESS(MATCH(B11,PalNames,0)+1,(MATCH(""Passive0c"",PalData_Header,0))+4)))&gt;0),1,1)),SkillDataCodeName,0)+1,MATCH(""ValueType1"",SkillData_Header,0)))"),"")</f>
        <v/>
      </c>
      <c r="N11" s="48" t="e">
        <f aca="false" t="array" ref="N11:N11">IFERROR(INDEX(SkillData,MATCH(INDEX(PalData,MATCH($B11,PalNames,0)+1,MATCH("Passive0c",PalData_Header,0)),SkillDataCodeName,0)+1,MATCH("EffectValue1",SkillData_Header,0)))</f>
        <v>#VALUE!</v>
      </c>
      <c r="O11" s="48" t="e">
        <f aca="false" t="array" ref="O11:O11">IFERROR(INDEX(SkillData,MATCH(INDEX(PalData,MATCH($B11,PalNames,0)+1,MATCH("Passive1c",PalData_Header,0)),SkillDataCodeName,0)+1,MATCH("EffectValue1",SkillData_Header,0)))</f>
        <v>#VALUE!</v>
      </c>
      <c r="P11" s="48" t="e">
        <f aca="false" t="array" ref="P11:P11">IFERROR(INDEX(SkillData,MATCH(INDEX(PalData,MATCH($B11,PalNames,0)+1,MATCH("Passive2c",PalData_Header,0)),SkillDataCodeName,0)+1,MATCH("EffectValue1",SkillData_Header,0)))</f>
        <v>#VALUE!</v>
      </c>
      <c r="Q11" s="48" t="e">
        <f aca="false" t="array" ref="Q11:Q11">IFERROR(INDEX(SkillData,MATCH(INDEX(PalData,MATCH($B11,PalNames,0)+1,MATCH("Passive3c",PalData_Header,0)),SkillDataCodeName,0)+1,MATCH("EffectValue1",SkillData_Header,0)))</f>
        <v>#VALUE!</v>
      </c>
      <c r="R11" s="263" t="e">
        <f aca="false" t="array" ref="R11:R11">IFERROR(INDEX(SkillData,MATCH(INDEX(PalData,MATCH($B11,PalNames,0)+1,MATCH("Passive4c",PalData_Header,0)),SkillDataCodeName,0)+1,MATCH("EffectValue1",SkillData_Header,0)))</f>
        <v>#VALUE!</v>
      </c>
      <c r="S11" s="48" t="str">
        <f aca="false">IFERROR(__xludf.dummyfunction("IFERROR(INDEX(SkillData,MATCH(Arrayformula(ARRAY_CONSTRAIN(FILTER(INDIRECT(""PalData!""&amp;ADDRESS(MATCH(B11,PalNames,0)+1,(MATCH(""Passive0a"",PalData_Header,0)))&amp;"":""&amp;ADDRESS(MATCH(B11,PalNames,0)+1,(MATCH(""Passive0a"",PalData_Header,0))+4)),LEN(INDIRECT"&amp;"(""PalData!""&amp;ADDRESS(MATCH(B11,PalNames,0)+1,(MATCH(""Passive0a"",PalData_Header,0)))&amp;"":""&amp;ADDRESS(MATCH(B11,PalNames,0)+1,(MATCH(""Passive0a"",PalData_Header,0))+4)))&gt;0),1,1)),SkillDataCodeName,0)+1,MATCH(""EffectTypeCombined"",SkillData_Header,0)))"),"")</f>
        <v/>
      </c>
      <c r="T11" s="48" t="str">
        <f aca="false">IFERROR(__xludf.dummyfunction("IFERROR(INDEX(SkillData,MATCH(Arrayformula(ARRAY_CONSTRAIN(FILTER(INDIRECT(""PalData!""&amp;ADDRESS(MATCH(B11,PalNames,0)+1,(MATCH(""Passive0a"",PalData_Header,0)))&amp;"":""&amp;ADDRESS(MATCH(B11,PalNames,0)+1,(MATCH(""Passive0a"",PalData_Header,0))+4)),LEN(INDIRECT"&amp;"(""PalData!""&amp;ADDRESS(MATCH(B11,PalNames,0)+1,(MATCH(""Passive0a"",PalData_Header,0)))&amp;"":""&amp;ADDRESS(MATCH(B11,PalNames,0)+1,(MATCH(""Passive0a"",PalData_Header,0))+4)))&gt;0),1,1)),SkillDataCodeName,0)+1,MATCH(""TargetType1"",SkillData_Header,0)))"),"")</f>
        <v/>
      </c>
      <c r="U11" s="48" t="e">
        <f aca="false" t="array" ref="U11:U11">IF(INDEX(PalData,MATCH($B11,PalNames,0)+1,MATCH("Passive0aCondition",PalData_Header,0))=IFERROR(INDEX(SkillData,MATCH(INDEX(PalData,MATCH($B11,PalNames,0)+1,MATCH("Passive0a",PalData_Header,0)),SkillDataCodeName,0)+1,MATCH("Conditions",SkillData_Header,0))),INDEX(PalData,MATCH($B11,PalNames,0)+1,MATCH("Passive0aCondition",PalData_Header,0)),INDEX(PalData,MATCH($B11,PalNames,0)+1,MATCH("Passive0aCondition",PalData_Header,0)) &amp; IF(ISBLANK(INDEX(PalData,MATCH($B11,PalNames,0)+1,MATCH("Passive0aCondition",PalData_Header,0))),," ")&amp;IFERROR(INDEX(SkillData,MATCH(INDEX(PalData,MATCH($B11,PalNames,0)+1,MATCH("Passive0a",PalData_Header,0)),SkillDataCodeName,0)+1,MATCH("Conditions",SkillData_Header,0))))</f>
        <v>#N/A</v>
      </c>
      <c r="V11" s="48" t="str">
        <f aca="false">IFERROR(__xludf.dummyfunction("IFERROR(INDEX(SkillData,MATCH(Arrayformula(ARRAY_CONSTRAIN(FILTER(INDIRECT(""PalData!""&amp;ADDRESS(MATCH(B11,PalNames,0)+1,(MATCH(""Passive0a"",PalData_Header,0)))&amp;"":""&amp;ADDRESS(MATCH(B11,PalNames,0)+1,(MATCH(""Passive0a"",PalData_Header,0))+4)),LEN(INDIRECT"&amp;"(""PalData!""&amp;ADDRESS(MATCH(B11,PalNames,0)+1,(MATCH(""Passive0a"",PalData_Header,0)))&amp;"":""&amp;ADDRESS(MATCH(B11,PalNames,0)+1,(MATCH(""Passive0a"",PalData_Header,0))+4)))&gt;0),1,1)),SkillDataCodeName,0)+1,MATCH(""ValueType1"",SkillData_Header,0)))"),"")</f>
        <v/>
      </c>
      <c r="W11" s="48" t="n">
        <f aca="false">IFERROR(INDEX(SkillData,MATCH(INDEX(PalData,MATCH($B11,PalNames,0)+1,MATCH("Passive0a",PalData_Header,0)),SkillDataCodeName,0)+1,MATCH("EffectValue1",SkillData_Header,0)),)</f>
        <v>0</v>
      </c>
      <c r="X11" s="48" t="n">
        <f aca="false">IFERROR(INDEX(SkillData,MATCH(INDEX(PalData,MATCH($B11,PalNames,0)+1,MATCH("Passive1a",PalData_Header,0)),SkillDataCodeName,0)+1,MATCH("EffectValue1",SkillData_Header,0)),)</f>
        <v>0</v>
      </c>
      <c r="Y11" s="48" t="n">
        <f aca="false">IFERROR(INDEX(SkillData,MATCH(INDEX(PalData,MATCH($B11,PalNames,0)+1,MATCH("Passive2a",PalData_Header,0)),SkillDataCodeName,0)+1,MATCH("EffectValue1",SkillData_Header,0)),)</f>
        <v>0</v>
      </c>
      <c r="Z11" s="48" t="n">
        <f aca="false">IFERROR(INDEX(SkillData,MATCH(INDEX(PalData,MATCH($B11,PalNames,0)+1,MATCH("Passive3a",PalData_Header,0)),SkillDataCodeName,0)+1,MATCH("EffectValue1",SkillData_Header,0)),)</f>
        <v>0</v>
      </c>
      <c r="AA11" s="263" t="n">
        <f aca="false">IFERROR(INDEX(SkillData,MATCH(INDEX(PalData,MATCH($B11,PalNames,0)+1,MATCH("Passive4a",PalData_Header,0)),SkillDataCodeName,0)+1,MATCH("EffectValue1",SkillData_Header,0)),)</f>
        <v>0</v>
      </c>
      <c r="AB11" s="48" t="str">
        <f aca="false">IFERROR(__xludf.dummyfunction("IFERROR(INDEX(SkillData,MATCH(Arrayformula(ARRAY_CONSTRAIN(FILTER(INDIRECT(""PalData!""&amp;ADDRESS(MATCH(B11,PalNames,0)+1,(MATCH(""Passive0b"",PalData_Header,0)))&amp;"":""&amp;ADDRESS(MATCH(B11,PalNames,0)+1,(MATCH(""Passive0b"",PalData_Header,0))+4)),LEN(INDIRECT"&amp;"(""PalData!""&amp;ADDRESS(MATCH(B11,PalNames,0)+1,(MATCH(""Passive0b"",PalData_Header,0)))&amp;"":""&amp;ADDRESS(MATCH(B11,PalNames,0)+1,(MATCH(""Passive0b"",PalData_Header,0))+4)))&gt;0),1,1)),SkillDataCodeName,0)+1,MATCH(""EffectTypeCombined"",SkillData_Header,0)))"),"")</f>
        <v/>
      </c>
      <c r="AC11" s="48" t="str">
        <f aca="false">IFERROR(__xludf.dummyfunction("IFERROR(INDEX(SkillData,MATCH(Arrayformula(ARRAY_CONSTRAIN(FILTER(INDIRECT(""PalData!""&amp;ADDRESS(MATCH(B11,PalNames,0)+1,(MATCH(""Passive0b"",PalData_Header,0)))&amp;"":""&amp;ADDRESS(MATCH(B11,PalNames,0)+1,(MATCH(""Passive0b"",PalData_Header,0))+4)),LEN(INDIRECT"&amp;"(""PalData!""&amp;ADDRESS(MATCH(B11,PalNames,0)+1,(MATCH(""Passive0b"",PalData_Header,0)))&amp;"":""&amp;ADDRESS(MATCH(B11,PalNames,0)+1,(MATCH(""Passive0b"",PalData_Header,0))+4)))&gt;0),1,1)),SkillDataCodeName,0)+1,MATCH(""TargetType1"",SkillData_Header,0)))"),"")</f>
        <v/>
      </c>
      <c r="AD11" s="48" t="e">
        <f aca="false" t="array" ref="AD11:AD11">IF(INDEX(PalData,MATCH($B11,PalNames,0)+1,MATCH("Passive0bCondition",PalData_Header,0))=IFERROR(INDEX(SkillData,MATCH(INDEX(PalData,MATCH($B11,PalNames,0)+1,MATCH("Passive0b",PalData_Header,0)),SkillDataCodeName,0)+1,MATCH("Conditions",SkillData_Header,0))),INDEX(PalData,MATCH($B11,PalNames,0)+1,MATCH("Passive0bCondition",PalData_Header,0)),INDEX(PalData,MATCH($B11,PalNames,0)+1,MATCH("Passive0bCondition",PalData_Header,0)) &amp; IF(ISBLANK(INDEX(PalData,MATCH($B11,PalNames,0)+1,MATCH("Passive0bCondition",PalData_Header,0))),," ")&amp;IFERROR(INDEX(SkillData,MATCH(INDEX(PalData,MATCH($B11,PalNames,0)+1,MATCH("Passive0b",PalData_Header,0)),SkillDataCodeName,0)+1,MATCH("Conditions",SkillData_Header,0))))</f>
        <v>#N/A</v>
      </c>
      <c r="AE11" s="48" t="str">
        <f aca="false">IFERROR(__xludf.dummyfunction("IFERROR(INDEX(SkillData,MATCH(Arrayformula(ARRAY_CONSTRAIN(FILTER(INDIRECT(""PalData!""&amp;ADDRESS(MATCH(B11,PalNames,0)+1,(MATCH(""Passive0b"",PalData_Header,0)))&amp;"":""&amp;ADDRESS(MATCH(B11,PalNames,0)+1,(MATCH(""Passive0b"",PalData_Header,0))+4)),LEN(INDIRECT"&amp;"(""PalData!""&amp;ADDRESS(MATCH(B11,PalNames,0)+1,(MATCH(""Passive0b"",PalData_Header,0)))&amp;"":""&amp;ADDRESS(MATCH(B11,PalNames,0)+1,(MATCH(""Passive0b"",PalData_Header,0))+4)))&gt;0),1,1)),SkillDataCodeName,0)+1,MATCH(""ValueType1"",SkillData_Header,0)))"),"")</f>
        <v/>
      </c>
      <c r="AF11" s="48" t="n">
        <f aca="false">IFERROR(INDEX(SkillData,MATCH(INDEX(PalData,MATCH($B11,PalNames,0)+1,MATCH("Passive0b",PalData_Header,0)),SkillDataCodeName,0)+1,MATCH("EffectValue1",SkillData_Header,0)),)</f>
        <v>0</v>
      </c>
      <c r="AG11" s="48" t="n">
        <f aca="false">IFERROR(INDEX(SkillData,MATCH(INDEX(PalData,MATCH($B11,PalNames,0)+1,MATCH("Passive1b",PalData_Header,0)),SkillDataCodeName,0)+1,MATCH("EffectValue1",SkillData_Header,0)),)</f>
        <v>0</v>
      </c>
      <c r="AH11" s="48" t="n">
        <f aca="false">IFERROR(INDEX(SkillData,MATCH(INDEX(PalData,MATCH($B11,PalNames,0)+1,MATCH("Passive2b",PalData_Header,0)),SkillDataCodeName,0)+1,MATCH("EffectValue1",SkillData_Header,0)),)</f>
        <v>0</v>
      </c>
      <c r="AI11" s="48" t="n">
        <f aca="false">IFERROR(INDEX(SkillData,MATCH(INDEX(PalData,MATCH($B11,PalNames,0)+1,MATCH("Passive3b",PalData_Header,0)),SkillDataCodeName,0)+1,MATCH("EffectValue1",SkillData_Header,0)),)</f>
        <v>0</v>
      </c>
      <c r="AJ11" s="263" t="n">
        <f aca="false">IFERROR(INDEX(SkillData,MATCH(INDEX(PalData,MATCH($B11,PalNames,0)+1,MATCH("Passive4b",PalData_Header,0)),SkillDataCodeName,0)+1,MATCH("EffectValue1",SkillData_Header,0)),)</f>
        <v>0</v>
      </c>
      <c r="AK11" s="305" t="s">
        <v>272</v>
      </c>
    </row>
    <row r="12" customFormat="false" ht="15.75" hidden="false" customHeight="false" outlineLevel="0" collapsed="false">
      <c r="A12" s="299" t="n">
        <v>9</v>
      </c>
      <c r="B12" s="300" t="s">
        <v>128</v>
      </c>
      <c r="C12" s="45" t="n">
        <f aca="false">IF(ISBLANK(INDEX(PalData,MATCH($B12,PalNames,0)+1,MATCH("ActiveSkill",PalData_Header,0))),INDEX(PalData,MATCH($B12,PalNames,0)+1,MATCH("SkillUnlock_",PalData_Header,0)),INDEX(PalData,MATCH($B12,PalNames,0)+1,MATCH("ActiveSkill",PalData_Header,0)))</f>
        <v>0</v>
      </c>
      <c r="D12" s="45"/>
      <c r="E12" s="45" t="n">
        <f aca="false">INDEX(PalData,MATCH($B12,PalNames,0)+1,MATCH("ActiveSkillBonus0",PalData_Header,0))</f>
        <v>0</v>
      </c>
      <c r="F12" s="45" t="n">
        <f aca="false">INDEX(PalData,MATCH($B12,PalNames,0)+1,MATCH("ActiveSkillBonus1",PalData_Header,0))</f>
        <v>0</v>
      </c>
      <c r="G12" s="45" t="n">
        <f aca="false">INDEX(PalData,MATCH($B12,PalNames,0)+1,MATCH("ActiveSkillBonus2",PalData_Header,0))</f>
        <v>0</v>
      </c>
      <c r="H12" s="45" t="n">
        <f aca="false">INDEX(PalData,MATCH($B12,PalNames,0)+1,MATCH("ActiveSkillBonus3",PalData_Header,0))</f>
        <v>0</v>
      </c>
      <c r="I12" s="260" t="n">
        <f aca="false">INDEX(PalData,MATCH($B12,PalNames,0)+1,MATCH("ActiveSkillBonus4",PalData_Header,0))</f>
        <v>0</v>
      </c>
      <c r="J12" s="45" t="str">
        <f aca="false">IFERROR(__xludf.dummyfunction("IFERROR(INDEX(SkillData,MATCH(Arrayformula(ARRAY_CONSTRAIN(FILTER(INDIRECT(""PalData!""&amp;ADDRESS(MATCH(B12,PalNames,0)+1,(MATCH(""Passive0c"",PalData_Header,0)))&amp;"":""&amp;ADDRESS(MATCH(B12,PalNames,0)+1,(MATCH(""Passive0c"",PalData_Header,0))+4)),LEN(INDIRECT"&amp;"(""PalData!""&amp;ADDRESS(MATCH(B12,PalNames,0)+1,(MATCH(""Passive0c"",PalData_Header,0)))&amp;"":""&amp;ADDRESS(MATCH(B12,PalNames,0)+1,(MATCH(""Passive0c"",PalData_Header,0))+4)))&gt;0),1,1)),SkillDataCodeName,0)+1,MATCH(""EffectTypeCombined"",SkillData_Header,0)))"),"ShotAttack")</f>
        <v>ShotAttack</v>
      </c>
      <c r="K12" s="45" t="str">
        <f aca="false">IFERROR(__xludf.dummyfunction("IFERROR(INDEX(SkillData,MATCH(Arrayformula(ARRAY_CONSTRAIN(FILTER(INDIRECT(""PalData!""&amp;ADDRESS(MATCH(B12,PalNames,0)+1,(MATCH(""Passive0c"",PalData_Header,0)))&amp;"":""&amp;ADDRESS(MATCH(B12,PalNames,0)+1,(MATCH(""Passive0c"",PalData_Header,0))+4)),LEN(INDIRECT"&amp;"(""PalData!""&amp;ADDRESS(MATCH(B12,PalNames,0)+1,(MATCH(""Passive0c"",PalData_Header,0)))&amp;"":""&amp;ADDRESS(MATCH(B12,PalNames,0)+1,(MATCH(""Passive0c"",PalData_Header,0))+4)))&gt;0),1,1)),SkillDataCodeName,0)+1,MATCH(""TargetType1"",SkillData_Header,0)))"),"Self")</f>
        <v>Self</v>
      </c>
      <c r="L12" s="45" t="e">
        <f aca="false" t="array" ref="L12:L12">IF(INDEX(PalData,MATCH($B12,PalNames,0)+1,MATCH("Passive0cCondition",PalData_Header,0))=IFERROR(INDEX(SkillData,MATCH(INDEX(PalData,MATCH($B12,PalNames,0)+1,MATCH("Passive0c",PalData_Header,0)),SkillDataCodeName,0)+1,MATCH("Conditions",SkillData_Header,0))),INDEX(PalData,MATCH($B12,PalNames,0)+1,MATCH("Passive0cCondition",PalData_Header,0)),INDEX(PalData,MATCH($B12,PalNames,0)+1,MATCH("Passive0cCondition",PalData_Header,0)) &amp; IF(ISBLANK(INDEX(PalData,MATCH($B12,PalNames,0)+1,MATCH("Passive0cCondition",PalData_Header,0))),," ")&amp;IFERROR(INDEX(SkillData,MATCH(INDEX(PalData,MATCH($B12,PalNames,0)+1,MATCH("Passive0c",PalData_Header,0)),SkillDataCodeName,0)+1,MATCH("Conditions",SkillData_Header,0))))</f>
        <v>#VALUE!</v>
      </c>
      <c r="M12" s="45" t="str">
        <f aca="false">IFERROR(__xludf.dummyfunction("IFERROR(INDEX(SkillData,MATCH(Arrayformula(ARRAY_CONSTRAIN(FILTER(INDIRECT(""PalData!""&amp;ADDRESS(MATCH(B12,PalNames,0)+1,(MATCH(""Passive0c"",PalData_Header,0)))&amp;"":""&amp;ADDRESS(MATCH(B12,PalNames,0)+1,(MATCH(""Passive0c"",PalData_Header,0))+4)),LEN(INDIRECT"&amp;"(""PalData!""&amp;ADDRESS(MATCH(B12,PalNames,0)+1,(MATCH(""Passive0c"",PalData_Header,0)))&amp;"":""&amp;ADDRESS(MATCH(B12,PalNames,0)+1,(MATCH(""Passive0c"",PalData_Header,0))+4)))&gt;0),1,1)),SkillDataCodeName,0)+1,MATCH(""ValueType1"",SkillData_Header,0)))"),"%")</f>
        <v>%</v>
      </c>
      <c r="N12" s="62" t="e">
        <f aca="false" t="array" ref="N12:N12">IFERROR(INDEX(SkillData,MATCH(INDEX(PalData,MATCH($B12,PalNames,0)+1,MATCH("Passive0c",PalData_Header,0)),SkillDataCodeName,0)+1,MATCH("EffectValue1",SkillData_Header,0)))</f>
        <v>#VALUE!</v>
      </c>
      <c r="O12" s="62" t="e">
        <f aca="false" t="array" ref="O12:O12">IFERROR(INDEX(SkillData,MATCH(INDEX(PalData,MATCH($B12,PalNames,0)+1,MATCH("Passive1c",PalData_Header,0)),SkillDataCodeName,0)+1,MATCH("EffectValue1",SkillData_Header,0)))</f>
        <v>#VALUE!</v>
      </c>
      <c r="P12" s="62" t="e">
        <f aca="false" t="array" ref="P12:P12">IFERROR(INDEX(SkillData,MATCH(INDEX(PalData,MATCH($B12,PalNames,0)+1,MATCH("Passive2c",PalData_Header,0)),SkillDataCodeName,0)+1,MATCH("EffectValue1",SkillData_Header,0)))</f>
        <v>#VALUE!</v>
      </c>
      <c r="Q12" s="62" t="e">
        <f aca="false" t="array" ref="Q12:Q12">IFERROR(INDEX(SkillData,MATCH(INDEX(PalData,MATCH($B12,PalNames,0)+1,MATCH("Passive3c",PalData_Header,0)),SkillDataCodeName,0)+1,MATCH("EffectValue1",SkillData_Header,0)))</f>
        <v>#VALUE!</v>
      </c>
      <c r="R12" s="306" t="e">
        <f aca="false" t="array" ref="R12:R12">IFERROR(INDEX(SkillData,MATCH(INDEX(PalData,MATCH($B12,PalNames,0)+1,MATCH("Passive4c",PalData_Header,0)),SkillDataCodeName,0)+1,MATCH("EffectValue1",SkillData_Header,0)))</f>
        <v>#VALUE!</v>
      </c>
      <c r="S12" s="45" t="str">
        <f aca="false">IFERROR(__xludf.dummyfunction("IFERROR(INDEX(SkillData,MATCH(Arrayformula(ARRAY_CONSTRAIN(FILTER(INDIRECT(""PalData!""&amp;ADDRESS(MATCH(B12,PalNames,0)+1,(MATCH(""Passive0a"",PalData_Header,0)))&amp;"":""&amp;ADDRESS(MATCH(B12,PalNames,0)+1,(MATCH(""Passive0a"",PalData_Header,0))+4)),LEN(INDIRECT"&amp;"(""PalData!""&amp;ADDRESS(MATCH(B12,PalNames,0)+1,(MATCH(""Passive0a"",PalData_Header,0)))&amp;"":""&amp;ADDRESS(MATCH(B12,PalNames,0)+1,(MATCH(""Passive0a"",PalData_Header,0))+4)))&gt;0),1,1)),SkillDataCodeName,0)+1,MATCH(""EffectTypeCombined"",SkillData_Header,0)))"),"")</f>
        <v/>
      </c>
      <c r="T12" s="45" t="str">
        <f aca="false">IFERROR(__xludf.dummyfunction("IFERROR(INDEX(SkillData,MATCH(Arrayformula(ARRAY_CONSTRAIN(FILTER(INDIRECT(""PalData!""&amp;ADDRESS(MATCH(B12,PalNames,0)+1,(MATCH(""Passive0a"",PalData_Header,0)))&amp;"":""&amp;ADDRESS(MATCH(B12,PalNames,0)+1,(MATCH(""Passive0a"",PalData_Header,0))+4)),LEN(INDIRECT"&amp;"(""PalData!""&amp;ADDRESS(MATCH(B12,PalNames,0)+1,(MATCH(""Passive0a"",PalData_Header,0)))&amp;"":""&amp;ADDRESS(MATCH(B12,PalNames,0)+1,(MATCH(""Passive0a"",PalData_Header,0))+4)))&gt;0),1,1)),SkillDataCodeName,0)+1,MATCH(""TargetType1"",SkillData_Header,0)))"),"")</f>
        <v/>
      </c>
      <c r="U12" s="45" t="e">
        <f aca="false" t="array" ref="U12:U12">IF(INDEX(PalData,MATCH($B12,PalNames,0)+1,MATCH("Passive0aCondition",PalData_Header,0))=IFERROR(INDEX(SkillData,MATCH(INDEX(PalData,MATCH($B12,PalNames,0)+1,MATCH("Passive0a",PalData_Header,0)),SkillDataCodeName,0)+1,MATCH("Conditions",SkillData_Header,0))),INDEX(PalData,MATCH($B12,PalNames,0)+1,MATCH("Passive0aCondition",PalData_Header,0)),INDEX(PalData,MATCH($B12,PalNames,0)+1,MATCH("Passive0aCondition",PalData_Header,0)) &amp; IF(ISBLANK(INDEX(PalData,MATCH($B12,PalNames,0)+1,MATCH("Passive0aCondition",PalData_Header,0))),," ")&amp;IFERROR(INDEX(SkillData,MATCH(INDEX(PalData,MATCH($B12,PalNames,0)+1,MATCH("Passive0a",PalData_Header,0)),SkillDataCodeName,0)+1,MATCH("Conditions",SkillData_Header,0))))</f>
        <v>#N/A</v>
      </c>
      <c r="V12" s="45" t="str">
        <f aca="false">IFERROR(__xludf.dummyfunction("IFERROR(INDEX(SkillData,MATCH(Arrayformula(ARRAY_CONSTRAIN(FILTER(INDIRECT(""PalData!""&amp;ADDRESS(MATCH(B12,PalNames,0)+1,(MATCH(""Passive0a"",PalData_Header,0)))&amp;"":""&amp;ADDRESS(MATCH(B12,PalNames,0)+1,(MATCH(""Passive0a"",PalData_Header,0))+4)),LEN(INDIRECT"&amp;"(""PalData!""&amp;ADDRESS(MATCH(B12,PalNames,0)+1,(MATCH(""Passive0a"",PalData_Header,0)))&amp;"":""&amp;ADDRESS(MATCH(B12,PalNames,0)+1,(MATCH(""Passive0a"",PalData_Header,0))+4)))&gt;0),1,1)),SkillDataCodeName,0)+1,MATCH(""ValueType1"",SkillData_Header,0)))"),"")</f>
        <v/>
      </c>
      <c r="W12" s="45" t="n">
        <f aca="false">IFERROR(INDEX(SkillData,MATCH(INDEX(PalData,MATCH($B12,PalNames,0)+1,MATCH("Passive0a",PalData_Header,0)),SkillDataCodeName,0)+1,MATCH("EffectValue1",SkillData_Header,0)),)</f>
        <v>0</v>
      </c>
      <c r="X12" s="45" t="n">
        <f aca="false">IFERROR(INDEX(SkillData,MATCH(INDEX(PalData,MATCH($B12,PalNames,0)+1,MATCH("Passive1a",PalData_Header,0)),SkillDataCodeName,0)+1,MATCH("EffectValue1",SkillData_Header,0)),)</f>
        <v>0</v>
      </c>
      <c r="Y12" s="45" t="n">
        <f aca="false">IFERROR(INDEX(SkillData,MATCH(INDEX(PalData,MATCH($B12,PalNames,0)+1,MATCH("Passive2a",PalData_Header,0)),SkillDataCodeName,0)+1,MATCH("EffectValue1",SkillData_Header,0)),)</f>
        <v>0</v>
      </c>
      <c r="Z12" s="45" t="n">
        <f aca="false">IFERROR(INDEX(SkillData,MATCH(INDEX(PalData,MATCH($B12,PalNames,0)+1,MATCH("Passive3a",PalData_Header,0)),SkillDataCodeName,0)+1,MATCH("EffectValue1",SkillData_Header,0)),)</f>
        <v>0</v>
      </c>
      <c r="AA12" s="260" t="n">
        <f aca="false">IFERROR(INDEX(SkillData,MATCH(INDEX(PalData,MATCH($B12,PalNames,0)+1,MATCH("Passive4a",PalData_Header,0)),SkillDataCodeName,0)+1,MATCH("EffectValue1",SkillData_Header,0)),)</f>
        <v>0</v>
      </c>
      <c r="AB12" s="45" t="str">
        <f aca="false">IFERROR(__xludf.dummyfunction("IFERROR(INDEX(SkillData,MATCH(Arrayformula(ARRAY_CONSTRAIN(FILTER(INDIRECT(""PalData!""&amp;ADDRESS(MATCH(B12,PalNames,0)+1,(MATCH(""Passive0b"",PalData_Header,0)))&amp;"":""&amp;ADDRESS(MATCH(B12,PalNames,0)+1,(MATCH(""Passive0b"",PalData_Header,0))+4)),LEN(INDIRECT"&amp;"(""PalData!""&amp;ADDRESS(MATCH(B12,PalNames,0)+1,(MATCH(""Passive0b"",PalData_Header,0)))&amp;"":""&amp;ADDRESS(MATCH(B12,PalNames,0)+1,(MATCH(""Passive0b"",PalData_Header,0))+4)))&gt;0),1,1)),SkillDataCodeName,0)+1,MATCH(""EffectTypeCombined"",SkillData_Header,0)))"),"")</f>
        <v/>
      </c>
      <c r="AC12" s="45" t="str">
        <f aca="false">IFERROR(__xludf.dummyfunction("IFERROR(INDEX(SkillData,MATCH(Arrayformula(ARRAY_CONSTRAIN(FILTER(INDIRECT(""PalData!""&amp;ADDRESS(MATCH(B12,PalNames,0)+1,(MATCH(""Passive0b"",PalData_Header,0)))&amp;"":""&amp;ADDRESS(MATCH(B12,PalNames,0)+1,(MATCH(""Passive0b"",PalData_Header,0))+4)),LEN(INDIRECT"&amp;"(""PalData!""&amp;ADDRESS(MATCH(B12,PalNames,0)+1,(MATCH(""Passive0b"",PalData_Header,0)))&amp;"":""&amp;ADDRESS(MATCH(B12,PalNames,0)+1,(MATCH(""Passive0b"",PalData_Header,0))+4)))&gt;0),1,1)),SkillDataCodeName,0)+1,MATCH(""TargetType1"",SkillData_Header,0)))"),"")</f>
        <v/>
      </c>
      <c r="AD12" s="45" t="e">
        <f aca="false" t="array" ref="AD12:AD12">IF(INDEX(PalData,MATCH($B12,PalNames,0)+1,MATCH("Passive0bCondition",PalData_Header,0))=IFERROR(INDEX(SkillData,MATCH(INDEX(PalData,MATCH($B12,PalNames,0)+1,MATCH("Passive0b",PalData_Header,0)),SkillDataCodeName,0)+1,MATCH("Conditions",SkillData_Header,0))),INDEX(PalData,MATCH($B12,PalNames,0)+1,MATCH("Passive0bCondition",PalData_Header,0)),INDEX(PalData,MATCH($B12,PalNames,0)+1,MATCH("Passive0bCondition",PalData_Header,0)) &amp; IF(ISBLANK(INDEX(PalData,MATCH($B12,PalNames,0)+1,MATCH("Passive0bCondition",PalData_Header,0))),," ")&amp;IFERROR(INDEX(SkillData,MATCH(INDEX(PalData,MATCH($B12,PalNames,0)+1,MATCH("Passive0b",PalData_Header,0)),SkillDataCodeName,0)+1,MATCH("Conditions",SkillData_Header,0))))</f>
        <v>#N/A</v>
      </c>
      <c r="AE12" s="45" t="str">
        <f aca="false">IFERROR(__xludf.dummyfunction("IFERROR(INDEX(SkillData,MATCH(Arrayformula(ARRAY_CONSTRAIN(FILTER(INDIRECT(""PalData!""&amp;ADDRESS(MATCH(B12,PalNames,0)+1,(MATCH(""Passive0b"",PalData_Header,0)))&amp;"":""&amp;ADDRESS(MATCH(B12,PalNames,0)+1,(MATCH(""Passive0b"",PalData_Header,0))+4)),LEN(INDIRECT"&amp;"(""PalData!""&amp;ADDRESS(MATCH(B12,PalNames,0)+1,(MATCH(""Passive0b"",PalData_Header,0)))&amp;"":""&amp;ADDRESS(MATCH(B12,PalNames,0)+1,(MATCH(""Passive0b"",PalData_Header,0))+4)))&gt;0),1,1)),SkillDataCodeName,0)+1,MATCH(""ValueType1"",SkillData_Header,0)))"),"")</f>
        <v/>
      </c>
      <c r="AF12" s="45" t="n">
        <f aca="false">IFERROR(INDEX(SkillData,MATCH(INDEX(PalData,MATCH($B12,PalNames,0)+1,MATCH("Passive0b",PalData_Header,0)),SkillDataCodeName,0)+1,MATCH("EffectValue1",SkillData_Header,0)),)</f>
        <v>0</v>
      </c>
      <c r="AG12" s="45" t="n">
        <f aca="false">IFERROR(INDEX(SkillData,MATCH(INDEX(PalData,MATCH($B12,PalNames,0)+1,MATCH("Passive1b",PalData_Header,0)),SkillDataCodeName,0)+1,MATCH("EffectValue1",SkillData_Header,0)),)</f>
        <v>0</v>
      </c>
      <c r="AH12" s="45" t="n">
        <f aca="false">IFERROR(INDEX(SkillData,MATCH(INDEX(PalData,MATCH($B12,PalNames,0)+1,MATCH("Passive2b",PalData_Header,0)),SkillDataCodeName,0)+1,MATCH("EffectValue1",SkillData_Header,0)),)</f>
        <v>0</v>
      </c>
      <c r="AI12" s="45" t="n">
        <f aca="false">IFERROR(INDEX(SkillData,MATCH(INDEX(PalData,MATCH($B12,PalNames,0)+1,MATCH("Passive3b",PalData_Header,0)),SkillDataCodeName,0)+1,MATCH("EffectValue1",SkillData_Header,0)),)</f>
        <v>0</v>
      </c>
      <c r="AJ12" s="260" t="n">
        <f aca="false">IFERROR(INDEX(SkillData,MATCH(INDEX(PalData,MATCH($B12,PalNames,0)+1,MATCH("Passive4b",PalData_Header,0)),SkillDataCodeName,0)+1,MATCH("EffectValue1",SkillData_Header,0)),)</f>
        <v>0</v>
      </c>
      <c r="AK12" s="301" t="s">
        <v>273</v>
      </c>
    </row>
    <row r="13" customFormat="false" ht="15.75" hidden="false" customHeight="false" outlineLevel="0" collapsed="false">
      <c r="A13" s="302" t="n">
        <v>10</v>
      </c>
      <c r="B13" s="303" t="s">
        <v>114</v>
      </c>
      <c r="C13" s="48" t="str">
        <f aca="false" t="array" ref="C13:C13">IF(ISBLANK(INDEX(PalData,MATCH($B13,PalNames,0)+1,MATCH("ActiveSkill",PalData_Header,0))),INDEX(PalData,MATCH($B13,PalNames,0)+1,MATCH("SkillUnlock_",PalData_Header,0)),INDEX(PalData,MATCH($B13,PalNames,0)+1,MATCH("ActiveSkill",PalData_Header,0)))</f>
        <v>RocketLauncher</v>
      </c>
      <c r="D13" s="48" t="s">
        <v>266</v>
      </c>
      <c r="E13" s="61" t="n">
        <f aca="false" t="array" ref="E13:E13">INDEX(PalData,MATCH($B13,PalNames,0)+1,MATCH("ActiveSkillBonus0",PalData_Header,0))</f>
        <v>250</v>
      </c>
      <c r="F13" s="61" t="n">
        <f aca="false" t="array" ref="F13:F13">INDEX(PalData,MATCH($B13,PalNames,0)+1,MATCH("ActiveSkillBonus1",PalData_Header,0))</f>
        <v>285</v>
      </c>
      <c r="G13" s="61" t="n">
        <f aca="false" t="array" ref="G13:G13">INDEX(PalData,MATCH($B13,PalNames,0)+1,MATCH("ActiveSkillBonus2",PalData_Header,0))</f>
        <v>325</v>
      </c>
      <c r="H13" s="61" t="n">
        <f aca="false" t="array" ref="H13:H13">INDEX(PalData,MATCH($B13,PalNames,0)+1,MATCH("ActiveSkillBonus3",PalData_Header,0))</f>
        <v>400</v>
      </c>
      <c r="I13" s="304" t="n">
        <f aca="false" t="array" ref="I13:I13">INDEX(PalData,MATCH($B13,PalNames,0)+1,MATCH("ActiveSkillBonus4",PalData_Header,0))</f>
        <v>500</v>
      </c>
      <c r="J13" s="48" t="str">
        <f aca="false">IFERROR(__xludf.dummyfunction("IFERROR(INDEX(SkillData,MATCH(Arrayformula(ARRAY_CONSTRAIN(FILTER(INDIRECT(""PalData!""&amp;ADDRESS(MATCH(B13,PalNames,0)+1,(MATCH(""Passive0c"",PalData_Header,0)))&amp;"":""&amp;ADDRESS(MATCH(B13,PalNames,0)+1,(MATCH(""Passive0c"",PalData_Header,0))+4)),LEN(INDIRECT"&amp;"(""PalData!""&amp;ADDRESS(MATCH(B13,PalNames,0)+1,(MATCH(""Passive0c"",PalData_Header,0)))&amp;"":""&amp;ADDRESS(MATCH(B13,PalNames,0)+1,(MATCH(""Passive0c"",PalData_Header,0))+4)))&gt;0),1,1)),SkillDataCodeName,0)+1,MATCH(""EffectTypeCombined"",SkillData_Header,0)))"),"")</f>
        <v/>
      </c>
      <c r="K13" s="48" t="str">
        <f aca="false">IFERROR(__xludf.dummyfunction("IFERROR(INDEX(SkillData,MATCH(Arrayformula(ARRAY_CONSTRAIN(FILTER(INDIRECT(""PalData!""&amp;ADDRESS(MATCH(B13,PalNames,0)+1,(MATCH(""Passive0c"",PalData_Header,0)))&amp;"":""&amp;ADDRESS(MATCH(B13,PalNames,0)+1,(MATCH(""Passive0c"",PalData_Header,0))+4)),LEN(INDIRECT"&amp;"(""PalData!""&amp;ADDRESS(MATCH(B13,PalNames,0)+1,(MATCH(""Passive0c"",PalData_Header,0)))&amp;"":""&amp;ADDRESS(MATCH(B13,PalNames,0)+1,(MATCH(""Passive0c"",PalData_Header,0))+4)))&gt;0),1,1)),SkillDataCodeName,0)+1,MATCH(""TargetType1"",SkillData_Header,0)))"),"")</f>
        <v/>
      </c>
      <c r="L13" s="48" t="e">
        <f aca="false" t="array" ref="L13:L13">IF(INDEX(PalData,MATCH($B13,PalNames,0)+1,MATCH("Passive0cCondition",PalData_Header,0))=IFERROR(INDEX(SkillData,MATCH(INDEX(PalData,MATCH($B13,PalNames,0)+1,MATCH("Passive0c",PalData_Header,0)),SkillDataCodeName,0)+1,MATCH("Conditions",SkillData_Header,0))),INDEX(PalData,MATCH($B13,PalNames,0)+1,MATCH("Passive0cCondition",PalData_Header,0)),INDEX(PalData,MATCH($B13,PalNames,0)+1,MATCH("Passive0cCondition",PalData_Header,0)) &amp; IF(ISBLANK(INDEX(PalData,MATCH($B13,PalNames,0)+1,MATCH("Passive0cCondition",PalData_Header,0))),," ")&amp;IFERROR(INDEX(SkillData,MATCH(INDEX(PalData,MATCH($B13,PalNames,0)+1,MATCH("Passive0c",PalData_Header,0)),SkillDataCodeName,0)+1,MATCH("Conditions",SkillData_Header,0))))</f>
        <v>#N/A</v>
      </c>
      <c r="M13" s="48" t="str">
        <f aca="false">IFERROR(__xludf.dummyfunction("IFERROR(INDEX(SkillData,MATCH(Arrayformula(ARRAY_CONSTRAIN(FILTER(INDIRECT(""PalData!""&amp;ADDRESS(MATCH(B13,PalNames,0)+1,(MATCH(""Passive0c"",PalData_Header,0)))&amp;"":""&amp;ADDRESS(MATCH(B13,PalNames,0)+1,(MATCH(""Passive0c"",PalData_Header,0))+4)),LEN(INDIRECT"&amp;"(""PalData!""&amp;ADDRESS(MATCH(B13,PalNames,0)+1,(MATCH(""Passive0c"",PalData_Header,0)))&amp;"":""&amp;ADDRESS(MATCH(B13,PalNames,0)+1,(MATCH(""Passive0c"",PalData_Header,0))+4)))&gt;0),1,1)),SkillDataCodeName,0)+1,MATCH(""ValueType1"",SkillData_Header,0)))"),"")</f>
        <v/>
      </c>
      <c r="N13" s="48" t="e">
        <f aca="false" t="array" ref="N13:N13">IFERROR(INDEX(SkillData,MATCH(INDEX(PalData,MATCH($B13,PalNames,0)+1,MATCH("Passive0c",PalData_Header,0)),SkillDataCodeName,0)+1,MATCH("EffectValue1",SkillData_Header,0)))</f>
        <v>#VALUE!</v>
      </c>
      <c r="O13" s="48" t="e">
        <f aca="false" t="array" ref="O13:O13">IFERROR(INDEX(SkillData,MATCH(INDEX(PalData,MATCH($B13,PalNames,0)+1,MATCH("Passive1c",PalData_Header,0)),SkillDataCodeName,0)+1,MATCH("EffectValue1",SkillData_Header,0)))</f>
        <v>#VALUE!</v>
      </c>
      <c r="P13" s="48" t="e">
        <f aca="false" t="array" ref="P13:P13">IFERROR(INDEX(SkillData,MATCH(INDEX(PalData,MATCH($B13,PalNames,0)+1,MATCH("Passive2c",PalData_Header,0)),SkillDataCodeName,0)+1,MATCH("EffectValue1",SkillData_Header,0)))</f>
        <v>#VALUE!</v>
      </c>
      <c r="Q13" s="48" t="e">
        <f aca="false" t="array" ref="Q13:Q13">IFERROR(INDEX(SkillData,MATCH(INDEX(PalData,MATCH($B13,PalNames,0)+1,MATCH("Passive3c",PalData_Header,0)),SkillDataCodeName,0)+1,MATCH("EffectValue1",SkillData_Header,0)))</f>
        <v>#VALUE!</v>
      </c>
      <c r="R13" s="263" t="e">
        <f aca="false" t="array" ref="R13:R13">IFERROR(INDEX(SkillData,MATCH(INDEX(PalData,MATCH($B13,PalNames,0)+1,MATCH("Passive4c",PalData_Header,0)),SkillDataCodeName,0)+1,MATCH("EffectValue1",SkillData_Header,0)))</f>
        <v>#VALUE!</v>
      </c>
      <c r="S13" s="48" t="str">
        <f aca="false">IFERROR(__xludf.dummyfunction("IFERROR(INDEX(SkillData,MATCH(Arrayformula(ARRAY_CONSTRAIN(FILTER(INDIRECT(""PalData!""&amp;ADDRESS(MATCH(B13,PalNames,0)+1,(MATCH(""Passive0a"",PalData_Header,0)))&amp;"":""&amp;ADDRESS(MATCH(B13,PalNames,0)+1,(MATCH(""Passive0a"",PalData_Header,0))+4)),LEN(INDIRECT"&amp;"(""PalData!""&amp;ADDRESS(MATCH(B13,PalNames,0)+1,(MATCH(""Passive0a"",PalData_Header,0)))&amp;"":""&amp;ADDRESS(MATCH(B13,PalNames,0)+1,(MATCH(""Passive0a"",PalData_Header,0))+4)))&gt;0),1,1)),SkillDataCodeName,0)+1,MATCH(""EffectTypeCombined"",SkillData_Header,0)))"),"")</f>
        <v/>
      </c>
      <c r="T13" s="48" t="str">
        <f aca="false">IFERROR(__xludf.dummyfunction("IFERROR(INDEX(SkillData,MATCH(Arrayformula(ARRAY_CONSTRAIN(FILTER(INDIRECT(""PalData!""&amp;ADDRESS(MATCH(B13,PalNames,0)+1,(MATCH(""Passive0a"",PalData_Header,0)))&amp;"":""&amp;ADDRESS(MATCH(B13,PalNames,0)+1,(MATCH(""Passive0a"",PalData_Header,0))+4)),LEN(INDIRECT"&amp;"(""PalData!""&amp;ADDRESS(MATCH(B13,PalNames,0)+1,(MATCH(""Passive0a"",PalData_Header,0)))&amp;"":""&amp;ADDRESS(MATCH(B13,PalNames,0)+1,(MATCH(""Passive0a"",PalData_Header,0))+4)))&gt;0),1,1)),SkillDataCodeName,0)+1,MATCH(""TargetType1"",SkillData_Header,0)))"),"")</f>
        <v/>
      </c>
      <c r="U13" s="48" t="e">
        <f aca="false" t="array" ref="U13:U13">IF(INDEX(PalData,MATCH($B13,PalNames,0)+1,MATCH("Passive0aCondition",PalData_Header,0))=IFERROR(INDEX(SkillData,MATCH(INDEX(PalData,MATCH($B13,PalNames,0)+1,MATCH("Passive0a",PalData_Header,0)),SkillDataCodeName,0)+1,MATCH("Conditions",SkillData_Header,0))),INDEX(PalData,MATCH($B13,PalNames,0)+1,MATCH("Passive0aCondition",PalData_Header,0)),INDEX(PalData,MATCH($B13,PalNames,0)+1,MATCH("Passive0aCondition",PalData_Header,0)) &amp; IF(ISBLANK(INDEX(PalData,MATCH($B13,PalNames,0)+1,MATCH("Passive0aCondition",PalData_Header,0))),," ")&amp;IFERROR(INDEX(SkillData,MATCH(INDEX(PalData,MATCH($B13,PalNames,0)+1,MATCH("Passive0a",PalData_Header,0)),SkillDataCodeName,0)+1,MATCH("Conditions",SkillData_Header,0))))</f>
        <v>#N/A</v>
      </c>
      <c r="V13" s="48" t="str">
        <f aca="false">IFERROR(__xludf.dummyfunction("IFERROR(INDEX(SkillData,MATCH(Arrayformula(ARRAY_CONSTRAIN(FILTER(INDIRECT(""PalData!""&amp;ADDRESS(MATCH(B13,PalNames,0)+1,(MATCH(""Passive0a"",PalData_Header,0)))&amp;"":""&amp;ADDRESS(MATCH(B13,PalNames,0)+1,(MATCH(""Passive0a"",PalData_Header,0))+4)),LEN(INDIRECT"&amp;"(""PalData!""&amp;ADDRESS(MATCH(B13,PalNames,0)+1,(MATCH(""Passive0a"",PalData_Header,0)))&amp;"":""&amp;ADDRESS(MATCH(B13,PalNames,0)+1,(MATCH(""Passive0a"",PalData_Header,0))+4)))&gt;0),1,1)),SkillDataCodeName,0)+1,MATCH(""ValueType1"",SkillData_Header,0)))"),"")</f>
        <v/>
      </c>
      <c r="W13" s="48" t="n">
        <f aca="false">IFERROR(INDEX(SkillData,MATCH(INDEX(PalData,MATCH($B13,PalNames,0)+1,MATCH("Passive0a",PalData_Header,0)),SkillDataCodeName,0)+1,MATCH("EffectValue1",SkillData_Header,0)),)</f>
        <v>0</v>
      </c>
      <c r="X13" s="48" t="n">
        <f aca="false">IFERROR(INDEX(SkillData,MATCH(INDEX(PalData,MATCH($B13,PalNames,0)+1,MATCH("Passive1a",PalData_Header,0)),SkillDataCodeName,0)+1,MATCH("EffectValue1",SkillData_Header,0)),)</f>
        <v>0</v>
      </c>
      <c r="Y13" s="48" t="n">
        <f aca="false">IFERROR(INDEX(SkillData,MATCH(INDEX(PalData,MATCH($B13,PalNames,0)+1,MATCH("Passive2a",PalData_Header,0)),SkillDataCodeName,0)+1,MATCH("EffectValue1",SkillData_Header,0)),)</f>
        <v>0</v>
      </c>
      <c r="Z13" s="48" t="n">
        <f aca="false">IFERROR(INDEX(SkillData,MATCH(INDEX(PalData,MATCH($B13,PalNames,0)+1,MATCH("Passive3a",PalData_Header,0)),SkillDataCodeName,0)+1,MATCH("EffectValue1",SkillData_Header,0)),)</f>
        <v>0</v>
      </c>
      <c r="AA13" s="263" t="n">
        <f aca="false">IFERROR(INDEX(SkillData,MATCH(INDEX(PalData,MATCH($B13,PalNames,0)+1,MATCH("Passive4a",PalData_Header,0)),SkillDataCodeName,0)+1,MATCH("EffectValue1",SkillData_Header,0)),)</f>
        <v>0</v>
      </c>
      <c r="AB13" s="48" t="str">
        <f aca="false">IFERROR(__xludf.dummyfunction("IFERROR(INDEX(SkillData,MATCH(Arrayformula(ARRAY_CONSTRAIN(FILTER(INDIRECT(""PalData!""&amp;ADDRESS(MATCH(B13,PalNames,0)+1,(MATCH(""Passive0b"",PalData_Header,0)))&amp;"":""&amp;ADDRESS(MATCH(B13,PalNames,0)+1,(MATCH(""Passive0b"",PalData_Header,0))+4)),LEN(INDIRECT"&amp;"(""PalData!""&amp;ADDRESS(MATCH(B13,PalNames,0)+1,(MATCH(""Passive0b"",PalData_Header,0)))&amp;"":""&amp;ADDRESS(MATCH(B13,PalNames,0)+1,(MATCH(""Passive0b"",PalData_Header,0))+4)))&gt;0),1,1)),SkillDataCodeName,0)+1,MATCH(""EffectTypeCombined"",SkillData_Header,0)))"),"")</f>
        <v/>
      </c>
      <c r="AC13" s="48" t="str">
        <f aca="false">IFERROR(__xludf.dummyfunction("IFERROR(INDEX(SkillData,MATCH(Arrayformula(ARRAY_CONSTRAIN(FILTER(INDIRECT(""PalData!""&amp;ADDRESS(MATCH(B13,PalNames,0)+1,(MATCH(""Passive0b"",PalData_Header,0)))&amp;"":""&amp;ADDRESS(MATCH(B13,PalNames,0)+1,(MATCH(""Passive0b"",PalData_Header,0))+4)),LEN(INDIRECT"&amp;"(""PalData!""&amp;ADDRESS(MATCH(B13,PalNames,0)+1,(MATCH(""Passive0b"",PalData_Header,0)))&amp;"":""&amp;ADDRESS(MATCH(B13,PalNames,0)+1,(MATCH(""Passive0b"",PalData_Header,0))+4)))&gt;0),1,1)),SkillDataCodeName,0)+1,MATCH(""TargetType1"",SkillData_Header,0)))"),"")</f>
        <v/>
      </c>
      <c r="AD13" s="48" t="e">
        <f aca="false" t="array" ref="AD13:AD13">IF(INDEX(PalData,MATCH($B13,PalNames,0)+1,MATCH("Passive0bCondition",PalData_Header,0))=IFERROR(INDEX(SkillData,MATCH(INDEX(PalData,MATCH($B13,PalNames,0)+1,MATCH("Passive0b",PalData_Header,0)),SkillDataCodeName,0)+1,MATCH("Conditions",SkillData_Header,0))),INDEX(PalData,MATCH($B13,PalNames,0)+1,MATCH("Passive0bCondition",PalData_Header,0)),INDEX(PalData,MATCH($B13,PalNames,0)+1,MATCH("Passive0bCondition",PalData_Header,0)) &amp; IF(ISBLANK(INDEX(PalData,MATCH($B13,PalNames,0)+1,MATCH("Passive0bCondition",PalData_Header,0))),," ")&amp;IFERROR(INDEX(SkillData,MATCH(INDEX(PalData,MATCH($B13,PalNames,0)+1,MATCH("Passive0b",PalData_Header,0)),SkillDataCodeName,0)+1,MATCH("Conditions",SkillData_Header,0))))</f>
        <v>#N/A</v>
      </c>
      <c r="AE13" s="48" t="str">
        <f aca="false">IFERROR(__xludf.dummyfunction("IFERROR(INDEX(SkillData,MATCH(Arrayformula(ARRAY_CONSTRAIN(FILTER(INDIRECT(""PalData!""&amp;ADDRESS(MATCH(B13,PalNames,0)+1,(MATCH(""Passive0b"",PalData_Header,0)))&amp;"":""&amp;ADDRESS(MATCH(B13,PalNames,0)+1,(MATCH(""Passive0b"",PalData_Header,0))+4)),LEN(INDIRECT"&amp;"(""PalData!""&amp;ADDRESS(MATCH(B13,PalNames,0)+1,(MATCH(""Passive0b"",PalData_Header,0)))&amp;"":""&amp;ADDRESS(MATCH(B13,PalNames,0)+1,(MATCH(""Passive0b"",PalData_Header,0))+4)))&gt;0),1,1)),SkillDataCodeName,0)+1,MATCH(""ValueType1"",SkillData_Header,0)))"),"")</f>
        <v/>
      </c>
      <c r="AF13" s="48" t="n">
        <f aca="false">IFERROR(INDEX(SkillData,MATCH(INDEX(PalData,MATCH($B13,PalNames,0)+1,MATCH("Passive0b",PalData_Header,0)),SkillDataCodeName,0)+1,MATCH("EffectValue1",SkillData_Header,0)),)</f>
        <v>0</v>
      </c>
      <c r="AG13" s="48" t="n">
        <f aca="false">IFERROR(INDEX(SkillData,MATCH(INDEX(PalData,MATCH($B13,PalNames,0)+1,MATCH("Passive1b",PalData_Header,0)),SkillDataCodeName,0)+1,MATCH("EffectValue1",SkillData_Header,0)),)</f>
        <v>0</v>
      </c>
      <c r="AH13" s="48" t="n">
        <f aca="false">IFERROR(INDEX(SkillData,MATCH(INDEX(PalData,MATCH($B13,PalNames,0)+1,MATCH("Passive2b",PalData_Header,0)),SkillDataCodeName,0)+1,MATCH("EffectValue1",SkillData_Header,0)),)</f>
        <v>0</v>
      </c>
      <c r="AI13" s="48" t="n">
        <f aca="false">IFERROR(INDEX(SkillData,MATCH(INDEX(PalData,MATCH($B13,PalNames,0)+1,MATCH("Passive3b",PalData_Header,0)),SkillDataCodeName,0)+1,MATCH("EffectValue1",SkillData_Header,0)),)</f>
        <v>0</v>
      </c>
      <c r="AJ13" s="263" t="n">
        <f aca="false">IFERROR(INDEX(SkillData,MATCH(INDEX(PalData,MATCH($B13,PalNames,0)+1,MATCH("Passive4b",PalData_Header,0)),SkillDataCodeName,0)+1,MATCH("EffectValue1",SkillData_Header,0)),)</f>
        <v>0</v>
      </c>
      <c r="AK13" s="305" t="s">
        <v>274</v>
      </c>
    </row>
    <row r="14" customFormat="false" ht="15.75" hidden="false" customHeight="false" outlineLevel="0" collapsed="false">
      <c r="A14" s="299" t="n">
        <v>11</v>
      </c>
      <c r="B14" s="300" t="s">
        <v>115</v>
      </c>
      <c r="C14" s="45" t="n">
        <f aca="false">IF(ISBLANK(INDEX(PalData,MATCH($B14,PalNames,0)+1,MATCH("ActiveSkill",PalData_Header,0))),INDEX(PalData,MATCH($B14,PalNames,0)+1,MATCH("SkillUnlock_",PalData_Header,0)),INDEX(PalData,MATCH($B14,PalNames,0)+1,MATCH("ActiveSkill",PalData_Header,0)))</f>
        <v>0</v>
      </c>
      <c r="D14" s="45"/>
      <c r="E14" s="45" t="n">
        <f aca="false">INDEX(PalData,MATCH($B14,PalNames,0)+1,MATCH("ActiveSkillBonus0",PalData_Header,0))</f>
        <v>0</v>
      </c>
      <c r="F14" s="45" t="n">
        <f aca="false">INDEX(PalData,MATCH($B14,PalNames,0)+1,MATCH("ActiveSkillBonus1",PalData_Header,0))</f>
        <v>0</v>
      </c>
      <c r="G14" s="45" t="n">
        <f aca="false">INDEX(PalData,MATCH($B14,PalNames,0)+1,MATCH("ActiveSkillBonus2",PalData_Header,0))</f>
        <v>0</v>
      </c>
      <c r="H14" s="45" t="n">
        <f aca="false">INDEX(PalData,MATCH($B14,PalNames,0)+1,MATCH("ActiveSkillBonus3",PalData_Header,0))</f>
        <v>0</v>
      </c>
      <c r="I14" s="260" t="n">
        <f aca="false">INDEX(PalData,MATCH($B14,PalNames,0)+1,MATCH("ActiveSkillBonus4",PalData_Header,0))</f>
        <v>0</v>
      </c>
      <c r="J14" s="45" t="str">
        <f aca="false">IFERROR(__xludf.dummyfunction("IFERROR(INDEX(SkillData,MATCH(Arrayformula(ARRAY_CONSTRAIN(FILTER(INDIRECT(""PalData!""&amp;ADDRESS(MATCH(B14,PalNames,0)+1,(MATCH(""Passive0c"",PalData_Header,0)))&amp;"":""&amp;ADDRESS(MATCH(B14,PalNames,0)+1,(MATCH(""Passive0c"",PalData_Header,0))+4)),LEN(INDIRECT"&amp;"(""PalData!""&amp;ADDRESS(MATCH(B14,PalNames,0)+1,(MATCH(""Passive0c"",PalData_Header,0)))&amp;"":""&amp;ADDRESS(MATCH(B14,PalNames,0)+1,(MATCH(""Passive0c"",PalData_Header,0))+4)))&gt;0),1,1)),SkillDataCodeName,0)+1,MATCH(""EffectTypeCombined"",SkillData_Header,0)))"),"ElementAddItemDrop_Fire")</f>
        <v>ElementAddItemDrop_Fire</v>
      </c>
      <c r="K14" s="45" t="str">
        <f aca="false">IFERROR(__xludf.dummyfunction("IFERROR(INDEX(SkillData,MATCH(Arrayformula(ARRAY_CONSTRAIN(FILTER(INDIRECT(""PalData!""&amp;ADDRESS(MATCH(B14,PalNames,0)+1,(MATCH(""Passive0c"",PalData_Header,0)))&amp;"":""&amp;ADDRESS(MATCH(B14,PalNames,0)+1,(MATCH(""Passive0c"",PalData_Header,0))+4)),LEN(INDIRECT"&amp;"(""PalData!""&amp;ADDRESS(MATCH(B14,PalNames,0)+1,(MATCH(""Passive0c"",PalData_Header,0)))&amp;"":""&amp;ADDRESS(MATCH(B14,PalNames,0)+1,(MATCH(""Passive0c"",PalData_Header,0))+4)))&gt;0),1,1)),SkillDataCodeName,0)+1,MATCH(""TargetType1"",SkillData_Header,0)))"),"SelfAndTrainer")</f>
        <v>SelfAndTrainer</v>
      </c>
      <c r="L14" s="45" t="e">
        <f aca="false" t="array" ref="L14:L14">IF(INDEX(PalData,MATCH($B14,PalNames,0)+1,MATCH("Passive0cCondition",PalData_Header,0))=IFERROR(INDEX(SkillData,MATCH(INDEX(PalData,MATCH($B14,PalNames,0)+1,MATCH("Passive0c",PalData_Header,0)),SkillDataCodeName,0)+1,MATCH("Conditions",SkillData_Header,0))),INDEX(PalData,MATCH($B14,PalNames,0)+1,MATCH("Passive0cCondition",PalData_Header,0)),INDEX(PalData,MATCH($B14,PalNames,0)+1,MATCH("Passive0cCondition",PalData_Header,0)) &amp; IF(ISBLANK(INDEX(PalData,MATCH($B14,PalNames,0)+1,MATCH("Passive0cCondition",PalData_Header,0))),," ")&amp;IFERROR(INDEX(SkillData,MATCH(INDEX(PalData,MATCH($B14,PalNames,0)+1,MATCH("Passive0c",PalData_Header,0)),SkillDataCodeName,0)+1,MATCH("Conditions",SkillData_Header,0))))</f>
        <v>#VALUE!</v>
      </c>
      <c r="M14" s="45" t="str">
        <f aca="false">IFERROR(__xludf.dummyfunction("IFERROR(INDEX(SkillData,MATCH(Arrayformula(ARRAY_CONSTRAIN(FILTER(INDIRECT(""PalData!""&amp;ADDRESS(MATCH(B14,PalNames,0)+1,(MATCH(""Passive0c"",PalData_Header,0)))&amp;"":""&amp;ADDRESS(MATCH(B14,PalNames,0)+1,(MATCH(""Passive0c"",PalData_Header,0))+4)),LEN(INDIRECT"&amp;"(""PalData!""&amp;ADDRESS(MATCH(B14,PalNames,0)+1,(MATCH(""Passive0c"",PalData_Header,0)))&amp;"":""&amp;ADDRESS(MATCH(B14,PalNames,0)+1,(MATCH(""Passive0c"",PalData_Header,0))+4)))&gt;0),1,1)),SkillDataCodeName,0)+1,MATCH(""ValueType1"",SkillData_Header,0)))"),"%")</f>
        <v>%</v>
      </c>
      <c r="N14" s="62" t="e">
        <f aca="false" t="array" ref="N14:N14">IFERROR(INDEX(SkillData,MATCH(INDEX(PalData,MATCH($B14,PalNames,0)+1,MATCH("Passive0c",PalData_Header,0)),SkillDataCodeName,0)+1,MATCH("EffectValue1",SkillData_Header,0)))</f>
        <v>#VALUE!</v>
      </c>
      <c r="O14" s="62" t="e">
        <f aca="false" t="array" ref="O14:O14">IFERROR(INDEX(SkillData,MATCH(INDEX(PalData,MATCH($B14,PalNames,0)+1,MATCH("Passive1c",PalData_Header,0)),SkillDataCodeName,0)+1,MATCH("EffectValue1",SkillData_Header,0)))</f>
        <v>#VALUE!</v>
      </c>
      <c r="P14" s="62" t="e">
        <f aca="false" t="array" ref="P14:P14">IFERROR(INDEX(SkillData,MATCH(INDEX(PalData,MATCH($B14,PalNames,0)+1,MATCH("Passive2c",PalData_Header,0)),SkillDataCodeName,0)+1,MATCH("EffectValue1",SkillData_Header,0)))</f>
        <v>#VALUE!</v>
      </c>
      <c r="Q14" s="62" t="e">
        <f aca="false" t="array" ref="Q14:Q14">IFERROR(INDEX(SkillData,MATCH(INDEX(PalData,MATCH($B14,PalNames,0)+1,MATCH("Passive3c",PalData_Header,0)),SkillDataCodeName,0)+1,MATCH("EffectValue1",SkillData_Header,0)))</f>
        <v>#VALUE!</v>
      </c>
      <c r="R14" s="306" t="e">
        <f aca="false" t="array" ref="R14:R14">IFERROR(INDEX(SkillData,MATCH(INDEX(PalData,MATCH($B14,PalNames,0)+1,MATCH("Passive4c",PalData_Header,0)),SkillDataCodeName,0)+1,MATCH("EffectValue1",SkillData_Header,0)))</f>
        <v>#VALUE!</v>
      </c>
      <c r="S14" s="45" t="str">
        <f aca="false">IFERROR(__xludf.dummyfunction("IFERROR(INDEX(SkillData,MATCH(Arrayformula(ARRAY_CONSTRAIN(FILTER(INDIRECT(""PalData!""&amp;ADDRESS(MATCH(B14,PalNames,0)+1,(MATCH(""Passive0a"",PalData_Header,0)))&amp;"":""&amp;ADDRESS(MATCH(B14,PalNames,0)+1,(MATCH(""Passive0a"",PalData_Header,0))+4)),LEN(INDIRECT"&amp;"(""PalData!""&amp;ADDRESS(MATCH(B14,PalNames,0)+1,(MATCH(""Passive0a"",PalData_Header,0)))&amp;"":""&amp;ADDRESS(MATCH(B14,PalNames,0)+1,(MATCH(""Passive0a"",PalData_Header,0))+4)))&gt;0),1,1)),SkillDataCodeName,0)+1,MATCH(""EffectTypeCombined"",SkillData_Header,0)))"),"")</f>
        <v/>
      </c>
      <c r="T14" s="45" t="str">
        <f aca="false">IFERROR(__xludf.dummyfunction("IFERROR(INDEX(SkillData,MATCH(Arrayformula(ARRAY_CONSTRAIN(FILTER(INDIRECT(""PalData!""&amp;ADDRESS(MATCH(B14,PalNames,0)+1,(MATCH(""Passive0a"",PalData_Header,0)))&amp;"":""&amp;ADDRESS(MATCH(B14,PalNames,0)+1,(MATCH(""Passive0a"",PalData_Header,0))+4)),LEN(INDIRECT"&amp;"(""PalData!""&amp;ADDRESS(MATCH(B14,PalNames,0)+1,(MATCH(""Passive0a"",PalData_Header,0)))&amp;"":""&amp;ADDRESS(MATCH(B14,PalNames,0)+1,(MATCH(""Passive0a"",PalData_Header,0))+4)))&gt;0),1,1)),SkillDataCodeName,0)+1,MATCH(""TargetType1"",SkillData_Header,0)))"),"")</f>
        <v/>
      </c>
      <c r="U14" s="45" t="e">
        <f aca="false" t="array" ref="U14:U14">IF(INDEX(PalData,MATCH($B14,PalNames,0)+1,MATCH("Passive0aCondition",PalData_Header,0))=IFERROR(INDEX(SkillData,MATCH(INDEX(PalData,MATCH($B14,PalNames,0)+1,MATCH("Passive0a",PalData_Header,0)),SkillDataCodeName,0)+1,MATCH("Conditions",SkillData_Header,0))),INDEX(PalData,MATCH($B14,PalNames,0)+1,MATCH("Passive0aCondition",PalData_Header,0)),INDEX(PalData,MATCH($B14,PalNames,0)+1,MATCH("Passive0aCondition",PalData_Header,0)) &amp; IF(ISBLANK(INDEX(PalData,MATCH($B14,PalNames,0)+1,MATCH("Passive0aCondition",PalData_Header,0))),," ")&amp;IFERROR(INDEX(SkillData,MATCH(INDEX(PalData,MATCH($B14,PalNames,0)+1,MATCH("Passive0a",PalData_Header,0)),SkillDataCodeName,0)+1,MATCH("Conditions",SkillData_Header,0))))</f>
        <v>#N/A</v>
      </c>
      <c r="V14" s="45" t="str">
        <f aca="false">IFERROR(__xludf.dummyfunction("IFERROR(INDEX(SkillData,MATCH(Arrayformula(ARRAY_CONSTRAIN(FILTER(INDIRECT(""PalData!""&amp;ADDRESS(MATCH(B14,PalNames,0)+1,(MATCH(""Passive0a"",PalData_Header,0)))&amp;"":""&amp;ADDRESS(MATCH(B14,PalNames,0)+1,(MATCH(""Passive0a"",PalData_Header,0))+4)),LEN(INDIRECT"&amp;"(""PalData!""&amp;ADDRESS(MATCH(B14,PalNames,0)+1,(MATCH(""Passive0a"",PalData_Header,0)))&amp;"":""&amp;ADDRESS(MATCH(B14,PalNames,0)+1,(MATCH(""Passive0a"",PalData_Header,0))+4)))&gt;0),1,1)),SkillDataCodeName,0)+1,MATCH(""ValueType1"",SkillData_Header,0)))"),"")</f>
        <v/>
      </c>
      <c r="W14" s="45" t="n">
        <f aca="false">IFERROR(INDEX(SkillData,MATCH(INDEX(PalData,MATCH($B14,PalNames,0)+1,MATCH("Passive0a",PalData_Header,0)),SkillDataCodeName,0)+1,MATCH("EffectValue1",SkillData_Header,0)),)</f>
        <v>0</v>
      </c>
      <c r="X14" s="45" t="n">
        <f aca="false">IFERROR(INDEX(SkillData,MATCH(INDEX(PalData,MATCH($B14,PalNames,0)+1,MATCH("Passive1a",PalData_Header,0)),SkillDataCodeName,0)+1,MATCH("EffectValue1",SkillData_Header,0)),)</f>
        <v>0</v>
      </c>
      <c r="Y14" s="45" t="n">
        <f aca="false">IFERROR(INDEX(SkillData,MATCH(INDEX(PalData,MATCH($B14,PalNames,0)+1,MATCH("Passive2a",PalData_Header,0)),SkillDataCodeName,0)+1,MATCH("EffectValue1",SkillData_Header,0)),)</f>
        <v>0</v>
      </c>
      <c r="Z14" s="45" t="n">
        <f aca="false">IFERROR(INDEX(SkillData,MATCH(INDEX(PalData,MATCH($B14,PalNames,0)+1,MATCH("Passive3a",PalData_Header,0)),SkillDataCodeName,0)+1,MATCH("EffectValue1",SkillData_Header,0)),)</f>
        <v>0</v>
      </c>
      <c r="AA14" s="260" t="n">
        <f aca="false">IFERROR(INDEX(SkillData,MATCH(INDEX(PalData,MATCH($B14,PalNames,0)+1,MATCH("Passive4a",PalData_Header,0)),SkillDataCodeName,0)+1,MATCH("EffectValue1",SkillData_Header,0)),)</f>
        <v>0</v>
      </c>
      <c r="AB14" s="45" t="str">
        <f aca="false">IFERROR(__xludf.dummyfunction("IFERROR(INDEX(SkillData,MATCH(Arrayformula(ARRAY_CONSTRAIN(FILTER(INDIRECT(""PalData!""&amp;ADDRESS(MATCH(B14,PalNames,0)+1,(MATCH(""Passive0b"",PalData_Header,0)))&amp;"":""&amp;ADDRESS(MATCH(B14,PalNames,0)+1,(MATCH(""Passive0b"",PalData_Header,0))+4)),LEN(INDIRECT"&amp;"(""PalData!""&amp;ADDRESS(MATCH(B14,PalNames,0)+1,(MATCH(""Passive0b"",PalData_Header,0)))&amp;"":""&amp;ADDRESS(MATCH(B14,PalNames,0)+1,(MATCH(""Passive0b"",PalData_Header,0))+4)))&gt;0),1,1)),SkillDataCodeName,0)+1,MATCH(""EffectTypeCombined"",SkillData_Header,0)))"),"")</f>
        <v/>
      </c>
      <c r="AC14" s="45" t="str">
        <f aca="false">IFERROR(__xludf.dummyfunction("IFERROR(INDEX(SkillData,MATCH(Arrayformula(ARRAY_CONSTRAIN(FILTER(INDIRECT(""PalData!""&amp;ADDRESS(MATCH(B14,PalNames,0)+1,(MATCH(""Passive0b"",PalData_Header,0)))&amp;"":""&amp;ADDRESS(MATCH(B14,PalNames,0)+1,(MATCH(""Passive0b"",PalData_Header,0))+4)),LEN(INDIRECT"&amp;"(""PalData!""&amp;ADDRESS(MATCH(B14,PalNames,0)+1,(MATCH(""Passive0b"",PalData_Header,0)))&amp;"":""&amp;ADDRESS(MATCH(B14,PalNames,0)+1,(MATCH(""Passive0b"",PalData_Header,0))+4)))&gt;0),1,1)),SkillDataCodeName,0)+1,MATCH(""TargetType1"",SkillData_Header,0)))"),"")</f>
        <v/>
      </c>
      <c r="AD14" s="45" t="e">
        <f aca="false" t="array" ref="AD14:AD14">IF(INDEX(PalData,MATCH($B14,PalNames,0)+1,MATCH("Passive0bCondition",PalData_Header,0))=IFERROR(INDEX(SkillData,MATCH(INDEX(PalData,MATCH($B14,PalNames,0)+1,MATCH("Passive0b",PalData_Header,0)),SkillDataCodeName,0)+1,MATCH("Conditions",SkillData_Header,0))),INDEX(PalData,MATCH($B14,PalNames,0)+1,MATCH("Passive0bCondition",PalData_Header,0)),INDEX(PalData,MATCH($B14,PalNames,0)+1,MATCH("Passive0bCondition",PalData_Header,0)) &amp; IF(ISBLANK(INDEX(PalData,MATCH($B14,PalNames,0)+1,MATCH("Passive0bCondition",PalData_Header,0))),," ")&amp;IFERROR(INDEX(SkillData,MATCH(INDEX(PalData,MATCH($B14,PalNames,0)+1,MATCH("Passive0b",PalData_Header,0)),SkillDataCodeName,0)+1,MATCH("Conditions",SkillData_Header,0))))</f>
        <v>#N/A</v>
      </c>
      <c r="AE14" s="45" t="str">
        <f aca="false">IFERROR(__xludf.dummyfunction("IFERROR(INDEX(SkillData,MATCH(Arrayformula(ARRAY_CONSTRAIN(FILTER(INDIRECT(""PalData!""&amp;ADDRESS(MATCH(B14,PalNames,0)+1,(MATCH(""Passive0b"",PalData_Header,0)))&amp;"":""&amp;ADDRESS(MATCH(B14,PalNames,0)+1,(MATCH(""Passive0b"",PalData_Header,0))+4)),LEN(INDIRECT"&amp;"(""PalData!""&amp;ADDRESS(MATCH(B14,PalNames,0)+1,(MATCH(""Passive0b"",PalData_Header,0)))&amp;"":""&amp;ADDRESS(MATCH(B14,PalNames,0)+1,(MATCH(""Passive0b"",PalData_Header,0))+4)))&gt;0),1,1)),SkillDataCodeName,0)+1,MATCH(""ValueType1"",SkillData_Header,0)))"),"")</f>
        <v/>
      </c>
      <c r="AF14" s="45" t="n">
        <f aca="false">IFERROR(INDEX(SkillData,MATCH(INDEX(PalData,MATCH($B14,PalNames,0)+1,MATCH("Passive0b",PalData_Header,0)),SkillDataCodeName,0)+1,MATCH("EffectValue1",SkillData_Header,0)),)</f>
        <v>0</v>
      </c>
      <c r="AG14" s="45" t="n">
        <f aca="false">IFERROR(INDEX(SkillData,MATCH(INDEX(PalData,MATCH($B14,PalNames,0)+1,MATCH("Passive1b",PalData_Header,0)),SkillDataCodeName,0)+1,MATCH("EffectValue1",SkillData_Header,0)),)</f>
        <v>0</v>
      </c>
      <c r="AH14" s="45" t="n">
        <f aca="false">IFERROR(INDEX(SkillData,MATCH(INDEX(PalData,MATCH($B14,PalNames,0)+1,MATCH("Passive2b",PalData_Header,0)),SkillDataCodeName,0)+1,MATCH("EffectValue1",SkillData_Header,0)),)</f>
        <v>0</v>
      </c>
      <c r="AI14" s="45" t="n">
        <f aca="false">IFERROR(INDEX(SkillData,MATCH(INDEX(PalData,MATCH($B14,PalNames,0)+1,MATCH("Passive3b",PalData_Header,0)),SkillDataCodeName,0)+1,MATCH("EffectValue1",SkillData_Header,0)),)</f>
        <v>0</v>
      </c>
      <c r="AJ14" s="260" t="n">
        <f aca="false">IFERROR(INDEX(SkillData,MATCH(INDEX(PalData,MATCH($B14,PalNames,0)+1,MATCH("Passive4b",PalData_Header,0)),SkillDataCodeName,0)+1,MATCH("EffectValue1",SkillData_Header,0)),)</f>
        <v>0</v>
      </c>
      <c r="AK14" s="301" t="s">
        <v>275</v>
      </c>
    </row>
    <row r="15" customFormat="false" ht="15.75" hidden="false" customHeight="false" outlineLevel="0" collapsed="false">
      <c r="A15" s="302" t="n">
        <v>12</v>
      </c>
      <c r="B15" s="303" t="s">
        <v>80</v>
      </c>
      <c r="C15" s="48" t="str">
        <f aca="false" t="array" ref="C15:C15">IF(ISBLANK(INDEX(PalData,MATCH($B15,PalNames,0)+1,MATCH("ActiveSkill",PalData_Header,0))),INDEX(PalData,MATCH($B15,PalNames,0)+1,MATCH("SkillUnlock_",PalData_Header,0)),INDEX(PalData,MATCH($B15,PalNames,0)+1,MATCH("ActiveSkill",PalData_Header,0)))</f>
        <v>Grenade</v>
      </c>
      <c r="D15" s="48" t="s">
        <v>266</v>
      </c>
      <c r="E15" s="61" t="n">
        <f aca="false" t="array" ref="E15:E15">INDEX(PalData,MATCH($B15,PalNames,0)+1,MATCH("ActiveSkillBonus0",PalData_Header,0))</f>
        <v>100</v>
      </c>
      <c r="F15" s="61" t="n">
        <f aca="false" t="array" ref="F15:F15">INDEX(PalData,MATCH($B15,PalNames,0)+1,MATCH("ActiveSkillBonus1",PalData_Header,0))</f>
        <v>110</v>
      </c>
      <c r="G15" s="61" t="n">
        <f aca="false" t="array" ref="G15:G15">INDEX(PalData,MATCH($B15,PalNames,0)+1,MATCH("ActiveSkillBonus2",PalData_Header,0))</f>
        <v>130</v>
      </c>
      <c r="H15" s="61" t="n">
        <f aca="false" t="array" ref="H15:H15">INDEX(PalData,MATCH($B15,PalNames,0)+1,MATCH("ActiveSkillBonus3",PalData_Header,0))</f>
        <v>160</v>
      </c>
      <c r="I15" s="304" t="n">
        <f aca="false" t="array" ref="I15:I15">INDEX(PalData,MATCH($B15,PalNames,0)+1,MATCH("ActiveSkillBonus4",PalData_Header,0))</f>
        <v>200</v>
      </c>
      <c r="J15" s="48" t="str">
        <f aca="false">IFERROR(__xludf.dummyfunction("IFERROR(INDEX(SkillData,MATCH(Arrayformula(ARRAY_CONSTRAIN(FILTER(INDIRECT(""PalData!""&amp;ADDRESS(MATCH(B15,PalNames,0)+1,(MATCH(""Passive0c"",PalData_Header,0)))&amp;"":""&amp;ADDRESS(MATCH(B15,PalNames,0)+1,(MATCH(""Passive0c"",PalData_Header,0))+4)),LEN(INDIRECT"&amp;"(""PalData!""&amp;ADDRESS(MATCH(B15,PalNames,0)+1,(MATCH(""Passive0c"",PalData_Header,0)))&amp;"":""&amp;ADDRESS(MATCH(B15,PalNames,0)+1,(MATCH(""Passive0c"",PalData_Header,0))+4)))&gt;0),1,1)),SkillDataCodeName,0)+1,MATCH(""EffectTypeCombined"",SkillData_Header,0)))"),"")</f>
        <v/>
      </c>
      <c r="K15" s="48" t="str">
        <f aca="false">IFERROR(__xludf.dummyfunction("IFERROR(INDEX(SkillData,MATCH(Arrayformula(ARRAY_CONSTRAIN(FILTER(INDIRECT(""PalData!""&amp;ADDRESS(MATCH(B15,PalNames,0)+1,(MATCH(""Passive0c"",PalData_Header,0)))&amp;"":""&amp;ADDRESS(MATCH(B15,PalNames,0)+1,(MATCH(""Passive0c"",PalData_Header,0))+4)),LEN(INDIRECT"&amp;"(""PalData!""&amp;ADDRESS(MATCH(B15,PalNames,0)+1,(MATCH(""Passive0c"",PalData_Header,0)))&amp;"":""&amp;ADDRESS(MATCH(B15,PalNames,0)+1,(MATCH(""Passive0c"",PalData_Header,0))+4)))&gt;0),1,1)),SkillDataCodeName,0)+1,MATCH(""TargetType1"",SkillData_Header,0)))"),"")</f>
        <v/>
      </c>
      <c r="L15" s="48" t="e">
        <f aca="false" t="array" ref="L15:L15">IF(INDEX(PalData,MATCH($B15,PalNames,0)+1,MATCH("Passive0cCondition",PalData_Header,0))=IFERROR(INDEX(SkillData,MATCH(INDEX(PalData,MATCH($B15,PalNames,0)+1,MATCH("Passive0c",PalData_Header,0)),SkillDataCodeName,0)+1,MATCH("Conditions",SkillData_Header,0))),INDEX(PalData,MATCH($B15,PalNames,0)+1,MATCH("Passive0cCondition",PalData_Header,0)),INDEX(PalData,MATCH($B15,PalNames,0)+1,MATCH("Passive0cCondition",PalData_Header,0)) &amp; IF(ISBLANK(INDEX(PalData,MATCH($B15,PalNames,0)+1,MATCH("Passive0cCondition",PalData_Header,0))),," ")&amp;IFERROR(INDEX(SkillData,MATCH(INDEX(PalData,MATCH($B15,PalNames,0)+1,MATCH("Passive0c",PalData_Header,0)),SkillDataCodeName,0)+1,MATCH("Conditions",SkillData_Header,0))))</f>
        <v>#N/A</v>
      </c>
      <c r="M15" s="48" t="str">
        <f aca="false">IFERROR(__xludf.dummyfunction("IFERROR(INDEX(SkillData,MATCH(Arrayformula(ARRAY_CONSTRAIN(FILTER(INDIRECT(""PalData!""&amp;ADDRESS(MATCH(B15,PalNames,0)+1,(MATCH(""Passive0c"",PalData_Header,0)))&amp;"":""&amp;ADDRESS(MATCH(B15,PalNames,0)+1,(MATCH(""Passive0c"",PalData_Header,0))+4)),LEN(INDIRECT"&amp;"(""PalData!""&amp;ADDRESS(MATCH(B15,PalNames,0)+1,(MATCH(""Passive0c"",PalData_Header,0)))&amp;"":""&amp;ADDRESS(MATCH(B15,PalNames,0)+1,(MATCH(""Passive0c"",PalData_Header,0))+4)))&gt;0),1,1)),SkillDataCodeName,0)+1,MATCH(""ValueType1"",SkillData_Header,0)))"),"")</f>
        <v/>
      </c>
      <c r="N15" s="48" t="e">
        <f aca="false" t="array" ref="N15:N15">IFERROR(INDEX(SkillData,MATCH(INDEX(PalData,MATCH($B15,PalNames,0)+1,MATCH("Passive0c",PalData_Header,0)),SkillDataCodeName,0)+1,MATCH("EffectValue1",SkillData_Header,0)))</f>
        <v>#VALUE!</v>
      </c>
      <c r="O15" s="48" t="e">
        <f aca="false" t="array" ref="O15:O15">IFERROR(INDEX(SkillData,MATCH(INDEX(PalData,MATCH($B15,PalNames,0)+1,MATCH("Passive1c",PalData_Header,0)),SkillDataCodeName,0)+1,MATCH("EffectValue1",SkillData_Header,0)))</f>
        <v>#VALUE!</v>
      </c>
      <c r="P15" s="48" t="e">
        <f aca="false" t="array" ref="P15:P15">IFERROR(INDEX(SkillData,MATCH(INDEX(PalData,MATCH($B15,PalNames,0)+1,MATCH("Passive2c",PalData_Header,0)),SkillDataCodeName,0)+1,MATCH("EffectValue1",SkillData_Header,0)))</f>
        <v>#VALUE!</v>
      </c>
      <c r="Q15" s="48" t="e">
        <f aca="false" t="array" ref="Q15:Q15">IFERROR(INDEX(SkillData,MATCH(INDEX(PalData,MATCH($B15,PalNames,0)+1,MATCH("Passive3c",PalData_Header,0)),SkillDataCodeName,0)+1,MATCH("EffectValue1",SkillData_Header,0)))</f>
        <v>#VALUE!</v>
      </c>
      <c r="R15" s="263" t="e">
        <f aca="false" t="array" ref="R15:R15">IFERROR(INDEX(SkillData,MATCH(INDEX(PalData,MATCH($B15,PalNames,0)+1,MATCH("Passive4c",PalData_Header,0)),SkillDataCodeName,0)+1,MATCH("EffectValue1",SkillData_Header,0)))</f>
        <v>#VALUE!</v>
      </c>
      <c r="S15" s="48" t="str">
        <f aca="false">IFERROR(__xludf.dummyfunction("IFERROR(INDEX(SkillData,MATCH(Arrayformula(ARRAY_CONSTRAIN(FILTER(INDIRECT(""PalData!""&amp;ADDRESS(MATCH(B15,PalNames,0)+1,(MATCH(""Passive0a"",PalData_Header,0)))&amp;"":""&amp;ADDRESS(MATCH(B15,PalNames,0)+1,(MATCH(""Passive0a"",PalData_Header,0))+4)),LEN(INDIRECT"&amp;"(""PalData!""&amp;ADDRESS(MATCH(B15,PalNames,0)+1,(MATCH(""Passive0a"",PalData_Header,0)))&amp;"":""&amp;ADDRESS(MATCH(B15,PalNames,0)+1,(MATCH(""Passive0a"",PalData_Header,0))+4)))&gt;0),1,1)),SkillDataCodeName,0)+1,MATCH(""EffectTypeCombined"",SkillData_Header,0)))"),"")</f>
        <v/>
      </c>
      <c r="T15" s="48" t="str">
        <f aca="false">IFERROR(__xludf.dummyfunction("IFERROR(INDEX(SkillData,MATCH(Arrayformula(ARRAY_CONSTRAIN(FILTER(INDIRECT(""PalData!""&amp;ADDRESS(MATCH(B15,PalNames,0)+1,(MATCH(""Passive0a"",PalData_Header,0)))&amp;"":""&amp;ADDRESS(MATCH(B15,PalNames,0)+1,(MATCH(""Passive0a"",PalData_Header,0))+4)),LEN(INDIRECT"&amp;"(""PalData!""&amp;ADDRESS(MATCH(B15,PalNames,0)+1,(MATCH(""Passive0a"",PalData_Header,0)))&amp;"":""&amp;ADDRESS(MATCH(B15,PalNames,0)+1,(MATCH(""Passive0a"",PalData_Header,0))+4)))&gt;0),1,1)),SkillDataCodeName,0)+1,MATCH(""TargetType1"",SkillData_Header,0)))"),"")</f>
        <v/>
      </c>
      <c r="U15" s="48" t="e">
        <f aca="false" t="array" ref="U15:U15">IF(INDEX(PalData,MATCH($B15,PalNames,0)+1,MATCH("Passive0aCondition",PalData_Header,0))=IFERROR(INDEX(SkillData,MATCH(INDEX(PalData,MATCH($B15,PalNames,0)+1,MATCH("Passive0a",PalData_Header,0)),SkillDataCodeName,0)+1,MATCH("Conditions",SkillData_Header,0))),INDEX(PalData,MATCH($B15,PalNames,0)+1,MATCH("Passive0aCondition",PalData_Header,0)),INDEX(PalData,MATCH($B15,PalNames,0)+1,MATCH("Passive0aCondition",PalData_Header,0)) &amp; IF(ISBLANK(INDEX(PalData,MATCH($B15,PalNames,0)+1,MATCH("Passive0aCondition",PalData_Header,0))),," ")&amp;IFERROR(INDEX(SkillData,MATCH(INDEX(PalData,MATCH($B15,PalNames,0)+1,MATCH("Passive0a",PalData_Header,0)),SkillDataCodeName,0)+1,MATCH("Conditions",SkillData_Header,0))))</f>
        <v>#N/A</v>
      </c>
      <c r="V15" s="48" t="str">
        <f aca="false">IFERROR(__xludf.dummyfunction("IFERROR(INDEX(SkillData,MATCH(Arrayformula(ARRAY_CONSTRAIN(FILTER(INDIRECT(""PalData!""&amp;ADDRESS(MATCH(B15,PalNames,0)+1,(MATCH(""Passive0a"",PalData_Header,0)))&amp;"":""&amp;ADDRESS(MATCH(B15,PalNames,0)+1,(MATCH(""Passive0a"",PalData_Header,0))+4)),LEN(INDIRECT"&amp;"(""PalData!""&amp;ADDRESS(MATCH(B15,PalNames,0)+1,(MATCH(""Passive0a"",PalData_Header,0)))&amp;"":""&amp;ADDRESS(MATCH(B15,PalNames,0)+1,(MATCH(""Passive0a"",PalData_Header,0))+4)))&gt;0),1,1)),SkillDataCodeName,0)+1,MATCH(""ValueType1"",SkillData_Header,0)))"),"")</f>
        <v/>
      </c>
      <c r="W15" s="48" t="n">
        <f aca="false">IFERROR(INDEX(SkillData,MATCH(INDEX(PalData,MATCH($B15,PalNames,0)+1,MATCH("Passive0a",PalData_Header,0)),SkillDataCodeName,0)+1,MATCH("EffectValue1",SkillData_Header,0)),)</f>
        <v>0</v>
      </c>
      <c r="X15" s="48" t="n">
        <f aca="false">IFERROR(INDEX(SkillData,MATCH(INDEX(PalData,MATCH($B15,PalNames,0)+1,MATCH("Passive1a",PalData_Header,0)),SkillDataCodeName,0)+1,MATCH("EffectValue1",SkillData_Header,0)),)</f>
        <v>0</v>
      </c>
      <c r="Y15" s="48" t="n">
        <f aca="false">IFERROR(INDEX(SkillData,MATCH(INDEX(PalData,MATCH($B15,PalNames,0)+1,MATCH("Passive2a",PalData_Header,0)),SkillDataCodeName,0)+1,MATCH("EffectValue1",SkillData_Header,0)),)</f>
        <v>0</v>
      </c>
      <c r="Z15" s="48" t="n">
        <f aca="false">IFERROR(INDEX(SkillData,MATCH(INDEX(PalData,MATCH($B15,PalNames,0)+1,MATCH("Passive3a",PalData_Header,0)),SkillDataCodeName,0)+1,MATCH("EffectValue1",SkillData_Header,0)),)</f>
        <v>0</v>
      </c>
      <c r="AA15" s="263" t="n">
        <f aca="false">IFERROR(INDEX(SkillData,MATCH(INDEX(PalData,MATCH($B15,PalNames,0)+1,MATCH("Passive4a",PalData_Header,0)),SkillDataCodeName,0)+1,MATCH("EffectValue1",SkillData_Header,0)),)</f>
        <v>0</v>
      </c>
      <c r="AB15" s="48" t="str">
        <f aca="false">IFERROR(__xludf.dummyfunction("IFERROR(INDEX(SkillData,MATCH(Arrayformula(ARRAY_CONSTRAIN(FILTER(INDIRECT(""PalData!""&amp;ADDRESS(MATCH(B15,PalNames,0)+1,(MATCH(""Passive0b"",PalData_Header,0)))&amp;"":""&amp;ADDRESS(MATCH(B15,PalNames,0)+1,(MATCH(""Passive0b"",PalData_Header,0))+4)),LEN(INDIRECT"&amp;"(""PalData!""&amp;ADDRESS(MATCH(B15,PalNames,0)+1,(MATCH(""Passive0b"",PalData_Header,0)))&amp;"":""&amp;ADDRESS(MATCH(B15,PalNames,0)+1,(MATCH(""Passive0b"",PalData_Header,0))+4)))&gt;0),1,1)),SkillDataCodeName,0)+1,MATCH(""EffectTypeCombined"",SkillData_Header,0)))"),"")</f>
        <v/>
      </c>
      <c r="AC15" s="48" t="str">
        <f aca="false">IFERROR(__xludf.dummyfunction("IFERROR(INDEX(SkillData,MATCH(Arrayformula(ARRAY_CONSTRAIN(FILTER(INDIRECT(""PalData!""&amp;ADDRESS(MATCH(B15,PalNames,0)+1,(MATCH(""Passive0b"",PalData_Header,0)))&amp;"":""&amp;ADDRESS(MATCH(B15,PalNames,0)+1,(MATCH(""Passive0b"",PalData_Header,0))+4)),LEN(INDIRECT"&amp;"(""PalData!""&amp;ADDRESS(MATCH(B15,PalNames,0)+1,(MATCH(""Passive0b"",PalData_Header,0)))&amp;"":""&amp;ADDRESS(MATCH(B15,PalNames,0)+1,(MATCH(""Passive0b"",PalData_Header,0))+4)))&gt;0),1,1)),SkillDataCodeName,0)+1,MATCH(""TargetType1"",SkillData_Header,0)))"),"")</f>
        <v/>
      </c>
      <c r="AD15" s="48" t="e">
        <f aca="false" t="array" ref="AD15:AD15">IF(INDEX(PalData,MATCH($B15,PalNames,0)+1,MATCH("Passive0bCondition",PalData_Header,0))=IFERROR(INDEX(SkillData,MATCH(INDEX(PalData,MATCH($B15,PalNames,0)+1,MATCH("Passive0b",PalData_Header,0)),SkillDataCodeName,0)+1,MATCH("Conditions",SkillData_Header,0))),INDEX(PalData,MATCH($B15,PalNames,0)+1,MATCH("Passive0bCondition",PalData_Header,0)),INDEX(PalData,MATCH($B15,PalNames,0)+1,MATCH("Passive0bCondition",PalData_Header,0)) &amp; IF(ISBLANK(INDEX(PalData,MATCH($B15,PalNames,0)+1,MATCH("Passive0bCondition",PalData_Header,0))),," ")&amp;IFERROR(INDEX(SkillData,MATCH(INDEX(PalData,MATCH($B15,PalNames,0)+1,MATCH("Passive0b",PalData_Header,0)),SkillDataCodeName,0)+1,MATCH("Conditions",SkillData_Header,0))))</f>
        <v>#N/A</v>
      </c>
      <c r="AE15" s="48" t="str">
        <f aca="false">IFERROR(__xludf.dummyfunction("IFERROR(INDEX(SkillData,MATCH(Arrayformula(ARRAY_CONSTRAIN(FILTER(INDIRECT(""PalData!""&amp;ADDRESS(MATCH(B15,PalNames,0)+1,(MATCH(""Passive0b"",PalData_Header,0)))&amp;"":""&amp;ADDRESS(MATCH(B15,PalNames,0)+1,(MATCH(""Passive0b"",PalData_Header,0))+4)),LEN(INDIRECT"&amp;"(""PalData!""&amp;ADDRESS(MATCH(B15,PalNames,0)+1,(MATCH(""Passive0b"",PalData_Header,0)))&amp;"":""&amp;ADDRESS(MATCH(B15,PalNames,0)+1,(MATCH(""Passive0b"",PalData_Header,0))+4)))&gt;0),1,1)),SkillDataCodeName,0)+1,MATCH(""ValueType1"",SkillData_Header,0)))"),"")</f>
        <v/>
      </c>
      <c r="AF15" s="48" t="n">
        <f aca="false">IFERROR(INDEX(SkillData,MATCH(INDEX(PalData,MATCH($B15,PalNames,0)+1,MATCH("Passive0b",PalData_Header,0)),SkillDataCodeName,0)+1,MATCH("EffectValue1",SkillData_Header,0)),)</f>
        <v>0</v>
      </c>
      <c r="AG15" s="48" t="n">
        <f aca="false">IFERROR(INDEX(SkillData,MATCH(INDEX(PalData,MATCH($B15,PalNames,0)+1,MATCH("Passive1b",PalData_Header,0)),SkillDataCodeName,0)+1,MATCH("EffectValue1",SkillData_Header,0)),)</f>
        <v>0</v>
      </c>
      <c r="AH15" s="48" t="n">
        <f aca="false">IFERROR(INDEX(SkillData,MATCH(INDEX(PalData,MATCH($B15,PalNames,0)+1,MATCH("Passive2b",PalData_Header,0)),SkillDataCodeName,0)+1,MATCH("EffectValue1",SkillData_Header,0)),)</f>
        <v>0</v>
      </c>
      <c r="AI15" s="48" t="n">
        <f aca="false">IFERROR(INDEX(SkillData,MATCH(INDEX(PalData,MATCH($B15,PalNames,0)+1,MATCH("Passive3b",PalData_Header,0)),SkillDataCodeName,0)+1,MATCH("EffectValue1",SkillData_Header,0)),)</f>
        <v>0</v>
      </c>
      <c r="AJ15" s="263" t="n">
        <f aca="false">IFERROR(INDEX(SkillData,MATCH(INDEX(PalData,MATCH($B15,PalNames,0)+1,MATCH("Passive4b",PalData_Header,0)),SkillDataCodeName,0)+1,MATCH("EffectValue1",SkillData_Header,0)),)</f>
        <v>0</v>
      </c>
      <c r="AK15" s="305" t="s">
        <v>276</v>
      </c>
    </row>
    <row r="16" customFormat="false" ht="15.75" hidden="false" customHeight="false" outlineLevel="0" collapsed="false">
      <c r="A16" s="299" t="n">
        <v>12</v>
      </c>
      <c r="B16" s="300" t="s">
        <v>81</v>
      </c>
      <c r="C16" s="45" t="str">
        <f aca="false" t="array" ref="C16:C16">IF(ISBLANK(INDEX(PalData,MATCH($B16,PalNames,0)+1,MATCH("ActiveSkill",PalData_Header,0))),INDEX(PalData,MATCH($B16,PalNames,0)+1,MATCH("SkillUnlock_",PalData_Header,0)),INDEX(PalData,MATCH($B16,PalNames,0)+1,MATCH("ActiveSkill",PalData_Header,0)))</f>
        <v>Grenade</v>
      </c>
      <c r="D16" s="45" t="s">
        <v>266</v>
      </c>
      <c r="E16" s="62" t="n">
        <f aca="false" t="array" ref="E16:E16">INDEX(PalData,MATCH($B16,PalNames,0)+1,MATCH("ActiveSkillBonus0",PalData_Header,0))</f>
        <v>100</v>
      </c>
      <c r="F16" s="62" t="n">
        <f aca="false" t="array" ref="F16:F16">INDEX(PalData,MATCH($B16,PalNames,0)+1,MATCH("ActiveSkillBonus1",PalData_Header,0))</f>
        <v>110</v>
      </c>
      <c r="G16" s="62" t="n">
        <f aca="false" t="array" ref="G16:G16">INDEX(PalData,MATCH($B16,PalNames,0)+1,MATCH("ActiveSkillBonus2",PalData_Header,0))</f>
        <v>130</v>
      </c>
      <c r="H16" s="62" t="n">
        <f aca="false" t="array" ref="H16:H16">INDEX(PalData,MATCH($B16,PalNames,0)+1,MATCH("ActiveSkillBonus3",PalData_Header,0))</f>
        <v>160</v>
      </c>
      <c r="I16" s="306" t="n">
        <f aca="false" t="array" ref="I16:I16">INDEX(PalData,MATCH($B16,PalNames,0)+1,MATCH("ActiveSkillBonus4",PalData_Header,0))</f>
        <v>200</v>
      </c>
      <c r="J16" s="45" t="str">
        <f aca="false">IFERROR(__xludf.dummyfunction("IFERROR(INDEX(SkillData,MATCH(Arrayformula(ARRAY_CONSTRAIN(FILTER(INDIRECT(""PalData!""&amp;ADDRESS(MATCH(B16,PalNames,0)+1,(MATCH(""Passive0c"",PalData_Header,0)))&amp;"":""&amp;ADDRESS(MATCH(B16,PalNames,0)+1,(MATCH(""Passive0c"",PalData_Header,0))+4)),LEN(INDIRECT"&amp;"(""PalData!""&amp;ADDRESS(MATCH(B16,PalNames,0)+1,(MATCH(""Passive0c"",PalData_Header,0)))&amp;"":""&amp;ADDRESS(MATCH(B16,PalNames,0)+1,(MATCH(""Passive0c"",PalData_Header,0))+4)))&gt;0),1,1)),SkillDataCodeName,0)+1,MATCH(""EffectTypeCombined"",SkillData_Header,0)))"),"")</f>
        <v/>
      </c>
      <c r="K16" s="45" t="str">
        <f aca="false">IFERROR(__xludf.dummyfunction("IFERROR(INDEX(SkillData,MATCH(Arrayformula(ARRAY_CONSTRAIN(FILTER(INDIRECT(""PalData!""&amp;ADDRESS(MATCH(B16,PalNames,0)+1,(MATCH(""Passive0c"",PalData_Header,0)))&amp;"":""&amp;ADDRESS(MATCH(B16,PalNames,0)+1,(MATCH(""Passive0c"",PalData_Header,0))+4)),LEN(INDIRECT"&amp;"(""PalData!""&amp;ADDRESS(MATCH(B16,PalNames,0)+1,(MATCH(""Passive0c"",PalData_Header,0)))&amp;"":""&amp;ADDRESS(MATCH(B16,PalNames,0)+1,(MATCH(""Passive0c"",PalData_Header,0))+4)))&gt;0),1,1)),SkillDataCodeName,0)+1,MATCH(""TargetType1"",SkillData_Header,0)))"),"")</f>
        <v/>
      </c>
      <c r="L16" s="45" t="e">
        <f aca="false" t="array" ref="L16:L16">IF(INDEX(PalData,MATCH($B16,PalNames,0)+1,MATCH("Passive0cCondition",PalData_Header,0))=IFERROR(INDEX(SkillData,MATCH(INDEX(PalData,MATCH($B16,PalNames,0)+1,MATCH("Passive0c",PalData_Header,0)),SkillDataCodeName,0)+1,MATCH("Conditions",SkillData_Header,0))),INDEX(PalData,MATCH($B16,PalNames,0)+1,MATCH("Passive0cCondition",PalData_Header,0)),INDEX(PalData,MATCH($B16,PalNames,0)+1,MATCH("Passive0cCondition",PalData_Header,0)) &amp; IF(ISBLANK(INDEX(PalData,MATCH($B16,PalNames,0)+1,MATCH("Passive0cCondition",PalData_Header,0))),," ")&amp;IFERROR(INDEX(SkillData,MATCH(INDEX(PalData,MATCH($B16,PalNames,0)+1,MATCH("Passive0c",PalData_Header,0)),SkillDataCodeName,0)+1,MATCH("Conditions",SkillData_Header,0))))</f>
        <v>#N/A</v>
      </c>
      <c r="M16" s="45" t="str">
        <f aca="false">IFERROR(__xludf.dummyfunction("IFERROR(INDEX(SkillData,MATCH(Arrayformula(ARRAY_CONSTRAIN(FILTER(INDIRECT(""PalData!""&amp;ADDRESS(MATCH(B16,PalNames,0)+1,(MATCH(""Passive0c"",PalData_Header,0)))&amp;"":""&amp;ADDRESS(MATCH(B16,PalNames,0)+1,(MATCH(""Passive0c"",PalData_Header,0))+4)),LEN(INDIRECT"&amp;"(""PalData!""&amp;ADDRESS(MATCH(B16,PalNames,0)+1,(MATCH(""Passive0c"",PalData_Header,0)))&amp;"":""&amp;ADDRESS(MATCH(B16,PalNames,0)+1,(MATCH(""Passive0c"",PalData_Header,0))+4)))&gt;0),1,1)),SkillDataCodeName,0)+1,MATCH(""ValueType1"",SkillData_Header,0)))"),"")</f>
        <v/>
      </c>
      <c r="N16" s="45" t="e">
        <f aca="false" t="array" ref="N16:N16">IFERROR(INDEX(SkillData,MATCH(INDEX(PalData,MATCH($B16,PalNames,0)+1,MATCH("Passive0c",PalData_Header,0)),SkillDataCodeName,0)+1,MATCH("EffectValue1",SkillData_Header,0)))</f>
        <v>#VALUE!</v>
      </c>
      <c r="O16" s="45" t="e">
        <f aca="false" t="array" ref="O16:O16">IFERROR(INDEX(SkillData,MATCH(INDEX(PalData,MATCH($B16,PalNames,0)+1,MATCH("Passive1c",PalData_Header,0)),SkillDataCodeName,0)+1,MATCH("EffectValue1",SkillData_Header,0)))</f>
        <v>#VALUE!</v>
      </c>
      <c r="P16" s="45" t="e">
        <f aca="false" t="array" ref="P16:P16">IFERROR(INDEX(SkillData,MATCH(INDEX(PalData,MATCH($B16,PalNames,0)+1,MATCH("Passive2c",PalData_Header,0)),SkillDataCodeName,0)+1,MATCH("EffectValue1",SkillData_Header,0)))</f>
        <v>#VALUE!</v>
      </c>
      <c r="Q16" s="45" t="e">
        <f aca="false" t="array" ref="Q16:Q16">IFERROR(INDEX(SkillData,MATCH(INDEX(PalData,MATCH($B16,PalNames,0)+1,MATCH("Passive3c",PalData_Header,0)),SkillDataCodeName,0)+1,MATCH("EffectValue1",SkillData_Header,0)))</f>
        <v>#VALUE!</v>
      </c>
      <c r="R16" s="260" t="e">
        <f aca="false" t="array" ref="R16:R16">IFERROR(INDEX(SkillData,MATCH(INDEX(PalData,MATCH($B16,PalNames,0)+1,MATCH("Passive4c",PalData_Header,0)),SkillDataCodeName,0)+1,MATCH("EffectValue1",SkillData_Header,0)))</f>
        <v>#VALUE!</v>
      </c>
      <c r="S16" s="45" t="str">
        <f aca="false">IFERROR(__xludf.dummyfunction("IFERROR(INDEX(SkillData,MATCH(Arrayformula(ARRAY_CONSTRAIN(FILTER(INDIRECT(""PalData!""&amp;ADDRESS(MATCH(B16,PalNames,0)+1,(MATCH(""Passive0a"",PalData_Header,0)))&amp;"":""&amp;ADDRESS(MATCH(B16,PalNames,0)+1,(MATCH(""Passive0a"",PalData_Header,0))+4)),LEN(INDIRECT"&amp;"(""PalData!""&amp;ADDRESS(MATCH(B16,PalNames,0)+1,(MATCH(""Passive0a"",PalData_Header,0)))&amp;"":""&amp;ADDRESS(MATCH(B16,PalNames,0)+1,(MATCH(""Passive0a"",PalData_Header,0))+4)))&gt;0),1,1)),SkillDataCodeName,0)+1,MATCH(""EffectTypeCombined"",SkillData_Header,0)))"),"")</f>
        <v/>
      </c>
      <c r="T16" s="45" t="str">
        <f aca="false">IFERROR(__xludf.dummyfunction("IFERROR(INDEX(SkillData,MATCH(Arrayformula(ARRAY_CONSTRAIN(FILTER(INDIRECT(""PalData!""&amp;ADDRESS(MATCH(B16,PalNames,0)+1,(MATCH(""Passive0a"",PalData_Header,0)))&amp;"":""&amp;ADDRESS(MATCH(B16,PalNames,0)+1,(MATCH(""Passive0a"",PalData_Header,0))+4)),LEN(INDIRECT"&amp;"(""PalData!""&amp;ADDRESS(MATCH(B16,PalNames,0)+1,(MATCH(""Passive0a"",PalData_Header,0)))&amp;"":""&amp;ADDRESS(MATCH(B16,PalNames,0)+1,(MATCH(""Passive0a"",PalData_Header,0))+4)))&gt;0),1,1)),SkillDataCodeName,0)+1,MATCH(""TargetType1"",SkillData_Header,0)))"),"")</f>
        <v/>
      </c>
      <c r="U16" s="45" t="e">
        <f aca="false" t="array" ref="U16:U16">IF(INDEX(PalData,MATCH($B16,PalNames,0)+1,MATCH("Passive0aCondition",PalData_Header,0))=IFERROR(INDEX(SkillData,MATCH(INDEX(PalData,MATCH($B16,PalNames,0)+1,MATCH("Passive0a",PalData_Header,0)),SkillDataCodeName,0)+1,MATCH("Conditions",SkillData_Header,0))),INDEX(PalData,MATCH($B16,PalNames,0)+1,MATCH("Passive0aCondition",PalData_Header,0)),INDEX(PalData,MATCH($B16,PalNames,0)+1,MATCH("Passive0aCondition",PalData_Header,0)) &amp; IF(ISBLANK(INDEX(PalData,MATCH($B16,PalNames,0)+1,MATCH("Passive0aCondition",PalData_Header,0))),," ")&amp;IFERROR(INDEX(SkillData,MATCH(INDEX(PalData,MATCH($B16,PalNames,0)+1,MATCH("Passive0a",PalData_Header,0)),SkillDataCodeName,0)+1,MATCH("Conditions",SkillData_Header,0))))</f>
        <v>#N/A</v>
      </c>
      <c r="V16" s="45" t="str">
        <f aca="false">IFERROR(__xludf.dummyfunction("IFERROR(INDEX(SkillData,MATCH(Arrayformula(ARRAY_CONSTRAIN(FILTER(INDIRECT(""PalData!""&amp;ADDRESS(MATCH(B16,PalNames,0)+1,(MATCH(""Passive0a"",PalData_Header,0)))&amp;"":""&amp;ADDRESS(MATCH(B16,PalNames,0)+1,(MATCH(""Passive0a"",PalData_Header,0))+4)),LEN(INDIRECT"&amp;"(""PalData!""&amp;ADDRESS(MATCH(B16,PalNames,0)+1,(MATCH(""Passive0a"",PalData_Header,0)))&amp;"":""&amp;ADDRESS(MATCH(B16,PalNames,0)+1,(MATCH(""Passive0a"",PalData_Header,0))+4)))&gt;0),1,1)),SkillDataCodeName,0)+1,MATCH(""ValueType1"",SkillData_Header,0)))"),"")</f>
        <v/>
      </c>
      <c r="W16" s="45" t="n">
        <f aca="false">IFERROR(INDEX(SkillData,MATCH(INDEX(PalData,MATCH($B16,PalNames,0)+1,MATCH("Passive0a",PalData_Header,0)),SkillDataCodeName,0)+1,MATCH("EffectValue1",SkillData_Header,0)),)</f>
        <v>0</v>
      </c>
      <c r="X16" s="45" t="n">
        <f aca="false">IFERROR(INDEX(SkillData,MATCH(INDEX(PalData,MATCH($B16,PalNames,0)+1,MATCH("Passive1a",PalData_Header,0)),SkillDataCodeName,0)+1,MATCH("EffectValue1",SkillData_Header,0)),)</f>
        <v>0</v>
      </c>
      <c r="Y16" s="45" t="n">
        <f aca="false">IFERROR(INDEX(SkillData,MATCH(INDEX(PalData,MATCH($B16,PalNames,0)+1,MATCH("Passive2a",PalData_Header,0)),SkillDataCodeName,0)+1,MATCH("EffectValue1",SkillData_Header,0)),)</f>
        <v>0</v>
      </c>
      <c r="Z16" s="45" t="n">
        <f aca="false">IFERROR(INDEX(SkillData,MATCH(INDEX(PalData,MATCH($B16,PalNames,0)+1,MATCH("Passive3a",PalData_Header,0)),SkillDataCodeName,0)+1,MATCH("EffectValue1",SkillData_Header,0)),)</f>
        <v>0</v>
      </c>
      <c r="AA16" s="260" t="n">
        <f aca="false">IFERROR(INDEX(SkillData,MATCH(INDEX(PalData,MATCH($B16,PalNames,0)+1,MATCH("Passive4a",PalData_Header,0)),SkillDataCodeName,0)+1,MATCH("EffectValue1",SkillData_Header,0)),)</f>
        <v>0</v>
      </c>
      <c r="AB16" s="45" t="str">
        <f aca="false">IFERROR(__xludf.dummyfunction("IFERROR(INDEX(SkillData,MATCH(Arrayformula(ARRAY_CONSTRAIN(FILTER(INDIRECT(""PalData!""&amp;ADDRESS(MATCH(B16,PalNames,0)+1,(MATCH(""Passive0b"",PalData_Header,0)))&amp;"":""&amp;ADDRESS(MATCH(B16,PalNames,0)+1,(MATCH(""Passive0b"",PalData_Header,0))+4)),LEN(INDIRECT"&amp;"(""PalData!""&amp;ADDRESS(MATCH(B16,PalNames,0)+1,(MATCH(""Passive0b"",PalData_Header,0)))&amp;"":""&amp;ADDRESS(MATCH(B16,PalNames,0)+1,(MATCH(""Passive0b"",PalData_Header,0))+4)))&gt;0),1,1)),SkillDataCodeName,0)+1,MATCH(""EffectTypeCombined"",SkillData_Header,0)))"),"")</f>
        <v/>
      </c>
      <c r="AC16" s="45" t="str">
        <f aca="false">IFERROR(__xludf.dummyfunction("IFERROR(INDEX(SkillData,MATCH(Arrayformula(ARRAY_CONSTRAIN(FILTER(INDIRECT(""PalData!""&amp;ADDRESS(MATCH(B16,PalNames,0)+1,(MATCH(""Passive0b"",PalData_Header,0)))&amp;"":""&amp;ADDRESS(MATCH(B16,PalNames,0)+1,(MATCH(""Passive0b"",PalData_Header,0))+4)),LEN(INDIRECT"&amp;"(""PalData!""&amp;ADDRESS(MATCH(B16,PalNames,0)+1,(MATCH(""Passive0b"",PalData_Header,0)))&amp;"":""&amp;ADDRESS(MATCH(B16,PalNames,0)+1,(MATCH(""Passive0b"",PalData_Header,0))+4)))&gt;0),1,1)),SkillDataCodeName,0)+1,MATCH(""TargetType1"",SkillData_Header,0)))"),"")</f>
        <v/>
      </c>
      <c r="AD16" s="45" t="e">
        <f aca="false" t="array" ref="AD16:AD16">IF(INDEX(PalData,MATCH($B16,PalNames,0)+1,MATCH("Passive0bCondition",PalData_Header,0))=IFERROR(INDEX(SkillData,MATCH(INDEX(PalData,MATCH($B16,PalNames,0)+1,MATCH("Passive0b",PalData_Header,0)),SkillDataCodeName,0)+1,MATCH("Conditions",SkillData_Header,0))),INDEX(PalData,MATCH($B16,PalNames,0)+1,MATCH("Passive0bCondition",PalData_Header,0)),INDEX(PalData,MATCH($B16,PalNames,0)+1,MATCH("Passive0bCondition",PalData_Header,0)) &amp; IF(ISBLANK(INDEX(PalData,MATCH($B16,PalNames,0)+1,MATCH("Passive0bCondition",PalData_Header,0))),," ")&amp;IFERROR(INDEX(SkillData,MATCH(INDEX(PalData,MATCH($B16,PalNames,0)+1,MATCH("Passive0b",PalData_Header,0)),SkillDataCodeName,0)+1,MATCH("Conditions",SkillData_Header,0))))</f>
        <v>#N/A</v>
      </c>
      <c r="AE16" s="45" t="str">
        <f aca="false">IFERROR(__xludf.dummyfunction("IFERROR(INDEX(SkillData,MATCH(Arrayformula(ARRAY_CONSTRAIN(FILTER(INDIRECT(""PalData!""&amp;ADDRESS(MATCH(B16,PalNames,0)+1,(MATCH(""Passive0b"",PalData_Header,0)))&amp;"":""&amp;ADDRESS(MATCH(B16,PalNames,0)+1,(MATCH(""Passive0b"",PalData_Header,0))+4)),LEN(INDIRECT"&amp;"(""PalData!""&amp;ADDRESS(MATCH(B16,PalNames,0)+1,(MATCH(""Passive0b"",PalData_Header,0)))&amp;"":""&amp;ADDRESS(MATCH(B16,PalNames,0)+1,(MATCH(""Passive0b"",PalData_Header,0))+4)))&gt;0),1,1)),SkillDataCodeName,0)+1,MATCH(""ValueType1"",SkillData_Header,0)))"),"")</f>
        <v/>
      </c>
      <c r="AF16" s="45" t="n">
        <f aca="false">IFERROR(INDEX(SkillData,MATCH(INDEX(PalData,MATCH($B16,PalNames,0)+1,MATCH("Passive0b",PalData_Header,0)),SkillDataCodeName,0)+1,MATCH("EffectValue1",SkillData_Header,0)),)</f>
        <v>0</v>
      </c>
      <c r="AG16" s="45" t="n">
        <f aca="false">IFERROR(INDEX(SkillData,MATCH(INDEX(PalData,MATCH($B16,PalNames,0)+1,MATCH("Passive1b",PalData_Header,0)),SkillDataCodeName,0)+1,MATCH("EffectValue1",SkillData_Header,0)),)</f>
        <v>0</v>
      </c>
      <c r="AH16" s="45" t="n">
        <f aca="false">IFERROR(INDEX(SkillData,MATCH(INDEX(PalData,MATCH($B16,PalNames,0)+1,MATCH("Passive2b",PalData_Header,0)),SkillDataCodeName,0)+1,MATCH("EffectValue1",SkillData_Header,0)),)</f>
        <v>0</v>
      </c>
      <c r="AI16" s="45" t="n">
        <f aca="false">IFERROR(INDEX(SkillData,MATCH(INDEX(PalData,MATCH($B16,PalNames,0)+1,MATCH("Passive3b",PalData_Header,0)),SkillDataCodeName,0)+1,MATCH("EffectValue1",SkillData_Header,0)),)</f>
        <v>0</v>
      </c>
      <c r="AJ16" s="260" t="n">
        <f aca="false">IFERROR(INDEX(SkillData,MATCH(INDEX(PalData,MATCH($B16,PalNames,0)+1,MATCH("Passive4b",PalData_Header,0)),SkillDataCodeName,0)+1,MATCH("EffectValue1",SkillData_Header,0)),)</f>
        <v>0</v>
      </c>
      <c r="AK16" s="301" t="s">
        <v>277</v>
      </c>
    </row>
    <row r="17" customFormat="false" ht="15.75" hidden="false" customHeight="false" outlineLevel="0" collapsed="false">
      <c r="A17" s="302" t="n">
        <v>13</v>
      </c>
      <c r="B17" s="303" t="s">
        <v>69</v>
      </c>
      <c r="C17" s="48" t="n">
        <f aca="false">IF(ISBLANK(INDEX(PalData,MATCH($B17,PalNames,0)+1,MATCH("ActiveSkill",PalData_Header,0))),INDEX(PalData,MATCH($B17,PalNames,0)+1,MATCH("SkillUnlock_",PalData_Header,0)),INDEX(PalData,MATCH($B17,PalNames,0)+1,MATCH("ActiveSkill",PalData_Header,0)))</f>
        <v>0</v>
      </c>
      <c r="D17" s="48"/>
      <c r="E17" s="48" t="n">
        <f aca="false">INDEX(PalData,MATCH($B17,PalNames,0)+1,MATCH("ActiveSkillBonus0",PalData_Header,0))</f>
        <v>0</v>
      </c>
      <c r="F17" s="48" t="n">
        <f aca="false">INDEX(PalData,MATCH($B17,PalNames,0)+1,MATCH("ActiveSkillBonus1",PalData_Header,0))</f>
        <v>0</v>
      </c>
      <c r="G17" s="48" t="n">
        <f aca="false">INDEX(PalData,MATCH($B17,PalNames,0)+1,MATCH("ActiveSkillBonus2",PalData_Header,0))</f>
        <v>0</v>
      </c>
      <c r="H17" s="48" t="n">
        <f aca="false">INDEX(PalData,MATCH($B17,PalNames,0)+1,MATCH("ActiveSkillBonus3",PalData_Header,0))</f>
        <v>0</v>
      </c>
      <c r="I17" s="263" t="n">
        <f aca="false">INDEX(PalData,MATCH($B17,PalNames,0)+1,MATCH("ActiveSkillBonus4",PalData_Header,0))</f>
        <v>0</v>
      </c>
      <c r="J17" s="48" t="str">
        <f aca="false">IFERROR(__xludf.dummyfunction("IFERROR(INDEX(SkillData,MATCH(Arrayformula(ARRAY_CONSTRAIN(FILTER(INDIRECT(""PalData!""&amp;ADDRESS(MATCH(B17,PalNames,0)+1,(MATCH(""Passive0c"",PalData_Header,0)))&amp;"":""&amp;ADDRESS(MATCH(B17,PalNames,0)+1,(MATCH(""Passive0c"",PalData_Header,0))+4)),LEN(INDIRECT"&amp;"(""PalData!""&amp;ADDRESS(MATCH(B17,PalNames,0)+1,(MATCH(""Passive0c"",PalData_Header,0)))&amp;"":""&amp;ADDRESS(MATCH(B17,PalNames,0)+1,(MATCH(""Passive0c"",PalData_Header,0))+4)))&gt;0),1,1)),SkillDataCodeName,0)+1,MATCH(""EffectTypeCombined"",SkillData_Header,0)))"),"Logging")</f>
        <v>Logging</v>
      </c>
      <c r="K17" s="48" t="str">
        <f aca="false">IFERROR(__xludf.dummyfunction("IFERROR(INDEX(SkillData,MATCH(Arrayformula(ARRAY_CONSTRAIN(FILTER(INDIRECT(""PalData!""&amp;ADDRESS(MATCH(B17,PalNames,0)+1,(MATCH(""Passive0c"",PalData_Header,0)))&amp;"":""&amp;ADDRESS(MATCH(B17,PalNames,0)+1,(MATCH(""Passive0c"",PalData_Header,0))+4)),LEN(INDIRECT"&amp;"(""PalData!""&amp;ADDRESS(MATCH(B17,PalNames,0)+1,(MATCH(""Passive0c"",PalData_Header,0)))&amp;"":""&amp;ADDRESS(MATCH(B17,PalNames,0)+1,(MATCH(""Passive0c"",PalData_Header,0))+4)))&gt;0),1,1)),SkillDataCodeName,0)+1,MATCH(""TargetType1"",SkillData_Header,0)))"),"Trainer")</f>
        <v>Trainer</v>
      </c>
      <c r="L17" s="48" t="e">
        <f aca="false" t="array" ref="L17:L17">IF(INDEX(PalData,MATCH($B17,PalNames,0)+1,MATCH("Passive0cCondition",PalData_Header,0))=IFERROR(INDEX(SkillData,MATCH(INDEX(PalData,MATCH($B17,PalNames,0)+1,MATCH("Passive0c",PalData_Header,0)),SkillDataCodeName,0)+1,MATCH("Conditions",SkillData_Header,0))),INDEX(PalData,MATCH($B17,PalNames,0)+1,MATCH("Passive0cCondition",PalData_Header,0)),INDEX(PalData,MATCH($B17,PalNames,0)+1,MATCH("Passive0cCondition",PalData_Header,0)) &amp; IF(ISBLANK(INDEX(PalData,MATCH($B17,PalNames,0)+1,MATCH("Passive0cCondition",PalData_Header,0))),," ")&amp;IFERROR(INDEX(SkillData,MATCH(INDEX(PalData,MATCH($B17,PalNames,0)+1,MATCH("Passive0c",PalData_Header,0)),SkillDataCodeName,0)+1,MATCH("Conditions",SkillData_Header,0))))</f>
        <v>#VALUE!</v>
      </c>
      <c r="M17" s="48" t="str">
        <f aca="false">IFERROR(__xludf.dummyfunction("IFERROR(INDEX(SkillData,MATCH(Arrayformula(ARRAY_CONSTRAIN(FILTER(INDIRECT(""PalData!""&amp;ADDRESS(MATCH(B17,PalNames,0)+1,(MATCH(""Passive0c"",PalData_Header,0)))&amp;"":""&amp;ADDRESS(MATCH(B17,PalNames,0)+1,(MATCH(""Passive0c"",PalData_Header,0))+4)),LEN(INDIRECT"&amp;"(""PalData!""&amp;ADDRESS(MATCH(B17,PalNames,0)+1,(MATCH(""Passive0c"",PalData_Header,0)))&amp;"":""&amp;ADDRESS(MATCH(B17,PalNames,0)+1,(MATCH(""Passive0c"",PalData_Header,0))+4)))&gt;0),1,1)),SkillDataCodeName,0)+1,MATCH(""ValueType1"",SkillData_Header,0)))"),"+")</f>
        <v>+</v>
      </c>
      <c r="N17" s="61" t="e">
        <f aca="false" t="array" ref="N17:N17">IFERROR(INDEX(SkillData,MATCH(INDEX(PalData,MATCH($B17,PalNames,0)+1,MATCH("Passive0c",PalData_Header,0)),SkillDataCodeName,0)+1,MATCH("EffectValue1",SkillData_Header,0)))</f>
        <v>#VALUE!</v>
      </c>
      <c r="O17" s="61" t="e">
        <f aca="false" t="array" ref="O17:O17">IFERROR(INDEX(SkillData,MATCH(INDEX(PalData,MATCH($B17,PalNames,0)+1,MATCH("Passive1c",PalData_Header,0)),SkillDataCodeName,0)+1,MATCH("EffectValue1",SkillData_Header,0)))</f>
        <v>#VALUE!</v>
      </c>
      <c r="P17" s="61" t="e">
        <f aca="false" t="array" ref="P17:P17">IFERROR(INDEX(SkillData,MATCH(INDEX(PalData,MATCH($B17,PalNames,0)+1,MATCH("Passive2c",PalData_Header,0)),SkillDataCodeName,0)+1,MATCH("EffectValue1",SkillData_Header,0)))</f>
        <v>#VALUE!</v>
      </c>
      <c r="Q17" s="61" t="e">
        <f aca="false" t="array" ref="Q17:Q17">IFERROR(INDEX(SkillData,MATCH(INDEX(PalData,MATCH($B17,PalNames,0)+1,MATCH("Passive3c",PalData_Header,0)),SkillDataCodeName,0)+1,MATCH("EffectValue1",SkillData_Header,0)))</f>
        <v>#VALUE!</v>
      </c>
      <c r="R17" s="304" t="e">
        <f aca="false" t="array" ref="R17:R17">IFERROR(INDEX(SkillData,MATCH(INDEX(PalData,MATCH($B17,PalNames,0)+1,MATCH("Passive4c",PalData_Header,0)),SkillDataCodeName,0)+1,MATCH("EffectValue1",SkillData_Header,0)))</f>
        <v>#VALUE!</v>
      </c>
      <c r="S17" s="48" t="str">
        <f aca="false">IFERROR(__xludf.dummyfunction("IFERROR(INDEX(SkillData,MATCH(Arrayformula(ARRAY_CONSTRAIN(FILTER(INDIRECT(""PalData!""&amp;ADDRESS(MATCH(B17,PalNames,0)+1,(MATCH(""Passive0a"",PalData_Header,0)))&amp;"":""&amp;ADDRESS(MATCH(B17,PalNames,0)+1,(MATCH(""Passive0a"",PalData_Header,0))+4)),LEN(INDIRECT"&amp;"(""PalData!""&amp;ADDRESS(MATCH(B17,PalNames,0)+1,(MATCH(""Passive0a"",PalData_Header,0)))&amp;"":""&amp;ADDRESS(MATCH(B17,PalNames,0)+1,(MATCH(""Passive0a"",PalData_Header,0))+4)))&gt;0),1,1)),SkillDataCodeName,0)+1,MATCH(""EffectTypeCombined"",SkillData_Header,0)))"),"")</f>
        <v/>
      </c>
      <c r="T17" s="48" t="str">
        <f aca="false">IFERROR(__xludf.dummyfunction("IFERROR(INDEX(SkillData,MATCH(Arrayformula(ARRAY_CONSTRAIN(FILTER(INDIRECT(""PalData!""&amp;ADDRESS(MATCH(B17,PalNames,0)+1,(MATCH(""Passive0a"",PalData_Header,0)))&amp;"":""&amp;ADDRESS(MATCH(B17,PalNames,0)+1,(MATCH(""Passive0a"",PalData_Header,0))+4)),LEN(INDIRECT"&amp;"(""PalData!""&amp;ADDRESS(MATCH(B17,PalNames,0)+1,(MATCH(""Passive0a"",PalData_Header,0)))&amp;"":""&amp;ADDRESS(MATCH(B17,PalNames,0)+1,(MATCH(""Passive0a"",PalData_Header,0))+4)))&gt;0),1,1)),SkillDataCodeName,0)+1,MATCH(""TargetType1"",SkillData_Header,0)))"),"")</f>
        <v/>
      </c>
      <c r="U17" s="48" t="e">
        <f aca="false" t="array" ref="U17:U17">IF(INDEX(PalData,MATCH($B17,PalNames,0)+1,MATCH("Passive0aCondition",PalData_Header,0))=IFERROR(INDEX(SkillData,MATCH(INDEX(PalData,MATCH($B17,PalNames,0)+1,MATCH("Passive0a",PalData_Header,0)),SkillDataCodeName,0)+1,MATCH("Conditions",SkillData_Header,0))),INDEX(PalData,MATCH($B17,PalNames,0)+1,MATCH("Passive0aCondition",PalData_Header,0)),INDEX(PalData,MATCH($B17,PalNames,0)+1,MATCH("Passive0aCondition",PalData_Header,0)) &amp; IF(ISBLANK(INDEX(PalData,MATCH($B17,PalNames,0)+1,MATCH("Passive0aCondition",PalData_Header,0))),," ")&amp;IFERROR(INDEX(SkillData,MATCH(INDEX(PalData,MATCH($B17,PalNames,0)+1,MATCH("Passive0a",PalData_Header,0)),SkillDataCodeName,0)+1,MATCH("Conditions",SkillData_Header,0))))</f>
        <v>#N/A</v>
      </c>
      <c r="V17" s="48" t="str">
        <f aca="false">IFERROR(__xludf.dummyfunction("IFERROR(INDEX(SkillData,MATCH(Arrayformula(ARRAY_CONSTRAIN(FILTER(INDIRECT(""PalData!""&amp;ADDRESS(MATCH(B17,PalNames,0)+1,(MATCH(""Passive0a"",PalData_Header,0)))&amp;"":""&amp;ADDRESS(MATCH(B17,PalNames,0)+1,(MATCH(""Passive0a"",PalData_Header,0))+4)),LEN(INDIRECT"&amp;"(""PalData!""&amp;ADDRESS(MATCH(B17,PalNames,0)+1,(MATCH(""Passive0a"",PalData_Header,0)))&amp;"":""&amp;ADDRESS(MATCH(B17,PalNames,0)+1,(MATCH(""Passive0a"",PalData_Header,0))+4)))&gt;0),1,1)),SkillDataCodeName,0)+1,MATCH(""ValueType1"",SkillData_Header,0)))"),"")</f>
        <v/>
      </c>
      <c r="W17" s="48" t="n">
        <f aca="false">IFERROR(INDEX(SkillData,MATCH(INDEX(PalData,MATCH($B17,PalNames,0)+1,MATCH("Passive0a",PalData_Header,0)),SkillDataCodeName,0)+1,MATCH("EffectValue1",SkillData_Header,0)),)</f>
        <v>0</v>
      </c>
      <c r="X17" s="48" t="n">
        <f aca="false">IFERROR(INDEX(SkillData,MATCH(INDEX(PalData,MATCH($B17,PalNames,0)+1,MATCH("Passive1a",PalData_Header,0)),SkillDataCodeName,0)+1,MATCH("EffectValue1",SkillData_Header,0)),)</f>
        <v>0</v>
      </c>
      <c r="Y17" s="48" t="n">
        <f aca="false">IFERROR(INDEX(SkillData,MATCH(INDEX(PalData,MATCH($B17,PalNames,0)+1,MATCH("Passive2a",PalData_Header,0)),SkillDataCodeName,0)+1,MATCH("EffectValue1",SkillData_Header,0)),)</f>
        <v>0</v>
      </c>
      <c r="Z17" s="48" t="n">
        <f aca="false">IFERROR(INDEX(SkillData,MATCH(INDEX(PalData,MATCH($B17,PalNames,0)+1,MATCH("Passive3a",PalData_Header,0)),SkillDataCodeName,0)+1,MATCH("EffectValue1",SkillData_Header,0)),)</f>
        <v>0</v>
      </c>
      <c r="AA17" s="263" t="n">
        <f aca="false">IFERROR(INDEX(SkillData,MATCH(INDEX(PalData,MATCH($B17,PalNames,0)+1,MATCH("Passive4a",PalData_Header,0)),SkillDataCodeName,0)+1,MATCH("EffectValue1",SkillData_Header,0)),)</f>
        <v>0</v>
      </c>
      <c r="AB17" s="48" t="str">
        <f aca="false">IFERROR(__xludf.dummyfunction("IFERROR(INDEX(SkillData,MATCH(Arrayformula(ARRAY_CONSTRAIN(FILTER(INDIRECT(""PalData!""&amp;ADDRESS(MATCH(B17,PalNames,0)+1,(MATCH(""Passive0b"",PalData_Header,0)))&amp;"":""&amp;ADDRESS(MATCH(B17,PalNames,0)+1,(MATCH(""Passive0b"",PalData_Header,0))+4)),LEN(INDIRECT"&amp;"(""PalData!""&amp;ADDRESS(MATCH(B17,PalNames,0)+1,(MATCH(""Passive0b"",PalData_Header,0)))&amp;"":""&amp;ADDRESS(MATCH(B17,PalNames,0)+1,(MATCH(""Passive0b"",PalData_Header,0))+4)))&gt;0),1,1)),SkillDataCodeName,0)+1,MATCH(""EffectTypeCombined"",SkillData_Header,0)))"),"")</f>
        <v/>
      </c>
      <c r="AC17" s="48" t="str">
        <f aca="false">IFERROR(__xludf.dummyfunction("IFERROR(INDEX(SkillData,MATCH(Arrayformula(ARRAY_CONSTRAIN(FILTER(INDIRECT(""PalData!""&amp;ADDRESS(MATCH(B17,PalNames,0)+1,(MATCH(""Passive0b"",PalData_Header,0)))&amp;"":""&amp;ADDRESS(MATCH(B17,PalNames,0)+1,(MATCH(""Passive0b"",PalData_Header,0))+4)),LEN(INDIRECT"&amp;"(""PalData!""&amp;ADDRESS(MATCH(B17,PalNames,0)+1,(MATCH(""Passive0b"",PalData_Header,0)))&amp;"":""&amp;ADDRESS(MATCH(B17,PalNames,0)+1,(MATCH(""Passive0b"",PalData_Header,0))+4)))&gt;0),1,1)),SkillDataCodeName,0)+1,MATCH(""TargetType1"",SkillData_Header,0)))"),"")</f>
        <v/>
      </c>
      <c r="AD17" s="48" t="e">
        <f aca="false" t="array" ref="AD17:AD17">IF(INDEX(PalData,MATCH($B17,PalNames,0)+1,MATCH("Passive0bCondition",PalData_Header,0))=IFERROR(INDEX(SkillData,MATCH(INDEX(PalData,MATCH($B17,PalNames,0)+1,MATCH("Passive0b",PalData_Header,0)),SkillDataCodeName,0)+1,MATCH("Conditions",SkillData_Header,0))),INDEX(PalData,MATCH($B17,PalNames,0)+1,MATCH("Passive0bCondition",PalData_Header,0)),INDEX(PalData,MATCH($B17,PalNames,0)+1,MATCH("Passive0bCondition",PalData_Header,0)) &amp; IF(ISBLANK(INDEX(PalData,MATCH($B17,PalNames,0)+1,MATCH("Passive0bCondition",PalData_Header,0))),," ")&amp;IFERROR(INDEX(SkillData,MATCH(INDEX(PalData,MATCH($B17,PalNames,0)+1,MATCH("Passive0b",PalData_Header,0)),SkillDataCodeName,0)+1,MATCH("Conditions",SkillData_Header,0))))</f>
        <v>#N/A</v>
      </c>
      <c r="AE17" s="48" t="str">
        <f aca="false">IFERROR(__xludf.dummyfunction("IFERROR(INDEX(SkillData,MATCH(Arrayformula(ARRAY_CONSTRAIN(FILTER(INDIRECT(""PalData!""&amp;ADDRESS(MATCH(B17,PalNames,0)+1,(MATCH(""Passive0b"",PalData_Header,0)))&amp;"":""&amp;ADDRESS(MATCH(B17,PalNames,0)+1,(MATCH(""Passive0b"",PalData_Header,0))+4)),LEN(INDIRECT"&amp;"(""PalData!""&amp;ADDRESS(MATCH(B17,PalNames,0)+1,(MATCH(""Passive0b"",PalData_Header,0)))&amp;"":""&amp;ADDRESS(MATCH(B17,PalNames,0)+1,(MATCH(""Passive0b"",PalData_Header,0))+4)))&gt;0),1,1)),SkillDataCodeName,0)+1,MATCH(""ValueType1"",SkillData_Header,0)))"),"")</f>
        <v/>
      </c>
      <c r="AF17" s="48" t="n">
        <f aca="false">IFERROR(INDEX(SkillData,MATCH(INDEX(PalData,MATCH($B17,PalNames,0)+1,MATCH("Passive0b",PalData_Header,0)),SkillDataCodeName,0)+1,MATCH("EffectValue1",SkillData_Header,0)),)</f>
        <v>0</v>
      </c>
      <c r="AG17" s="48" t="n">
        <f aca="false">IFERROR(INDEX(SkillData,MATCH(INDEX(PalData,MATCH($B17,PalNames,0)+1,MATCH("Passive1b",PalData_Header,0)),SkillDataCodeName,0)+1,MATCH("EffectValue1",SkillData_Header,0)),)</f>
        <v>0</v>
      </c>
      <c r="AH17" s="48" t="n">
        <f aca="false">IFERROR(INDEX(SkillData,MATCH(INDEX(PalData,MATCH($B17,PalNames,0)+1,MATCH("Passive2b",PalData_Header,0)),SkillDataCodeName,0)+1,MATCH("EffectValue1",SkillData_Header,0)),)</f>
        <v>0</v>
      </c>
      <c r="AI17" s="48" t="n">
        <f aca="false">IFERROR(INDEX(SkillData,MATCH(INDEX(PalData,MATCH($B17,PalNames,0)+1,MATCH("Passive3b",PalData_Header,0)),SkillDataCodeName,0)+1,MATCH("EffectValue1",SkillData_Header,0)),)</f>
        <v>0</v>
      </c>
      <c r="AJ17" s="263" t="n">
        <f aca="false">IFERROR(INDEX(SkillData,MATCH(INDEX(PalData,MATCH($B17,PalNames,0)+1,MATCH("Passive4b",PalData_Header,0)),SkillDataCodeName,0)+1,MATCH("EffectValue1",SkillData_Header,0)),)</f>
        <v>0</v>
      </c>
      <c r="AK17" s="305" t="s">
        <v>278</v>
      </c>
    </row>
    <row r="18" customFormat="false" ht="15.75" hidden="false" customHeight="false" outlineLevel="0" collapsed="false">
      <c r="A18" s="299" t="n">
        <v>13</v>
      </c>
      <c r="B18" s="300" t="s">
        <v>70</v>
      </c>
      <c r="C18" s="45" t="n">
        <f aca="false">IF(ISBLANK(INDEX(PalData,MATCH($B18,PalNames,0)+1,MATCH("ActiveSkill",PalData_Header,0))),INDEX(PalData,MATCH($B18,PalNames,0)+1,MATCH("SkillUnlock_",PalData_Header,0)),INDEX(PalData,MATCH($B18,PalNames,0)+1,MATCH("ActiveSkill",PalData_Header,0)))</f>
        <v>0</v>
      </c>
      <c r="D18" s="45"/>
      <c r="E18" s="45" t="n">
        <f aca="false">INDEX(PalData,MATCH($B18,PalNames,0)+1,MATCH("ActiveSkillBonus0",PalData_Header,0))</f>
        <v>0</v>
      </c>
      <c r="F18" s="45" t="n">
        <f aca="false">INDEX(PalData,MATCH($B18,PalNames,0)+1,MATCH("ActiveSkillBonus1",PalData_Header,0))</f>
        <v>0</v>
      </c>
      <c r="G18" s="45" t="n">
        <f aca="false">INDEX(PalData,MATCH($B18,PalNames,0)+1,MATCH("ActiveSkillBonus2",PalData_Header,0))</f>
        <v>0</v>
      </c>
      <c r="H18" s="45" t="n">
        <f aca="false">INDEX(PalData,MATCH($B18,PalNames,0)+1,MATCH("ActiveSkillBonus3",PalData_Header,0))</f>
        <v>0</v>
      </c>
      <c r="I18" s="260" t="n">
        <f aca="false">INDEX(PalData,MATCH($B18,PalNames,0)+1,MATCH("ActiveSkillBonus4",PalData_Header,0))</f>
        <v>0</v>
      </c>
      <c r="J18" s="45" t="str">
        <f aca="false">IFERROR(__xludf.dummyfunction("IFERROR(INDEX(SkillData,MATCH(Arrayformula(ARRAY_CONSTRAIN(FILTER(INDIRECT(""PalData!""&amp;ADDRESS(MATCH(B18,PalNames,0)+1,(MATCH(""Passive0c"",PalData_Header,0)))&amp;"":""&amp;ADDRESS(MATCH(B18,PalNames,0)+1,(MATCH(""Passive0c"",PalData_Header,0))+4)),LEN(INDIRECT"&amp;"(""PalData!""&amp;ADDRESS(MATCH(B18,PalNames,0)+1,(MATCH(""Passive0c"",PalData_Header,0)))&amp;"":""&amp;ADDRESS(MATCH(B18,PalNames,0)+1,(MATCH(""Passive0c"",PalData_Header,0))+4)))&gt;0),1,1)),SkillDataCodeName,0)+1,MATCH(""EffectTypeCombined"",SkillData_Header,0)))"),"Logging")</f>
        <v>Logging</v>
      </c>
      <c r="K18" s="45" t="str">
        <f aca="false">IFERROR(__xludf.dummyfunction("IFERROR(INDEX(SkillData,MATCH(Arrayformula(ARRAY_CONSTRAIN(FILTER(INDIRECT(""PalData!""&amp;ADDRESS(MATCH(B18,PalNames,0)+1,(MATCH(""Passive0c"",PalData_Header,0)))&amp;"":""&amp;ADDRESS(MATCH(B18,PalNames,0)+1,(MATCH(""Passive0c"",PalData_Header,0))+4)),LEN(INDIRECT"&amp;"(""PalData!""&amp;ADDRESS(MATCH(B18,PalNames,0)+1,(MATCH(""Passive0c"",PalData_Header,0)))&amp;"":""&amp;ADDRESS(MATCH(B18,PalNames,0)+1,(MATCH(""Passive0c"",PalData_Header,0))+4)))&gt;0),1,1)),SkillDataCodeName,0)+1,MATCH(""TargetType1"",SkillData_Header,0)))"),"Trainer")</f>
        <v>Trainer</v>
      </c>
      <c r="L18" s="45" t="e">
        <f aca="false" t="array" ref="L18:L18">IF(INDEX(PalData,MATCH($B18,PalNames,0)+1,MATCH("Passive0cCondition",PalData_Header,0))=IFERROR(INDEX(SkillData,MATCH(INDEX(PalData,MATCH($B18,PalNames,0)+1,MATCH("Passive0c",PalData_Header,0)),SkillDataCodeName,0)+1,MATCH("Conditions",SkillData_Header,0))),INDEX(PalData,MATCH($B18,PalNames,0)+1,MATCH("Passive0cCondition",PalData_Header,0)),INDEX(PalData,MATCH($B18,PalNames,0)+1,MATCH("Passive0cCondition",PalData_Header,0)) &amp; IF(ISBLANK(INDEX(PalData,MATCH($B18,PalNames,0)+1,MATCH("Passive0cCondition",PalData_Header,0))),," ")&amp;IFERROR(INDEX(SkillData,MATCH(INDEX(PalData,MATCH($B18,PalNames,0)+1,MATCH("Passive0c",PalData_Header,0)),SkillDataCodeName,0)+1,MATCH("Conditions",SkillData_Header,0))))</f>
        <v>#VALUE!</v>
      </c>
      <c r="M18" s="45" t="str">
        <f aca="false">IFERROR(__xludf.dummyfunction("IFERROR(INDEX(SkillData,MATCH(Arrayformula(ARRAY_CONSTRAIN(FILTER(INDIRECT(""PalData!""&amp;ADDRESS(MATCH(B18,PalNames,0)+1,(MATCH(""Passive0c"",PalData_Header,0)))&amp;"":""&amp;ADDRESS(MATCH(B18,PalNames,0)+1,(MATCH(""Passive0c"",PalData_Header,0))+4)),LEN(INDIRECT"&amp;"(""PalData!""&amp;ADDRESS(MATCH(B18,PalNames,0)+1,(MATCH(""Passive0c"",PalData_Header,0)))&amp;"":""&amp;ADDRESS(MATCH(B18,PalNames,0)+1,(MATCH(""Passive0c"",PalData_Header,0))+4)))&gt;0),1,1)),SkillDataCodeName,0)+1,MATCH(""ValueType1"",SkillData_Header,0)))"),"+")</f>
        <v>+</v>
      </c>
      <c r="N18" s="62" t="e">
        <f aca="false" t="array" ref="N18:N18">IFERROR(INDEX(SkillData,MATCH(INDEX(PalData,MATCH($B18,PalNames,0)+1,MATCH("Passive0c",PalData_Header,0)),SkillDataCodeName,0)+1,MATCH("EffectValue1",SkillData_Header,0)))</f>
        <v>#VALUE!</v>
      </c>
      <c r="O18" s="62" t="e">
        <f aca="false" t="array" ref="O18:O18">IFERROR(INDEX(SkillData,MATCH(INDEX(PalData,MATCH($B18,PalNames,0)+1,MATCH("Passive1c",PalData_Header,0)),SkillDataCodeName,0)+1,MATCH("EffectValue1",SkillData_Header,0)))</f>
        <v>#VALUE!</v>
      </c>
      <c r="P18" s="62" t="e">
        <f aca="false" t="array" ref="P18:P18">IFERROR(INDEX(SkillData,MATCH(INDEX(PalData,MATCH($B18,PalNames,0)+1,MATCH("Passive2c",PalData_Header,0)),SkillDataCodeName,0)+1,MATCH("EffectValue1",SkillData_Header,0)))</f>
        <v>#VALUE!</v>
      </c>
      <c r="Q18" s="62" t="e">
        <f aca="false" t="array" ref="Q18:Q18">IFERROR(INDEX(SkillData,MATCH(INDEX(PalData,MATCH($B18,PalNames,0)+1,MATCH("Passive3c",PalData_Header,0)),SkillDataCodeName,0)+1,MATCH("EffectValue1",SkillData_Header,0)))</f>
        <v>#VALUE!</v>
      </c>
      <c r="R18" s="306" t="e">
        <f aca="false" t="array" ref="R18:R18">IFERROR(INDEX(SkillData,MATCH(INDEX(PalData,MATCH($B18,PalNames,0)+1,MATCH("Passive4c",PalData_Header,0)),SkillDataCodeName,0)+1,MATCH("EffectValue1",SkillData_Header,0)))</f>
        <v>#VALUE!</v>
      </c>
      <c r="S18" s="45" t="str">
        <f aca="false">IFERROR(__xludf.dummyfunction("IFERROR(INDEX(SkillData,MATCH(Arrayformula(ARRAY_CONSTRAIN(FILTER(INDIRECT(""PalData!""&amp;ADDRESS(MATCH(B18,PalNames,0)+1,(MATCH(""Passive0a"",PalData_Header,0)))&amp;"":""&amp;ADDRESS(MATCH(B18,PalNames,0)+1,(MATCH(""Passive0a"",PalData_Header,0))+4)),LEN(INDIRECT"&amp;"(""PalData!""&amp;ADDRESS(MATCH(B18,PalNames,0)+1,(MATCH(""Passive0a"",PalData_Header,0)))&amp;"":""&amp;ADDRESS(MATCH(B18,PalNames,0)+1,(MATCH(""Passive0a"",PalData_Header,0))+4)))&gt;0),1,1)),SkillDataCodeName,0)+1,MATCH(""EffectTypeCombined"",SkillData_Header,0)))"),"")</f>
        <v/>
      </c>
      <c r="T18" s="45" t="str">
        <f aca="false">IFERROR(__xludf.dummyfunction("IFERROR(INDEX(SkillData,MATCH(Arrayformula(ARRAY_CONSTRAIN(FILTER(INDIRECT(""PalData!""&amp;ADDRESS(MATCH(B18,PalNames,0)+1,(MATCH(""Passive0a"",PalData_Header,0)))&amp;"":""&amp;ADDRESS(MATCH(B18,PalNames,0)+1,(MATCH(""Passive0a"",PalData_Header,0))+4)),LEN(INDIRECT"&amp;"(""PalData!""&amp;ADDRESS(MATCH(B18,PalNames,0)+1,(MATCH(""Passive0a"",PalData_Header,0)))&amp;"":""&amp;ADDRESS(MATCH(B18,PalNames,0)+1,(MATCH(""Passive0a"",PalData_Header,0))+4)))&gt;0),1,1)),SkillDataCodeName,0)+1,MATCH(""TargetType1"",SkillData_Header,0)))"),"")</f>
        <v/>
      </c>
      <c r="U18" s="45" t="e">
        <f aca="false" t="array" ref="U18:U18">IF(INDEX(PalData,MATCH($B18,PalNames,0)+1,MATCH("Passive0aCondition",PalData_Header,0))=IFERROR(INDEX(SkillData,MATCH(INDEX(PalData,MATCH($B18,PalNames,0)+1,MATCH("Passive0a",PalData_Header,0)),SkillDataCodeName,0)+1,MATCH("Conditions",SkillData_Header,0))),INDEX(PalData,MATCH($B18,PalNames,0)+1,MATCH("Passive0aCondition",PalData_Header,0)),INDEX(PalData,MATCH($B18,PalNames,0)+1,MATCH("Passive0aCondition",PalData_Header,0)) &amp; IF(ISBLANK(INDEX(PalData,MATCH($B18,PalNames,0)+1,MATCH("Passive0aCondition",PalData_Header,0))),," ")&amp;IFERROR(INDEX(SkillData,MATCH(INDEX(PalData,MATCH($B18,PalNames,0)+1,MATCH("Passive0a",PalData_Header,0)),SkillDataCodeName,0)+1,MATCH("Conditions",SkillData_Header,0))))</f>
        <v>#N/A</v>
      </c>
      <c r="V18" s="45" t="str">
        <f aca="false">IFERROR(__xludf.dummyfunction("IFERROR(INDEX(SkillData,MATCH(Arrayformula(ARRAY_CONSTRAIN(FILTER(INDIRECT(""PalData!""&amp;ADDRESS(MATCH(B18,PalNames,0)+1,(MATCH(""Passive0a"",PalData_Header,0)))&amp;"":""&amp;ADDRESS(MATCH(B18,PalNames,0)+1,(MATCH(""Passive0a"",PalData_Header,0))+4)),LEN(INDIRECT"&amp;"(""PalData!""&amp;ADDRESS(MATCH(B18,PalNames,0)+1,(MATCH(""Passive0a"",PalData_Header,0)))&amp;"":""&amp;ADDRESS(MATCH(B18,PalNames,0)+1,(MATCH(""Passive0a"",PalData_Header,0))+4)))&gt;0),1,1)),SkillDataCodeName,0)+1,MATCH(""ValueType1"",SkillData_Header,0)))"),"")</f>
        <v/>
      </c>
      <c r="W18" s="45" t="n">
        <f aca="false">IFERROR(INDEX(SkillData,MATCH(INDEX(PalData,MATCH($B18,PalNames,0)+1,MATCH("Passive0a",PalData_Header,0)),SkillDataCodeName,0)+1,MATCH("EffectValue1",SkillData_Header,0)),)</f>
        <v>0</v>
      </c>
      <c r="X18" s="45" t="n">
        <f aca="false">IFERROR(INDEX(SkillData,MATCH(INDEX(PalData,MATCH($B18,PalNames,0)+1,MATCH("Passive1a",PalData_Header,0)),SkillDataCodeName,0)+1,MATCH("EffectValue1",SkillData_Header,0)),)</f>
        <v>0</v>
      </c>
      <c r="Y18" s="45" t="n">
        <f aca="false">IFERROR(INDEX(SkillData,MATCH(INDEX(PalData,MATCH($B18,PalNames,0)+1,MATCH("Passive2a",PalData_Header,0)),SkillDataCodeName,0)+1,MATCH("EffectValue1",SkillData_Header,0)),)</f>
        <v>0</v>
      </c>
      <c r="Z18" s="45" t="n">
        <f aca="false">IFERROR(INDEX(SkillData,MATCH(INDEX(PalData,MATCH($B18,PalNames,0)+1,MATCH("Passive3a",PalData_Header,0)),SkillDataCodeName,0)+1,MATCH("EffectValue1",SkillData_Header,0)),)</f>
        <v>0</v>
      </c>
      <c r="AA18" s="260" t="n">
        <f aca="false">IFERROR(INDEX(SkillData,MATCH(INDEX(PalData,MATCH($B18,PalNames,0)+1,MATCH("Passive4a",PalData_Header,0)),SkillDataCodeName,0)+1,MATCH("EffectValue1",SkillData_Header,0)),)</f>
        <v>0</v>
      </c>
      <c r="AB18" s="45" t="str">
        <f aca="false">IFERROR(__xludf.dummyfunction("IFERROR(INDEX(SkillData,MATCH(Arrayformula(ARRAY_CONSTRAIN(FILTER(INDIRECT(""PalData!""&amp;ADDRESS(MATCH(B18,PalNames,0)+1,(MATCH(""Passive0b"",PalData_Header,0)))&amp;"":""&amp;ADDRESS(MATCH(B18,PalNames,0)+1,(MATCH(""Passive0b"",PalData_Header,0))+4)),LEN(INDIRECT"&amp;"(""PalData!""&amp;ADDRESS(MATCH(B18,PalNames,0)+1,(MATCH(""Passive0b"",PalData_Header,0)))&amp;"":""&amp;ADDRESS(MATCH(B18,PalNames,0)+1,(MATCH(""Passive0b"",PalData_Header,0))+4)))&gt;0),1,1)),SkillDataCodeName,0)+1,MATCH(""EffectTypeCombined"",SkillData_Header,0)))"),"")</f>
        <v/>
      </c>
      <c r="AC18" s="45" t="str">
        <f aca="false">IFERROR(__xludf.dummyfunction("IFERROR(INDEX(SkillData,MATCH(Arrayformula(ARRAY_CONSTRAIN(FILTER(INDIRECT(""PalData!""&amp;ADDRESS(MATCH(B18,PalNames,0)+1,(MATCH(""Passive0b"",PalData_Header,0)))&amp;"":""&amp;ADDRESS(MATCH(B18,PalNames,0)+1,(MATCH(""Passive0b"",PalData_Header,0))+4)),LEN(INDIRECT"&amp;"(""PalData!""&amp;ADDRESS(MATCH(B18,PalNames,0)+1,(MATCH(""Passive0b"",PalData_Header,0)))&amp;"":""&amp;ADDRESS(MATCH(B18,PalNames,0)+1,(MATCH(""Passive0b"",PalData_Header,0))+4)))&gt;0),1,1)),SkillDataCodeName,0)+1,MATCH(""TargetType1"",SkillData_Header,0)))"),"")</f>
        <v/>
      </c>
      <c r="AD18" s="45" t="e">
        <f aca="false" t="array" ref="AD18:AD18">IF(INDEX(PalData,MATCH($B18,PalNames,0)+1,MATCH("Passive0bCondition",PalData_Header,0))=IFERROR(INDEX(SkillData,MATCH(INDEX(PalData,MATCH($B18,PalNames,0)+1,MATCH("Passive0b",PalData_Header,0)),SkillDataCodeName,0)+1,MATCH("Conditions",SkillData_Header,0))),INDEX(PalData,MATCH($B18,PalNames,0)+1,MATCH("Passive0bCondition",PalData_Header,0)),INDEX(PalData,MATCH($B18,PalNames,0)+1,MATCH("Passive0bCondition",PalData_Header,0)) &amp; IF(ISBLANK(INDEX(PalData,MATCH($B18,PalNames,0)+1,MATCH("Passive0bCondition",PalData_Header,0))),," ")&amp;IFERROR(INDEX(SkillData,MATCH(INDEX(PalData,MATCH($B18,PalNames,0)+1,MATCH("Passive0b",PalData_Header,0)),SkillDataCodeName,0)+1,MATCH("Conditions",SkillData_Header,0))))</f>
        <v>#N/A</v>
      </c>
      <c r="AE18" s="45" t="str">
        <f aca="false">IFERROR(__xludf.dummyfunction("IFERROR(INDEX(SkillData,MATCH(Arrayformula(ARRAY_CONSTRAIN(FILTER(INDIRECT(""PalData!""&amp;ADDRESS(MATCH(B18,PalNames,0)+1,(MATCH(""Passive0b"",PalData_Header,0)))&amp;"":""&amp;ADDRESS(MATCH(B18,PalNames,0)+1,(MATCH(""Passive0b"",PalData_Header,0))+4)),LEN(INDIRECT"&amp;"(""PalData!""&amp;ADDRESS(MATCH(B18,PalNames,0)+1,(MATCH(""Passive0b"",PalData_Header,0)))&amp;"":""&amp;ADDRESS(MATCH(B18,PalNames,0)+1,(MATCH(""Passive0b"",PalData_Header,0))+4)))&gt;0),1,1)),SkillDataCodeName,0)+1,MATCH(""ValueType1"",SkillData_Header,0)))"),"")</f>
        <v/>
      </c>
      <c r="AF18" s="45" t="n">
        <f aca="false">IFERROR(INDEX(SkillData,MATCH(INDEX(PalData,MATCH($B18,PalNames,0)+1,MATCH("Passive0b",PalData_Header,0)),SkillDataCodeName,0)+1,MATCH("EffectValue1",SkillData_Header,0)),)</f>
        <v>0</v>
      </c>
      <c r="AG18" s="45" t="n">
        <f aca="false">IFERROR(INDEX(SkillData,MATCH(INDEX(PalData,MATCH($B18,PalNames,0)+1,MATCH("Passive1b",PalData_Header,0)),SkillDataCodeName,0)+1,MATCH("EffectValue1",SkillData_Header,0)),)</f>
        <v>0</v>
      </c>
      <c r="AH18" s="45" t="n">
        <f aca="false">IFERROR(INDEX(SkillData,MATCH(INDEX(PalData,MATCH($B18,PalNames,0)+1,MATCH("Passive2b",PalData_Header,0)),SkillDataCodeName,0)+1,MATCH("EffectValue1",SkillData_Header,0)),)</f>
        <v>0</v>
      </c>
      <c r="AI18" s="45" t="n">
        <f aca="false">IFERROR(INDEX(SkillData,MATCH(INDEX(PalData,MATCH($B18,PalNames,0)+1,MATCH("Passive3b",PalData_Header,0)),SkillDataCodeName,0)+1,MATCH("EffectValue1",SkillData_Header,0)),)</f>
        <v>0</v>
      </c>
      <c r="AJ18" s="260" t="n">
        <f aca="false">IFERROR(INDEX(SkillData,MATCH(INDEX(PalData,MATCH($B18,PalNames,0)+1,MATCH("Passive4b",PalData_Header,0)),SkillDataCodeName,0)+1,MATCH("EffectValue1",SkillData_Header,0)),)</f>
        <v>0</v>
      </c>
      <c r="AK18" s="301" t="s">
        <v>279</v>
      </c>
    </row>
    <row r="19" customFormat="false" ht="15.75" hidden="false" customHeight="false" outlineLevel="0" collapsed="false">
      <c r="A19" s="302" t="n">
        <v>14</v>
      </c>
      <c r="B19" s="303" t="s">
        <v>148</v>
      </c>
      <c r="C19" s="48" t="n">
        <f aca="false">IF(ISBLANK(INDEX(PalData,MATCH($B19,PalNames,0)+1,MATCH("ActiveSkill",PalData_Header,0))),INDEX(PalData,MATCH($B19,PalNames,0)+1,MATCH("SkillUnlock_",PalData_Header,0)),INDEX(PalData,MATCH($B19,PalNames,0)+1,MATCH("ActiveSkill",PalData_Header,0)))</f>
        <v>0</v>
      </c>
      <c r="D19" s="48"/>
      <c r="E19" s="48" t="n">
        <f aca="false">INDEX(PalData,MATCH($B19,PalNames,0)+1,MATCH("ActiveSkillBonus0",PalData_Header,0))</f>
        <v>0</v>
      </c>
      <c r="F19" s="48" t="n">
        <f aca="false">INDEX(PalData,MATCH($B19,PalNames,0)+1,MATCH("ActiveSkillBonus1",PalData_Header,0))</f>
        <v>0</v>
      </c>
      <c r="G19" s="48" t="n">
        <f aca="false">INDEX(PalData,MATCH($B19,PalNames,0)+1,MATCH("ActiveSkillBonus2",PalData_Header,0))</f>
        <v>0</v>
      </c>
      <c r="H19" s="48" t="n">
        <f aca="false">INDEX(PalData,MATCH($B19,PalNames,0)+1,MATCH("ActiveSkillBonus3",PalData_Header,0))</f>
        <v>0</v>
      </c>
      <c r="I19" s="263" t="n">
        <f aca="false">INDEX(PalData,MATCH($B19,PalNames,0)+1,MATCH("ActiveSkillBonus4",PalData_Header,0))</f>
        <v>0</v>
      </c>
      <c r="J19" s="48" t="str">
        <f aca="false">IFERROR(__xludf.dummyfunction("IFERROR(INDEX(SkillData,MATCH(Arrayformula(ARRAY_CONSTRAIN(FILTER(INDIRECT(""PalData!""&amp;ADDRESS(MATCH(B19,PalNames,0)+1,(MATCH(""Passive0c"",PalData_Header,0)))&amp;"":""&amp;ADDRESS(MATCH(B19,PalNames,0)+1,(MATCH(""Passive0c"",PalData_Header,0))+4)),LEN(INDIRECT"&amp;"(""PalData!""&amp;ADDRESS(MATCH(B19,PalNames,0)+1,(MATCH(""Passive0c"",PalData_Header,0)))&amp;"":""&amp;ADDRESS(MATCH(B19,PalNames,0)+1,(MATCH(""Passive0c"",PalData_Header,0))+4)))&gt;0),1,1)),SkillDataCodeName,0)+1,MATCH(""EffectTypeCombined"",SkillData_Header,0)))"),"FindPalSphere. FindArrow. FindMoney")</f>
        <v>FindPalSphere. FindArrow. FindMoney</v>
      </c>
      <c r="K19" s="48"/>
      <c r="L19" s="48" t="e">
        <f aca="false" t="array" ref="L19:L19">IF(INDEX(PalData,MATCH($B19,PalNames,0)+1,MATCH("Passive0cCondition",PalData_Header,0))=IFERROR(INDEX(SkillData,MATCH(INDEX(PalData,MATCH($B19,PalNames,0)+1,MATCH("Passive0c",PalData_Header,0)),SkillDataCodeName,0)+1,MATCH("Conditions",SkillData_Header,0))),INDEX(PalData,MATCH($B19,PalNames,0)+1,MATCH("Passive0cCondition",PalData_Header,0)),INDEX(PalData,MATCH($B19,PalNames,0)+1,MATCH("Passive0cCondition",PalData_Header,0)) &amp; IF(ISBLANK(INDEX(PalData,MATCH($B19,PalNames,0)+1,MATCH("Passive0cCondition",PalData_Header,0))),," ")&amp;IFERROR(INDEX(SkillData,MATCH(INDEX(PalData,MATCH($B19,PalNames,0)+1,MATCH("Passive0c",PalData_Header,0)),SkillDataCodeName,0)+1,MATCH("Conditions",SkillData_Header,0))))</f>
        <v>#VALUE!</v>
      </c>
      <c r="M19" s="48" t="str">
        <f aca="false">IFERROR(__xludf.dummyfunction("IFERROR(INDEX(SkillData,MATCH(Arrayformula(ARRAY_CONSTRAIN(FILTER(INDIRECT(""PalData!""&amp;ADDRESS(MATCH(B19,PalNames,0)+1,(MATCH(""Passive0c"",PalData_Header,0)))&amp;"":""&amp;ADDRESS(MATCH(B19,PalNames,0)+1,(MATCH(""Passive0c"",PalData_Header,0))+4)),LEN(INDIRECT"&amp;"(""PalData!""&amp;ADDRESS(MATCH(B19,PalNames,0)+1,(MATCH(""Passive0c"",PalData_Header,0)))&amp;"":""&amp;ADDRESS(MATCH(B19,PalNames,0)+1,(MATCH(""Passive0c"",PalData_Header,0))+4)))&gt;0),1,1)),SkillDataCodeName,0)+1,MATCH(""ValueType1"",SkillData_Header,0)))"),"(min,max)")</f>
        <v>(min,max)</v>
      </c>
      <c r="N19" s="48" t="e">
        <f aca="false" t="array" ref="N19:N19">IFERROR(INDEX(SkillData,MATCH(INDEX(PalData,MATCH($B19,PalNames,0)+1,MATCH("Passive0c",PalData_Header,0)),SkillDataCodeName,0)+1,MATCH("EffectValue1",SkillData_Header,0)))</f>
        <v>#VALUE!</v>
      </c>
      <c r="O19" s="48" t="e">
        <f aca="false" t="array" ref="O19:O19">IFERROR(INDEX(SkillData,MATCH(INDEX(PalData,MATCH($B19,PalNames,0)+1,MATCH("Passive1c",PalData_Header,0)),SkillDataCodeName,0)+1,MATCH("EffectValue1",SkillData_Header,0)))</f>
        <v>#VALUE!</v>
      </c>
      <c r="P19" s="48" t="e">
        <f aca="false" t="array" ref="P19:P19">IFERROR(INDEX(SkillData,MATCH(INDEX(PalData,MATCH($B19,PalNames,0)+1,MATCH("Passive2c",PalData_Header,0)),SkillDataCodeName,0)+1,MATCH("EffectValue1",SkillData_Header,0)))</f>
        <v>#VALUE!</v>
      </c>
      <c r="Q19" s="48" t="e">
        <f aca="false" t="array" ref="Q19:Q19">IFERROR(INDEX(SkillData,MATCH(INDEX(PalData,MATCH($B19,PalNames,0)+1,MATCH("Passive3c",PalData_Header,0)),SkillDataCodeName,0)+1,MATCH("EffectValue1",SkillData_Header,0)))</f>
        <v>#VALUE!</v>
      </c>
      <c r="R19" s="263" t="e">
        <f aca="false" t="array" ref="R19:R19">IFERROR(INDEX(SkillData,MATCH(INDEX(PalData,MATCH($B19,PalNames,0)+1,MATCH("Passive4c",PalData_Header,0)),SkillDataCodeName,0)+1,MATCH("EffectValue1",SkillData_Header,0)))</f>
        <v>#VALUE!</v>
      </c>
      <c r="S19" s="48" t="str">
        <f aca="false">IFERROR(__xludf.dummyfunction("IFERROR(INDEX(SkillData,MATCH(Arrayformula(ARRAY_CONSTRAIN(FILTER(INDIRECT(""PalData!""&amp;ADDRESS(MATCH(B19,PalNames,0)+1,(MATCH(""Passive0a"",PalData_Header,0)))&amp;"":""&amp;ADDRESS(MATCH(B19,PalNames,0)+1,(MATCH(""Passive0a"",PalData_Header,0))+4)),LEN(INDIRECT"&amp;"(""PalData!""&amp;ADDRESS(MATCH(B19,PalNames,0)+1,(MATCH(""Passive0a"",PalData_Header,0)))&amp;"":""&amp;ADDRESS(MATCH(B19,PalNames,0)+1,(MATCH(""Passive0a"",PalData_Header,0))+4)))&gt;0),1,1)),SkillDataCodeName,0)+1,MATCH(""EffectTypeCombined"",SkillData_Header,0)))"),"")</f>
        <v/>
      </c>
      <c r="T19" s="48" t="str">
        <f aca="false">IFERROR(__xludf.dummyfunction("IFERROR(INDEX(SkillData,MATCH(Arrayformula(ARRAY_CONSTRAIN(FILTER(INDIRECT(""PalData!""&amp;ADDRESS(MATCH(B19,PalNames,0)+1,(MATCH(""Passive0a"",PalData_Header,0)))&amp;"":""&amp;ADDRESS(MATCH(B19,PalNames,0)+1,(MATCH(""Passive0a"",PalData_Header,0))+4)),LEN(INDIRECT"&amp;"(""PalData!""&amp;ADDRESS(MATCH(B19,PalNames,0)+1,(MATCH(""Passive0a"",PalData_Header,0)))&amp;"":""&amp;ADDRESS(MATCH(B19,PalNames,0)+1,(MATCH(""Passive0a"",PalData_Header,0))+4)))&gt;0),1,1)),SkillDataCodeName,0)+1,MATCH(""TargetType1"",SkillData_Header,0)))"),"")</f>
        <v/>
      </c>
      <c r="U19" s="48" t="e">
        <f aca="false" t="array" ref="U19:U19">IF(INDEX(PalData,MATCH($B19,PalNames,0)+1,MATCH("Passive0aCondition",PalData_Header,0))=IFERROR(INDEX(SkillData,MATCH(INDEX(PalData,MATCH($B19,PalNames,0)+1,MATCH("Passive0a",PalData_Header,0)),SkillDataCodeName,0)+1,MATCH("Conditions",SkillData_Header,0))),INDEX(PalData,MATCH($B19,PalNames,0)+1,MATCH("Passive0aCondition",PalData_Header,0)),INDEX(PalData,MATCH($B19,PalNames,0)+1,MATCH("Passive0aCondition",PalData_Header,0)) &amp; IF(ISBLANK(INDEX(PalData,MATCH($B19,PalNames,0)+1,MATCH("Passive0aCondition",PalData_Header,0))),," ")&amp;IFERROR(INDEX(SkillData,MATCH(INDEX(PalData,MATCH($B19,PalNames,0)+1,MATCH("Passive0a",PalData_Header,0)),SkillDataCodeName,0)+1,MATCH("Conditions",SkillData_Header,0))))</f>
        <v>#N/A</v>
      </c>
      <c r="V19" s="48" t="str">
        <f aca="false">IFERROR(__xludf.dummyfunction("IFERROR(INDEX(SkillData,MATCH(Arrayformula(ARRAY_CONSTRAIN(FILTER(INDIRECT(""PalData!""&amp;ADDRESS(MATCH(B19,PalNames,0)+1,(MATCH(""Passive0a"",PalData_Header,0)))&amp;"":""&amp;ADDRESS(MATCH(B19,PalNames,0)+1,(MATCH(""Passive0a"",PalData_Header,0))+4)),LEN(INDIRECT"&amp;"(""PalData!""&amp;ADDRESS(MATCH(B19,PalNames,0)+1,(MATCH(""Passive0a"",PalData_Header,0)))&amp;"":""&amp;ADDRESS(MATCH(B19,PalNames,0)+1,(MATCH(""Passive0a"",PalData_Header,0))+4)))&gt;0),1,1)),SkillDataCodeName,0)+1,MATCH(""ValueType1"",SkillData_Header,0)))"),"")</f>
        <v/>
      </c>
      <c r="W19" s="48" t="n">
        <f aca="false">IFERROR(INDEX(SkillData,MATCH(INDEX(PalData,MATCH($B19,PalNames,0)+1,MATCH("Passive0a",PalData_Header,0)),SkillDataCodeName,0)+1,MATCH("EffectValue1",SkillData_Header,0)),)</f>
        <v>0</v>
      </c>
      <c r="X19" s="48" t="n">
        <f aca="false">IFERROR(INDEX(SkillData,MATCH(INDEX(PalData,MATCH($B19,PalNames,0)+1,MATCH("Passive1a",PalData_Header,0)),SkillDataCodeName,0)+1,MATCH("EffectValue1",SkillData_Header,0)),)</f>
        <v>0</v>
      </c>
      <c r="Y19" s="48" t="n">
        <f aca="false">IFERROR(INDEX(SkillData,MATCH(INDEX(PalData,MATCH($B19,PalNames,0)+1,MATCH("Passive2a",PalData_Header,0)),SkillDataCodeName,0)+1,MATCH("EffectValue1",SkillData_Header,0)),)</f>
        <v>0</v>
      </c>
      <c r="Z19" s="48" t="n">
        <f aca="false">IFERROR(INDEX(SkillData,MATCH(INDEX(PalData,MATCH($B19,PalNames,0)+1,MATCH("Passive3a",PalData_Header,0)),SkillDataCodeName,0)+1,MATCH("EffectValue1",SkillData_Header,0)),)</f>
        <v>0</v>
      </c>
      <c r="AA19" s="263" t="n">
        <f aca="false">IFERROR(INDEX(SkillData,MATCH(INDEX(PalData,MATCH($B19,PalNames,0)+1,MATCH("Passive4a",PalData_Header,0)),SkillDataCodeName,0)+1,MATCH("EffectValue1",SkillData_Header,0)),)</f>
        <v>0</v>
      </c>
      <c r="AB19" s="48" t="str">
        <f aca="false">IFERROR(__xludf.dummyfunction("IFERROR(INDEX(SkillData,MATCH(Arrayformula(ARRAY_CONSTRAIN(FILTER(INDIRECT(""PalData!""&amp;ADDRESS(MATCH(B19,PalNames,0)+1,(MATCH(""Passive0b"",PalData_Header,0)))&amp;"":""&amp;ADDRESS(MATCH(B19,PalNames,0)+1,(MATCH(""Passive0b"",PalData_Header,0))+4)),LEN(INDIRECT"&amp;"(""PalData!""&amp;ADDRESS(MATCH(B19,PalNames,0)+1,(MATCH(""Passive0b"",PalData_Header,0)))&amp;"":""&amp;ADDRESS(MATCH(B19,PalNames,0)+1,(MATCH(""Passive0b"",PalData_Header,0))+4)))&gt;0),1,1)),SkillDataCodeName,0)+1,MATCH(""EffectTypeCombined"",SkillData_Header,0)))"),"")</f>
        <v/>
      </c>
      <c r="AC19" s="48" t="str">
        <f aca="false">IFERROR(__xludf.dummyfunction("IFERROR(INDEX(SkillData,MATCH(Arrayformula(ARRAY_CONSTRAIN(FILTER(INDIRECT(""PalData!""&amp;ADDRESS(MATCH(B19,PalNames,0)+1,(MATCH(""Passive0b"",PalData_Header,0)))&amp;"":""&amp;ADDRESS(MATCH(B19,PalNames,0)+1,(MATCH(""Passive0b"",PalData_Header,0))+4)),LEN(INDIRECT"&amp;"(""PalData!""&amp;ADDRESS(MATCH(B19,PalNames,0)+1,(MATCH(""Passive0b"",PalData_Header,0)))&amp;"":""&amp;ADDRESS(MATCH(B19,PalNames,0)+1,(MATCH(""Passive0b"",PalData_Header,0))+4)))&gt;0),1,1)),SkillDataCodeName,0)+1,MATCH(""TargetType1"",SkillData_Header,0)))"),"")</f>
        <v/>
      </c>
      <c r="AD19" s="48" t="e">
        <f aca="false" t="array" ref="AD19:AD19">IF(INDEX(PalData,MATCH($B19,PalNames,0)+1,MATCH("Passive0bCondition",PalData_Header,0))=IFERROR(INDEX(SkillData,MATCH(INDEX(PalData,MATCH($B19,PalNames,0)+1,MATCH("Passive0b",PalData_Header,0)),SkillDataCodeName,0)+1,MATCH("Conditions",SkillData_Header,0))),INDEX(PalData,MATCH($B19,PalNames,0)+1,MATCH("Passive0bCondition",PalData_Header,0)),INDEX(PalData,MATCH($B19,PalNames,0)+1,MATCH("Passive0bCondition",PalData_Header,0)) &amp; IF(ISBLANK(INDEX(PalData,MATCH($B19,PalNames,0)+1,MATCH("Passive0bCondition",PalData_Header,0))),," ")&amp;IFERROR(INDEX(SkillData,MATCH(INDEX(PalData,MATCH($B19,PalNames,0)+1,MATCH("Passive0b",PalData_Header,0)),SkillDataCodeName,0)+1,MATCH("Conditions",SkillData_Header,0))))</f>
        <v>#N/A</v>
      </c>
      <c r="AE19" s="48" t="str">
        <f aca="false">IFERROR(__xludf.dummyfunction("IFERROR(INDEX(SkillData,MATCH(Arrayformula(ARRAY_CONSTRAIN(FILTER(INDIRECT(""PalData!""&amp;ADDRESS(MATCH(B19,PalNames,0)+1,(MATCH(""Passive0b"",PalData_Header,0)))&amp;"":""&amp;ADDRESS(MATCH(B19,PalNames,0)+1,(MATCH(""Passive0b"",PalData_Header,0))+4)),LEN(INDIRECT"&amp;"(""PalData!""&amp;ADDRESS(MATCH(B19,PalNames,0)+1,(MATCH(""Passive0b"",PalData_Header,0)))&amp;"":""&amp;ADDRESS(MATCH(B19,PalNames,0)+1,(MATCH(""Passive0b"",PalData_Header,0))+4)))&gt;0),1,1)),SkillDataCodeName,0)+1,MATCH(""ValueType1"",SkillData_Header,0)))"),"")</f>
        <v/>
      </c>
      <c r="AF19" s="48" t="n">
        <f aca="false">IFERROR(INDEX(SkillData,MATCH(INDEX(PalData,MATCH($B19,PalNames,0)+1,MATCH("Passive0b",PalData_Header,0)),SkillDataCodeName,0)+1,MATCH("EffectValue1",SkillData_Header,0)),)</f>
        <v>0</v>
      </c>
      <c r="AG19" s="48" t="n">
        <f aca="false">IFERROR(INDEX(SkillData,MATCH(INDEX(PalData,MATCH($B19,PalNames,0)+1,MATCH("Passive1b",PalData_Header,0)),SkillDataCodeName,0)+1,MATCH("EffectValue1",SkillData_Header,0)),)</f>
        <v>0</v>
      </c>
      <c r="AH19" s="48" t="n">
        <f aca="false">IFERROR(INDEX(SkillData,MATCH(INDEX(PalData,MATCH($B19,PalNames,0)+1,MATCH("Passive2b",PalData_Header,0)),SkillDataCodeName,0)+1,MATCH("EffectValue1",SkillData_Header,0)),)</f>
        <v>0</v>
      </c>
      <c r="AI19" s="48" t="n">
        <f aca="false">IFERROR(INDEX(SkillData,MATCH(INDEX(PalData,MATCH($B19,PalNames,0)+1,MATCH("Passive3b",PalData_Header,0)),SkillDataCodeName,0)+1,MATCH("EffectValue1",SkillData_Header,0)),)</f>
        <v>0</v>
      </c>
      <c r="AJ19" s="263" t="n">
        <f aca="false">IFERROR(INDEX(SkillData,MATCH(INDEX(PalData,MATCH($B19,PalNames,0)+1,MATCH("Passive4b",PalData_Header,0)),SkillDataCodeName,0)+1,MATCH("EffectValue1",SkillData_Header,0)),)</f>
        <v>0</v>
      </c>
      <c r="AK19" s="305" t="s">
        <v>280</v>
      </c>
    </row>
    <row r="20" customFormat="false" ht="15.75" hidden="false" customHeight="false" outlineLevel="0" collapsed="false">
      <c r="A20" s="299" t="n">
        <v>15</v>
      </c>
      <c r="B20" s="300" t="s">
        <v>74</v>
      </c>
      <c r="C20" s="45" t="n">
        <f aca="false">IF(ISBLANK(INDEX(PalData,MATCH($B20,PalNames,0)+1,MATCH("ActiveSkill",PalData_Header,0))),INDEX(PalData,MATCH($B20,PalNames,0)+1,MATCH("SkillUnlock_",PalData_Header,0)),INDEX(PalData,MATCH($B20,PalNames,0)+1,MATCH("ActiveSkill",PalData_Header,0)))</f>
        <v>0</v>
      </c>
      <c r="D20" s="45"/>
      <c r="E20" s="45" t="n">
        <f aca="false">INDEX(PalData,MATCH($B20,PalNames,0)+1,MATCH("ActiveSkillBonus0",PalData_Header,0))</f>
        <v>0</v>
      </c>
      <c r="F20" s="45" t="n">
        <f aca="false">INDEX(PalData,MATCH($B20,PalNames,0)+1,MATCH("ActiveSkillBonus1",PalData_Header,0))</f>
        <v>0</v>
      </c>
      <c r="G20" s="45" t="n">
        <f aca="false">INDEX(PalData,MATCH($B20,PalNames,0)+1,MATCH("ActiveSkillBonus2",PalData_Header,0))</f>
        <v>0</v>
      </c>
      <c r="H20" s="45" t="n">
        <f aca="false">INDEX(PalData,MATCH($B20,PalNames,0)+1,MATCH("ActiveSkillBonus3",PalData_Header,0))</f>
        <v>0</v>
      </c>
      <c r="I20" s="260" t="n">
        <f aca="false">INDEX(PalData,MATCH($B20,PalNames,0)+1,MATCH("ActiveSkillBonus4",PalData_Header,0))</f>
        <v>0</v>
      </c>
      <c r="J20" s="45" t="str">
        <f aca="false">IFERROR(__xludf.dummyfunction("IFERROR(INDEX(SkillData,MATCH(Arrayformula(ARRAY_CONSTRAIN(FILTER(INDIRECT(""PalData!""&amp;ADDRESS(MATCH(B20,PalNames,0)+1,(MATCH(""Passive0c"",PalData_Header,0)))&amp;"":""&amp;ADDRESS(MATCH(B20,PalNames,0)+1,(MATCH(""Passive0c"",PalData_Header,0))+4)),LEN(INDIRECT"&amp;"(""PalData!""&amp;ADDRESS(MATCH(B20,PalNames,0)+1,(MATCH(""Passive0c"",PalData_Header,0)))&amp;"":""&amp;ADDRESS(MATCH(B20,PalNames,0)+1,(MATCH(""Passive0c"",PalData_Header,0))+4)))&gt;0),1,1)),SkillDataCodeName,0)+1,MATCH(""EffectTypeCombined"",SkillData_Header,0)))"),"ShotAttack")</f>
        <v>ShotAttack</v>
      </c>
      <c r="K20" s="45" t="str">
        <f aca="false">IFERROR(__xludf.dummyfunction("IFERROR(INDEX(SkillData,MATCH(Arrayformula(ARRAY_CONSTRAIN(FILTER(INDIRECT(""PalData!""&amp;ADDRESS(MATCH(B20,PalNames,0)+1,(MATCH(""Passive0c"",PalData_Header,0)))&amp;"":""&amp;ADDRESS(MATCH(B20,PalNames,0)+1,(MATCH(""Passive0c"",PalData_Header,0))+4)),LEN(INDIRECT"&amp;"(""PalData!""&amp;ADDRESS(MATCH(B20,PalNames,0)+1,(MATCH(""Passive0c"",PalData_Header,0)))&amp;"":""&amp;ADDRESS(MATCH(B20,PalNames,0)+1,(MATCH(""Passive0c"",PalData_Header,0))+4)))&gt;0),1,1)),SkillDataCodeName,0)+1,MATCH(""TargetType1"",SkillData_Header,0)))"),"Self")</f>
        <v>Self</v>
      </c>
      <c r="L20" s="45" t="e">
        <f aca="false" t="array" ref="L20:L20">IF(INDEX(PalData,MATCH($B20,PalNames,0)+1,MATCH("Passive0cCondition",PalData_Header,0))=IFERROR(INDEX(SkillData,MATCH(INDEX(PalData,MATCH($B20,PalNames,0)+1,MATCH("Passive0c",PalData_Header,0)),SkillDataCodeName,0)+1,MATCH("Conditions",SkillData_Header,0))),INDEX(PalData,MATCH($B20,PalNames,0)+1,MATCH("Passive0cCondition",PalData_Header,0)),INDEX(PalData,MATCH($B20,PalNames,0)+1,MATCH("Passive0cCondition",PalData_Header,0)) &amp; IF(ISBLANK(INDEX(PalData,MATCH($B20,PalNames,0)+1,MATCH("Passive0cCondition",PalData_Header,0))),," ")&amp;IFERROR(INDEX(SkillData,MATCH(INDEX(PalData,MATCH($B20,PalNames,0)+1,MATCH("Passive0c",PalData_Header,0)),SkillDataCodeName,0)+1,MATCH("Conditions",SkillData_Header,0))))</f>
        <v>#VALUE!</v>
      </c>
      <c r="M20" s="45" t="str">
        <f aca="false">IFERROR(__xludf.dummyfunction("IFERROR(INDEX(SkillData,MATCH(Arrayformula(ARRAY_CONSTRAIN(FILTER(INDIRECT(""PalData!""&amp;ADDRESS(MATCH(B20,PalNames,0)+1,(MATCH(""Passive0c"",PalData_Header,0)))&amp;"":""&amp;ADDRESS(MATCH(B20,PalNames,0)+1,(MATCH(""Passive0c"",PalData_Header,0))+4)),LEN(INDIRECT"&amp;"(""PalData!""&amp;ADDRESS(MATCH(B20,PalNames,0)+1,(MATCH(""Passive0c"",PalData_Header,0)))&amp;"":""&amp;ADDRESS(MATCH(B20,PalNames,0)+1,(MATCH(""Passive0c"",PalData_Header,0))+4)))&gt;0),1,1)),SkillDataCodeName,0)+1,MATCH(""ValueType1"",SkillData_Header,0)))"),"%")</f>
        <v>%</v>
      </c>
      <c r="N20" s="62" t="e">
        <f aca="false" t="array" ref="N20:N20">IFERROR(INDEX(SkillData,MATCH(INDEX(PalData,MATCH($B20,PalNames,0)+1,MATCH("Passive0c",PalData_Header,0)),SkillDataCodeName,0)+1,MATCH("EffectValue1",SkillData_Header,0)))</f>
        <v>#VALUE!</v>
      </c>
      <c r="O20" s="62" t="e">
        <f aca="false" t="array" ref="O20:O20">IFERROR(INDEX(SkillData,MATCH(INDEX(PalData,MATCH($B20,PalNames,0)+1,MATCH("Passive1c",PalData_Header,0)),SkillDataCodeName,0)+1,MATCH("EffectValue1",SkillData_Header,0)))</f>
        <v>#VALUE!</v>
      </c>
      <c r="P20" s="62" t="e">
        <f aca="false" t="array" ref="P20:P20">IFERROR(INDEX(SkillData,MATCH(INDEX(PalData,MATCH($B20,PalNames,0)+1,MATCH("Passive2c",PalData_Header,0)),SkillDataCodeName,0)+1,MATCH("EffectValue1",SkillData_Header,0)))</f>
        <v>#VALUE!</v>
      </c>
      <c r="Q20" s="62" t="e">
        <f aca="false" t="array" ref="Q20:Q20">IFERROR(INDEX(SkillData,MATCH(INDEX(PalData,MATCH($B20,PalNames,0)+1,MATCH("Passive3c",PalData_Header,0)),SkillDataCodeName,0)+1,MATCH("EffectValue1",SkillData_Header,0)))</f>
        <v>#VALUE!</v>
      </c>
      <c r="R20" s="306" t="e">
        <f aca="false" t="array" ref="R20:R20">IFERROR(INDEX(SkillData,MATCH(INDEX(PalData,MATCH($B20,PalNames,0)+1,MATCH("Passive4c",PalData_Header,0)),SkillDataCodeName,0)+1,MATCH("EffectValue1",SkillData_Header,0)))</f>
        <v>#VALUE!</v>
      </c>
      <c r="S20" s="45" t="str">
        <f aca="false">IFERROR(__xludf.dummyfunction("IFERROR(INDEX(SkillData,MATCH(Arrayformula(ARRAY_CONSTRAIN(FILTER(INDIRECT(""PalData!""&amp;ADDRESS(MATCH(B20,PalNames,0)+1,(MATCH(""Passive0a"",PalData_Header,0)))&amp;"":""&amp;ADDRESS(MATCH(B20,PalNames,0)+1,(MATCH(""Passive0a"",PalData_Header,0))+4)),LEN(INDIRECT"&amp;"(""PalData!""&amp;ADDRESS(MATCH(B20,PalNames,0)+1,(MATCH(""Passive0a"",PalData_Header,0)))&amp;"":""&amp;ADDRESS(MATCH(B20,PalNames,0)+1,(MATCH(""Passive0a"",PalData_Header,0))+4)))&gt;0),1,1)),SkillDataCodeName,0)+1,MATCH(""EffectTypeCombined"",SkillData_Header,0)))"),"")</f>
        <v/>
      </c>
      <c r="T20" s="45" t="str">
        <f aca="false">IFERROR(__xludf.dummyfunction("IFERROR(INDEX(SkillData,MATCH(Arrayformula(ARRAY_CONSTRAIN(FILTER(INDIRECT(""PalData!""&amp;ADDRESS(MATCH(B20,PalNames,0)+1,(MATCH(""Passive0a"",PalData_Header,0)))&amp;"":""&amp;ADDRESS(MATCH(B20,PalNames,0)+1,(MATCH(""Passive0a"",PalData_Header,0))+4)),LEN(INDIRECT"&amp;"(""PalData!""&amp;ADDRESS(MATCH(B20,PalNames,0)+1,(MATCH(""Passive0a"",PalData_Header,0)))&amp;"":""&amp;ADDRESS(MATCH(B20,PalNames,0)+1,(MATCH(""Passive0a"",PalData_Header,0))+4)))&gt;0),1,1)),SkillDataCodeName,0)+1,MATCH(""TargetType1"",SkillData_Header,0)))"),"")</f>
        <v/>
      </c>
      <c r="U20" s="45" t="e">
        <f aca="false" t="array" ref="U20:U20">IF(INDEX(PalData,MATCH($B20,PalNames,0)+1,MATCH("Passive0aCondition",PalData_Header,0))=IFERROR(INDEX(SkillData,MATCH(INDEX(PalData,MATCH($B20,PalNames,0)+1,MATCH("Passive0a",PalData_Header,0)),SkillDataCodeName,0)+1,MATCH("Conditions",SkillData_Header,0))),INDEX(PalData,MATCH($B20,PalNames,0)+1,MATCH("Passive0aCondition",PalData_Header,0)),INDEX(PalData,MATCH($B20,PalNames,0)+1,MATCH("Passive0aCondition",PalData_Header,0)) &amp; IF(ISBLANK(INDEX(PalData,MATCH($B20,PalNames,0)+1,MATCH("Passive0aCondition",PalData_Header,0))),," ")&amp;IFERROR(INDEX(SkillData,MATCH(INDEX(PalData,MATCH($B20,PalNames,0)+1,MATCH("Passive0a",PalData_Header,0)),SkillDataCodeName,0)+1,MATCH("Conditions",SkillData_Header,0))))</f>
        <v>#N/A</v>
      </c>
      <c r="V20" s="45" t="str">
        <f aca="false">IFERROR(__xludf.dummyfunction("IFERROR(INDEX(SkillData,MATCH(Arrayformula(ARRAY_CONSTRAIN(FILTER(INDIRECT(""PalData!""&amp;ADDRESS(MATCH(B20,PalNames,0)+1,(MATCH(""Passive0a"",PalData_Header,0)))&amp;"":""&amp;ADDRESS(MATCH(B20,PalNames,0)+1,(MATCH(""Passive0a"",PalData_Header,0))+4)),LEN(INDIRECT"&amp;"(""PalData!""&amp;ADDRESS(MATCH(B20,PalNames,0)+1,(MATCH(""Passive0a"",PalData_Header,0)))&amp;"":""&amp;ADDRESS(MATCH(B20,PalNames,0)+1,(MATCH(""Passive0a"",PalData_Header,0))+4)))&gt;0),1,1)),SkillDataCodeName,0)+1,MATCH(""ValueType1"",SkillData_Header,0)))"),"")</f>
        <v/>
      </c>
      <c r="W20" s="45" t="n">
        <f aca="false">IFERROR(INDEX(SkillData,MATCH(INDEX(PalData,MATCH($B20,PalNames,0)+1,MATCH("Passive0a",PalData_Header,0)),SkillDataCodeName,0)+1,MATCH("EffectValue1",SkillData_Header,0)),)</f>
        <v>0</v>
      </c>
      <c r="X20" s="45" t="n">
        <f aca="false">IFERROR(INDEX(SkillData,MATCH(INDEX(PalData,MATCH($B20,PalNames,0)+1,MATCH("Passive1a",PalData_Header,0)),SkillDataCodeName,0)+1,MATCH("EffectValue1",SkillData_Header,0)),)</f>
        <v>0</v>
      </c>
      <c r="Y20" s="45" t="n">
        <f aca="false">IFERROR(INDEX(SkillData,MATCH(INDEX(PalData,MATCH($B20,PalNames,0)+1,MATCH("Passive2a",PalData_Header,0)),SkillDataCodeName,0)+1,MATCH("EffectValue1",SkillData_Header,0)),)</f>
        <v>0</v>
      </c>
      <c r="Z20" s="45" t="n">
        <f aca="false">IFERROR(INDEX(SkillData,MATCH(INDEX(PalData,MATCH($B20,PalNames,0)+1,MATCH("Passive3a",PalData_Header,0)),SkillDataCodeName,0)+1,MATCH("EffectValue1",SkillData_Header,0)),)</f>
        <v>0</v>
      </c>
      <c r="AA20" s="260" t="n">
        <f aca="false">IFERROR(INDEX(SkillData,MATCH(INDEX(PalData,MATCH($B20,PalNames,0)+1,MATCH("Passive4a",PalData_Header,0)),SkillDataCodeName,0)+1,MATCH("EffectValue1",SkillData_Header,0)),)</f>
        <v>0</v>
      </c>
      <c r="AB20" s="45" t="str">
        <f aca="false">IFERROR(__xludf.dummyfunction("IFERROR(INDEX(SkillData,MATCH(Arrayformula(ARRAY_CONSTRAIN(FILTER(INDIRECT(""PalData!""&amp;ADDRESS(MATCH(B20,PalNames,0)+1,(MATCH(""Passive0b"",PalData_Header,0)))&amp;"":""&amp;ADDRESS(MATCH(B20,PalNames,0)+1,(MATCH(""Passive0b"",PalData_Header,0))+4)),LEN(INDIRECT"&amp;"(""PalData!""&amp;ADDRESS(MATCH(B20,PalNames,0)+1,(MATCH(""Passive0b"",PalData_Header,0)))&amp;"":""&amp;ADDRESS(MATCH(B20,PalNames,0)+1,(MATCH(""Passive0b"",PalData_Header,0))+4)))&gt;0),1,1)),SkillDataCodeName,0)+1,MATCH(""EffectTypeCombined"",SkillData_Header,0)))"),"")</f>
        <v/>
      </c>
      <c r="AC20" s="45" t="str">
        <f aca="false">IFERROR(__xludf.dummyfunction("IFERROR(INDEX(SkillData,MATCH(Arrayformula(ARRAY_CONSTRAIN(FILTER(INDIRECT(""PalData!""&amp;ADDRESS(MATCH(B20,PalNames,0)+1,(MATCH(""Passive0b"",PalData_Header,0)))&amp;"":""&amp;ADDRESS(MATCH(B20,PalNames,0)+1,(MATCH(""Passive0b"",PalData_Header,0))+4)),LEN(INDIRECT"&amp;"(""PalData!""&amp;ADDRESS(MATCH(B20,PalNames,0)+1,(MATCH(""Passive0b"",PalData_Header,0)))&amp;"":""&amp;ADDRESS(MATCH(B20,PalNames,0)+1,(MATCH(""Passive0b"",PalData_Header,0))+4)))&gt;0),1,1)),SkillDataCodeName,0)+1,MATCH(""TargetType1"",SkillData_Header,0)))"),"")</f>
        <v/>
      </c>
      <c r="AD20" s="45" t="e">
        <f aca="false" t="array" ref="AD20:AD20">IF(INDEX(PalData,MATCH($B20,PalNames,0)+1,MATCH("Passive0bCondition",PalData_Header,0))=IFERROR(INDEX(SkillData,MATCH(INDEX(PalData,MATCH($B20,PalNames,0)+1,MATCH("Passive0b",PalData_Header,0)),SkillDataCodeName,0)+1,MATCH("Conditions",SkillData_Header,0))),INDEX(PalData,MATCH($B20,PalNames,0)+1,MATCH("Passive0bCondition",PalData_Header,0)),INDEX(PalData,MATCH($B20,PalNames,0)+1,MATCH("Passive0bCondition",PalData_Header,0)) &amp; IF(ISBLANK(INDEX(PalData,MATCH($B20,PalNames,0)+1,MATCH("Passive0bCondition",PalData_Header,0))),," ")&amp;IFERROR(INDEX(SkillData,MATCH(INDEX(PalData,MATCH($B20,PalNames,0)+1,MATCH("Passive0b",PalData_Header,0)),SkillDataCodeName,0)+1,MATCH("Conditions",SkillData_Header,0))))</f>
        <v>#N/A</v>
      </c>
      <c r="AE20" s="45" t="str">
        <f aca="false">IFERROR(__xludf.dummyfunction("IFERROR(INDEX(SkillData,MATCH(Arrayformula(ARRAY_CONSTRAIN(FILTER(INDIRECT(""PalData!""&amp;ADDRESS(MATCH(B20,PalNames,0)+1,(MATCH(""Passive0b"",PalData_Header,0)))&amp;"":""&amp;ADDRESS(MATCH(B20,PalNames,0)+1,(MATCH(""Passive0b"",PalData_Header,0))+4)),LEN(INDIRECT"&amp;"(""PalData!""&amp;ADDRESS(MATCH(B20,PalNames,0)+1,(MATCH(""Passive0b"",PalData_Header,0)))&amp;"":""&amp;ADDRESS(MATCH(B20,PalNames,0)+1,(MATCH(""Passive0b"",PalData_Header,0))+4)))&gt;0),1,1)),SkillDataCodeName,0)+1,MATCH(""ValueType1"",SkillData_Header,0)))"),"")</f>
        <v/>
      </c>
      <c r="AF20" s="45" t="n">
        <f aca="false">IFERROR(INDEX(SkillData,MATCH(INDEX(PalData,MATCH($B20,PalNames,0)+1,MATCH("Passive0b",PalData_Header,0)),SkillDataCodeName,0)+1,MATCH("EffectValue1",SkillData_Header,0)),)</f>
        <v>0</v>
      </c>
      <c r="AG20" s="45" t="n">
        <f aca="false">IFERROR(INDEX(SkillData,MATCH(INDEX(PalData,MATCH($B20,PalNames,0)+1,MATCH("Passive1b",PalData_Header,0)),SkillDataCodeName,0)+1,MATCH("EffectValue1",SkillData_Header,0)),)</f>
        <v>0</v>
      </c>
      <c r="AH20" s="45" t="n">
        <f aca="false">IFERROR(INDEX(SkillData,MATCH(INDEX(PalData,MATCH($B20,PalNames,0)+1,MATCH("Passive2b",PalData_Header,0)),SkillDataCodeName,0)+1,MATCH("EffectValue1",SkillData_Header,0)),)</f>
        <v>0</v>
      </c>
      <c r="AI20" s="45" t="n">
        <f aca="false">IFERROR(INDEX(SkillData,MATCH(INDEX(PalData,MATCH($B20,PalNames,0)+1,MATCH("Passive3b",PalData_Header,0)),SkillDataCodeName,0)+1,MATCH("EffectValue1",SkillData_Header,0)),)</f>
        <v>0</v>
      </c>
      <c r="AJ20" s="260" t="n">
        <f aca="false">IFERROR(INDEX(SkillData,MATCH(INDEX(PalData,MATCH($B20,PalNames,0)+1,MATCH("Passive4b",PalData_Header,0)),SkillDataCodeName,0)+1,MATCH("EffectValue1",SkillData_Header,0)),)</f>
        <v>0</v>
      </c>
      <c r="AK20" s="301" t="s">
        <v>281</v>
      </c>
    </row>
    <row r="21" customFormat="false" ht="15.75" hidden="false" customHeight="false" outlineLevel="0" collapsed="false">
      <c r="A21" s="302" t="n">
        <v>16</v>
      </c>
      <c r="B21" s="303" t="s">
        <v>140</v>
      </c>
      <c r="C21" s="48" t="str">
        <f aca="false" t="array" ref="C21:C21">IF(ISBLANK(INDEX(PalData,MATCH($B21,PalNames,0)+1,MATCH("ActiveSkill",PalData_Header,0))),INDEX(PalData,MATCH($B21,PalNames,0)+1,MATCH("SkillUnlock_",PalData_Header,0)),INDEX(PalData,MATCH($B21,PalNames,0)+1,MATCH("ActiveSkill",PalData_Header,0)))</f>
        <v>Heal</v>
      </c>
      <c r="D21" s="48" t="s">
        <v>282</v>
      </c>
      <c r="E21" s="61" t="n">
        <f aca="false" t="array" ref="E21:E21">INDEX(PalData,MATCH($B21,PalNames,0)+1,MATCH("ActiveSkillBonus0",PalData_Header,0))</f>
        <v>200</v>
      </c>
      <c r="F21" s="61" t="n">
        <f aca="false" t="array" ref="F21:F21">INDEX(PalData,MATCH($B21,PalNames,0)+1,MATCH("ActiveSkillBonus1",PalData_Header,0))</f>
        <v>220</v>
      </c>
      <c r="G21" s="61" t="n">
        <f aca="false" t="array" ref="G21:G21">INDEX(PalData,MATCH($B21,PalNames,0)+1,MATCH("ActiveSkillBonus2",PalData_Header,0))</f>
        <v>260</v>
      </c>
      <c r="H21" s="61" t="n">
        <f aca="false" t="array" ref="H21:H21">INDEX(PalData,MATCH($B21,PalNames,0)+1,MATCH("ActiveSkillBonus3",PalData_Header,0))</f>
        <v>320</v>
      </c>
      <c r="I21" s="304" t="n">
        <f aca="false" t="array" ref="I21:I21">INDEX(PalData,MATCH($B21,PalNames,0)+1,MATCH("ActiveSkillBonus4",PalData_Header,0))</f>
        <v>400</v>
      </c>
      <c r="J21" s="48" t="str">
        <f aca="false">IFERROR(__xludf.dummyfunction("IFERROR(INDEX(SkillData,MATCH(Arrayformula(ARRAY_CONSTRAIN(FILTER(INDIRECT(""PalData!""&amp;ADDRESS(MATCH(B21,PalNames,0)+1,(MATCH(""Passive0c"",PalData_Header,0)))&amp;"":""&amp;ADDRESS(MATCH(B21,PalNames,0)+1,(MATCH(""Passive0c"",PalData_Header,0))+4)),LEN(INDIRECT"&amp;"(""PalData!""&amp;ADDRESS(MATCH(B21,PalNames,0)+1,(MATCH(""Passive0c"",PalData_Header,0)))&amp;"":""&amp;ADDRESS(MATCH(B21,PalNames,0)+1,(MATCH(""Passive0c"",PalData_Header,0))+4)))&gt;0),1,1)),SkillDataCodeName,0)+1,MATCH(""EffectTypeCombined"",SkillData_Header,0)))"),"")</f>
        <v/>
      </c>
      <c r="K21" s="48" t="str">
        <f aca="false">IFERROR(__xludf.dummyfunction("IFERROR(INDEX(SkillData,MATCH(Arrayformula(ARRAY_CONSTRAIN(FILTER(INDIRECT(""PalData!""&amp;ADDRESS(MATCH(B21,PalNames,0)+1,(MATCH(""Passive0c"",PalData_Header,0)))&amp;"":""&amp;ADDRESS(MATCH(B21,PalNames,0)+1,(MATCH(""Passive0c"",PalData_Header,0))+4)),LEN(INDIRECT"&amp;"(""PalData!""&amp;ADDRESS(MATCH(B21,PalNames,0)+1,(MATCH(""Passive0c"",PalData_Header,0)))&amp;"":""&amp;ADDRESS(MATCH(B21,PalNames,0)+1,(MATCH(""Passive0c"",PalData_Header,0))+4)))&gt;0),1,1)),SkillDataCodeName,0)+1,MATCH(""TargetType1"",SkillData_Header,0)))"),"")</f>
        <v/>
      </c>
      <c r="L21" s="48" t="e">
        <f aca="false" t="array" ref="L21:L21">IF(INDEX(PalData,MATCH($B21,PalNames,0)+1,MATCH("Passive0cCondition",PalData_Header,0))=IFERROR(INDEX(SkillData,MATCH(INDEX(PalData,MATCH($B21,PalNames,0)+1,MATCH("Passive0c",PalData_Header,0)),SkillDataCodeName,0)+1,MATCH("Conditions",SkillData_Header,0))),INDEX(PalData,MATCH($B21,PalNames,0)+1,MATCH("Passive0cCondition",PalData_Header,0)),INDEX(PalData,MATCH($B21,PalNames,0)+1,MATCH("Passive0cCondition",PalData_Header,0)) &amp; IF(ISBLANK(INDEX(PalData,MATCH($B21,PalNames,0)+1,MATCH("Passive0cCondition",PalData_Header,0))),," ")&amp;IFERROR(INDEX(SkillData,MATCH(INDEX(PalData,MATCH($B21,PalNames,0)+1,MATCH("Passive0c",PalData_Header,0)),SkillDataCodeName,0)+1,MATCH("Conditions",SkillData_Header,0))))</f>
        <v>#N/A</v>
      </c>
      <c r="M21" s="48" t="str">
        <f aca="false">IFERROR(__xludf.dummyfunction("IFERROR(INDEX(SkillData,MATCH(Arrayformula(ARRAY_CONSTRAIN(FILTER(INDIRECT(""PalData!""&amp;ADDRESS(MATCH(B21,PalNames,0)+1,(MATCH(""Passive0c"",PalData_Header,0)))&amp;"":""&amp;ADDRESS(MATCH(B21,PalNames,0)+1,(MATCH(""Passive0c"",PalData_Header,0))+4)),LEN(INDIRECT"&amp;"(""PalData!""&amp;ADDRESS(MATCH(B21,PalNames,0)+1,(MATCH(""Passive0c"",PalData_Header,0)))&amp;"":""&amp;ADDRESS(MATCH(B21,PalNames,0)+1,(MATCH(""Passive0c"",PalData_Header,0))+4)))&gt;0),1,1)),SkillDataCodeName,0)+1,MATCH(""ValueType1"",SkillData_Header,0)))"),"")</f>
        <v/>
      </c>
      <c r="N21" s="48" t="e">
        <f aca="false" t="array" ref="N21:N21">IFERROR(INDEX(SkillData,MATCH(INDEX(PalData,MATCH($B21,PalNames,0)+1,MATCH("Passive0c",PalData_Header,0)),SkillDataCodeName,0)+1,MATCH("EffectValue1",SkillData_Header,0)))</f>
        <v>#VALUE!</v>
      </c>
      <c r="O21" s="48" t="e">
        <f aca="false" t="array" ref="O21:O21">IFERROR(INDEX(SkillData,MATCH(INDEX(PalData,MATCH($B21,PalNames,0)+1,MATCH("Passive1c",PalData_Header,0)),SkillDataCodeName,0)+1,MATCH("EffectValue1",SkillData_Header,0)))</f>
        <v>#VALUE!</v>
      </c>
      <c r="P21" s="48" t="e">
        <f aca="false" t="array" ref="P21:P21">IFERROR(INDEX(SkillData,MATCH(INDEX(PalData,MATCH($B21,PalNames,0)+1,MATCH("Passive2c",PalData_Header,0)),SkillDataCodeName,0)+1,MATCH("EffectValue1",SkillData_Header,0)))</f>
        <v>#VALUE!</v>
      </c>
      <c r="Q21" s="48" t="e">
        <f aca="false" t="array" ref="Q21:Q21">IFERROR(INDEX(SkillData,MATCH(INDEX(PalData,MATCH($B21,PalNames,0)+1,MATCH("Passive3c",PalData_Header,0)),SkillDataCodeName,0)+1,MATCH("EffectValue1",SkillData_Header,0)))</f>
        <v>#VALUE!</v>
      </c>
      <c r="R21" s="263" t="e">
        <f aca="false" t="array" ref="R21:R21">IFERROR(INDEX(SkillData,MATCH(INDEX(PalData,MATCH($B21,PalNames,0)+1,MATCH("Passive4c",PalData_Header,0)),SkillDataCodeName,0)+1,MATCH("EffectValue1",SkillData_Header,0)))</f>
        <v>#VALUE!</v>
      </c>
      <c r="S21" s="48" t="str">
        <f aca="false">IFERROR(__xludf.dummyfunction("IFERROR(INDEX(SkillData,MATCH(Arrayformula(ARRAY_CONSTRAIN(FILTER(INDIRECT(""PalData!""&amp;ADDRESS(MATCH(B21,PalNames,0)+1,(MATCH(""Passive0a"",PalData_Header,0)))&amp;"":""&amp;ADDRESS(MATCH(B21,PalNames,0)+1,(MATCH(""Passive0a"",PalData_Header,0))+4)),LEN(INDIRECT"&amp;"(""PalData!""&amp;ADDRESS(MATCH(B21,PalNames,0)+1,(MATCH(""Passive0a"",PalData_Header,0)))&amp;"":""&amp;ADDRESS(MATCH(B21,PalNames,0)+1,(MATCH(""Passive0a"",PalData_Header,0))+4)))&gt;0),1,1)),SkillDataCodeName,0)+1,MATCH(""EffectTypeCombined"",SkillData_Header,0)))"),"")</f>
        <v/>
      </c>
      <c r="T21" s="48" t="str">
        <f aca="false">IFERROR(__xludf.dummyfunction("IFERROR(INDEX(SkillData,MATCH(Arrayformula(ARRAY_CONSTRAIN(FILTER(INDIRECT(""PalData!""&amp;ADDRESS(MATCH(B21,PalNames,0)+1,(MATCH(""Passive0a"",PalData_Header,0)))&amp;"":""&amp;ADDRESS(MATCH(B21,PalNames,0)+1,(MATCH(""Passive0a"",PalData_Header,0))+4)),LEN(INDIRECT"&amp;"(""PalData!""&amp;ADDRESS(MATCH(B21,PalNames,0)+1,(MATCH(""Passive0a"",PalData_Header,0)))&amp;"":""&amp;ADDRESS(MATCH(B21,PalNames,0)+1,(MATCH(""Passive0a"",PalData_Header,0))+4)))&gt;0),1,1)),SkillDataCodeName,0)+1,MATCH(""TargetType1"",SkillData_Header,0)))"),"")</f>
        <v/>
      </c>
      <c r="U21" s="48" t="e">
        <f aca="false" t="array" ref="U21:U21">IF(INDEX(PalData,MATCH($B21,PalNames,0)+1,MATCH("Passive0aCondition",PalData_Header,0))=IFERROR(INDEX(SkillData,MATCH(INDEX(PalData,MATCH($B21,PalNames,0)+1,MATCH("Passive0a",PalData_Header,0)),SkillDataCodeName,0)+1,MATCH("Conditions",SkillData_Header,0))),INDEX(PalData,MATCH($B21,PalNames,0)+1,MATCH("Passive0aCondition",PalData_Header,0)),INDEX(PalData,MATCH($B21,PalNames,0)+1,MATCH("Passive0aCondition",PalData_Header,0)) &amp; IF(ISBLANK(INDEX(PalData,MATCH($B21,PalNames,0)+1,MATCH("Passive0aCondition",PalData_Header,0))),," ")&amp;IFERROR(INDEX(SkillData,MATCH(INDEX(PalData,MATCH($B21,PalNames,0)+1,MATCH("Passive0a",PalData_Header,0)),SkillDataCodeName,0)+1,MATCH("Conditions",SkillData_Header,0))))</f>
        <v>#N/A</v>
      </c>
      <c r="V21" s="48" t="str">
        <f aca="false">IFERROR(__xludf.dummyfunction("IFERROR(INDEX(SkillData,MATCH(Arrayformula(ARRAY_CONSTRAIN(FILTER(INDIRECT(""PalData!""&amp;ADDRESS(MATCH(B21,PalNames,0)+1,(MATCH(""Passive0a"",PalData_Header,0)))&amp;"":""&amp;ADDRESS(MATCH(B21,PalNames,0)+1,(MATCH(""Passive0a"",PalData_Header,0))+4)),LEN(INDIRECT"&amp;"(""PalData!""&amp;ADDRESS(MATCH(B21,PalNames,0)+1,(MATCH(""Passive0a"",PalData_Header,0)))&amp;"":""&amp;ADDRESS(MATCH(B21,PalNames,0)+1,(MATCH(""Passive0a"",PalData_Header,0))+4)))&gt;0),1,1)),SkillDataCodeName,0)+1,MATCH(""ValueType1"",SkillData_Header,0)))"),"")</f>
        <v/>
      </c>
      <c r="W21" s="48" t="n">
        <f aca="false">IFERROR(INDEX(SkillData,MATCH(INDEX(PalData,MATCH($B21,PalNames,0)+1,MATCH("Passive0a",PalData_Header,0)),SkillDataCodeName,0)+1,MATCH("EffectValue1",SkillData_Header,0)),)</f>
        <v>0</v>
      </c>
      <c r="X21" s="48" t="n">
        <f aca="false">IFERROR(INDEX(SkillData,MATCH(INDEX(PalData,MATCH($B21,PalNames,0)+1,MATCH("Passive1a",PalData_Header,0)),SkillDataCodeName,0)+1,MATCH("EffectValue1",SkillData_Header,0)),)</f>
        <v>0</v>
      </c>
      <c r="Y21" s="48" t="n">
        <f aca="false">IFERROR(INDEX(SkillData,MATCH(INDEX(PalData,MATCH($B21,PalNames,0)+1,MATCH("Passive2a",PalData_Header,0)),SkillDataCodeName,0)+1,MATCH("EffectValue1",SkillData_Header,0)),)</f>
        <v>0</v>
      </c>
      <c r="Z21" s="48" t="n">
        <f aca="false">IFERROR(INDEX(SkillData,MATCH(INDEX(PalData,MATCH($B21,PalNames,0)+1,MATCH("Passive3a",PalData_Header,0)),SkillDataCodeName,0)+1,MATCH("EffectValue1",SkillData_Header,0)),)</f>
        <v>0</v>
      </c>
      <c r="AA21" s="263" t="n">
        <f aca="false">IFERROR(INDEX(SkillData,MATCH(INDEX(PalData,MATCH($B21,PalNames,0)+1,MATCH("Passive4a",PalData_Header,0)),SkillDataCodeName,0)+1,MATCH("EffectValue1",SkillData_Header,0)),)</f>
        <v>0</v>
      </c>
      <c r="AB21" s="48" t="str">
        <f aca="false">IFERROR(__xludf.dummyfunction("IFERROR(INDEX(SkillData,MATCH(Arrayformula(ARRAY_CONSTRAIN(FILTER(INDIRECT(""PalData!""&amp;ADDRESS(MATCH(B21,PalNames,0)+1,(MATCH(""Passive0b"",PalData_Header,0)))&amp;"":""&amp;ADDRESS(MATCH(B21,PalNames,0)+1,(MATCH(""Passive0b"",PalData_Header,0))+4)),LEN(INDIRECT"&amp;"(""PalData!""&amp;ADDRESS(MATCH(B21,PalNames,0)+1,(MATCH(""Passive0b"",PalData_Header,0)))&amp;"":""&amp;ADDRESS(MATCH(B21,PalNames,0)+1,(MATCH(""Passive0b"",PalData_Header,0))+4)))&gt;0),1,1)),SkillDataCodeName,0)+1,MATCH(""EffectTypeCombined"",SkillData_Header,0)))"),"")</f>
        <v/>
      </c>
      <c r="AC21" s="48" t="str">
        <f aca="false">IFERROR(__xludf.dummyfunction("IFERROR(INDEX(SkillData,MATCH(Arrayformula(ARRAY_CONSTRAIN(FILTER(INDIRECT(""PalData!""&amp;ADDRESS(MATCH(B21,PalNames,0)+1,(MATCH(""Passive0b"",PalData_Header,0)))&amp;"":""&amp;ADDRESS(MATCH(B21,PalNames,0)+1,(MATCH(""Passive0b"",PalData_Header,0))+4)),LEN(INDIRECT"&amp;"(""PalData!""&amp;ADDRESS(MATCH(B21,PalNames,0)+1,(MATCH(""Passive0b"",PalData_Header,0)))&amp;"":""&amp;ADDRESS(MATCH(B21,PalNames,0)+1,(MATCH(""Passive0b"",PalData_Header,0))+4)))&gt;0),1,1)),SkillDataCodeName,0)+1,MATCH(""TargetType1"",SkillData_Header,0)))"),"")</f>
        <v/>
      </c>
      <c r="AD21" s="48" t="e">
        <f aca="false" t="array" ref="AD21:AD21">IF(INDEX(PalData,MATCH($B21,PalNames,0)+1,MATCH("Passive0bCondition",PalData_Header,0))=IFERROR(INDEX(SkillData,MATCH(INDEX(PalData,MATCH($B21,PalNames,0)+1,MATCH("Passive0b",PalData_Header,0)),SkillDataCodeName,0)+1,MATCH("Conditions",SkillData_Header,0))),INDEX(PalData,MATCH($B21,PalNames,0)+1,MATCH("Passive0bCondition",PalData_Header,0)),INDEX(PalData,MATCH($B21,PalNames,0)+1,MATCH("Passive0bCondition",PalData_Header,0)) &amp; IF(ISBLANK(INDEX(PalData,MATCH($B21,PalNames,0)+1,MATCH("Passive0bCondition",PalData_Header,0))),," ")&amp;IFERROR(INDEX(SkillData,MATCH(INDEX(PalData,MATCH($B21,PalNames,0)+1,MATCH("Passive0b",PalData_Header,0)),SkillDataCodeName,0)+1,MATCH("Conditions",SkillData_Header,0))))</f>
        <v>#N/A</v>
      </c>
      <c r="AE21" s="48" t="str">
        <f aca="false">IFERROR(__xludf.dummyfunction("IFERROR(INDEX(SkillData,MATCH(Arrayformula(ARRAY_CONSTRAIN(FILTER(INDIRECT(""PalData!""&amp;ADDRESS(MATCH(B21,PalNames,0)+1,(MATCH(""Passive0b"",PalData_Header,0)))&amp;"":""&amp;ADDRESS(MATCH(B21,PalNames,0)+1,(MATCH(""Passive0b"",PalData_Header,0))+4)),LEN(INDIRECT"&amp;"(""PalData!""&amp;ADDRESS(MATCH(B21,PalNames,0)+1,(MATCH(""Passive0b"",PalData_Header,0)))&amp;"":""&amp;ADDRESS(MATCH(B21,PalNames,0)+1,(MATCH(""Passive0b"",PalData_Header,0))+4)))&gt;0),1,1)),SkillDataCodeName,0)+1,MATCH(""ValueType1"",SkillData_Header,0)))"),"")</f>
        <v/>
      </c>
      <c r="AF21" s="48" t="n">
        <f aca="false">IFERROR(INDEX(SkillData,MATCH(INDEX(PalData,MATCH($B21,PalNames,0)+1,MATCH("Passive0b",PalData_Header,0)),SkillDataCodeName,0)+1,MATCH("EffectValue1",SkillData_Header,0)),)</f>
        <v>0</v>
      </c>
      <c r="AG21" s="48" t="n">
        <f aca="false">IFERROR(INDEX(SkillData,MATCH(INDEX(PalData,MATCH($B21,PalNames,0)+1,MATCH("Passive1b",PalData_Header,0)),SkillDataCodeName,0)+1,MATCH("EffectValue1",SkillData_Header,0)),)</f>
        <v>0</v>
      </c>
      <c r="AH21" s="48" t="n">
        <f aca="false">IFERROR(INDEX(SkillData,MATCH(INDEX(PalData,MATCH($B21,PalNames,0)+1,MATCH("Passive2b",PalData_Header,0)),SkillDataCodeName,0)+1,MATCH("EffectValue1",SkillData_Header,0)),)</f>
        <v>0</v>
      </c>
      <c r="AI21" s="48" t="n">
        <f aca="false">IFERROR(INDEX(SkillData,MATCH(INDEX(PalData,MATCH($B21,PalNames,0)+1,MATCH("Passive3b",PalData_Header,0)),SkillDataCodeName,0)+1,MATCH("EffectValue1",SkillData_Header,0)),)</f>
        <v>0</v>
      </c>
      <c r="AJ21" s="263" t="n">
        <f aca="false">IFERROR(INDEX(SkillData,MATCH(INDEX(PalData,MATCH($B21,PalNames,0)+1,MATCH("Passive4b",PalData_Header,0)),SkillDataCodeName,0)+1,MATCH("EffectValue1",SkillData_Header,0)),)</f>
        <v>0</v>
      </c>
      <c r="AK21" s="305" t="s">
        <v>283</v>
      </c>
    </row>
    <row r="22" customFormat="false" ht="15.75" hidden="false" customHeight="false" outlineLevel="0" collapsed="false">
      <c r="A22" s="299" t="n">
        <v>17</v>
      </c>
      <c r="B22" s="300" t="s">
        <v>42</v>
      </c>
      <c r="C22" s="45" t="str">
        <f aca="false" t="array" ref="C22:C22">IF(ISBLANK(INDEX(PalData,MATCH($B22,PalNames,0)+1,MATCH("ActiveSkill",PalData_Header,0))),INDEX(PalData,MATCH($B22,PalNames,0)+1,MATCH("SkillUnlock_",PalData_Header,0)),INDEX(PalData,MATCH($B22,PalNames,0)+1,MATCH("ActiveSkill",PalData_Header,0)))</f>
        <v>NightRunner</v>
      </c>
      <c r="D22" s="45" t="s">
        <v>284</v>
      </c>
      <c r="E22" s="45" t="str">
        <f aca="false" t="array" ref="E22:E22">INDEX(PalData,MATCH($B22,PalNames,0)+1,MATCH("ActiveSkillBonus0",PalData_Header,0))</f>
        <v>?</v>
      </c>
      <c r="F22" s="62" t="n">
        <f aca="false" t="array" ref="F22:F22">INDEX(PalData,MATCH($B22,PalNames,0)+1,MATCH("ActiveSkillBonus1",PalData_Header,0))</f>
        <v>2</v>
      </c>
      <c r="G22" s="62" t="n">
        <f aca="false" t="array" ref="G22:G22">INDEX(PalData,MATCH($B22,PalNames,0)+1,MATCH("ActiveSkillBonus2",PalData_Header,0))</f>
        <v>3</v>
      </c>
      <c r="H22" s="62" t="n">
        <f aca="false" t="array" ref="H22:H22">INDEX(PalData,MATCH($B22,PalNames,0)+1,MATCH("ActiveSkillBonus3",PalData_Header,0))</f>
        <v>5</v>
      </c>
      <c r="I22" s="306" t="n">
        <f aca="false" t="array" ref="I22:I22">INDEX(PalData,MATCH($B22,PalNames,0)+1,MATCH("ActiveSkillBonus4",PalData_Header,0))</f>
        <v>10</v>
      </c>
      <c r="J22" s="45" t="str">
        <f aca="false">IFERROR(__xludf.dummyfunction("IFERROR(INDEX(SkillData,MATCH(Arrayformula(ARRAY_CONSTRAIN(FILTER(INDIRECT(""PalData!""&amp;ADDRESS(MATCH(B22,PalNames,0)+1,(MATCH(""Passive0c"",PalData_Header,0)))&amp;"":""&amp;ADDRESS(MATCH(B22,PalNames,0)+1,(MATCH(""Passive0c"",PalData_Header,0))+4)),LEN(INDIRECT"&amp;"(""PalData!""&amp;ADDRESS(MATCH(B22,PalNames,0)+1,(MATCH(""Passive0c"",PalData_Header,0)))&amp;"":""&amp;ADDRESS(MATCH(B22,PalNames,0)+1,(MATCH(""Passive0c"",PalData_Header,0))+4)))&gt;0),1,1)),SkillDataCodeName,0)+1,MATCH(""EffectTypeCombined"",SkillData_Header,0)))"),"")</f>
        <v/>
      </c>
      <c r="K22" s="45" t="str">
        <f aca="false">IFERROR(__xludf.dummyfunction("IFERROR(INDEX(SkillData,MATCH(Arrayformula(ARRAY_CONSTRAIN(FILTER(INDIRECT(""PalData!""&amp;ADDRESS(MATCH(B22,PalNames,0)+1,(MATCH(""Passive0c"",PalData_Header,0)))&amp;"":""&amp;ADDRESS(MATCH(B22,PalNames,0)+1,(MATCH(""Passive0c"",PalData_Header,0))+4)),LEN(INDIRECT"&amp;"(""PalData!""&amp;ADDRESS(MATCH(B22,PalNames,0)+1,(MATCH(""Passive0c"",PalData_Header,0)))&amp;"":""&amp;ADDRESS(MATCH(B22,PalNames,0)+1,(MATCH(""Passive0c"",PalData_Header,0))+4)))&gt;0),1,1)),SkillDataCodeName,0)+1,MATCH(""TargetType1"",SkillData_Header,0)))"),"")</f>
        <v/>
      </c>
      <c r="L22" s="45" t="e">
        <f aca="false" t="array" ref="L22:L22">IF(INDEX(PalData,MATCH($B22,PalNames,0)+1,MATCH("Passive0cCondition",PalData_Header,0))=IFERROR(INDEX(SkillData,MATCH(INDEX(PalData,MATCH($B22,PalNames,0)+1,MATCH("Passive0c",PalData_Header,0)),SkillDataCodeName,0)+1,MATCH("Conditions",SkillData_Header,0))),INDEX(PalData,MATCH($B22,PalNames,0)+1,MATCH("Passive0cCondition",PalData_Header,0)),INDEX(PalData,MATCH($B22,PalNames,0)+1,MATCH("Passive0cCondition",PalData_Header,0)) &amp; IF(ISBLANK(INDEX(PalData,MATCH($B22,PalNames,0)+1,MATCH("Passive0cCondition",PalData_Header,0))),," ")&amp;IFERROR(INDEX(SkillData,MATCH(INDEX(PalData,MATCH($B22,PalNames,0)+1,MATCH("Passive0c",PalData_Header,0)),SkillDataCodeName,0)+1,MATCH("Conditions",SkillData_Header,0))))</f>
        <v>#N/A</v>
      </c>
      <c r="M22" s="45" t="str">
        <f aca="false">IFERROR(__xludf.dummyfunction("IFERROR(INDEX(SkillData,MATCH(Arrayformula(ARRAY_CONSTRAIN(FILTER(INDIRECT(""PalData!""&amp;ADDRESS(MATCH(B22,PalNames,0)+1,(MATCH(""Passive0c"",PalData_Header,0)))&amp;"":""&amp;ADDRESS(MATCH(B22,PalNames,0)+1,(MATCH(""Passive0c"",PalData_Header,0))+4)),LEN(INDIRECT"&amp;"(""PalData!""&amp;ADDRESS(MATCH(B22,PalNames,0)+1,(MATCH(""Passive0c"",PalData_Header,0)))&amp;"":""&amp;ADDRESS(MATCH(B22,PalNames,0)+1,(MATCH(""Passive0c"",PalData_Header,0))+4)))&gt;0),1,1)),SkillDataCodeName,0)+1,MATCH(""ValueType1"",SkillData_Header,0)))"),"")</f>
        <v/>
      </c>
      <c r="N22" s="45" t="e">
        <f aca="false" t="array" ref="N22:N22">IFERROR(INDEX(SkillData,MATCH(INDEX(PalData,MATCH($B22,PalNames,0)+1,MATCH("Passive0c",PalData_Header,0)),SkillDataCodeName,0)+1,MATCH("EffectValue1",SkillData_Header,0)))</f>
        <v>#VALUE!</v>
      </c>
      <c r="O22" s="45" t="e">
        <f aca="false" t="array" ref="O22:O22">IFERROR(INDEX(SkillData,MATCH(INDEX(PalData,MATCH($B22,PalNames,0)+1,MATCH("Passive1c",PalData_Header,0)),SkillDataCodeName,0)+1,MATCH("EffectValue1",SkillData_Header,0)))</f>
        <v>#VALUE!</v>
      </c>
      <c r="P22" s="45" t="e">
        <f aca="false" t="array" ref="P22:P22">IFERROR(INDEX(SkillData,MATCH(INDEX(PalData,MATCH($B22,PalNames,0)+1,MATCH("Passive2c",PalData_Header,0)),SkillDataCodeName,0)+1,MATCH("EffectValue1",SkillData_Header,0)))</f>
        <v>#VALUE!</v>
      </c>
      <c r="Q22" s="45" t="e">
        <f aca="false" t="array" ref="Q22:Q22">IFERROR(INDEX(SkillData,MATCH(INDEX(PalData,MATCH($B22,PalNames,0)+1,MATCH("Passive3c",PalData_Header,0)),SkillDataCodeName,0)+1,MATCH("EffectValue1",SkillData_Header,0)))</f>
        <v>#VALUE!</v>
      </c>
      <c r="R22" s="260" t="e">
        <f aca="false" t="array" ref="R22:R22">IFERROR(INDEX(SkillData,MATCH(INDEX(PalData,MATCH($B22,PalNames,0)+1,MATCH("Passive4c",PalData_Header,0)),SkillDataCodeName,0)+1,MATCH("EffectValue1",SkillData_Header,0)))</f>
        <v>#VALUE!</v>
      </c>
      <c r="S22" s="45" t="str">
        <f aca="false">IFERROR(__xludf.dummyfunction("IFERROR(INDEX(SkillData,MATCH(Arrayformula(ARRAY_CONSTRAIN(FILTER(INDIRECT(""PalData!""&amp;ADDRESS(MATCH(B22,PalNames,0)+1,(MATCH(""Passive0a"",PalData_Header,0)))&amp;"":""&amp;ADDRESS(MATCH(B22,PalNames,0)+1,(MATCH(""Passive0a"",PalData_Header,0))+4)),LEN(INDIRECT"&amp;"(""PalData!""&amp;ADDRESS(MATCH(B22,PalNames,0)+1,(MATCH(""Passive0a"",PalData_Header,0)))&amp;"":""&amp;ADDRESS(MATCH(B22,PalNames,0)+1,(MATCH(""Passive0a"",PalData_Header,0))+4)))&gt;0),1,1)),SkillDataCodeName,0)+1,MATCH(""EffectTypeCombined"",SkillData_Header,0)))"),"")</f>
        <v/>
      </c>
      <c r="T22" s="45" t="str">
        <f aca="false">IFERROR(__xludf.dummyfunction("IFERROR(INDEX(SkillData,MATCH(Arrayformula(ARRAY_CONSTRAIN(FILTER(INDIRECT(""PalData!""&amp;ADDRESS(MATCH(B22,PalNames,0)+1,(MATCH(""Passive0a"",PalData_Header,0)))&amp;"":""&amp;ADDRESS(MATCH(B22,PalNames,0)+1,(MATCH(""Passive0a"",PalData_Header,0))+4)),LEN(INDIRECT"&amp;"(""PalData!""&amp;ADDRESS(MATCH(B22,PalNames,0)+1,(MATCH(""Passive0a"",PalData_Header,0)))&amp;"":""&amp;ADDRESS(MATCH(B22,PalNames,0)+1,(MATCH(""Passive0a"",PalData_Header,0))+4)))&gt;0),1,1)),SkillDataCodeName,0)+1,MATCH(""TargetType1"",SkillData_Header,0)))"),"")</f>
        <v/>
      </c>
      <c r="U22" s="45" t="e">
        <f aca="false" t="array" ref="U22:U22">IF(INDEX(PalData,MATCH($B22,PalNames,0)+1,MATCH("Passive0aCondition",PalData_Header,0))=IFERROR(INDEX(SkillData,MATCH(INDEX(PalData,MATCH($B22,PalNames,0)+1,MATCH("Passive0a",PalData_Header,0)),SkillDataCodeName,0)+1,MATCH("Conditions",SkillData_Header,0))),INDEX(PalData,MATCH($B22,PalNames,0)+1,MATCH("Passive0aCondition",PalData_Header,0)),INDEX(PalData,MATCH($B22,PalNames,0)+1,MATCH("Passive0aCondition",PalData_Header,0)) &amp; IF(ISBLANK(INDEX(PalData,MATCH($B22,PalNames,0)+1,MATCH("Passive0aCondition",PalData_Header,0))),," ")&amp;IFERROR(INDEX(SkillData,MATCH(INDEX(PalData,MATCH($B22,PalNames,0)+1,MATCH("Passive0a",PalData_Header,0)),SkillDataCodeName,0)+1,MATCH("Conditions",SkillData_Header,0))))</f>
        <v>#N/A</v>
      </c>
      <c r="V22" s="45" t="str">
        <f aca="false">IFERROR(__xludf.dummyfunction("IFERROR(INDEX(SkillData,MATCH(Arrayformula(ARRAY_CONSTRAIN(FILTER(INDIRECT(""PalData!""&amp;ADDRESS(MATCH(B22,PalNames,0)+1,(MATCH(""Passive0a"",PalData_Header,0)))&amp;"":""&amp;ADDRESS(MATCH(B22,PalNames,0)+1,(MATCH(""Passive0a"",PalData_Header,0))+4)),LEN(INDIRECT"&amp;"(""PalData!""&amp;ADDRESS(MATCH(B22,PalNames,0)+1,(MATCH(""Passive0a"",PalData_Header,0)))&amp;"":""&amp;ADDRESS(MATCH(B22,PalNames,0)+1,(MATCH(""Passive0a"",PalData_Header,0))+4)))&gt;0),1,1)),SkillDataCodeName,0)+1,MATCH(""ValueType1"",SkillData_Header,0)))"),"")</f>
        <v/>
      </c>
      <c r="W22" s="45" t="n">
        <f aca="false">IFERROR(INDEX(SkillData,MATCH(INDEX(PalData,MATCH($B22,PalNames,0)+1,MATCH("Passive0a",PalData_Header,0)),SkillDataCodeName,0)+1,MATCH("EffectValue1",SkillData_Header,0)),)</f>
        <v>0</v>
      </c>
      <c r="X22" s="45" t="n">
        <f aca="false">IFERROR(INDEX(SkillData,MATCH(INDEX(PalData,MATCH($B22,PalNames,0)+1,MATCH("Passive1a",PalData_Header,0)),SkillDataCodeName,0)+1,MATCH("EffectValue1",SkillData_Header,0)),)</f>
        <v>0</v>
      </c>
      <c r="Y22" s="45" t="n">
        <f aca="false">IFERROR(INDEX(SkillData,MATCH(INDEX(PalData,MATCH($B22,PalNames,0)+1,MATCH("Passive2a",PalData_Header,0)),SkillDataCodeName,0)+1,MATCH("EffectValue1",SkillData_Header,0)),)</f>
        <v>0</v>
      </c>
      <c r="Z22" s="45" t="n">
        <f aca="false">IFERROR(INDEX(SkillData,MATCH(INDEX(PalData,MATCH($B22,PalNames,0)+1,MATCH("Passive3a",PalData_Header,0)),SkillDataCodeName,0)+1,MATCH("EffectValue1",SkillData_Header,0)),)</f>
        <v>0</v>
      </c>
      <c r="AA22" s="260" t="n">
        <f aca="false">IFERROR(INDEX(SkillData,MATCH(INDEX(PalData,MATCH($B22,PalNames,0)+1,MATCH("Passive4a",PalData_Header,0)),SkillDataCodeName,0)+1,MATCH("EffectValue1",SkillData_Header,0)),)</f>
        <v>0</v>
      </c>
      <c r="AB22" s="45" t="str">
        <f aca="false">IFERROR(__xludf.dummyfunction("IFERROR(INDEX(SkillData,MATCH(Arrayformula(ARRAY_CONSTRAIN(FILTER(INDIRECT(""PalData!""&amp;ADDRESS(MATCH(B22,PalNames,0)+1,(MATCH(""Passive0b"",PalData_Header,0)))&amp;"":""&amp;ADDRESS(MATCH(B22,PalNames,0)+1,(MATCH(""Passive0b"",PalData_Header,0))+4)),LEN(INDIRECT"&amp;"(""PalData!""&amp;ADDRESS(MATCH(B22,PalNames,0)+1,(MATCH(""Passive0b"",PalData_Header,0)))&amp;"":""&amp;ADDRESS(MATCH(B22,PalNames,0)+1,(MATCH(""Passive0b"",PalData_Header,0))+4)))&gt;0),1,1)),SkillDataCodeName,0)+1,MATCH(""EffectTypeCombined"",SkillData_Header,0)))"),"")</f>
        <v/>
      </c>
      <c r="AC22" s="45" t="str">
        <f aca="false">IFERROR(__xludf.dummyfunction("IFERROR(INDEX(SkillData,MATCH(Arrayformula(ARRAY_CONSTRAIN(FILTER(INDIRECT(""PalData!""&amp;ADDRESS(MATCH(B22,PalNames,0)+1,(MATCH(""Passive0b"",PalData_Header,0)))&amp;"":""&amp;ADDRESS(MATCH(B22,PalNames,0)+1,(MATCH(""Passive0b"",PalData_Header,0))+4)),LEN(INDIRECT"&amp;"(""PalData!""&amp;ADDRESS(MATCH(B22,PalNames,0)+1,(MATCH(""Passive0b"",PalData_Header,0)))&amp;"":""&amp;ADDRESS(MATCH(B22,PalNames,0)+1,(MATCH(""Passive0b"",PalData_Header,0))+4)))&gt;0),1,1)),SkillDataCodeName,0)+1,MATCH(""TargetType1"",SkillData_Header,0)))"),"")</f>
        <v/>
      </c>
      <c r="AD22" s="45" t="e">
        <f aca="false" t="array" ref="AD22:AD22">IF(INDEX(PalData,MATCH($B22,PalNames,0)+1,MATCH("Passive0bCondition",PalData_Header,0))=IFERROR(INDEX(SkillData,MATCH(INDEX(PalData,MATCH($B22,PalNames,0)+1,MATCH("Passive0b",PalData_Header,0)),SkillDataCodeName,0)+1,MATCH("Conditions",SkillData_Header,0))),INDEX(PalData,MATCH($B22,PalNames,0)+1,MATCH("Passive0bCondition",PalData_Header,0)),INDEX(PalData,MATCH($B22,PalNames,0)+1,MATCH("Passive0bCondition",PalData_Header,0)) &amp; IF(ISBLANK(INDEX(PalData,MATCH($B22,PalNames,0)+1,MATCH("Passive0bCondition",PalData_Header,0))),," ")&amp;IFERROR(INDEX(SkillData,MATCH(INDEX(PalData,MATCH($B22,PalNames,0)+1,MATCH("Passive0b",PalData_Header,0)),SkillDataCodeName,0)+1,MATCH("Conditions",SkillData_Header,0))))</f>
        <v>#N/A</v>
      </c>
      <c r="AE22" s="45" t="str">
        <f aca="false">IFERROR(__xludf.dummyfunction("IFERROR(INDEX(SkillData,MATCH(Arrayformula(ARRAY_CONSTRAIN(FILTER(INDIRECT(""PalData!""&amp;ADDRESS(MATCH(B22,PalNames,0)+1,(MATCH(""Passive0b"",PalData_Header,0)))&amp;"":""&amp;ADDRESS(MATCH(B22,PalNames,0)+1,(MATCH(""Passive0b"",PalData_Header,0))+4)),LEN(INDIRECT"&amp;"(""PalData!""&amp;ADDRESS(MATCH(B22,PalNames,0)+1,(MATCH(""Passive0b"",PalData_Header,0)))&amp;"":""&amp;ADDRESS(MATCH(B22,PalNames,0)+1,(MATCH(""Passive0b"",PalData_Header,0))+4)))&gt;0),1,1)),SkillDataCodeName,0)+1,MATCH(""ValueType1"",SkillData_Header,0)))"),"")</f>
        <v/>
      </c>
      <c r="AF22" s="45" t="n">
        <f aca="false">IFERROR(INDEX(SkillData,MATCH(INDEX(PalData,MATCH($B22,PalNames,0)+1,MATCH("Passive0b",PalData_Header,0)),SkillDataCodeName,0)+1,MATCH("EffectValue1",SkillData_Header,0)),)</f>
        <v>0</v>
      </c>
      <c r="AG22" s="45" t="n">
        <f aca="false">IFERROR(INDEX(SkillData,MATCH(INDEX(PalData,MATCH($B22,PalNames,0)+1,MATCH("Passive1b",PalData_Header,0)),SkillDataCodeName,0)+1,MATCH("EffectValue1",SkillData_Header,0)),)</f>
        <v>0</v>
      </c>
      <c r="AH22" s="45" t="n">
        <f aca="false">IFERROR(INDEX(SkillData,MATCH(INDEX(PalData,MATCH($B22,PalNames,0)+1,MATCH("Passive2b",PalData_Header,0)),SkillDataCodeName,0)+1,MATCH("EffectValue1",SkillData_Header,0)),)</f>
        <v>0</v>
      </c>
      <c r="AI22" s="45" t="n">
        <f aca="false">IFERROR(INDEX(SkillData,MATCH(INDEX(PalData,MATCH($B22,PalNames,0)+1,MATCH("Passive3b",PalData_Header,0)),SkillDataCodeName,0)+1,MATCH("EffectValue1",SkillData_Header,0)),)</f>
        <v>0</v>
      </c>
      <c r="AJ22" s="260" t="n">
        <f aca="false">IFERROR(INDEX(SkillData,MATCH(INDEX(PalData,MATCH($B22,PalNames,0)+1,MATCH("Passive4b",PalData_Header,0)),SkillDataCodeName,0)+1,MATCH("EffectValue1",SkillData_Header,0)),)</f>
        <v>0</v>
      </c>
      <c r="AK22" s="301" t="s">
        <v>285</v>
      </c>
    </row>
    <row r="23" customFormat="false" ht="15.75" hidden="false" customHeight="false" outlineLevel="0" collapsed="false">
      <c r="A23" s="302" t="n">
        <v>18</v>
      </c>
      <c r="B23" s="303" t="s">
        <v>38</v>
      </c>
      <c r="C23" s="48" t="n">
        <f aca="false">IF(ISBLANK(INDEX(PalData,MATCH($B23,PalNames,0)+1,MATCH("ActiveSkill",PalData_Header,0))),INDEX(PalData,MATCH($B23,PalNames,0)+1,MATCH("SkillUnlock_",PalData_Header,0)),INDEX(PalData,MATCH($B23,PalNames,0)+1,MATCH("ActiveSkill",PalData_Header,0)))</f>
        <v>0</v>
      </c>
      <c r="D23" s="48"/>
      <c r="E23" s="48" t="n">
        <f aca="false">INDEX(PalData,MATCH($B23,PalNames,0)+1,MATCH("ActiveSkillBonus0",PalData_Header,0))</f>
        <v>0</v>
      </c>
      <c r="F23" s="48" t="n">
        <f aca="false">INDEX(PalData,MATCH($B23,PalNames,0)+1,MATCH("ActiveSkillBonus1",PalData_Header,0))</f>
        <v>0</v>
      </c>
      <c r="G23" s="48" t="n">
        <f aca="false">INDEX(PalData,MATCH($B23,PalNames,0)+1,MATCH("ActiveSkillBonus2",PalData_Header,0))</f>
        <v>0</v>
      </c>
      <c r="H23" s="48" t="n">
        <f aca="false">INDEX(PalData,MATCH($B23,PalNames,0)+1,MATCH("ActiveSkillBonus3",PalData_Header,0))</f>
        <v>0</v>
      </c>
      <c r="I23" s="263" t="n">
        <f aca="false">INDEX(PalData,MATCH($B23,PalNames,0)+1,MATCH("ActiveSkillBonus4",PalData_Header,0))</f>
        <v>0</v>
      </c>
      <c r="J23" s="48" t="str">
        <f aca="false">IFERROR(__xludf.dummyfunction("IFERROR(INDEX(SkillData,MATCH(Arrayformula(ARRAY_CONSTRAIN(FILTER(INDIRECT(""PalData!""&amp;ADDRESS(MATCH(B23,PalNames,0)+1,(MATCH(""Passive0c"",PalData_Header,0)))&amp;"":""&amp;ADDRESS(MATCH(B23,PalNames,0)+1,(MATCH(""Passive0c"",PalData_Header,0))+4)),LEN(INDIRECT"&amp;"(""PalData!""&amp;ADDRESS(MATCH(B23,PalNames,0)+1,(MATCH(""Passive0c"",PalData_Header,0)))&amp;"":""&amp;ADDRESS(MATCH(B23,PalNames,0)+1,(MATCH(""Passive0c"",PalData_Header,0))+4)))&gt;0),1,1)),SkillDataCodeName,0)+1,MATCH(""EffectTypeCombined"",SkillData_Header,0)))"),"ShotAttack")</f>
        <v>ShotAttack</v>
      </c>
      <c r="K23" s="48" t="str">
        <f aca="false">IFERROR(__xludf.dummyfunction("IFERROR(INDEX(SkillData,MATCH(Arrayformula(ARRAY_CONSTRAIN(FILTER(INDIRECT(""PalData!""&amp;ADDRESS(MATCH(B23,PalNames,0)+1,(MATCH(""Passive0c"",PalData_Header,0)))&amp;"":""&amp;ADDRESS(MATCH(B23,PalNames,0)+1,(MATCH(""Passive0c"",PalData_Header,0))+4)),LEN(INDIRECT"&amp;"(""PalData!""&amp;ADDRESS(MATCH(B23,PalNames,0)+1,(MATCH(""Passive0c"",PalData_Header,0)))&amp;"":""&amp;ADDRESS(MATCH(B23,PalNames,0)+1,(MATCH(""Passive0c"",PalData_Header,0))+4)))&gt;0),1,1)),SkillDataCodeName,0)+1,MATCH(""TargetType1"",SkillData_Header,0)))"),"Self")</f>
        <v>Self</v>
      </c>
      <c r="L23" s="48" t="e">
        <f aca="false" t="array" ref="L23:L23">IF(INDEX(PalData,MATCH($B23,PalNames,0)+1,MATCH("Passive0cCondition",PalData_Header,0))=IFERROR(INDEX(SkillData,MATCH(INDEX(PalData,MATCH($B23,PalNames,0)+1,MATCH("Passive0c",PalData_Header,0)),SkillDataCodeName,0)+1,MATCH("Conditions",SkillData_Header,0))),INDEX(PalData,MATCH($B23,PalNames,0)+1,MATCH("Passive0cCondition",PalData_Header,0)),INDEX(PalData,MATCH($B23,PalNames,0)+1,MATCH("Passive0cCondition",PalData_Header,0)) &amp; IF(ISBLANK(INDEX(PalData,MATCH($B23,PalNames,0)+1,MATCH("Passive0cCondition",PalData_Header,0))),," ")&amp;IFERROR(INDEX(SkillData,MATCH(INDEX(PalData,MATCH($B23,PalNames,0)+1,MATCH("Passive0c",PalData_Header,0)),SkillDataCodeName,0)+1,MATCH("Conditions",SkillData_Header,0))))</f>
        <v>#VALUE!</v>
      </c>
      <c r="M23" s="48" t="str">
        <f aca="false">IFERROR(__xludf.dummyfunction("IFERROR(INDEX(SkillData,MATCH(Arrayformula(ARRAY_CONSTRAIN(FILTER(INDIRECT(""PalData!""&amp;ADDRESS(MATCH(B23,PalNames,0)+1,(MATCH(""Passive0c"",PalData_Header,0)))&amp;"":""&amp;ADDRESS(MATCH(B23,PalNames,0)+1,(MATCH(""Passive0c"",PalData_Header,0))+4)),LEN(INDIRECT"&amp;"(""PalData!""&amp;ADDRESS(MATCH(B23,PalNames,0)+1,(MATCH(""Passive0c"",PalData_Header,0)))&amp;"":""&amp;ADDRESS(MATCH(B23,PalNames,0)+1,(MATCH(""Passive0c"",PalData_Header,0))+4)))&gt;0),1,1)),SkillDataCodeName,0)+1,MATCH(""ValueType1"",SkillData_Header,0)))"),"%")</f>
        <v>%</v>
      </c>
      <c r="N23" s="61" t="e">
        <f aca="false" t="array" ref="N23:N23">IFERROR(INDEX(SkillData,MATCH(INDEX(PalData,MATCH($B23,PalNames,0)+1,MATCH("Passive0c",PalData_Header,0)),SkillDataCodeName,0)+1,MATCH("EffectValue1",SkillData_Header,0)))</f>
        <v>#VALUE!</v>
      </c>
      <c r="O23" s="61" t="e">
        <f aca="false" t="array" ref="O23:O23">IFERROR(INDEX(SkillData,MATCH(INDEX(PalData,MATCH($B23,PalNames,0)+1,MATCH("Passive1c",PalData_Header,0)),SkillDataCodeName,0)+1,MATCH("EffectValue1",SkillData_Header,0)))</f>
        <v>#VALUE!</v>
      </c>
      <c r="P23" s="61" t="e">
        <f aca="false" t="array" ref="P23:P23">IFERROR(INDEX(SkillData,MATCH(INDEX(PalData,MATCH($B23,PalNames,0)+1,MATCH("Passive2c",PalData_Header,0)),SkillDataCodeName,0)+1,MATCH("EffectValue1",SkillData_Header,0)))</f>
        <v>#VALUE!</v>
      </c>
      <c r="Q23" s="61" t="e">
        <f aca="false" t="array" ref="Q23:Q23">IFERROR(INDEX(SkillData,MATCH(INDEX(PalData,MATCH($B23,PalNames,0)+1,MATCH("Passive3c",PalData_Header,0)),SkillDataCodeName,0)+1,MATCH("EffectValue1",SkillData_Header,0)))</f>
        <v>#VALUE!</v>
      </c>
      <c r="R23" s="304" t="e">
        <f aca="false" t="array" ref="R23:R23">IFERROR(INDEX(SkillData,MATCH(INDEX(PalData,MATCH($B23,PalNames,0)+1,MATCH("Passive4c",PalData_Header,0)),SkillDataCodeName,0)+1,MATCH("EffectValue1",SkillData_Header,0)))</f>
        <v>#VALUE!</v>
      </c>
      <c r="S23" s="48" t="str">
        <f aca="false">IFERROR(__xludf.dummyfunction("IFERROR(INDEX(SkillData,MATCH(Arrayformula(ARRAY_CONSTRAIN(FILTER(INDIRECT(""PalData!""&amp;ADDRESS(MATCH(B23,PalNames,0)+1,(MATCH(""Passive0a"",PalData_Header,0)))&amp;"":""&amp;ADDRESS(MATCH(B23,PalNames,0)+1,(MATCH(""Passive0a"",PalData_Header,0))+4)),LEN(INDIRECT"&amp;"(""PalData!""&amp;ADDRESS(MATCH(B23,PalNames,0)+1,(MATCH(""Passive0a"",PalData_Header,0)))&amp;"":""&amp;ADDRESS(MATCH(B23,PalNames,0)+1,(MATCH(""Passive0a"",PalData_Header,0))+4)))&gt;0),1,1)),SkillDataCodeName,0)+1,MATCH(""EffectTypeCombined"",SkillData_Header,0)))"),"FindWool")</f>
        <v>FindWool</v>
      </c>
      <c r="T23" s="48" t="str">
        <f aca="false">IFERROR(__xludf.dummyfunction("IFERROR(INDEX(SkillData,MATCH(Arrayformula(ARRAY_CONSTRAIN(FILTER(INDIRECT(""PalData!""&amp;ADDRESS(MATCH(B23,PalNames,0)+1,(MATCH(""Passive0a"",PalData_Header,0)))&amp;"":""&amp;ADDRESS(MATCH(B23,PalNames,0)+1,(MATCH(""Passive0a"",PalData_Header,0))+4)),LEN(INDIRECT"&amp;"(""PalData!""&amp;ADDRESS(MATCH(B23,PalNames,0)+1,(MATCH(""Passive0a"",PalData_Header,0)))&amp;"":""&amp;ADDRESS(MATCH(B23,PalNames,0)+1,(MATCH(""Passive0a"",PalData_Header,0))+4)))&gt;0),1,1)),SkillDataCodeName,0)+1,MATCH(""TargetType1"",SkillData_Header,0)))"),"")</f>
        <v/>
      </c>
      <c r="U23" s="48" t="e">
        <f aca="false" t="array" ref="U23:U23">IF(INDEX(PalData,MATCH($B23,PalNames,0)+1,MATCH("Passive0aCondition",PalData_Header,0))=IFERROR(INDEX(SkillData,MATCH(INDEX(PalData,MATCH($B23,PalNames,0)+1,MATCH("Passive0a",PalData_Header,0)),SkillDataCodeName,0)+1,MATCH("Conditions",SkillData_Header,0))),INDEX(PalData,MATCH($B23,PalNames,0)+1,MATCH("Passive0aCondition",PalData_Header,0)),INDEX(PalData,MATCH($B23,PalNames,0)+1,MATCH("Passive0aCondition",PalData_Header,0)) &amp; IF(ISBLANK(INDEX(PalData,MATCH($B23,PalNames,0)+1,MATCH("Passive0aCondition",PalData_Header,0))),," ")&amp;IFERROR(INDEX(SkillData,MATCH(INDEX(PalData,MATCH($B23,PalNames,0)+1,MATCH("Passive0a",PalData_Header,0)),SkillDataCodeName,0)+1,MATCH("Conditions",SkillData_Header,0))))</f>
        <v>#VALUE!</v>
      </c>
      <c r="V23" s="48" t="str">
        <f aca="false">IFERROR(__xludf.dummyfunction("IFERROR(INDEX(SkillData,MATCH(Arrayformula(ARRAY_CONSTRAIN(FILTER(INDIRECT(""PalData!""&amp;ADDRESS(MATCH(B23,PalNames,0)+1,(MATCH(""Passive0a"",PalData_Header,0)))&amp;"":""&amp;ADDRESS(MATCH(B23,PalNames,0)+1,(MATCH(""Passive0a"",PalData_Header,0))+4)),LEN(INDIRECT"&amp;"(""PalData!""&amp;ADDRESS(MATCH(B23,PalNames,0)+1,(MATCH(""Passive0a"",PalData_Header,0)))&amp;"":""&amp;ADDRESS(MATCH(B23,PalNames,0)+1,(MATCH(""Passive0a"",PalData_Header,0))+4)))&gt;0),1,1)),SkillDataCodeName,0)+1,MATCH(""ValueType1"",SkillData_Header,0)))"),"(min,max)")</f>
        <v>(min,max)</v>
      </c>
      <c r="W23" s="48" t="str">
        <f aca="false" t="array" ref="W23:W23">IFERROR(INDEX(SkillData,MATCH(INDEX(PalData,MATCH($B23,PalNames,0)+1,MATCH("Passive0a",PalData_Header,0)),SkillDataCodeName,0)+1,MATCH("EffectValue1",SkillData_Header,0)),)</f>
        <v>2,3</v>
      </c>
      <c r="X23" s="48" t="str">
        <f aca="false" t="array" ref="X23:X23">IFERROR(INDEX(SkillData,MATCH(INDEX(PalData,MATCH($B23,PalNames,0)+1,MATCH("Passive1a",PalData_Header,0)),SkillDataCodeName,0)+1,MATCH("EffectValue1",SkillData_Header,0)),)</f>
        <v>2,3</v>
      </c>
      <c r="Y23" s="48" t="str">
        <f aca="false" t="array" ref="Y23:Y23">IFERROR(INDEX(SkillData,MATCH(INDEX(PalData,MATCH($B23,PalNames,0)+1,MATCH("Passive2a",PalData_Header,0)),SkillDataCodeName,0)+1,MATCH("EffectValue1",SkillData_Header,0)),)</f>
        <v>2,4</v>
      </c>
      <c r="Z23" s="48" t="str">
        <f aca="false" t="array" ref="Z23:Z23">IFERROR(INDEX(SkillData,MATCH(INDEX(PalData,MATCH($B23,PalNames,0)+1,MATCH("Passive3a",PalData_Header,0)),SkillDataCodeName,0)+1,MATCH("EffectValue1",SkillData_Header,0)),)</f>
        <v>2,5</v>
      </c>
      <c r="AA23" s="263" t="str">
        <f aca="false" t="array" ref="AA23:AA23">IFERROR(INDEX(SkillData,MATCH(INDEX(PalData,MATCH($B23,PalNames,0)+1,MATCH("Passive4a",PalData_Header,0)),SkillDataCodeName,0)+1,MATCH("EffectValue1",SkillData_Header,0)),)</f>
        <v>2,6</v>
      </c>
      <c r="AB23" s="48" t="str">
        <f aca="false">IFERROR(__xludf.dummyfunction("IFERROR(INDEX(SkillData,MATCH(Arrayformula(ARRAY_CONSTRAIN(FILTER(INDIRECT(""PalData!""&amp;ADDRESS(MATCH(B23,PalNames,0)+1,(MATCH(""Passive0b"",PalData_Header,0)))&amp;"":""&amp;ADDRESS(MATCH(B23,PalNames,0)+1,(MATCH(""Passive0b"",PalData_Header,0))+4)),LEN(INDIRECT"&amp;"(""PalData!""&amp;ADDRESS(MATCH(B23,PalNames,0)+1,(MATCH(""Passive0b"",PalData_Header,0)))&amp;"":""&amp;ADDRESS(MATCH(B23,PalNames,0)+1,(MATCH(""Passive0b"",PalData_Header,0))+4)))&gt;0),1,1)),SkillDataCodeName,0)+1,MATCH(""EffectTypeCombined"",SkillData_Header,0)))"),"")</f>
        <v/>
      </c>
      <c r="AC23" s="48" t="str">
        <f aca="false">IFERROR(__xludf.dummyfunction("IFERROR(INDEX(SkillData,MATCH(Arrayformula(ARRAY_CONSTRAIN(FILTER(INDIRECT(""PalData!""&amp;ADDRESS(MATCH(B23,PalNames,0)+1,(MATCH(""Passive0b"",PalData_Header,0)))&amp;"":""&amp;ADDRESS(MATCH(B23,PalNames,0)+1,(MATCH(""Passive0b"",PalData_Header,0))+4)),LEN(INDIRECT"&amp;"(""PalData!""&amp;ADDRESS(MATCH(B23,PalNames,0)+1,(MATCH(""Passive0b"",PalData_Header,0)))&amp;"":""&amp;ADDRESS(MATCH(B23,PalNames,0)+1,(MATCH(""Passive0b"",PalData_Header,0))+4)))&gt;0),1,1)),SkillDataCodeName,0)+1,MATCH(""TargetType1"",SkillData_Header,0)))"),"")</f>
        <v/>
      </c>
      <c r="AD23" s="48" t="e">
        <f aca="false" t="array" ref="AD23:AD23">IF(INDEX(PalData,MATCH($B23,PalNames,0)+1,MATCH("Passive0bCondition",PalData_Header,0))=IFERROR(INDEX(SkillData,MATCH(INDEX(PalData,MATCH($B23,PalNames,0)+1,MATCH("Passive0b",PalData_Header,0)),SkillDataCodeName,0)+1,MATCH("Conditions",SkillData_Header,0))),INDEX(PalData,MATCH($B23,PalNames,0)+1,MATCH("Passive0bCondition",PalData_Header,0)),INDEX(PalData,MATCH($B23,PalNames,0)+1,MATCH("Passive0bCondition",PalData_Header,0)) &amp; IF(ISBLANK(INDEX(PalData,MATCH($B23,PalNames,0)+1,MATCH("Passive0bCondition",PalData_Header,0))),," ")&amp;IFERROR(INDEX(SkillData,MATCH(INDEX(PalData,MATCH($B23,PalNames,0)+1,MATCH("Passive0b",PalData_Header,0)),SkillDataCodeName,0)+1,MATCH("Conditions",SkillData_Header,0))))</f>
        <v>#N/A</v>
      </c>
      <c r="AE23" s="48" t="str">
        <f aca="false">IFERROR(__xludf.dummyfunction("IFERROR(INDEX(SkillData,MATCH(Arrayformula(ARRAY_CONSTRAIN(FILTER(INDIRECT(""PalData!""&amp;ADDRESS(MATCH(B23,PalNames,0)+1,(MATCH(""Passive0b"",PalData_Header,0)))&amp;"":""&amp;ADDRESS(MATCH(B23,PalNames,0)+1,(MATCH(""Passive0b"",PalData_Header,0))+4)),LEN(INDIRECT"&amp;"(""PalData!""&amp;ADDRESS(MATCH(B23,PalNames,0)+1,(MATCH(""Passive0b"",PalData_Header,0)))&amp;"":""&amp;ADDRESS(MATCH(B23,PalNames,0)+1,(MATCH(""Passive0b"",PalData_Header,0))+4)))&gt;0),1,1)),SkillDataCodeName,0)+1,MATCH(""ValueType1"",SkillData_Header,0)))"),"")</f>
        <v/>
      </c>
      <c r="AF23" s="48" t="n">
        <f aca="false">IFERROR(INDEX(SkillData,MATCH(INDEX(PalData,MATCH($B23,PalNames,0)+1,MATCH("Passive0b",PalData_Header,0)),SkillDataCodeName,0)+1,MATCH("EffectValue1",SkillData_Header,0)),)</f>
        <v>0</v>
      </c>
      <c r="AG23" s="48" t="n">
        <f aca="false">IFERROR(INDEX(SkillData,MATCH(INDEX(PalData,MATCH($B23,PalNames,0)+1,MATCH("Passive1b",PalData_Header,0)),SkillDataCodeName,0)+1,MATCH("EffectValue1",SkillData_Header,0)),)</f>
        <v>0</v>
      </c>
      <c r="AH23" s="48" t="n">
        <f aca="false">IFERROR(INDEX(SkillData,MATCH(INDEX(PalData,MATCH($B23,PalNames,0)+1,MATCH("Passive2b",PalData_Header,0)),SkillDataCodeName,0)+1,MATCH("EffectValue1",SkillData_Header,0)),)</f>
        <v>0</v>
      </c>
      <c r="AI23" s="48" t="n">
        <f aca="false">IFERROR(INDEX(SkillData,MATCH(INDEX(PalData,MATCH($B23,PalNames,0)+1,MATCH("Passive3b",PalData_Header,0)),SkillDataCodeName,0)+1,MATCH("EffectValue1",SkillData_Header,0)),)</f>
        <v>0</v>
      </c>
      <c r="AJ23" s="263" t="n">
        <f aca="false">IFERROR(INDEX(SkillData,MATCH(INDEX(PalData,MATCH($B23,PalNames,0)+1,MATCH("Passive4b",PalData_Header,0)),SkillDataCodeName,0)+1,MATCH("EffectValue1",SkillData_Header,0)),)</f>
        <v>0</v>
      </c>
      <c r="AK23" s="305" t="s">
        <v>286</v>
      </c>
    </row>
    <row r="24" customFormat="false" ht="15.75" hidden="false" customHeight="false" outlineLevel="0" collapsed="false">
      <c r="A24" s="299" t="n">
        <v>19</v>
      </c>
      <c r="B24" s="300" t="s">
        <v>40</v>
      </c>
      <c r="C24" s="45" t="str">
        <f aca="false" t="array" ref="C24:C24">IF(ISBLANK(INDEX(PalData,MATCH($B24,PalNames,0)+1,MATCH("ActiveSkill",PalData_Header,0))),INDEX(PalData,MATCH($B24,PalNames,0)+1,MATCH("SkillUnlock_",PalData_Header,0)),INDEX(PalData,MATCH($B24,PalNames,0)+1,MATCH("ActiveSkill",PalData_Header,0)))</f>
        <v>Funnel_DreamDemon</v>
      </c>
      <c r="D24" s="45" t="s">
        <v>269</v>
      </c>
      <c r="E24" s="62" t="n">
        <f aca="false" t="array" ref="E24:E24">INDEX(PalData,MATCH($B24,PalNames,0)+1,MATCH("ActiveSkillBonus0",PalData_Header,0))</f>
        <v>1</v>
      </c>
      <c r="F24" s="62" t="n">
        <f aca="false" t="array" ref="F24:F24">INDEX(PalData,MATCH($B24,PalNames,0)+1,MATCH("ActiveSkillBonus1",PalData_Header,0))</f>
        <v>1.1</v>
      </c>
      <c r="G24" s="62" t="n">
        <f aca="false" t="array" ref="G24:G24">INDEX(PalData,MATCH($B24,PalNames,0)+1,MATCH("ActiveSkillBonus2",PalData_Header,0))</f>
        <v>1.3</v>
      </c>
      <c r="H24" s="62" t="n">
        <f aca="false" t="array" ref="H24:H24">INDEX(PalData,MATCH($B24,PalNames,0)+1,MATCH("ActiveSkillBonus3",PalData_Header,0))</f>
        <v>1.6</v>
      </c>
      <c r="I24" s="306" t="n">
        <f aca="false" t="array" ref="I24:I24">INDEX(PalData,MATCH($B24,PalNames,0)+1,MATCH("ActiveSkillBonus4",PalData_Header,0))</f>
        <v>2</v>
      </c>
      <c r="J24" s="45" t="str">
        <f aca="false">IFERROR(__xludf.dummyfunction("IFERROR(INDEX(SkillData,MATCH(Arrayformula(ARRAY_CONSTRAIN(FILTER(INDIRECT(""PalData!""&amp;ADDRESS(MATCH(B24,PalNames,0)+1,(MATCH(""Passive0c"",PalData_Header,0)))&amp;"":""&amp;ADDRESS(MATCH(B24,PalNames,0)+1,(MATCH(""Passive0c"",PalData_Header,0))+4)),LEN(INDIRECT"&amp;"(""PalData!""&amp;ADDRESS(MATCH(B24,PalNames,0)+1,(MATCH(""Passive0c"",PalData_Header,0)))&amp;"":""&amp;ADDRESS(MATCH(B24,PalNames,0)+1,(MATCH(""Passive0c"",PalData_Header,0))+4)))&gt;0),1,1)),SkillDataCodeName,0)+1,MATCH(""EffectTypeCombined"",SkillData_Header,0)))"),"")</f>
        <v/>
      </c>
      <c r="K24" s="45" t="str">
        <f aca="false">IFERROR(__xludf.dummyfunction("IFERROR(INDEX(SkillData,MATCH(Arrayformula(ARRAY_CONSTRAIN(FILTER(INDIRECT(""PalData!""&amp;ADDRESS(MATCH(B24,PalNames,0)+1,(MATCH(""Passive0c"",PalData_Header,0)))&amp;"":""&amp;ADDRESS(MATCH(B24,PalNames,0)+1,(MATCH(""Passive0c"",PalData_Header,0))+4)),LEN(INDIRECT"&amp;"(""PalData!""&amp;ADDRESS(MATCH(B24,PalNames,0)+1,(MATCH(""Passive0c"",PalData_Header,0)))&amp;"":""&amp;ADDRESS(MATCH(B24,PalNames,0)+1,(MATCH(""Passive0c"",PalData_Header,0))+4)))&gt;0),1,1)),SkillDataCodeName,0)+1,MATCH(""TargetType1"",SkillData_Header,0)))"),"")</f>
        <v/>
      </c>
      <c r="L24" s="45" t="e">
        <f aca="false" t="array" ref="L24:L24">IF(INDEX(PalData,MATCH($B24,PalNames,0)+1,MATCH("Passive0cCondition",PalData_Header,0))=IFERROR(INDEX(SkillData,MATCH(INDEX(PalData,MATCH($B24,PalNames,0)+1,MATCH("Passive0c",PalData_Header,0)),SkillDataCodeName,0)+1,MATCH("Conditions",SkillData_Header,0))),INDEX(PalData,MATCH($B24,PalNames,0)+1,MATCH("Passive0cCondition",PalData_Header,0)),INDEX(PalData,MATCH($B24,PalNames,0)+1,MATCH("Passive0cCondition",PalData_Header,0)) &amp; IF(ISBLANK(INDEX(PalData,MATCH($B24,PalNames,0)+1,MATCH("Passive0cCondition",PalData_Header,0))),," ")&amp;IFERROR(INDEX(SkillData,MATCH(INDEX(PalData,MATCH($B24,PalNames,0)+1,MATCH("Passive0c",PalData_Header,0)),SkillDataCodeName,0)+1,MATCH("Conditions",SkillData_Header,0))))</f>
        <v>#N/A</v>
      </c>
      <c r="M24" s="45" t="str">
        <f aca="false">IFERROR(__xludf.dummyfunction("IFERROR(INDEX(SkillData,MATCH(Arrayformula(ARRAY_CONSTRAIN(FILTER(INDIRECT(""PalData!""&amp;ADDRESS(MATCH(B24,PalNames,0)+1,(MATCH(""Passive0c"",PalData_Header,0)))&amp;"":""&amp;ADDRESS(MATCH(B24,PalNames,0)+1,(MATCH(""Passive0c"",PalData_Header,0))+4)),LEN(INDIRECT"&amp;"(""PalData!""&amp;ADDRESS(MATCH(B24,PalNames,0)+1,(MATCH(""Passive0c"",PalData_Header,0)))&amp;"":""&amp;ADDRESS(MATCH(B24,PalNames,0)+1,(MATCH(""Passive0c"",PalData_Header,0))+4)))&gt;0),1,1)),SkillDataCodeName,0)+1,MATCH(""ValueType1"",SkillData_Header,0)))"),"")</f>
        <v/>
      </c>
      <c r="N24" s="45" t="e">
        <f aca="false" t="array" ref="N24:N24">IFERROR(INDEX(SkillData,MATCH(INDEX(PalData,MATCH($B24,PalNames,0)+1,MATCH("Passive0c",PalData_Header,0)),SkillDataCodeName,0)+1,MATCH("EffectValue1",SkillData_Header,0)))</f>
        <v>#VALUE!</v>
      </c>
      <c r="O24" s="45" t="e">
        <f aca="false" t="array" ref="O24:O24">IFERROR(INDEX(SkillData,MATCH(INDEX(PalData,MATCH($B24,PalNames,0)+1,MATCH("Passive1c",PalData_Header,0)),SkillDataCodeName,0)+1,MATCH("EffectValue1",SkillData_Header,0)))</f>
        <v>#VALUE!</v>
      </c>
      <c r="P24" s="45" t="e">
        <f aca="false" t="array" ref="P24:P24">IFERROR(INDEX(SkillData,MATCH(INDEX(PalData,MATCH($B24,PalNames,0)+1,MATCH("Passive2c",PalData_Header,0)),SkillDataCodeName,0)+1,MATCH("EffectValue1",SkillData_Header,0)))</f>
        <v>#VALUE!</v>
      </c>
      <c r="Q24" s="45" t="e">
        <f aca="false" t="array" ref="Q24:Q24">IFERROR(INDEX(SkillData,MATCH(INDEX(PalData,MATCH($B24,PalNames,0)+1,MATCH("Passive3c",PalData_Header,0)),SkillDataCodeName,0)+1,MATCH("EffectValue1",SkillData_Header,0)))</f>
        <v>#VALUE!</v>
      </c>
      <c r="R24" s="260" t="e">
        <f aca="false" t="array" ref="R24:R24">IFERROR(INDEX(SkillData,MATCH(INDEX(PalData,MATCH($B24,PalNames,0)+1,MATCH("Passive4c",PalData_Header,0)),SkillDataCodeName,0)+1,MATCH("EffectValue1",SkillData_Header,0)))</f>
        <v>#VALUE!</v>
      </c>
      <c r="S24" s="45" t="str">
        <f aca="false">IFERROR(__xludf.dummyfunction("IFERROR(INDEX(SkillData,MATCH(Arrayformula(ARRAY_CONSTRAIN(FILTER(INDIRECT(""PalData!""&amp;ADDRESS(MATCH(B24,PalNames,0)+1,(MATCH(""Passive0a"",PalData_Header,0)))&amp;"":""&amp;ADDRESS(MATCH(B24,PalNames,0)+1,(MATCH(""Passive0a"",PalData_Header,0))+4)),LEN(INDIRECT"&amp;"(""PalData!""&amp;ADDRESS(MATCH(B24,PalNames,0)+1,(MATCH(""Passive0a"",PalData_Header,0)))&amp;"":""&amp;ADDRESS(MATCH(B24,PalNames,0)+1,(MATCH(""Passive0a"",PalData_Header,0))+4)))&gt;0),1,1)),SkillDataCodeName,0)+1,MATCH(""EffectTypeCombined"",SkillData_Header,0)))"),"")</f>
        <v/>
      </c>
      <c r="T24" s="45" t="str">
        <f aca="false">IFERROR(__xludf.dummyfunction("IFERROR(INDEX(SkillData,MATCH(Arrayformula(ARRAY_CONSTRAIN(FILTER(INDIRECT(""PalData!""&amp;ADDRESS(MATCH(B24,PalNames,0)+1,(MATCH(""Passive0a"",PalData_Header,0)))&amp;"":""&amp;ADDRESS(MATCH(B24,PalNames,0)+1,(MATCH(""Passive0a"",PalData_Header,0))+4)),LEN(INDIRECT"&amp;"(""PalData!""&amp;ADDRESS(MATCH(B24,PalNames,0)+1,(MATCH(""Passive0a"",PalData_Header,0)))&amp;"":""&amp;ADDRESS(MATCH(B24,PalNames,0)+1,(MATCH(""Passive0a"",PalData_Header,0))+4)))&gt;0),1,1)),SkillDataCodeName,0)+1,MATCH(""TargetType1"",SkillData_Header,0)))"),"")</f>
        <v/>
      </c>
      <c r="U24" s="45" t="e">
        <f aca="false" t="array" ref="U24:U24">IF(INDEX(PalData,MATCH($B24,PalNames,0)+1,MATCH("Passive0aCondition",PalData_Header,0))=IFERROR(INDEX(SkillData,MATCH(INDEX(PalData,MATCH($B24,PalNames,0)+1,MATCH("Passive0a",PalData_Header,0)),SkillDataCodeName,0)+1,MATCH("Conditions",SkillData_Header,0))),INDEX(PalData,MATCH($B24,PalNames,0)+1,MATCH("Passive0aCondition",PalData_Header,0)),INDEX(PalData,MATCH($B24,PalNames,0)+1,MATCH("Passive0aCondition",PalData_Header,0)) &amp; IF(ISBLANK(INDEX(PalData,MATCH($B24,PalNames,0)+1,MATCH("Passive0aCondition",PalData_Header,0))),," ")&amp;IFERROR(INDEX(SkillData,MATCH(INDEX(PalData,MATCH($B24,PalNames,0)+1,MATCH("Passive0a",PalData_Header,0)),SkillDataCodeName,0)+1,MATCH("Conditions",SkillData_Header,0))))</f>
        <v>#N/A</v>
      </c>
      <c r="V24" s="45" t="str">
        <f aca="false">IFERROR(__xludf.dummyfunction("IFERROR(INDEX(SkillData,MATCH(Arrayformula(ARRAY_CONSTRAIN(FILTER(INDIRECT(""PalData!""&amp;ADDRESS(MATCH(B24,PalNames,0)+1,(MATCH(""Passive0a"",PalData_Header,0)))&amp;"":""&amp;ADDRESS(MATCH(B24,PalNames,0)+1,(MATCH(""Passive0a"",PalData_Header,0))+4)),LEN(INDIRECT"&amp;"(""PalData!""&amp;ADDRESS(MATCH(B24,PalNames,0)+1,(MATCH(""Passive0a"",PalData_Header,0)))&amp;"":""&amp;ADDRESS(MATCH(B24,PalNames,0)+1,(MATCH(""Passive0a"",PalData_Header,0))+4)))&gt;0),1,1)),SkillDataCodeName,0)+1,MATCH(""ValueType1"",SkillData_Header,0)))"),"")</f>
        <v/>
      </c>
      <c r="W24" s="45" t="n">
        <f aca="false">IFERROR(INDEX(SkillData,MATCH(INDEX(PalData,MATCH($B24,PalNames,0)+1,MATCH("Passive0a",PalData_Header,0)),SkillDataCodeName,0)+1,MATCH("EffectValue1",SkillData_Header,0)),)</f>
        <v>0</v>
      </c>
      <c r="X24" s="45" t="n">
        <f aca="false">IFERROR(INDEX(SkillData,MATCH(INDEX(PalData,MATCH($B24,PalNames,0)+1,MATCH("Passive1a",PalData_Header,0)),SkillDataCodeName,0)+1,MATCH("EffectValue1",SkillData_Header,0)),)</f>
        <v>0</v>
      </c>
      <c r="Y24" s="45" t="n">
        <f aca="false">IFERROR(INDEX(SkillData,MATCH(INDEX(PalData,MATCH($B24,PalNames,0)+1,MATCH("Passive2a",PalData_Header,0)),SkillDataCodeName,0)+1,MATCH("EffectValue1",SkillData_Header,0)),)</f>
        <v>0</v>
      </c>
      <c r="Z24" s="45" t="n">
        <f aca="false">IFERROR(INDEX(SkillData,MATCH(INDEX(PalData,MATCH($B24,PalNames,0)+1,MATCH("Passive3a",PalData_Header,0)),SkillDataCodeName,0)+1,MATCH("EffectValue1",SkillData_Header,0)),)</f>
        <v>0</v>
      </c>
      <c r="AA24" s="260" t="n">
        <f aca="false">IFERROR(INDEX(SkillData,MATCH(INDEX(PalData,MATCH($B24,PalNames,0)+1,MATCH("Passive4a",PalData_Header,0)),SkillDataCodeName,0)+1,MATCH("EffectValue1",SkillData_Header,0)),)</f>
        <v>0</v>
      </c>
      <c r="AB24" s="45" t="str">
        <f aca="false">IFERROR(__xludf.dummyfunction("IFERROR(INDEX(SkillData,MATCH(Arrayformula(ARRAY_CONSTRAIN(FILTER(INDIRECT(""PalData!""&amp;ADDRESS(MATCH(B24,PalNames,0)+1,(MATCH(""Passive0b"",PalData_Header,0)))&amp;"":""&amp;ADDRESS(MATCH(B24,PalNames,0)+1,(MATCH(""Passive0b"",PalData_Header,0))+4)),LEN(INDIRECT"&amp;"(""PalData!""&amp;ADDRESS(MATCH(B24,PalNames,0)+1,(MATCH(""Passive0b"",PalData_Header,0)))&amp;"":""&amp;ADDRESS(MATCH(B24,PalNames,0)+1,(MATCH(""Passive0b"",PalData_Header,0))+4)))&gt;0),1,1)),SkillDataCodeName,0)+1,MATCH(""EffectTypeCombined"",SkillData_Header,0)))"),"")</f>
        <v/>
      </c>
      <c r="AC24" s="45" t="str">
        <f aca="false">IFERROR(__xludf.dummyfunction("IFERROR(INDEX(SkillData,MATCH(Arrayformula(ARRAY_CONSTRAIN(FILTER(INDIRECT(""PalData!""&amp;ADDRESS(MATCH(B24,PalNames,0)+1,(MATCH(""Passive0b"",PalData_Header,0)))&amp;"":""&amp;ADDRESS(MATCH(B24,PalNames,0)+1,(MATCH(""Passive0b"",PalData_Header,0))+4)),LEN(INDIRECT"&amp;"(""PalData!""&amp;ADDRESS(MATCH(B24,PalNames,0)+1,(MATCH(""Passive0b"",PalData_Header,0)))&amp;"":""&amp;ADDRESS(MATCH(B24,PalNames,0)+1,(MATCH(""Passive0b"",PalData_Header,0))+4)))&gt;0),1,1)),SkillDataCodeName,0)+1,MATCH(""TargetType1"",SkillData_Header,0)))"),"")</f>
        <v/>
      </c>
      <c r="AD24" s="45" t="e">
        <f aca="false" t="array" ref="AD24:AD24">IF(INDEX(PalData,MATCH($B24,PalNames,0)+1,MATCH("Passive0bCondition",PalData_Header,0))=IFERROR(INDEX(SkillData,MATCH(INDEX(PalData,MATCH($B24,PalNames,0)+1,MATCH("Passive0b",PalData_Header,0)),SkillDataCodeName,0)+1,MATCH("Conditions",SkillData_Header,0))),INDEX(PalData,MATCH($B24,PalNames,0)+1,MATCH("Passive0bCondition",PalData_Header,0)),INDEX(PalData,MATCH($B24,PalNames,0)+1,MATCH("Passive0bCondition",PalData_Header,0)) &amp; IF(ISBLANK(INDEX(PalData,MATCH($B24,PalNames,0)+1,MATCH("Passive0bCondition",PalData_Header,0))),," ")&amp;IFERROR(INDEX(SkillData,MATCH(INDEX(PalData,MATCH($B24,PalNames,0)+1,MATCH("Passive0b",PalData_Header,0)),SkillDataCodeName,0)+1,MATCH("Conditions",SkillData_Header,0))))</f>
        <v>#N/A</v>
      </c>
      <c r="AE24" s="45" t="str">
        <f aca="false">IFERROR(__xludf.dummyfunction("IFERROR(INDEX(SkillData,MATCH(Arrayformula(ARRAY_CONSTRAIN(FILTER(INDIRECT(""PalData!""&amp;ADDRESS(MATCH(B24,PalNames,0)+1,(MATCH(""Passive0b"",PalData_Header,0)))&amp;"":""&amp;ADDRESS(MATCH(B24,PalNames,0)+1,(MATCH(""Passive0b"",PalData_Header,0))+4)),LEN(INDIRECT"&amp;"(""PalData!""&amp;ADDRESS(MATCH(B24,PalNames,0)+1,(MATCH(""Passive0b"",PalData_Header,0)))&amp;"":""&amp;ADDRESS(MATCH(B24,PalNames,0)+1,(MATCH(""Passive0b"",PalData_Header,0))+4)))&gt;0),1,1)),SkillDataCodeName,0)+1,MATCH(""ValueType1"",SkillData_Header,0)))"),"")</f>
        <v/>
      </c>
      <c r="AF24" s="45" t="n">
        <f aca="false">IFERROR(INDEX(SkillData,MATCH(INDEX(PalData,MATCH($B24,PalNames,0)+1,MATCH("Passive0b",PalData_Header,0)),SkillDataCodeName,0)+1,MATCH("EffectValue1",SkillData_Header,0)),)</f>
        <v>0</v>
      </c>
      <c r="AG24" s="45" t="n">
        <f aca="false">IFERROR(INDEX(SkillData,MATCH(INDEX(PalData,MATCH($B24,PalNames,0)+1,MATCH("Passive1b",PalData_Header,0)),SkillDataCodeName,0)+1,MATCH("EffectValue1",SkillData_Header,0)),)</f>
        <v>0</v>
      </c>
      <c r="AH24" s="45" t="n">
        <f aca="false">IFERROR(INDEX(SkillData,MATCH(INDEX(PalData,MATCH($B24,PalNames,0)+1,MATCH("Passive2b",PalData_Header,0)),SkillDataCodeName,0)+1,MATCH("EffectValue1",SkillData_Header,0)),)</f>
        <v>0</v>
      </c>
      <c r="AI24" s="45" t="n">
        <f aca="false">IFERROR(INDEX(SkillData,MATCH(INDEX(PalData,MATCH($B24,PalNames,0)+1,MATCH("Passive3b",PalData_Header,0)),SkillDataCodeName,0)+1,MATCH("EffectValue1",SkillData_Header,0)),)</f>
        <v>0</v>
      </c>
      <c r="AJ24" s="260" t="n">
        <f aca="false">IFERROR(INDEX(SkillData,MATCH(INDEX(PalData,MATCH($B24,PalNames,0)+1,MATCH("Passive4b",PalData_Header,0)),SkillDataCodeName,0)+1,MATCH("EffectValue1",SkillData_Header,0)),)</f>
        <v>0</v>
      </c>
      <c r="AK24" s="301" t="s">
        <v>287</v>
      </c>
    </row>
    <row r="25" customFormat="false" ht="15.75" hidden="false" customHeight="false" outlineLevel="0" collapsed="false">
      <c r="A25" s="302" t="n">
        <v>20</v>
      </c>
      <c r="B25" s="303" t="s">
        <v>129</v>
      </c>
      <c r="C25" s="48" t="str">
        <f aca="false" t="array" ref="C25:C25">IF(ISBLANK(INDEX(PalData,MATCH($B25,PalNames,0)+1,MATCH("ActiveSkill",PalData_Header,0))),INDEX(PalData,MATCH($B25,PalNames,0)+1,MATCH("SkillUnlock_",PalData_Header,0)),INDEX(PalData,MATCH($B25,PalNames,0)+1,MATCH("ActiveSkill",PalData_Header,0)))</f>
        <v>Saddle</v>
      </c>
      <c r="D25" s="48"/>
      <c r="E25" s="48" t="n">
        <f aca="false">INDEX(PalData,MATCH($B25,PalNames,0)+1,MATCH("ActiveSkillBonus0",PalData_Header,0))</f>
        <v>0</v>
      </c>
      <c r="F25" s="48" t="n">
        <f aca="false">INDEX(PalData,MATCH($B25,PalNames,0)+1,MATCH("ActiveSkillBonus1",PalData_Header,0))</f>
        <v>0</v>
      </c>
      <c r="G25" s="48" t="n">
        <f aca="false">INDEX(PalData,MATCH($B25,PalNames,0)+1,MATCH("ActiveSkillBonus2",PalData_Header,0))</f>
        <v>0</v>
      </c>
      <c r="H25" s="48" t="n">
        <f aca="false">INDEX(PalData,MATCH($B25,PalNames,0)+1,MATCH("ActiveSkillBonus3",PalData_Header,0))</f>
        <v>0</v>
      </c>
      <c r="I25" s="263" t="n">
        <f aca="false">INDEX(PalData,MATCH($B25,PalNames,0)+1,MATCH("ActiveSkillBonus4",PalData_Header,0))</f>
        <v>0</v>
      </c>
      <c r="J25" s="48" t="str">
        <f aca="false">IFERROR(__xludf.dummyfunction("IFERROR(INDEX(SkillData,MATCH(Arrayformula(ARRAY_CONSTRAIN(FILTER(INDIRECT(""PalData!""&amp;ADDRESS(MATCH(B25,PalNames,0)+1,(MATCH(""Passive0c"",PalData_Header,0)))&amp;"":""&amp;ADDRESS(MATCH(B25,PalNames,0)+1,(MATCH(""Passive0c"",PalData_Header,0))+4)),LEN(INDIRECT"&amp;"(""PalData!""&amp;ADDRESS(MATCH(B25,PalNames,0)+1,(MATCH(""Passive0c"",PalData_Header,0)))&amp;"":""&amp;ADDRESS(MATCH(B25,PalNames,0)+1,(MATCH(""Passive0c"",PalData_Header,0))+4)))&gt;0),1,1)),SkillDataCodeName,0)+1,MATCH(""EffectTypeCombined"",SkillData_Header,0)))"),"Mining")</f>
        <v>Mining</v>
      </c>
      <c r="K25" s="48" t="str">
        <f aca="false">IFERROR(__xludf.dummyfunction("IFERROR(INDEX(SkillData,MATCH(Arrayformula(ARRAY_CONSTRAIN(FILTER(INDIRECT(""PalData!""&amp;ADDRESS(MATCH(B25,PalNames,0)+1,(MATCH(""Passive0c"",PalData_Header,0)))&amp;"":""&amp;ADDRESS(MATCH(B25,PalNames,0)+1,(MATCH(""Passive0c"",PalData_Header,0))+4)),LEN(INDIRECT"&amp;"(""PalData!""&amp;ADDRESS(MATCH(B25,PalNames,0)+1,(MATCH(""Passive0c"",PalData_Header,0)))&amp;"":""&amp;ADDRESS(MATCH(B25,PalNames,0)+1,(MATCH(""Passive0c"",PalData_Header,0))+4)))&gt;0),1,1)),SkillDataCodeName,0)+1,MATCH(""TargetType1"",SkillData_Header,0)))"),"Self")</f>
        <v>Self</v>
      </c>
      <c r="L25" s="48" t="e">
        <f aca="false" t="array" ref="L25:L25">IF(INDEX(PalData,MATCH($B25,PalNames,0)+1,MATCH("Passive0cCondition",PalData_Header,0))=IFERROR(INDEX(SkillData,MATCH(INDEX(PalData,MATCH($B25,PalNames,0)+1,MATCH("Passive0c",PalData_Header,0)),SkillDataCodeName,0)+1,MATCH("Conditions",SkillData_Header,0))),INDEX(PalData,MATCH($B25,PalNames,0)+1,MATCH("Passive0cCondition",PalData_Header,0)),INDEX(PalData,MATCH($B25,PalNames,0)+1,MATCH("Passive0cCondition",PalData_Header,0)) &amp; IF(ISBLANK(INDEX(PalData,MATCH($B25,PalNames,0)+1,MATCH("Passive0cCondition",PalData_Header,0))),," ")&amp;IFERROR(INDEX(SkillData,MATCH(INDEX(PalData,MATCH($B25,PalNames,0)+1,MATCH("Passive0c",PalData_Header,0)),SkillDataCodeName,0)+1,MATCH("Conditions",SkillData_Header,0))))</f>
        <v>#VALUE!</v>
      </c>
      <c r="M25" s="48" t="str">
        <f aca="false">IFERROR(__xludf.dummyfunction("IFERROR(INDEX(SkillData,MATCH(Arrayformula(ARRAY_CONSTRAIN(FILTER(INDIRECT(""PalData!""&amp;ADDRESS(MATCH(B25,PalNames,0)+1,(MATCH(""Passive0c"",PalData_Header,0)))&amp;"":""&amp;ADDRESS(MATCH(B25,PalNames,0)+1,(MATCH(""Passive0c"",PalData_Header,0))+4)),LEN(INDIRECT"&amp;"(""PalData!""&amp;ADDRESS(MATCH(B25,PalNames,0)+1,(MATCH(""Passive0c"",PalData_Header,0)))&amp;"":""&amp;ADDRESS(MATCH(B25,PalNames,0)+1,(MATCH(""Passive0c"",PalData_Header,0))+4)))&gt;0),1,1)),SkillDataCodeName,0)+1,MATCH(""ValueType1"",SkillData_Header,0)))"),"+")</f>
        <v>+</v>
      </c>
      <c r="N25" s="61" t="e">
        <f aca="false" t="array" ref="N25:N25">IFERROR(INDEX(SkillData,MATCH(INDEX(PalData,MATCH($B25,PalNames,0)+1,MATCH("Passive0c",PalData_Header,0)),SkillDataCodeName,0)+1,MATCH("EffectValue1",SkillData_Header,0)))</f>
        <v>#VALUE!</v>
      </c>
      <c r="O25" s="61" t="e">
        <f aca="false" t="array" ref="O25:O25">IFERROR(INDEX(SkillData,MATCH(INDEX(PalData,MATCH($B25,PalNames,0)+1,MATCH("Passive1c",PalData_Header,0)),SkillDataCodeName,0)+1,MATCH("EffectValue1",SkillData_Header,0)))</f>
        <v>#VALUE!</v>
      </c>
      <c r="P25" s="61" t="e">
        <f aca="false" t="array" ref="P25:P25">IFERROR(INDEX(SkillData,MATCH(INDEX(PalData,MATCH($B25,PalNames,0)+1,MATCH("Passive2c",PalData_Header,0)),SkillDataCodeName,0)+1,MATCH("EffectValue1",SkillData_Header,0)))</f>
        <v>#VALUE!</v>
      </c>
      <c r="Q25" s="61" t="e">
        <f aca="false" t="array" ref="Q25:Q25">IFERROR(INDEX(SkillData,MATCH(INDEX(PalData,MATCH($B25,PalNames,0)+1,MATCH("Passive3c",PalData_Header,0)),SkillDataCodeName,0)+1,MATCH("EffectValue1",SkillData_Header,0)))</f>
        <v>#VALUE!</v>
      </c>
      <c r="R25" s="304" t="e">
        <f aca="false" t="array" ref="R25:R25">IFERROR(INDEX(SkillData,MATCH(INDEX(PalData,MATCH($B25,PalNames,0)+1,MATCH("Passive4c",PalData_Header,0)),SkillDataCodeName,0)+1,MATCH("EffectValue1",SkillData_Header,0)))</f>
        <v>#VALUE!</v>
      </c>
      <c r="S25" s="48" t="str">
        <f aca="false">IFERROR(__xludf.dummyfunction("IFERROR(INDEX(SkillData,MATCH(Arrayformula(ARRAY_CONSTRAIN(FILTER(INDIRECT(""PalData!""&amp;ADDRESS(MATCH(B25,PalNames,0)+1,(MATCH(""Passive0a"",PalData_Header,0)))&amp;"":""&amp;ADDRESS(MATCH(B25,PalNames,0)+1,(MATCH(""Passive0a"",PalData_Header,0))+4)),LEN(INDIRECT"&amp;"(""PalData!""&amp;ADDRESS(MATCH(B25,PalNames,0)+1,(MATCH(""Passive0a"",PalData_Header,0)))&amp;"":""&amp;ADDRESS(MATCH(B25,PalNames,0)+1,(MATCH(""Passive0a"",PalData_Header,0))+4)))&gt;0),1,1)),SkillDataCodeName,0)+1,MATCH(""EffectTypeCombined"",SkillData_Header,0)))"),"")</f>
        <v/>
      </c>
      <c r="T25" s="48" t="str">
        <f aca="false">IFERROR(__xludf.dummyfunction("IFERROR(INDEX(SkillData,MATCH(Arrayformula(ARRAY_CONSTRAIN(FILTER(INDIRECT(""PalData!""&amp;ADDRESS(MATCH(B25,PalNames,0)+1,(MATCH(""Passive0a"",PalData_Header,0)))&amp;"":""&amp;ADDRESS(MATCH(B25,PalNames,0)+1,(MATCH(""Passive0a"",PalData_Header,0))+4)),LEN(INDIRECT"&amp;"(""PalData!""&amp;ADDRESS(MATCH(B25,PalNames,0)+1,(MATCH(""Passive0a"",PalData_Header,0)))&amp;"":""&amp;ADDRESS(MATCH(B25,PalNames,0)+1,(MATCH(""Passive0a"",PalData_Header,0))+4)))&gt;0),1,1)),SkillDataCodeName,0)+1,MATCH(""TargetType1"",SkillData_Header,0)))"),"")</f>
        <v/>
      </c>
      <c r="U25" s="48" t="e">
        <f aca="false" t="array" ref="U25:U25">IF(INDEX(PalData,MATCH($B25,PalNames,0)+1,MATCH("Passive0aCondition",PalData_Header,0))=IFERROR(INDEX(SkillData,MATCH(INDEX(PalData,MATCH($B25,PalNames,0)+1,MATCH("Passive0a",PalData_Header,0)),SkillDataCodeName,0)+1,MATCH("Conditions",SkillData_Header,0))),INDEX(PalData,MATCH($B25,PalNames,0)+1,MATCH("Passive0aCondition",PalData_Header,0)),INDEX(PalData,MATCH($B25,PalNames,0)+1,MATCH("Passive0aCondition",PalData_Header,0)) &amp; IF(ISBLANK(INDEX(PalData,MATCH($B25,PalNames,0)+1,MATCH("Passive0aCondition",PalData_Header,0))),," ")&amp;IFERROR(INDEX(SkillData,MATCH(INDEX(PalData,MATCH($B25,PalNames,0)+1,MATCH("Passive0a",PalData_Header,0)),SkillDataCodeName,0)+1,MATCH("Conditions",SkillData_Header,0))))</f>
        <v>#N/A</v>
      </c>
      <c r="V25" s="48" t="str">
        <f aca="false">IFERROR(__xludf.dummyfunction("IFERROR(INDEX(SkillData,MATCH(Arrayformula(ARRAY_CONSTRAIN(FILTER(INDIRECT(""PalData!""&amp;ADDRESS(MATCH(B25,PalNames,0)+1,(MATCH(""Passive0a"",PalData_Header,0)))&amp;"":""&amp;ADDRESS(MATCH(B25,PalNames,0)+1,(MATCH(""Passive0a"",PalData_Header,0))+4)),LEN(INDIRECT"&amp;"(""PalData!""&amp;ADDRESS(MATCH(B25,PalNames,0)+1,(MATCH(""Passive0a"",PalData_Header,0)))&amp;"":""&amp;ADDRESS(MATCH(B25,PalNames,0)+1,(MATCH(""Passive0a"",PalData_Header,0))+4)))&gt;0),1,1)),SkillDataCodeName,0)+1,MATCH(""ValueType1"",SkillData_Header,0)))"),"")</f>
        <v/>
      </c>
      <c r="W25" s="48" t="n">
        <f aca="false">IFERROR(INDEX(SkillData,MATCH(INDEX(PalData,MATCH($B25,PalNames,0)+1,MATCH("Passive0a",PalData_Header,0)),SkillDataCodeName,0)+1,MATCH("EffectValue1",SkillData_Header,0)),)</f>
        <v>0</v>
      </c>
      <c r="X25" s="48" t="n">
        <f aca="false">IFERROR(INDEX(SkillData,MATCH(INDEX(PalData,MATCH($B25,PalNames,0)+1,MATCH("Passive1a",PalData_Header,0)),SkillDataCodeName,0)+1,MATCH("EffectValue1",SkillData_Header,0)),)</f>
        <v>0</v>
      </c>
      <c r="Y25" s="48" t="n">
        <f aca="false">IFERROR(INDEX(SkillData,MATCH(INDEX(PalData,MATCH($B25,PalNames,0)+1,MATCH("Passive2a",PalData_Header,0)),SkillDataCodeName,0)+1,MATCH("EffectValue1",SkillData_Header,0)),)</f>
        <v>0</v>
      </c>
      <c r="Z25" s="48" t="n">
        <f aca="false">IFERROR(INDEX(SkillData,MATCH(INDEX(PalData,MATCH($B25,PalNames,0)+1,MATCH("Passive3a",PalData_Header,0)),SkillDataCodeName,0)+1,MATCH("EffectValue1",SkillData_Header,0)),)</f>
        <v>0</v>
      </c>
      <c r="AA25" s="263" t="n">
        <f aca="false">IFERROR(INDEX(SkillData,MATCH(INDEX(PalData,MATCH($B25,PalNames,0)+1,MATCH("Passive4a",PalData_Header,0)),SkillDataCodeName,0)+1,MATCH("EffectValue1",SkillData_Header,0)),)</f>
        <v>0</v>
      </c>
      <c r="AB25" s="48" t="str">
        <f aca="false">IFERROR(__xludf.dummyfunction("IFERROR(INDEX(SkillData,MATCH(Arrayformula(ARRAY_CONSTRAIN(FILTER(INDIRECT(""PalData!""&amp;ADDRESS(MATCH(B25,PalNames,0)+1,(MATCH(""Passive0b"",PalData_Header,0)))&amp;"":""&amp;ADDRESS(MATCH(B25,PalNames,0)+1,(MATCH(""Passive0b"",PalData_Header,0))+4)),LEN(INDIRECT"&amp;"(""PalData!""&amp;ADDRESS(MATCH(B25,PalNames,0)+1,(MATCH(""Passive0b"",PalData_Header,0)))&amp;"":""&amp;ADDRESS(MATCH(B25,PalNames,0)+1,(MATCH(""Passive0b"",PalData_Header,0))+4)))&gt;0),1,1)),SkillDataCodeName,0)+1,MATCH(""EffectTypeCombined"",SkillData_Header,0)))"),"")</f>
        <v/>
      </c>
      <c r="AC25" s="48" t="str">
        <f aca="false">IFERROR(__xludf.dummyfunction("IFERROR(INDEX(SkillData,MATCH(Arrayformula(ARRAY_CONSTRAIN(FILTER(INDIRECT(""PalData!""&amp;ADDRESS(MATCH(B25,PalNames,0)+1,(MATCH(""Passive0b"",PalData_Header,0)))&amp;"":""&amp;ADDRESS(MATCH(B25,PalNames,0)+1,(MATCH(""Passive0b"",PalData_Header,0))+4)),LEN(INDIRECT"&amp;"(""PalData!""&amp;ADDRESS(MATCH(B25,PalNames,0)+1,(MATCH(""Passive0b"",PalData_Header,0)))&amp;"":""&amp;ADDRESS(MATCH(B25,PalNames,0)+1,(MATCH(""Passive0b"",PalData_Header,0))+4)))&gt;0),1,1)),SkillDataCodeName,0)+1,MATCH(""TargetType1"",SkillData_Header,0)))"),"")</f>
        <v/>
      </c>
      <c r="AD25" s="48" t="e">
        <f aca="false" t="array" ref="AD25:AD25">IF(INDEX(PalData,MATCH($B25,PalNames,0)+1,MATCH("Passive0bCondition",PalData_Header,0))=IFERROR(INDEX(SkillData,MATCH(INDEX(PalData,MATCH($B25,PalNames,0)+1,MATCH("Passive0b",PalData_Header,0)),SkillDataCodeName,0)+1,MATCH("Conditions",SkillData_Header,0))),INDEX(PalData,MATCH($B25,PalNames,0)+1,MATCH("Passive0bCondition",PalData_Header,0)),INDEX(PalData,MATCH($B25,PalNames,0)+1,MATCH("Passive0bCondition",PalData_Header,0)) &amp; IF(ISBLANK(INDEX(PalData,MATCH($B25,PalNames,0)+1,MATCH("Passive0bCondition",PalData_Header,0))),," ")&amp;IFERROR(INDEX(SkillData,MATCH(INDEX(PalData,MATCH($B25,PalNames,0)+1,MATCH("Passive0b",PalData_Header,0)),SkillDataCodeName,0)+1,MATCH("Conditions",SkillData_Header,0))))</f>
        <v>#N/A</v>
      </c>
      <c r="AE25" s="48" t="str">
        <f aca="false">IFERROR(__xludf.dummyfunction("IFERROR(INDEX(SkillData,MATCH(Arrayformula(ARRAY_CONSTRAIN(FILTER(INDIRECT(""PalData!""&amp;ADDRESS(MATCH(B25,PalNames,0)+1,(MATCH(""Passive0b"",PalData_Header,0)))&amp;"":""&amp;ADDRESS(MATCH(B25,PalNames,0)+1,(MATCH(""Passive0b"",PalData_Header,0))+4)),LEN(INDIRECT"&amp;"(""PalData!""&amp;ADDRESS(MATCH(B25,PalNames,0)+1,(MATCH(""Passive0b"",PalData_Header,0)))&amp;"":""&amp;ADDRESS(MATCH(B25,PalNames,0)+1,(MATCH(""Passive0b"",PalData_Header,0))+4)))&gt;0),1,1)),SkillDataCodeName,0)+1,MATCH(""ValueType1"",SkillData_Header,0)))"),"")</f>
        <v/>
      </c>
      <c r="AF25" s="48" t="n">
        <f aca="false">IFERROR(INDEX(SkillData,MATCH(INDEX(PalData,MATCH($B25,PalNames,0)+1,MATCH("Passive0b",PalData_Header,0)),SkillDataCodeName,0)+1,MATCH("EffectValue1",SkillData_Header,0)),)</f>
        <v>0</v>
      </c>
      <c r="AG25" s="48" t="n">
        <f aca="false">IFERROR(INDEX(SkillData,MATCH(INDEX(PalData,MATCH($B25,PalNames,0)+1,MATCH("Passive1b",PalData_Header,0)),SkillDataCodeName,0)+1,MATCH("EffectValue1",SkillData_Header,0)),)</f>
        <v>0</v>
      </c>
      <c r="AH25" s="48" t="n">
        <f aca="false">IFERROR(INDEX(SkillData,MATCH(INDEX(PalData,MATCH($B25,PalNames,0)+1,MATCH("Passive2b",PalData_Header,0)),SkillDataCodeName,0)+1,MATCH("EffectValue1",SkillData_Header,0)),)</f>
        <v>0</v>
      </c>
      <c r="AI25" s="48" t="n">
        <f aca="false">IFERROR(INDEX(SkillData,MATCH(INDEX(PalData,MATCH($B25,PalNames,0)+1,MATCH("Passive3b",PalData_Header,0)),SkillDataCodeName,0)+1,MATCH("EffectValue1",SkillData_Header,0)),)</f>
        <v>0</v>
      </c>
      <c r="AJ25" s="263" t="n">
        <f aca="false">IFERROR(INDEX(SkillData,MATCH(INDEX(PalData,MATCH($B25,PalNames,0)+1,MATCH("Passive4b",PalData_Header,0)),SkillDataCodeName,0)+1,MATCH("EffectValue1",SkillData_Header,0)),)</f>
        <v>0</v>
      </c>
      <c r="AK25" s="305" t="s">
        <v>288</v>
      </c>
    </row>
    <row r="26" customFormat="false" ht="15.75" hidden="false" customHeight="false" outlineLevel="0" collapsed="false">
      <c r="A26" s="299" t="n">
        <v>21</v>
      </c>
      <c r="B26" s="300" t="s">
        <v>111</v>
      </c>
      <c r="C26" s="45" t="n">
        <f aca="false">IF(ISBLANK(INDEX(PalData,MATCH($B26,PalNames,0)+1,MATCH("ActiveSkill",PalData_Header,0))),INDEX(PalData,MATCH($B26,PalNames,0)+1,MATCH("SkillUnlock_",PalData_Header,0)),INDEX(PalData,MATCH($B26,PalNames,0)+1,MATCH("ActiveSkill",PalData_Header,0)))</f>
        <v>0</v>
      </c>
      <c r="D26" s="45"/>
      <c r="E26" s="45" t="n">
        <f aca="false">INDEX(PalData,MATCH($B26,PalNames,0)+1,MATCH("ActiveSkillBonus0",PalData_Header,0))</f>
        <v>0</v>
      </c>
      <c r="F26" s="45" t="n">
        <f aca="false">INDEX(PalData,MATCH($B26,PalNames,0)+1,MATCH("ActiveSkillBonus1",PalData_Header,0))</f>
        <v>0</v>
      </c>
      <c r="G26" s="45" t="n">
        <f aca="false">INDEX(PalData,MATCH($B26,PalNames,0)+1,MATCH("ActiveSkillBonus2",PalData_Header,0))</f>
        <v>0</v>
      </c>
      <c r="H26" s="45" t="n">
        <f aca="false">INDEX(PalData,MATCH($B26,PalNames,0)+1,MATCH("ActiveSkillBonus3",PalData_Header,0))</f>
        <v>0</v>
      </c>
      <c r="I26" s="260" t="n">
        <f aca="false">INDEX(PalData,MATCH($B26,PalNames,0)+1,MATCH("ActiveSkillBonus4",PalData_Header,0))</f>
        <v>0</v>
      </c>
      <c r="J26" s="45" t="str">
        <f aca="false">IFERROR(__xludf.dummyfunction("IFERROR(INDEX(SkillData,MATCH(Arrayformula(ARRAY_CONSTRAIN(FILTER(INDIRECT(""PalData!""&amp;ADDRESS(MATCH(B26,PalNames,0)+1,(MATCH(""Passive0c"",PalData_Header,0)))&amp;"":""&amp;ADDRESS(MATCH(B26,PalNames,0)+1,(MATCH(""Passive0c"",PalData_Header,0))+4)),LEN(INDIRECT"&amp;"(""PalData!""&amp;ADDRESS(MATCH(B26,PalNames,0)+1,(MATCH(""Passive0c"",PalData_Header,0)))&amp;"":""&amp;ADDRESS(MATCH(B26,PalNames,0)+1,(MATCH(""Passive0c"",PalData_Header,0))+4)))&gt;0),1,1)),SkillDataCodeName,0)+1,MATCH(""EffectTypeCombined"",SkillData_Header,0)))"),"ShotAttack")</f>
        <v>ShotAttack</v>
      </c>
      <c r="K26" s="45" t="str">
        <f aca="false">IFERROR(__xludf.dummyfunction("IFERROR(INDEX(SkillData,MATCH(Arrayformula(ARRAY_CONSTRAIN(FILTER(INDIRECT(""PalData!""&amp;ADDRESS(MATCH(B26,PalNames,0)+1,(MATCH(""Passive0c"",PalData_Header,0)))&amp;"":""&amp;ADDRESS(MATCH(B26,PalNames,0)+1,(MATCH(""Passive0c"",PalData_Header,0))+4)),LEN(INDIRECT"&amp;"(""PalData!""&amp;ADDRESS(MATCH(B26,PalNames,0)+1,(MATCH(""Passive0c"",PalData_Header,0)))&amp;"":""&amp;ADDRESS(MATCH(B26,PalNames,0)+1,(MATCH(""Passive0c"",PalData_Header,0))+4)))&gt;0),1,1)),SkillDataCodeName,0)+1,MATCH(""TargetType1"",SkillData_Header,0)))"),"Trainer")</f>
        <v>Trainer</v>
      </c>
      <c r="L26" s="45" t="e">
        <f aca="false" t="array" ref="L26:L26">IF(INDEX(PalData,MATCH($B26,PalNames,0)+1,MATCH("Passive0cCondition",PalData_Header,0))=IFERROR(INDEX(SkillData,MATCH(INDEX(PalData,MATCH($B26,PalNames,0)+1,MATCH("Passive0c",PalData_Header,0)),SkillDataCodeName,0)+1,MATCH("Conditions",SkillData_Header,0))),INDEX(PalData,MATCH($B26,PalNames,0)+1,MATCH("Passive0cCondition",PalData_Header,0)),INDEX(PalData,MATCH($B26,PalNames,0)+1,MATCH("Passive0cCondition",PalData_Header,0)) &amp; IF(ISBLANK(INDEX(PalData,MATCH($B26,PalNames,0)+1,MATCH("Passive0cCondition",PalData_Header,0))),," ")&amp;IFERROR(INDEX(SkillData,MATCH(INDEX(PalData,MATCH($B26,PalNames,0)+1,MATCH("Passive0c",PalData_Header,0)),SkillDataCodeName,0)+1,MATCH("Conditions",SkillData_Header,0))))</f>
        <v>#VALUE!</v>
      </c>
      <c r="M26" s="45" t="str">
        <f aca="false">IFERROR(__xludf.dummyfunction("IFERROR(INDEX(SkillData,MATCH(Arrayformula(ARRAY_CONSTRAIN(FILTER(INDIRECT(""PalData!""&amp;ADDRESS(MATCH(B26,PalNames,0)+1,(MATCH(""Passive0c"",PalData_Header,0)))&amp;"":""&amp;ADDRESS(MATCH(B26,PalNames,0)+1,(MATCH(""Passive0c"",PalData_Header,0))+4)),LEN(INDIRECT"&amp;"(""PalData!""&amp;ADDRESS(MATCH(B26,PalNames,0)+1,(MATCH(""Passive0c"",PalData_Header,0)))&amp;"":""&amp;ADDRESS(MATCH(B26,PalNames,0)+1,(MATCH(""Passive0c"",PalData_Header,0))+4)))&gt;0),1,1)),SkillDataCodeName,0)+1,MATCH(""ValueType1"",SkillData_Header,0)))"),"%")</f>
        <v>%</v>
      </c>
      <c r="N26" s="62" t="e">
        <f aca="false" t="array" ref="N26:N26">IFERROR(INDEX(SkillData,MATCH(INDEX(PalData,MATCH($B26,PalNames,0)+1,MATCH("Passive0c",PalData_Header,0)),SkillDataCodeName,0)+1,MATCH("EffectValue1",SkillData_Header,0)))</f>
        <v>#VALUE!</v>
      </c>
      <c r="O26" s="62" t="e">
        <f aca="false" t="array" ref="O26:O26">IFERROR(INDEX(SkillData,MATCH(INDEX(PalData,MATCH($B26,PalNames,0)+1,MATCH("Passive1c",PalData_Header,0)),SkillDataCodeName,0)+1,MATCH("EffectValue1",SkillData_Header,0)))</f>
        <v>#VALUE!</v>
      </c>
      <c r="P26" s="62" t="e">
        <f aca="false" t="array" ref="P26:P26">IFERROR(INDEX(SkillData,MATCH(INDEX(PalData,MATCH($B26,PalNames,0)+1,MATCH("Passive2c",PalData_Header,0)),SkillDataCodeName,0)+1,MATCH("EffectValue1",SkillData_Header,0)))</f>
        <v>#VALUE!</v>
      </c>
      <c r="Q26" s="62" t="e">
        <f aca="false" t="array" ref="Q26:Q26">IFERROR(INDEX(SkillData,MATCH(INDEX(PalData,MATCH($B26,PalNames,0)+1,MATCH("Passive3c",PalData_Header,0)),SkillDataCodeName,0)+1,MATCH("EffectValue1",SkillData_Header,0)))</f>
        <v>#VALUE!</v>
      </c>
      <c r="R26" s="306" t="e">
        <f aca="false" t="array" ref="R26:R26">IFERROR(INDEX(SkillData,MATCH(INDEX(PalData,MATCH($B26,PalNames,0)+1,MATCH("Passive4c",PalData_Header,0)),SkillDataCodeName,0)+1,MATCH("EffectValue1",SkillData_Header,0)))</f>
        <v>#VALUE!</v>
      </c>
      <c r="S26" s="45" t="str">
        <f aca="false">IFERROR(__xludf.dummyfunction("IFERROR(INDEX(SkillData,MATCH(Arrayformula(ARRAY_CONSTRAIN(FILTER(INDIRECT(""PalData!""&amp;ADDRESS(MATCH(B26,PalNames,0)+1,(MATCH(""Passive0a"",PalData_Header,0)))&amp;"":""&amp;ADDRESS(MATCH(B26,PalNames,0)+1,(MATCH(""Passive0a"",PalData_Header,0))+4)),LEN(INDIRECT"&amp;"(""PalData!""&amp;ADDRESS(MATCH(B26,PalNames,0)+1,(MATCH(""Passive0a"",PalData_Header,0)))&amp;"":""&amp;ADDRESS(MATCH(B26,PalNames,0)+1,(MATCH(""Passive0a"",PalData_Header,0))+4)))&gt;0),1,1)),SkillDataCodeName,0)+1,MATCH(""EffectTypeCombined"",SkillData_Header,0)))"),"ElementDark")</f>
        <v>ElementDark</v>
      </c>
      <c r="T26" s="45" t="str">
        <f aca="false">IFERROR(__xludf.dummyfunction("IFERROR(INDEX(SkillData,MATCH(Arrayformula(ARRAY_CONSTRAIN(FILTER(INDIRECT(""PalData!""&amp;ADDRESS(MATCH(B26,PalNames,0)+1,(MATCH(""Passive0a"",PalData_Header,0)))&amp;"":""&amp;ADDRESS(MATCH(B26,PalNames,0)+1,(MATCH(""Passive0a"",PalData_Header,0))+4)),LEN(INDIRECT"&amp;"(""PalData!""&amp;ADDRESS(MATCH(B26,PalNames,0)+1,(MATCH(""Passive0a"",PalData_Header,0)))&amp;"":""&amp;ADDRESS(MATCH(B26,PalNames,0)+1,(MATCH(""Passive0a"",PalData_Header,0))+4)))&gt;0),1,1)),SkillDataCodeName,0)+1,MATCH(""TargetType1"",SkillData_Header,0)))"),"Trainer")</f>
        <v>Trainer</v>
      </c>
      <c r="U26" s="45" t="e">
        <f aca="false" t="array" ref="U26:U26">IF(INDEX(PalData,MATCH($B26,PalNames,0)+1,MATCH("Passive0aCondition",PalData_Header,0))=IFERROR(INDEX(SkillData,MATCH(INDEX(PalData,MATCH($B26,PalNames,0)+1,MATCH("Passive0a",PalData_Header,0)),SkillDataCodeName,0)+1,MATCH("Conditions",SkillData_Header,0))),INDEX(PalData,MATCH($B26,PalNames,0)+1,MATCH("Passive0aCondition",PalData_Header,0)),INDEX(PalData,MATCH($B26,PalNames,0)+1,MATCH("Passive0aCondition",PalData_Header,0)) &amp; IF(ISBLANK(INDEX(PalData,MATCH($B26,PalNames,0)+1,MATCH("Passive0aCondition",PalData_Header,0))),," ")&amp;IFERROR(INDEX(SkillData,MATCH(INDEX(PalData,MATCH($B26,PalNames,0)+1,MATCH("Passive0a",PalData_Header,0)),SkillDataCodeName,0)+1,MATCH("Conditions",SkillData_Header,0))))</f>
        <v>#VALUE!</v>
      </c>
      <c r="V26" s="45" t="str">
        <f aca="false">IFERROR(__xludf.dummyfunction("IFERROR(INDEX(SkillData,MATCH(Arrayformula(ARRAY_CONSTRAIN(FILTER(INDIRECT(""PalData!""&amp;ADDRESS(MATCH(B26,PalNames,0)+1,(MATCH(""Passive0a"",PalData_Header,0)))&amp;"":""&amp;ADDRESS(MATCH(B26,PalNames,0)+1,(MATCH(""Passive0a"",PalData_Header,0))+4)),LEN(INDIRECT"&amp;"(""PalData!""&amp;ADDRESS(MATCH(B26,PalNames,0)+1,(MATCH(""Passive0a"",PalData_Header,0)))&amp;"":""&amp;ADDRESS(MATCH(B26,PalNames,0)+1,(MATCH(""Passive0a"",PalData_Header,0))+4)))&gt;0),1,1)),SkillDataCodeName,0)+1,MATCH(""ValueType1"",SkillData_Header,0)))"),"bool")</f>
        <v>bool</v>
      </c>
      <c r="W26" s="62" t="n">
        <f aca="false" t="array" ref="W26:W26">IFERROR(INDEX(SkillData,MATCH(INDEX(PalData,MATCH($B26,PalNames,0)+1,MATCH("Passive0a",PalData_Header,0)),SkillDataCodeName,0)+1,MATCH("EffectValue1",SkillData_Header,0)),)</f>
        <v>1</v>
      </c>
      <c r="X26" s="62" t="n">
        <f aca="false" t="array" ref="X26:X26">IFERROR(INDEX(SkillData,MATCH(INDEX(PalData,MATCH($B26,PalNames,0)+1,MATCH("Passive1a",PalData_Header,0)),SkillDataCodeName,0)+1,MATCH("EffectValue1",SkillData_Header,0)),)</f>
        <v>1</v>
      </c>
      <c r="Y26" s="62" t="n">
        <f aca="false" t="array" ref="Y26:Y26">IFERROR(INDEX(SkillData,MATCH(INDEX(PalData,MATCH($B26,PalNames,0)+1,MATCH("Passive2a",PalData_Header,0)),SkillDataCodeName,0)+1,MATCH("EffectValue1",SkillData_Header,0)),)</f>
        <v>1</v>
      </c>
      <c r="Z26" s="62" t="n">
        <f aca="false" t="array" ref="Z26:Z26">IFERROR(INDEX(SkillData,MATCH(INDEX(PalData,MATCH($B26,PalNames,0)+1,MATCH("Passive3a",PalData_Header,0)),SkillDataCodeName,0)+1,MATCH("EffectValue1",SkillData_Header,0)),)</f>
        <v>1</v>
      </c>
      <c r="AA26" s="306" t="n">
        <f aca="false" t="array" ref="AA26:AA26">IFERROR(INDEX(SkillData,MATCH(INDEX(PalData,MATCH($B26,PalNames,0)+1,MATCH("Passive4a",PalData_Header,0)),SkillDataCodeName,0)+1,MATCH("EffectValue1",SkillData_Header,0)),)</f>
        <v>1</v>
      </c>
      <c r="AB26" s="45" t="str">
        <f aca="false">IFERROR(__xludf.dummyfunction("IFERROR(INDEX(SkillData,MATCH(Arrayformula(ARRAY_CONSTRAIN(FILTER(INDIRECT(""PalData!""&amp;ADDRESS(MATCH(B26,PalNames,0)+1,(MATCH(""Passive0b"",PalData_Header,0)))&amp;"":""&amp;ADDRESS(MATCH(B26,PalNames,0)+1,(MATCH(""Passive0b"",PalData_Header,0))+4)),LEN(INDIRECT"&amp;"(""PalData!""&amp;ADDRESS(MATCH(B26,PalNames,0)+1,(MATCH(""Passive0b"",PalData_Header,0)))&amp;"":""&amp;ADDRESS(MATCH(B26,PalNames,0)+1,(MATCH(""Passive0b"",PalData_Header,0))+4)))&gt;0),1,1)),SkillDataCodeName,0)+1,MATCH(""EffectTypeCombined"",SkillData_Header,0)))"),"")</f>
        <v/>
      </c>
      <c r="AC26" s="45" t="str">
        <f aca="false">IFERROR(__xludf.dummyfunction("IFERROR(INDEX(SkillData,MATCH(Arrayformula(ARRAY_CONSTRAIN(FILTER(INDIRECT(""PalData!""&amp;ADDRESS(MATCH(B26,PalNames,0)+1,(MATCH(""Passive0b"",PalData_Header,0)))&amp;"":""&amp;ADDRESS(MATCH(B26,PalNames,0)+1,(MATCH(""Passive0b"",PalData_Header,0))+4)),LEN(INDIRECT"&amp;"(""PalData!""&amp;ADDRESS(MATCH(B26,PalNames,0)+1,(MATCH(""Passive0b"",PalData_Header,0)))&amp;"":""&amp;ADDRESS(MATCH(B26,PalNames,0)+1,(MATCH(""Passive0b"",PalData_Header,0))+4)))&gt;0),1,1)),SkillDataCodeName,0)+1,MATCH(""TargetType1"",SkillData_Header,0)))"),"")</f>
        <v/>
      </c>
      <c r="AD26" s="45" t="e">
        <f aca="false" t="array" ref="AD26:AD26">IF(INDEX(PalData,MATCH($B26,PalNames,0)+1,MATCH("Passive0bCondition",PalData_Header,0))=IFERROR(INDEX(SkillData,MATCH(INDEX(PalData,MATCH($B26,PalNames,0)+1,MATCH("Passive0b",PalData_Header,0)),SkillDataCodeName,0)+1,MATCH("Conditions",SkillData_Header,0))),INDEX(PalData,MATCH($B26,PalNames,0)+1,MATCH("Passive0bCondition",PalData_Header,0)),INDEX(PalData,MATCH($B26,PalNames,0)+1,MATCH("Passive0bCondition",PalData_Header,0)) &amp; IF(ISBLANK(INDEX(PalData,MATCH($B26,PalNames,0)+1,MATCH("Passive0bCondition",PalData_Header,0))),," ")&amp;IFERROR(INDEX(SkillData,MATCH(INDEX(PalData,MATCH($B26,PalNames,0)+1,MATCH("Passive0b",PalData_Header,0)),SkillDataCodeName,0)+1,MATCH("Conditions",SkillData_Header,0))))</f>
        <v>#N/A</v>
      </c>
      <c r="AE26" s="45" t="str">
        <f aca="false">IFERROR(__xludf.dummyfunction("IFERROR(INDEX(SkillData,MATCH(Arrayformula(ARRAY_CONSTRAIN(FILTER(INDIRECT(""PalData!""&amp;ADDRESS(MATCH(B26,PalNames,0)+1,(MATCH(""Passive0b"",PalData_Header,0)))&amp;"":""&amp;ADDRESS(MATCH(B26,PalNames,0)+1,(MATCH(""Passive0b"",PalData_Header,0))+4)),LEN(INDIRECT"&amp;"(""PalData!""&amp;ADDRESS(MATCH(B26,PalNames,0)+1,(MATCH(""Passive0b"",PalData_Header,0)))&amp;"":""&amp;ADDRESS(MATCH(B26,PalNames,0)+1,(MATCH(""Passive0b"",PalData_Header,0))+4)))&gt;0),1,1)),SkillDataCodeName,0)+1,MATCH(""ValueType1"",SkillData_Header,0)))"),"")</f>
        <v/>
      </c>
      <c r="AF26" s="45" t="n">
        <f aca="false">IFERROR(INDEX(SkillData,MATCH(INDEX(PalData,MATCH($B26,PalNames,0)+1,MATCH("Passive0b",PalData_Header,0)),SkillDataCodeName,0)+1,MATCH("EffectValue1",SkillData_Header,0)),)</f>
        <v>0</v>
      </c>
      <c r="AG26" s="45" t="n">
        <f aca="false">IFERROR(INDEX(SkillData,MATCH(INDEX(PalData,MATCH($B26,PalNames,0)+1,MATCH("Passive1b",PalData_Header,0)),SkillDataCodeName,0)+1,MATCH("EffectValue1",SkillData_Header,0)),)</f>
        <v>0</v>
      </c>
      <c r="AH26" s="45" t="n">
        <f aca="false">IFERROR(INDEX(SkillData,MATCH(INDEX(PalData,MATCH($B26,PalNames,0)+1,MATCH("Passive2b",PalData_Header,0)),SkillDataCodeName,0)+1,MATCH("EffectValue1",SkillData_Header,0)),)</f>
        <v>0</v>
      </c>
      <c r="AI26" s="45" t="n">
        <f aca="false">IFERROR(INDEX(SkillData,MATCH(INDEX(PalData,MATCH($B26,PalNames,0)+1,MATCH("Passive3b",PalData_Header,0)),SkillDataCodeName,0)+1,MATCH("EffectValue1",SkillData_Header,0)),)</f>
        <v>0</v>
      </c>
      <c r="AJ26" s="260" t="n">
        <f aca="false">IFERROR(INDEX(SkillData,MATCH(INDEX(PalData,MATCH($B26,PalNames,0)+1,MATCH("Passive4b",PalData_Header,0)),SkillDataCodeName,0)+1,MATCH("EffectValue1",SkillData_Header,0)),)</f>
        <v>0</v>
      </c>
      <c r="AK26" s="301" t="s">
        <v>289</v>
      </c>
    </row>
    <row r="27" customFormat="false" ht="15.75" hidden="false" customHeight="false" outlineLevel="0" collapsed="false">
      <c r="A27" s="302" t="n">
        <v>22</v>
      </c>
      <c r="B27" s="303" t="s">
        <v>62</v>
      </c>
      <c r="C27" s="48" t="str">
        <f aca="false" t="array" ref="C27:C27">IF(ISBLANK(INDEX(PalData,MATCH($B27,PalNames,0)+1,MATCH("ActiveSkill",PalData_Header,0))),INDEX(PalData,MATCH($B27,PalNames,0)+1,MATCH("SkillUnlock_",PalData_Header,0)),INDEX(PalData,MATCH($B27,PalNames,0)+1,MATCH("ActiveSkill",PalData_Header,0)))</f>
        <v>SearchMine</v>
      </c>
      <c r="D27" s="48" t="s">
        <v>290</v>
      </c>
      <c r="E27" s="61" t="n">
        <f aca="false" t="array" ref="E27:E27">INDEX(PalData,MATCH($B27,PalNames,0)+1,MATCH("ActiveSkillBonus0",PalData_Header,0))</f>
        <v>10000</v>
      </c>
      <c r="F27" s="61" t="n">
        <f aca="false" t="array" ref="F27:F27">INDEX(PalData,MATCH($B27,PalNames,0)+1,MATCH("ActiveSkillBonus1",PalData_Header,0))</f>
        <v>11000</v>
      </c>
      <c r="G27" s="61" t="n">
        <f aca="false" t="array" ref="G27:G27">INDEX(PalData,MATCH($B27,PalNames,0)+1,MATCH("ActiveSkillBonus2",PalData_Header,0))</f>
        <v>13000</v>
      </c>
      <c r="H27" s="61" t="n">
        <f aca="false" t="array" ref="H27:H27">INDEX(PalData,MATCH($B27,PalNames,0)+1,MATCH("ActiveSkillBonus3",PalData_Header,0))</f>
        <v>16000</v>
      </c>
      <c r="I27" s="304" t="n">
        <f aca="false" t="array" ref="I27:I27">INDEX(PalData,MATCH($B27,PalNames,0)+1,MATCH("ActiveSkillBonus4",PalData_Header,0))</f>
        <v>20000</v>
      </c>
      <c r="J27" s="48" t="str">
        <f aca="false">IFERROR(__xludf.dummyfunction("IFERROR(INDEX(SkillData,MATCH(Arrayformula(ARRAY_CONSTRAIN(FILTER(INDIRECT(""PalData!""&amp;ADDRESS(MATCH(B27,PalNames,0)+1,(MATCH(""Passive0c"",PalData_Header,0)))&amp;"":""&amp;ADDRESS(MATCH(B27,PalNames,0)+1,(MATCH(""Passive0c"",PalData_Header,0))+4)),LEN(INDIRECT"&amp;"(""PalData!""&amp;ADDRESS(MATCH(B27,PalNames,0)+1,(MATCH(""Passive0c"",PalData_Header,0)))&amp;"":""&amp;ADDRESS(MATCH(B27,PalNames,0)+1,(MATCH(""Passive0c"",PalData_Header,0))+4)))&gt;0),1,1)),SkillDataCodeName,0)+1,MATCH(""EffectTypeCombined"",SkillData_Header,0)))"),"")</f>
        <v/>
      </c>
      <c r="K27" s="48" t="str">
        <f aca="false">IFERROR(__xludf.dummyfunction("IFERROR(INDEX(SkillData,MATCH(Arrayformula(ARRAY_CONSTRAIN(FILTER(INDIRECT(""PalData!""&amp;ADDRESS(MATCH(B27,PalNames,0)+1,(MATCH(""Passive0c"",PalData_Header,0)))&amp;"":""&amp;ADDRESS(MATCH(B27,PalNames,0)+1,(MATCH(""Passive0c"",PalData_Header,0))+4)),LEN(INDIRECT"&amp;"(""PalData!""&amp;ADDRESS(MATCH(B27,PalNames,0)+1,(MATCH(""Passive0c"",PalData_Header,0)))&amp;"":""&amp;ADDRESS(MATCH(B27,PalNames,0)+1,(MATCH(""Passive0c"",PalData_Header,0))+4)))&gt;0),1,1)),SkillDataCodeName,0)+1,MATCH(""TargetType1"",SkillData_Header,0)))"),"")</f>
        <v/>
      </c>
      <c r="L27" s="48" t="e">
        <f aca="false" t="array" ref="L27:L27">IF(INDEX(PalData,MATCH($B27,PalNames,0)+1,MATCH("Passive0cCondition",PalData_Header,0))=IFERROR(INDEX(SkillData,MATCH(INDEX(PalData,MATCH($B27,PalNames,0)+1,MATCH("Passive0c",PalData_Header,0)),SkillDataCodeName,0)+1,MATCH("Conditions",SkillData_Header,0))),INDEX(PalData,MATCH($B27,PalNames,0)+1,MATCH("Passive0cCondition",PalData_Header,0)),INDEX(PalData,MATCH($B27,PalNames,0)+1,MATCH("Passive0cCondition",PalData_Header,0)) &amp; IF(ISBLANK(INDEX(PalData,MATCH($B27,PalNames,0)+1,MATCH("Passive0cCondition",PalData_Header,0))),," ")&amp;IFERROR(INDEX(SkillData,MATCH(INDEX(PalData,MATCH($B27,PalNames,0)+1,MATCH("Passive0c",PalData_Header,0)),SkillDataCodeName,0)+1,MATCH("Conditions",SkillData_Header,0))))</f>
        <v>#N/A</v>
      </c>
      <c r="M27" s="48" t="str">
        <f aca="false">IFERROR(__xludf.dummyfunction("IFERROR(INDEX(SkillData,MATCH(Arrayformula(ARRAY_CONSTRAIN(FILTER(INDIRECT(""PalData!""&amp;ADDRESS(MATCH(B27,PalNames,0)+1,(MATCH(""Passive0c"",PalData_Header,0)))&amp;"":""&amp;ADDRESS(MATCH(B27,PalNames,0)+1,(MATCH(""Passive0c"",PalData_Header,0))+4)),LEN(INDIRECT"&amp;"(""PalData!""&amp;ADDRESS(MATCH(B27,PalNames,0)+1,(MATCH(""Passive0c"",PalData_Header,0)))&amp;"":""&amp;ADDRESS(MATCH(B27,PalNames,0)+1,(MATCH(""Passive0c"",PalData_Header,0))+4)))&gt;0),1,1)),SkillDataCodeName,0)+1,MATCH(""ValueType1"",SkillData_Header,0)))"),"")</f>
        <v/>
      </c>
      <c r="N27" s="48" t="e">
        <f aca="false" t="array" ref="N27:N27">IFERROR(INDEX(SkillData,MATCH(INDEX(PalData,MATCH($B27,PalNames,0)+1,MATCH("Passive0c",PalData_Header,0)),SkillDataCodeName,0)+1,MATCH("EffectValue1",SkillData_Header,0)))</f>
        <v>#VALUE!</v>
      </c>
      <c r="O27" s="48" t="e">
        <f aca="false" t="array" ref="O27:O27">IFERROR(INDEX(SkillData,MATCH(INDEX(PalData,MATCH($B27,PalNames,0)+1,MATCH("Passive1c",PalData_Header,0)),SkillDataCodeName,0)+1,MATCH("EffectValue1",SkillData_Header,0)))</f>
        <v>#VALUE!</v>
      </c>
      <c r="P27" s="48" t="e">
        <f aca="false" t="array" ref="P27:P27">IFERROR(INDEX(SkillData,MATCH(INDEX(PalData,MATCH($B27,PalNames,0)+1,MATCH("Passive2c",PalData_Header,0)),SkillDataCodeName,0)+1,MATCH("EffectValue1",SkillData_Header,0)))</f>
        <v>#VALUE!</v>
      </c>
      <c r="Q27" s="48" t="e">
        <f aca="false" t="array" ref="Q27:Q27">IFERROR(INDEX(SkillData,MATCH(INDEX(PalData,MATCH($B27,PalNames,0)+1,MATCH("Passive3c",PalData_Header,0)),SkillDataCodeName,0)+1,MATCH("EffectValue1",SkillData_Header,0)))</f>
        <v>#VALUE!</v>
      </c>
      <c r="R27" s="263" t="e">
        <f aca="false" t="array" ref="R27:R27">IFERROR(INDEX(SkillData,MATCH(INDEX(PalData,MATCH($B27,PalNames,0)+1,MATCH("Passive4c",PalData_Header,0)),SkillDataCodeName,0)+1,MATCH("EffectValue1",SkillData_Header,0)))</f>
        <v>#VALUE!</v>
      </c>
      <c r="S27" s="48" t="str">
        <f aca="false">IFERROR(__xludf.dummyfunction("IFERROR(INDEX(SkillData,MATCH(Arrayformula(ARRAY_CONSTRAIN(FILTER(INDIRECT(""PalData!""&amp;ADDRESS(MATCH(B27,PalNames,0)+1,(MATCH(""Passive0a"",PalData_Header,0)))&amp;"":""&amp;ADDRESS(MATCH(B27,PalNames,0)+1,(MATCH(""Passive0a"",PalData_Header,0))+4)),LEN(INDIRECT"&amp;"(""PalData!""&amp;ADDRESS(MATCH(B27,PalNames,0)+1,(MATCH(""Passive0a"",PalData_Header,0)))&amp;"":""&amp;ADDRESS(MATCH(B27,PalNames,0)+1,(MATCH(""Passive0a"",PalData_Header,0))+4)))&gt;0),1,1)),SkillDataCodeName,0)+1,MATCH(""EffectTypeCombined"",SkillData_Header,0)))"),"")</f>
        <v/>
      </c>
      <c r="T27" s="48" t="str">
        <f aca="false">IFERROR(__xludf.dummyfunction("IFERROR(INDEX(SkillData,MATCH(Arrayformula(ARRAY_CONSTRAIN(FILTER(INDIRECT(""PalData!""&amp;ADDRESS(MATCH(B27,PalNames,0)+1,(MATCH(""Passive0a"",PalData_Header,0)))&amp;"":""&amp;ADDRESS(MATCH(B27,PalNames,0)+1,(MATCH(""Passive0a"",PalData_Header,0))+4)),LEN(INDIRECT"&amp;"(""PalData!""&amp;ADDRESS(MATCH(B27,PalNames,0)+1,(MATCH(""Passive0a"",PalData_Header,0)))&amp;"":""&amp;ADDRESS(MATCH(B27,PalNames,0)+1,(MATCH(""Passive0a"",PalData_Header,0))+4)))&gt;0),1,1)),SkillDataCodeName,0)+1,MATCH(""TargetType1"",SkillData_Header,0)))"),"")</f>
        <v/>
      </c>
      <c r="U27" s="48" t="e">
        <f aca="false" t="array" ref="U27:U27">IF(INDEX(PalData,MATCH($B27,PalNames,0)+1,MATCH("Passive0aCondition",PalData_Header,0))=IFERROR(INDEX(SkillData,MATCH(INDEX(PalData,MATCH($B27,PalNames,0)+1,MATCH("Passive0a",PalData_Header,0)),SkillDataCodeName,0)+1,MATCH("Conditions",SkillData_Header,0))),INDEX(PalData,MATCH($B27,PalNames,0)+1,MATCH("Passive0aCondition",PalData_Header,0)),INDEX(PalData,MATCH($B27,PalNames,0)+1,MATCH("Passive0aCondition",PalData_Header,0)) &amp; IF(ISBLANK(INDEX(PalData,MATCH($B27,PalNames,0)+1,MATCH("Passive0aCondition",PalData_Header,0))),," ")&amp;IFERROR(INDEX(SkillData,MATCH(INDEX(PalData,MATCH($B27,PalNames,0)+1,MATCH("Passive0a",PalData_Header,0)),SkillDataCodeName,0)+1,MATCH("Conditions",SkillData_Header,0))))</f>
        <v>#N/A</v>
      </c>
      <c r="V27" s="48" t="str">
        <f aca="false">IFERROR(__xludf.dummyfunction("IFERROR(INDEX(SkillData,MATCH(Arrayformula(ARRAY_CONSTRAIN(FILTER(INDIRECT(""PalData!""&amp;ADDRESS(MATCH(B27,PalNames,0)+1,(MATCH(""Passive0a"",PalData_Header,0)))&amp;"":""&amp;ADDRESS(MATCH(B27,PalNames,0)+1,(MATCH(""Passive0a"",PalData_Header,0))+4)),LEN(INDIRECT"&amp;"(""PalData!""&amp;ADDRESS(MATCH(B27,PalNames,0)+1,(MATCH(""Passive0a"",PalData_Header,0)))&amp;"":""&amp;ADDRESS(MATCH(B27,PalNames,0)+1,(MATCH(""Passive0a"",PalData_Header,0))+4)))&gt;0),1,1)),SkillDataCodeName,0)+1,MATCH(""ValueType1"",SkillData_Header,0)))"),"")</f>
        <v/>
      </c>
      <c r="W27" s="48" t="n">
        <f aca="false">IFERROR(INDEX(SkillData,MATCH(INDEX(PalData,MATCH($B27,PalNames,0)+1,MATCH("Passive0a",PalData_Header,0)),SkillDataCodeName,0)+1,MATCH("EffectValue1",SkillData_Header,0)),)</f>
        <v>0</v>
      </c>
      <c r="X27" s="48" t="n">
        <f aca="false">IFERROR(INDEX(SkillData,MATCH(INDEX(PalData,MATCH($B27,PalNames,0)+1,MATCH("Passive1a",PalData_Header,0)),SkillDataCodeName,0)+1,MATCH("EffectValue1",SkillData_Header,0)),)</f>
        <v>0</v>
      </c>
      <c r="Y27" s="48" t="n">
        <f aca="false">IFERROR(INDEX(SkillData,MATCH(INDEX(PalData,MATCH($B27,PalNames,0)+1,MATCH("Passive2a",PalData_Header,0)),SkillDataCodeName,0)+1,MATCH("EffectValue1",SkillData_Header,0)),)</f>
        <v>0</v>
      </c>
      <c r="Z27" s="48" t="n">
        <f aca="false">IFERROR(INDEX(SkillData,MATCH(INDEX(PalData,MATCH($B27,PalNames,0)+1,MATCH("Passive3a",PalData_Header,0)),SkillDataCodeName,0)+1,MATCH("EffectValue1",SkillData_Header,0)),)</f>
        <v>0</v>
      </c>
      <c r="AA27" s="263" t="n">
        <f aca="false">IFERROR(INDEX(SkillData,MATCH(INDEX(PalData,MATCH($B27,PalNames,0)+1,MATCH("Passive4a",PalData_Header,0)),SkillDataCodeName,0)+1,MATCH("EffectValue1",SkillData_Header,0)),)</f>
        <v>0</v>
      </c>
      <c r="AB27" s="48" t="str">
        <f aca="false">IFERROR(__xludf.dummyfunction("IFERROR(INDEX(SkillData,MATCH(Arrayformula(ARRAY_CONSTRAIN(FILTER(INDIRECT(""PalData!""&amp;ADDRESS(MATCH(B27,PalNames,0)+1,(MATCH(""Passive0b"",PalData_Header,0)))&amp;"":""&amp;ADDRESS(MATCH(B27,PalNames,0)+1,(MATCH(""Passive0b"",PalData_Header,0))+4)),LEN(INDIRECT"&amp;"(""PalData!""&amp;ADDRESS(MATCH(B27,PalNames,0)+1,(MATCH(""Passive0b"",PalData_Header,0)))&amp;"":""&amp;ADDRESS(MATCH(B27,PalNames,0)+1,(MATCH(""Passive0b"",PalData_Header,0))+4)))&gt;0),1,1)),SkillDataCodeName,0)+1,MATCH(""EffectTypeCombined"",SkillData_Header,0)))"),"")</f>
        <v/>
      </c>
      <c r="AC27" s="48" t="str">
        <f aca="false">IFERROR(__xludf.dummyfunction("IFERROR(INDEX(SkillData,MATCH(Arrayformula(ARRAY_CONSTRAIN(FILTER(INDIRECT(""PalData!""&amp;ADDRESS(MATCH(B27,PalNames,0)+1,(MATCH(""Passive0b"",PalData_Header,0)))&amp;"":""&amp;ADDRESS(MATCH(B27,PalNames,0)+1,(MATCH(""Passive0b"",PalData_Header,0))+4)),LEN(INDIRECT"&amp;"(""PalData!""&amp;ADDRESS(MATCH(B27,PalNames,0)+1,(MATCH(""Passive0b"",PalData_Header,0)))&amp;"":""&amp;ADDRESS(MATCH(B27,PalNames,0)+1,(MATCH(""Passive0b"",PalData_Header,0))+4)))&gt;0),1,1)),SkillDataCodeName,0)+1,MATCH(""TargetType1"",SkillData_Header,0)))"),"")</f>
        <v/>
      </c>
      <c r="AD27" s="48" t="e">
        <f aca="false" t="array" ref="AD27:AD27">IF(INDEX(PalData,MATCH($B27,PalNames,0)+1,MATCH("Passive0bCondition",PalData_Header,0))=IFERROR(INDEX(SkillData,MATCH(INDEX(PalData,MATCH($B27,PalNames,0)+1,MATCH("Passive0b",PalData_Header,0)),SkillDataCodeName,0)+1,MATCH("Conditions",SkillData_Header,0))),INDEX(PalData,MATCH($B27,PalNames,0)+1,MATCH("Passive0bCondition",PalData_Header,0)),INDEX(PalData,MATCH($B27,PalNames,0)+1,MATCH("Passive0bCondition",PalData_Header,0)) &amp; IF(ISBLANK(INDEX(PalData,MATCH($B27,PalNames,0)+1,MATCH("Passive0bCondition",PalData_Header,0))),," ")&amp;IFERROR(INDEX(SkillData,MATCH(INDEX(PalData,MATCH($B27,PalNames,0)+1,MATCH("Passive0b",PalData_Header,0)),SkillDataCodeName,0)+1,MATCH("Conditions",SkillData_Header,0))))</f>
        <v>#N/A</v>
      </c>
      <c r="AE27" s="48" t="str">
        <f aca="false">IFERROR(__xludf.dummyfunction("IFERROR(INDEX(SkillData,MATCH(Arrayformula(ARRAY_CONSTRAIN(FILTER(INDIRECT(""PalData!""&amp;ADDRESS(MATCH(B27,PalNames,0)+1,(MATCH(""Passive0b"",PalData_Header,0)))&amp;"":""&amp;ADDRESS(MATCH(B27,PalNames,0)+1,(MATCH(""Passive0b"",PalData_Header,0))+4)),LEN(INDIRECT"&amp;"(""PalData!""&amp;ADDRESS(MATCH(B27,PalNames,0)+1,(MATCH(""Passive0b"",PalData_Header,0)))&amp;"":""&amp;ADDRESS(MATCH(B27,PalNames,0)+1,(MATCH(""Passive0b"",PalData_Header,0))+4)))&gt;0),1,1)),SkillDataCodeName,0)+1,MATCH(""ValueType1"",SkillData_Header,0)))"),"")</f>
        <v/>
      </c>
      <c r="AF27" s="48" t="n">
        <f aca="false">IFERROR(INDEX(SkillData,MATCH(INDEX(PalData,MATCH($B27,PalNames,0)+1,MATCH("Passive0b",PalData_Header,0)),SkillDataCodeName,0)+1,MATCH("EffectValue1",SkillData_Header,0)),)</f>
        <v>0</v>
      </c>
      <c r="AG27" s="48" t="n">
        <f aca="false">IFERROR(INDEX(SkillData,MATCH(INDEX(PalData,MATCH($B27,PalNames,0)+1,MATCH("Passive1b",PalData_Header,0)),SkillDataCodeName,0)+1,MATCH("EffectValue1",SkillData_Header,0)),)</f>
        <v>0</v>
      </c>
      <c r="AH27" s="48" t="n">
        <f aca="false">IFERROR(INDEX(SkillData,MATCH(INDEX(PalData,MATCH($B27,PalNames,0)+1,MATCH("Passive2b",PalData_Header,0)),SkillDataCodeName,0)+1,MATCH("EffectValue1",SkillData_Header,0)),)</f>
        <v>0</v>
      </c>
      <c r="AI27" s="48" t="n">
        <f aca="false">IFERROR(INDEX(SkillData,MATCH(INDEX(PalData,MATCH($B27,PalNames,0)+1,MATCH("Passive3b",PalData_Header,0)),SkillDataCodeName,0)+1,MATCH("EffectValue1",SkillData_Header,0)),)</f>
        <v>0</v>
      </c>
      <c r="AJ27" s="263" t="n">
        <f aca="false">IFERROR(INDEX(SkillData,MATCH(INDEX(PalData,MATCH($B27,PalNames,0)+1,MATCH("Passive4b",PalData_Header,0)),SkillDataCodeName,0)+1,MATCH("EffectValue1",SkillData_Header,0)),)</f>
        <v>0</v>
      </c>
      <c r="AK27" s="305" t="s">
        <v>291</v>
      </c>
    </row>
    <row r="28" customFormat="false" ht="15.75" hidden="false" customHeight="false" outlineLevel="0" collapsed="false">
      <c r="A28" s="299" t="n">
        <v>23</v>
      </c>
      <c r="B28" s="300" t="s">
        <v>87</v>
      </c>
      <c r="C28" s="45" t="str">
        <f aca="false" t="array" ref="C28:C28">IF(ISBLANK(INDEX(PalData,MATCH($B28,PalNames,0)+1,MATCH("ActiveSkill",PalData_Header,0))),INDEX(PalData,MATCH($B28,PalNames,0)+1,MATCH("SkillUnlock_",PalData_Header,0)),INDEX(PalData,MATCH($B28,PalNames,0)+1,MATCH("ActiveSkill",PalData_Header,0)))</f>
        <v>Gloves</v>
      </c>
      <c r="D28" s="45"/>
      <c r="E28" s="45" t="n">
        <f aca="false">INDEX(PalData,MATCH($B28,PalNames,0)+1,MATCH("ActiveSkillBonus0",PalData_Header,0))</f>
        <v>0</v>
      </c>
      <c r="F28" s="45" t="n">
        <f aca="false">INDEX(PalData,MATCH($B28,PalNames,0)+1,MATCH("ActiveSkillBonus1",PalData_Header,0))</f>
        <v>0</v>
      </c>
      <c r="G28" s="45" t="n">
        <f aca="false">INDEX(PalData,MATCH($B28,PalNames,0)+1,MATCH("ActiveSkillBonus2",PalData_Header,0))</f>
        <v>0</v>
      </c>
      <c r="H28" s="45" t="n">
        <f aca="false">INDEX(PalData,MATCH($B28,PalNames,0)+1,MATCH("ActiveSkillBonus3",PalData_Header,0))</f>
        <v>0</v>
      </c>
      <c r="I28" s="260" t="n">
        <f aca="false">INDEX(PalData,MATCH($B28,PalNames,0)+1,MATCH("ActiveSkillBonus4",PalData_Header,0))</f>
        <v>0</v>
      </c>
      <c r="J28" s="45" t="str">
        <f aca="false">IFERROR(__xludf.dummyfunction("IFERROR(INDEX(SkillData,MATCH(Arrayformula(ARRAY_CONSTRAIN(FILTER(INDIRECT(""PalData!""&amp;ADDRESS(MATCH(B28,PalNames,0)+1,(MATCH(""Passive0c"",PalData_Header,0)))&amp;"":""&amp;ADDRESS(MATCH(B28,PalNames,0)+1,(MATCH(""Passive0c"",PalData_Header,0))+4)),LEN(INDIRECT"&amp;"(""PalData!""&amp;ADDRESS(MATCH(B28,PalNames,0)+1,(MATCH(""Passive0c"",PalData_Header,0)))&amp;"":""&amp;ADDRESS(MATCH(B28,PalNames,0)+1,(MATCH(""Passive0c"",PalData_Header,0))+4)))&gt;0),1,1)),SkillDataCodeName,0)+1,MATCH(""EffectTypeCombined"",SkillData_Header,0)))"),"")</f>
        <v/>
      </c>
      <c r="K28" s="45" t="str">
        <f aca="false">IFERROR(__xludf.dummyfunction("IFERROR(INDEX(SkillData,MATCH(Arrayformula(ARRAY_CONSTRAIN(FILTER(INDIRECT(""PalData!""&amp;ADDRESS(MATCH(B28,PalNames,0)+1,(MATCH(""Passive0c"",PalData_Header,0)))&amp;"":""&amp;ADDRESS(MATCH(B28,PalNames,0)+1,(MATCH(""Passive0c"",PalData_Header,0))+4)),LEN(INDIRECT"&amp;"(""PalData!""&amp;ADDRESS(MATCH(B28,PalNames,0)+1,(MATCH(""Passive0c"",PalData_Header,0)))&amp;"":""&amp;ADDRESS(MATCH(B28,PalNames,0)+1,(MATCH(""Passive0c"",PalData_Header,0))+4)))&gt;0),1,1)),SkillDataCodeName,0)+1,MATCH(""TargetType1"",SkillData_Header,0)))"),"")</f>
        <v/>
      </c>
      <c r="L28" s="45" t="e">
        <f aca="false" t="array" ref="L28:L28">IF(INDEX(PalData,MATCH($B28,PalNames,0)+1,MATCH("Passive0cCondition",PalData_Header,0))=IFERROR(INDEX(SkillData,MATCH(INDEX(PalData,MATCH($B28,PalNames,0)+1,MATCH("Passive0c",PalData_Header,0)),SkillDataCodeName,0)+1,MATCH("Conditions",SkillData_Header,0))),INDEX(PalData,MATCH($B28,PalNames,0)+1,MATCH("Passive0cCondition",PalData_Header,0)),INDEX(PalData,MATCH($B28,PalNames,0)+1,MATCH("Passive0cCondition",PalData_Header,0)) &amp; IF(ISBLANK(INDEX(PalData,MATCH($B28,PalNames,0)+1,MATCH("Passive0cCondition",PalData_Header,0))),," ")&amp;IFERROR(INDEX(SkillData,MATCH(INDEX(PalData,MATCH($B28,PalNames,0)+1,MATCH("Passive0c",PalData_Header,0)),SkillDataCodeName,0)+1,MATCH("Conditions",SkillData_Header,0))))</f>
        <v>#N/A</v>
      </c>
      <c r="M28" s="45" t="str">
        <f aca="false">IFERROR(__xludf.dummyfunction("IFERROR(INDEX(SkillData,MATCH(Arrayformula(ARRAY_CONSTRAIN(FILTER(INDIRECT(""PalData!""&amp;ADDRESS(MATCH(B28,PalNames,0)+1,(MATCH(""Passive0c"",PalData_Header,0)))&amp;"":""&amp;ADDRESS(MATCH(B28,PalNames,0)+1,(MATCH(""Passive0c"",PalData_Header,0))+4)),LEN(INDIRECT"&amp;"(""PalData!""&amp;ADDRESS(MATCH(B28,PalNames,0)+1,(MATCH(""Passive0c"",PalData_Header,0)))&amp;"":""&amp;ADDRESS(MATCH(B28,PalNames,0)+1,(MATCH(""Passive0c"",PalData_Header,0))+4)))&gt;0),1,1)),SkillDataCodeName,0)+1,MATCH(""ValueType1"",SkillData_Header,0)))"),"")</f>
        <v/>
      </c>
      <c r="N28" s="45" t="e">
        <f aca="false" t="array" ref="N28:N28">IFERROR(INDEX(SkillData,MATCH(INDEX(PalData,MATCH($B28,PalNames,0)+1,MATCH("Passive0c",PalData_Header,0)),SkillDataCodeName,0)+1,MATCH("EffectValue1",SkillData_Header,0)))</f>
        <v>#VALUE!</v>
      </c>
      <c r="O28" s="45" t="e">
        <f aca="false" t="array" ref="O28:O28">IFERROR(INDEX(SkillData,MATCH(INDEX(PalData,MATCH($B28,PalNames,0)+1,MATCH("Passive1c",PalData_Header,0)),SkillDataCodeName,0)+1,MATCH("EffectValue1",SkillData_Header,0)))</f>
        <v>#VALUE!</v>
      </c>
      <c r="P28" s="45" t="e">
        <f aca="false" t="array" ref="P28:P28">IFERROR(INDEX(SkillData,MATCH(INDEX(PalData,MATCH($B28,PalNames,0)+1,MATCH("Passive2c",PalData_Header,0)),SkillDataCodeName,0)+1,MATCH("EffectValue1",SkillData_Header,0)))</f>
        <v>#VALUE!</v>
      </c>
      <c r="Q28" s="45" t="e">
        <f aca="false" t="array" ref="Q28:Q28">IFERROR(INDEX(SkillData,MATCH(INDEX(PalData,MATCH($B28,PalNames,0)+1,MATCH("Passive3c",PalData_Header,0)),SkillDataCodeName,0)+1,MATCH("EffectValue1",SkillData_Header,0)))</f>
        <v>#VALUE!</v>
      </c>
      <c r="R28" s="260" t="e">
        <f aca="false" t="array" ref="R28:R28">IFERROR(INDEX(SkillData,MATCH(INDEX(PalData,MATCH($B28,PalNames,0)+1,MATCH("Passive4c",PalData_Header,0)),SkillDataCodeName,0)+1,MATCH("EffectValue1",SkillData_Header,0)))</f>
        <v>#VALUE!</v>
      </c>
      <c r="S28" s="45" t="str">
        <f aca="false">IFERROR(__xludf.dummyfunction("IFERROR(INDEX(SkillData,MATCH(Arrayformula(ARRAY_CONSTRAIN(FILTER(INDIRECT(""PalData!""&amp;ADDRESS(MATCH(B28,PalNames,0)+1,(MATCH(""Passive0a"",PalData_Header,0)))&amp;"":""&amp;ADDRESS(MATCH(B28,PalNames,0)+1,(MATCH(""Passive0a"",PalData_Header,0))+4)),LEN(INDIRECT"&amp;"(""PalData!""&amp;ADDRESS(MATCH(B28,PalNames,0)+1,(MATCH(""Passive0a"",PalData_Header,0)))&amp;"":""&amp;ADDRESS(MATCH(B28,PalNames,0)+1,(MATCH(""Passive0a"",PalData_Header,0))+4)))&gt;0),1,1)),SkillDataCodeName,0)+1,MATCH(""EffectTypeCombined"",SkillData_Header,0)))"),"")</f>
        <v/>
      </c>
      <c r="T28" s="45" t="str">
        <f aca="false">IFERROR(__xludf.dummyfunction("IFERROR(INDEX(SkillData,MATCH(Arrayformula(ARRAY_CONSTRAIN(FILTER(INDIRECT(""PalData!""&amp;ADDRESS(MATCH(B28,PalNames,0)+1,(MATCH(""Passive0a"",PalData_Header,0)))&amp;"":""&amp;ADDRESS(MATCH(B28,PalNames,0)+1,(MATCH(""Passive0a"",PalData_Header,0))+4)),LEN(INDIRECT"&amp;"(""PalData!""&amp;ADDRESS(MATCH(B28,PalNames,0)+1,(MATCH(""Passive0a"",PalData_Header,0)))&amp;"":""&amp;ADDRESS(MATCH(B28,PalNames,0)+1,(MATCH(""Passive0a"",PalData_Header,0))+4)))&gt;0),1,1)),SkillDataCodeName,0)+1,MATCH(""TargetType1"",SkillData_Header,0)))"),"")</f>
        <v/>
      </c>
      <c r="U28" s="45" t="e">
        <f aca="false" t="array" ref="U28:U28">IF(INDEX(PalData,MATCH($B28,PalNames,0)+1,MATCH("Passive0aCondition",PalData_Header,0))=IFERROR(INDEX(SkillData,MATCH(INDEX(PalData,MATCH($B28,PalNames,0)+1,MATCH("Passive0a",PalData_Header,0)),SkillDataCodeName,0)+1,MATCH("Conditions",SkillData_Header,0))),INDEX(PalData,MATCH($B28,PalNames,0)+1,MATCH("Passive0aCondition",PalData_Header,0)),INDEX(PalData,MATCH($B28,PalNames,0)+1,MATCH("Passive0aCondition",PalData_Header,0)) &amp; IF(ISBLANK(INDEX(PalData,MATCH($B28,PalNames,0)+1,MATCH("Passive0aCondition",PalData_Header,0))),," ")&amp;IFERROR(INDEX(SkillData,MATCH(INDEX(PalData,MATCH($B28,PalNames,0)+1,MATCH("Passive0a",PalData_Header,0)),SkillDataCodeName,0)+1,MATCH("Conditions",SkillData_Header,0))))</f>
        <v>#N/A</v>
      </c>
      <c r="V28" s="45" t="str">
        <f aca="false">IFERROR(__xludf.dummyfunction("IFERROR(INDEX(SkillData,MATCH(Arrayformula(ARRAY_CONSTRAIN(FILTER(INDIRECT(""PalData!""&amp;ADDRESS(MATCH(B28,PalNames,0)+1,(MATCH(""Passive0a"",PalData_Header,0)))&amp;"":""&amp;ADDRESS(MATCH(B28,PalNames,0)+1,(MATCH(""Passive0a"",PalData_Header,0))+4)),LEN(INDIRECT"&amp;"(""PalData!""&amp;ADDRESS(MATCH(B28,PalNames,0)+1,(MATCH(""Passive0a"",PalData_Header,0)))&amp;"":""&amp;ADDRESS(MATCH(B28,PalNames,0)+1,(MATCH(""Passive0a"",PalData_Header,0))+4)))&gt;0),1,1)),SkillDataCodeName,0)+1,MATCH(""ValueType1"",SkillData_Header,0)))"),"")</f>
        <v/>
      </c>
      <c r="W28" s="45" t="n">
        <f aca="false">IFERROR(INDEX(SkillData,MATCH(INDEX(PalData,MATCH($B28,PalNames,0)+1,MATCH("Passive0a",PalData_Header,0)),SkillDataCodeName,0)+1,MATCH("EffectValue1",SkillData_Header,0)),)</f>
        <v>0</v>
      </c>
      <c r="X28" s="45" t="n">
        <f aca="false">IFERROR(INDEX(SkillData,MATCH(INDEX(PalData,MATCH($B28,PalNames,0)+1,MATCH("Passive1a",PalData_Header,0)),SkillDataCodeName,0)+1,MATCH("EffectValue1",SkillData_Header,0)),)</f>
        <v>0</v>
      </c>
      <c r="Y28" s="45" t="n">
        <f aca="false">IFERROR(INDEX(SkillData,MATCH(INDEX(PalData,MATCH($B28,PalNames,0)+1,MATCH("Passive2a",PalData_Header,0)),SkillDataCodeName,0)+1,MATCH("EffectValue1",SkillData_Header,0)),)</f>
        <v>0</v>
      </c>
      <c r="Z28" s="45" t="n">
        <f aca="false">IFERROR(INDEX(SkillData,MATCH(INDEX(PalData,MATCH($B28,PalNames,0)+1,MATCH("Passive3a",PalData_Header,0)),SkillDataCodeName,0)+1,MATCH("EffectValue1",SkillData_Header,0)),)</f>
        <v>0</v>
      </c>
      <c r="AA28" s="260" t="n">
        <f aca="false">IFERROR(INDEX(SkillData,MATCH(INDEX(PalData,MATCH($B28,PalNames,0)+1,MATCH("Passive4a",PalData_Header,0)),SkillDataCodeName,0)+1,MATCH("EffectValue1",SkillData_Header,0)),)</f>
        <v>0</v>
      </c>
      <c r="AB28" s="45" t="str">
        <f aca="false">IFERROR(__xludf.dummyfunction("IFERROR(INDEX(SkillData,MATCH(Arrayformula(ARRAY_CONSTRAIN(FILTER(INDIRECT(""PalData!""&amp;ADDRESS(MATCH(B28,PalNames,0)+1,(MATCH(""Passive0b"",PalData_Header,0)))&amp;"":""&amp;ADDRESS(MATCH(B28,PalNames,0)+1,(MATCH(""Passive0b"",PalData_Header,0))+4)),LEN(INDIRECT"&amp;"(""PalData!""&amp;ADDRESS(MATCH(B28,PalNames,0)+1,(MATCH(""Passive0b"",PalData_Header,0)))&amp;"":""&amp;ADDRESS(MATCH(B28,PalNames,0)+1,(MATCH(""Passive0b"",PalData_Header,0))+4)))&gt;0),1,1)),SkillDataCodeName,0)+1,MATCH(""EffectTypeCombined"",SkillData_Header,0)))"),"")</f>
        <v/>
      </c>
      <c r="AC28" s="45" t="str">
        <f aca="false">IFERROR(__xludf.dummyfunction("IFERROR(INDEX(SkillData,MATCH(Arrayformula(ARRAY_CONSTRAIN(FILTER(INDIRECT(""PalData!""&amp;ADDRESS(MATCH(B28,PalNames,0)+1,(MATCH(""Passive0b"",PalData_Header,0)))&amp;"":""&amp;ADDRESS(MATCH(B28,PalNames,0)+1,(MATCH(""Passive0b"",PalData_Header,0))+4)),LEN(INDIRECT"&amp;"(""PalData!""&amp;ADDRESS(MATCH(B28,PalNames,0)+1,(MATCH(""Passive0b"",PalData_Header,0)))&amp;"":""&amp;ADDRESS(MATCH(B28,PalNames,0)+1,(MATCH(""Passive0b"",PalData_Header,0))+4)))&gt;0),1,1)),SkillDataCodeName,0)+1,MATCH(""TargetType1"",SkillData_Header,0)))"),"")</f>
        <v/>
      </c>
      <c r="AD28" s="45" t="e">
        <f aca="false" t="array" ref="AD28:AD28">IF(INDEX(PalData,MATCH($B28,PalNames,0)+1,MATCH("Passive0bCondition",PalData_Header,0))=IFERROR(INDEX(SkillData,MATCH(INDEX(PalData,MATCH($B28,PalNames,0)+1,MATCH("Passive0b",PalData_Header,0)),SkillDataCodeName,0)+1,MATCH("Conditions",SkillData_Header,0))),INDEX(PalData,MATCH($B28,PalNames,0)+1,MATCH("Passive0bCondition",PalData_Header,0)),INDEX(PalData,MATCH($B28,PalNames,0)+1,MATCH("Passive0bCondition",PalData_Header,0)) &amp; IF(ISBLANK(INDEX(PalData,MATCH($B28,PalNames,0)+1,MATCH("Passive0bCondition",PalData_Header,0))),," ")&amp;IFERROR(INDEX(SkillData,MATCH(INDEX(PalData,MATCH($B28,PalNames,0)+1,MATCH("Passive0b",PalData_Header,0)),SkillDataCodeName,0)+1,MATCH("Conditions",SkillData_Header,0))))</f>
        <v>#N/A</v>
      </c>
      <c r="AE28" s="45" t="str">
        <f aca="false">IFERROR(__xludf.dummyfunction("IFERROR(INDEX(SkillData,MATCH(Arrayformula(ARRAY_CONSTRAIN(FILTER(INDIRECT(""PalData!""&amp;ADDRESS(MATCH(B28,PalNames,0)+1,(MATCH(""Passive0b"",PalData_Header,0)))&amp;"":""&amp;ADDRESS(MATCH(B28,PalNames,0)+1,(MATCH(""Passive0b"",PalData_Header,0))+4)),LEN(INDIRECT"&amp;"(""PalData!""&amp;ADDRESS(MATCH(B28,PalNames,0)+1,(MATCH(""Passive0b"",PalData_Header,0)))&amp;"":""&amp;ADDRESS(MATCH(B28,PalNames,0)+1,(MATCH(""Passive0b"",PalData_Header,0))+4)))&gt;0),1,1)),SkillDataCodeName,0)+1,MATCH(""ValueType1"",SkillData_Header,0)))"),"")</f>
        <v/>
      </c>
      <c r="AF28" s="45" t="n">
        <f aca="false">IFERROR(INDEX(SkillData,MATCH(INDEX(PalData,MATCH($B28,PalNames,0)+1,MATCH("Passive0b",PalData_Header,0)),SkillDataCodeName,0)+1,MATCH("EffectValue1",SkillData_Header,0)),)</f>
        <v>0</v>
      </c>
      <c r="AG28" s="45" t="n">
        <f aca="false">IFERROR(INDEX(SkillData,MATCH(INDEX(PalData,MATCH($B28,PalNames,0)+1,MATCH("Passive1b",PalData_Header,0)),SkillDataCodeName,0)+1,MATCH("EffectValue1",SkillData_Header,0)),)</f>
        <v>0</v>
      </c>
      <c r="AH28" s="45" t="n">
        <f aca="false">IFERROR(INDEX(SkillData,MATCH(INDEX(PalData,MATCH($B28,PalNames,0)+1,MATCH("Passive2b",PalData_Header,0)),SkillDataCodeName,0)+1,MATCH("EffectValue1",SkillData_Header,0)),)</f>
        <v>0</v>
      </c>
      <c r="AI28" s="45" t="n">
        <f aca="false">IFERROR(INDEX(SkillData,MATCH(INDEX(PalData,MATCH($B28,PalNames,0)+1,MATCH("Passive3b",PalData_Header,0)),SkillDataCodeName,0)+1,MATCH("EffectValue1",SkillData_Header,0)),)</f>
        <v>0</v>
      </c>
      <c r="AJ28" s="260" t="n">
        <f aca="false">IFERROR(INDEX(SkillData,MATCH(INDEX(PalData,MATCH($B28,PalNames,0)+1,MATCH("Passive4b",PalData_Header,0)),SkillDataCodeName,0)+1,MATCH("EffectValue1",SkillData_Header,0)),)</f>
        <v>0</v>
      </c>
      <c r="AK28" s="301" t="s">
        <v>292</v>
      </c>
    </row>
    <row r="29" customFormat="false" ht="15.75" hidden="false" customHeight="false" outlineLevel="0" collapsed="false">
      <c r="A29" s="302" t="n">
        <v>24</v>
      </c>
      <c r="B29" s="303" t="s">
        <v>102</v>
      </c>
      <c r="C29" s="48" t="n">
        <f aca="false">IF(ISBLANK(INDEX(PalData,MATCH($B29,PalNames,0)+1,MATCH("ActiveSkill",PalData_Header,0))),INDEX(PalData,MATCH($B29,PalNames,0)+1,MATCH("SkillUnlock_",PalData_Header,0)),INDEX(PalData,MATCH($B29,PalNames,0)+1,MATCH("ActiveSkill",PalData_Header,0)))</f>
        <v>0</v>
      </c>
      <c r="D29" s="48"/>
      <c r="E29" s="48" t="n">
        <f aca="false">INDEX(PalData,MATCH($B29,PalNames,0)+1,MATCH("ActiveSkillBonus0",PalData_Header,0))</f>
        <v>0</v>
      </c>
      <c r="F29" s="48" t="n">
        <f aca="false">INDEX(PalData,MATCH($B29,PalNames,0)+1,MATCH("ActiveSkillBonus1",PalData_Header,0))</f>
        <v>0</v>
      </c>
      <c r="G29" s="48" t="n">
        <f aca="false">INDEX(PalData,MATCH($B29,PalNames,0)+1,MATCH("ActiveSkillBonus2",PalData_Header,0))</f>
        <v>0</v>
      </c>
      <c r="H29" s="48" t="n">
        <f aca="false">INDEX(PalData,MATCH($B29,PalNames,0)+1,MATCH("ActiveSkillBonus3",PalData_Header,0))</f>
        <v>0</v>
      </c>
      <c r="I29" s="263" t="n">
        <f aca="false">INDEX(PalData,MATCH($B29,PalNames,0)+1,MATCH("ActiveSkillBonus4",PalData_Header,0))</f>
        <v>0</v>
      </c>
      <c r="J29" s="48" t="str">
        <f aca="false">IFERROR(__xludf.dummyfunction("IFERROR(INDEX(SkillData,MATCH(Arrayformula(ARRAY_CONSTRAIN(FILTER(INDIRECT(""PalData!""&amp;ADDRESS(MATCH(B29,PalNames,0)+1,(MATCH(""Passive0c"",PalData_Header,0)))&amp;"":""&amp;ADDRESS(MATCH(B29,PalNames,0)+1,(MATCH(""Passive0c"",PalData_Header,0))+4)),LEN(INDIRECT"&amp;"(""PalData!""&amp;ADDRESS(MATCH(B29,PalNames,0)+1,(MATCH(""Passive0c"",PalData_Header,0)))&amp;"":""&amp;ADDRESS(MATCH(B29,PalNames,0)+1,(MATCH(""Passive0c"",PalData_Header,0))+4)))&gt;0),1,1)),SkillDataCodeName,0)+1,MATCH(""EffectTypeCombined"",SkillData_Header,0)))"),"FindMoney")</f>
        <v>FindMoney</v>
      </c>
      <c r="K29" s="48" t="str">
        <f aca="false">IFERROR(__xludf.dummyfunction("IFERROR(INDEX(SkillData,MATCH(Arrayformula(ARRAY_CONSTRAIN(FILTER(INDIRECT(""PalData!""&amp;ADDRESS(MATCH(B29,PalNames,0)+1,(MATCH(""Passive0c"",PalData_Header,0)))&amp;"":""&amp;ADDRESS(MATCH(B29,PalNames,0)+1,(MATCH(""Passive0c"",PalData_Header,0))+4)),LEN(INDIRECT"&amp;"(""PalData!""&amp;ADDRESS(MATCH(B29,PalNames,0)+1,(MATCH(""Passive0c"",PalData_Header,0)))&amp;"":""&amp;ADDRESS(MATCH(B29,PalNames,0)+1,(MATCH(""Passive0c"",PalData_Header,0))+4)))&gt;0),1,1)),SkillDataCodeName,0)+1,MATCH(""TargetType1"",SkillData_Header,0)))"),"")</f>
        <v/>
      </c>
      <c r="L29" s="48" t="e">
        <f aca="false" t="array" ref="L29:L29">IF(INDEX(PalData,MATCH($B29,PalNames,0)+1,MATCH("Passive0cCondition",PalData_Header,0))=IFERROR(INDEX(SkillData,MATCH(INDEX(PalData,MATCH($B29,PalNames,0)+1,MATCH("Passive0c",PalData_Header,0)),SkillDataCodeName,0)+1,MATCH("Conditions",SkillData_Header,0))),INDEX(PalData,MATCH($B29,PalNames,0)+1,MATCH("Passive0cCondition",PalData_Header,0)),INDEX(PalData,MATCH($B29,PalNames,0)+1,MATCH("Passive0cCondition",PalData_Header,0)) &amp; IF(ISBLANK(INDEX(PalData,MATCH($B29,PalNames,0)+1,MATCH("Passive0cCondition",PalData_Header,0))),," ")&amp;IFERROR(INDEX(SkillData,MATCH(INDEX(PalData,MATCH($B29,PalNames,0)+1,MATCH("Passive0c",PalData_Header,0)),SkillDataCodeName,0)+1,MATCH("Conditions",SkillData_Header,0))))</f>
        <v>#VALUE!</v>
      </c>
      <c r="M29" s="48" t="str">
        <f aca="false">IFERROR(__xludf.dummyfunction("IFERROR(INDEX(SkillData,MATCH(Arrayformula(ARRAY_CONSTRAIN(FILTER(INDIRECT(""PalData!""&amp;ADDRESS(MATCH(B29,PalNames,0)+1,(MATCH(""Passive0c"",PalData_Header,0)))&amp;"":""&amp;ADDRESS(MATCH(B29,PalNames,0)+1,(MATCH(""Passive0c"",PalData_Header,0))+4)),LEN(INDIRECT"&amp;"(""PalData!""&amp;ADDRESS(MATCH(B29,PalNames,0)+1,(MATCH(""Passive0c"",PalData_Header,0)))&amp;"":""&amp;ADDRESS(MATCH(B29,PalNames,0)+1,(MATCH(""Passive0c"",PalData_Header,0))+4)))&gt;0),1,1)),SkillDataCodeName,0)+1,MATCH(""ValueType1"",SkillData_Header,0)))"),"(min,max)")</f>
        <v>(min,max)</v>
      </c>
      <c r="N29" s="48" t="e">
        <f aca="false" t="array" ref="N29:N29">IFERROR(INDEX(SkillData,MATCH(INDEX(PalData,MATCH($B29,PalNames,0)+1,MATCH("Passive0c",PalData_Header,0)),SkillDataCodeName,0)+1,MATCH("EffectValue1",SkillData_Header,0)))</f>
        <v>#VALUE!</v>
      </c>
      <c r="O29" s="48" t="e">
        <f aca="false" t="array" ref="O29:O29">IFERROR(INDEX(SkillData,MATCH(INDEX(PalData,MATCH($B29,PalNames,0)+1,MATCH("Passive1c",PalData_Header,0)),SkillDataCodeName,0)+1,MATCH("EffectValue1",SkillData_Header,0)))</f>
        <v>#VALUE!</v>
      </c>
      <c r="P29" s="48" t="e">
        <f aca="false" t="array" ref="P29:P29">IFERROR(INDEX(SkillData,MATCH(INDEX(PalData,MATCH($B29,PalNames,0)+1,MATCH("Passive2c",PalData_Header,0)),SkillDataCodeName,0)+1,MATCH("EffectValue1",SkillData_Header,0)))</f>
        <v>#VALUE!</v>
      </c>
      <c r="Q29" s="48" t="e">
        <f aca="false" t="array" ref="Q29:Q29">IFERROR(INDEX(SkillData,MATCH(INDEX(PalData,MATCH($B29,PalNames,0)+1,MATCH("Passive3c",PalData_Header,0)),SkillDataCodeName,0)+1,MATCH("EffectValue1",SkillData_Header,0)))</f>
        <v>#VALUE!</v>
      </c>
      <c r="R29" s="263" t="e">
        <f aca="false" t="array" ref="R29:R29">IFERROR(INDEX(SkillData,MATCH(INDEX(PalData,MATCH($B29,PalNames,0)+1,MATCH("Passive4c",PalData_Header,0)),SkillDataCodeName,0)+1,MATCH("EffectValue1",SkillData_Header,0)))</f>
        <v>#VALUE!</v>
      </c>
      <c r="S29" s="48" t="str">
        <f aca="false">IFERROR(__xludf.dummyfunction("IFERROR(INDEX(SkillData,MATCH(Arrayformula(ARRAY_CONSTRAIN(FILTER(INDIRECT(""PalData!""&amp;ADDRESS(MATCH(B29,PalNames,0)+1,(MATCH(""Passive0a"",PalData_Header,0)))&amp;"":""&amp;ADDRESS(MATCH(B29,PalNames,0)+1,(MATCH(""Passive0a"",PalData_Header,0))+4)),LEN(INDIRECT"&amp;"(""PalData!""&amp;ADDRESS(MATCH(B29,PalNames,0)+1,(MATCH(""Passive0a"",PalData_Header,0)))&amp;"":""&amp;ADDRESS(MATCH(B29,PalNames,0)+1,(MATCH(""Passive0a"",PalData_Header,0))+4)))&gt;0),1,1)),SkillDataCodeName,0)+1,MATCH(""EffectTypeCombined"",SkillData_Header,0)))"),"")</f>
        <v/>
      </c>
      <c r="T29" s="48" t="str">
        <f aca="false">IFERROR(__xludf.dummyfunction("IFERROR(INDEX(SkillData,MATCH(Arrayformula(ARRAY_CONSTRAIN(FILTER(INDIRECT(""PalData!""&amp;ADDRESS(MATCH(B29,PalNames,0)+1,(MATCH(""Passive0a"",PalData_Header,0)))&amp;"":""&amp;ADDRESS(MATCH(B29,PalNames,0)+1,(MATCH(""Passive0a"",PalData_Header,0))+4)),LEN(INDIRECT"&amp;"(""PalData!""&amp;ADDRESS(MATCH(B29,PalNames,0)+1,(MATCH(""Passive0a"",PalData_Header,0)))&amp;"":""&amp;ADDRESS(MATCH(B29,PalNames,0)+1,(MATCH(""Passive0a"",PalData_Header,0))+4)))&gt;0),1,1)),SkillDataCodeName,0)+1,MATCH(""TargetType1"",SkillData_Header,0)))"),"")</f>
        <v/>
      </c>
      <c r="U29" s="48" t="e">
        <f aca="false" t="array" ref="U29:U29">IF(INDEX(PalData,MATCH($B29,PalNames,0)+1,MATCH("Passive0aCondition",PalData_Header,0))=IFERROR(INDEX(SkillData,MATCH(INDEX(PalData,MATCH($B29,PalNames,0)+1,MATCH("Passive0a",PalData_Header,0)),SkillDataCodeName,0)+1,MATCH("Conditions",SkillData_Header,0))),INDEX(PalData,MATCH($B29,PalNames,0)+1,MATCH("Passive0aCondition",PalData_Header,0)),INDEX(PalData,MATCH($B29,PalNames,0)+1,MATCH("Passive0aCondition",PalData_Header,0)) &amp; IF(ISBLANK(INDEX(PalData,MATCH($B29,PalNames,0)+1,MATCH("Passive0aCondition",PalData_Header,0))),," ")&amp;IFERROR(INDEX(SkillData,MATCH(INDEX(PalData,MATCH($B29,PalNames,0)+1,MATCH("Passive0a",PalData_Header,0)),SkillDataCodeName,0)+1,MATCH("Conditions",SkillData_Header,0))))</f>
        <v>#N/A</v>
      </c>
      <c r="V29" s="48" t="str">
        <f aca="false">IFERROR(__xludf.dummyfunction("IFERROR(INDEX(SkillData,MATCH(Arrayformula(ARRAY_CONSTRAIN(FILTER(INDIRECT(""PalData!""&amp;ADDRESS(MATCH(B29,PalNames,0)+1,(MATCH(""Passive0a"",PalData_Header,0)))&amp;"":""&amp;ADDRESS(MATCH(B29,PalNames,0)+1,(MATCH(""Passive0a"",PalData_Header,0))+4)),LEN(INDIRECT"&amp;"(""PalData!""&amp;ADDRESS(MATCH(B29,PalNames,0)+1,(MATCH(""Passive0a"",PalData_Header,0)))&amp;"":""&amp;ADDRESS(MATCH(B29,PalNames,0)+1,(MATCH(""Passive0a"",PalData_Header,0))+4)))&gt;0),1,1)),SkillDataCodeName,0)+1,MATCH(""ValueType1"",SkillData_Header,0)))"),"")</f>
        <v/>
      </c>
      <c r="W29" s="48" t="n">
        <f aca="false">IFERROR(INDEX(SkillData,MATCH(INDEX(PalData,MATCH($B29,PalNames,0)+1,MATCH("Passive0a",PalData_Header,0)),SkillDataCodeName,0)+1,MATCH("EffectValue1",SkillData_Header,0)),)</f>
        <v>0</v>
      </c>
      <c r="X29" s="48" t="n">
        <f aca="false">IFERROR(INDEX(SkillData,MATCH(INDEX(PalData,MATCH($B29,PalNames,0)+1,MATCH("Passive1a",PalData_Header,0)),SkillDataCodeName,0)+1,MATCH("EffectValue1",SkillData_Header,0)),)</f>
        <v>0</v>
      </c>
      <c r="Y29" s="48" t="n">
        <f aca="false">IFERROR(INDEX(SkillData,MATCH(INDEX(PalData,MATCH($B29,PalNames,0)+1,MATCH("Passive2a",PalData_Header,0)),SkillDataCodeName,0)+1,MATCH("EffectValue1",SkillData_Header,0)),)</f>
        <v>0</v>
      </c>
      <c r="Z29" s="48" t="n">
        <f aca="false">IFERROR(INDEX(SkillData,MATCH(INDEX(PalData,MATCH($B29,PalNames,0)+1,MATCH("Passive3a",PalData_Header,0)),SkillDataCodeName,0)+1,MATCH("EffectValue1",SkillData_Header,0)),)</f>
        <v>0</v>
      </c>
      <c r="AA29" s="263" t="n">
        <f aca="false">IFERROR(INDEX(SkillData,MATCH(INDEX(PalData,MATCH($B29,PalNames,0)+1,MATCH("Passive4a",PalData_Header,0)),SkillDataCodeName,0)+1,MATCH("EffectValue1",SkillData_Header,0)),)</f>
        <v>0</v>
      </c>
      <c r="AB29" s="48" t="str">
        <f aca="false">IFERROR(__xludf.dummyfunction("IFERROR(INDEX(SkillData,MATCH(Arrayformula(ARRAY_CONSTRAIN(FILTER(INDIRECT(""PalData!""&amp;ADDRESS(MATCH(B29,PalNames,0)+1,(MATCH(""Passive0b"",PalData_Header,0)))&amp;"":""&amp;ADDRESS(MATCH(B29,PalNames,0)+1,(MATCH(""Passive0b"",PalData_Header,0))+4)),LEN(INDIRECT"&amp;"(""PalData!""&amp;ADDRESS(MATCH(B29,PalNames,0)+1,(MATCH(""Passive0b"",PalData_Header,0)))&amp;"":""&amp;ADDRESS(MATCH(B29,PalNames,0)+1,(MATCH(""Passive0b"",PalData_Header,0))+4)))&gt;0),1,1)),SkillDataCodeName,0)+1,MATCH(""EffectTypeCombined"",SkillData_Header,0)))"),"")</f>
        <v/>
      </c>
      <c r="AC29" s="48" t="str">
        <f aca="false">IFERROR(__xludf.dummyfunction("IFERROR(INDEX(SkillData,MATCH(Arrayformula(ARRAY_CONSTRAIN(FILTER(INDIRECT(""PalData!""&amp;ADDRESS(MATCH(B29,PalNames,0)+1,(MATCH(""Passive0b"",PalData_Header,0)))&amp;"":""&amp;ADDRESS(MATCH(B29,PalNames,0)+1,(MATCH(""Passive0b"",PalData_Header,0))+4)),LEN(INDIRECT"&amp;"(""PalData!""&amp;ADDRESS(MATCH(B29,PalNames,0)+1,(MATCH(""Passive0b"",PalData_Header,0)))&amp;"":""&amp;ADDRESS(MATCH(B29,PalNames,0)+1,(MATCH(""Passive0b"",PalData_Header,0))+4)))&gt;0),1,1)),SkillDataCodeName,0)+1,MATCH(""TargetType1"",SkillData_Header,0)))"),"")</f>
        <v/>
      </c>
      <c r="AD29" s="48" t="e">
        <f aca="false" t="array" ref="AD29:AD29">IF(INDEX(PalData,MATCH($B29,PalNames,0)+1,MATCH("Passive0bCondition",PalData_Header,0))=IFERROR(INDEX(SkillData,MATCH(INDEX(PalData,MATCH($B29,PalNames,0)+1,MATCH("Passive0b",PalData_Header,0)),SkillDataCodeName,0)+1,MATCH("Conditions",SkillData_Header,0))),INDEX(PalData,MATCH($B29,PalNames,0)+1,MATCH("Passive0bCondition",PalData_Header,0)),INDEX(PalData,MATCH($B29,PalNames,0)+1,MATCH("Passive0bCondition",PalData_Header,0)) &amp; IF(ISBLANK(INDEX(PalData,MATCH($B29,PalNames,0)+1,MATCH("Passive0bCondition",PalData_Header,0))),," ")&amp;IFERROR(INDEX(SkillData,MATCH(INDEX(PalData,MATCH($B29,PalNames,0)+1,MATCH("Passive0b",PalData_Header,0)),SkillDataCodeName,0)+1,MATCH("Conditions",SkillData_Header,0))))</f>
        <v>#N/A</v>
      </c>
      <c r="AE29" s="48" t="str">
        <f aca="false">IFERROR(__xludf.dummyfunction("IFERROR(INDEX(SkillData,MATCH(Arrayformula(ARRAY_CONSTRAIN(FILTER(INDIRECT(""PalData!""&amp;ADDRESS(MATCH(B29,PalNames,0)+1,(MATCH(""Passive0b"",PalData_Header,0)))&amp;"":""&amp;ADDRESS(MATCH(B29,PalNames,0)+1,(MATCH(""Passive0b"",PalData_Header,0))+4)),LEN(INDIRECT"&amp;"(""PalData!""&amp;ADDRESS(MATCH(B29,PalNames,0)+1,(MATCH(""Passive0b"",PalData_Header,0)))&amp;"":""&amp;ADDRESS(MATCH(B29,PalNames,0)+1,(MATCH(""Passive0b"",PalData_Header,0))+4)))&gt;0),1,1)),SkillDataCodeName,0)+1,MATCH(""ValueType1"",SkillData_Header,0)))"),"")</f>
        <v/>
      </c>
      <c r="AF29" s="48" t="n">
        <f aca="false">IFERROR(INDEX(SkillData,MATCH(INDEX(PalData,MATCH($B29,PalNames,0)+1,MATCH("Passive0b",PalData_Header,0)),SkillDataCodeName,0)+1,MATCH("EffectValue1",SkillData_Header,0)),)</f>
        <v>0</v>
      </c>
      <c r="AG29" s="48" t="n">
        <f aca="false">IFERROR(INDEX(SkillData,MATCH(INDEX(PalData,MATCH($B29,PalNames,0)+1,MATCH("Passive1b",PalData_Header,0)),SkillDataCodeName,0)+1,MATCH("EffectValue1",SkillData_Header,0)),)</f>
        <v>0</v>
      </c>
      <c r="AH29" s="48" t="n">
        <f aca="false">IFERROR(INDEX(SkillData,MATCH(INDEX(PalData,MATCH($B29,PalNames,0)+1,MATCH("Passive2b",PalData_Header,0)),SkillDataCodeName,0)+1,MATCH("EffectValue1",SkillData_Header,0)),)</f>
        <v>0</v>
      </c>
      <c r="AI29" s="48" t="n">
        <f aca="false">IFERROR(INDEX(SkillData,MATCH(INDEX(PalData,MATCH($B29,PalNames,0)+1,MATCH("Passive3b",PalData_Header,0)),SkillDataCodeName,0)+1,MATCH("EffectValue1",SkillData_Header,0)),)</f>
        <v>0</v>
      </c>
      <c r="AJ29" s="263" t="n">
        <f aca="false">IFERROR(INDEX(SkillData,MATCH(INDEX(PalData,MATCH($B29,PalNames,0)+1,MATCH("Passive4b",PalData_Header,0)),SkillDataCodeName,0)+1,MATCH("EffectValue1",SkillData_Header,0)),)</f>
        <v>0</v>
      </c>
      <c r="AK29" s="305" t="s">
        <v>293</v>
      </c>
    </row>
    <row r="30" customFormat="false" ht="15.75" hidden="false" customHeight="false" outlineLevel="0" collapsed="false">
      <c r="A30" s="299" t="n">
        <v>24</v>
      </c>
      <c r="B30" s="300" t="s">
        <v>103</v>
      </c>
      <c r="C30" s="45" t="n">
        <f aca="false">IF(ISBLANK(INDEX(PalData,MATCH($B30,PalNames,0)+1,MATCH("ActiveSkill",PalData_Header,0))),INDEX(PalData,MATCH($B30,PalNames,0)+1,MATCH("SkillUnlock_",PalData_Header,0)),INDEX(PalData,MATCH($B30,PalNames,0)+1,MATCH("ActiveSkill",PalData_Header,0)))</f>
        <v>0</v>
      </c>
      <c r="D30" s="45"/>
      <c r="E30" s="45" t="n">
        <f aca="false">INDEX(PalData,MATCH($B30,PalNames,0)+1,MATCH("ActiveSkillBonus0",PalData_Header,0))</f>
        <v>0</v>
      </c>
      <c r="F30" s="45" t="n">
        <f aca="false">INDEX(PalData,MATCH($B30,PalNames,0)+1,MATCH("ActiveSkillBonus1",PalData_Header,0))</f>
        <v>0</v>
      </c>
      <c r="G30" s="45" t="n">
        <f aca="false">INDEX(PalData,MATCH($B30,PalNames,0)+1,MATCH("ActiveSkillBonus2",PalData_Header,0))</f>
        <v>0</v>
      </c>
      <c r="H30" s="45" t="n">
        <f aca="false">INDEX(PalData,MATCH($B30,PalNames,0)+1,MATCH("ActiveSkillBonus3",PalData_Header,0))</f>
        <v>0</v>
      </c>
      <c r="I30" s="260" t="n">
        <f aca="false">INDEX(PalData,MATCH($B30,PalNames,0)+1,MATCH("ActiveSkillBonus4",PalData_Header,0))</f>
        <v>0</v>
      </c>
      <c r="J30" s="45" t="str">
        <f aca="false">IFERROR(__xludf.dummyfunction("IFERROR(INDEX(SkillData,MATCH(Arrayformula(ARRAY_CONSTRAIN(FILTER(INDIRECT(""PalData!""&amp;ADDRESS(MATCH(B30,PalNames,0)+1,(MATCH(""Passive0c"",PalData_Header,0)))&amp;"":""&amp;ADDRESS(MATCH(B30,PalNames,0)+1,(MATCH(""Passive0c"",PalData_Header,0))+4)),LEN(INDIRECT"&amp;"(""PalData!""&amp;ADDRESS(MATCH(B30,PalNames,0)+1,(MATCH(""Passive0c"",PalData_Header,0)))&amp;"":""&amp;ADDRESS(MATCH(B30,PalNames,0)+1,(MATCH(""Passive0c"",PalData_Header,0))+4)))&gt;0),1,1)),SkillDataCodeName,0)+1,MATCH(""EffectTypeCombined"",SkillData_Header,0)))"),"FindMoney")</f>
        <v>FindMoney</v>
      </c>
      <c r="K30" s="45" t="str">
        <f aca="false">IFERROR(__xludf.dummyfunction("IFERROR(INDEX(SkillData,MATCH(Arrayformula(ARRAY_CONSTRAIN(FILTER(INDIRECT(""PalData!""&amp;ADDRESS(MATCH(B30,PalNames,0)+1,(MATCH(""Passive0c"",PalData_Header,0)))&amp;"":""&amp;ADDRESS(MATCH(B30,PalNames,0)+1,(MATCH(""Passive0c"",PalData_Header,0))+4)),LEN(INDIRECT"&amp;"(""PalData!""&amp;ADDRESS(MATCH(B30,PalNames,0)+1,(MATCH(""Passive0c"",PalData_Header,0)))&amp;"":""&amp;ADDRESS(MATCH(B30,PalNames,0)+1,(MATCH(""Passive0c"",PalData_Header,0))+4)))&gt;0),1,1)),SkillDataCodeName,0)+1,MATCH(""TargetType1"",SkillData_Header,0)))"),"")</f>
        <v/>
      </c>
      <c r="L30" s="45" t="e">
        <f aca="false" t="array" ref="L30:L30">IF(INDEX(PalData,MATCH($B30,PalNames,0)+1,MATCH("Passive0cCondition",PalData_Header,0))=IFERROR(INDEX(SkillData,MATCH(INDEX(PalData,MATCH($B30,PalNames,0)+1,MATCH("Passive0c",PalData_Header,0)),SkillDataCodeName,0)+1,MATCH("Conditions",SkillData_Header,0))),INDEX(PalData,MATCH($B30,PalNames,0)+1,MATCH("Passive0cCondition",PalData_Header,0)),INDEX(PalData,MATCH($B30,PalNames,0)+1,MATCH("Passive0cCondition",PalData_Header,0)) &amp; IF(ISBLANK(INDEX(PalData,MATCH($B30,PalNames,0)+1,MATCH("Passive0cCondition",PalData_Header,0))),," ")&amp;IFERROR(INDEX(SkillData,MATCH(INDEX(PalData,MATCH($B30,PalNames,0)+1,MATCH("Passive0c",PalData_Header,0)),SkillDataCodeName,0)+1,MATCH("Conditions",SkillData_Header,0))))</f>
        <v>#VALUE!</v>
      </c>
      <c r="M30" s="45" t="str">
        <f aca="false">IFERROR(__xludf.dummyfunction("IFERROR(INDEX(SkillData,MATCH(Arrayformula(ARRAY_CONSTRAIN(FILTER(INDIRECT(""PalData!""&amp;ADDRESS(MATCH(B30,PalNames,0)+1,(MATCH(""Passive0c"",PalData_Header,0)))&amp;"":""&amp;ADDRESS(MATCH(B30,PalNames,0)+1,(MATCH(""Passive0c"",PalData_Header,0))+4)),LEN(INDIRECT"&amp;"(""PalData!""&amp;ADDRESS(MATCH(B30,PalNames,0)+1,(MATCH(""Passive0c"",PalData_Header,0)))&amp;"":""&amp;ADDRESS(MATCH(B30,PalNames,0)+1,(MATCH(""Passive0c"",PalData_Header,0))+4)))&gt;0),1,1)),SkillDataCodeName,0)+1,MATCH(""ValueType1"",SkillData_Header,0)))"),"(min,max)")</f>
        <v>(min,max)</v>
      </c>
      <c r="N30" s="45" t="e">
        <f aca="false" t="array" ref="N30:N30">IFERROR(INDEX(SkillData,MATCH(INDEX(PalData,MATCH($B30,PalNames,0)+1,MATCH("Passive0c",PalData_Header,0)),SkillDataCodeName,0)+1,MATCH("EffectValue1",SkillData_Header,0)))</f>
        <v>#VALUE!</v>
      </c>
      <c r="O30" s="45" t="e">
        <f aca="false" t="array" ref="O30:O30">IFERROR(INDEX(SkillData,MATCH(INDEX(PalData,MATCH($B30,PalNames,0)+1,MATCH("Passive1c",PalData_Header,0)),SkillDataCodeName,0)+1,MATCH("EffectValue1",SkillData_Header,0)))</f>
        <v>#VALUE!</v>
      </c>
      <c r="P30" s="45" t="e">
        <f aca="false" t="array" ref="P30:P30">IFERROR(INDEX(SkillData,MATCH(INDEX(PalData,MATCH($B30,PalNames,0)+1,MATCH("Passive2c",PalData_Header,0)),SkillDataCodeName,0)+1,MATCH("EffectValue1",SkillData_Header,0)))</f>
        <v>#VALUE!</v>
      </c>
      <c r="Q30" s="45" t="e">
        <f aca="false" t="array" ref="Q30:Q30">IFERROR(INDEX(SkillData,MATCH(INDEX(PalData,MATCH($B30,PalNames,0)+1,MATCH("Passive3c",PalData_Header,0)),SkillDataCodeName,0)+1,MATCH("EffectValue1",SkillData_Header,0)))</f>
        <v>#VALUE!</v>
      </c>
      <c r="R30" s="260" t="e">
        <f aca="false" t="array" ref="R30:R30">IFERROR(INDEX(SkillData,MATCH(INDEX(PalData,MATCH($B30,PalNames,0)+1,MATCH("Passive4c",PalData_Header,0)),SkillDataCodeName,0)+1,MATCH("EffectValue1",SkillData_Header,0)))</f>
        <v>#VALUE!</v>
      </c>
      <c r="S30" s="45" t="str">
        <f aca="false">IFERROR(__xludf.dummyfunction("IFERROR(INDEX(SkillData,MATCH(Arrayformula(ARRAY_CONSTRAIN(FILTER(INDIRECT(""PalData!""&amp;ADDRESS(MATCH(B30,PalNames,0)+1,(MATCH(""Passive0a"",PalData_Header,0)))&amp;"":""&amp;ADDRESS(MATCH(B30,PalNames,0)+1,(MATCH(""Passive0a"",PalData_Header,0))+4)),LEN(INDIRECT"&amp;"(""PalData!""&amp;ADDRESS(MATCH(B30,PalNames,0)+1,(MATCH(""Passive0a"",PalData_Header,0)))&amp;"":""&amp;ADDRESS(MATCH(B30,PalNames,0)+1,(MATCH(""Passive0a"",PalData_Header,0))+4)))&gt;0),1,1)),SkillDataCodeName,0)+1,MATCH(""EffectTypeCombined"",SkillData_Header,0)))"),"")</f>
        <v/>
      </c>
      <c r="T30" s="45" t="str">
        <f aca="false">IFERROR(__xludf.dummyfunction("IFERROR(INDEX(SkillData,MATCH(Arrayformula(ARRAY_CONSTRAIN(FILTER(INDIRECT(""PalData!""&amp;ADDRESS(MATCH(B30,PalNames,0)+1,(MATCH(""Passive0a"",PalData_Header,0)))&amp;"":""&amp;ADDRESS(MATCH(B30,PalNames,0)+1,(MATCH(""Passive0a"",PalData_Header,0))+4)),LEN(INDIRECT"&amp;"(""PalData!""&amp;ADDRESS(MATCH(B30,PalNames,0)+1,(MATCH(""Passive0a"",PalData_Header,0)))&amp;"":""&amp;ADDRESS(MATCH(B30,PalNames,0)+1,(MATCH(""Passive0a"",PalData_Header,0))+4)))&gt;0),1,1)),SkillDataCodeName,0)+1,MATCH(""TargetType1"",SkillData_Header,0)))"),"")</f>
        <v/>
      </c>
      <c r="U30" s="45" t="e">
        <f aca="false" t="array" ref="U30:U30">IF(INDEX(PalData,MATCH($B30,PalNames,0)+1,MATCH("Passive0aCondition",PalData_Header,0))=IFERROR(INDEX(SkillData,MATCH(INDEX(PalData,MATCH($B30,PalNames,0)+1,MATCH("Passive0a",PalData_Header,0)),SkillDataCodeName,0)+1,MATCH("Conditions",SkillData_Header,0))),INDEX(PalData,MATCH($B30,PalNames,0)+1,MATCH("Passive0aCondition",PalData_Header,0)),INDEX(PalData,MATCH($B30,PalNames,0)+1,MATCH("Passive0aCondition",PalData_Header,0)) &amp; IF(ISBLANK(INDEX(PalData,MATCH($B30,PalNames,0)+1,MATCH("Passive0aCondition",PalData_Header,0))),," ")&amp;IFERROR(INDEX(SkillData,MATCH(INDEX(PalData,MATCH($B30,PalNames,0)+1,MATCH("Passive0a",PalData_Header,0)),SkillDataCodeName,0)+1,MATCH("Conditions",SkillData_Header,0))))</f>
        <v>#N/A</v>
      </c>
      <c r="V30" s="45" t="str">
        <f aca="false">IFERROR(__xludf.dummyfunction("IFERROR(INDEX(SkillData,MATCH(Arrayformula(ARRAY_CONSTRAIN(FILTER(INDIRECT(""PalData!""&amp;ADDRESS(MATCH(B30,PalNames,0)+1,(MATCH(""Passive0a"",PalData_Header,0)))&amp;"":""&amp;ADDRESS(MATCH(B30,PalNames,0)+1,(MATCH(""Passive0a"",PalData_Header,0))+4)),LEN(INDIRECT"&amp;"(""PalData!""&amp;ADDRESS(MATCH(B30,PalNames,0)+1,(MATCH(""Passive0a"",PalData_Header,0)))&amp;"":""&amp;ADDRESS(MATCH(B30,PalNames,0)+1,(MATCH(""Passive0a"",PalData_Header,0))+4)))&gt;0),1,1)),SkillDataCodeName,0)+1,MATCH(""ValueType1"",SkillData_Header,0)))"),"")</f>
        <v/>
      </c>
      <c r="W30" s="45" t="n">
        <f aca="false">IFERROR(INDEX(SkillData,MATCH(INDEX(PalData,MATCH($B30,PalNames,0)+1,MATCH("Passive0a",PalData_Header,0)),SkillDataCodeName,0)+1,MATCH("EffectValue1",SkillData_Header,0)),)</f>
        <v>0</v>
      </c>
      <c r="X30" s="45" t="n">
        <f aca="false">IFERROR(INDEX(SkillData,MATCH(INDEX(PalData,MATCH($B30,PalNames,0)+1,MATCH("Passive1a",PalData_Header,0)),SkillDataCodeName,0)+1,MATCH("EffectValue1",SkillData_Header,0)),)</f>
        <v>0</v>
      </c>
      <c r="Y30" s="45" t="n">
        <f aca="false">IFERROR(INDEX(SkillData,MATCH(INDEX(PalData,MATCH($B30,PalNames,0)+1,MATCH("Passive2a",PalData_Header,0)),SkillDataCodeName,0)+1,MATCH("EffectValue1",SkillData_Header,0)),)</f>
        <v>0</v>
      </c>
      <c r="Z30" s="45" t="n">
        <f aca="false">IFERROR(INDEX(SkillData,MATCH(INDEX(PalData,MATCH($B30,PalNames,0)+1,MATCH("Passive3a",PalData_Header,0)),SkillDataCodeName,0)+1,MATCH("EffectValue1",SkillData_Header,0)),)</f>
        <v>0</v>
      </c>
      <c r="AA30" s="260" t="n">
        <f aca="false">IFERROR(INDEX(SkillData,MATCH(INDEX(PalData,MATCH($B30,PalNames,0)+1,MATCH("Passive4a",PalData_Header,0)),SkillDataCodeName,0)+1,MATCH("EffectValue1",SkillData_Header,0)),)</f>
        <v>0</v>
      </c>
      <c r="AB30" s="45" t="str">
        <f aca="false">IFERROR(__xludf.dummyfunction("IFERROR(INDEX(SkillData,MATCH(Arrayformula(ARRAY_CONSTRAIN(FILTER(INDIRECT(""PalData!""&amp;ADDRESS(MATCH(B30,PalNames,0)+1,(MATCH(""Passive0b"",PalData_Header,0)))&amp;"":""&amp;ADDRESS(MATCH(B30,PalNames,0)+1,(MATCH(""Passive0b"",PalData_Header,0))+4)),LEN(INDIRECT"&amp;"(""PalData!""&amp;ADDRESS(MATCH(B30,PalNames,0)+1,(MATCH(""Passive0b"",PalData_Header,0)))&amp;"":""&amp;ADDRESS(MATCH(B30,PalNames,0)+1,(MATCH(""Passive0b"",PalData_Header,0))+4)))&gt;0),1,1)),SkillDataCodeName,0)+1,MATCH(""EffectTypeCombined"",SkillData_Header,0)))"),"")</f>
        <v/>
      </c>
      <c r="AC30" s="45" t="str">
        <f aca="false">IFERROR(__xludf.dummyfunction("IFERROR(INDEX(SkillData,MATCH(Arrayformula(ARRAY_CONSTRAIN(FILTER(INDIRECT(""PalData!""&amp;ADDRESS(MATCH(B30,PalNames,0)+1,(MATCH(""Passive0b"",PalData_Header,0)))&amp;"":""&amp;ADDRESS(MATCH(B30,PalNames,0)+1,(MATCH(""Passive0b"",PalData_Header,0))+4)),LEN(INDIRECT"&amp;"(""PalData!""&amp;ADDRESS(MATCH(B30,PalNames,0)+1,(MATCH(""Passive0b"",PalData_Header,0)))&amp;"":""&amp;ADDRESS(MATCH(B30,PalNames,0)+1,(MATCH(""Passive0b"",PalData_Header,0))+4)))&gt;0),1,1)),SkillDataCodeName,0)+1,MATCH(""TargetType1"",SkillData_Header,0)))"),"")</f>
        <v/>
      </c>
      <c r="AD30" s="45" t="e">
        <f aca="false" t="array" ref="AD30:AD30">IF(INDEX(PalData,MATCH($B30,PalNames,0)+1,MATCH("Passive0bCondition",PalData_Header,0))=IFERROR(INDEX(SkillData,MATCH(INDEX(PalData,MATCH($B30,PalNames,0)+1,MATCH("Passive0b",PalData_Header,0)),SkillDataCodeName,0)+1,MATCH("Conditions",SkillData_Header,0))),INDEX(PalData,MATCH($B30,PalNames,0)+1,MATCH("Passive0bCondition",PalData_Header,0)),INDEX(PalData,MATCH($B30,PalNames,0)+1,MATCH("Passive0bCondition",PalData_Header,0)) &amp; IF(ISBLANK(INDEX(PalData,MATCH($B30,PalNames,0)+1,MATCH("Passive0bCondition",PalData_Header,0))),," ")&amp;IFERROR(INDEX(SkillData,MATCH(INDEX(PalData,MATCH($B30,PalNames,0)+1,MATCH("Passive0b",PalData_Header,0)),SkillDataCodeName,0)+1,MATCH("Conditions",SkillData_Header,0))))</f>
        <v>#N/A</v>
      </c>
      <c r="AE30" s="45" t="str">
        <f aca="false">IFERROR(__xludf.dummyfunction("IFERROR(INDEX(SkillData,MATCH(Arrayformula(ARRAY_CONSTRAIN(FILTER(INDIRECT(""PalData!""&amp;ADDRESS(MATCH(B30,PalNames,0)+1,(MATCH(""Passive0b"",PalData_Header,0)))&amp;"":""&amp;ADDRESS(MATCH(B30,PalNames,0)+1,(MATCH(""Passive0b"",PalData_Header,0))+4)),LEN(INDIRECT"&amp;"(""PalData!""&amp;ADDRESS(MATCH(B30,PalNames,0)+1,(MATCH(""Passive0b"",PalData_Header,0)))&amp;"":""&amp;ADDRESS(MATCH(B30,PalNames,0)+1,(MATCH(""Passive0b"",PalData_Header,0))+4)))&gt;0),1,1)),SkillDataCodeName,0)+1,MATCH(""ValueType1"",SkillData_Header,0)))"),"")</f>
        <v/>
      </c>
      <c r="AF30" s="45" t="n">
        <f aca="false">IFERROR(INDEX(SkillData,MATCH(INDEX(PalData,MATCH($B30,PalNames,0)+1,MATCH("Passive0b",PalData_Header,0)),SkillDataCodeName,0)+1,MATCH("EffectValue1",SkillData_Header,0)),)</f>
        <v>0</v>
      </c>
      <c r="AG30" s="45" t="n">
        <f aca="false">IFERROR(INDEX(SkillData,MATCH(INDEX(PalData,MATCH($B30,PalNames,0)+1,MATCH("Passive1b",PalData_Header,0)),SkillDataCodeName,0)+1,MATCH("EffectValue1",SkillData_Header,0)),)</f>
        <v>0</v>
      </c>
      <c r="AH30" s="45" t="n">
        <f aca="false">IFERROR(INDEX(SkillData,MATCH(INDEX(PalData,MATCH($B30,PalNames,0)+1,MATCH("Passive2b",PalData_Header,0)),SkillDataCodeName,0)+1,MATCH("EffectValue1",SkillData_Header,0)),)</f>
        <v>0</v>
      </c>
      <c r="AI30" s="45" t="n">
        <f aca="false">IFERROR(INDEX(SkillData,MATCH(INDEX(PalData,MATCH($B30,PalNames,0)+1,MATCH("Passive3b",PalData_Header,0)),SkillDataCodeName,0)+1,MATCH("EffectValue1",SkillData_Header,0)),)</f>
        <v>0</v>
      </c>
      <c r="AJ30" s="260" t="n">
        <f aca="false">IFERROR(INDEX(SkillData,MATCH(INDEX(PalData,MATCH($B30,PalNames,0)+1,MATCH("Passive4b",PalData_Header,0)),SkillDataCodeName,0)+1,MATCH("EffectValue1",SkillData_Header,0)),)</f>
        <v>0</v>
      </c>
      <c r="AK30" s="301" t="s">
        <v>294</v>
      </c>
    </row>
    <row r="31" customFormat="false" ht="15.75" hidden="false" customHeight="false" outlineLevel="0" collapsed="false">
      <c r="A31" s="302" t="n">
        <v>25</v>
      </c>
      <c r="B31" s="303" t="s">
        <v>34</v>
      </c>
      <c r="C31" s="48" t="str">
        <f aca="false" t="array" ref="C31:C31">IF(ISBLANK(INDEX(PalData,MATCH($B31,PalNames,0)+1,MATCH("ActiveSkill",PalData_Header,0))),INDEX(PalData,MATCH($B31,PalNames,0)+1,MATCH("SkillUnlock_",PalData_Header,0)),INDEX(PalData,MATCH($B31,PalNames,0)+1,MATCH("ActiveSkill",PalData_Header,0)))</f>
        <v>Gloves</v>
      </c>
      <c r="D31" s="48"/>
      <c r="E31" s="48" t="n">
        <f aca="false">INDEX(PalData,MATCH($B31,PalNames,0)+1,MATCH("ActiveSkillBonus0",PalData_Header,0))</f>
        <v>0</v>
      </c>
      <c r="F31" s="48" t="n">
        <f aca="false">INDEX(PalData,MATCH($B31,PalNames,0)+1,MATCH("ActiveSkillBonus1",PalData_Header,0))</f>
        <v>0</v>
      </c>
      <c r="G31" s="48" t="n">
        <f aca="false">INDEX(PalData,MATCH($B31,PalNames,0)+1,MATCH("ActiveSkillBonus2",PalData_Header,0))</f>
        <v>0</v>
      </c>
      <c r="H31" s="48" t="n">
        <f aca="false">INDEX(PalData,MATCH($B31,PalNames,0)+1,MATCH("ActiveSkillBonus3",PalData_Header,0))</f>
        <v>0</v>
      </c>
      <c r="I31" s="263" t="n">
        <f aca="false">INDEX(PalData,MATCH($B31,PalNames,0)+1,MATCH("ActiveSkillBonus4",PalData_Header,0))</f>
        <v>0</v>
      </c>
      <c r="J31" s="48" t="str">
        <f aca="false">IFERROR(__xludf.dummyfunction("IFERROR(INDEX(SkillData,MATCH(Arrayformula(ARRAY_CONSTRAIN(FILTER(INDIRECT(""PalData!""&amp;ADDRESS(MATCH(B31,PalNames,0)+1,(MATCH(""Passive0c"",PalData_Header,0)))&amp;"":""&amp;ADDRESS(MATCH(B31,PalNames,0)+1,(MATCH(""Passive0c"",PalData_Header,0))+4)),LEN(INDIRECT"&amp;"(""PalData!""&amp;ADDRESS(MATCH(B31,PalNames,0)+1,(MATCH(""Passive0c"",PalData_Header,0)))&amp;"":""&amp;ADDRESS(MATCH(B31,PalNames,0)+1,(MATCH(""Passive0c"",PalData_Header,0))+4)))&gt;0),1,1)),SkillDataCodeName,0)+1,MATCH(""EffectTypeCombined"",SkillData_Header,0)))"),"")</f>
        <v/>
      </c>
      <c r="K31" s="48" t="str">
        <f aca="false">IFERROR(__xludf.dummyfunction("IFERROR(INDEX(SkillData,MATCH(Arrayformula(ARRAY_CONSTRAIN(FILTER(INDIRECT(""PalData!""&amp;ADDRESS(MATCH(B31,PalNames,0)+1,(MATCH(""Passive0c"",PalData_Header,0)))&amp;"":""&amp;ADDRESS(MATCH(B31,PalNames,0)+1,(MATCH(""Passive0c"",PalData_Header,0))+4)),LEN(INDIRECT"&amp;"(""PalData!""&amp;ADDRESS(MATCH(B31,PalNames,0)+1,(MATCH(""Passive0c"",PalData_Header,0)))&amp;"":""&amp;ADDRESS(MATCH(B31,PalNames,0)+1,(MATCH(""Passive0c"",PalData_Header,0))+4)))&gt;0),1,1)),SkillDataCodeName,0)+1,MATCH(""TargetType1"",SkillData_Header,0)))"),"")</f>
        <v/>
      </c>
      <c r="L31" s="48" t="e">
        <f aca="false" t="array" ref="L31:L31">IF(INDEX(PalData,MATCH($B31,PalNames,0)+1,MATCH("Passive0cCondition",PalData_Header,0))=IFERROR(INDEX(SkillData,MATCH(INDEX(PalData,MATCH($B31,PalNames,0)+1,MATCH("Passive0c",PalData_Header,0)),SkillDataCodeName,0)+1,MATCH("Conditions",SkillData_Header,0))),INDEX(PalData,MATCH($B31,PalNames,0)+1,MATCH("Passive0cCondition",PalData_Header,0)),INDEX(PalData,MATCH($B31,PalNames,0)+1,MATCH("Passive0cCondition",PalData_Header,0)) &amp; IF(ISBLANK(INDEX(PalData,MATCH($B31,PalNames,0)+1,MATCH("Passive0cCondition",PalData_Header,0))),," ")&amp;IFERROR(INDEX(SkillData,MATCH(INDEX(PalData,MATCH($B31,PalNames,0)+1,MATCH("Passive0c",PalData_Header,0)),SkillDataCodeName,0)+1,MATCH("Conditions",SkillData_Header,0))))</f>
        <v>#N/A</v>
      </c>
      <c r="M31" s="48" t="str">
        <f aca="false">IFERROR(__xludf.dummyfunction("IFERROR(INDEX(SkillData,MATCH(Arrayformula(ARRAY_CONSTRAIN(FILTER(INDIRECT(""PalData!""&amp;ADDRESS(MATCH(B31,PalNames,0)+1,(MATCH(""Passive0c"",PalData_Header,0)))&amp;"":""&amp;ADDRESS(MATCH(B31,PalNames,0)+1,(MATCH(""Passive0c"",PalData_Header,0))+4)),LEN(INDIRECT"&amp;"(""PalData!""&amp;ADDRESS(MATCH(B31,PalNames,0)+1,(MATCH(""Passive0c"",PalData_Header,0)))&amp;"":""&amp;ADDRESS(MATCH(B31,PalNames,0)+1,(MATCH(""Passive0c"",PalData_Header,0))+4)))&gt;0),1,1)),SkillDataCodeName,0)+1,MATCH(""ValueType1"",SkillData_Header,0)))"),"")</f>
        <v/>
      </c>
      <c r="N31" s="48" t="e">
        <f aca="false" t="array" ref="N31:N31">IFERROR(INDEX(SkillData,MATCH(INDEX(PalData,MATCH($B31,PalNames,0)+1,MATCH("Passive0c",PalData_Header,0)),SkillDataCodeName,0)+1,MATCH("EffectValue1",SkillData_Header,0)))</f>
        <v>#VALUE!</v>
      </c>
      <c r="O31" s="48" t="e">
        <f aca="false" t="array" ref="O31:O31">IFERROR(INDEX(SkillData,MATCH(INDEX(PalData,MATCH($B31,PalNames,0)+1,MATCH("Passive1c",PalData_Header,0)),SkillDataCodeName,0)+1,MATCH("EffectValue1",SkillData_Header,0)))</f>
        <v>#VALUE!</v>
      </c>
      <c r="P31" s="48" t="e">
        <f aca="false" t="array" ref="P31:P31">IFERROR(INDEX(SkillData,MATCH(INDEX(PalData,MATCH($B31,PalNames,0)+1,MATCH("Passive2c",PalData_Header,0)),SkillDataCodeName,0)+1,MATCH("EffectValue1",SkillData_Header,0)))</f>
        <v>#VALUE!</v>
      </c>
      <c r="Q31" s="48" t="e">
        <f aca="false" t="array" ref="Q31:Q31">IFERROR(INDEX(SkillData,MATCH(INDEX(PalData,MATCH($B31,PalNames,0)+1,MATCH("Passive3c",PalData_Header,0)),SkillDataCodeName,0)+1,MATCH("EffectValue1",SkillData_Header,0)))</f>
        <v>#VALUE!</v>
      </c>
      <c r="R31" s="263" t="e">
        <f aca="false" t="array" ref="R31:R31">IFERROR(INDEX(SkillData,MATCH(INDEX(PalData,MATCH($B31,PalNames,0)+1,MATCH("Passive4c",PalData_Header,0)),SkillDataCodeName,0)+1,MATCH("EffectValue1",SkillData_Header,0)))</f>
        <v>#VALUE!</v>
      </c>
      <c r="S31" s="48" t="str">
        <f aca="false">IFERROR(__xludf.dummyfunction("IFERROR(INDEX(SkillData,MATCH(Arrayformula(ARRAY_CONSTRAIN(FILTER(INDIRECT(""PalData!""&amp;ADDRESS(MATCH(B31,PalNames,0)+1,(MATCH(""Passive0a"",PalData_Header,0)))&amp;"":""&amp;ADDRESS(MATCH(B31,PalNames,0)+1,(MATCH(""Passive0a"",PalData_Header,0))+4)),LEN(INDIRECT"&amp;"(""PalData!""&amp;ADDRESS(MATCH(B31,PalNames,0)+1,(MATCH(""Passive0a"",PalData_Header,0)))&amp;"":""&amp;ADDRESS(MATCH(B31,PalNames,0)+1,(MATCH(""Passive0a"",PalData_Header,0))+4)))&gt;0),1,1)),SkillDataCodeName,0)+1,MATCH(""EffectTypeCombined"",SkillData_Header,0)))"),"")</f>
        <v/>
      </c>
      <c r="T31" s="48" t="str">
        <f aca="false">IFERROR(__xludf.dummyfunction("IFERROR(INDEX(SkillData,MATCH(Arrayformula(ARRAY_CONSTRAIN(FILTER(INDIRECT(""PalData!""&amp;ADDRESS(MATCH(B31,PalNames,0)+1,(MATCH(""Passive0a"",PalData_Header,0)))&amp;"":""&amp;ADDRESS(MATCH(B31,PalNames,0)+1,(MATCH(""Passive0a"",PalData_Header,0))+4)),LEN(INDIRECT"&amp;"(""PalData!""&amp;ADDRESS(MATCH(B31,PalNames,0)+1,(MATCH(""Passive0a"",PalData_Header,0)))&amp;"":""&amp;ADDRESS(MATCH(B31,PalNames,0)+1,(MATCH(""Passive0a"",PalData_Header,0))+4)))&gt;0),1,1)),SkillDataCodeName,0)+1,MATCH(""TargetType1"",SkillData_Header,0)))"),"")</f>
        <v/>
      </c>
      <c r="U31" s="48" t="e">
        <f aca="false" t="array" ref="U31:U31">IF(INDEX(PalData,MATCH($B31,PalNames,0)+1,MATCH("Passive0aCondition",PalData_Header,0))=IFERROR(INDEX(SkillData,MATCH(INDEX(PalData,MATCH($B31,PalNames,0)+1,MATCH("Passive0a",PalData_Header,0)),SkillDataCodeName,0)+1,MATCH("Conditions",SkillData_Header,0))),INDEX(PalData,MATCH($B31,PalNames,0)+1,MATCH("Passive0aCondition",PalData_Header,0)),INDEX(PalData,MATCH($B31,PalNames,0)+1,MATCH("Passive0aCondition",PalData_Header,0)) &amp; IF(ISBLANK(INDEX(PalData,MATCH($B31,PalNames,0)+1,MATCH("Passive0aCondition",PalData_Header,0))),," ")&amp;IFERROR(INDEX(SkillData,MATCH(INDEX(PalData,MATCH($B31,PalNames,0)+1,MATCH("Passive0a",PalData_Header,0)),SkillDataCodeName,0)+1,MATCH("Conditions",SkillData_Header,0))))</f>
        <v>#N/A</v>
      </c>
      <c r="V31" s="48" t="str">
        <f aca="false">IFERROR(__xludf.dummyfunction("IFERROR(INDEX(SkillData,MATCH(Arrayformula(ARRAY_CONSTRAIN(FILTER(INDIRECT(""PalData!""&amp;ADDRESS(MATCH(B31,PalNames,0)+1,(MATCH(""Passive0a"",PalData_Header,0)))&amp;"":""&amp;ADDRESS(MATCH(B31,PalNames,0)+1,(MATCH(""Passive0a"",PalData_Header,0))+4)),LEN(INDIRECT"&amp;"(""PalData!""&amp;ADDRESS(MATCH(B31,PalNames,0)+1,(MATCH(""Passive0a"",PalData_Header,0)))&amp;"":""&amp;ADDRESS(MATCH(B31,PalNames,0)+1,(MATCH(""Passive0a"",PalData_Header,0))+4)))&gt;0),1,1)),SkillDataCodeName,0)+1,MATCH(""ValueType1"",SkillData_Header,0)))"),"")</f>
        <v/>
      </c>
      <c r="W31" s="48" t="n">
        <f aca="false">IFERROR(INDEX(SkillData,MATCH(INDEX(PalData,MATCH($B31,PalNames,0)+1,MATCH("Passive0a",PalData_Header,0)),SkillDataCodeName,0)+1,MATCH("EffectValue1",SkillData_Header,0)),)</f>
        <v>0</v>
      </c>
      <c r="X31" s="48" t="n">
        <f aca="false">IFERROR(INDEX(SkillData,MATCH(INDEX(PalData,MATCH($B31,PalNames,0)+1,MATCH("Passive1a",PalData_Header,0)),SkillDataCodeName,0)+1,MATCH("EffectValue1",SkillData_Header,0)),)</f>
        <v>0</v>
      </c>
      <c r="Y31" s="48" t="n">
        <f aca="false">IFERROR(INDEX(SkillData,MATCH(INDEX(PalData,MATCH($B31,PalNames,0)+1,MATCH("Passive2a",PalData_Header,0)),SkillDataCodeName,0)+1,MATCH("EffectValue1",SkillData_Header,0)),)</f>
        <v>0</v>
      </c>
      <c r="Z31" s="48" t="n">
        <f aca="false">IFERROR(INDEX(SkillData,MATCH(INDEX(PalData,MATCH($B31,PalNames,0)+1,MATCH("Passive3a",PalData_Header,0)),SkillDataCodeName,0)+1,MATCH("EffectValue1",SkillData_Header,0)),)</f>
        <v>0</v>
      </c>
      <c r="AA31" s="263" t="n">
        <f aca="false">IFERROR(INDEX(SkillData,MATCH(INDEX(PalData,MATCH($B31,PalNames,0)+1,MATCH("Passive4a",PalData_Header,0)),SkillDataCodeName,0)+1,MATCH("EffectValue1",SkillData_Header,0)),)</f>
        <v>0</v>
      </c>
      <c r="AB31" s="48" t="str">
        <f aca="false">IFERROR(__xludf.dummyfunction("IFERROR(INDEX(SkillData,MATCH(Arrayformula(ARRAY_CONSTRAIN(FILTER(INDIRECT(""PalData!""&amp;ADDRESS(MATCH(B31,PalNames,0)+1,(MATCH(""Passive0b"",PalData_Header,0)))&amp;"":""&amp;ADDRESS(MATCH(B31,PalNames,0)+1,(MATCH(""Passive0b"",PalData_Header,0))+4)),LEN(INDIRECT"&amp;"(""PalData!""&amp;ADDRESS(MATCH(B31,PalNames,0)+1,(MATCH(""Passive0b"",PalData_Header,0)))&amp;"":""&amp;ADDRESS(MATCH(B31,PalNames,0)+1,(MATCH(""Passive0b"",PalData_Header,0))+4)))&gt;0),1,1)),SkillDataCodeName,0)+1,MATCH(""EffectTypeCombined"",SkillData_Header,0)))"),"")</f>
        <v/>
      </c>
      <c r="AC31" s="48" t="str">
        <f aca="false">IFERROR(__xludf.dummyfunction("IFERROR(INDEX(SkillData,MATCH(Arrayformula(ARRAY_CONSTRAIN(FILTER(INDIRECT(""PalData!""&amp;ADDRESS(MATCH(B31,PalNames,0)+1,(MATCH(""Passive0b"",PalData_Header,0)))&amp;"":""&amp;ADDRESS(MATCH(B31,PalNames,0)+1,(MATCH(""Passive0b"",PalData_Header,0))+4)),LEN(INDIRECT"&amp;"(""PalData!""&amp;ADDRESS(MATCH(B31,PalNames,0)+1,(MATCH(""Passive0b"",PalData_Header,0)))&amp;"":""&amp;ADDRESS(MATCH(B31,PalNames,0)+1,(MATCH(""Passive0b"",PalData_Header,0))+4)))&gt;0),1,1)),SkillDataCodeName,0)+1,MATCH(""TargetType1"",SkillData_Header,0)))"),"")</f>
        <v/>
      </c>
      <c r="AD31" s="48" t="e">
        <f aca="false" t="array" ref="AD31:AD31">IF(INDEX(PalData,MATCH($B31,PalNames,0)+1,MATCH("Passive0bCondition",PalData_Header,0))=IFERROR(INDEX(SkillData,MATCH(INDEX(PalData,MATCH($B31,PalNames,0)+1,MATCH("Passive0b",PalData_Header,0)),SkillDataCodeName,0)+1,MATCH("Conditions",SkillData_Header,0))),INDEX(PalData,MATCH($B31,PalNames,0)+1,MATCH("Passive0bCondition",PalData_Header,0)),INDEX(PalData,MATCH($B31,PalNames,0)+1,MATCH("Passive0bCondition",PalData_Header,0)) &amp; IF(ISBLANK(INDEX(PalData,MATCH($B31,PalNames,0)+1,MATCH("Passive0bCondition",PalData_Header,0))),," ")&amp;IFERROR(INDEX(SkillData,MATCH(INDEX(PalData,MATCH($B31,PalNames,0)+1,MATCH("Passive0b",PalData_Header,0)),SkillDataCodeName,0)+1,MATCH("Conditions",SkillData_Header,0))))</f>
        <v>#N/A</v>
      </c>
      <c r="AE31" s="48" t="str">
        <f aca="false">IFERROR(__xludf.dummyfunction("IFERROR(INDEX(SkillData,MATCH(Arrayformula(ARRAY_CONSTRAIN(FILTER(INDIRECT(""PalData!""&amp;ADDRESS(MATCH(B31,PalNames,0)+1,(MATCH(""Passive0b"",PalData_Header,0)))&amp;"":""&amp;ADDRESS(MATCH(B31,PalNames,0)+1,(MATCH(""Passive0b"",PalData_Header,0))+4)),LEN(INDIRECT"&amp;"(""PalData!""&amp;ADDRESS(MATCH(B31,PalNames,0)+1,(MATCH(""Passive0b"",PalData_Header,0)))&amp;"":""&amp;ADDRESS(MATCH(B31,PalNames,0)+1,(MATCH(""Passive0b"",PalData_Header,0))+4)))&gt;0),1,1)),SkillDataCodeName,0)+1,MATCH(""ValueType1"",SkillData_Header,0)))"),"")</f>
        <v/>
      </c>
      <c r="AF31" s="48" t="n">
        <f aca="false">IFERROR(INDEX(SkillData,MATCH(INDEX(PalData,MATCH($B31,PalNames,0)+1,MATCH("Passive0b",PalData_Header,0)),SkillDataCodeName,0)+1,MATCH("EffectValue1",SkillData_Header,0)),)</f>
        <v>0</v>
      </c>
      <c r="AG31" s="48" t="n">
        <f aca="false">IFERROR(INDEX(SkillData,MATCH(INDEX(PalData,MATCH($B31,PalNames,0)+1,MATCH("Passive1b",PalData_Header,0)),SkillDataCodeName,0)+1,MATCH("EffectValue1",SkillData_Header,0)),)</f>
        <v>0</v>
      </c>
      <c r="AH31" s="48" t="n">
        <f aca="false">IFERROR(INDEX(SkillData,MATCH(INDEX(PalData,MATCH($B31,PalNames,0)+1,MATCH("Passive2b",PalData_Header,0)),SkillDataCodeName,0)+1,MATCH("EffectValue1",SkillData_Header,0)),)</f>
        <v>0</v>
      </c>
      <c r="AI31" s="48" t="n">
        <f aca="false">IFERROR(INDEX(SkillData,MATCH(INDEX(PalData,MATCH($B31,PalNames,0)+1,MATCH("Passive3b",PalData_Header,0)),SkillDataCodeName,0)+1,MATCH("EffectValue1",SkillData_Header,0)),)</f>
        <v>0</v>
      </c>
      <c r="AJ31" s="263" t="n">
        <f aca="false">IFERROR(INDEX(SkillData,MATCH(INDEX(PalData,MATCH($B31,PalNames,0)+1,MATCH("Passive4b",PalData_Header,0)),SkillDataCodeName,0)+1,MATCH("EffectValue1",SkillData_Header,0)),)</f>
        <v>0</v>
      </c>
      <c r="AK31" s="305" t="s">
        <v>295</v>
      </c>
    </row>
    <row r="32" customFormat="false" ht="15.75" hidden="false" customHeight="false" outlineLevel="0" collapsed="false">
      <c r="A32" s="299" t="n">
        <v>26</v>
      </c>
      <c r="B32" s="300" t="s">
        <v>46</v>
      </c>
      <c r="C32" s="45" t="str">
        <f aca="false" t="array" ref="C32:C32">IF(ISBLANK(INDEX(PalData,MATCH($B32,PalNames,0)+1,MATCH("ActiveSkill",PalData_Header,0))),INDEX(PalData,MATCH($B32,PalNames,0)+1,MATCH("SkillUnlock_",PalData_Header,0)),INDEX(PalData,MATCH($B32,PalNames,0)+1,MATCH("ActiveSkill",PalData_Header,0)))</f>
        <v>Saddle</v>
      </c>
      <c r="D32" s="45"/>
      <c r="E32" s="45" t="n">
        <f aca="false">INDEX(PalData,MATCH($B32,PalNames,0)+1,MATCH("ActiveSkillBonus0",PalData_Header,0))</f>
        <v>0</v>
      </c>
      <c r="F32" s="45" t="n">
        <f aca="false">INDEX(PalData,MATCH($B32,PalNames,0)+1,MATCH("ActiveSkillBonus1",PalData_Header,0))</f>
        <v>0</v>
      </c>
      <c r="G32" s="45" t="n">
        <f aca="false">INDEX(PalData,MATCH($B32,PalNames,0)+1,MATCH("ActiveSkillBonus2",PalData_Header,0))</f>
        <v>0</v>
      </c>
      <c r="H32" s="45" t="n">
        <f aca="false">INDEX(PalData,MATCH($B32,PalNames,0)+1,MATCH("ActiveSkillBonus3",PalData_Header,0))</f>
        <v>0</v>
      </c>
      <c r="I32" s="260" t="n">
        <f aca="false">INDEX(PalData,MATCH($B32,PalNames,0)+1,MATCH("ActiveSkillBonus4",PalData_Header,0))</f>
        <v>0</v>
      </c>
      <c r="J32" s="45" t="str">
        <f aca="false">IFERROR(__xludf.dummyfunction("IFERROR(INDEX(SkillData,MATCH(Arrayformula(ARRAY_CONSTRAIN(FILTER(INDIRECT(""PalData!""&amp;ADDRESS(MATCH(B32,PalNames,0)+1,(MATCH(""Passive0c"",PalData_Header,0)))&amp;"":""&amp;ADDRESS(MATCH(B32,PalNames,0)+1,(MATCH(""Passive0c"",PalData_Header,0))+4)),LEN(INDIRECT"&amp;"(""PalData!""&amp;ADDRESS(MATCH(B32,PalNames,0)+1,(MATCH(""Passive0c"",PalData_Header,0)))&amp;"":""&amp;ADDRESS(MATCH(B32,PalNames,0)+1,(MATCH(""Passive0c"",PalData_Header,0))+4)))&gt;0),1,1)),SkillDataCodeName,0)+1,MATCH(""EffectTypeCombined"",SkillData_Header,0)))"),"MoveSpeed")</f>
        <v>MoveSpeed</v>
      </c>
      <c r="K32" s="45" t="str">
        <f aca="false">IFERROR(__xludf.dummyfunction("IFERROR(INDEX(SkillData,MATCH(Arrayformula(ARRAY_CONSTRAIN(FILTER(INDIRECT(""PalData!""&amp;ADDRESS(MATCH(B32,PalNames,0)+1,(MATCH(""Passive0c"",PalData_Header,0)))&amp;"":""&amp;ADDRESS(MATCH(B32,PalNames,0)+1,(MATCH(""Passive0c"",PalData_Header,0))+4)),LEN(INDIRECT"&amp;"(""PalData!""&amp;ADDRESS(MATCH(B32,PalNames,0)+1,(MATCH(""Passive0c"",PalData_Header,0)))&amp;"":""&amp;ADDRESS(MATCH(B32,PalNames,0)+1,(MATCH(""Passive0c"",PalData_Header,0))+4)))&gt;0),1,1)),SkillDataCodeName,0)+1,MATCH(""TargetType1"",SkillData_Header,0)))"),"SelfAndTrainer")</f>
        <v>SelfAndTrainer</v>
      </c>
      <c r="L32" s="45" t="e">
        <f aca="false" t="array" ref="L32:L32">IF(INDEX(PalData,MATCH($B32,PalNames,0)+1,MATCH("Passive0cCondition",PalData_Header,0))=IFERROR(INDEX(SkillData,MATCH(INDEX(PalData,MATCH($B32,PalNames,0)+1,MATCH("Passive0c",PalData_Header,0)),SkillDataCodeName,0)+1,MATCH("Conditions",SkillData_Header,0))),INDEX(PalData,MATCH($B32,PalNames,0)+1,MATCH("Passive0cCondition",PalData_Header,0)),INDEX(PalData,MATCH($B32,PalNames,0)+1,MATCH("Passive0cCondition",PalData_Header,0)) &amp; IF(ISBLANK(INDEX(PalData,MATCH($B32,PalNames,0)+1,MATCH("Passive0cCondition",PalData_Header,0))),," ")&amp;IFERROR(INDEX(SkillData,MATCH(INDEX(PalData,MATCH($B32,PalNames,0)+1,MATCH("Passive0c",PalData_Header,0)),SkillDataCodeName,0)+1,MATCH("Conditions",SkillData_Header,0))))</f>
        <v>#N/A</v>
      </c>
      <c r="M32" s="45" t="str">
        <f aca="false">IFERROR(__xludf.dummyfunction("IFERROR(INDEX(SkillData,MATCH(Arrayformula(ARRAY_CONSTRAIN(FILTER(INDIRECT(""PalData!""&amp;ADDRESS(MATCH(B32,PalNames,0)+1,(MATCH(""Passive0c"",PalData_Header,0)))&amp;"":""&amp;ADDRESS(MATCH(B32,PalNames,0)+1,(MATCH(""Passive0c"",PalData_Header,0))+4)),LEN(INDIRECT"&amp;"(""PalData!""&amp;ADDRESS(MATCH(B32,PalNames,0)+1,(MATCH(""Passive0c"",PalData_Header,0)))&amp;"":""&amp;ADDRESS(MATCH(B32,PalNames,0)+1,(MATCH(""Passive0c"",PalData_Header,0))+4)))&gt;0),1,1)),SkillDataCodeName,0)+1,MATCH(""ValueType1"",SkillData_Header,0)))"),"%")</f>
        <v>%</v>
      </c>
      <c r="N32" s="45" t="e">
        <f aca="false" t="array" ref="N32:N32">IFERROR(INDEX(SkillData,MATCH(INDEX(PalData,MATCH($B32,PalNames,0)+1,MATCH("Passive0c",PalData_Header,0)),SkillDataCodeName,0)+1,MATCH("EffectValue1",SkillData_Header,0)))</f>
        <v>#VALUE!</v>
      </c>
      <c r="O32" s="62" t="e">
        <f aca="false" t="array" ref="O32:O32">IFERROR(INDEX(SkillData,MATCH(INDEX(PalData,MATCH($B32,PalNames,0)+1,MATCH("Passive1c",PalData_Header,0)),SkillDataCodeName,0)+1,MATCH("EffectValue1",SkillData_Header,0)))</f>
        <v>#VALUE!</v>
      </c>
      <c r="P32" s="62" t="e">
        <f aca="false" t="array" ref="P32:P32">IFERROR(INDEX(SkillData,MATCH(INDEX(PalData,MATCH($B32,PalNames,0)+1,MATCH("Passive2c",PalData_Header,0)),SkillDataCodeName,0)+1,MATCH("EffectValue1",SkillData_Header,0)))</f>
        <v>#VALUE!</v>
      </c>
      <c r="Q32" s="62" t="e">
        <f aca="false" t="array" ref="Q32:Q32">IFERROR(INDEX(SkillData,MATCH(INDEX(PalData,MATCH($B32,PalNames,0)+1,MATCH("Passive3c",PalData_Header,0)),SkillDataCodeName,0)+1,MATCH("EffectValue1",SkillData_Header,0)))</f>
        <v>#VALUE!</v>
      </c>
      <c r="R32" s="306" t="e">
        <f aca="false" t="array" ref="R32:R32">IFERROR(INDEX(SkillData,MATCH(INDEX(PalData,MATCH($B32,PalNames,0)+1,MATCH("Passive4c",PalData_Header,0)),SkillDataCodeName,0)+1,MATCH("EffectValue1",SkillData_Header,0)))</f>
        <v>#VALUE!</v>
      </c>
      <c r="S32" s="45" t="str">
        <f aca="false">IFERROR(__xludf.dummyfunction("IFERROR(INDEX(SkillData,MATCH(Arrayformula(ARRAY_CONSTRAIN(FILTER(INDIRECT(""PalData!""&amp;ADDRESS(MATCH(B32,PalNames,0)+1,(MATCH(""Passive0a"",PalData_Header,0)))&amp;"":""&amp;ADDRESS(MATCH(B32,PalNames,0)+1,(MATCH(""Passive0a"",PalData_Header,0))+4)),LEN(INDIRECT"&amp;"(""PalData!""&amp;ADDRESS(MATCH(B32,PalNames,0)+1,(MATCH(""Passive0a"",PalData_Header,0)))&amp;"":""&amp;ADDRESS(MATCH(B32,PalNames,0)+1,(MATCH(""Passive0a"",PalData_Header,0))+4)))&gt;0),1,1)),SkillDataCodeName,0)+1,MATCH(""EffectTypeCombined"",SkillData_Header,0)))"),"")</f>
        <v/>
      </c>
      <c r="T32" s="45" t="str">
        <f aca="false">IFERROR(__xludf.dummyfunction("IFERROR(INDEX(SkillData,MATCH(Arrayformula(ARRAY_CONSTRAIN(FILTER(INDIRECT(""PalData!""&amp;ADDRESS(MATCH(B32,PalNames,0)+1,(MATCH(""Passive0a"",PalData_Header,0)))&amp;"":""&amp;ADDRESS(MATCH(B32,PalNames,0)+1,(MATCH(""Passive0a"",PalData_Header,0))+4)),LEN(INDIRECT"&amp;"(""PalData!""&amp;ADDRESS(MATCH(B32,PalNames,0)+1,(MATCH(""Passive0a"",PalData_Header,0)))&amp;"":""&amp;ADDRESS(MATCH(B32,PalNames,0)+1,(MATCH(""Passive0a"",PalData_Header,0))+4)))&gt;0),1,1)),SkillDataCodeName,0)+1,MATCH(""TargetType1"",SkillData_Header,0)))"),"")</f>
        <v/>
      </c>
      <c r="U32" s="45" t="e">
        <f aca="false" t="array" ref="U32:U32">IF(INDEX(PalData,MATCH($B32,PalNames,0)+1,MATCH("Passive0aCondition",PalData_Header,0))=IFERROR(INDEX(SkillData,MATCH(INDEX(PalData,MATCH($B32,PalNames,0)+1,MATCH("Passive0a",PalData_Header,0)),SkillDataCodeName,0)+1,MATCH("Conditions",SkillData_Header,0))),INDEX(PalData,MATCH($B32,PalNames,0)+1,MATCH("Passive0aCondition",PalData_Header,0)),INDEX(PalData,MATCH($B32,PalNames,0)+1,MATCH("Passive0aCondition",PalData_Header,0)) &amp; IF(ISBLANK(INDEX(PalData,MATCH($B32,PalNames,0)+1,MATCH("Passive0aCondition",PalData_Header,0))),," ")&amp;IFERROR(INDEX(SkillData,MATCH(INDEX(PalData,MATCH($B32,PalNames,0)+1,MATCH("Passive0a",PalData_Header,0)),SkillDataCodeName,0)+1,MATCH("Conditions",SkillData_Header,0))))</f>
        <v>#N/A</v>
      </c>
      <c r="V32" s="45" t="str">
        <f aca="false">IFERROR(__xludf.dummyfunction("IFERROR(INDEX(SkillData,MATCH(Arrayformula(ARRAY_CONSTRAIN(FILTER(INDIRECT(""PalData!""&amp;ADDRESS(MATCH(B32,PalNames,0)+1,(MATCH(""Passive0a"",PalData_Header,0)))&amp;"":""&amp;ADDRESS(MATCH(B32,PalNames,0)+1,(MATCH(""Passive0a"",PalData_Header,0))+4)),LEN(INDIRECT"&amp;"(""PalData!""&amp;ADDRESS(MATCH(B32,PalNames,0)+1,(MATCH(""Passive0a"",PalData_Header,0)))&amp;"":""&amp;ADDRESS(MATCH(B32,PalNames,0)+1,(MATCH(""Passive0a"",PalData_Header,0))+4)))&gt;0),1,1)),SkillDataCodeName,0)+1,MATCH(""ValueType1"",SkillData_Header,0)))"),"")</f>
        <v/>
      </c>
      <c r="W32" s="45" t="n">
        <f aca="false">IFERROR(INDEX(SkillData,MATCH(INDEX(PalData,MATCH($B32,PalNames,0)+1,MATCH("Passive0a",PalData_Header,0)),SkillDataCodeName,0)+1,MATCH("EffectValue1",SkillData_Header,0)),)</f>
        <v>0</v>
      </c>
      <c r="X32" s="45" t="n">
        <f aca="false">IFERROR(INDEX(SkillData,MATCH(INDEX(PalData,MATCH($B32,PalNames,0)+1,MATCH("Passive1a",PalData_Header,0)),SkillDataCodeName,0)+1,MATCH("EffectValue1",SkillData_Header,0)),)</f>
        <v>0</v>
      </c>
      <c r="Y32" s="45" t="n">
        <f aca="false">IFERROR(INDEX(SkillData,MATCH(INDEX(PalData,MATCH($B32,PalNames,0)+1,MATCH("Passive2a",PalData_Header,0)),SkillDataCodeName,0)+1,MATCH("EffectValue1",SkillData_Header,0)),)</f>
        <v>0</v>
      </c>
      <c r="Z32" s="45" t="n">
        <f aca="false">IFERROR(INDEX(SkillData,MATCH(INDEX(PalData,MATCH($B32,PalNames,0)+1,MATCH("Passive3a",PalData_Header,0)),SkillDataCodeName,0)+1,MATCH("EffectValue1",SkillData_Header,0)),)</f>
        <v>0</v>
      </c>
      <c r="AA32" s="260" t="n">
        <f aca="false">IFERROR(INDEX(SkillData,MATCH(INDEX(PalData,MATCH($B32,PalNames,0)+1,MATCH("Passive4a",PalData_Header,0)),SkillDataCodeName,0)+1,MATCH("EffectValue1",SkillData_Header,0)),)</f>
        <v>0</v>
      </c>
      <c r="AB32" s="45" t="str">
        <f aca="false">IFERROR(__xludf.dummyfunction("IFERROR(INDEX(SkillData,MATCH(Arrayformula(ARRAY_CONSTRAIN(FILTER(INDIRECT(""PalData!""&amp;ADDRESS(MATCH(B32,PalNames,0)+1,(MATCH(""Passive0b"",PalData_Header,0)))&amp;"":""&amp;ADDRESS(MATCH(B32,PalNames,0)+1,(MATCH(""Passive0b"",PalData_Header,0))+4)),LEN(INDIRECT"&amp;"(""PalData!""&amp;ADDRESS(MATCH(B32,PalNames,0)+1,(MATCH(""Passive0b"",PalData_Header,0)))&amp;"":""&amp;ADDRESS(MATCH(B32,PalNames,0)+1,(MATCH(""Passive0b"",PalData_Header,0))+4)))&gt;0),1,1)),SkillDataCodeName,0)+1,MATCH(""EffectTypeCombined"",SkillData_Header,0)))"),"")</f>
        <v/>
      </c>
      <c r="AC32" s="45" t="str">
        <f aca="false">IFERROR(__xludf.dummyfunction("IFERROR(INDEX(SkillData,MATCH(Arrayformula(ARRAY_CONSTRAIN(FILTER(INDIRECT(""PalData!""&amp;ADDRESS(MATCH(B32,PalNames,0)+1,(MATCH(""Passive0b"",PalData_Header,0)))&amp;"":""&amp;ADDRESS(MATCH(B32,PalNames,0)+1,(MATCH(""Passive0b"",PalData_Header,0))+4)),LEN(INDIRECT"&amp;"(""PalData!""&amp;ADDRESS(MATCH(B32,PalNames,0)+1,(MATCH(""Passive0b"",PalData_Header,0)))&amp;"":""&amp;ADDRESS(MATCH(B32,PalNames,0)+1,(MATCH(""Passive0b"",PalData_Header,0))+4)))&gt;0),1,1)),SkillDataCodeName,0)+1,MATCH(""TargetType1"",SkillData_Header,0)))"),"")</f>
        <v/>
      </c>
      <c r="AD32" s="45" t="e">
        <f aca="false" t="array" ref="AD32:AD32">IF(INDEX(PalData,MATCH($B32,PalNames,0)+1,MATCH("Passive0bCondition",PalData_Header,0))=IFERROR(INDEX(SkillData,MATCH(INDEX(PalData,MATCH($B32,PalNames,0)+1,MATCH("Passive0b",PalData_Header,0)),SkillDataCodeName,0)+1,MATCH("Conditions",SkillData_Header,0))),INDEX(PalData,MATCH($B32,PalNames,0)+1,MATCH("Passive0bCondition",PalData_Header,0)),INDEX(PalData,MATCH($B32,PalNames,0)+1,MATCH("Passive0bCondition",PalData_Header,0)) &amp; IF(ISBLANK(INDEX(PalData,MATCH($B32,PalNames,0)+1,MATCH("Passive0bCondition",PalData_Header,0))),," ")&amp;IFERROR(INDEX(SkillData,MATCH(INDEX(PalData,MATCH($B32,PalNames,0)+1,MATCH("Passive0b",PalData_Header,0)),SkillDataCodeName,0)+1,MATCH("Conditions",SkillData_Header,0))))</f>
        <v>#N/A</v>
      </c>
      <c r="AE32" s="45" t="str">
        <f aca="false">IFERROR(__xludf.dummyfunction("IFERROR(INDEX(SkillData,MATCH(Arrayformula(ARRAY_CONSTRAIN(FILTER(INDIRECT(""PalData!""&amp;ADDRESS(MATCH(B32,PalNames,0)+1,(MATCH(""Passive0b"",PalData_Header,0)))&amp;"":""&amp;ADDRESS(MATCH(B32,PalNames,0)+1,(MATCH(""Passive0b"",PalData_Header,0))+4)),LEN(INDIRECT"&amp;"(""PalData!""&amp;ADDRESS(MATCH(B32,PalNames,0)+1,(MATCH(""Passive0b"",PalData_Header,0)))&amp;"":""&amp;ADDRESS(MATCH(B32,PalNames,0)+1,(MATCH(""Passive0b"",PalData_Header,0))+4)))&gt;0),1,1)),SkillDataCodeName,0)+1,MATCH(""ValueType1"",SkillData_Header,0)))"),"")</f>
        <v/>
      </c>
      <c r="AF32" s="45" t="n">
        <f aca="false">IFERROR(INDEX(SkillData,MATCH(INDEX(PalData,MATCH($B32,PalNames,0)+1,MATCH("Passive0b",PalData_Header,0)),SkillDataCodeName,0)+1,MATCH("EffectValue1",SkillData_Header,0)),)</f>
        <v>0</v>
      </c>
      <c r="AG32" s="45" t="n">
        <f aca="false">IFERROR(INDEX(SkillData,MATCH(INDEX(PalData,MATCH($B32,PalNames,0)+1,MATCH("Passive1b",PalData_Header,0)),SkillDataCodeName,0)+1,MATCH("EffectValue1",SkillData_Header,0)),)</f>
        <v>0</v>
      </c>
      <c r="AH32" s="45" t="n">
        <f aca="false">IFERROR(INDEX(SkillData,MATCH(INDEX(PalData,MATCH($B32,PalNames,0)+1,MATCH("Passive2b",PalData_Header,0)),SkillDataCodeName,0)+1,MATCH("EffectValue1",SkillData_Header,0)),)</f>
        <v>0</v>
      </c>
      <c r="AI32" s="45" t="n">
        <f aca="false">IFERROR(INDEX(SkillData,MATCH(INDEX(PalData,MATCH($B32,PalNames,0)+1,MATCH("Passive3b",PalData_Header,0)),SkillDataCodeName,0)+1,MATCH("EffectValue1",SkillData_Header,0)),)</f>
        <v>0</v>
      </c>
      <c r="AJ32" s="260" t="n">
        <f aca="false">IFERROR(INDEX(SkillData,MATCH(INDEX(PalData,MATCH($B32,PalNames,0)+1,MATCH("Passive4b",PalData_Header,0)),SkillDataCodeName,0)+1,MATCH("EffectValue1",SkillData_Header,0)),)</f>
        <v>0</v>
      </c>
      <c r="AK32" s="301" t="s">
        <v>296</v>
      </c>
    </row>
    <row r="33" customFormat="false" ht="15.75" hidden="false" customHeight="false" outlineLevel="0" collapsed="false">
      <c r="A33" s="302" t="n">
        <v>27</v>
      </c>
      <c r="B33" s="303" t="s">
        <v>141</v>
      </c>
      <c r="C33" s="48" t="str">
        <f aca="false" t="array" ref="C33:C33">IF(ISBLANK(INDEX(PalData,MATCH($B33,PalNames,0)+1,MATCH("ActiveSkill",PalData_Header,0))),INDEX(PalData,MATCH($B33,PalNames,0)+1,MATCH("SkillUnlock_",PalData_Header,0)),INDEX(PalData,MATCH($B33,PalNames,0)+1,MATCH("ActiveSkill",PalData_Header,0)))</f>
        <v>Launcher</v>
      </c>
      <c r="D33" s="48" t="s">
        <v>266</v>
      </c>
      <c r="E33" s="61" t="n">
        <f aca="false" t="array" ref="E33:E33">INDEX(PalData,MATCH($B33,PalNames,0)+1,MATCH("ActiveSkillBonus0",PalData_Header,0))</f>
        <v>100</v>
      </c>
      <c r="F33" s="61" t="n">
        <f aca="false" t="array" ref="F33:F33">INDEX(PalData,MATCH($B33,PalNames,0)+1,MATCH("ActiveSkillBonus1",PalData_Header,0))</f>
        <v>110</v>
      </c>
      <c r="G33" s="61" t="n">
        <f aca="false" t="array" ref="G33:G33">INDEX(PalData,MATCH($B33,PalNames,0)+1,MATCH("ActiveSkillBonus2",PalData_Header,0))</f>
        <v>130</v>
      </c>
      <c r="H33" s="61" t="n">
        <f aca="false" t="array" ref="H33:H33">INDEX(PalData,MATCH($B33,PalNames,0)+1,MATCH("ActiveSkillBonus3",PalData_Header,0))</f>
        <v>160</v>
      </c>
      <c r="I33" s="304" t="n">
        <f aca="false" t="array" ref="I33:I33">INDEX(PalData,MATCH($B33,PalNames,0)+1,MATCH("ActiveSkillBonus4",PalData_Header,0))</f>
        <v>200</v>
      </c>
      <c r="J33" s="48" t="str">
        <f aca="false">IFERROR(__xludf.dummyfunction("IFERROR(INDEX(SkillData,MATCH(Arrayformula(ARRAY_CONSTRAIN(FILTER(INDIRECT(""PalData!""&amp;ADDRESS(MATCH(B33,PalNames,0)+1,(MATCH(""Passive0c"",PalData_Header,0)))&amp;"":""&amp;ADDRESS(MATCH(B33,PalNames,0)+1,(MATCH(""Passive0c"",PalData_Header,0))+4)),LEN(INDIRECT"&amp;"(""PalData!""&amp;ADDRESS(MATCH(B33,PalNames,0)+1,(MATCH(""Passive0c"",PalData_Header,0)))&amp;"":""&amp;ADDRESS(MATCH(B33,PalNames,0)+1,(MATCH(""Passive0c"",PalData_Header,0))+4)))&gt;0),1,1)),SkillDataCodeName,0)+1,MATCH(""EffectTypeCombined"",SkillData_Header,0)))"),"")</f>
        <v/>
      </c>
      <c r="K33" s="48" t="str">
        <f aca="false">IFERROR(__xludf.dummyfunction("IFERROR(INDEX(SkillData,MATCH(Arrayformula(ARRAY_CONSTRAIN(FILTER(INDIRECT(""PalData!""&amp;ADDRESS(MATCH(B33,PalNames,0)+1,(MATCH(""Passive0c"",PalData_Header,0)))&amp;"":""&amp;ADDRESS(MATCH(B33,PalNames,0)+1,(MATCH(""Passive0c"",PalData_Header,0))+4)),LEN(INDIRECT"&amp;"(""PalData!""&amp;ADDRESS(MATCH(B33,PalNames,0)+1,(MATCH(""Passive0c"",PalData_Header,0)))&amp;"":""&amp;ADDRESS(MATCH(B33,PalNames,0)+1,(MATCH(""Passive0c"",PalData_Header,0))+4)))&gt;0),1,1)),SkillDataCodeName,0)+1,MATCH(""TargetType1"",SkillData_Header,0)))"),"")</f>
        <v/>
      </c>
      <c r="L33" s="48" t="e">
        <f aca="false" t="array" ref="L33:L33">IF(INDEX(PalData,MATCH($B33,PalNames,0)+1,MATCH("Passive0cCondition",PalData_Header,0))=IFERROR(INDEX(SkillData,MATCH(INDEX(PalData,MATCH($B33,PalNames,0)+1,MATCH("Passive0c",PalData_Header,0)),SkillDataCodeName,0)+1,MATCH("Conditions",SkillData_Header,0))),INDEX(PalData,MATCH($B33,PalNames,0)+1,MATCH("Passive0cCondition",PalData_Header,0)),INDEX(PalData,MATCH($B33,PalNames,0)+1,MATCH("Passive0cCondition",PalData_Header,0)) &amp; IF(ISBLANK(INDEX(PalData,MATCH($B33,PalNames,0)+1,MATCH("Passive0cCondition",PalData_Header,0))),," ")&amp;IFERROR(INDEX(SkillData,MATCH(INDEX(PalData,MATCH($B33,PalNames,0)+1,MATCH("Passive0c",PalData_Header,0)),SkillDataCodeName,0)+1,MATCH("Conditions",SkillData_Header,0))))</f>
        <v>#N/A</v>
      </c>
      <c r="M33" s="48" t="str">
        <f aca="false">IFERROR(__xludf.dummyfunction("IFERROR(INDEX(SkillData,MATCH(Arrayformula(ARRAY_CONSTRAIN(FILTER(INDIRECT(""PalData!""&amp;ADDRESS(MATCH(B33,PalNames,0)+1,(MATCH(""Passive0c"",PalData_Header,0)))&amp;"":""&amp;ADDRESS(MATCH(B33,PalNames,0)+1,(MATCH(""Passive0c"",PalData_Header,0))+4)),LEN(INDIRECT"&amp;"(""PalData!""&amp;ADDRESS(MATCH(B33,PalNames,0)+1,(MATCH(""Passive0c"",PalData_Header,0)))&amp;"":""&amp;ADDRESS(MATCH(B33,PalNames,0)+1,(MATCH(""Passive0c"",PalData_Header,0))+4)))&gt;0),1,1)),SkillDataCodeName,0)+1,MATCH(""ValueType1"",SkillData_Header,0)))"),"")</f>
        <v/>
      </c>
      <c r="N33" s="48" t="e">
        <f aca="false" t="array" ref="N33:N33">IFERROR(INDEX(SkillData,MATCH(INDEX(PalData,MATCH($B33,PalNames,0)+1,MATCH("Passive0c",PalData_Header,0)),SkillDataCodeName,0)+1,MATCH("EffectValue1",SkillData_Header,0)))</f>
        <v>#VALUE!</v>
      </c>
      <c r="O33" s="48" t="e">
        <f aca="false" t="array" ref="O33:O33">IFERROR(INDEX(SkillData,MATCH(INDEX(PalData,MATCH($B33,PalNames,0)+1,MATCH("Passive1c",PalData_Header,0)),SkillDataCodeName,0)+1,MATCH("EffectValue1",SkillData_Header,0)))</f>
        <v>#VALUE!</v>
      </c>
      <c r="P33" s="48" t="e">
        <f aca="false" t="array" ref="P33:P33">IFERROR(INDEX(SkillData,MATCH(INDEX(PalData,MATCH($B33,PalNames,0)+1,MATCH("Passive2c",PalData_Header,0)),SkillDataCodeName,0)+1,MATCH("EffectValue1",SkillData_Header,0)))</f>
        <v>#VALUE!</v>
      </c>
      <c r="Q33" s="48" t="e">
        <f aca="false" t="array" ref="Q33:Q33">IFERROR(INDEX(SkillData,MATCH(INDEX(PalData,MATCH($B33,PalNames,0)+1,MATCH("Passive3c",PalData_Header,0)),SkillDataCodeName,0)+1,MATCH("EffectValue1",SkillData_Header,0)))</f>
        <v>#VALUE!</v>
      </c>
      <c r="R33" s="263" t="e">
        <f aca="false" t="array" ref="R33:R33">IFERROR(INDEX(SkillData,MATCH(INDEX(PalData,MATCH($B33,PalNames,0)+1,MATCH("Passive4c",PalData_Header,0)),SkillDataCodeName,0)+1,MATCH("EffectValue1",SkillData_Header,0)))</f>
        <v>#VALUE!</v>
      </c>
      <c r="S33" s="48" t="str">
        <f aca="false">IFERROR(__xludf.dummyfunction("IFERROR(INDEX(SkillData,MATCH(Arrayformula(ARRAY_CONSTRAIN(FILTER(INDIRECT(""PalData!""&amp;ADDRESS(MATCH(B33,PalNames,0)+1,(MATCH(""Passive0a"",PalData_Header,0)))&amp;"":""&amp;ADDRESS(MATCH(B33,PalNames,0)+1,(MATCH(""Passive0a"",PalData_Header,0))+4)),LEN(INDIRECT"&amp;"(""PalData!""&amp;ADDRESS(MATCH(B33,PalNames,0)+1,(MATCH(""Passive0a"",PalData_Header,0)))&amp;"":""&amp;ADDRESS(MATCH(B33,PalNames,0)+1,(MATCH(""Passive0a"",PalData_Header,0))+4)))&gt;0),1,1)),SkillDataCodeName,0)+1,MATCH(""EffectTypeCombined"",SkillData_Header,0)))"),"")</f>
        <v/>
      </c>
      <c r="T33" s="48" t="str">
        <f aca="false">IFERROR(__xludf.dummyfunction("IFERROR(INDEX(SkillData,MATCH(Arrayformula(ARRAY_CONSTRAIN(FILTER(INDIRECT(""PalData!""&amp;ADDRESS(MATCH(B33,PalNames,0)+1,(MATCH(""Passive0a"",PalData_Header,0)))&amp;"":""&amp;ADDRESS(MATCH(B33,PalNames,0)+1,(MATCH(""Passive0a"",PalData_Header,0))+4)),LEN(INDIRECT"&amp;"(""PalData!""&amp;ADDRESS(MATCH(B33,PalNames,0)+1,(MATCH(""Passive0a"",PalData_Header,0)))&amp;"":""&amp;ADDRESS(MATCH(B33,PalNames,0)+1,(MATCH(""Passive0a"",PalData_Header,0))+4)))&gt;0),1,1)),SkillDataCodeName,0)+1,MATCH(""TargetType1"",SkillData_Header,0)))"),"")</f>
        <v/>
      </c>
      <c r="U33" s="48" t="e">
        <f aca="false" t="array" ref="U33:U33">IF(INDEX(PalData,MATCH($B33,PalNames,0)+1,MATCH("Passive0aCondition",PalData_Header,0))=IFERROR(INDEX(SkillData,MATCH(INDEX(PalData,MATCH($B33,PalNames,0)+1,MATCH("Passive0a",PalData_Header,0)),SkillDataCodeName,0)+1,MATCH("Conditions",SkillData_Header,0))),INDEX(PalData,MATCH($B33,PalNames,0)+1,MATCH("Passive0aCondition",PalData_Header,0)),INDEX(PalData,MATCH($B33,PalNames,0)+1,MATCH("Passive0aCondition",PalData_Header,0)) &amp; IF(ISBLANK(INDEX(PalData,MATCH($B33,PalNames,0)+1,MATCH("Passive0aCondition",PalData_Header,0))),," ")&amp;IFERROR(INDEX(SkillData,MATCH(INDEX(PalData,MATCH($B33,PalNames,0)+1,MATCH("Passive0a",PalData_Header,0)),SkillDataCodeName,0)+1,MATCH("Conditions",SkillData_Header,0))))</f>
        <v>#N/A</v>
      </c>
      <c r="V33" s="48" t="str">
        <f aca="false">IFERROR(__xludf.dummyfunction("IFERROR(INDEX(SkillData,MATCH(Arrayformula(ARRAY_CONSTRAIN(FILTER(INDIRECT(""PalData!""&amp;ADDRESS(MATCH(B33,PalNames,0)+1,(MATCH(""Passive0a"",PalData_Header,0)))&amp;"":""&amp;ADDRESS(MATCH(B33,PalNames,0)+1,(MATCH(""Passive0a"",PalData_Header,0))+4)),LEN(INDIRECT"&amp;"(""PalData!""&amp;ADDRESS(MATCH(B33,PalNames,0)+1,(MATCH(""Passive0a"",PalData_Header,0)))&amp;"":""&amp;ADDRESS(MATCH(B33,PalNames,0)+1,(MATCH(""Passive0a"",PalData_Header,0))+4)))&gt;0),1,1)),SkillDataCodeName,0)+1,MATCH(""ValueType1"",SkillData_Header,0)))"),"")</f>
        <v/>
      </c>
      <c r="W33" s="48" t="n">
        <f aca="false">IFERROR(INDEX(SkillData,MATCH(INDEX(PalData,MATCH($B33,PalNames,0)+1,MATCH("Passive0a",PalData_Header,0)),SkillDataCodeName,0)+1,MATCH("EffectValue1",SkillData_Header,0)),)</f>
        <v>0</v>
      </c>
      <c r="X33" s="48" t="n">
        <f aca="false">IFERROR(INDEX(SkillData,MATCH(INDEX(PalData,MATCH($B33,PalNames,0)+1,MATCH("Passive1a",PalData_Header,0)),SkillDataCodeName,0)+1,MATCH("EffectValue1",SkillData_Header,0)),)</f>
        <v>0</v>
      </c>
      <c r="Y33" s="48" t="n">
        <f aca="false">IFERROR(INDEX(SkillData,MATCH(INDEX(PalData,MATCH($B33,PalNames,0)+1,MATCH("Passive2a",PalData_Header,0)),SkillDataCodeName,0)+1,MATCH("EffectValue1",SkillData_Header,0)),)</f>
        <v>0</v>
      </c>
      <c r="Z33" s="48" t="n">
        <f aca="false">IFERROR(INDEX(SkillData,MATCH(INDEX(PalData,MATCH($B33,PalNames,0)+1,MATCH("Passive3a",PalData_Header,0)),SkillDataCodeName,0)+1,MATCH("EffectValue1",SkillData_Header,0)),)</f>
        <v>0</v>
      </c>
      <c r="AA33" s="263" t="n">
        <f aca="false">IFERROR(INDEX(SkillData,MATCH(INDEX(PalData,MATCH($B33,PalNames,0)+1,MATCH("Passive4a",PalData_Header,0)),SkillDataCodeName,0)+1,MATCH("EffectValue1",SkillData_Header,0)),)</f>
        <v>0</v>
      </c>
      <c r="AB33" s="48" t="str">
        <f aca="false">IFERROR(__xludf.dummyfunction("IFERROR(INDEX(SkillData,MATCH(Arrayformula(ARRAY_CONSTRAIN(FILTER(INDIRECT(""PalData!""&amp;ADDRESS(MATCH(B33,PalNames,0)+1,(MATCH(""Passive0b"",PalData_Header,0)))&amp;"":""&amp;ADDRESS(MATCH(B33,PalNames,0)+1,(MATCH(""Passive0b"",PalData_Header,0))+4)),LEN(INDIRECT"&amp;"(""PalData!""&amp;ADDRESS(MATCH(B33,PalNames,0)+1,(MATCH(""Passive0b"",PalData_Header,0)))&amp;"":""&amp;ADDRESS(MATCH(B33,PalNames,0)+1,(MATCH(""Passive0b"",PalData_Header,0))+4)))&gt;0),1,1)),SkillDataCodeName,0)+1,MATCH(""EffectTypeCombined"",SkillData_Header,0)))"),"")</f>
        <v/>
      </c>
      <c r="AC33" s="48" t="str">
        <f aca="false">IFERROR(__xludf.dummyfunction("IFERROR(INDEX(SkillData,MATCH(Arrayformula(ARRAY_CONSTRAIN(FILTER(INDIRECT(""PalData!""&amp;ADDRESS(MATCH(B33,PalNames,0)+1,(MATCH(""Passive0b"",PalData_Header,0)))&amp;"":""&amp;ADDRESS(MATCH(B33,PalNames,0)+1,(MATCH(""Passive0b"",PalData_Header,0))+4)),LEN(INDIRECT"&amp;"(""PalData!""&amp;ADDRESS(MATCH(B33,PalNames,0)+1,(MATCH(""Passive0b"",PalData_Header,0)))&amp;"":""&amp;ADDRESS(MATCH(B33,PalNames,0)+1,(MATCH(""Passive0b"",PalData_Header,0))+4)))&gt;0),1,1)),SkillDataCodeName,0)+1,MATCH(""TargetType1"",SkillData_Header,0)))"),"")</f>
        <v/>
      </c>
      <c r="AD33" s="48" t="e">
        <f aca="false" t="array" ref="AD33:AD33">IF(INDEX(PalData,MATCH($B33,PalNames,0)+1,MATCH("Passive0bCondition",PalData_Header,0))=IFERROR(INDEX(SkillData,MATCH(INDEX(PalData,MATCH($B33,PalNames,0)+1,MATCH("Passive0b",PalData_Header,0)),SkillDataCodeName,0)+1,MATCH("Conditions",SkillData_Header,0))),INDEX(PalData,MATCH($B33,PalNames,0)+1,MATCH("Passive0bCondition",PalData_Header,0)),INDEX(PalData,MATCH($B33,PalNames,0)+1,MATCH("Passive0bCondition",PalData_Header,0)) &amp; IF(ISBLANK(INDEX(PalData,MATCH($B33,PalNames,0)+1,MATCH("Passive0bCondition",PalData_Header,0))),," ")&amp;IFERROR(INDEX(SkillData,MATCH(INDEX(PalData,MATCH($B33,PalNames,0)+1,MATCH("Passive0b",PalData_Header,0)),SkillDataCodeName,0)+1,MATCH("Conditions",SkillData_Header,0))))</f>
        <v>#N/A</v>
      </c>
      <c r="AE33" s="48" t="str">
        <f aca="false">IFERROR(__xludf.dummyfunction("IFERROR(INDEX(SkillData,MATCH(Arrayformula(ARRAY_CONSTRAIN(FILTER(INDIRECT(""PalData!""&amp;ADDRESS(MATCH(B33,PalNames,0)+1,(MATCH(""Passive0b"",PalData_Header,0)))&amp;"":""&amp;ADDRESS(MATCH(B33,PalNames,0)+1,(MATCH(""Passive0b"",PalData_Header,0))+4)),LEN(INDIRECT"&amp;"(""PalData!""&amp;ADDRESS(MATCH(B33,PalNames,0)+1,(MATCH(""Passive0b"",PalData_Header,0)))&amp;"":""&amp;ADDRESS(MATCH(B33,PalNames,0)+1,(MATCH(""Passive0b"",PalData_Header,0))+4)))&gt;0),1,1)),SkillDataCodeName,0)+1,MATCH(""ValueType1"",SkillData_Header,0)))"),"")</f>
        <v/>
      </c>
      <c r="AF33" s="48" t="n">
        <f aca="false">IFERROR(INDEX(SkillData,MATCH(INDEX(PalData,MATCH($B33,PalNames,0)+1,MATCH("Passive0b",PalData_Header,0)),SkillDataCodeName,0)+1,MATCH("EffectValue1",SkillData_Header,0)),)</f>
        <v>0</v>
      </c>
      <c r="AG33" s="48" t="n">
        <f aca="false">IFERROR(INDEX(SkillData,MATCH(INDEX(PalData,MATCH($B33,PalNames,0)+1,MATCH("Passive1b",PalData_Header,0)),SkillDataCodeName,0)+1,MATCH("EffectValue1",SkillData_Header,0)),)</f>
        <v>0</v>
      </c>
      <c r="AH33" s="48" t="n">
        <f aca="false">IFERROR(INDEX(SkillData,MATCH(INDEX(PalData,MATCH($B33,PalNames,0)+1,MATCH("Passive2b",PalData_Header,0)),SkillDataCodeName,0)+1,MATCH("EffectValue1",SkillData_Header,0)),)</f>
        <v>0</v>
      </c>
      <c r="AI33" s="48" t="n">
        <f aca="false">IFERROR(INDEX(SkillData,MATCH(INDEX(PalData,MATCH($B33,PalNames,0)+1,MATCH("Passive3b",PalData_Header,0)),SkillDataCodeName,0)+1,MATCH("EffectValue1",SkillData_Header,0)),)</f>
        <v>0</v>
      </c>
      <c r="AJ33" s="263" t="n">
        <f aca="false">IFERROR(INDEX(SkillData,MATCH(INDEX(PalData,MATCH($B33,PalNames,0)+1,MATCH("Passive4b",PalData_Header,0)),SkillDataCodeName,0)+1,MATCH("EffectValue1",SkillData_Header,0)),)</f>
        <v>0</v>
      </c>
      <c r="AK33" s="305" t="s">
        <v>297</v>
      </c>
    </row>
    <row r="34" customFormat="false" ht="15.75" hidden="false" customHeight="false" outlineLevel="0" collapsed="false">
      <c r="A34" s="299" t="n">
        <v>28</v>
      </c>
      <c r="B34" s="300" t="s">
        <v>57</v>
      </c>
      <c r="C34" s="45" t="str">
        <f aca="false" t="array" ref="C34:C34">IF(ISBLANK(INDEX(PalData,MATCH($B34,PalNames,0)+1,MATCH("ActiveSkill",PalData_Header,0))),INDEX(PalData,MATCH($B34,PalNames,0)+1,MATCH("SkillUnlock_",PalData_Header,0)),INDEX(PalData,MATCH($B34,PalNames,0)+1,MATCH("ActiveSkill",PalData_Header,0)))</f>
        <v>Choker</v>
      </c>
      <c r="D34" s="45"/>
      <c r="E34" s="45" t="n">
        <f aca="false">INDEX(PalData,MATCH($B34,PalNames,0)+1,MATCH("ActiveSkillBonus0",PalData_Header,0))</f>
        <v>0</v>
      </c>
      <c r="F34" s="45" t="n">
        <f aca="false">INDEX(PalData,MATCH($B34,PalNames,0)+1,MATCH("ActiveSkillBonus1",PalData_Header,0))</f>
        <v>0</v>
      </c>
      <c r="G34" s="45" t="n">
        <f aca="false">INDEX(PalData,MATCH($B34,PalNames,0)+1,MATCH("ActiveSkillBonus2",PalData_Header,0))</f>
        <v>0</v>
      </c>
      <c r="H34" s="45" t="n">
        <f aca="false">INDEX(PalData,MATCH($B34,PalNames,0)+1,MATCH("ActiveSkillBonus3",PalData_Header,0))</f>
        <v>0</v>
      </c>
      <c r="I34" s="260" t="n">
        <f aca="false">INDEX(PalData,MATCH($B34,PalNames,0)+1,MATCH("ActiveSkillBonus4",PalData_Header,0))</f>
        <v>0</v>
      </c>
      <c r="J34" s="45" t="str">
        <f aca="false">IFERROR(__xludf.dummyfunction("IFERROR(INDEX(SkillData,MATCH(Arrayformula(ARRAY_CONSTRAIN(FILTER(INDIRECT(""PalData!""&amp;ADDRESS(MATCH(B34,PalNames,0)+1,(MATCH(""Passive0c"",PalData_Header,0)))&amp;"":""&amp;ADDRESS(MATCH(B34,PalNames,0)+1,(MATCH(""Passive0c"",PalData_Header,0))+4)),LEN(INDIRECT"&amp;"(""PalData!""&amp;ADDRESS(MATCH(B34,PalNames,0)+1,(MATCH(""Passive0c"",PalData_Header,0)))&amp;"":""&amp;ADDRESS(MATCH(B34,PalNames,0)+1,(MATCH(""Passive0c"",PalData_Header,0))+4)))&gt;0),1,1)),SkillDataCodeName,0)+1,MATCH(""EffectTypeCombined"",SkillData_Header,0)))"),"")</f>
        <v/>
      </c>
      <c r="K34" s="45" t="str">
        <f aca="false">IFERROR(__xludf.dummyfunction("IFERROR(INDEX(SkillData,MATCH(Arrayformula(ARRAY_CONSTRAIN(FILTER(INDIRECT(""PalData!""&amp;ADDRESS(MATCH(B34,PalNames,0)+1,(MATCH(""Passive0c"",PalData_Header,0)))&amp;"":""&amp;ADDRESS(MATCH(B34,PalNames,0)+1,(MATCH(""Passive0c"",PalData_Header,0))+4)),LEN(INDIRECT"&amp;"(""PalData!""&amp;ADDRESS(MATCH(B34,PalNames,0)+1,(MATCH(""Passive0c"",PalData_Header,0)))&amp;"":""&amp;ADDRESS(MATCH(B34,PalNames,0)+1,(MATCH(""Passive0c"",PalData_Header,0))+4)))&gt;0),1,1)),SkillDataCodeName,0)+1,MATCH(""TargetType1"",SkillData_Header,0)))"),"")</f>
        <v/>
      </c>
      <c r="L34" s="45" t="e">
        <f aca="false" t="array" ref="L34:L34">IF(INDEX(PalData,MATCH($B34,PalNames,0)+1,MATCH("Passive0cCondition",PalData_Header,0))=IFERROR(INDEX(SkillData,MATCH(INDEX(PalData,MATCH($B34,PalNames,0)+1,MATCH("Passive0c",PalData_Header,0)),SkillDataCodeName,0)+1,MATCH("Conditions",SkillData_Header,0))),INDEX(PalData,MATCH($B34,PalNames,0)+1,MATCH("Passive0cCondition",PalData_Header,0)),INDEX(PalData,MATCH($B34,PalNames,0)+1,MATCH("Passive0cCondition",PalData_Header,0)) &amp; IF(ISBLANK(INDEX(PalData,MATCH($B34,PalNames,0)+1,MATCH("Passive0cCondition",PalData_Header,0))),," ")&amp;IFERROR(INDEX(SkillData,MATCH(INDEX(PalData,MATCH($B34,PalNames,0)+1,MATCH("Passive0c",PalData_Header,0)),SkillDataCodeName,0)+1,MATCH("Conditions",SkillData_Header,0))))</f>
        <v>#N/A</v>
      </c>
      <c r="M34" s="45" t="str">
        <f aca="false">IFERROR(__xludf.dummyfunction("IFERROR(INDEX(SkillData,MATCH(Arrayformula(ARRAY_CONSTRAIN(FILTER(INDIRECT(""PalData!""&amp;ADDRESS(MATCH(B34,PalNames,0)+1,(MATCH(""Passive0c"",PalData_Header,0)))&amp;"":""&amp;ADDRESS(MATCH(B34,PalNames,0)+1,(MATCH(""Passive0c"",PalData_Header,0))+4)),LEN(INDIRECT"&amp;"(""PalData!""&amp;ADDRESS(MATCH(B34,PalNames,0)+1,(MATCH(""Passive0c"",PalData_Header,0)))&amp;"":""&amp;ADDRESS(MATCH(B34,PalNames,0)+1,(MATCH(""Passive0c"",PalData_Header,0))+4)))&gt;0),1,1)),SkillDataCodeName,0)+1,MATCH(""ValueType1"",SkillData_Header,0)))"),"")</f>
        <v/>
      </c>
      <c r="N34" s="45" t="e">
        <f aca="false" t="array" ref="N34:N34">IFERROR(INDEX(SkillData,MATCH(INDEX(PalData,MATCH($B34,PalNames,0)+1,MATCH("Passive0c",PalData_Header,0)),SkillDataCodeName,0)+1,MATCH("EffectValue1",SkillData_Header,0)))</f>
        <v>#VALUE!</v>
      </c>
      <c r="O34" s="45" t="e">
        <f aca="false" t="array" ref="O34:O34">IFERROR(INDEX(SkillData,MATCH(INDEX(PalData,MATCH($B34,PalNames,0)+1,MATCH("Passive1c",PalData_Header,0)),SkillDataCodeName,0)+1,MATCH("EffectValue1",SkillData_Header,0)))</f>
        <v>#VALUE!</v>
      </c>
      <c r="P34" s="45" t="e">
        <f aca="false" t="array" ref="P34:P34">IFERROR(INDEX(SkillData,MATCH(INDEX(PalData,MATCH($B34,PalNames,0)+1,MATCH("Passive2c",PalData_Header,0)),SkillDataCodeName,0)+1,MATCH("EffectValue1",SkillData_Header,0)))</f>
        <v>#VALUE!</v>
      </c>
      <c r="Q34" s="45" t="e">
        <f aca="false" t="array" ref="Q34:Q34">IFERROR(INDEX(SkillData,MATCH(INDEX(PalData,MATCH($B34,PalNames,0)+1,MATCH("Passive3c",PalData_Header,0)),SkillDataCodeName,0)+1,MATCH("EffectValue1",SkillData_Header,0)))</f>
        <v>#VALUE!</v>
      </c>
      <c r="R34" s="260" t="e">
        <f aca="false" t="array" ref="R34:R34">IFERROR(INDEX(SkillData,MATCH(INDEX(PalData,MATCH($B34,PalNames,0)+1,MATCH("Passive4c",PalData_Header,0)),SkillDataCodeName,0)+1,MATCH("EffectValue1",SkillData_Header,0)))</f>
        <v>#VALUE!</v>
      </c>
      <c r="S34" s="45" t="str">
        <f aca="false">IFERROR(__xludf.dummyfunction("IFERROR(INDEX(SkillData,MATCH(Arrayformula(ARRAY_CONSTRAIN(FILTER(INDIRECT(""PalData!""&amp;ADDRESS(MATCH(B34,PalNames,0)+1,(MATCH(""Passive0a"",PalData_Header,0)))&amp;"":""&amp;ADDRESS(MATCH(B34,PalNames,0)+1,(MATCH(""Passive0a"",PalData_Header,0))+4)),LEN(INDIRECT"&amp;"(""PalData!""&amp;ADDRESS(MATCH(B34,PalNames,0)+1,(MATCH(""Passive0a"",PalData_Header,0)))&amp;"":""&amp;ADDRESS(MATCH(B34,PalNames,0)+1,(MATCH(""Passive0a"",PalData_Header,0))+4)))&gt;0),1,1)),SkillDataCodeName,0)+1,MATCH(""EffectTypeCombined"",SkillData_Header,0)))"),"")</f>
        <v/>
      </c>
      <c r="T34" s="45" t="str">
        <f aca="false">IFERROR(__xludf.dummyfunction("IFERROR(INDEX(SkillData,MATCH(Arrayformula(ARRAY_CONSTRAIN(FILTER(INDIRECT(""PalData!""&amp;ADDRESS(MATCH(B34,PalNames,0)+1,(MATCH(""Passive0a"",PalData_Header,0)))&amp;"":""&amp;ADDRESS(MATCH(B34,PalNames,0)+1,(MATCH(""Passive0a"",PalData_Header,0))+4)),LEN(INDIRECT"&amp;"(""PalData!""&amp;ADDRESS(MATCH(B34,PalNames,0)+1,(MATCH(""Passive0a"",PalData_Header,0)))&amp;"":""&amp;ADDRESS(MATCH(B34,PalNames,0)+1,(MATCH(""Passive0a"",PalData_Header,0))+4)))&gt;0),1,1)),SkillDataCodeName,0)+1,MATCH(""TargetType1"",SkillData_Header,0)))"),"")</f>
        <v/>
      </c>
      <c r="U34" s="45" t="e">
        <f aca="false" t="array" ref="U34:U34">IF(INDEX(PalData,MATCH($B34,PalNames,0)+1,MATCH("Passive0aCondition",PalData_Header,0))=IFERROR(INDEX(SkillData,MATCH(INDEX(PalData,MATCH($B34,PalNames,0)+1,MATCH("Passive0a",PalData_Header,0)),SkillDataCodeName,0)+1,MATCH("Conditions",SkillData_Header,0))),INDEX(PalData,MATCH($B34,PalNames,0)+1,MATCH("Passive0aCondition",PalData_Header,0)),INDEX(PalData,MATCH($B34,PalNames,0)+1,MATCH("Passive0aCondition",PalData_Header,0)) &amp; IF(ISBLANK(INDEX(PalData,MATCH($B34,PalNames,0)+1,MATCH("Passive0aCondition",PalData_Header,0))),," ")&amp;IFERROR(INDEX(SkillData,MATCH(INDEX(PalData,MATCH($B34,PalNames,0)+1,MATCH("Passive0a",PalData_Header,0)),SkillDataCodeName,0)+1,MATCH("Conditions",SkillData_Header,0))))</f>
        <v>#N/A</v>
      </c>
      <c r="V34" s="45" t="str">
        <f aca="false">IFERROR(__xludf.dummyfunction("IFERROR(INDEX(SkillData,MATCH(Arrayformula(ARRAY_CONSTRAIN(FILTER(INDIRECT(""PalData!""&amp;ADDRESS(MATCH(B34,PalNames,0)+1,(MATCH(""Passive0a"",PalData_Header,0)))&amp;"":""&amp;ADDRESS(MATCH(B34,PalNames,0)+1,(MATCH(""Passive0a"",PalData_Header,0))+4)),LEN(INDIRECT"&amp;"(""PalData!""&amp;ADDRESS(MATCH(B34,PalNames,0)+1,(MATCH(""Passive0a"",PalData_Header,0)))&amp;"":""&amp;ADDRESS(MATCH(B34,PalNames,0)+1,(MATCH(""Passive0a"",PalData_Header,0))+4)))&gt;0),1,1)),SkillDataCodeName,0)+1,MATCH(""ValueType1"",SkillData_Header,0)))"),"")</f>
        <v/>
      </c>
      <c r="W34" s="45" t="n">
        <f aca="false">IFERROR(INDEX(SkillData,MATCH(INDEX(PalData,MATCH($B34,PalNames,0)+1,MATCH("Passive0a",PalData_Header,0)),SkillDataCodeName,0)+1,MATCH("EffectValue1",SkillData_Header,0)),)</f>
        <v>0</v>
      </c>
      <c r="X34" s="45" t="n">
        <f aca="false">IFERROR(INDEX(SkillData,MATCH(INDEX(PalData,MATCH($B34,PalNames,0)+1,MATCH("Passive1a",PalData_Header,0)),SkillDataCodeName,0)+1,MATCH("EffectValue1",SkillData_Header,0)),)</f>
        <v>0</v>
      </c>
      <c r="Y34" s="45" t="n">
        <f aca="false">IFERROR(INDEX(SkillData,MATCH(INDEX(PalData,MATCH($B34,PalNames,0)+1,MATCH("Passive2a",PalData_Header,0)),SkillDataCodeName,0)+1,MATCH("EffectValue1",SkillData_Header,0)),)</f>
        <v>0</v>
      </c>
      <c r="Z34" s="45" t="n">
        <f aca="false">IFERROR(INDEX(SkillData,MATCH(INDEX(PalData,MATCH($B34,PalNames,0)+1,MATCH("Passive3a",PalData_Header,0)),SkillDataCodeName,0)+1,MATCH("EffectValue1",SkillData_Header,0)),)</f>
        <v>0</v>
      </c>
      <c r="AA34" s="260" t="n">
        <f aca="false">IFERROR(INDEX(SkillData,MATCH(INDEX(PalData,MATCH($B34,PalNames,0)+1,MATCH("Passive4a",PalData_Header,0)),SkillDataCodeName,0)+1,MATCH("EffectValue1",SkillData_Header,0)),)</f>
        <v>0</v>
      </c>
      <c r="AB34" s="45" t="str">
        <f aca="false">IFERROR(__xludf.dummyfunction("IFERROR(INDEX(SkillData,MATCH(Arrayformula(ARRAY_CONSTRAIN(FILTER(INDIRECT(""PalData!""&amp;ADDRESS(MATCH(B34,PalNames,0)+1,(MATCH(""Passive0b"",PalData_Header,0)))&amp;"":""&amp;ADDRESS(MATCH(B34,PalNames,0)+1,(MATCH(""Passive0b"",PalData_Header,0))+4)),LEN(INDIRECT"&amp;"(""PalData!""&amp;ADDRESS(MATCH(B34,PalNames,0)+1,(MATCH(""Passive0b"",PalData_Header,0)))&amp;"":""&amp;ADDRESS(MATCH(B34,PalNames,0)+1,(MATCH(""Passive0b"",PalData_Header,0))+4)))&gt;0),1,1)),SkillDataCodeName,0)+1,MATCH(""EffectTypeCombined"",SkillData_Header,0)))"),"")</f>
        <v/>
      </c>
      <c r="AC34" s="45" t="str">
        <f aca="false">IFERROR(__xludf.dummyfunction("IFERROR(INDEX(SkillData,MATCH(Arrayformula(ARRAY_CONSTRAIN(FILTER(INDIRECT(""PalData!""&amp;ADDRESS(MATCH(B34,PalNames,0)+1,(MATCH(""Passive0b"",PalData_Header,0)))&amp;"":""&amp;ADDRESS(MATCH(B34,PalNames,0)+1,(MATCH(""Passive0b"",PalData_Header,0))+4)),LEN(INDIRECT"&amp;"(""PalData!""&amp;ADDRESS(MATCH(B34,PalNames,0)+1,(MATCH(""Passive0b"",PalData_Header,0)))&amp;"":""&amp;ADDRESS(MATCH(B34,PalNames,0)+1,(MATCH(""Passive0b"",PalData_Header,0))+4)))&gt;0),1,1)),SkillDataCodeName,0)+1,MATCH(""TargetType1"",SkillData_Header,0)))"),"")</f>
        <v/>
      </c>
      <c r="AD34" s="45" t="e">
        <f aca="false" t="array" ref="AD34:AD34">IF(INDEX(PalData,MATCH($B34,PalNames,0)+1,MATCH("Passive0bCondition",PalData_Header,0))=IFERROR(INDEX(SkillData,MATCH(INDEX(PalData,MATCH($B34,PalNames,0)+1,MATCH("Passive0b",PalData_Header,0)),SkillDataCodeName,0)+1,MATCH("Conditions",SkillData_Header,0))),INDEX(PalData,MATCH($B34,PalNames,0)+1,MATCH("Passive0bCondition",PalData_Header,0)),INDEX(PalData,MATCH($B34,PalNames,0)+1,MATCH("Passive0bCondition",PalData_Header,0)) &amp; IF(ISBLANK(INDEX(PalData,MATCH($B34,PalNames,0)+1,MATCH("Passive0bCondition",PalData_Header,0))),," ")&amp;IFERROR(INDEX(SkillData,MATCH(INDEX(PalData,MATCH($B34,PalNames,0)+1,MATCH("Passive0b",PalData_Header,0)),SkillDataCodeName,0)+1,MATCH("Conditions",SkillData_Header,0))))</f>
        <v>#N/A</v>
      </c>
      <c r="AE34" s="45" t="str">
        <f aca="false">IFERROR(__xludf.dummyfunction("IFERROR(INDEX(SkillData,MATCH(Arrayformula(ARRAY_CONSTRAIN(FILTER(INDIRECT(""PalData!""&amp;ADDRESS(MATCH(B34,PalNames,0)+1,(MATCH(""Passive0b"",PalData_Header,0)))&amp;"":""&amp;ADDRESS(MATCH(B34,PalNames,0)+1,(MATCH(""Passive0b"",PalData_Header,0))+4)),LEN(INDIRECT"&amp;"(""PalData!""&amp;ADDRESS(MATCH(B34,PalNames,0)+1,(MATCH(""Passive0b"",PalData_Header,0)))&amp;"":""&amp;ADDRESS(MATCH(B34,PalNames,0)+1,(MATCH(""Passive0b"",PalData_Header,0))+4)))&gt;0),1,1)),SkillDataCodeName,0)+1,MATCH(""ValueType1"",SkillData_Header,0)))"),"")</f>
        <v/>
      </c>
      <c r="AF34" s="45" t="n">
        <f aca="false">IFERROR(INDEX(SkillData,MATCH(INDEX(PalData,MATCH($B34,PalNames,0)+1,MATCH("Passive0b",PalData_Header,0)),SkillDataCodeName,0)+1,MATCH("EffectValue1",SkillData_Header,0)),)</f>
        <v>0</v>
      </c>
      <c r="AG34" s="45" t="n">
        <f aca="false">IFERROR(INDEX(SkillData,MATCH(INDEX(PalData,MATCH($B34,PalNames,0)+1,MATCH("Passive1b",PalData_Header,0)),SkillDataCodeName,0)+1,MATCH("EffectValue1",SkillData_Header,0)),)</f>
        <v>0</v>
      </c>
      <c r="AH34" s="45" t="n">
        <f aca="false">IFERROR(INDEX(SkillData,MATCH(INDEX(PalData,MATCH($B34,PalNames,0)+1,MATCH("Passive2b",PalData_Header,0)),SkillDataCodeName,0)+1,MATCH("EffectValue1",SkillData_Header,0)),)</f>
        <v>0</v>
      </c>
      <c r="AI34" s="45" t="n">
        <f aca="false">IFERROR(INDEX(SkillData,MATCH(INDEX(PalData,MATCH($B34,PalNames,0)+1,MATCH("Passive3b",PalData_Header,0)),SkillDataCodeName,0)+1,MATCH("EffectValue1",SkillData_Header,0)),)</f>
        <v>0</v>
      </c>
      <c r="AJ34" s="260" t="n">
        <f aca="false">IFERROR(INDEX(SkillData,MATCH(INDEX(PalData,MATCH($B34,PalNames,0)+1,MATCH("Passive4b",PalData_Header,0)),SkillDataCodeName,0)+1,MATCH("EffectValue1",SkillData_Header,0)),)</f>
        <v>0</v>
      </c>
      <c r="AK34" s="301" t="s">
        <v>298</v>
      </c>
    </row>
    <row r="35" customFormat="false" ht="15.75" hidden="false" customHeight="false" outlineLevel="0" collapsed="false">
      <c r="A35" s="302" t="n">
        <v>29</v>
      </c>
      <c r="B35" s="303" t="s">
        <v>108</v>
      </c>
      <c r="C35" s="48" t="n">
        <f aca="false">IF(ISBLANK(INDEX(PalData,MATCH($B35,PalNames,0)+1,MATCH("ActiveSkill",PalData_Header,0))),INDEX(PalData,MATCH($B35,PalNames,0)+1,MATCH("SkillUnlock_",PalData_Header,0)),INDEX(PalData,MATCH($B35,PalNames,0)+1,MATCH("ActiveSkill",PalData_Header,0)))</f>
        <v>0</v>
      </c>
      <c r="D35" s="48"/>
      <c r="E35" s="48" t="n">
        <f aca="false">INDEX(PalData,MATCH($B35,PalNames,0)+1,MATCH("ActiveSkillBonus0",PalData_Header,0))</f>
        <v>0</v>
      </c>
      <c r="F35" s="48" t="n">
        <f aca="false">INDEX(PalData,MATCH($B35,PalNames,0)+1,MATCH("ActiveSkillBonus1",PalData_Header,0))</f>
        <v>0</v>
      </c>
      <c r="G35" s="48" t="n">
        <f aca="false">INDEX(PalData,MATCH($B35,PalNames,0)+1,MATCH("ActiveSkillBonus2",PalData_Header,0))</f>
        <v>0</v>
      </c>
      <c r="H35" s="48" t="n">
        <f aca="false">INDEX(PalData,MATCH($B35,PalNames,0)+1,MATCH("ActiveSkillBonus3",PalData_Header,0))</f>
        <v>0</v>
      </c>
      <c r="I35" s="263" t="n">
        <f aca="false">INDEX(PalData,MATCH($B35,PalNames,0)+1,MATCH("ActiveSkillBonus4",PalData_Header,0))</f>
        <v>0</v>
      </c>
      <c r="J35" s="48" t="str">
        <f aca="false">IFERROR(__xludf.dummyfunction("IFERROR(INDEX(SkillData,MATCH(Arrayformula(ARRAY_CONSTRAIN(FILTER(INDIRECT(""PalData!""&amp;ADDRESS(MATCH(B35,PalNames,0)+1,(MATCH(""Passive0c"",PalData_Header,0)))&amp;"":""&amp;ADDRESS(MATCH(B35,PalNames,0)+1,(MATCH(""Passive0c"",PalData_Header,0))+4)),LEN(INDIRECT"&amp;"(""PalData!""&amp;ADDRESS(MATCH(B35,PalNames,0)+1,(MATCH(""Passive0c"",PalData_Header,0)))&amp;"":""&amp;ADDRESS(MATCH(B35,PalNames,0)+1,(MATCH(""Passive0c"",PalData_Header,0))+4)))&gt;0),1,1)),SkillDataCodeName,0)+1,MATCH(""EffectTypeCombined"",SkillData_Header,0)))"),"FindMilk")</f>
        <v>FindMilk</v>
      </c>
      <c r="K35" s="48" t="str">
        <f aca="false">IFERROR(__xludf.dummyfunction("IFERROR(INDEX(SkillData,MATCH(Arrayformula(ARRAY_CONSTRAIN(FILTER(INDIRECT(""PalData!""&amp;ADDRESS(MATCH(B35,PalNames,0)+1,(MATCH(""Passive0c"",PalData_Header,0)))&amp;"":""&amp;ADDRESS(MATCH(B35,PalNames,0)+1,(MATCH(""Passive0c"",PalData_Header,0))+4)),LEN(INDIRECT"&amp;"(""PalData!""&amp;ADDRESS(MATCH(B35,PalNames,0)+1,(MATCH(""Passive0c"",PalData_Header,0)))&amp;"":""&amp;ADDRESS(MATCH(B35,PalNames,0)+1,(MATCH(""Passive0c"",PalData_Header,0))+4)))&gt;0),1,1)),SkillDataCodeName,0)+1,MATCH(""TargetType1"",SkillData_Header,0)))"),"")</f>
        <v/>
      </c>
      <c r="L35" s="48" t="e">
        <f aca="false" t="array" ref="L35:L35">IF(INDEX(PalData,MATCH($B35,PalNames,0)+1,MATCH("Passive0cCondition",PalData_Header,0))=IFERROR(INDEX(SkillData,MATCH(INDEX(PalData,MATCH($B35,PalNames,0)+1,MATCH("Passive0c",PalData_Header,0)),SkillDataCodeName,0)+1,MATCH("Conditions",SkillData_Header,0))),INDEX(PalData,MATCH($B35,PalNames,0)+1,MATCH("Passive0cCondition",PalData_Header,0)),INDEX(PalData,MATCH($B35,PalNames,0)+1,MATCH("Passive0cCondition",PalData_Header,0)) &amp; IF(ISBLANK(INDEX(PalData,MATCH($B35,PalNames,0)+1,MATCH("Passive0cCondition",PalData_Header,0))),," ")&amp;IFERROR(INDEX(SkillData,MATCH(INDEX(PalData,MATCH($B35,PalNames,0)+1,MATCH("Passive0c",PalData_Header,0)),SkillDataCodeName,0)+1,MATCH("Conditions",SkillData_Header,0))))</f>
        <v>#VALUE!</v>
      </c>
      <c r="M35" s="48" t="str">
        <f aca="false">IFERROR(__xludf.dummyfunction("IFERROR(INDEX(SkillData,MATCH(Arrayformula(ARRAY_CONSTRAIN(FILTER(INDIRECT(""PalData!""&amp;ADDRESS(MATCH(B35,PalNames,0)+1,(MATCH(""Passive0c"",PalData_Header,0)))&amp;"":""&amp;ADDRESS(MATCH(B35,PalNames,0)+1,(MATCH(""Passive0c"",PalData_Header,0))+4)),LEN(INDIRECT"&amp;"(""PalData!""&amp;ADDRESS(MATCH(B35,PalNames,0)+1,(MATCH(""Passive0c"",PalData_Header,0)))&amp;"":""&amp;ADDRESS(MATCH(B35,PalNames,0)+1,(MATCH(""Passive0c"",PalData_Header,0))+4)))&gt;0),1,1)),SkillDataCodeName,0)+1,MATCH(""ValueType1"",SkillData_Header,0)))"),"(min,max)")</f>
        <v>(min,max)</v>
      </c>
      <c r="N35" s="48" t="e">
        <f aca="false" t="array" ref="N35:N35">IFERROR(INDEX(SkillData,MATCH(INDEX(PalData,MATCH($B35,PalNames,0)+1,MATCH("Passive0c",PalData_Header,0)),SkillDataCodeName,0)+1,MATCH("EffectValue1",SkillData_Header,0)))</f>
        <v>#VALUE!</v>
      </c>
      <c r="O35" s="48" t="e">
        <f aca="false" t="array" ref="O35:O35">IFERROR(INDEX(SkillData,MATCH(INDEX(PalData,MATCH($B35,PalNames,0)+1,MATCH("Passive1c",PalData_Header,0)),SkillDataCodeName,0)+1,MATCH("EffectValue1",SkillData_Header,0)))</f>
        <v>#VALUE!</v>
      </c>
      <c r="P35" s="48" t="e">
        <f aca="false" t="array" ref="P35:P35">IFERROR(INDEX(SkillData,MATCH(INDEX(PalData,MATCH($B35,PalNames,0)+1,MATCH("Passive2c",PalData_Header,0)),SkillDataCodeName,0)+1,MATCH("EffectValue1",SkillData_Header,0)))</f>
        <v>#VALUE!</v>
      </c>
      <c r="Q35" s="48" t="e">
        <f aca="false" t="array" ref="Q35:Q35">IFERROR(INDEX(SkillData,MATCH(INDEX(PalData,MATCH($B35,PalNames,0)+1,MATCH("Passive3c",PalData_Header,0)),SkillDataCodeName,0)+1,MATCH("EffectValue1",SkillData_Header,0)))</f>
        <v>#VALUE!</v>
      </c>
      <c r="R35" s="263" t="e">
        <f aca="false" t="array" ref="R35:R35">IFERROR(INDEX(SkillData,MATCH(INDEX(PalData,MATCH($B35,PalNames,0)+1,MATCH("Passive4c",PalData_Header,0)),SkillDataCodeName,0)+1,MATCH("EffectValue1",SkillData_Header,0)))</f>
        <v>#VALUE!</v>
      </c>
      <c r="S35" s="48" t="str">
        <f aca="false">IFERROR(__xludf.dummyfunction("IFERROR(INDEX(SkillData,MATCH(Arrayformula(ARRAY_CONSTRAIN(FILTER(INDIRECT(""PalData!""&amp;ADDRESS(MATCH(B35,PalNames,0)+1,(MATCH(""Passive0a"",PalData_Header,0)))&amp;"":""&amp;ADDRESS(MATCH(B35,PalNames,0)+1,(MATCH(""Passive0a"",PalData_Header,0))+4)),LEN(INDIRECT"&amp;"(""PalData!""&amp;ADDRESS(MATCH(B35,PalNames,0)+1,(MATCH(""Passive0a"",PalData_Header,0)))&amp;"":""&amp;ADDRESS(MATCH(B35,PalNames,0)+1,(MATCH(""Passive0a"",PalData_Header,0))+4)))&gt;0),1,1)),SkillDataCodeName,0)+1,MATCH(""EffectTypeCombined"",SkillData_Header,0)))"),"")</f>
        <v/>
      </c>
      <c r="T35" s="48" t="str">
        <f aca="false">IFERROR(__xludf.dummyfunction("IFERROR(INDEX(SkillData,MATCH(Arrayformula(ARRAY_CONSTRAIN(FILTER(INDIRECT(""PalData!""&amp;ADDRESS(MATCH(B35,PalNames,0)+1,(MATCH(""Passive0a"",PalData_Header,0)))&amp;"":""&amp;ADDRESS(MATCH(B35,PalNames,0)+1,(MATCH(""Passive0a"",PalData_Header,0))+4)),LEN(INDIRECT"&amp;"(""PalData!""&amp;ADDRESS(MATCH(B35,PalNames,0)+1,(MATCH(""Passive0a"",PalData_Header,0)))&amp;"":""&amp;ADDRESS(MATCH(B35,PalNames,0)+1,(MATCH(""Passive0a"",PalData_Header,0))+4)))&gt;0),1,1)),SkillDataCodeName,0)+1,MATCH(""TargetType1"",SkillData_Header,0)))"),"")</f>
        <v/>
      </c>
      <c r="U35" s="48" t="e">
        <f aca="false" t="array" ref="U35:U35">IF(INDEX(PalData,MATCH($B35,PalNames,0)+1,MATCH("Passive0aCondition",PalData_Header,0))=IFERROR(INDEX(SkillData,MATCH(INDEX(PalData,MATCH($B35,PalNames,0)+1,MATCH("Passive0a",PalData_Header,0)),SkillDataCodeName,0)+1,MATCH("Conditions",SkillData_Header,0))),INDEX(PalData,MATCH($B35,PalNames,0)+1,MATCH("Passive0aCondition",PalData_Header,0)),INDEX(PalData,MATCH($B35,PalNames,0)+1,MATCH("Passive0aCondition",PalData_Header,0)) &amp; IF(ISBLANK(INDEX(PalData,MATCH($B35,PalNames,0)+1,MATCH("Passive0aCondition",PalData_Header,0))),," ")&amp;IFERROR(INDEX(SkillData,MATCH(INDEX(PalData,MATCH($B35,PalNames,0)+1,MATCH("Passive0a",PalData_Header,0)),SkillDataCodeName,0)+1,MATCH("Conditions",SkillData_Header,0))))</f>
        <v>#N/A</v>
      </c>
      <c r="V35" s="48" t="str">
        <f aca="false">IFERROR(__xludf.dummyfunction("IFERROR(INDEX(SkillData,MATCH(Arrayformula(ARRAY_CONSTRAIN(FILTER(INDIRECT(""PalData!""&amp;ADDRESS(MATCH(B35,PalNames,0)+1,(MATCH(""Passive0a"",PalData_Header,0)))&amp;"":""&amp;ADDRESS(MATCH(B35,PalNames,0)+1,(MATCH(""Passive0a"",PalData_Header,0))+4)),LEN(INDIRECT"&amp;"(""PalData!""&amp;ADDRESS(MATCH(B35,PalNames,0)+1,(MATCH(""Passive0a"",PalData_Header,0)))&amp;"":""&amp;ADDRESS(MATCH(B35,PalNames,0)+1,(MATCH(""Passive0a"",PalData_Header,0))+4)))&gt;0),1,1)),SkillDataCodeName,0)+1,MATCH(""ValueType1"",SkillData_Header,0)))"),"")</f>
        <v/>
      </c>
      <c r="W35" s="48" t="n">
        <f aca="false">IFERROR(INDEX(SkillData,MATCH(INDEX(PalData,MATCH($B35,PalNames,0)+1,MATCH("Passive0a",PalData_Header,0)),SkillDataCodeName,0)+1,MATCH("EffectValue1",SkillData_Header,0)),)</f>
        <v>0</v>
      </c>
      <c r="X35" s="48" t="n">
        <f aca="false">IFERROR(INDEX(SkillData,MATCH(INDEX(PalData,MATCH($B35,PalNames,0)+1,MATCH("Passive1a",PalData_Header,0)),SkillDataCodeName,0)+1,MATCH("EffectValue1",SkillData_Header,0)),)</f>
        <v>0</v>
      </c>
      <c r="Y35" s="48" t="n">
        <f aca="false">IFERROR(INDEX(SkillData,MATCH(INDEX(PalData,MATCH($B35,PalNames,0)+1,MATCH("Passive2a",PalData_Header,0)),SkillDataCodeName,0)+1,MATCH("EffectValue1",SkillData_Header,0)),)</f>
        <v>0</v>
      </c>
      <c r="Z35" s="48" t="n">
        <f aca="false">IFERROR(INDEX(SkillData,MATCH(INDEX(PalData,MATCH($B35,PalNames,0)+1,MATCH("Passive3a",PalData_Header,0)),SkillDataCodeName,0)+1,MATCH("EffectValue1",SkillData_Header,0)),)</f>
        <v>0</v>
      </c>
      <c r="AA35" s="263" t="n">
        <f aca="false">IFERROR(INDEX(SkillData,MATCH(INDEX(PalData,MATCH($B35,PalNames,0)+1,MATCH("Passive4a",PalData_Header,0)),SkillDataCodeName,0)+1,MATCH("EffectValue1",SkillData_Header,0)),)</f>
        <v>0</v>
      </c>
      <c r="AB35" s="48" t="str">
        <f aca="false">IFERROR(__xludf.dummyfunction("IFERROR(INDEX(SkillData,MATCH(Arrayformula(ARRAY_CONSTRAIN(FILTER(INDIRECT(""PalData!""&amp;ADDRESS(MATCH(B35,PalNames,0)+1,(MATCH(""Passive0b"",PalData_Header,0)))&amp;"":""&amp;ADDRESS(MATCH(B35,PalNames,0)+1,(MATCH(""Passive0b"",PalData_Header,0))+4)),LEN(INDIRECT"&amp;"(""PalData!""&amp;ADDRESS(MATCH(B35,PalNames,0)+1,(MATCH(""Passive0b"",PalData_Header,0)))&amp;"":""&amp;ADDRESS(MATCH(B35,PalNames,0)+1,(MATCH(""Passive0b"",PalData_Header,0))+4)))&gt;0),1,1)),SkillDataCodeName,0)+1,MATCH(""EffectTypeCombined"",SkillData_Header,0)))"),"")</f>
        <v/>
      </c>
      <c r="AC35" s="48" t="str">
        <f aca="false">IFERROR(__xludf.dummyfunction("IFERROR(INDEX(SkillData,MATCH(Arrayformula(ARRAY_CONSTRAIN(FILTER(INDIRECT(""PalData!""&amp;ADDRESS(MATCH(B35,PalNames,0)+1,(MATCH(""Passive0b"",PalData_Header,0)))&amp;"":""&amp;ADDRESS(MATCH(B35,PalNames,0)+1,(MATCH(""Passive0b"",PalData_Header,0))+4)),LEN(INDIRECT"&amp;"(""PalData!""&amp;ADDRESS(MATCH(B35,PalNames,0)+1,(MATCH(""Passive0b"",PalData_Header,0)))&amp;"":""&amp;ADDRESS(MATCH(B35,PalNames,0)+1,(MATCH(""Passive0b"",PalData_Header,0))+4)))&gt;0),1,1)),SkillDataCodeName,0)+1,MATCH(""TargetType1"",SkillData_Header,0)))"),"")</f>
        <v/>
      </c>
      <c r="AD35" s="48" t="e">
        <f aca="false" t="array" ref="AD35:AD35">IF(INDEX(PalData,MATCH($B35,PalNames,0)+1,MATCH("Passive0bCondition",PalData_Header,0))=IFERROR(INDEX(SkillData,MATCH(INDEX(PalData,MATCH($B35,PalNames,0)+1,MATCH("Passive0b",PalData_Header,0)),SkillDataCodeName,0)+1,MATCH("Conditions",SkillData_Header,0))),INDEX(PalData,MATCH($B35,PalNames,0)+1,MATCH("Passive0bCondition",PalData_Header,0)),INDEX(PalData,MATCH($B35,PalNames,0)+1,MATCH("Passive0bCondition",PalData_Header,0)) &amp; IF(ISBLANK(INDEX(PalData,MATCH($B35,PalNames,0)+1,MATCH("Passive0bCondition",PalData_Header,0))),," ")&amp;IFERROR(INDEX(SkillData,MATCH(INDEX(PalData,MATCH($B35,PalNames,0)+1,MATCH("Passive0b",PalData_Header,0)),SkillDataCodeName,0)+1,MATCH("Conditions",SkillData_Header,0))))</f>
        <v>#N/A</v>
      </c>
      <c r="AE35" s="48" t="str">
        <f aca="false">IFERROR(__xludf.dummyfunction("IFERROR(INDEX(SkillData,MATCH(Arrayformula(ARRAY_CONSTRAIN(FILTER(INDIRECT(""PalData!""&amp;ADDRESS(MATCH(B35,PalNames,0)+1,(MATCH(""Passive0b"",PalData_Header,0)))&amp;"":""&amp;ADDRESS(MATCH(B35,PalNames,0)+1,(MATCH(""Passive0b"",PalData_Header,0))+4)),LEN(INDIRECT"&amp;"(""PalData!""&amp;ADDRESS(MATCH(B35,PalNames,0)+1,(MATCH(""Passive0b"",PalData_Header,0)))&amp;"":""&amp;ADDRESS(MATCH(B35,PalNames,0)+1,(MATCH(""Passive0b"",PalData_Header,0))+4)))&gt;0),1,1)),SkillDataCodeName,0)+1,MATCH(""ValueType1"",SkillData_Header,0)))"),"")</f>
        <v/>
      </c>
      <c r="AF35" s="48" t="n">
        <f aca="false">IFERROR(INDEX(SkillData,MATCH(INDEX(PalData,MATCH($B35,PalNames,0)+1,MATCH("Passive0b",PalData_Header,0)),SkillDataCodeName,0)+1,MATCH("EffectValue1",SkillData_Header,0)),)</f>
        <v>0</v>
      </c>
      <c r="AG35" s="48" t="n">
        <f aca="false">IFERROR(INDEX(SkillData,MATCH(INDEX(PalData,MATCH($B35,PalNames,0)+1,MATCH("Passive1b",PalData_Header,0)),SkillDataCodeName,0)+1,MATCH("EffectValue1",SkillData_Header,0)),)</f>
        <v>0</v>
      </c>
      <c r="AH35" s="48" t="n">
        <f aca="false">IFERROR(INDEX(SkillData,MATCH(INDEX(PalData,MATCH($B35,PalNames,0)+1,MATCH("Passive2b",PalData_Header,0)),SkillDataCodeName,0)+1,MATCH("EffectValue1",SkillData_Header,0)),)</f>
        <v>0</v>
      </c>
      <c r="AI35" s="48" t="n">
        <f aca="false">IFERROR(INDEX(SkillData,MATCH(INDEX(PalData,MATCH($B35,PalNames,0)+1,MATCH("Passive3b",PalData_Header,0)),SkillDataCodeName,0)+1,MATCH("EffectValue1",SkillData_Header,0)),)</f>
        <v>0</v>
      </c>
      <c r="AJ35" s="263" t="n">
        <f aca="false">IFERROR(INDEX(SkillData,MATCH(INDEX(PalData,MATCH($B35,PalNames,0)+1,MATCH("Passive4b",PalData_Header,0)),SkillDataCodeName,0)+1,MATCH("EffectValue1",SkillData_Header,0)),)</f>
        <v>0</v>
      </c>
      <c r="AK35" s="305" t="s">
        <v>299</v>
      </c>
    </row>
    <row r="36" customFormat="false" ht="15.75" hidden="false" customHeight="false" outlineLevel="0" collapsed="false">
      <c r="A36" s="299" t="n">
        <v>30</v>
      </c>
      <c r="B36" s="300" t="s">
        <v>28</v>
      </c>
      <c r="C36" s="45" t="n">
        <f aca="false">IF(ISBLANK(INDEX(PalData,MATCH($B36,PalNames,0)+1,MATCH("ActiveSkill",PalData_Header,0))),INDEX(PalData,MATCH($B36,PalNames,0)+1,MATCH("SkillUnlock_",PalData_Header,0)),INDEX(PalData,MATCH($B36,PalNames,0)+1,MATCH("ActiveSkill",PalData_Header,0)))</f>
        <v>0</v>
      </c>
      <c r="D36" s="45"/>
      <c r="E36" s="45" t="n">
        <f aca="false">INDEX(PalData,MATCH($B36,PalNames,0)+1,MATCH("ActiveSkillBonus0",PalData_Header,0))</f>
        <v>0</v>
      </c>
      <c r="F36" s="45" t="n">
        <f aca="false">INDEX(PalData,MATCH($B36,PalNames,0)+1,MATCH("ActiveSkillBonus1",PalData_Header,0))</f>
        <v>0</v>
      </c>
      <c r="G36" s="45" t="n">
        <f aca="false">INDEX(PalData,MATCH($B36,PalNames,0)+1,MATCH("ActiveSkillBonus2",PalData_Header,0))</f>
        <v>0</v>
      </c>
      <c r="H36" s="45" t="n">
        <f aca="false">INDEX(PalData,MATCH($B36,PalNames,0)+1,MATCH("ActiveSkillBonus3",PalData_Header,0))</f>
        <v>0</v>
      </c>
      <c r="I36" s="260" t="n">
        <f aca="false">INDEX(PalData,MATCH($B36,PalNames,0)+1,MATCH("ActiveSkillBonus4",PalData_Header,0))</f>
        <v>0</v>
      </c>
      <c r="J36" s="45" t="str">
        <f aca="false">IFERROR(__xludf.dummyfunction("IFERROR(INDEX(SkillData,MATCH(Arrayformula(ARRAY_CONSTRAIN(FILTER(INDIRECT(""PalData!""&amp;ADDRESS(MATCH(B36,PalNames,0)+1,(MATCH(""Passive0c"",PalData_Header,0)))&amp;"":""&amp;ADDRESS(MATCH(B36,PalNames,0)+1,(MATCH(""Passive0c"",PalData_Header,0))+4)),LEN(INDIRECT"&amp;"(""PalData!""&amp;ADDRESS(MATCH(B36,PalNames,0)+1,(MATCH(""Passive0c"",PalData_Header,0)))&amp;"":""&amp;ADDRESS(MATCH(B36,PalNames,0)+1,(MATCH(""Passive0c"",PalData_Header,0))+4)))&gt;0),1,1)),SkillDataCodeName,0)+1,MATCH(""EffectTypeCombined"",SkillData_Header,0)))"),"ShotAttack")</f>
        <v>ShotAttack</v>
      </c>
      <c r="K36" s="45" t="str">
        <f aca="false">IFERROR(__xludf.dummyfunction("IFERROR(INDEX(SkillData,MATCH(Arrayformula(ARRAY_CONSTRAIN(FILTER(INDIRECT(""PalData!""&amp;ADDRESS(MATCH(B36,PalNames,0)+1,(MATCH(""Passive0c"",PalData_Header,0)))&amp;"":""&amp;ADDRESS(MATCH(B36,PalNames,0)+1,(MATCH(""Passive0c"",PalData_Header,0))+4)),LEN(INDIRECT"&amp;"(""PalData!""&amp;ADDRESS(MATCH(B36,PalNames,0)+1,(MATCH(""Passive0c"",PalData_Header,0)))&amp;"":""&amp;ADDRESS(MATCH(B36,PalNames,0)+1,(MATCH(""Passive0c"",PalData_Header,0))+4)))&gt;0),1,1)),SkillDataCodeName,0)+1,MATCH(""TargetType1"",SkillData_Header,0)))"),"Self")</f>
        <v>Self</v>
      </c>
      <c r="L36" s="45" t="e">
        <f aca="false" t="array" ref="L36:L36">IF(INDEX(PalData,MATCH($B36,PalNames,0)+1,MATCH("Passive0cCondition",PalData_Header,0))=IFERROR(INDEX(SkillData,MATCH(INDEX(PalData,MATCH($B36,PalNames,0)+1,MATCH("Passive0c",PalData_Header,0)),SkillDataCodeName,0)+1,MATCH("Conditions",SkillData_Header,0))),INDEX(PalData,MATCH($B36,PalNames,0)+1,MATCH("Passive0cCondition",PalData_Header,0)),INDEX(PalData,MATCH($B36,PalNames,0)+1,MATCH("Passive0cCondition",PalData_Header,0)) &amp; IF(ISBLANK(INDEX(PalData,MATCH($B36,PalNames,0)+1,MATCH("Passive0cCondition",PalData_Header,0))),," ")&amp;IFERROR(INDEX(SkillData,MATCH(INDEX(PalData,MATCH($B36,PalNames,0)+1,MATCH("Passive0c",PalData_Header,0)),SkillDataCodeName,0)+1,MATCH("Conditions",SkillData_Header,0))))</f>
        <v>#VALUE!</v>
      </c>
      <c r="M36" s="45" t="str">
        <f aca="false">IFERROR(__xludf.dummyfunction("IFERROR(INDEX(SkillData,MATCH(Arrayformula(ARRAY_CONSTRAIN(FILTER(INDIRECT(""PalData!""&amp;ADDRESS(MATCH(B36,PalNames,0)+1,(MATCH(""Passive0c"",PalData_Header,0)))&amp;"":""&amp;ADDRESS(MATCH(B36,PalNames,0)+1,(MATCH(""Passive0c"",PalData_Header,0))+4)),LEN(INDIRECT"&amp;"(""PalData!""&amp;ADDRESS(MATCH(B36,PalNames,0)+1,(MATCH(""Passive0c"",PalData_Header,0)))&amp;"":""&amp;ADDRESS(MATCH(B36,PalNames,0)+1,(MATCH(""Passive0c"",PalData_Header,0))+4)))&gt;0),1,1)),SkillDataCodeName,0)+1,MATCH(""ValueType1"",SkillData_Header,0)))"),"%")</f>
        <v>%</v>
      </c>
      <c r="N36" s="62" t="e">
        <f aca="false" t="array" ref="N36:N36">IFERROR(INDEX(SkillData,MATCH(INDEX(PalData,MATCH($B36,PalNames,0)+1,MATCH("Passive0c",PalData_Header,0)),SkillDataCodeName,0)+1,MATCH("EffectValue1",SkillData_Header,0)))</f>
        <v>#VALUE!</v>
      </c>
      <c r="O36" s="62" t="e">
        <f aca="false" t="array" ref="O36:O36">IFERROR(INDEX(SkillData,MATCH(INDEX(PalData,MATCH($B36,PalNames,0)+1,MATCH("Passive1c",PalData_Header,0)),SkillDataCodeName,0)+1,MATCH("EffectValue1",SkillData_Header,0)))</f>
        <v>#VALUE!</v>
      </c>
      <c r="P36" s="62" t="e">
        <f aca="false" t="array" ref="P36:P36">IFERROR(INDEX(SkillData,MATCH(INDEX(PalData,MATCH($B36,PalNames,0)+1,MATCH("Passive2c",PalData_Header,0)),SkillDataCodeName,0)+1,MATCH("EffectValue1",SkillData_Header,0)))</f>
        <v>#VALUE!</v>
      </c>
      <c r="Q36" s="62" t="e">
        <f aca="false" t="array" ref="Q36:Q36">IFERROR(INDEX(SkillData,MATCH(INDEX(PalData,MATCH($B36,PalNames,0)+1,MATCH("Passive3c",PalData_Header,0)),SkillDataCodeName,0)+1,MATCH("EffectValue1",SkillData_Header,0)))</f>
        <v>#VALUE!</v>
      </c>
      <c r="R36" s="306" t="e">
        <f aca="false" t="array" ref="R36:R36">IFERROR(INDEX(SkillData,MATCH(INDEX(PalData,MATCH($B36,PalNames,0)+1,MATCH("Passive4c",PalData_Header,0)),SkillDataCodeName,0)+1,MATCH("EffectValue1",SkillData_Header,0)))</f>
        <v>#VALUE!</v>
      </c>
      <c r="S36" s="45" t="str">
        <f aca="false">IFERROR(__xludf.dummyfunction("IFERROR(INDEX(SkillData,MATCH(Arrayformula(ARRAY_CONSTRAIN(FILTER(INDIRECT(""PalData!""&amp;ADDRESS(MATCH(B36,PalNames,0)+1,(MATCH(""Passive0a"",PalData_Header,0)))&amp;"":""&amp;ADDRESS(MATCH(B36,PalNames,0)+1,(MATCH(""Passive0a"",PalData_Header,0))+4)),LEN(INDIRECT"&amp;"(""PalData!""&amp;ADDRESS(MATCH(B36,PalNames,0)+1,(MATCH(""Passive0a"",PalData_Header,0)))&amp;"":""&amp;ADDRESS(MATCH(B36,PalNames,0)+1,(MATCH(""Passive0a"",PalData_Header,0))+4)))&gt;0),1,1)),SkillDataCodeName,0)+1,MATCH(""EffectTypeCombined"",SkillData_Header,0)))"),"")</f>
        <v/>
      </c>
      <c r="T36" s="45" t="str">
        <f aca="false">IFERROR(__xludf.dummyfunction("IFERROR(INDEX(SkillData,MATCH(Arrayformula(ARRAY_CONSTRAIN(FILTER(INDIRECT(""PalData!""&amp;ADDRESS(MATCH(B36,PalNames,0)+1,(MATCH(""Passive0a"",PalData_Header,0)))&amp;"":""&amp;ADDRESS(MATCH(B36,PalNames,0)+1,(MATCH(""Passive0a"",PalData_Header,0))+4)),LEN(INDIRECT"&amp;"(""PalData!""&amp;ADDRESS(MATCH(B36,PalNames,0)+1,(MATCH(""Passive0a"",PalData_Header,0)))&amp;"":""&amp;ADDRESS(MATCH(B36,PalNames,0)+1,(MATCH(""Passive0a"",PalData_Header,0))+4)))&gt;0),1,1)),SkillDataCodeName,0)+1,MATCH(""TargetType1"",SkillData_Header,0)))"),"")</f>
        <v/>
      </c>
      <c r="U36" s="45" t="e">
        <f aca="false" t="array" ref="U36:U36">IF(INDEX(PalData,MATCH($B36,PalNames,0)+1,MATCH("Passive0aCondition",PalData_Header,0))=IFERROR(INDEX(SkillData,MATCH(INDEX(PalData,MATCH($B36,PalNames,0)+1,MATCH("Passive0a",PalData_Header,0)),SkillDataCodeName,0)+1,MATCH("Conditions",SkillData_Header,0))),INDEX(PalData,MATCH($B36,PalNames,0)+1,MATCH("Passive0aCondition",PalData_Header,0)),INDEX(PalData,MATCH($B36,PalNames,0)+1,MATCH("Passive0aCondition",PalData_Header,0)) &amp; IF(ISBLANK(INDEX(PalData,MATCH($B36,PalNames,0)+1,MATCH("Passive0aCondition",PalData_Header,0))),," ")&amp;IFERROR(INDEX(SkillData,MATCH(INDEX(PalData,MATCH($B36,PalNames,0)+1,MATCH("Passive0a",PalData_Header,0)),SkillDataCodeName,0)+1,MATCH("Conditions",SkillData_Header,0))))</f>
        <v>#N/A</v>
      </c>
      <c r="V36" s="45" t="str">
        <f aca="false">IFERROR(__xludf.dummyfunction("IFERROR(INDEX(SkillData,MATCH(Arrayformula(ARRAY_CONSTRAIN(FILTER(INDIRECT(""PalData!""&amp;ADDRESS(MATCH(B36,PalNames,0)+1,(MATCH(""Passive0a"",PalData_Header,0)))&amp;"":""&amp;ADDRESS(MATCH(B36,PalNames,0)+1,(MATCH(""Passive0a"",PalData_Header,0))+4)),LEN(INDIRECT"&amp;"(""PalData!""&amp;ADDRESS(MATCH(B36,PalNames,0)+1,(MATCH(""Passive0a"",PalData_Header,0)))&amp;"":""&amp;ADDRESS(MATCH(B36,PalNames,0)+1,(MATCH(""Passive0a"",PalData_Header,0))+4)))&gt;0),1,1)),SkillDataCodeName,0)+1,MATCH(""ValueType1"",SkillData_Header,0)))"),"")</f>
        <v/>
      </c>
      <c r="W36" s="45" t="n">
        <f aca="false">IFERROR(INDEX(SkillData,MATCH(INDEX(PalData,MATCH($B36,PalNames,0)+1,MATCH("Passive0a",PalData_Header,0)),SkillDataCodeName,0)+1,MATCH("EffectValue1",SkillData_Header,0)),)</f>
        <v>0</v>
      </c>
      <c r="X36" s="45" t="n">
        <f aca="false">IFERROR(INDEX(SkillData,MATCH(INDEX(PalData,MATCH($B36,PalNames,0)+1,MATCH("Passive1a",PalData_Header,0)),SkillDataCodeName,0)+1,MATCH("EffectValue1",SkillData_Header,0)),)</f>
        <v>0</v>
      </c>
      <c r="Y36" s="45" t="n">
        <f aca="false">IFERROR(INDEX(SkillData,MATCH(INDEX(PalData,MATCH($B36,PalNames,0)+1,MATCH("Passive2a",PalData_Header,0)),SkillDataCodeName,0)+1,MATCH("EffectValue1",SkillData_Header,0)),)</f>
        <v>0</v>
      </c>
      <c r="Z36" s="45" t="n">
        <f aca="false">IFERROR(INDEX(SkillData,MATCH(INDEX(PalData,MATCH($B36,PalNames,0)+1,MATCH("Passive3a",PalData_Header,0)),SkillDataCodeName,0)+1,MATCH("EffectValue1",SkillData_Header,0)),)</f>
        <v>0</v>
      </c>
      <c r="AA36" s="260" t="n">
        <f aca="false">IFERROR(INDEX(SkillData,MATCH(INDEX(PalData,MATCH($B36,PalNames,0)+1,MATCH("Passive4a",PalData_Header,0)),SkillDataCodeName,0)+1,MATCH("EffectValue1",SkillData_Header,0)),)</f>
        <v>0</v>
      </c>
      <c r="AB36" s="45" t="str">
        <f aca="false">IFERROR(__xludf.dummyfunction("IFERROR(INDEX(SkillData,MATCH(Arrayformula(ARRAY_CONSTRAIN(FILTER(INDIRECT(""PalData!""&amp;ADDRESS(MATCH(B36,PalNames,0)+1,(MATCH(""Passive0b"",PalData_Header,0)))&amp;"":""&amp;ADDRESS(MATCH(B36,PalNames,0)+1,(MATCH(""Passive0b"",PalData_Header,0))+4)),LEN(INDIRECT"&amp;"(""PalData!""&amp;ADDRESS(MATCH(B36,PalNames,0)+1,(MATCH(""Passive0b"",PalData_Header,0)))&amp;"":""&amp;ADDRESS(MATCH(B36,PalNames,0)+1,(MATCH(""Passive0b"",PalData_Header,0))+4)))&gt;0),1,1)),SkillDataCodeName,0)+1,MATCH(""EffectTypeCombined"",SkillData_Header,0)))"),"")</f>
        <v/>
      </c>
      <c r="AC36" s="45" t="str">
        <f aca="false">IFERROR(__xludf.dummyfunction("IFERROR(INDEX(SkillData,MATCH(Arrayformula(ARRAY_CONSTRAIN(FILTER(INDIRECT(""PalData!""&amp;ADDRESS(MATCH(B36,PalNames,0)+1,(MATCH(""Passive0b"",PalData_Header,0)))&amp;"":""&amp;ADDRESS(MATCH(B36,PalNames,0)+1,(MATCH(""Passive0b"",PalData_Header,0))+4)),LEN(INDIRECT"&amp;"(""PalData!""&amp;ADDRESS(MATCH(B36,PalNames,0)+1,(MATCH(""Passive0b"",PalData_Header,0)))&amp;"":""&amp;ADDRESS(MATCH(B36,PalNames,0)+1,(MATCH(""Passive0b"",PalData_Header,0))+4)))&gt;0),1,1)),SkillDataCodeName,0)+1,MATCH(""TargetType1"",SkillData_Header,0)))"),"")</f>
        <v/>
      </c>
      <c r="AD36" s="45" t="e">
        <f aca="false" t="array" ref="AD36:AD36">IF(INDEX(PalData,MATCH($B36,PalNames,0)+1,MATCH("Passive0bCondition",PalData_Header,0))=IFERROR(INDEX(SkillData,MATCH(INDEX(PalData,MATCH($B36,PalNames,0)+1,MATCH("Passive0b",PalData_Header,0)),SkillDataCodeName,0)+1,MATCH("Conditions",SkillData_Header,0))),INDEX(PalData,MATCH($B36,PalNames,0)+1,MATCH("Passive0bCondition",PalData_Header,0)),INDEX(PalData,MATCH($B36,PalNames,0)+1,MATCH("Passive0bCondition",PalData_Header,0)) &amp; IF(ISBLANK(INDEX(PalData,MATCH($B36,PalNames,0)+1,MATCH("Passive0bCondition",PalData_Header,0))),," ")&amp;IFERROR(INDEX(SkillData,MATCH(INDEX(PalData,MATCH($B36,PalNames,0)+1,MATCH("Passive0b",PalData_Header,0)),SkillDataCodeName,0)+1,MATCH("Conditions",SkillData_Header,0))))</f>
        <v>#N/A</v>
      </c>
      <c r="AE36" s="45" t="str">
        <f aca="false">IFERROR(__xludf.dummyfunction("IFERROR(INDEX(SkillData,MATCH(Arrayformula(ARRAY_CONSTRAIN(FILTER(INDIRECT(""PalData!""&amp;ADDRESS(MATCH(B36,PalNames,0)+1,(MATCH(""Passive0b"",PalData_Header,0)))&amp;"":""&amp;ADDRESS(MATCH(B36,PalNames,0)+1,(MATCH(""Passive0b"",PalData_Header,0))+4)),LEN(INDIRECT"&amp;"(""PalData!""&amp;ADDRESS(MATCH(B36,PalNames,0)+1,(MATCH(""Passive0b"",PalData_Header,0)))&amp;"":""&amp;ADDRESS(MATCH(B36,PalNames,0)+1,(MATCH(""Passive0b"",PalData_Header,0))+4)))&gt;0),1,1)),SkillDataCodeName,0)+1,MATCH(""ValueType1"",SkillData_Header,0)))"),"")</f>
        <v/>
      </c>
      <c r="AF36" s="45" t="n">
        <f aca="false">IFERROR(INDEX(SkillData,MATCH(INDEX(PalData,MATCH($B36,PalNames,0)+1,MATCH("Passive0b",PalData_Header,0)),SkillDataCodeName,0)+1,MATCH("EffectValue1",SkillData_Header,0)),)</f>
        <v>0</v>
      </c>
      <c r="AG36" s="45" t="n">
        <f aca="false">IFERROR(INDEX(SkillData,MATCH(INDEX(PalData,MATCH($B36,PalNames,0)+1,MATCH("Passive1b",PalData_Header,0)),SkillDataCodeName,0)+1,MATCH("EffectValue1",SkillData_Header,0)),)</f>
        <v>0</v>
      </c>
      <c r="AH36" s="45" t="n">
        <f aca="false">IFERROR(INDEX(SkillData,MATCH(INDEX(PalData,MATCH($B36,PalNames,0)+1,MATCH("Passive2b",PalData_Header,0)),SkillDataCodeName,0)+1,MATCH("EffectValue1",SkillData_Header,0)),)</f>
        <v>0</v>
      </c>
      <c r="AI36" s="45" t="n">
        <f aca="false">IFERROR(INDEX(SkillData,MATCH(INDEX(PalData,MATCH($B36,PalNames,0)+1,MATCH("Passive3b",PalData_Header,0)),SkillDataCodeName,0)+1,MATCH("EffectValue1",SkillData_Header,0)),)</f>
        <v>0</v>
      </c>
      <c r="AJ36" s="260" t="n">
        <f aca="false">IFERROR(INDEX(SkillData,MATCH(INDEX(PalData,MATCH($B36,PalNames,0)+1,MATCH("Passive4b",PalData_Header,0)),SkillDataCodeName,0)+1,MATCH("EffectValue1",SkillData_Header,0)),)</f>
        <v>0</v>
      </c>
      <c r="AK36" s="301" t="s">
        <v>300</v>
      </c>
    </row>
    <row r="37" customFormat="false" ht="15.75" hidden="false" customHeight="false" outlineLevel="0" collapsed="false">
      <c r="A37" s="302" t="n">
        <v>31</v>
      </c>
      <c r="B37" s="303" t="s">
        <v>64</v>
      </c>
      <c r="C37" s="48" t="str">
        <f aca="false" t="array" ref="C37:C37">IF(ISBLANK(INDEX(PalData,MATCH($B37,PalNames,0)+1,MATCH("ActiveSkill",PalData_Header,0))),INDEX(PalData,MATCH($B37,PalNames,0)+1,MATCH("SkillUnlock_",PalData_Header,0)),INDEX(PalData,MATCH($B37,PalNames,0)+1,MATCH("ActiveSkill",PalData_Header,0)))</f>
        <v>WaterGun</v>
      </c>
      <c r="D37" s="48" t="s">
        <v>269</v>
      </c>
      <c r="E37" s="61" t="n">
        <f aca="false" t="array" ref="E37:E37">INDEX(PalData,MATCH($B37,PalNames,0)+1,MATCH("ActiveSkillBonus0",PalData_Header,0))</f>
        <v>1.1</v>
      </c>
      <c r="F37" s="61" t="n">
        <f aca="false" t="array" ref="F37:F37">INDEX(PalData,MATCH($B37,PalNames,0)+1,MATCH("ActiveSkillBonus1",PalData_Header,0))</f>
        <v>1.3</v>
      </c>
      <c r="G37" s="61" t="n">
        <f aca="false" t="array" ref="G37:G37">INDEX(PalData,MATCH($B37,PalNames,0)+1,MATCH("ActiveSkillBonus2",PalData_Header,0))</f>
        <v>1.6</v>
      </c>
      <c r="H37" s="61" t="n">
        <f aca="false" t="array" ref="H37:H37">INDEX(PalData,MATCH($B37,PalNames,0)+1,MATCH("ActiveSkillBonus3",PalData_Header,0))</f>
        <v>2</v>
      </c>
      <c r="I37" s="304" t="n">
        <f aca="false" t="array" ref="I37:I37">INDEX(PalData,MATCH($B37,PalNames,0)+1,MATCH("ActiveSkillBonus4",PalData_Header,0))</f>
        <v>2.5</v>
      </c>
      <c r="J37" s="48" t="str">
        <f aca="false">IFERROR(__xludf.dummyfunction("IFERROR(INDEX(SkillData,MATCH(Arrayformula(ARRAY_CONSTRAIN(FILTER(INDIRECT(""PalData!""&amp;ADDRESS(MATCH(B37,PalNames,0)+1,(MATCH(""Passive0c"",PalData_Header,0)))&amp;"":""&amp;ADDRESS(MATCH(B37,PalNames,0)+1,(MATCH(""Passive0c"",PalData_Header,0))+4)),LEN(INDIRECT"&amp;"(""PalData!""&amp;ADDRESS(MATCH(B37,PalNames,0)+1,(MATCH(""Passive0c"",PalData_Header,0)))&amp;"":""&amp;ADDRESS(MATCH(B37,PalNames,0)+1,(MATCH(""Passive0c"",PalData_Header,0))+4)))&gt;0),1,1)),SkillDataCodeName,0)+1,MATCH(""EffectTypeCombined"",SkillData_Header,0)))"),"ShotAttack")</f>
        <v>ShotAttack</v>
      </c>
      <c r="K37" s="48" t="str">
        <f aca="false">IFERROR(__xludf.dummyfunction("IFERROR(INDEX(SkillData,MATCH(Arrayformula(ARRAY_CONSTRAIN(FILTER(INDIRECT(""PalData!""&amp;ADDRESS(MATCH(B37,PalNames,0)+1,(MATCH(""Passive0c"",PalData_Header,0)))&amp;"":""&amp;ADDRESS(MATCH(B37,PalNames,0)+1,(MATCH(""Passive0c"",PalData_Header,0))+4)),LEN(INDIRECT"&amp;"(""PalData!""&amp;ADDRESS(MATCH(B37,PalNames,0)+1,(MATCH(""Passive0c"",PalData_Header,0)))&amp;"":""&amp;ADDRESS(MATCH(B37,PalNames,0)+1,(MATCH(""Passive0c"",PalData_Header,0))+4)))&gt;0),1,1)),SkillDataCodeName,0)+1,MATCH(""TargetType1"",SkillData_Header,0)))"),"Trainer")</f>
        <v>Trainer</v>
      </c>
      <c r="L37" s="48" t="e">
        <f aca="false" t="array" ref="L37:L37">IF(INDEX(PalData,MATCH($B37,PalNames,0)+1,MATCH("Passive0cCondition",PalData_Header,0))=IFERROR(INDEX(SkillData,MATCH(INDEX(PalData,MATCH($B37,PalNames,0)+1,MATCH("Passive0c",PalData_Header,0)),SkillDataCodeName,0)+1,MATCH("Conditions",SkillData_Header,0))),INDEX(PalData,MATCH($B37,PalNames,0)+1,MATCH("Passive0cCondition",PalData_Header,0)),INDEX(PalData,MATCH($B37,PalNames,0)+1,MATCH("Passive0cCondition",PalData_Header,0)) &amp; IF(ISBLANK(INDEX(PalData,MATCH($B37,PalNames,0)+1,MATCH("Passive0cCondition",PalData_Header,0))),," ")&amp;IFERROR(INDEX(SkillData,MATCH(INDEX(PalData,MATCH($B37,PalNames,0)+1,MATCH("Passive0c",PalData_Header,0)),SkillDataCodeName,0)+1,MATCH("Conditions",SkillData_Header,0))))</f>
        <v>#VALUE!</v>
      </c>
      <c r="M37" s="48" t="str">
        <f aca="false">IFERROR(__xludf.dummyfunction("IFERROR(INDEX(SkillData,MATCH(Arrayformula(ARRAY_CONSTRAIN(FILTER(INDIRECT(""PalData!""&amp;ADDRESS(MATCH(B37,PalNames,0)+1,(MATCH(""Passive0c"",PalData_Header,0)))&amp;"":""&amp;ADDRESS(MATCH(B37,PalNames,0)+1,(MATCH(""Passive0c"",PalData_Header,0))+4)),LEN(INDIRECT"&amp;"(""PalData!""&amp;ADDRESS(MATCH(B37,PalNames,0)+1,(MATCH(""Passive0c"",PalData_Header,0)))&amp;"":""&amp;ADDRESS(MATCH(B37,PalNames,0)+1,(MATCH(""Passive0c"",PalData_Header,0))+4)))&gt;0),1,1)),SkillDataCodeName,0)+1,MATCH(""ValueType1"",SkillData_Header,0)))"),"%")</f>
        <v>%</v>
      </c>
      <c r="N37" s="61" t="e">
        <f aca="false" t="array" ref="N37:N37">IFERROR(INDEX(SkillData,MATCH(INDEX(PalData,MATCH($B37,PalNames,0)+1,MATCH("Passive0c",PalData_Header,0)),SkillDataCodeName,0)+1,MATCH("EffectValue1",SkillData_Header,0)))</f>
        <v>#VALUE!</v>
      </c>
      <c r="O37" s="61" t="e">
        <f aca="false" t="array" ref="O37:O37">IFERROR(INDEX(SkillData,MATCH(INDEX(PalData,MATCH($B37,PalNames,0)+1,MATCH("Passive1c",PalData_Header,0)),SkillDataCodeName,0)+1,MATCH("EffectValue1",SkillData_Header,0)))</f>
        <v>#VALUE!</v>
      </c>
      <c r="P37" s="61" t="e">
        <f aca="false" t="array" ref="P37:P37">IFERROR(INDEX(SkillData,MATCH(INDEX(PalData,MATCH($B37,PalNames,0)+1,MATCH("Passive2c",PalData_Header,0)),SkillDataCodeName,0)+1,MATCH("EffectValue1",SkillData_Header,0)))</f>
        <v>#VALUE!</v>
      </c>
      <c r="Q37" s="61" t="e">
        <f aca="false" t="array" ref="Q37:Q37">IFERROR(INDEX(SkillData,MATCH(INDEX(PalData,MATCH($B37,PalNames,0)+1,MATCH("Passive3c",PalData_Header,0)),SkillDataCodeName,0)+1,MATCH("EffectValue1",SkillData_Header,0)))</f>
        <v>#VALUE!</v>
      </c>
      <c r="R37" s="304" t="e">
        <f aca="false" t="array" ref="R37:R37">IFERROR(INDEX(SkillData,MATCH(INDEX(PalData,MATCH($B37,PalNames,0)+1,MATCH("Passive4c",PalData_Header,0)),SkillDataCodeName,0)+1,MATCH("EffectValue1",SkillData_Header,0)))</f>
        <v>#VALUE!</v>
      </c>
      <c r="S37" s="48" t="str">
        <f aca="false">IFERROR(__xludf.dummyfunction("IFERROR(INDEX(SkillData,MATCH(Arrayformula(ARRAY_CONSTRAIN(FILTER(INDIRECT(""PalData!""&amp;ADDRESS(MATCH(B37,PalNames,0)+1,(MATCH(""Passive0a"",PalData_Header,0)))&amp;"":""&amp;ADDRESS(MATCH(B37,PalNames,0)+1,(MATCH(""Passive0a"",PalData_Header,0))+4)),LEN(INDIRECT"&amp;"(""PalData!""&amp;ADDRESS(MATCH(B37,PalNames,0)+1,(MATCH(""Passive0a"",PalData_Header,0)))&amp;"":""&amp;ADDRESS(MATCH(B37,PalNames,0)+1,(MATCH(""Passive0a"",PalData_Header,0))+4)))&gt;0),1,1)),SkillDataCodeName,0)+1,MATCH(""EffectTypeCombined"",SkillData_Header,0)))"),"")</f>
        <v/>
      </c>
      <c r="T37" s="48" t="str">
        <f aca="false">IFERROR(__xludf.dummyfunction("IFERROR(INDEX(SkillData,MATCH(Arrayformula(ARRAY_CONSTRAIN(FILTER(INDIRECT(""PalData!""&amp;ADDRESS(MATCH(B37,PalNames,0)+1,(MATCH(""Passive0a"",PalData_Header,0)))&amp;"":""&amp;ADDRESS(MATCH(B37,PalNames,0)+1,(MATCH(""Passive0a"",PalData_Header,0))+4)),LEN(INDIRECT"&amp;"(""PalData!""&amp;ADDRESS(MATCH(B37,PalNames,0)+1,(MATCH(""Passive0a"",PalData_Header,0)))&amp;"":""&amp;ADDRESS(MATCH(B37,PalNames,0)+1,(MATCH(""Passive0a"",PalData_Header,0))+4)))&gt;0),1,1)),SkillDataCodeName,0)+1,MATCH(""TargetType1"",SkillData_Header,0)))"),"")</f>
        <v/>
      </c>
      <c r="U37" s="48" t="e">
        <f aca="false" t="array" ref="U37:U37">IF(INDEX(PalData,MATCH($B37,PalNames,0)+1,MATCH("Passive0aCondition",PalData_Header,0))=IFERROR(INDEX(SkillData,MATCH(INDEX(PalData,MATCH($B37,PalNames,0)+1,MATCH("Passive0a",PalData_Header,0)),SkillDataCodeName,0)+1,MATCH("Conditions",SkillData_Header,0))),INDEX(PalData,MATCH($B37,PalNames,0)+1,MATCH("Passive0aCondition",PalData_Header,0)),INDEX(PalData,MATCH($B37,PalNames,0)+1,MATCH("Passive0aCondition",PalData_Header,0)) &amp; IF(ISBLANK(INDEX(PalData,MATCH($B37,PalNames,0)+1,MATCH("Passive0aCondition",PalData_Header,0))),," ")&amp;IFERROR(INDEX(SkillData,MATCH(INDEX(PalData,MATCH($B37,PalNames,0)+1,MATCH("Passive0a",PalData_Header,0)),SkillDataCodeName,0)+1,MATCH("Conditions",SkillData_Header,0))))</f>
        <v>#N/A</v>
      </c>
      <c r="V37" s="48" t="str">
        <f aca="false">IFERROR(__xludf.dummyfunction("IFERROR(INDEX(SkillData,MATCH(Arrayformula(ARRAY_CONSTRAIN(FILTER(INDIRECT(""PalData!""&amp;ADDRESS(MATCH(B37,PalNames,0)+1,(MATCH(""Passive0a"",PalData_Header,0)))&amp;"":""&amp;ADDRESS(MATCH(B37,PalNames,0)+1,(MATCH(""Passive0a"",PalData_Header,0))+4)),LEN(INDIRECT"&amp;"(""PalData!""&amp;ADDRESS(MATCH(B37,PalNames,0)+1,(MATCH(""Passive0a"",PalData_Header,0)))&amp;"":""&amp;ADDRESS(MATCH(B37,PalNames,0)+1,(MATCH(""Passive0a"",PalData_Header,0))+4)))&gt;0),1,1)),SkillDataCodeName,0)+1,MATCH(""ValueType1"",SkillData_Header,0)))"),"")</f>
        <v/>
      </c>
      <c r="W37" s="48" t="n">
        <f aca="false">IFERROR(INDEX(SkillData,MATCH(INDEX(PalData,MATCH($B37,PalNames,0)+1,MATCH("Passive0a",PalData_Header,0)),SkillDataCodeName,0)+1,MATCH("EffectValue1",SkillData_Header,0)),)</f>
        <v>0</v>
      </c>
      <c r="X37" s="48" t="n">
        <f aca="false">IFERROR(INDEX(SkillData,MATCH(INDEX(PalData,MATCH($B37,PalNames,0)+1,MATCH("Passive1a",PalData_Header,0)),SkillDataCodeName,0)+1,MATCH("EffectValue1",SkillData_Header,0)),)</f>
        <v>0</v>
      </c>
      <c r="Y37" s="48" t="n">
        <f aca="false">IFERROR(INDEX(SkillData,MATCH(INDEX(PalData,MATCH($B37,PalNames,0)+1,MATCH("Passive2a",PalData_Header,0)),SkillDataCodeName,0)+1,MATCH("EffectValue1",SkillData_Header,0)),)</f>
        <v>0</v>
      </c>
      <c r="Z37" s="48" t="n">
        <f aca="false">IFERROR(INDEX(SkillData,MATCH(INDEX(PalData,MATCH($B37,PalNames,0)+1,MATCH("Passive3a",PalData_Header,0)),SkillDataCodeName,0)+1,MATCH("EffectValue1",SkillData_Header,0)),)</f>
        <v>0</v>
      </c>
      <c r="AA37" s="263" t="n">
        <f aca="false">IFERROR(INDEX(SkillData,MATCH(INDEX(PalData,MATCH($B37,PalNames,0)+1,MATCH("Passive4a",PalData_Header,0)),SkillDataCodeName,0)+1,MATCH("EffectValue1",SkillData_Header,0)),)</f>
        <v>0</v>
      </c>
      <c r="AB37" s="48" t="str">
        <f aca="false">IFERROR(__xludf.dummyfunction("IFERROR(INDEX(SkillData,MATCH(Arrayformula(ARRAY_CONSTRAIN(FILTER(INDIRECT(""PalData!""&amp;ADDRESS(MATCH(B37,PalNames,0)+1,(MATCH(""Passive0b"",PalData_Header,0)))&amp;"":""&amp;ADDRESS(MATCH(B37,PalNames,0)+1,(MATCH(""Passive0b"",PalData_Header,0))+4)),LEN(INDIRECT"&amp;"(""PalData!""&amp;ADDRESS(MATCH(B37,PalNames,0)+1,(MATCH(""Passive0b"",PalData_Header,0)))&amp;"":""&amp;ADDRESS(MATCH(B37,PalNames,0)+1,(MATCH(""Passive0b"",PalData_Header,0))+4)))&gt;0),1,1)),SkillDataCodeName,0)+1,MATCH(""EffectTypeCombined"",SkillData_Header,0)))"),"")</f>
        <v/>
      </c>
      <c r="AC37" s="48" t="str">
        <f aca="false">IFERROR(__xludf.dummyfunction("IFERROR(INDEX(SkillData,MATCH(Arrayformula(ARRAY_CONSTRAIN(FILTER(INDIRECT(""PalData!""&amp;ADDRESS(MATCH(B37,PalNames,0)+1,(MATCH(""Passive0b"",PalData_Header,0)))&amp;"":""&amp;ADDRESS(MATCH(B37,PalNames,0)+1,(MATCH(""Passive0b"",PalData_Header,0))+4)),LEN(INDIRECT"&amp;"(""PalData!""&amp;ADDRESS(MATCH(B37,PalNames,0)+1,(MATCH(""Passive0b"",PalData_Header,0)))&amp;"":""&amp;ADDRESS(MATCH(B37,PalNames,0)+1,(MATCH(""Passive0b"",PalData_Header,0))+4)))&gt;0),1,1)),SkillDataCodeName,0)+1,MATCH(""TargetType1"",SkillData_Header,0)))"),"")</f>
        <v/>
      </c>
      <c r="AD37" s="48" t="e">
        <f aca="false" t="array" ref="AD37:AD37">IF(INDEX(PalData,MATCH($B37,PalNames,0)+1,MATCH("Passive0bCondition",PalData_Header,0))=IFERROR(INDEX(SkillData,MATCH(INDEX(PalData,MATCH($B37,PalNames,0)+1,MATCH("Passive0b",PalData_Header,0)),SkillDataCodeName,0)+1,MATCH("Conditions",SkillData_Header,0))),INDEX(PalData,MATCH($B37,PalNames,0)+1,MATCH("Passive0bCondition",PalData_Header,0)),INDEX(PalData,MATCH($B37,PalNames,0)+1,MATCH("Passive0bCondition",PalData_Header,0)) &amp; IF(ISBLANK(INDEX(PalData,MATCH($B37,PalNames,0)+1,MATCH("Passive0bCondition",PalData_Header,0))),," ")&amp;IFERROR(INDEX(SkillData,MATCH(INDEX(PalData,MATCH($B37,PalNames,0)+1,MATCH("Passive0b",PalData_Header,0)),SkillDataCodeName,0)+1,MATCH("Conditions",SkillData_Header,0))))</f>
        <v>#N/A</v>
      </c>
      <c r="AE37" s="48" t="str">
        <f aca="false">IFERROR(__xludf.dummyfunction("IFERROR(INDEX(SkillData,MATCH(Arrayformula(ARRAY_CONSTRAIN(FILTER(INDIRECT(""PalData!""&amp;ADDRESS(MATCH(B37,PalNames,0)+1,(MATCH(""Passive0b"",PalData_Header,0)))&amp;"":""&amp;ADDRESS(MATCH(B37,PalNames,0)+1,(MATCH(""Passive0b"",PalData_Header,0))+4)),LEN(INDIRECT"&amp;"(""PalData!""&amp;ADDRESS(MATCH(B37,PalNames,0)+1,(MATCH(""Passive0b"",PalData_Header,0)))&amp;"":""&amp;ADDRESS(MATCH(B37,PalNames,0)+1,(MATCH(""Passive0b"",PalData_Header,0))+4)))&gt;0),1,1)),SkillDataCodeName,0)+1,MATCH(""ValueType1"",SkillData_Header,0)))"),"")</f>
        <v/>
      </c>
      <c r="AF37" s="48" t="n">
        <f aca="false">IFERROR(INDEX(SkillData,MATCH(INDEX(PalData,MATCH($B37,PalNames,0)+1,MATCH("Passive0b",PalData_Header,0)),SkillDataCodeName,0)+1,MATCH("EffectValue1",SkillData_Header,0)),)</f>
        <v>0</v>
      </c>
      <c r="AG37" s="48" t="n">
        <f aca="false">IFERROR(INDEX(SkillData,MATCH(INDEX(PalData,MATCH($B37,PalNames,0)+1,MATCH("Passive1b",PalData_Header,0)),SkillDataCodeName,0)+1,MATCH("EffectValue1",SkillData_Header,0)),)</f>
        <v>0</v>
      </c>
      <c r="AH37" s="48" t="n">
        <f aca="false">IFERROR(INDEX(SkillData,MATCH(INDEX(PalData,MATCH($B37,PalNames,0)+1,MATCH("Passive2b",PalData_Header,0)),SkillDataCodeName,0)+1,MATCH("EffectValue1",SkillData_Header,0)),)</f>
        <v>0</v>
      </c>
      <c r="AI37" s="48" t="n">
        <f aca="false">IFERROR(INDEX(SkillData,MATCH(INDEX(PalData,MATCH($B37,PalNames,0)+1,MATCH("Passive3b",PalData_Header,0)),SkillDataCodeName,0)+1,MATCH("EffectValue1",SkillData_Header,0)),)</f>
        <v>0</v>
      </c>
      <c r="AJ37" s="263" t="n">
        <f aca="false">IFERROR(INDEX(SkillData,MATCH(INDEX(PalData,MATCH($B37,PalNames,0)+1,MATCH("Passive4b",PalData_Header,0)),SkillDataCodeName,0)+1,MATCH("EffectValue1",SkillData_Header,0)),)</f>
        <v>0</v>
      </c>
      <c r="AK37" s="305" t="s">
        <v>301</v>
      </c>
    </row>
    <row r="38" customFormat="false" ht="15.75" hidden="false" customHeight="false" outlineLevel="0" collapsed="false">
      <c r="A38" s="299" t="n">
        <v>31</v>
      </c>
      <c r="B38" s="300" t="s">
        <v>65</v>
      </c>
      <c r="C38" s="45" t="str">
        <f aca="false" t="array" ref="C38:C38">IF(ISBLANK(INDEX(PalData,MATCH($B38,PalNames,0)+1,MATCH("ActiveSkill",PalData_Header,0))),INDEX(PalData,MATCH($B38,PalNames,0)+1,MATCH("SkillUnlock_",PalData_Header,0)),INDEX(PalData,MATCH($B38,PalNames,0)+1,MATCH("ActiveSkill",PalData_Header,0)))</f>
        <v>FireSeed</v>
      </c>
      <c r="D38" s="45" t="s">
        <v>269</v>
      </c>
      <c r="E38" s="62" t="n">
        <f aca="false" t="array" ref="E38:E38">INDEX(PalData,MATCH($B38,PalNames,0)+1,MATCH("ActiveSkillBonus0",PalData_Header,0))</f>
        <v>1.1</v>
      </c>
      <c r="F38" s="62" t="n">
        <f aca="false" t="array" ref="F38:F38">INDEX(PalData,MATCH($B38,PalNames,0)+1,MATCH("ActiveSkillBonus1",PalData_Header,0))</f>
        <v>1.3</v>
      </c>
      <c r="G38" s="62" t="n">
        <f aca="false" t="array" ref="G38:G38">INDEX(PalData,MATCH($B38,PalNames,0)+1,MATCH("ActiveSkillBonus2",PalData_Header,0))</f>
        <v>1.6</v>
      </c>
      <c r="H38" s="62" t="n">
        <f aca="false" t="array" ref="H38:H38">INDEX(PalData,MATCH($B38,PalNames,0)+1,MATCH("ActiveSkillBonus3",PalData_Header,0))</f>
        <v>2</v>
      </c>
      <c r="I38" s="306" t="n">
        <f aca="false" t="array" ref="I38:I38">INDEX(PalData,MATCH($B38,PalNames,0)+1,MATCH("ActiveSkillBonus4",PalData_Header,0))</f>
        <v>2.5</v>
      </c>
      <c r="J38" s="45" t="str">
        <f aca="false">IFERROR(__xludf.dummyfunction("IFERROR(INDEX(SkillData,MATCH(Arrayformula(ARRAY_CONSTRAIN(FILTER(INDIRECT(""PalData!""&amp;ADDRESS(MATCH(B38,PalNames,0)+1,(MATCH(""Passive0c"",PalData_Header,0)))&amp;"":""&amp;ADDRESS(MATCH(B38,PalNames,0)+1,(MATCH(""Passive0c"",PalData_Header,0))+4)),LEN(INDIRECT"&amp;"(""PalData!""&amp;ADDRESS(MATCH(B38,PalNames,0)+1,(MATCH(""Passive0c"",PalData_Header,0)))&amp;"":""&amp;ADDRESS(MATCH(B38,PalNames,0)+1,(MATCH(""Passive0c"",PalData_Header,0))+4)))&gt;0),1,1)),SkillDataCodeName,0)+1,MATCH(""EffectTypeCombined"",SkillData_Header,0)))"),"ShotAttack")</f>
        <v>ShotAttack</v>
      </c>
      <c r="K38" s="45" t="str">
        <f aca="false">IFERROR(__xludf.dummyfunction("IFERROR(INDEX(SkillData,MATCH(Arrayformula(ARRAY_CONSTRAIN(FILTER(INDIRECT(""PalData!""&amp;ADDRESS(MATCH(B38,PalNames,0)+1,(MATCH(""Passive0c"",PalData_Header,0)))&amp;"":""&amp;ADDRESS(MATCH(B38,PalNames,0)+1,(MATCH(""Passive0c"",PalData_Header,0))+4)),LEN(INDIRECT"&amp;"(""PalData!""&amp;ADDRESS(MATCH(B38,PalNames,0)+1,(MATCH(""Passive0c"",PalData_Header,0)))&amp;"":""&amp;ADDRESS(MATCH(B38,PalNames,0)+1,(MATCH(""Passive0c"",PalData_Header,0))+4)))&gt;0),1,1)),SkillDataCodeName,0)+1,MATCH(""TargetType1"",SkillData_Header,0)))"),"Trainer")</f>
        <v>Trainer</v>
      </c>
      <c r="L38" s="45" t="e">
        <f aca="false" t="array" ref="L38:L38">IF(INDEX(PalData,MATCH($B38,PalNames,0)+1,MATCH("Passive0cCondition",PalData_Header,0))=IFERROR(INDEX(SkillData,MATCH(INDEX(PalData,MATCH($B38,PalNames,0)+1,MATCH("Passive0c",PalData_Header,0)),SkillDataCodeName,0)+1,MATCH("Conditions",SkillData_Header,0))),INDEX(PalData,MATCH($B38,PalNames,0)+1,MATCH("Passive0cCondition",PalData_Header,0)),INDEX(PalData,MATCH($B38,PalNames,0)+1,MATCH("Passive0cCondition",PalData_Header,0)) &amp; IF(ISBLANK(INDEX(PalData,MATCH($B38,PalNames,0)+1,MATCH("Passive0cCondition",PalData_Header,0))),," ")&amp;IFERROR(INDEX(SkillData,MATCH(INDEX(PalData,MATCH($B38,PalNames,0)+1,MATCH("Passive0c",PalData_Header,0)),SkillDataCodeName,0)+1,MATCH("Conditions",SkillData_Header,0))))</f>
        <v>#VALUE!</v>
      </c>
      <c r="M38" s="45" t="str">
        <f aca="false">IFERROR(__xludf.dummyfunction("IFERROR(INDEX(SkillData,MATCH(Arrayformula(ARRAY_CONSTRAIN(FILTER(INDIRECT(""PalData!""&amp;ADDRESS(MATCH(B38,PalNames,0)+1,(MATCH(""Passive0c"",PalData_Header,0)))&amp;"":""&amp;ADDRESS(MATCH(B38,PalNames,0)+1,(MATCH(""Passive0c"",PalData_Header,0))+4)),LEN(INDIRECT"&amp;"(""PalData!""&amp;ADDRESS(MATCH(B38,PalNames,0)+1,(MATCH(""Passive0c"",PalData_Header,0)))&amp;"":""&amp;ADDRESS(MATCH(B38,PalNames,0)+1,(MATCH(""Passive0c"",PalData_Header,0))+4)))&gt;0),1,1)),SkillDataCodeName,0)+1,MATCH(""ValueType1"",SkillData_Header,0)))"),"%")</f>
        <v>%</v>
      </c>
      <c r="N38" s="62" t="e">
        <f aca="false" t="array" ref="N38:N38">IFERROR(INDEX(SkillData,MATCH(INDEX(PalData,MATCH($B38,PalNames,0)+1,MATCH("Passive0c",PalData_Header,0)),SkillDataCodeName,0)+1,MATCH("EffectValue1",SkillData_Header,0)))</f>
        <v>#VALUE!</v>
      </c>
      <c r="O38" s="62" t="e">
        <f aca="false" t="array" ref="O38:O38">IFERROR(INDEX(SkillData,MATCH(INDEX(PalData,MATCH($B38,PalNames,0)+1,MATCH("Passive1c",PalData_Header,0)),SkillDataCodeName,0)+1,MATCH("EffectValue1",SkillData_Header,0)))</f>
        <v>#VALUE!</v>
      </c>
      <c r="P38" s="62" t="e">
        <f aca="false" t="array" ref="P38:P38">IFERROR(INDEX(SkillData,MATCH(INDEX(PalData,MATCH($B38,PalNames,0)+1,MATCH("Passive2c",PalData_Header,0)),SkillDataCodeName,0)+1,MATCH("EffectValue1",SkillData_Header,0)))</f>
        <v>#VALUE!</v>
      </c>
      <c r="Q38" s="62" t="e">
        <f aca="false" t="array" ref="Q38:Q38">IFERROR(INDEX(SkillData,MATCH(INDEX(PalData,MATCH($B38,PalNames,0)+1,MATCH("Passive3c",PalData_Header,0)),SkillDataCodeName,0)+1,MATCH("EffectValue1",SkillData_Header,0)))</f>
        <v>#VALUE!</v>
      </c>
      <c r="R38" s="306" t="e">
        <f aca="false" t="array" ref="R38:R38">IFERROR(INDEX(SkillData,MATCH(INDEX(PalData,MATCH($B38,PalNames,0)+1,MATCH("Passive4c",PalData_Header,0)),SkillDataCodeName,0)+1,MATCH("EffectValue1",SkillData_Header,0)))</f>
        <v>#VALUE!</v>
      </c>
      <c r="S38" s="45" t="str">
        <f aca="false">IFERROR(__xludf.dummyfunction("IFERROR(INDEX(SkillData,MATCH(Arrayformula(ARRAY_CONSTRAIN(FILTER(INDIRECT(""PalData!""&amp;ADDRESS(MATCH(B38,PalNames,0)+1,(MATCH(""Passive0a"",PalData_Header,0)))&amp;"":""&amp;ADDRESS(MATCH(B38,PalNames,0)+1,(MATCH(""Passive0a"",PalData_Header,0))+4)),LEN(INDIRECT"&amp;"(""PalData!""&amp;ADDRESS(MATCH(B38,PalNames,0)+1,(MATCH(""Passive0a"",PalData_Header,0)))&amp;"":""&amp;ADDRESS(MATCH(B38,PalNames,0)+1,(MATCH(""Passive0a"",PalData_Header,0))+4)))&gt;0),1,1)),SkillDataCodeName,0)+1,MATCH(""EffectTypeCombined"",SkillData_Header,0)))"),"")</f>
        <v/>
      </c>
      <c r="T38" s="45" t="str">
        <f aca="false">IFERROR(__xludf.dummyfunction("IFERROR(INDEX(SkillData,MATCH(Arrayformula(ARRAY_CONSTRAIN(FILTER(INDIRECT(""PalData!""&amp;ADDRESS(MATCH(B38,PalNames,0)+1,(MATCH(""Passive0a"",PalData_Header,0)))&amp;"":""&amp;ADDRESS(MATCH(B38,PalNames,0)+1,(MATCH(""Passive0a"",PalData_Header,0))+4)),LEN(INDIRECT"&amp;"(""PalData!""&amp;ADDRESS(MATCH(B38,PalNames,0)+1,(MATCH(""Passive0a"",PalData_Header,0)))&amp;"":""&amp;ADDRESS(MATCH(B38,PalNames,0)+1,(MATCH(""Passive0a"",PalData_Header,0))+4)))&gt;0),1,1)),SkillDataCodeName,0)+1,MATCH(""TargetType1"",SkillData_Header,0)))"),"")</f>
        <v/>
      </c>
      <c r="U38" s="45" t="e">
        <f aca="false" t="array" ref="U38:U38">IF(INDEX(PalData,MATCH($B38,PalNames,0)+1,MATCH("Passive0aCondition",PalData_Header,0))=IFERROR(INDEX(SkillData,MATCH(INDEX(PalData,MATCH($B38,PalNames,0)+1,MATCH("Passive0a",PalData_Header,0)),SkillDataCodeName,0)+1,MATCH("Conditions",SkillData_Header,0))),INDEX(PalData,MATCH($B38,PalNames,0)+1,MATCH("Passive0aCondition",PalData_Header,0)),INDEX(PalData,MATCH($B38,PalNames,0)+1,MATCH("Passive0aCondition",PalData_Header,0)) &amp; IF(ISBLANK(INDEX(PalData,MATCH($B38,PalNames,0)+1,MATCH("Passive0aCondition",PalData_Header,0))),," ")&amp;IFERROR(INDEX(SkillData,MATCH(INDEX(PalData,MATCH($B38,PalNames,0)+1,MATCH("Passive0a",PalData_Header,0)),SkillDataCodeName,0)+1,MATCH("Conditions",SkillData_Header,0))))</f>
        <v>#N/A</v>
      </c>
      <c r="V38" s="45" t="str">
        <f aca="false">IFERROR(__xludf.dummyfunction("IFERROR(INDEX(SkillData,MATCH(Arrayformula(ARRAY_CONSTRAIN(FILTER(INDIRECT(""PalData!""&amp;ADDRESS(MATCH(B38,PalNames,0)+1,(MATCH(""Passive0a"",PalData_Header,0)))&amp;"":""&amp;ADDRESS(MATCH(B38,PalNames,0)+1,(MATCH(""Passive0a"",PalData_Header,0))+4)),LEN(INDIRECT"&amp;"(""PalData!""&amp;ADDRESS(MATCH(B38,PalNames,0)+1,(MATCH(""Passive0a"",PalData_Header,0)))&amp;"":""&amp;ADDRESS(MATCH(B38,PalNames,0)+1,(MATCH(""Passive0a"",PalData_Header,0))+4)))&gt;0),1,1)),SkillDataCodeName,0)+1,MATCH(""ValueType1"",SkillData_Header,0)))"),"")</f>
        <v/>
      </c>
      <c r="W38" s="45" t="n">
        <f aca="false">IFERROR(INDEX(SkillData,MATCH(INDEX(PalData,MATCH($B38,PalNames,0)+1,MATCH("Passive0a",PalData_Header,0)),SkillDataCodeName,0)+1,MATCH("EffectValue1",SkillData_Header,0)),)</f>
        <v>0</v>
      </c>
      <c r="X38" s="45" t="n">
        <f aca="false">IFERROR(INDEX(SkillData,MATCH(INDEX(PalData,MATCH($B38,PalNames,0)+1,MATCH("Passive1a",PalData_Header,0)),SkillDataCodeName,0)+1,MATCH("EffectValue1",SkillData_Header,0)),)</f>
        <v>0</v>
      </c>
      <c r="Y38" s="45" t="n">
        <f aca="false">IFERROR(INDEX(SkillData,MATCH(INDEX(PalData,MATCH($B38,PalNames,0)+1,MATCH("Passive2a",PalData_Header,0)),SkillDataCodeName,0)+1,MATCH("EffectValue1",SkillData_Header,0)),)</f>
        <v>0</v>
      </c>
      <c r="Z38" s="45" t="n">
        <f aca="false">IFERROR(INDEX(SkillData,MATCH(INDEX(PalData,MATCH($B38,PalNames,0)+1,MATCH("Passive3a",PalData_Header,0)),SkillDataCodeName,0)+1,MATCH("EffectValue1",SkillData_Header,0)),)</f>
        <v>0</v>
      </c>
      <c r="AA38" s="260" t="n">
        <f aca="false">IFERROR(INDEX(SkillData,MATCH(INDEX(PalData,MATCH($B38,PalNames,0)+1,MATCH("Passive4a",PalData_Header,0)),SkillDataCodeName,0)+1,MATCH("EffectValue1",SkillData_Header,0)),)</f>
        <v>0</v>
      </c>
      <c r="AB38" s="45" t="str">
        <f aca="false">IFERROR(__xludf.dummyfunction("IFERROR(INDEX(SkillData,MATCH(Arrayformula(ARRAY_CONSTRAIN(FILTER(INDIRECT(""PalData!""&amp;ADDRESS(MATCH(B38,PalNames,0)+1,(MATCH(""Passive0b"",PalData_Header,0)))&amp;"":""&amp;ADDRESS(MATCH(B38,PalNames,0)+1,(MATCH(""Passive0b"",PalData_Header,0))+4)),LEN(INDIRECT"&amp;"(""PalData!""&amp;ADDRESS(MATCH(B38,PalNames,0)+1,(MATCH(""Passive0b"",PalData_Header,0)))&amp;"":""&amp;ADDRESS(MATCH(B38,PalNames,0)+1,(MATCH(""Passive0b"",PalData_Header,0))+4)))&gt;0),1,1)),SkillDataCodeName,0)+1,MATCH(""EffectTypeCombined"",SkillData_Header,0)))"),"")</f>
        <v/>
      </c>
      <c r="AC38" s="45" t="str">
        <f aca="false">IFERROR(__xludf.dummyfunction("IFERROR(INDEX(SkillData,MATCH(Arrayformula(ARRAY_CONSTRAIN(FILTER(INDIRECT(""PalData!""&amp;ADDRESS(MATCH(B38,PalNames,0)+1,(MATCH(""Passive0b"",PalData_Header,0)))&amp;"":""&amp;ADDRESS(MATCH(B38,PalNames,0)+1,(MATCH(""Passive0b"",PalData_Header,0))+4)),LEN(INDIRECT"&amp;"(""PalData!""&amp;ADDRESS(MATCH(B38,PalNames,0)+1,(MATCH(""Passive0b"",PalData_Header,0)))&amp;"":""&amp;ADDRESS(MATCH(B38,PalNames,0)+1,(MATCH(""Passive0b"",PalData_Header,0))+4)))&gt;0),1,1)),SkillDataCodeName,0)+1,MATCH(""TargetType1"",SkillData_Header,0)))"),"")</f>
        <v/>
      </c>
      <c r="AD38" s="45" t="e">
        <f aca="false" t="array" ref="AD38:AD38">IF(INDEX(PalData,MATCH($B38,PalNames,0)+1,MATCH("Passive0bCondition",PalData_Header,0))=IFERROR(INDEX(SkillData,MATCH(INDEX(PalData,MATCH($B38,PalNames,0)+1,MATCH("Passive0b",PalData_Header,0)),SkillDataCodeName,0)+1,MATCH("Conditions",SkillData_Header,0))),INDEX(PalData,MATCH($B38,PalNames,0)+1,MATCH("Passive0bCondition",PalData_Header,0)),INDEX(PalData,MATCH($B38,PalNames,0)+1,MATCH("Passive0bCondition",PalData_Header,0)) &amp; IF(ISBLANK(INDEX(PalData,MATCH($B38,PalNames,0)+1,MATCH("Passive0bCondition",PalData_Header,0))),," ")&amp;IFERROR(INDEX(SkillData,MATCH(INDEX(PalData,MATCH($B38,PalNames,0)+1,MATCH("Passive0b",PalData_Header,0)),SkillDataCodeName,0)+1,MATCH("Conditions",SkillData_Header,0))))</f>
        <v>#N/A</v>
      </c>
      <c r="AE38" s="45" t="str">
        <f aca="false">IFERROR(__xludf.dummyfunction("IFERROR(INDEX(SkillData,MATCH(Arrayformula(ARRAY_CONSTRAIN(FILTER(INDIRECT(""PalData!""&amp;ADDRESS(MATCH(B38,PalNames,0)+1,(MATCH(""Passive0b"",PalData_Header,0)))&amp;"":""&amp;ADDRESS(MATCH(B38,PalNames,0)+1,(MATCH(""Passive0b"",PalData_Header,0))+4)),LEN(INDIRECT"&amp;"(""PalData!""&amp;ADDRESS(MATCH(B38,PalNames,0)+1,(MATCH(""Passive0b"",PalData_Header,0)))&amp;"":""&amp;ADDRESS(MATCH(B38,PalNames,0)+1,(MATCH(""Passive0b"",PalData_Header,0))+4)))&gt;0),1,1)),SkillDataCodeName,0)+1,MATCH(""ValueType1"",SkillData_Header,0)))"),"")</f>
        <v/>
      </c>
      <c r="AF38" s="45" t="n">
        <f aca="false">IFERROR(INDEX(SkillData,MATCH(INDEX(PalData,MATCH($B38,PalNames,0)+1,MATCH("Passive0b",PalData_Header,0)),SkillDataCodeName,0)+1,MATCH("EffectValue1",SkillData_Header,0)),)</f>
        <v>0</v>
      </c>
      <c r="AG38" s="45" t="n">
        <f aca="false">IFERROR(INDEX(SkillData,MATCH(INDEX(PalData,MATCH($B38,PalNames,0)+1,MATCH("Passive1b",PalData_Header,0)),SkillDataCodeName,0)+1,MATCH("EffectValue1",SkillData_Header,0)),)</f>
        <v>0</v>
      </c>
      <c r="AH38" s="45" t="n">
        <f aca="false">IFERROR(INDEX(SkillData,MATCH(INDEX(PalData,MATCH($B38,PalNames,0)+1,MATCH("Passive2b",PalData_Header,0)),SkillDataCodeName,0)+1,MATCH("EffectValue1",SkillData_Header,0)),)</f>
        <v>0</v>
      </c>
      <c r="AI38" s="45" t="n">
        <f aca="false">IFERROR(INDEX(SkillData,MATCH(INDEX(PalData,MATCH($B38,PalNames,0)+1,MATCH("Passive3b",PalData_Header,0)),SkillDataCodeName,0)+1,MATCH("EffectValue1",SkillData_Header,0)),)</f>
        <v>0</v>
      </c>
      <c r="AJ38" s="260" t="n">
        <f aca="false">IFERROR(INDEX(SkillData,MATCH(INDEX(PalData,MATCH($B38,PalNames,0)+1,MATCH("Passive4b",PalData_Header,0)),SkillDataCodeName,0)+1,MATCH("EffectValue1",SkillData_Header,0)),)</f>
        <v>0</v>
      </c>
      <c r="AK38" s="301" t="s">
        <v>302</v>
      </c>
    </row>
    <row r="39" customFormat="false" ht="15.75" hidden="false" customHeight="false" outlineLevel="0" collapsed="false">
      <c r="A39" s="302" t="n">
        <v>32</v>
      </c>
      <c r="B39" s="303" t="s">
        <v>71</v>
      </c>
      <c r="C39" s="48" t="str">
        <f aca="false" t="array" ref="C39:C39">IF(ISBLANK(INDEX(PalData,MATCH($B39,PalNames,0)+1,MATCH("ActiveSkill",PalData_Header,0))),INDEX(PalData,MATCH($B39,PalNames,0)+1,MATCH("SkillUnlock_",PalData_Header,0)),INDEX(PalData,MATCH($B39,PalNames,0)+1,MATCH("ActiveSkill",PalData_Header,0)))</f>
        <v>Gloves</v>
      </c>
      <c r="D39" s="48"/>
      <c r="E39" s="48" t="n">
        <f aca="false">INDEX(PalData,MATCH($B39,PalNames,0)+1,MATCH("ActiveSkillBonus0",PalData_Header,0))</f>
        <v>0</v>
      </c>
      <c r="F39" s="48" t="n">
        <f aca="false">INDEX(PalData,MATCH($B39,PalNames,0)+1,MATCH("ActiveSkillBonus1",PalData_Header,0))</f>
        <v>0</v>
      </c>
      <c r="G39" s="48" t="n">
        <f aca="false">INDEX(PalData,MATCH($B39,PalNames,0)+1,MATCH("ActiveSkillBonus2",PalData_Header,0))</f>
        <v>0</v>
      </c>
      <c r="H39" s="48" t="n">
        <f aca="false">INDEX(PalData,MATCH($B39,PalNames,0)+1,MATCH("ActiveSkillBonus3",PalData_Header,0))</f>
        <v>0</v>
      </c>
      <c r="I39" s="263" t="n">
        <f aca="false">INDEX(PalData,MATCH($B39,PalNames,0)+1,MATCH("ActiveSkillBonus4",PalData_Header,0))</f>
        <v>0</v>
      </c>
      <c r="J39" s="48" t="str">
        <f aca="false">IFERROR(__xludf.dummyfunction("IFERROR(INDEX(SkillData,MATCH(Arrayformula(ARRAY_CONSTRAIN(FILTER(INDIRECT(""PalData!""&amp;ADDRESS(MATCH(B39,PalNames,0)+1,(MATCH(""Passive0c"",PalData_Header,0)))&amp;"":""&amp;ADDRESS(MATCH(B39,PalNames,0)+1,(MATCH(""Passive0c"",PalData_Header,0))+4)),LEN(INDIRECT"&amp;"(""PalData!""&amp;ADDRESS(MATCH(B39,PalNames,0)+1,(MATCH(""Passive0c"",PalData_Header,0)))&amp;"":""&amp;ADDRESS(MATCH(B39,PalNames,0)+1,(MATCH(""Passive0c"",PalData_Header,0))+4)))&gt;0),1,1)),SkillDataCodeName,0)+1,MATCH(""EffectTypeCombined"",SkillData_Header,0)))"),"")</f>
        <v/>
      </c>
      <c r="K39" s="48" t="str">
        <f aca="false">IFERROR(__xludf.dummyfunction("IFERROR(INDEX(SkillData,MATCH(Arrayformula(ARRAY_CONSTRAIN(FILTER(INDIRECT(""PalData!""&amp;ADDRESS(MATCH(B39,PalNames,0)+1,(MATCH(""Passive0c"",PalData_Header,0)))&amp;"":""&amp;ADDRESS(MATCH(B39,PalNames,0)+1,(MATCH(""Passive0c"",PalData_Header,0))+4)),LEN(INDIRECT"&amp;"(""PalData!""&amp;ADDRESS(MATCH(B39,PalNames,0)+1,(MATCH(""Passive0c"",PalData_Header,0)))&amp;"":""&amp;ADDRESS(MATCH(B39,PalNames,0)+1,(MATCH(""Passive0c"",PalData_Header,0))+4)))&gt;0),1,1)),SkillDataCodeName,0)+1,MATCH(""TargetType1"",SkillData_Header,0)))"),"")</f>
        <v/>
      </c>
      <c r="L39" s="48" t="e">
        <f aca="false" t="array" ref="L39:L39">IF(INDEX(PalData,MATCH($B39,PalNames,0)+1,MATCH("Passive0cCondition",PalData_Header,0))=IFERROR(INDEX(SkillData,MATCH(INDEX(PalData,MATCH($B39,PalNames,0)+1,MATCH("Passive0c",PalData_Header,0)),SkillDataCodeName,0)+1,MATCH("Conditions",SkillData_Header,0))),INDEX(PalData,MATCH($B39,PalNames,0)+1,MATCH("Passive0cCondition",PalData_Header,0)),INDEX(PalData,MATCH($B39,PalNames,0)+1,MATCH("Passive0cCondition",PalData_Header,0)) &amp; IF(ISBLANK(INDEX(PalData,MATCH($B39,PalNames,0)+1,MATCH("Passive0cCondition",PalData_Header,0))),," ")&amp;IFERROR(INDEX(SkillData,MATCH(INDEX(PalData,MATCH($B39,PalNames,0)+1,MATCH("Passive0c",PalData_Header,0)),SkillDataCodeName,0)+1,MATCH("Conditions",SkillData_Header,0))))</f>
        <v>#N/A</v>
      </c>
      <c r="M39" s="48" t="str">
        <f aca="false">IFERROR(__xludf.dummyfunction("IFERROR(INDEX(SkillData,MATCH(Arrayformula(ARRAY_CONSTRAIN(FILTER(INDIRECT(""PalData!""&amp;ADDRESS(MATCH(B39,PalNames,0)+1,(MATCH(""Passive0c"",PalData_Header,0)))&amp;"":""&amp;ADDRESS(MATCH(B39,PalNames,0)+1,(MATCH(""Passive0c"",PalData_Header,0))+4)),LEN(INDIRECT"&amp;"(""PalData!""&amp;ADDRESS(MATCH(B39,PalNames,0)+1,(MATCH(""Passive0c"",PalData_Header,0)))&amp;"":""&amp;ADDRESS(MATCH(B39,PalNames,0)+1,(MATCH(""Passive0c"",PalData_Header,0))+4)))&gt;0),1,1)),SkillDataCodeName,0)+1,MATCH(""ValueType1"",SkillData_Header,0)))"),"")</f>
        <v/>
      </c>
      <c r="N39" s="48" t="e">
        <f aca="false" t="array" ref="N39:N39">IFERROR(INDEX(SkillData,MATCH(INDEX(PalData,MATCH($B39,PalNames,0)+1,MATCH("Passive0c",PalData_Header,0)),SkillDataCodeName,0)+1,MATCH("EffectValue1",SkillData_Header,0)))</f>
        <v>#VALUE!</v>
      </c>
      <c r="O39" s="48" t="e">
        <f aca="false" t="array" ref="O39:O39">IFERROR(INDEX(SkillData,MATCH(INDEX(PalData,MATCH($B39,PalNames,0)+1,MATCH("Passive1c",PalData_Header,0)),SkillDataCodeName,0)+1,MATCH("EffectValue1",SkillData_Header,0)))</f>
        <v>#VALUE!</v>
      </c>
      <c r="P39" s="48" t="e">
        <f aca="false" t="array" ref="P39:P39">IFERROR(INDEX(SkillData,MATCH(INDEX(PalData,MATCH($B39,PalNames,0)+1,MATCH("Passive2c",PalData_Header,0)),SkillDataCodeName,0)+1,MATCH("EffectValue1",SkillData_Header,0)))</f>
        <v>#VALUE!</v>
      </c>
      <c r="Q39" s="48" t="e">
        <f aca="false" t="array" ref="Q39:Q39">IFERROR(INDEX(SkillData,MATCH(INDEX(PalData,MATCH($B39,PalNames,0)+1,MATCH("Passive3c",PalData_Header,0)),SkillDataCodeName,0)+1,MATCH("EffectValue1",SkillData_Header,0)))</f>
        <v>#VALUE!</v>
      </c>
      <c r="R39" s="263" t="e">
        <f aca="false" t="array" ref="R39:R39">IFERROR(INDEX(SkillData,MATCH(INDEX(PalData,MATCH($B39,PalNames,0)+1,MATCH("Passive4c",PalData_Header,0)),SkillDataCodeName,0)+1,MATCH("EffectValue1",SkillData_Header,0)))</f>
        <v>#VALUE!</v>
      </c>
      <c r="S39" s="48" t="str">
        <f aca="false">IFERROR(__xludf.dummyfunction("IFERROR(INDEX(SkillData,MATCH(Arrayformula(ARRAY_CONSTRAIN(FILTER(INDIRECT(""PalData!""&amp;ADDRESS(MATCH(B39,PalNames,0)+1,(MATCH(""Passive0a"",PalData_Header,0)))&amp;"":""&amp;ADDRESS(MATCH(B39,PalNames,0)+1,(MATCH(""Passive0a"",PalData_Header,0))+4)),LEN(INDIRECT"&amp;"(""PalData!""&amp;ADDRESS(MATCH(B39,PalNames,0)+1,(MATCH(""Passive0a"",PalData_Header,0)))&amp;"":""&amp;ADDRESS(MATCH(B39,PalNames,0)+1,(MATCH(""Passive0a"",PalData_Header,0))+4)))&gt;0),1,1)),SkillDataCodeName,0)+1,MATCH(""EffectTypeCombined"",SkillData_Header,0)))"),"")</f>
        <v/>
      </c>
      <c r="T39" s="48" t="str">
        <f aca="false">IFERROR(__xludf.dummyfunction("IFERROR(INDEX(SkillData,MATCH(Arrayformula(ARRAY_CONSTRAIN(FILTER(INDIRECT(""PalData!""&amp;ADDRESS(MATCH(B39,PalNames,0)+1,(MATCH(""Passive0a"",PalData_Header,0)))&amp;"":""&amp;ADDRESS(MATCH(B39,PalNames,0)+1,(MATCH(""Passive0a"",PalData_Header,0))+4)),LEN(INDIRECT"&amp;"(""PalData!""&amp;ADDRESS(MATCH(B39,PalNames,0)+1,(MATCH(""Passive0a"",PalData_Header,0)))&amp;"":""&amp;ADDRESS(MATCH(B39,PalNames,0)+1,(MATCH(""Passive0a"",PalData_Header,0))+4)))&gt;0),1,1)),SkillDataCodeName,0)+1,MATCH(""TargetType1"",SkillData_Header,0)))"),"")</f>
        <v/>
      </c>
      <c r="U39" s="48" t="e">
        <f aca="false" t="array" ref="U39:U39">IF(INDEX(PalData,MATCH($B39,PalNames,0)+1,MATCH("Passive0aCondition",PalData_Header,0))=IFERROR(INDEX(SkillData,MATCH(INDEX(PalData,MATCH($B39,PalNames,0)+1,MATCH("Passive0a",PalData_Header,0)),SkillDataCodeName,0)+1,MATCH("Conditions",SkillData_Header,0))),INDEX(PalData,MATCH($B39,PalNames,0)+1,MATCH("Passive0aCondition",PalData_Header,0)),INDEX(PalData,MATCH($B39,PalNames,0)+1,MATCH("Passive0aCondition",PalData_Header,0)) &amp; IF(ISBLANK(INDEX(PalData,MATCH($B39,PalNames,0)+1,MATCH("Passive0aCondition",PalData_Header,0))),," ")&amp;IFERROR(INDEX(SkillData,MATCH(INDEX(PalData,MATCH($B39,PalNames,0)+1,MATCH("Passive0a",PalData_Header,0)),SkillDataCodeName,0)+1,MATCH("Conditions",SkillData_Header,0))))</f>
        <v>#N/A</v>
      </c>
      <c r="V39" s="48" t="str">
        <f aca="false">IFERROR(__xludf.dummyfunction("IFERROR(INDEX(SkillData,MATCH(Arrayformula(ARRAY_CONSTRAIN(FILTER(INDIRECT(""PalData!""&amp;ADDRESS(MATCH(B39,PalNames,0)+1,(MATCH(""Passive0a"",PalData_Header,0)))&amp;"":""&amp;ADDRESS(MATCH(B39,PalNames,0)+1,(MATCH(""Passive0a"",PalData_Header,0))+4)),LEN(INDIRECT"&amp;"(""PalData!""&amp;ADDRESS(MATCH(B39,PalNames,0)+1,(MATCH(""Passive0a"",PalData_Header,0)))&amp;"":""&amp;ADDRESS(MATCH(B39,PalNames,0)+1,(MATCH(""Passive0a"",PalData_Header,0))+4)))&gt;0),1,1)),SkillDataCodeName,0)+1,MATCH(""ValueType1"",SkillData_Header,0)))"),"")</f>
        <v/>
      </c>
      <c r="W39" s="48" t="n">
        <f aca="false">IFERROR(INDEX(SkillData,MATCH(INDEX(PalData,MATCH($B39,PalNames,0)+1,MATCH("Passive0a",PalData_Header,0)),SkillDataCodeName,0)+1,MATCH("EffectValue1",SkillData_Header,0)),)</f>
        <v>0</v>
      </c>
      <c r="X39" s="48" t="n">
        <f aca="false">IFERROR(INDEX(SkillData,MATCH(INDEX(PalData,MATCH($B39,PalNames,0)+1,MATCH("Passive1a",PalData_Header,0)),SkillDataCodeName,0)+1,MATCH("EffectValue1",SkillData_Header,0)),)</f>
        <v>0</v>
      </c>
      <c r="Y39" s="48" t="n">
        <f aca="false">IFERROR(INDEX(SkillData,MATCH(INDEX(PalData,MATCH($B39,PalNames,0)+1,MATCH("Passive2a",PalData_Header,0)),SkillDataCodeName,0)+1,MATCH("EffectValue1",SkillData_Header,0)),)</f>
        <v>0</v>
      </c>
      <c r="Z39" s="48" t="n">
        <f aca="false">IFERROR(INDEX(SkillData,MATCH(INDEX(PalData,MATCH($B39,PalNames,0)+1,MATCH("Passive3a",PalData_Header,0)),SkillDataCodeName,0)+1,MATCH("EffectValue1",SkillData_Header,0)),)</f>
        <v>0</v>
      </c>
      <c r="AA39" s="263" t="n">
        <f aca="false">IFERROR(INDEX(SkillData,MATCH(INDEX(PalData,MATCH($B39,PalNames,0)+1,MATCH("Passive4a",PalData_Header,0)),SkillDataCodeName,0)+1,MATCH("EffectValue1",SkillData_Header,0)),)</f>
        <v>0</v>
      </c>
      <c r="AB39" s="48" t="str">
        <f aca="false">IFERROR(__xludf.dummyfunction("IFERROR(INDEX(SkillData,MATCH(Arrayformula(ARRAY_CONSTRAIN(FILTER(INDIRECT(""PalData!""&amp;ADDRESS(MATCH(B39,PalNames,0)+1,(MATCH(""Passive0b"",PalData_Header,0)))&amp;"":""&amp;ADDRESS(MATCH(B39,PalNames,0)+1,(MATCH(""Passive0b"",PalData_Header,0))+4)),LEN(INDIRECT"&amp;"(""PalData!""&amp;ADDRESS(MATCH(B39,PalNames,0)+1,(MATCH(""Passive0b"",PalData_Header,0)))&amp;"":""&amp;ADDRESS(MATCH(B39,PalNames,0)+1,(MATCH(""Passive0b"",PalData_Header,0))+4)))&gt;0),1,1)),SkillDataCodeName,0)+1,MATCH(""EffectTypeCombined"",SkillData_Header,0)))"),"")</f>
        <v/>
      </c>
      <c r="AC39" s="48" t="str">
        <f aca="false">IFERROR(__xludf.dummyfunction("IFERROR(INDEX(SkillData,MATCH(Arrayformula(ARRAY_CONSTRAIN(FILTER(INDIRECT(""PalData!""&amp;ADDRESS(MATCH(B39,PalNames,0)+1,(MATCH(""Passive0b"",PalData_Header,0)))&amp;"":""&amp;ADDRESS(MATCH(B39,PalNames,0)+1,(MATCH(""Passive0b"",PalData_Header,0))+4)),LEN(INDIRECT"&amp;"(""PalData!""&amp;ADDRESS(MATCH(B39,PalNames,0)+1,(MATCH(""Passive0b"",PalData_Header,0)))&amp;"":""&amp;ADDRESS(MATCH(B39,PalNames,0)+1,(MATCH(""Passive0b"",PalData_Header,0))+4)))&gt;0),1,1)),SkillDataCodeName,0)+1,MATCH(""TargetType1"",SkillData_Header,0)))"),"")</f>
        <v/>
      </c>
      <c r="AD39" s="48" t="e">
        <f aca="false" t="array" ref="AD39:AD39">IF(INDEX(PalData,MATCH($B39,PalNames,0)+1,MATCH("Passive0bCondition",PalData_Header,0))=IFERROR(INDEX(SkillData,MATCH(INDEX(PalData,MATCH($B39,PalNames,0)+1,MATCH("Passive0b",PalData_Header,0)),SkillDataCodeName,0)+1,MATCH("Conditions",SkillData_Header,0))),INDEX(PalData,MATCH($B39,PalNames,0)+1,MATCH("Passive0bCondition",PalData_Header,0)),INDEX(PalData,MATCH($B39,PalNames,0)+1,MATCH("Passive0bCondition",PalData_Header,0)) &amp; IF(ISBLANK(INDEX(PalData,MATCH($B39,PalNames,0)+1,MATCH("Passive0bCondition",PalData_Header,0))),," ")&amp;IFERROR(INDEX(SkillData,MATCH(INDEX(PalData,MATCH($B39,PalNames,0)+1,MATCH("Passive0b",PalData_Header,0)),SkillDataCodeName,0)+1,MATCH("Conditions",SkillData_Header,0))))</f>
        <v>#N/A</v>
      </c>
      <c r="AE39" s="48" t="str">
        <f aca="false">IFERROR(__xludf.dummyfunction("IFERROR(INDEX(SkillData,MATCH(Arrayformula(ARRAY_CONSTRAIN(FILTER(INDIRECT(""PalData!""&amp;ADDRESS(MATCH(B39,PalNames,0)+1,(MATCH(""Passive0b"",PalData_Header,0)))&amp;"":""&amp;ADDRESS(MATCH(B39,PalNames,0)+1,(MATCH(""Passive0b"",PalData_Header,0))+4)),LEN(INDIRECT"&amp;"(""PalData!""&amp;ADDRESS(MATCH(B39,PalNames,0)+1,(MATCH(""Passive0b"",PalData_Header,0)))&amp;"":""&amp;ADDRESS(MATCH(B39,PalNames,0)+1,(MATCH(""Passive0b"",PalData_Header,0))+4)))&gt;0),1,1)),SkillDataCodeName,0)+1,MATCH(""ValueType1"",SkillData_Header,0)))"),"")</f>
        <v/>
      </c>
      <c r="AF39" s="48" t="n">
        <f aca="false">IFERROR(INDEX(SkillData,MATCH(INDEX(PalData,MATCH($B39,PalNames,0)+1,MATCH("Passive0b",PalData_Header,0)),SkillDataCodeName,0)+1,MATCH("EffectValue1",SkillData_Header,0)),)</f>
        <v>0</v>
      </c>
      <c r="AG39" s="48" t="n">
        <f aca="false">IFERROR(INDEX(SkillData,MATCH(INDEX(PalData,MATCH($B39,PalNames,0)+1,MATCH("Passive1b",PalData_Header,0)),SkillDataCodeName,0)+1,MATCH("EffectValue1",SkillData_Header,0)),)</f>
        <v>0</v>
      </c>
      <c r="AH39" s="48" t="n">
        <f aca="false">IFERROR(INDEX(SkillData,MATCH(INDEX(PalData,MATCH($B39,PalNames,0)+1,MATCH("Passive2b",PalData_Header,0)),SkillDataCodeName,0)+1,MATCH("EffectValue1",SkillData_Header,0)),)</f>
        <v>0</v>
      </c>
      <c r="AI39" s="48" t="n">
        <f aca="false">IFERROR(INDEX(SkillData,MATCH(INDEX(PalData,MATCH($B39,PalNames,0)+1,MATCH("Passive3b",PalData_Header,0)),SkillDataCodeName,0)+1,MATCH("EffectValue1",SkillData_Header,0)),)</f>
        <v>0</v>
      </c>
      <c r="AJ39" s="263" t="n">
        <f aca="false">IFERROR(INDEX(SkillData,MATCH(INDEX(PalData,MATCH($B39,PalNames,0)+1,MATCH("Passive4b",PalData_Header,0)),SkillDataCodeName,0)+1,MATCH("EffectValue1",SkillData_Header,0)),)</f>
        <v>0</v>
      </c>
      <c r="AK39" s="305" t="s">
        <v>303</v>
      </c>
    </row>
    <row r="40" customFormat="false" ht="15.75" hidden="false" customHeight="false" outlineLevel="0" collapsed="false">
      <c r="A40" s="299" t="n">
        <v>32</v>
      </c>
      <c r="B40" s="300" t="s">
        <v>72</v>
      </c>
      <c r="C40" s="45" t="str">
        <f aca="false" t="array" ref="C40:C40">IF(ISBLANK(INDEX(PalData,MATCH($B40,PalNames,0)+1,MATCH("ActiveSkill",PalData_Header,0))),INDEX(PalData,MATCH($B40,PalNames,0)+1,MATCH("SkillUnlock_",PalData_Header,0)),INDEX(PalData,MATCH($B40,PalNames,0)+1,MATCH("ActiveSkill",PalData_Header,0)))</f>
        <v>Gloves</v>
      </c>
      <c r="D40" s="45"/>
      <c r="E40" s="45" t="n">
        <f aca="false">INDEX(PalData,MATCH($B40,PalNames,0)+1,MATCH("ActiveSkillBonus0",PalData_Header,0))</f>
        <v>0</v>
      </c>
      <c r="F40" s="45" t="n">
        <f aca="false">INDEX(PalData,MATCH($B40,PalNames,0)+1,MATCH("ActiveSkillBonus1",PalData_Header,0))</f>
        <v>0</v>
      </c>
      <c r="G40" s="45" t="n">
        <f aca="false">INDEX(PalData,MATCH($B40,PalNames,0)+1,MATCH("ActiveSkillBonus2",PalData_Header,0))</f>
        <v>0</v>
      </c>
      <c r="H40" s="45" t="n">
        <f aca="false">INDEX(PalData,MATCH($B40,PalNames,0)+1,MATCH("ActiveSkillBonus3",PalData_Header,0))</f>
        <v>0</v>
      </c>
      <c r="I40" s="260" t="n">
        <f aca="false">INDEX(PalData,MATCH($B40,PalNames,0)+1,MATCH("ActiveSkillBonus4",PalData_Header,0))</f>
        <v>0</v>
      </c>
      <c r="J40" s="45" t="str">
        <f aca="false">IFERROR(__xludf.dummyfunction("IFERROR(INDEX(SkillData,MATCH(Arrayformula(ARRAY_CONSTRAIN(FILTER(INDIRECT(""PalData!""&amp;ADDRESS(MATCH(B40,PalNames,0)+1,(MATCH(""Passive0c"",PalData_Header,0)))&amp;"":""&amp;ADDRESS(MATCH(B40,PalNames,0)+1,(MATCH(""Passive0c"",PalData_Header,0))+4)),LEN(INDIRECT"&amp;"(""PalData!""&amp;ADDRESS(MATCH(B40,PalNames,0)+1,(MATCH(""Passive0c"",PalData_Header,0)))&amp;"":""&amp;ADDRESS(MATCH(B40,PalNames,0)+1,(MATCH(""Passive0c"",PalData_Header,0))+4)))&gt;0),1,1)),SkillDataCodeName,0)+1,MATCH(""EffectTypeCombined"",SkillData_Header,0)))"),"")</f>
        <v/>
      </c>
      <c r="K40" s="45" t="str">
        <f aca="false">IFERROR(__xludf.dummyfunction("IFERROR(INDEX(SkillData,MATCH(Arrayformula(ARRAY_CONSTRAIN(FILTER(INDIRECT(""PalData!""&amp;ADDRESS(MATCH(B40,PalNames,0)+1,(MATCH(""Passive0c"",PalData_Header,0)))&amp;"":""&amp;ADDRESS(MATCH(B40,PalNames,0)+1,(MATCH(""Passive0c"",PalData_Header,0))+4)),LEN(INDIRECT"&amp;"(""PalData!""&amp;ADDRESS(MATCH(B40,PalNames,0)+1,(MATCH(""Passive0c"",PalData_Header,0)))&amp;"":""&amp;ADDRESS(MATCH(B40,PalNames,0)+1,(MATCH(""Passive0c"",PalData_Header,0))+4)))&gt;0),1,1)),SkillDataCodeName,0)+1,MATCH(""TargetType1"",SkillData_Header,0)))"),"")</f>
        <v/>
      </c>
      <c r="L40" s="45" t="e">
        <f aca="false" t="array" ref="L40:L40">IF(INDEX(PalData,MATCH($B40,PalNames,0)+1,MATCH("Passive0cCondition",PalData_Header,0))=IFERROR(INDEX(SkillData,MATCH(INDEX(PalData,MATCH($B40,PalNames,0)+1,MATCH("Passive0c",PalData_Header,0)),SkillDataCodeName,0)+1,MATCH("Conditions",SkillData_Header,0))),INDEX(PalData,MATCH($B40,PalNames,0)+1,MATCH("Passive0cCondition",PalData_Header,0)),INDEX(PalData,MATCH($B40,PalNames,0)+1,MATCH("Passive0cCondition",PalData_Header,0)) &amp; IF(ISBLANK(INDEX(PalData,MATCH($B40,PalNames,0)+1,MATCH("Passive0cCondition",PalData_Header,0))),," ")&amp;IFERROR(INDEX(SkillData,MATCH(INDEX(PalData,MATCH($B40,PalNames,0)+1,MATCH("Passive0c",PalData_Header,0)),SkillDataCodeName,0)+1,MATCH("Conditions",SkillData_Header,0))))</f>
        <v>#N/A</v>
      </c>
      <c r="M40" s="45" t="str">
        <f aca="false">IFERROR(__xludf.dummyfunction("IFERROR(INDEX(SkillData,MATCH(Arrayformula(ARRAY_CONSTRAIN(FILTER(INDIRECT(""PalData!""&amp;ADDRESS(MATCH(B40,PalNames,0)+1,(MATCH(""Passive0c"",PalData_Header,0)))&amp;"":""&amp;ADDRESS(MATCH(B40,PalNames,0)+1,(MATCH(""Passive0c"",PalData_Header,0))+4)),LEN(INDIRECT"&amp;"(""PalData!""&amp;ADDRESS(MATCH(B40,PalNames,0)+1,(MATCH(""Passive0c"",PalData_Header,0)))&amp;"":""&amp;ADDRESS(MATCH(B40,PalNames,0)+1,(MATCH(""Passive0c"",PalData_Header,0))+4)))&gt;0),1,1)),SkillDataCodeName,0)+1,MATCH(""ValueType1"",SkillData_Header,0)))"),"")</f>
        <v/>
      </c>
      <c r="N40" s="45" t="e">
        <f aca="false" t="array" ref="N40:N40">IFERROR(INDEX(SkillData,MATCH(INDEX(PalData,MATCH($B40,PalNames,0)+1,MATCH("Passive0c",PalData_Header,0)),SkillDataCodeName,0)+1,MATCH("EffectValue1",SkillData_Header,0)))</f>
        <v>#VALUE!</v>
      </c>
      <c r="O40" s="45" t="e">
        <f aca="false" t="array" ref="O40:O40">IFERROR(INDEX(SkillData,MATCH(INDEX(PalData,MATCH($B40,PalNames,0)+1,MATCH("Passive1c",PalData_Header,0)),SkillDataCodeName,0)+1,MATCH("EffectValue1",SkillData_Header,0)))</f>
        <v>#VALUE!</v>
      </c>
      <c r="P40" s="45" t="e">
        <f aca="false" t="array" ref="P40:P40">IFERROR(INDEX(SkillData,MATCH(INDEX(PalData,MATCH($B40,PalNames,0)+1,MATCH("Passive2c",PalData_Header,0)),SkillDataCodeName,0)+1,MATCH("EffectValue1",SkillData_Header,0)))</f>
        <v>#VALUE!</v>
      </c>
      <c r="Q40" s="45" t="e">
        <f aca="false" t="array" ref="Q40:Q40">IFERROR(INDEX(SkillData,MATCH(INDEX(PalData,MATCH($B40,PalNames,0)+1,MATCH("Passive3c",PalData_Header,0)),SkillDataCodeName,0)+1,MATCH("EffectValue1",SkillData_Header,0)))</f>
        <v>#VALUE!</v>
      </c>
      <c r="R40" s="260" t="e">
        <f aca="false" t="array" ref="R40:R40">IFERROR(INDEX(SkillData,MATCH(INDEX(PalData,MATCH($B40,PalNames,0)+1,MATCH("Passive4c",PalData_Header,0)),SkillDataCodeName,0)+1,MATCH("EffectValue1",SkillData_Header,0)))</f>
        <v>#VALUE!</v>
      </c>
      <c r="S40" s="45" t="str">
        <f aca="false">IFERROR(__xludf.dummyfunction("IFERROR(INDEX(SkillData,MATCH(Arrayformula(ARRAY_CONSTRAIN(FILTER(INDIRECT(""PalData!""&amp;ADDRESS(MATCH(B40,PalNames,0)+1,(MATCH(""Passive0a"",PalData_Header,0)))&amp;"":""&amp;ADDRESS(MATCH(B40,PalNames,0)+1,(MATCH(""Passive0a"",PalData_Header,0))+4)),LEN(INDIRECT"&amp;"(""PalData!""&amp;ADDRESS(MATCH(B40,PalNames,0)+1,(MATCH(""Passive0a"",PalData_Header,0)))&amp;"":""&amp;ADDRESS(MATCH(B40,PalNames,0)+1,(MATCH(""Passive0a"",PalData_Header,0))+4)))&gt;0),1,1)),SkillDataCodeName,0)+1,MATCH(""EffectTypeCombined"",SkillData_Header,0)))"),"")</f>
        <v/>
      </c>
      <c r="T40" s="45" t="str">
        <f aca="false">IFERROR(__xludf.dummyfunction("IFERROR(INDEX(SkillData,MATCH(Arrayformula(ARRAY_CONSTRAIN(FILTER(INDIRECT(""PalData!""&amp;ADDRESS(MATCH(B40,PalNames,0)+1,(MATCH(""Passive0a"",PalData_Header,0)))&amp;"":""&amp;ADDRESS(MATCH(B40,PalNames,0)+1,(MATCH(""Passive0a"",PalData_Header,0))+4)),LEN(INDIRECT"&amp;"(""PalData!""&amp;ADDRESS(MATCH(B40,PalNames,0)+1,(MATCH(""Passive0a"",PalData_Header,0)))&amp;"":""&amp;ADDRESS(MATCH(B40,PalNames,0)+1,(MATCH(""Passive0a"",PalData_Header,0))+4)))&gt;0),1,1)),SkillDataCodeName,0)+1,MATCH(""TargetType1"",SkillData_Header,0)))"),"")</f>
        <v/>
      </c>
      <c r="U40" s="45" t="e">
        <f aca="false" t="array" ref="U40:U40">IF(INDEX(PalData,MATCH($B40,PalNames,0)+1,MATCH("Passive0aCondition",PalData_Header,0))=IFERROR(INDEX(SkillData,MATCH(INDEX(PalData,MATCH($B40,PalNames,0)+1,MATCH("Passive0a",PalData_Header,0)),SkillDataCodeName,0)+1,MATCH("Conditions",SkillData_Header,0))),INDEX(PalData,MATCH($B40,PalNames,0)+1,MATCH("Passive0aCondition",PalData_Header,0)),INDEX(PalData,MATCH($B40,PalNames,0)+1,MATCH("Passive0aCondition",PalData_Header,0)) &amp; IF(ISBLANK(INDEX(PalData,MATCH($B40,PalNames,0)+1,MATCH("Passive0aCondition",PalData_Header,0))),," ")&amp;IFERROR(INDEX(SkillData,MATCH(INDEX(PalData,MATCH($B40,PalNames,0)+1,MATCH("Passive0a",PalData_Header,0)),SkillDataCodeName,0)+1,MATCH("Conditions",SkillData_Header,0))))</f>
        <v>#N/A</v>
      </c>
      <c r="V40" s="45" t="str">
        <f aca="false">IFERROR(__xludf.dummyfunction("IFERROR(INDEX(SkillData,MATCH(Arrayformula(ARRAY_CONSTRAIN(FILTER(INDIRECT(""PalData!""&amp;ADDRESS(MATCH(B40,PalNames,0)+1,(MATCH(""Passive0a"",PalData_Header,0)))&amp;"":""&amp;ADDRESS(MATCH(B40,PalNames,0)+1,(MATCH(""Passive0a"",PalData_Header,0))+4)),LEN(INDIRECT"&amp;"(""PalData!""&amp;ADDRESS(MATCH(B40,PalNames,0)+1,(MATCH(""Passive0a"",PalData_Header,0)))&amp;"":""&amp;ADDRESS(MATCH(B40,PalNames,0)+1,(MATCH(""Passive0a"",PalData_Header,0))+4)))&gt;0),1,1)),SkillDataCodeName,0)+1,MATCH(""ValueType1"",SkillData_Header,0)))"),"")</f>
        <v/>
      </c>
      <c r="W40" s="45" t="n">
        <f aca="false">IFERROR(INDEX(SkillData,MATCH(INDEX(PalData,MATCH($B40,PalNames,0)+1,MATCH("Passive0a",PalData_Header,0)),SkillDataCodeName,0)+1,MATCH("EffectValue1",SkillData_Header,0)),)</f>
        <v>0</v>
      </c>
      <c r="X40" s="45" t="n">
        <f aca="false">IFERROR(INDEX(SkillData,MATCH(INDEX(PalData,MATCH($B40,PalNames,0)+1,MATCH("Passive1a",PalData_Header,0)),SkillDataCodeName,0)+1,MATCH("EffectValue1",SkillData_Header,0)),)</f>
        <v>0</v>
      </c>
      <c r="Y40" s="45" t="n">
        <f aca="false">IFERROR(INDEX(SkillData,MATCH(INDEX(PalData,MATCH($B40,PalNames,0)+1,MATCH("Passive2a",PalData_Header,0)),SkillDataCodeName,0)+1,MATCH("EffectValue1",SkillData_Header,0)),)</f>
        <v>0</v>
      </c>
      <c r="Z40" s="45" t="n">
        <f aca="false">IFERROR(INDEX(SkillData,MATCH(INDEX(PalData,MATCH($B40,PalNames,0)+1,MATCH("Passive3a",PalData_Header,0)),SkillDataCodeName,0)+1,MATCH("EffectValue1",SkillData_Header,0)),)</f>
        <v>0</v>
      </c>
      <c r="AA40" s="260" t="n">
        <f aca="false">IFERROR(INDEX(SkillData,MATCH(INDEX(PalData,MATCH($B40,PalNames,0)+1,MATCH("Passive4a",PalData_Header,0)),SkillDataCodeName,0)+1,MATCH("EffectValue1",SkillData_Header,0)),)</f>
        <v>0</v>
      </c>
      <c r="AB40" s="45" t="str">
        <f aca="false">IFERROR(__xludf.dummyfunction("IFERROR(INDEX(SkillData,MATCH(Arrayformula(ARRAY_CONSTRAIN(FILTER(INDIRECT(""PalData!""&amp;ADDRESS(MATCH(B40,PalNames,0)+1,(MATCH(""Passive0b"",PalData_Header,0)))&amp;"":""&amp;ADDRESS(MATCH(B40,PalNames,0)+1,(MATCH(""Passive0b"",PalData_Header,0))+4)),LEN(INDIRECT"&amp;"(""PalData!""&amp;ADDRESS(MATCH(B40,PalNames,0)+1,(MATCH(""Passive0b"",PalData_Header,0)))&amp;"":""&amp;ADDRESS(MATCH(B40,PalNames,0)+1,(MATCH(""Passive0b"",PalData_Header,0))+4)))&gt;0),1,1)),SkillDataCodeName,0)+1,MATCH(""EffectTypeCombined"",SkillData_Header,0)))"),"")</f>
        <v/>
      </c>
      <c r="AC40" s="45" t="str">
        <f aca="false">IFERROR(__xludf.dummyfunction("IFERROR(INDEX(SkillData,MATCH(Arrayformula(ARRAY_CONSTRAIN(FILTER(INDIRECT(""PalData!""&amp;ADDRESS(MATCH(B40,PalNames,0)+1,(MATCH(""Passive0b"",PalData_Header,0)))&amp;"":""&amp;ADDRESS(MATCH(B40,PalNames,0)+1,(MATCH(""Passive0b"",PalData_Header,0))+4)),LEN(INDIRECT"&amp;"(""PalData!""&amp;ADDRESS(MATCH(B40,PalNames,0)+1,(MATCH(""Passive0b"",PalData_Header,0)))&amp;"":""&amp;ADDRESS(MATCH(B40,PalNames,0)+1,(MATCH(""Passive0b"",PalData_Header,0))+4)))&gt;0),1,1)),SkillDataCodeName,0)+1,MATCH(""TargetType1"",SkillData_Header,0)))"),"")</f>
        <v/>
      </c>
      <c r="AD40" s="45" t="e">
        <f aca="false" t="array" ref="AD40:AD40">IF(INDEX(PalData,MATCH($B40,PalNames,0)+1,MATCH("Passive0bCondition",PalData_Header,0))=IFERROR(INDEX(SkillData,MATCH(INDEX(PalData,MATCH($B40,PalNames,0)+1,MATCH("Passive0b",PalData_Header,0)),SkillDataCodeName,0)+1,MATCH("Conditions",SkillData_Header,0))),INDEX(PalData,MATCH($B40,PalNames,0)+1,MATCH("Passive0bCondition",PalData_Header,0)),INDEX(PalData,MATCH($B40,PalNames,0)+1,MATCH("Passive0bCondition",PalData_Header,0)) &amp; IF(ISBLANK(INDEX(PalData,MATCH($B40,PalNames,0)+1,MATCH("Passive0bCondition",PalData_Header,0))),," ")&amp;IFERROR(INDEX(SkillData,MATCH(INDEX(PalData,MATCH($B40,PalNames,0)+1,MATCH("Passive0b",PalData_Header,0)),SkillDataCodeName,0)+1,MATCH("Conditions",SkillData_Header,0))))</f>
        <v>#N/A</v>
      </c>
      <c r="AE40" s="45" t="str">
        <f aca="false">IFERROR(__xludf.dummyfunction("IFERROR(INDEX(SkillData,MATCH(Arrayformula(ARRAY_CONSTRAIN(FILTER(INDIRECT(""PalData!""&amp;ADDRESS(MATCH(B40,PalNames,0)+1,(MATCH(""Passive0b"",PalData_Header,0)))&amp;"":""&amp;ADDRESS(MATCH(B40,PalNames,0)+1,(MATCH(""Passive0b"",PalData_Header,0))+4)),LEN(INDIRECT"&amp;"(""PalData!""&amp;ADDRESS(MATCH(B40,PalNames,0)+1,(MATCH(""Passive0b"",PalData_Header,0)))&amp;"":""&amp;ADDRESS(MATCH(B40,PalNames,0)+1,(MATCH(""Passive0b"",PalData_Header,0))+4)))&gt;0),1,1)),SkillDataCodeName,0)+1,MATCH(""ValueType1"",SkillData_Header,0)))"),"")</f>
        <v/>
      </c>
      <c r="AF40" s="45" t="n">
        <f aca="false">IFERROR(INDEX(SkillData,MATCH(INDEX(PalData,MATCH($B40,PalNames,0)+1,MATCH("Passive0b",PalData_Header,0)),SkillDataCodeName,0)+1,MATCH("EffectValue1",SkillData_Header,0)),)</f>
        <v>0</v>
      </c>
      <c r="AG40" s="45" t="n">
        <f aca="false">IFERROR(INDEX(SkillData,MATCH(INDEX(PalData,MATCH($B40,PalNames,0)+1,MATCH("Passive1b",PalData_Header,0)),SkillDataCodeName,0)+1,MATCH("EffectValue1",SkillData_Header,0)),)</f>
        <v>0</v>
      </c>
      <c r="AH40" s="45" t="n">
        <f aca="false">IFERROR(INDEX(SkillData,MATCH(INDEX(PalData,MATCH($B40,PalNames,0)+1,MATCH("Passive2b",PalData_Header,0)),SkillDataCodeName,0)+1,MATCH("EffectValue1",SkillData_Header,0)),)</f>
        <v>0</v>
      </c>
      <c r="AI40" s="45" t="n">
        <f aca="false">IFERROR(INDEX(SkillData,MATCH(INDEX(PalData,MATCH($B40,PalNames,0)+1,MATCH("Passive3b",PalData_Header,0)),SkillDataCodeName,0)+1,MATCH("EffectValue1",SkillData_Header,0)),)</f>
        <v>0</v>
      </c>
      <c r="AJ40" s="260" t="n">
        <f aca="false">IFERROR(INDEX(SkillData,MATCH(INDEX(PalData,MATCH($B40,PalNames,0)+1,MATCH("Passive4b",PalData_Header,0)),SkillDataCodeName,0)+1,MATCH("EffectValue1",SkillData_Header,0)),)</f>
        <v>0</v>
      </c>
      <c r="AK40" s="301" t="s">
        <v>304</v>
      </c>
    </row>
    <row r="41" customFormat="false" ht="15.75" hidden="false" customHeight="false" outlineLevel="0" collapsed="false">
      <c r="A41" s="302" t="n">
        <v>33</v>
      </c>
      <c r="B41" s="303" t="s">
        <v>106</v>
      </c>
      <c r="C41" s="48" t="str">
        <f aca="false" t="array" ref="C41:C41">IF(ISBLANK(INDEX(PalData,MATCH($B41,PalNames,0)+1,MATCH("ActiveSkill",PalData_Header,0))),INDEX(PalData,MATCH($B41,PalNames,0)+1,MATCH("SkillUnlock_",PalData_Header,0)),INDEX(PalData,MATCH($B41,PalNames,0)+1,MATCH("ActiveSkill",PalData_Header,0)))</f>
        <v>UniqueRideShooting_DualGrenadeLauncher</v>
      </c>
      <c r="D41" s="48" t="s">
        <v>266</v>
      </c>
      <c r="E41" s="61" t="n">
        <f aca="false" t="array" ref="E41:E41">INDEX(PalData,MATCH($B41,PalNames,0)+1,MATCH("ActiveSkillBonus0",PalData_Header,0))</f>
        <v>30</v>
      </c>
      <c r="F41" s="61" t="n">
        <f aca="false" t="array" ref="F41:F41">INDEX(PalData,MATCH($B41,PalNames,0)+1,MATCH("ActiveSkillBonus1",PalData_Header,0))</f>
        <v>33</v>
      </c>
      <c r="G41" s="61" t="n">
        <f aca="false" t="array" ref="G41:G41">INDEX(PalData,MATCH($B41,PalNames,0)+1,MATCH("ActiveSkillBonus2",PalData_Header,0))</f>
        <v>39</v>
      </c>
      <c r="H41" s="61" t="n">
        <f aca="false" t="array" ref="H41:H41">INDEX(PalData,MATCH($B41,PalNames,0)+1,MATCH("ActiveSkillBonus3",PalData_Header,0))</f>
        <v>48</v>
      </c>
      <c r="I41" s="304" t="n">
        <f aca="false" t="array" ref="I41:I41">INDEX(PalData,MATCH($B41,PalNames,0)+1,MATCH("ActiveSkillBonus4",PalData_Header,0))</f>
        <v>60</v>
      </c>
      <c r="J41" s="48" t="str">
        <f aca="false">IFERROR(__xludf.dummyfunction("IFERROR(INDEX(SkillData,MATCH(Arrayformula(ARRAY_CONSTRAIN(FILTER(INDIRECT(""PalData!""&amp;ADDRESS(MATCH(B41,PalNames,0)+1,(MATCH(""Passive0c"",PalData_Header,0)))&amp;"":""&amp;ADDRESS(MATCH(B41,PalNames,0)+1,(MATCH(""Passive0c"",PalData_Header,0))+4)),LEN(INDIRECT"&amp;"(""PalData!""&amp;ADDRESS(MATCH(B41,PalNames,0)+1,(MATCH(""Passive0c"",PalData_Header,0)))&amp;"":""&amp;ADDRESS(MATCH(B41,PalNames,0)+1,(MATCH(""Passive0c"",PalData_Header,0))+4)))&gt;0),1,1)),SkillDataCodeName,0)+1,MATCH(""EffectTypeCombined"",SkillData_Header,0)))"),"")</f>
        <v/>
      </c>
      <c r="K41" s="48" t="str">
        <f aca="false">IFERROR(__xludf.dummyfunction("IFERROR(INDEX(SkillData,MATCH(Arrayformula(ARRAY_CONSTRAIN(FILTER(INDIRECT(""PalData!""&amp;ADDRESS(MATCH(B41,PalNames,0)+1,(MATCH(""Passive0c"",PalData_Header,0)))&amp;"":""&amp;ADDRESS(MATCH(B41,PalNames,0)+1,(MATCH(""Passive0c"",PalData_Header,0))+4)),LEN(INDIRECT"&amp;"(""PalData!""&amp;ADDRESS(MATCH(B41,PalNames,0)+1,(MATCH(""Passive0c"",PalData_Header,0)))&amp;"":""&amp;ADDRESS(MATCH(B41,PalNames,0)+1,(MATCH(""Passive0c"",PalData_Header,0))+4)))&gt;0),1,1)),SkillDataCodeName,0)+1,MATCH(""TargetType1"",SkillData_Header,0)))"),"")</f>
        <v/>
      </c>
      <c r="L41" s="48" t="e">
        <f aca="false" t="array" ref="L41:L41">IF(INDEX(PalData,MATCH($B41,PalNames,0)+1,MATCH("Passive0cCondition",PalData_Header,0))=IFERROR(INDEX(SkillData,MATCH(INDEX(PalData,MATCH($B41,PalNames,0)+1,MATCH("Passive0c",PalData_Header,0)),SkillDataCodeName,0)+1,MATCH("Conditions",SkillData_Header,0))),INDEX(PalData,MATCH($B41,PalNames,0)+1,MATCH("Passive0cCondition",PalData_Header,0)),INDEX(PalData,MATCH($B41,PalNames,0)+1,MATCH("Passive0cCondition",PalData_Header,0)) &amp; IF(ISBLANK(INDEX(PalData,MATCH($B41,PalNames,0)+1,MATCH("Passive0cCondition",PalData_Header,0))),," ")&amp;IFERROR(INDEX(SkillData,MATCH(INDEX(PalData,MATCH($B41,PalNames,0)+1,MATCH("Passive0c",PalData_Header,0)),SkillDataCodeName,0)+1,MATCH("Conditions",SkillData_Header,0))))</f>
        <v>#N/A</v>
      </c>
      <c r="M41" s="48" t="str">
        <f aca="false">IFERROR(__xludf.dummyfunction("IFERROR(INDEX(SkillData,MATCH(Arrayformula(ARRAY_CONSTRAIN(FILTER(INDIRECT(""PalData!""&amp;ADDRESS(MATCH(B41,PalNames,0)+1,(MATCH(""Passive0c"",PalData_Header,0)))&amp;"":""&amp;ADDRESS(MATCH(B41,PalNames,0)+1,(MATCH(""Passive0c"",PalData_Header,0))+4)),LEN(INDIRECT"&amp;"(""PalData!""&amp;ADDRESS(MATCH(B41,PalNames,0)+1,(MATCH(""Passive0c"",PalData_Header,0)))&amp;"":""&amp;ADDRESS(MATCH(B41,PalNames,0)+1,(MATCH(""Passive0c"",PalData_Header,0))+4)))&gt;0),1,1)),SkillDataCodeName,0)+1,MATCH(""ValueType1"",SkillData_Header,0)))"),"")</f>
        <v/>
      </c>
      <c r="N41" s="48" t="e">
        <f aca="false" t="array" ref="N41:N41">IFERROR(INDEX(SkillData,MATCH(INDEX(PalData,MATCH($B41,PalNames,0)+1,MATCH("Passive0c",PalData_Header,0)),SkillDataCodeName,0)+1,MATCH("EffectValue1",SkillData_Header,0)))</f>
        <v>#VALUE!</v>
      </c>
      <c r="O41" s="48" t="e">
        <f aca="false" t="array" ref="O41:O41">IFERROR(INDEX(SkillData,MATCH(INDEX(PalData,MATCH($B41,PalNames,0)+1,MATCH("Passive1c",PalData_Header,0)),SkillDataCodeName,0)+1,MATCH("EffectValue1",SkillData_Header,0)))</f>
        <v>#VALUE!</v>
      </c>
      <c r="P41" s="48" t="e">
        <f aca="false" t="array" ref="P41:P41">IFERROR(INDEX(SkillData,MATCH(INDEX(PalData,MATCH($B41,PalNames,0)+1,MATCH("Passive2c",PalData_Header,0)),SkillDataCodeName,0)+1,MATCH("EffectValue1",SkillData_Header,0)))</f>
        <v>#VALUE!</v>
      </c>
      <c r="Q41" s="48" t="e">
        <f aca="false" t="array" ref="Q41:Q41">IFERROR(INDEX(SkillData,MATCH(INDEX(PalData,MATCH($B41,PalNames,0)+1,MATCH("Passive3c",PalData_Header,0)),SkillDataCodeName,0)+1,MATCH("EffectValue1",SkillData_Header,0)))</f>
        <v>#VALUE!</v>
      </c>
      <c r="R41" s="263" t="e">
        <f aca="false" t="array" ref="R41:R41">IFERROR(INDEX(SkillData,MATCH(INDEX(PalData,MATCH($B41,PalNames,0)+1,MATCH("Passive4c",PalData_Header,0)),SkillDataCodeName,0)+1,MATCH("EffectValue1",SkillData_Header,0)))</f>
        <v>#VALUE!</v>
      </c>
      <c r="S41" s="48" t="str">
        <f aca="false">IFERROR(__xludf.dummyfunction("IFERROR(INDEX(SkillData,MATCH(Arrayformula(ARRAY_CONSTRAIN(FILTER(INDIRECT(""PalData!""&amp;ADDRESS(MATCH(B41,PalNames,0)+1,(MATCH(""Passive0a"",PalData_Header,0)))&amp;"":""&amp;ADDRESS(MATCH(B41,PalNames,0)+1,(MATCH(""Passive0a"",PalData_Header,0))+4)),LEN(INDIRECT"&amp;"(""PalData!""&amp;ADDRESS(MATCH(B41,PalNames,0)+1,(MATCH(""Passive0a"",PalData_Header,0)))&amp;"":""&amp;ADDRESS(MATCH(B41,PalNames,0)+1,(MATCH(""Passive0a"",PalData_Header,0))+4)))&gt;0),1,1)),SkillDataCodeName,0)+1,MATCH(""EffectTypeCombined"",SkillData_Header,0)))"),"")</f>
        <v/>
      </c>
      <c r="T41" s="48" t="str">
        <f aca="false">IFERROR(__xludf.dummyfunction("IFERROR(INDEX(SkillData,MATCH(Arrayformula(ARRAY_CONSTRAIN(FILTER(INDIRECT(""PalData!""&amp;ADDRESS(MATCH(B41,PalNames,0)+1,(MATCH(""Passive0a"",PalData_Header,0)))&amp;"":""&amp;ADDRESS(MATCH(B41,PalNames,0)+1,(MATCH(""Passive0a"",PalData_Header,0))+4)),LEN(INDIRECT"&amp;"(""PalData!""&amp;ADDRESS(MATCH(B41,PalNames,0)+1,(MATCH(""Passive0a"",PalData_Header,0)))&amp;"":""&amp;ADDRESS(MATCH(B41,PalNames,0)+1,(MATCH(""Passive0a"",PalData_Header,0))+4)))&gt;0),1,1)),SkillDataCodeName,0)+1,MATCH(""TargetType1"",SkillData_Header,0)))"),"")</f>
        <v/>
      </c>
      <c r="U41" s="48" t="e">
        <f aca="false" t="array" ref="U41:U41">IF(INDEX(PalData,MATCH($B41,PalNames,0)+1,MATCH("Passive0aCondition",PalData_Header,0))=IFERROR(INDEX(SkillData,MATCH(INDEX(PalData,MATCH($B41,PalNames,0)+1,MATCH("Passive0a",PalData_Header,0)),SkillDataCodeName,0)+1,MATCH("Conditions",SkillData_Header,0))),INDEX(PalData,MATCH($B41,PalNames,0)+1,MATCH("Passive0aCondition",PalData_Header,0)),INDEX(PalData,MATCH($B41,PalNames,0)+1,MATCH("Passive0aCondition",PalData_Header,0)) &amp; IF(ISBLANK(INDEX(PalData,MATCH($B41,PalNames,0)+1,MATCH("Passive0aCondition",PalData_Header,0))),," ")&amp;IFERROR(INDEX(SkillData,MATCH(INDEX(PalData,MATCH($B41,PalNames,0)+1,MATCH("Passive0a",PalData_Header,0)),SkillDataCodeName,0)+1,MATCH("Conditions",SkillData_Header,0))))</f>
        <v>#N/A</v>
      </c>
      <c r="V41" s="48" t="str">
        <f aca="false">IFERROR(__xludf.dummyfunction("IFERROR(INDEX(SkillData,MATCH(Arrayformula(ARRAY_CONSTRAIN(FILTER(INDIRECT(""PalData!""&amp;ADDRESS(MATCH(B41,PalNames,0)+1,(MATCH(""Passive0a"",PalData_Header,0)))&amp;"":""&amp;ADDRESS(MATCH(B41,PalNames,0)+1,(MATCH(""Passive0a"",PalData_Header,0))+4)),LEN(INDIRECT"&amp;"(""PalData!""&amp;ADDRESS(MATCH(B41,PalNames,0)+1,(MATCH(""Passive0a"",PalData_Header,0)))&amp;"":""&amp;ADDRESS(MATCH(B41,PalNames,0)+1,(MATCH(""Passive0a"",PalData_Header,0))+4)))&gt;0),1,1)),SkillDataCodeName,0)+1,MATCH(""ValueType1"",SkillData_Header,0)))"),"")</f>
        <v/>
      </c>
      <c r="W41" s="48" t="n">
        <f aca="false">IFERROR(INDEX(SkillData,MATCH(INDEX(PalData,MATCH($B41,PalNames,0)+1,MATCH("Passive0a",PalData_Header,0)),SkillDataCodeName,0)+1,MATCH("EffectValue1",SkillData_Header,0)),)</f>
        <v>0</v>
      </c>
      <c r="X41" s="48" t="n">
        <f aca="false">IFERROR(INDEX(SkillData,MATCH(INDEX(PalData,MATCH($B41,PalNames,0)+1,MATCH("Passive1a",PalData_Header,0)),SkillDataCodeName,0)+1,MATCH("EffectValue1",SkillData_Header,0)),)</f>
        <v>0</v>
      </c>
      <c r="Y41" s="48" t="n">
        <f aca="false">IFERROR(INDEX(SkillData,MATCH(INDEX(PalData,MATCH($B41,PalNames,0)+1,MATCH("Passive2a",PalData_Header,0)),SkillDataCodeName,0)+1,MATCH("EffectValue1",SkillData_Header,0)),)</f>
        <v>0</v>
      </c>
      <c r="Z41" s="48" t="n">
        <f aca="false">IFERROR(INDEX(SkillData,MATCH(INDEX(PalData,MATCH($B41,PalNames,0)+1,MATCH("Passive3a",PalData_Header,0)),SkillDataCodeName,0)+1,MATCH("EffectValue1",SkillData_Header,0)),)</f>
        <v>0</v>
      </c>
      <c r="AA41" s="263" t="n">
        <f aca="false">IFERROR(INDEX(SkillData,MATCH(INDEX(PalData,MATCH($B41,PalNames,0)+1,MATCH("Passive4a",PalData_Header,0)),SkillDataCodeName,0)+1,MATCH("EffectValue1",SkillData_Header,0)),)</f>
        <v>0</v>
      </c>
      <c r="AB41" s="48" t="str">
        <f aca="false">IFERROR(__xludf.dummyfunction("IFERROR(INDEX(SkillData,MATCH(Arrayformula(ARRAY_CONSTRAIN(FILTER(INDIRECT(""PalData!""&amp;ADDRESS(MATCH(B41,PalNames,0)+1,(MATCH(""Passive0b"",PalData_Header,0)))&amp;"":""&amp;ADDRESS(MATCH(B41,PalNames,0)+1,(MATCH(""Passive0b"",PalData_Header,0))+4)),LEN(INDIRECT"&amp;"(""PalData!""&amp;ADDRESS(MATCH(B41,PalNames,0)+1,(MATCH(""Passive0b"",PalData_Header,0)))&amp;"":""&amp;ADDRESS(MATCH(B41,PalNames,0)+1,(MATCH(""Passive0b"",PalData_Header,0))+4)))&gt;0),1,1)),SkillDataCodeName,0)+1,MATCH(""EffectTypeCombined"",SkillData_Header,0)))"),"")</f>
        <v/>
      </c>
      <c r="AC41" s="48" t="str">
        <f aca="false">IFERROR(__xludf.dummyfunction("IFERROR(INDEX(SkillData,MATCH(Arrayformula(ARRAY_CONSTRAIN(FILTER(INDIRECT(""PalData!""&amp;ADDRESS(MATCH(B41,PalNames,0)+1,(MATCH(""Passive0b"",PalData_Header,0)))&amp;"":""&amp;ADDRESS(MATCH(B41,PalNames,0)+1,(MATCH(""Passive0b"",PalData_Header,0))+4)),LEN(INDIRECT"&amp;"(""PalData!""&amp;ADDRESS(MATCH(B41,PalNames,0)+1,(MATCH(""Passive0b"",PalData_Header,0)))&amp;"":""&amp;ADDRESS(MATCH(B41,PalNames,0)+1,(MATCH(""Passive0b"",PalData_Header,0))+4)))&gt;0),1,1)),SkillDataCodeName,0)+1,MATCH(""TargetType1"",SkillData_Header,0)))"),"")</f>
        <v/>
      </c>
      <c r="AD41" s="48" t="e">
        <f aca="false" t="array" ref="AD41:AD41">IF(INDEX(PalData,MATCH($B41,PalNames,0)+1,MATCH("Passive0bCondition",PalData_Header,0))=IFERROR(INDEX(SkillData,MATCH(INDEX(PalData,MATCH($B41,PalNames,0)+1,MATCH("Passive0b",PalData_Header,0)),SkillDataCodeName,0)+1,MATCH("Conditions",SkillData_Header,0))),INDEX(PalData,MATCH($B41,PalNames,0)+1,MATCH("Passive0bCondition",PalData_Header,0)),INDEX(PalData,MATCH($B41,PalNames,0)+1,MATCH("Passive0bCondition",PalData_Header,0)) &amp; IF(ISBLANK(INDEX(PalData,MATCH($B41,PalNames,0)+1,MATCH("Passive0bCondition",PalData_Header,0))),," ")&amp;IFERROR(INDEX(SkillData,MATCH(INDEX(PalData,MATCH($B41,PalNames,0)+1,MATCH("Passive0b",PalData_Header,0)),SkillDataCodeName,0)+1,MATCH("Conditions",SkillData_Header,0))))</f>
        <v>#N/A</v>
      </c>
      <c r="AE41" s="48" t="str">
        <f aca="false">IFERROR(__xludf.dummyfunction("IFERROR(INDEX(SkillData,MATCH(Arrayformula(ARRAY_CONSTRAIN(FILTER(INDIRECT(""PalData!""&amp;ADDRESS(MATCH(B41,PalNames,0)+1,(MATCH(""Passive0b"",PalData_Header,0)))&amp;"":""&amp;ADDRESS(MATCH(B41,PalNames,0)+1,(MATCH(""Passive0b"",PalData_Header,0))+4)),LEN(INDIRECT"&amp;"(""PalData!""&amp;ADDRESS(MATCH(B41,PalNames,0)+1,(MATCH(""Passive0b"",PalData_Header,0)))&amp;"":""&amp;ADDRESS(MATCH(B41,PalNames,0)+1,(MATCH(""Passive0b"",PalData_Header,0))+4)))&gt;0),1,1)),SkillDataCodeName,0)+1,MATCH(""ValueType1"",SkillData_Header,0)))"),"")</f>
        <v/>
      </c>
      <c r="AF41" s="48" t="n">
        <f aca="false">IFERROR(INDEX(SkillData,MATCH(INDEX(PalData,MATCH($B41,PalNames,0)+1,MATCH("Passive0b",PalData_Header,0)),SkillDataCodeName,0)+1,MATCH("EffectValue1",SkillData_Header,0)),)</f>
        <v>0</v>
      </c>
      <c r="AG41" s="48" t="n">
        <f aca="false">IFERROR(INDEX(SkillData,MATCH(INDEX(PalData,MATCH($B41,PalNames,0)+1,MATCH("Passive1b",PalData_Header,0)),SkillDataCodeName,0)+1,MATCH("EffectValue1",SkillData_Header,0)),)</f>
        <v>0</v>
      </c>
      <c r="AH41" s="48" t="n">
        <f aca="false">IFERROR(INDEX(SkillData,MATCH(INDEX(PalData,MATCH($B41,PalNames,0)+1,MATCH("Passive2b",PalData_Header,0)),SkillDataCodeName,0)+1,MATCH("EffectValue1",SkillData_Header,0)),)</f>
        <v>0</v>
      </c>
      <c r="AI41" s="48" t="n">
        <f aca="false">IFERROR(INDEX(SkillData,MATCH(INDEX(PalData,MATCH($B41,PalNames,0)+1,MATCH("Passive3b",PalData_Header,0)),SkillDataCodeName,0)+1,MATCH("EffectValue1",SkillData_Header,0)),)</f>
        <v>0</v>
      </c>
      <c r="AJ41" s="263" t="n">
        <f aca="false">IFERROR(INDEX(SkillData,MATCH(INDEX(PalData,MATCH($B41,PalNames,0)+1,MATCH("Passive4b",PalData_Header,0)),SkillDataCodeName,0)+1,MATCH("EffectValue1",SkillData_Header,0)),)</f>
        <v>0</v>
      </c>
      <c r="AK41" s="305" t="s">
        <v>305</v>
      </c>
    </row>
    <row r="42" customFormat="false" ht="15.75" hidden="false" customHeight="false" outlineLevel="0" collapsed="false">
      <c r="A42" s="299" t="n">
        <v>33</v>
      </c>
      <c r="B42" s="300" t="s">
        <v>107</v>
      </c>
      <c r="C42" s="45" t="str">
        <f aca="false" t="array" ref="C42:C42">IF(ISBLANK(INDEX(PalData,MATCH($B42,PalNames,0)+1,MATCH("ActiveSkill",PalData_Header,0))),INDEX(PalData,MATCH($B42,PalNames,0)+1,MATCH("SkillUnlock_",PalData_Header,0)),INDEX(PalData,MATCH($B42,PalNames,0)+1,MATCH("ActiveSkill",PalData_Header,0)))</f>
        <v>UniqueRideShooting_DualGrenadeLauncher</v>
      </c>
      <c r="D42" s="45" t="s">
        <v>266</v>
      </c>
      <c r="E42" s="62" t="n">
        <f aca="false" t="array" ref="E42:E42">INDEX(PalData,MATCH($B42,PalNames,0)+1,MATCH("ActiveSkillBonus0",PalData_Header,0))</f>
        <v>30</v>
      </c>
      <c r="F42" s="62" t="n">
        <f aca="false" t="array" ref="F42:F42">INDEX(PalData,MATCH($B42,PalNames,0)+1,MATCH("ActiveSkillBonus1",PalData_Header,0))</f>
        <v>33</v>
      </c>
      <c r="G42" s="62" t="n">
        <f aca="false" t="array" ref="G42:G42">INDEX(PalData,MATCH($B42,PalNames,0)+1,MATCH("ActiveSkillBonus2",PalData_Header,0))</f>
        <v>39</v>
      </c>
      <c r="H42" s="62" t="n">
        <f aca="false" t="array" ref="H42:H42">INDEX(PalData,MATCH($B42,PalNames,0)+1,MATCH("ActiveSkillBonus3",PalData_Header,0))</f>
        <v>48</v>
      </c>
      <c r="I42" s="306" t="n">
        <f aca="false" t="array" ref="I42:I42">INDEX(PalData,MATCH($B42,PalNames,0)+1,MATCH("ActiveSkillBonus4",PalData_Header,0))</f>
        <v>60</v>
      </c>
      <c r="J42" s="45" t="str">
        <f aca="false">IFERROR(__xludf.dummyfunction("IFERROR(INDEX(SkillData,MATCH(Arrayformula(ARRAY_CONSTRAIN(FILTER(INDIRECT(""PalData!""&amp;ADDRESS(MATCH(B42,PalNames,0)+1,(MATCH(""Passive0c"",PalData_Header,0)))&amp;"":""&amp;ADDRESS(MATCH(B42,PalNames,0)+1,(MATCH(""Passive0c"",PalData_Header,0))+4)),LEN(INDIRECT"&amp;"(""PalData!""&amp;ADDRESS(MATCH(B42,PalNames,0)+1,(MATCH(""Passive0c"",PalData_Header,0)))&amp;"":""&amp;ADDRESS(MATCH(B42,PalNames,0)+1,(MATCH(""Passive0c"",PalData_Header,0))+4)))&gt;0),1,1)),SkillDataCodeName,0)+1,MATCH(""EffectTypeCombined"",SkillData_Header,0)))"),"")</f>
        <v/>
      </c>
      <c r="K42" s="45" t="str">
        <f aca="false">IFERROR(__xludf.dummyfunction("IFERROR(INDEX(SkillData,MATCH(Arrayformula(ARRAY_CONSTRAIN(FILTER(INDIRECT(""PalData!""&amp;ADDRESS(MATCH(B42,PalNames,0)+1,(MATCH(""Passive0c"",PalData_Header,0)))&amp;"":""&amp;ADDRESS(MATCH(B42,PalNames,0)+1,(MATCH(""Passive0c"",PalData_Header,0))+4)),LEN(INDIRECT"&amp;"(""PalData!""&amp;ADDRESS(MATCH(B42,PalNames,0)+1,(MATCH(""Passive0c"",PalData_Header,0)))&amp;"":""&amp;ADDRESS(MATCH(B42,PalNames,0)+1,(MATCH(""Passive0c"",PalData_Header,0))+4)))&gt;0),1,1)),SkillDataCodeName,0)+1,MATCH(""TargetType1"",SkillData_Header,0)))"),"")</f>
        <v/>
      </c>
      <c r="L42" s="45" t="e">
        <f aca="false" t="array" ref="L42:L42">IF(INDEX(PalData,MATCH($B42,PalNames,0)+1,MATCH("Passive0cCondition",PalData_Header,0))=IFERROR(INDEX(SkillData,MATCH(INDEX(PalData,MATCH($B42,PalNames,0)+1,MATCH("Passive0c",PalData_Header,0)),SkillDataCodeName,0)+1,MATCH("Conditions",SkillData_Header,0))),INDEX(PalData,MATCH($B42,PalNames,0)+1,MATCH("Passive0cCondition",PalData_Header,0)),INDEX(PalData,MATCH($B42,PalNames,0)+1,MATCH("Passive0cCondition",PalData_Header,0)) &amp; IF(ISBLANK(INDEX(PalData,MATCH($B42,PalNames,0)+1,MATCH("Passive0cCondition",PalData_Header,0))),," ")&amp;IFERROR(INDEX(SkillData,MATCH(INDEX(PalData,MATCH($B42,PalNames,0)+1,MATCH("Passive0c",PalData_Header,0)),SkillDataCodeName,0)+1,MATCH("Conditions",SkillData_Header,0))))</f>
        <v>#N/A</v>
      </c>
      <c r="M42" s="45" t="str">
        <f aca="false">IFERROR(__xludf.dummyfunction("IFERROR(INDEX(SkillData,MATCH(Arrayformula(ARRAY_CONSTRAIN(FILTER(INDIRECT(""PalData!""&amp;ADDRESS(MATCH(B42,PalNames,0)+1,(MATCH(""Passive0c"",PalData_Header,0)))&amp;"":""&amp;ADDRESS(MATCH(B42,PalNames,0)+1,(MATCH(""Passive0c"",PalData_Header,0))+4)),LEN(INDIRECT"&amp;"(""PalData!""&amp;ADDRESS(MATCH(B42,PalNames,0)+1,(MATCH(""Passive0c"",PalData_Header,0)))&amp;"":""&amp;ADDRESS(MATCH(B42,PalNames,0)+1,(MATCH(""Passive0c"",PalData_Header,0))+4)))&gt;0),1,1)),SkillDataCodeName,0)+1,MATCH(""ValueType1"",SkillData_Header,0)))"),"")</f>
        <v/>
      </c>
      <c r="N42" s="45" t="e">
        <f aca="false" t="array" ref="N42:N42">IFERROR(INDEX(SkillData,MATCH(INDEX(PalData,MATCH($B42,PalNames,0)+1,MATCH("Passive0c",PalData_Header,0)),SkillDataCodeName,0)+1,MATCH("EffectValue1",SkillData_Header,0)))</f>
        <v>#VALUE!</v>
      </c>
      <c r="O42" s="45" t="e">
        <f aca="false" t="array" ref="O42:O42">IFERROR(INDEX(SkillData,MATCH(INDEX(PalData,MATCH($B42,PalNames,0)+1,MATCH("Passive1c",PalData_Header,0)),SkillDataCodeName,0)+1,MATCH("EffectValue1",SkillData_Header,0)))</f>
        <v>#VALUE!</v>
      </c>
      <c r="P42" s="45" t="e">
        <f aca="false" t="array" ref="P42:P42">IFERROR(INDEX(SkillData,MATCH(INDEX(PalData,MATCH($B42,PalNames,0)+1,MATCH("Passive2c",PalData_Header,0)),SkillDataCodeName,0)+1,MATCH("EffectValue1",SkillData_Header,0)))</f>
        <v>#VALUE!</v>
      </c>
      <c r="Q42" s="45" t="e">
        <f aca="false" t="array" ref="Q42:Q42">IFERROR(INDEX(SkillData,MATCH(INDEX(PalData,MATCH($B42,PalNames,0)+1,MATCH("Passive3c",PalData_Header,0)),SkillDataCodeName,0)+1,MATCH("EffectValue1",SkillData_Header,0)))</f>
        <v>#VALUE!</v>
      </c>
      <c r="R42" s="260" t="e">
        <f aca="false" t="array" ref="R42:R42">IFERROR(INDEX(SkillData,MATCH(INDEX(PalData,MATCH($B42,PalNames,0)+1,MATCH("Passive4c",PalData_Header,0)),SkillDataCodeName,0)+1,MATCH("EffectValue1",SkillData_Header,0)))</f>
        <v>#VALUE!</v>
      </c>
      <c r="S42" s="45" t="str">
        <f aca="false">IFERROR(__xludf.dummyfunction("IFERROR(INDEX(SkillData,MATCH(Arrayformula(ARRAY_CONSTRAIN(FILTER(INDIRECT(""PalData!""&amp;ADDRESS(MATCH(B42,PalNames,0)+1,(MATCH(""Passive0a"",PalData_Header,0)))&amp;"":""&amp;ADDRESS(MATCH(B42,PalNames,0)+1,(MATCH(""Passive0a"",PalData_Header,0))+4)),LEN(INDIRECT"&amp;"(""PalData!""&amp;ADDRESS(MATCH(B42,PalNames,0)+1,(MATCH(""Passive0a"",PalData_Header,0)))&amp;"":""&amp;ADDRESS(MATCH(B42,PalNames,0)+1,(MATCH(""Passive0a"",PalData_Header,0))+4)))&gt;0),1,1)),SkillDataCodeName,0)+1,MATCH(""EffectTypeCombined"",SkillData_Header,0)))"),"")</f>
        <v/>
      </c>
      <c r="T42" s="45" t="str">
        <f aca="false">IFERROR(__xludf.dummyfunction("IFERROR(INDEX(SkillData,MATCH(Arrayformula(ARRAY_CONSTRAIN(FILTER(INDIRECT(""PalData!""&amp;ADDRESS(MATCH(B42,PalNames,0)+1,(MATCH(""Passive0a"",PalData_Header,0)))&amp;"":""&amp;ADDRESS(MATCH(B42,PalNames,0)+1,(MATCH(""Passive0a"",PalData_Header,0))+4)),LEN(INDIRECT"&amp;"(""PalData!""&amp;ADDRESS(MATCH(B42,PalNames,0)+1,(MATCH(""Passive0a"",PalData_Header,0)))&amp;"":""&amp;ADDRESS(MATCH(B42,PalNames,0)+1,(MATCH(""Passive0a"",PalData_Header,0))+4)))&gt;0),1,1)),SkillDataCodeName,0)+1,MATCH(""TargetType1"",SkillData_Header,0)))"),"")</f>
        <v/>
      </c>
      <c r="U42" s="45" t="e">
        <f aca="false" t="array" ref="U42:U42">IF(INDEX(PalData,MATCH($B42,PalNames,0)+1,MATCH("Passive0aCondition",PalData_Header,0))=IFERROR(INDEX(SkillData,MATCH(INDEX(PalData,MATCH($B42,PalNames,0)+1,MATCH("Passive0a",PalData_Header,0)),SkillDataCodeName,0)+1,MATCH("Conditions",SkillData_Header,0))),INDEX(PalData,MATCH($B42,PalNames,0)+1,MATCH("Passive0aCondition",PalData_Header,0)),INDEX(PalData,MATCH($B42,PalNames,0)+1,MATCH("Passive0aCondition",PalData_Header,0)) &amp; IF(ISBLANK(INDEX(PalData,MATCH($B42,PalNames,0)+1,MATCH("Passive0aCondition",PalData_Header,0))),," ")&amp;IFERROR(INDEX(SkillData,MATCH(INDEX(PalData,MATCH($B42,PalNames,0)+1,MATCH("Passive0a",PalData_Header,0)),SkillDataCodeName,0)+1,MATCH("Conditions",SkillData_Header,0))))</f>
        <v>#N/A</v>
      </c>
      <c r="V42" s="45" t="str">
        <f aca="false">IFERROR(__xludf.dummyfunction("IFERROR(INDEX(SkillData,MATCH(Arrayformula(ARRAY_CONSTRAIN(FILTER(INDIRECT(""PalData!""&amp;ADDRESS(MATCH(B42,PalNames,0)+1,(MATCH(""Passive0a"",PalData_Header,0)))&amp;"":""&amp;ADDRESS(MATCH(B42,PalNames,0)+1,(MATCH(""Passive0a"",PalData_Header,0))+4)),LEN(INDIRECT"&amp;"(""PalData!""&amp;ADDRESS(MATCH(B42,PalNames,0)+1,(MATCH(""Passive0a"",PalData_Header,0)))&amp;"":""&amp;ADDRESS(MATCH(B42,PalNames,0)+1,(MATCH(""Passive0a"",PalData_Header,0))+4)))&gt;0),1,1)),SkillDataCodeName,0)+1,MATCH(""ValueType1"",SkillData_Header,0)))"),"")</f>
        <v/>
      </c>
      <c r="W42" s="45" t="n">
        <f aca="false">IFERROR(INDEX(SkillData,MATCH(INDEX(PalData,MATCH($B42,PalNames,0)+1,MATCH("Passive0a",PalData_Header,0)),SkillDataCodeName,0)+1,MATCH("EffectValue1",SkillData_Header,0)),)</f>
        <v>0</v>
      </c>
      <c r="X42" s="45" t="n">
        <f aca="false">IFERROR(INDEX(SkillData,MATCH(INDEX(PalData,MATCH($B42,PalNames,0)+1,MATCH("Passive1a",PalData_Header,0)),SkillDataCodeName,0)+1,MATCH("EffectValue1",SkillData_Header,0)),)</f>
        <v>0</v>
      </c>
      <c r="Y42" s="45" t="n">
        <f aca="false">IFERROR(INDEX(SkillData,MATCH(INDEX(PalData,MATCH($B42,PalNames,0)+1,MATCH("Passive2a",PalData_Header,0)),SkillDataCodeName,0)+1,MATCH("EffectValue1",SkillData_Header,0)),)</f>
        <v>0</v>
      </c>
      <c r="Z42" s="45" t="n">
        <f aca="false">IFERROR(INDEX(SkillData,MATCH(INDEX(PalData,MATCH($B42,PalNames,0)+1,MATCH("Passive3a",PalData_Header,0)),SkillDataCodeName,0)+1,MATCH("EffectValue1",SkillData_Header,0)),)</f>
        <v>0</v>
      </c>
      <c r="AA42" s="260" t="n">
        <f aca="false">IFERROR(INDEX(SkillData,MATCH(INDEX(PalData,MATCH($B42,PalNames,0)+1,MATCH("Passive4a",PalData_Header,0)),SkillDataCodeName,0)+1,MATCH("EffectValue1",SkillData_Header,0)),)</f>
        <v>0</v>
      </c>
      <c r="AB42" s="45" t="str">
        <f aca="false">IFERROR(__xludf.dummyfunction("IFERROR(INDEX(SkillData,MATCH(Arrayformula(ARRAY_CONSTRAIN(FILTER(INDIRECT(""PalData!""&amp;ADDRESS(MATCH(B42,PalNames,0)+1,(MATCH(""Passive0b"",PalData_Header,0)))&amp;"":""&amp;ADDRESS(MATCH(B42,PalNames,0)+1,(MATCH(""Passive0b"",PalData_Header,0))+4)),LEN(INDIRECT"&amp;"(""PalData!""&amp;ADDRESS(MATCH(B42,PalNames,0)+1,(MATCH(""Passive0b"",PalData_Header,0)))&amp;"":""&amp;ADDRESS(MATCH(B42,PalNames,0)+1,(MATCH(""Passive0b"",PalData_Header,0))+4)))&gt;0),1,1)),SkillDataCodeName,0)+1,MATCH(""EffectTypeCombined"",SkillData_Header,0)))"),"")</f>
        <v/>
      </c>
      <c r="AC42" s="45" t="str">
        <f aca="false">IFERROR(__xludf.dummyfunction("IFERROR(INDEX(SkillData,MATCH(Arrayformula(ARRAY_CONSTRAIN(FILTER(INDIRECT(""PalData!""&amp;ADDRESS(MATCH(B42,PalNames,0)+1,(MATCH(""Passive0b"",PalData_Header,0)))&amp;"":""&amp;ADDRESS(MATCH(B42,PalNames,0)+1,(MATCH(""Passive0b"",PalData_Header,0))+4)),LEN(INDIRECT"&amp;"(""PalData!""&amp;ADDRESS(MATCH(B42,PalNames,0)+1,(MATCH(""Passive0b"",PalData_Header,0)))&amp;"":""&amp;ADDRESS(MATCH(B42,PalNames,0)+1,(MATCH(""Passive0b"",PalData_Header,0))+4)))&gt;0),1,1)),SkillDataCodeName,0)+1,MATCH(""TargetType1"",SkillData_Header,0)))"),"")</f>
        <v/>
      </c>
      <c r="AD42" s="45" t="e">
        <f aca="false" t="array" ref="AD42:AD42">IF(INDEX(PalData,MATCH($B42,PalNames,0)+1,MATCH("Passive0bCondition",PalData_Header,0))=IFERROR(INDEX(SkillData,MATCH(INDEX(PalData,MATCH($B42,PalNames,0)+1,MATCH("Passive0b",PalData_Header,0)),SkillDataCodeName,0)+1,MATCH("Conditions",SkillData_Header,0))),INDEX(PalData,MATCH($B42,PalNames,0)+1,MATCH("Passive0bCondition",PalData_Header,0)),INDEX(PalData,MATCH($B42,PalNames,0)+1,MATCH("Passive0bCondition",PalData_Header,0)) &amp; IF(ISBLANK(INDEX(PalData,MATCH($B42,PalNames,0)+1,MATCH("Passive0bCondition",PalData_Header,0))),," ")&amp;IFERROR(INDEX(SkillData,MATCH(INDEX(PalData,MATCH($B42,PalNames,0)+1,MATCH("Passive0b",PalData_Header,0)),SkillDataCodeName,0)+1,MATCH("Conditions",SkillData_Header,0))))</f>
        <v>#N/A</v>
      </c>
      <c r="AE42" s="45" t="str">
        <f aca="false">IFERROR(__xludf.dummyfunction("IFERROR(INDEX(SkillData,MATCH(Arrayformula(ARRAY_CONSTRAIN(FILTER(INDIRECT(""PalData!""&amp;ADDRESS(MATCH(B42,PalNames,0)+1,(MATCH(""Passive0b"",PalData_Header,0)))&amp;"":""&amp;ADDRESS(MATCH(B42,PalNames,0)+1,(MATCH(""Passive0b"",PalData_Header,0))+4)),LEN(INDIRECT"&amp;"(""PalData!""&amp;ADDRESS(MATCH(B42,PalNames,0)+1,(MATCH(""Passive0b"",PalData_Header,0)))&amp;"":""&amp;ADDRESS(MATCH(B42,PalNames,0)+1,(MATCH(""Passive0b"",PalData_Header,0))+4)))&gt;0),1,1)),SkillDataCodeName,0)+1,MATCH(""ValueType1"",SkillData_Header,0)))"),"")</f>
        <v/>
      </c>
      <c r="AF42" s="45" t="n">
        <f aca="false">IFERROR(INDEX(SkillData,MATCH(INDEX(PalData,MATCH($B42,PalNames,0)+1,MATCH("Passive0b",PalData_Header,0)),SkillDataCodeName,0)+1,MATCH("EffectValue1",SkillData_Header,0)),)</f>
        <v>0</v>
      </c>
      <c r="AG42" s="45" t="n">
        <f aca="false">IFERROR(INDEX(SkillData,MATCH(INDEX(PalData,MATCH($B42,PalNames,0)+1,MATCH("Passive1b",PalData_Header,0)),SkillDataCodeName,0)+1,MATCH("EffectValue1",SkillData_Header,0)),)</f>
        <v>0</v>
      </c>
      <c r="AH42" s="45" t="n">
        <f aca="false">IFERROR(INDEX(SkillData,MATCH(INDEX(PalData,MATCH($B42,PalNames,0)+1,MATCH("Passive2b",PalData_Header,0)),SkillDataCodeName,0)+1,MATCH("EffectValue1",SkillData_Header,0)),)</f>
        <v>0</v>
      </c>
      <c r="AI42" s="45" t="n">
        <f aca="false">IFERROR(INDEX(SkillData,MATCH(INDEX(PalData,MATCH($B42,PalNames,0)+1,MATCH("Passive3b",PalData_Header,0)),SkillDataCodeName,0)+1,MATCH("EffectValue1",SkillData_Header,0)),)</f>
        <v>0</v>
      </c>
      <c r="AJ42" s="260" t="n">
        <f aca="false">IFERROR(INDEX(SkillData,MATCH(INDEX(PalData,MATCH($B42,PalNames,0)+1,MATCH("Passive4b",PalData_Header,0)),SkillDataCodeName,0)+1,MATCH("EffectValue1",SkillData_Header,0)),)</f>
        <v>0</v>
      </c>
      <c r="AK42" s="301" t="s">
        <v>306</v>
      </c>
    </row>
    <row r="43" customFormat="false" ht="15.75" hidden="false" customHeight="false" outlineLevel="0" collapsed="false">
      <c r="A43" s="302" t="n">
        <v>34</v>
      </c>
      <c r="B43" s="303" t="s">
        <v>151</v>
      </c>
      <c r="C43" s="48" t="n">
        <f aca="false">IF(ISBLANK(INDEX(PalData,MATCH($B43,PalNames,0)+1,MATCH("ActiveSkill",PalData_Header,0))),INDEX(PalData,MATCH($B43,PalNames,0)+1,MATCH("SkillUnlock_",PalData_Header,0)),INDEX(PalData,MATCH($B43,PalNames,0)+1,MATCH("ActiveSkill",PalData_Header,0)))</f>
        <v>0</v>
      </c>
      <c r="D43" s="48"/>
      <c r="E43" s="48" t="n">
        <f aca="false">INDEX(PalData,MATCH($B43,PalNames,0)+1,MATCH("ActiveSkillBonus0",PalData_Header,0))</f>
        <v>0</v>
      </c>
      <c r="F43" s="48" t="n">
        <f aca="false">INDEX(PalData,MATCH($B43,PalNames,0)+1,MATCH("ActiveSkillBonus1",PalData_Header,0))</f>
        <v>0</v>
      </c>
      <c r="G43" s="48" t="n">
        <f aca="false">INDEX(PalData,MATCH($B43,PalNames,0)+1,MATCH("ActiveSkillBonus2",PalData_Header,0))</f>
        <v>0</v>
      </c>
      <c r="H43" s="48" t="n">
        <f aca="false">INDEX(PalData,MATCH($B43,PalNames,0)+1,MATCH("ActiveSkillBonus3",PalData_Header,0))</f>
        <v>0</v>
      </c>
      <c r="I43" s="263" t="n">
        <f aca="false">INDEX(PalData,MATCH($B43,PalNames,0)+1,MATCH("ActiveSkillBonus4",PalData_Header,0))</f>
        <v>0</v>
      </c>
      <c r="J43" s="48" t="str">
        <f aca="false">IFERROR(__xludf.dummyfunction("IFERROR(INDEX(SkillData,MATCH(Arrayformula(ARRAY_CONSTRAIN(FILTER(INDIRECT(""PalData!""&amp;ADDRESS(MATCH(B43,PalNames,0)+1,(MATCH(""Passive0c"",PalData_Header,0)))&amp;"":""&amp;ADDRESS(MATCH(B43,PalNames,0)+1,(MATCH(""Passive0c"",PalData_Header,0))+4)),LEN(INDIRECT"&amp;"(""PalData!""&amp;ADDRESS(MATCH(B43,PalNames,0)+1,(MATCH(""Passive0c"",PalData_Header,0)))&amp;"":""&amp;ADDRESS(MATCH(B43,PalNames,0)+1,(MATCH(""Passive0c"",PalData_Header,0))+4)))&gt;0),1,1)),SkillDataCodeName,0)+1,MATCH(""EffectTypeCombined"",SkillData_Header,0)))"),"FindSweet")</f>
        <v>FindSweet</v>
      </c>
      <c r="K43" s="48" t="str">
        <f aca="false">IFERROR(__xludf.dummyfunction("IFERROR(INDEX(SkillData,MATCH(Arrayformula(ARRAY_CONSTRAIN(FILTER(INDIRECT(""PalData!""&amp;ADDRESS(MATCH(B43,PalNames,0)+1,(MATCH(""Passive0c"",PalData_Header,0)))&amp;"":""&amp;ADDRESS(MATCH(B43,PalNames,0)+1,(MATCH(""Passive0c"",PalData_Header,0))+4)),LEN(INDIRECT"&amp;"(""PalData!""&amp;ADDRESS(MATCH(B43,PalNames,0)+1,(MATCH(""Passive0c"",PalData_Header,0)))&amp;"":""&amp;ADDRESS(MATCH(B43,PalNames,0)+1,(MATCH(""Passive0c"",PalData_Header,0))+4)))&gt;0),1,1)),SkillDataCodeName,0)+1,MATCH(""TargetType1"",SkillData_Header,0)))"),"")</f>
        <v/>
      </c>
      <c r="L43" s="48" t="e">
        <f aca="false" t="array" ref="L43:L43">IF(INDEX(PalData,MATCH($B43,PalNames,0)+1,MATCH("Passive0cCondition",PalData_Header,0))=IFERROR(INDEX(SkillData,MATCH(INDEX(PalData,MATCH($B43,PalNames,0)+1,MATCH("Passive0c",PalData_Header,0)),SkillDataCodeName,0)+1,MATCH("Conditions",SkillData_Header,0))),INDEX(PalData,MATCH($B43,PalNames,0)+1,MATCH("Passive0cCondition",PalData_Header,0)),INDEX(PalData,MATCH($B43,PalNames,0)+1,MATCH("Passive0cCondition",PalData_Header,0)) &amp; IF(ISBLANK(INDEX(PalData,MATCH($B43,PalNames,0)+1,MATCH("Passive0cCondition",PalData_Header,0))),," ")&amp;IFERROR(INDEX(SkillData,MATCH(INDEX(PalData,MATCH($B43,PalNames,0)+1,MATCH("Passive0c",PalData_Header,0)),SkillDataCodeName,0)+1,MATCH("Conditions",SkillData_Header,0))))</f>
        <v>#VALUE!</v>
      </c>
      <c r="M43" s="48" t="str">
        <f aca="false">IFERROR(__xludf.dummyfunction("IFERROR(INDEX(SkillData,MATCH(Arrayformula(ARRAY_CONSTRAIN(FILTER(INDIRECT(""PalData!""&amp;ADDRESS(MATCH(B43,PalNames,0)+1,(MATCH(""Passive0c"",PalData_Header,0)))&amp;"":""&amp;ADDRESS(MATCH(B43,PalNames,0)+1,(MATCH(""Passive0c"",PalData_Header,0))+4)),LEN(INDIRECT"&amp;"(""PalData!""&amp;ADDRESS(MATCH(B43,PalNames,0)+1,(MATCH(""Passive0c"",PalData_Header,0)))&amp;"":""&amp;ADDRESS(MATCH(B43,PalNames,0)+1,(MATCH(""Passive0c"",PalData_Header,0))+4)))&gt;0),1,1)),SkillDataCodeName,0)+1,MATCH(""ValueType1"",SkillData_Header,0)))"),"(min,max)")</f>
        <v>(min,max)</v>
      </c>
      <c r="N43" s="48" t="e">
        <f aca="false" t="array" ref="N43:N43">IFERROR(INDEX(SkillData,MATCH(INDEX(PalData,MATCH($B43,PalNames,0)+1,MATCH("Passive0c",PalData_Header,0)),SkillDataCodeName,0)+1,MATCH("EffectValue1",SkillData_Header,0)))</f>
        <v>#VALUE!</v>
      </c>
      <c r="O43" s="48" t="e">
        <f aca="false" t="array" ref="O43:O43">IFERROR(INDEX(SkillData,MATCH(INDEX(PalData,MATCH($B43,PalNames,0)+1,MATCH("Passive1c",PalData_Header,0)),SkillDataCodeName,0)+1,MATCH("EffectValue1",SkillData_Header,0)))</f>
        <v>#VALUE!</v>
      </c>
      <c r="P43" s="48" t="e">
        <f aca="false" t="array" ref="P43:P43">IFERROR(INDEX(SkillData,MATCH(INDEX(PalData,MATCH($B43,PalNames,0)+1,MATCH("Passive2c",PalData_Header,0)),SkillDataCodeName,0)+1,MATCH("EffectValue1",SkillData_Header,0)))</f>
        <v>#VALUE!</v>
      </c>
      <c r="Q43" s="48" t="e">
        <f aca="false" t="array" ref="Q43:Q43">IFERROR(INDEX(SkillData,MATCH(INDEX(PalData,MATCH($B43,PalNames,0)+1,MATCH("Passive3c",PalData_Header,0)),SkillDataCodeName,0)+1,MATCH("EffectValue1",SkillData_Header,0)))</f>
        <v>#VALUE!</v>
      </c>
      <c r="R43" s="263" t="e">
        <f aca="false" t="array" ref="R43:R43">IFERROR(INDEX(SkillData,MATCH(INDEX(PalData,MATCH($B43,PalNames,0)+1,MATCH("Passive4c",PalData_Header,0)),SkillDataCodeName,0)+1,MATCH("EffectValue1",SkillData_Header,0)))</f>
        <v>#VALUE!</v>
      </c>
      <c r="S43" s="48" t="str">
        <f aca="false">IFERROR(__xludf.dummyfunction("IFERROR(INDEX(SkillData,MATCH(Arrayformula(ARRAY_CONSTRAIN(FILTER(INDIRECT(""PalData!""&amp;ADDRESS(MATCH(B43,PalNames,0)+1,(MATCH(""Passive0a"",PalData_Header,0)))&amp;"":""&amp;ADDRESS(MATCH(B43,PalNames,0)+1,(MATCH(""Passive0a"",PalData_Header,0))+4)),LEN(INDIRECT"&amp;"(""PalData!""&amp;ADDRESS(MATCH(B43,PalNames,0)+1,(MATCH(""Passive0a"",PalData_Header,0)))&amp;"":""&amp;ADDRESS(MATCH(B43,PalNames,0)+1,(MATCH(""Passive0a"",PalData_Header,0))+4)))&gt;0),1,1)),SkillDataCodeName,0)+1,MATCH(""EffectTypeCombined"",SkillData_Header,0)))"),"")</f>
        <v/>
      </c>
      <c r="T43" s="48" t="str">
        <f aca="false">IFERROR(__xludf.dummyfunction("IFERROR(INDEX(SkillData,MATCH(Arrayformula(ARRAY_CONSTRAIN(FILTER(INDIRECT(""PalData!""&amp;ADDRESS(MATCH(B43,PalNames,0)+1,(MATCH(""Passive0a"",PalData_Header,0)))&amp;"":""&amp;ADDRESS(MATCH(B43,PalNames,0)+1,(MATCH(""Passive0a"",PalData_Header,0))+4)),LEN(INDIRECT"&amp;"(""PalData!""&amp;ADDRESS(MATCH(B43,PalNames,0)+1,(MATCH(""Passive0a"",PalData_Header,0)))&amp;"":""&amp;ADDRESS(MATCH(B43,PalNames,0)+1,(MATCH(""Passive0a"",PalData_Header,0))+4)))&gt;0),1,1)),SkillDataCodeName,0)+1,MATCH(""TargetType1"",SkillData_Header,0)))"),"")</f>
        <v/>
      </c>
      <c r="U43" s="48" t="e">
        <f aca="false" t="array" ref="U43:U43">IF(INDEX(PalData,MATCH($B43,PalNames,0)+1,MATCH("Passive0aCondition",PalData_Header,0))=IFERROR(INDEX(SkillData,MATCH(INDEX(PalData,MATCH($B43,PalNames,0)+1,MATCH("Passive0a",PalData_Header,0)),SkillDataCodeName,0)+1,MATCH("Conditions",SkillData_Header,0))),INDEX(PalData,MATCH($B43,PalNames,0)+1,MATCH("Passive0aCondition",PalData_Header,0)),INDEX(PalData,MATCH($B43,PalNames,0)+1,MATCH("Passive0aCondition",PalData_Header,0)) &amp; IF(ISBLANK(INDEX(PalData,MATCH($B43,PalNames,0)+1,MATCH("Passive0aCondition",PalData_Header,0))),," ")&amp;IFERROR(INDEX(SkillData,MATCH(INDEX(PalData,MATCH($B43,PalNames,0)+1,MATCH("Passive0a",PalData_Header,0)),SkillDataCodeName,0)+1,MATCH("Conditions",SkillData_Header,0))))</f>
        <v>#N/A</v>
      </c>
      <c r="V43" s="48" t="str">
        <f aca="false">IFERROR(__xludf.dummyfunction("IFERROR(INDEX(SkillData,MATCH(Arrayformula(ARRAY_CONSTRAIN(FILTER(INDIRECT(""PalData!""&amp;ADDRESS(MATCH(B43,PalNames,0)+1,(MATCH(""Passive0a"",PalData_Header,0)))&amp;"":""&amp;ADDRESS(MATCH(B43,PalNames,0)+1,(MATCH(""Passive0a"",PalData_Header,0))+4)),LEN(INDIRECT"&amp;"(""PalData!""&amp;ADDRESS(MATCH(B43,PalNames,0)+1,(MATCH(""Passive0a"",PalData_Header,0)))&amp;"":""&amp;ADDRESS(MATCH(B43,PalNames,0)+1,(MATCH(""Passive0a"",PalData_Header,0))+4)))&gt;0),1,1)),SkillDataCodeName,0)+1,MATCH(""ValueType1"",SkillData_Header,0)))"),"")</f>
        <v/>
      </c>
      <c r="W43" s="48" t="n">
        <f aca="false">IFERROR(INDEX(SkillData,MATCH(INDEX(PalData,MATCH($B43,PalNames,0)+1,MATCH("Passive0a",PalData_Header,0)),SkillDataCodeName,0)+1,MATCH("EffectValue1",SkillData_Header,0)),)</f>
        <v>0</v>
      </c>
      <c r="X43" s="48" t="n">
        <f aca="false">IFERROR(INDEX(SkillData,MATCH(INDEX(PalData,MATCH($B43,PalNames,0)+1,MATCH("Passive1a",PalData_Header,0)),SkillDataCodeName,0)+1,MATCH("EffectValue1",SkillData_Header,0)),)</f>
        <v>0</v>
      </c>
      <c r="Y43" s="48" t="n">
        <f aca="false">IFERROR(INDEX(SkillData,MATCH(INDEX(PalData,MATCH($B43,PalNames,0)+1,MATCH("Passive2a",PalData_Header,0)),SkillDataCodeName,0)+1,MATCH("EffectValue1",SkillData_Header,0)),)</f>
        <v>0</v>
      </c>
      <c r="Z43" s="48" t="n">
        <f aca="false">IFERROR(INDEX(SkillData,MATCH(INDEX(PalData,MATCH($B43,PalNames,0)+1,MATCH("Passive3a",PalData_Header,0)),SkillDataCodeName,0)+1,MATCH("EffectValue1",SkillData_Header,0)),)</f>
        <v>0</v>
      </c>
      <c r="AA43" s="263" t="n">
        <f aca="false">IFERROR(INDEX(SkillData,MATCH(INDEX(PalData,MATCH($B43,PalNames,0)+1,MATCH("Passive4a",PalData_Header,0)),SkillDataCodeName,0)+1,MATCH("EffectValue1",SkillData_Header,0)),)</f>
        <v>0</v>
      </c>
      <c r="AB43" s="48" t="str">
        <f aca="false">IFERROR(__xludf.dummyfunction("IFERROR(INDEX(SkillData,MATCH(Arrayformula(ARRAY_CONSTRAIN(FILTER(INDIRECT(""PalData!""&amp;ADDRESS(MATCH(B43,PalNames,0)+1,(MATCH(""Passive0b"",PalData_Header,0)))&amp;"":""&amp;ADDRESS(MATCH(B43,PalNames,0)+1,(MATCH(""Passive0b"",PalData_Header,0))+4)),LEN(INDIRECT"&amp;"(""PalData!""&amp;ADDRESS(MATCH(B43,PalNames,0)+1,(MATCH(""Passive0b"",PalData_Header,0)))&amp;"":""&amp;ADDRESS(MATCH(B43,PalNames,0)+1,(MATCH(""Passive0b"",PalData_Header,0))+4)))&gt;0),1,1)),SkillDataCodeName,0)+1,MATCH(""EffectTypeCombined"",SkillData_Header,0)))"),"")</f>
        <v/>
      </c>
      <c r="AC43" s="48" t="str">
        <f aca="false">IFERROR(__xludf.dummyfunction("IFERROR(INDEX(SkillData,MATCH(Arrayformula(ARRAY_CONSTRAIN(FILTER(INDIRECT(""PalData!""&amp;ADDRESS(MATCH(B43,PalNames,0)+1,(MATCH(""Passive0b"",PalData_Header,0)))&amp;"":""&amp;ADDRESS(MATCH(B43,PalNames,0)+1,(MATCH(""Passive0b"",PalData_Header,0))+4)),LEN(INDIRECT"&amp;"(""PalData!""&amp;ADDRESS(MATCH(B43,PalNames,0)+1,(MATCH(""Passive0b"",PalData_Header,0)))&amp;"":""&amp;ADDRESS(MATCH(B43,PalNames,0)+1,(MATCH(""Passive0b"",PalData_Header,0))+4)))&gt;0),1,1)),SkillDataCodeName,0)+1,MATCH(""TargetType1"",SkillData_Header,0)))"),"")</f>
        <v/>
      </c>
      <c r="AD43" s="48" t="e">
        <f aca="false" t="array" ref="AD43:AD43">IF(INDEX(PalData,MATCH($B43,PalNames,0)+1,MATCH("Passive0bCondition",PalData_Header,0))=IFERROR(INDEX(SkillData,MATCH(INDEX(PalData,MATCH($B43,PalNames,0)+1,MATCH("Passive0b",PalData_Header,0)),SkillDataCodeName,0)+1,MATCH("Conditions",SkillData_Header,0))),INDEX(PalData,MATCH($B43,PalNames,0)+1,MATCH("Passive0bCondition",PalData_Header,0)),INDEX(PalData,MATCH($B43,PalNames,0)+1,MATCH("Passive0bCondition",PalData_Header,0)) &amp; IF(ISBLANK(INDEX(PalData,MATCH($B43,PalNames,0)+1,MATCH("Passive0bCondition",PalData_Header,0))),," ")&amp;IFERROR(INDEX(SkillData,MATCH(INDEX(PalData,MATCH($B43,PalNames,0)+1,MATCH("Passive0b",PalData_Header,0)),SkillDataCodeName,0)+1,MATCH("Conditions",SkillData_Header,0))))</f>
        <v>#N/A</v>
      </c>
      <c r="AE43" s="48" t="str">
        <f aca="false">IFERROR(__xludf.dummyfunction("IFERROR(INDEX(SkillData,MATCH(Arrayformula(ARRAY_CONSTRAIN(FILTER(INDIRECT(""PalData!""&amp;ADDRESS(MATCH(B43,PalNames,0)+1,(MATCH(""Passive0b"",PalData_Header,0)))&amp;"":""&amp;ADDRESS(MATCH(B43,PalNames,0)+1,(MATCH(""Passive0b"",PalData_Header,0))+4)),LEN(INDIRECT"&amp;"(""PalData!""&amp;ADDRESS(MATCH(B43,PalNames,0)+1,(MATCH(""Passive0b"",PalData_Header,0)))&amp;"":""&amp;ADDRESS(MATCH(B43,PalNames,0)+1,(MATCH(""Passive0b"",PalData_Header,0))+4)))&gt;0),1,1)),SkillDataCodeName,0)+1,MATCH(""ValueType1"",SkillData_Header,0)))"),"")</f>
        <v/>
      </c>
      <c r="AF43" s="48" t="n">
        <f aca="false">IFERROR(INDEX(SkillData,MATCH(INDEX(PalData,MATCH($B43,PalNames,0)+1,MATCH("Passive0b",PalData_Header,0)),SkillDataCodeName,0)+1,MATCH("EffectValue1",SkillData_Header,0)),)</f>
        <v>0</v>
      </c>
      <c r="AG43" s="48" t="n">
        <f aca="false">IFERROR(INDEX(SkillData,MATCH(INDEX(PalData,MATCH($B43,PalNames,0)+1,MATCH("Passive1b",PalData_Header,0)),SkillDataCodeName,0)+1,MATCH("EffectValue1",SkillData_Header,0)),)</f>
        <v>0</v>
      </c>
      <c r="AH43" s="48" t="n">
        <f aca="false">IFERROR(INDEX(SkillData,MATCH(INDEX(PalData,MATCH($B43,PalNames,0)+1,MATCH("Passive2b",PalData_Header,0)),SkillDataCodeName,0)+1,MATCH("EffectValue1",SkillData_Header,0)),)</f>
        <v>0</v>
      </c>
      <c r="AI43" s="48" t="n">
        <f aca="false">IFERROR(INDEX(SkillData,MATCH(INDEX(PalData,MATCH($B43,PalNames,0)+1,MATCH("Passive3b",PalData_Header,0)),SkillDataCodeName,0)+1,MATCH("EffectValue1",SkillData_Header,0)),)</f>
        <v>0</v>
      </c>
      <c r="AJ43" s="263" t="n">
        <f aca="false">IFERROR(INDEX(SkillData,MATCH(INDEX(PalData,MATCH($B43,PalNames,0)+1,MATCH("Passive4b",PalData_Header,0)),SkillDataCodeName,0)+1,MATCH("EffectValue1",SkillData_Header,0)),)</f>
        <v>0</v>
      </c>
      <c r="AK43" s="305" t="s">
        <v>307</v>
      </c>
    </row>
    <row r="44" customFormat="false" ht="15.75" hidden="false" customHeight="false" outlineLevel="0" collapsed="false">
      <c r="A44" s="299" t="n">
        <v>35</v>
      </c>
      <c r="B44" s="300" t="s">
        <v>31</v>
      </c>
      <c r="C44" s="45" t="n">
        <f aca="false">IF(ISBLANK(INDEX(PalData,MATCH($B44,PalNames,0)+1,MATCH("ActiveSkill",PalData_Header,0))),INDEX(PalData,MATCH($B44,PalNames,0)+1,MATCH("SkillUnlock_",PalData_Header,0)),INDEX(PalData,MATCH($B44,PalNames,0)+1,MATCH("ActiveSkill",PalData_Header,0)))</f>
        <v>0</v>
      </c>
      <c r="D44" s="45"/>
      <c r="E44" s="45" t="n">
        <f aca="false">INDEX(PalData,MATCH($B44,PalNames,0)+1,MATCH("ActiveSkillBonus0",PalData_Header,0))</f>
        <v>0</v>
      </c>
      <c r="F44" s="45" t="n">
        <f aca="false">INDEX(PalData,MATCH($B44,PalNames,0)+1,MATCH("ActiveSkillBonus1",PalData_Header,0))</f>
        <v>0</v>
      </c>
      <c r="G44" s="45" t="n">
        <f aca="false">INDEX(PalData,MATCH($B44,PalNames,0)+1,MATCH("ActiveSkillBonus2",PalData_Header,0))</f>
        <v>0</v>
      </c>
      <c r="H44" s="45" t="n">
        <f aca="false">INDEX(PalData,MATCH($B44,PalNames,0)+1,MATCH("ActiveSkillBonus3",PalData_Header,0))</f>
        <v>0</v>
      </c>
      <c r="I44" s="260" t="n">
        <f aca="false">INDEX(PalData,MATCH($B44,PalNames,0)+1,MATCH("ActiveSkillBonus4",PalData_Header,0))</f>
        <v>0</v>
      </c>
      <c r="J44" s="45" t="str">
        <f aca="false">IFERROR(__xludf.dummyfunction("IFERROR(INDEX(SkillData,MATCH(Arrayformula(ARRAY_CONSTRAIN(FILTER(INDIRECT(""PalData!""&amp;ADDRESS(MATCH(B44,PalNames,0)+1,(MATCH(""Passive0c"",PalData_Header,0)))&amp;"":""&amp;ADDRESS(MATCH(B44,PalNames,0)+1,(MATCH(""Passive0c"",PalData_Header,0))+4)),LEN(INDIRECT"&amp;"(""PalData!""&amp;ADDRESS(MATCH(B44,PalNames,0)+1,(MATCH(""Passive0c"",PalData_Header,0)))&amp;"":""&amp;ADDRESS(MATCH(B44,PalNames,0)+1,(MATCH(""Passive0c"",PalData_Header,0))+4)))&gt;0),1,1)),SkillDataCodeName,0)+1,MATCH(""EffectTypeCombined"",SkillData_Header,0)))"),"FindBerry")</f>
        <v>FindBerry</v>
      </c>
      <c r="K44" s="45" t="str">
        <f aca="false">IFERROR(__xludf.dummyfunction("IFERROR(INDEX(SkillData,MATCH(Arrayformula(ARRAY_CONSTRAIN(FILTER(INDIRECT(""PalData!""&amp;ADDRESS(MATCH(B44,PalNames,0)+1,(MATCH(""Passive0c"",PalData_Header,0)))&amp;"":""&amp;ADDRESS(MATCH(B44,PalNames,0)+1,(MATCH(""Passive0c"",PalData_Header,0))+4)),LEN(INDIRECT"&amp;"(""PalData!""&amp;ADDRESS(MATCH(B44,PalNames,0)+1,(MATCH(""Passive0c"",PalData_Header,0)))&amp;"":""&amp;ADDRESS(MATCH(B44,PalNames,0)+1,(MATCH(""Passive0c"",PalData_Header,0))+4)))&gt;0),1,1)),SkillDataCodeName,0)+1,MATCH(""TargetType1"",SkillData_Header,0)))"),"")</f>
        <v/>
      </c>
      <c r="L44" s="45" t="e">
        <f aca="false" t="array" ref="L44:L44">IF(INDEX(PalData,MATCH($B44,PalNames,0)+1,MATCH("Passive0cCondition",PalData_Header,0))=IFERROR(INDEX(SkillData,MATCH(INDEX(PalData,MATCH($B44,PalNames,0)+1,MATCH("Passive0c",PalData_Header,0)),SkillDataCodeName,0)+1,MATCH("Conditions",SkillData_Header,0))),INDEX(PalData,MATCH($B44,PalNames,0)+1,MATCH("Passive0cCondition",PalData_Header,0)),INDEX(PalData,MATCH($B44,PalNames,0)+1,MATCH("Passive0cCondition",PalData_Header,0)) &amp; IF(ISBLANK(INDEX(PalData,MATCH($B44,PalNames,0)+1,MATCH("Passive0cCondition",PalData_Header,0))),," ")&amp;IFERROR(INDEX(SkillData,MATCH(INDEX(PalData,MATCH($B44,PalNames,0)+1,MATCH("Passive0c",PalData_Header,0)),SkillDataCodeName,0)+1,MATCH("Conditions",SkillData_Header,0))))</f>
        <v>#VALUE!</v>
      </c>
      <c r="M44" s="45" t="str">
        <f aca="false">IFERROR(__xludf.dummyfunction("IFERROR(INDEX(SkillData,MATCH(Arrayformula(ARRAY_CONSTRAIN(FILTER(INDIRECT(""PalData!""&amp;ADDRESS(MATCH(B44,PalNames,0)+1,(MATCH(""Passive0c"",PalData_Header,0)))&amp;"":""&amp;ADDRESS(MATCH(B44,PalNames,0)+1,(MATCH(""Passive0c"",PalData_Header,0))+4)),LEN(INDIRECT"&amp;"(""PalData!""&amp;ADDRESS(MATCH(B44,PalNames,0)+1,(MATCH(""Passive0c"",PalData_Header,0)))&amp;"":""&amp;ADDRESS(MATCH(B44,PalNames,0)+1,(MATCH(""Passive0c"",PalData_Header,0))+4)))&gt;0),1,1)),SkillDataCodeName,0)+1,MATCH(""ValueType1"",SkillData_Header,0)))"),"(min,max)")</f>
        <v>(min,max)</v>
      </c>
      <c r="N44" s="45" t="e">
        <f aca="false" t="array" ref="N44:N44">IFERROR(INDEX(SkillData,MATCH(INDEX(PalData,MATCH($B44,PalNames,0)+1,MATCH("Passive0c",PalData_Header,0)),SkillDataCodeName,0)+1,MATCH("EffectValue1",SkillData_Header,0)))</f>
        <v>#VALUE!</v>
      </c>
      <c r="O44" s="45" t="e">
        <f aca="false" t="array" ref="O44:O44">IFERROR(INDEX(SkillData,MATCH(INDEX(PalData,MATCH($B44,PalNames,0)+1,MATCH("Passive1c",PalData_Header,0)),SkillDataCodeName,0)+1,MATCH("EffectValue1",SkillData_Header,0)))</f>
        <v>#VALUE!</v>
      </c>
      <c r="P44" s="45" t="e">
        <f aca="false" t="array" ref="P44:P44">IFERROR(INDEX(SkillData,MATCH(INDEX(PalData,MATCH($B44,PalNames,0)+1,MATCH("Passive2c",PalData_Header,0)),SkillDataCodeName,0)+1,MATCH("EffectValue1",SkillData_Header,0)))</f>
        <v>#VALUE!</v>
      </c>
      <c r="Q44" s="45" t="e">
        <f aca="false" t="array" ref="Q44:Q44">IFERROR(INDEX(SkillData,MATCH(INDEX(PalData,MATCH($B44,PalNames,0)+1,MATCH("Passive3c",PalData_Header,0)),SkillDataCodeName,0)+1,MATCH("EffectValue1",SkillData_Header,0)))</f>
        <v>#VALUE!</v>
      </c>
      <c r="R44" s="260" t="e">
        <f aca="false" t="array" ref="R44:R44">IFERROR(INDEX(SkillData,MATCH(INDEX(PalData,MATCH($B44,PalNames,0)+1,MATCH("Passive4c",PalData_Header,0)),SkillDataCodeName,0)+1,MATCH("EffectValue1",SkillData_Header,0)))</f>
        <v>#VALUE!</v>
      </c>
      <c r="S44" s="45" t="str">
        <f aca="false">IFERROR(__xludf.dummyfunction("IFERROR(INDEX(SkillData,MATCH(Arrayformula(ARRAY_CONSTRAIN(FILTER(INDIRECT(""PalData!""&amp;ADDRESS(MATCH(B44,PalNames,0)+1,(MATCH(""Passive0a"",PalData_Header,0)))&amp;"":""&amp;ADDRESS(MATCH(B44,PalNames,0)+1,(MATCH(""Passive0a"",PalData_Header,0))+4)),LEN(INDIRECT"&amp;"(""PalData!""&amp;ADDRESS(MATCH(B44,PalNames,0)+1,(MATCH(""Passive0a"",PalData_Header,0)))&amp;"":""&amp;ADDRESS(MATCH(B44,PalNames,0)+1,(MATCH(""Passive0a"",PalData_Header,0))+4)))&gt;0),1,1)),SkillDataCodeName,0)+1,MATCH(""EffectTypeCombined"",SkillData_Header,0)))"),"")</f>
        <v/>
      </c>
      <c r="T44" s="45" t="str">
        <f aca="false">IFERROR(__xludf.dummyfunction("IFERROR(INDEX(SkillData,MATCH(Arrayformula(ARRAY_CONSTRAIN(FILTER(INDIRECT(""PalData!""&amp;ADDRESS(MATCH(B44,PalNames,0)+1,(MATCH(""Passive0a"",PalData_Header,0)))&amp;"":""&amp;ADDRESS(MATCH(B44,PalNames,0)+1,(MATCH(""Passive0a"",PalData_Header,0))+4)),LEN(INDIRECT"&amp;"(""PalData!""&amp;ADDRESS(MATCH(B44,PalNames,0)+1,(MATCH(""Passive0a"",PalData_Header,0)))&amp;"":""&amp;ADDRESS(MATCH(B44,PalNames,0)+1,(MATCH(""Passive0a"",PalData_Header,0))+4)))&gt;0),1,1)),SkillDataCodeName,0)+1,MATCH(""TargetType1"",SkillData_Header,0)))"),"")</f>
        <v/>
      </c>
      <c r="U44" s="45" t="e">
        <f aca="false" t="array" ref="U44:U44">IF(INDEX(PalData,MATCH($B44,PalNames,0)+1,MATCH("Passive0aCondition",PalData_Header,0))=IFERROR(INDEX(SkillData,MATCH(INDEX(PalData,MATCH($B44,PalNames,0)+1,MATCH("Passive0a",PalData_Header,0)),SkillDataCodeName,0)+1,MATCH("Conditions",SkillData_Header,0))),INDEX(PalData,MATCH($B44,PalNames,0)+1,MATCH("Passive0aCondition",PalData_Header,0)),INDEX(PalData,MATCH($B44,PalNames,0)+1,MATCH("Passive0aCondition",PalData_Header,0)) &amp; IF(ISBLANK(INDEX(PalData,MATCH($B44,PalNames,0)+1,MATCH("Passive0aCondition",PalData_Header,0))),," ")&amp;IFERROR(INDEX(SkillData,MATCH(INDEX(PalData,MATCH($B44,PalNames,0)+1,MATCH("Passive0a",PalData_Header,0)),SkillDataCodeName,0)+1,MATCH("Conditions",SkillData_Header,0))))</f>
        <v>#N/A</v>
      </c>
      <c r="V44" s="45" t="str">
        <f aca="false">IFERROR(__xludf.dummyfunction("IFERROR(INDEX(SkillData,MATCH(Arrayformula(ARRAY_CONSTRAIN(FILTER(INDIRECT(""PalData!""&amp;ADDRESS(MATCH(B44,PalNames,0)+1,(MATCH(""Passive0a"",PalData_Header,0)))&amp;"":""&amp;ADDRESS(MATCH(B44,PalNames,0)+1,(MATCH(""Passive0a"",PalData_Header,0))+4)),LEN(INDIRECT"&amp;"(""PalData!""&amp;ADDRESS(MATCH(B44,PalNames,0)+1,(MATCH(""Passive0a"",PalData_Header,0)))&amp;"":""&amp;ADDRESS(MATCH(B44,PalNames,0)+1,(MATCH(""Passive0a"",PalData_Header,0))+4)))&gt;0),1,1)),SkillDataCodeName,0)+1,MATCH(""ValueType1"",SkillData_Header,0)))"),"")</f>
        <v/>
      </c>
      <c r="W44" s="45" t="n">
        <f aca="false">IFERROR(INDEX(SkillData,MATCH(INDEX(PalData,MATCH($B44,PalNames,0)+1,MATCH("Passive0a",PalData_Header,0)),SkillDataCodeName,0)+1,MATCH("EffectValue1",SkillData_Header,0)),)</f>
        <v>0</v>
      </c>
      <c r="X44" s="45" t="n">
        <f aca="false">IFERROR(INDEX(SkillData,MATCH(INDEX(PalData,MATCH($B44,PalNames,0)+1,MATCH("Passive1a",PalData_Header,0)),SkillDataCodeName,0)+1,MATCH("EffectValue1",SkillData_Header,0)),)</f>
        <v>0</v>
      </c>
      <c r="Y44" s="45" t="n">
        <f aca="false">IFERROR(INDEX(SkillData,MATCH(INDEX(PalData,MATCH($B44,PalNames,0)+1,MATCH("Passive2a",PalData_Header,0)),SkillDataCodeName,0)+1,MATCH("EffectValue1",SkillData_Header,0)),)</f>
        <v>0</v>
      </c>
      <c r="Z44" s="45" t="n">
        <f aca="false">IFERROR(INDEX(SkillData,MATCH(INDEX(PalData,MATCH($B44,PalNames,0)+1,MATCH("Passive3a",PalData_Header,0)),SkillDataCodeName,0)+1,MATCH("EffectValue1",SkillData_Header,0)),)</f>
        <v>0</v>
      </c>
      <c r="AA44" s="260" t="n">
        <f aca="false">IFERROR(INDEX(SkillData,MATCH(INDEX(PalData,MATCH($B44,PalNames,0)+1,MATCH("Passive4a",PalData_Header,0)),SkillDataCodeName,0)+1,MATCH("EffectValue1",SkillData_Header,0)),)</f>
        <v>0</v>
      </c>
      <c r="AB44" s="45" t="str">
        <f aca="false">IFERROR(__xludf.dummyfunction("IFERROR(INDEX(SkillData,MATCH(Arrayformula(ARRAY_CONSTRAIN(FILTER(INDIRECT(""PalData!""&amp;ADDRESS(MATCH(B44,PalNames,0)+1,(MATCH(""Passive0b"",PalData_Header,0)))&amp;"":""&amp;ADDRESS(MATCH(B44,PalNames,0)+1,(MATCH(""Passive0b"",PalData_Header,0))+4)),LEN(INDIRECT"&amp;"(""PalData!""&amp;ADDRESS(MATCH(B44,PalNames,0)+1,(MATCH(""Passive0b"",PalData_Header,0)))&amp;"":""&amp;ADDRESS(MATCH(B44,PalNames,0)+1,(MATCH(""Passive0b"",PalData_Header,0))+4)))&gt;0),1,1)),SkillDataCodeName,0)+1,MATCH(""EffectTypeCombined"",SkillData_Header,0)))"),"")</f>
        <v/>
      </c>
      <c r="AC44" s="45" t="str">
        <f aca="false">IFERROR(__xludf.dummyfunction("IFERROR(INDEX(SkillData,MATCH(Arrayformula(ARRAY_CONSTRAIN(FILTER(INDIRECT(""PalData!""&amp;ADDRESS(MATCH(B44,PalNames,0)+1,(MATCH(""Passive0b"",PalData_Header,0)))&amp;"":""&amp;ADDRESS(MATCH(B44,PalNames,0)+1,(MATCH(""Passive0b"",PalData_Header,0))+4)),LEN(INDIRECT"&amp;"(""PalData!""&amp;ADDRESS(MATCH(B44,PalNames,0)+1,(MATCH(""Passive0b"",PalData_Header,0)))&amp;"":""&amp;ADDRESS(MATCH(B44,PalNames,0)+1,(MATCH(""Passive0b"",PalData_Header,0))+4)))&gt;0),1,1)),SkillDataCodeName,0)+1,MATCH(""TargetType1"",SkillData_Header,0)))"),"")</f>
        <v/>
      </c>
      <c r="AD44" s="45" t="e">
        <f aca="false" t="array" ref="AD44:AD44">IF(INDEX(PalData,MATCH($B44,PalNames,0)+1,MATCH("Passive0bCondition",PalData_Header,0))=IFERROR(INDEX(SkillData,MATCH(INDEX(PalData,MATCH($B44,PalNames,0)+1,MATCH("Passive0b",PalData_Header,0)),SkillDataCodeName,0)+1,MATCH("Conditions",SkillData_Header,0))),INDEX(PalData,MATCH($B44,PalNames,0)+1,MATCH("Passive0bCondition",PalData_Header,0)),INDEX(PalData,MATCH($B44,PalNames,0)+1,MATCH("Passive0bCondition",PalData_Header,0)) &amp; IF(ISBLANK(INDEX(PalData,MATCH($B44,PalNames,0)+1,MATCH("Passive0bCondition",PalData_Header,0))),," ")&amp;IFERROR(INDEX(SkillData,MATCH(INDEX(PalData,MATCH($B44,PalNames,0)+1,MATCH("Passive0b",PalData_Header,0)),SkillDataCodeName,0)+1,MATCH("Conditions",SkillData_Header,0))))</f>
        <v>#N/A</v>
      </c>
      <c r="AE44" s="45" t="str">
        <f aca="false">IFERROR(__xludf.dummyfunction("IFERROR(INDEX(SkillData,MATCH(Arrayformula(ARRAY_CONSTRAIN(FILTER(INDIRECT(""PalData!""&amp;ADDRESS(MATCH(B44,PalNames,0)+1,(MATCH(""Passive0b"",PalData_Header,0)))&amp;"":""&amp;ADDRESS(MATCH(B44,PalNames,0)+1,(MATCH(""Passive0b"",PalData_Header,0))+4)),LEN(INDIRECT"&amp;"(""PalData!""&amp;ADDRESS(MATCH(B44,PalNames,0)+1,(MATCH(""Passive0b"",PalData_Header,0)))&amp;"":""&amp;ADDRESS(MATCH(B44,PalNames,0)+1,(MATCH(""Passive0b"",PalData_Header,0))+4)))&gt;0),1,1)),SkillDataCodeName,0)+1,MATCH(""ValueType1"",SkillData_Header,0)))"),"")</f>
        <v/>
      </c>
      <c r="AF44" s="45" t="n">
        <f aca="false">IFERROR(INDEX(SkillData,MATCH(INDEX(PalData,MATCH($B44,PalNames,0)+1,MATCH("Passive0b",PalData_Header,0)),SkillDataCodeName,0)+1,MATCH("EffectValue1",SkillData_Header,0)),)</f>
        <v>0</v>
      </c>
      <c r="AG44" s="45" t="n">
        <f aca="false">IFERROR(INDEX(SkillData,MATCH(INDEX(PalData,MATCH($B44,PalNames,0)+1,MATCH("Passive1b",PalData_Header,0)),SkillDataCodeName,0)+1,MATCH("EffectValue1",SkillData_Header,0)),)</f>
        <v>0</v>
      </c>
      <c r="AH44" s="45" t="n">
        <f aca="false">IFERROR(INDEX(SkillData,MATCH(INDEX(PalData,MATCH($B44,PalNames,0)+1,MATCH("Passive2b",PalData_Header,0)),SkillDataCodeName,0)+1,MATCH("EffectValue1",SkillData_Header,0)),)</f>
        <v>0</v>
      </c>
      <c r="AI44" s="45" t="n">
        <f aca="false">IFERROR(INDEX(SkillData,MATCH(INDEX(PalData,MATCH($B44,PalNames,0)+1,MATCH("Passive3b",PalData_Header,0)),SkillDataCodeName,0)+1,MATCH("EffectValue1",SkillData_Header,0)),)</f>
        <v>0</v>
      </c>
      <c r="AJ44" s="260" t="n">
        <f aca="false">IFERROR(INDEX(SkillData,MATCH(INDEX(PalData,MATCH($B44,PalNames,0)+1,MATCH("Passive4b",PalData_Header,0)),SkillDataCodeName,0)+1,MATCH("EffectValue1",SkillData_Header,0)),)</f>
        <v>0</v>
      </c>
      <c r="AK44" s="301" t="s">
        <v>308</v>
      </c>
    </row>
    <row r="45" customFormat="false" ht="15.75" hidden="false" customHeight="false" outlineLevel="0" collapsed="false">
      <c r="A45" s="302" t="n">
        <v>36</v>
      </c>
      <c r="B45" s="303" t="s">
        <v>104</v>
      </c>
      <c r="C45" s="48" t="str">
        <f aca="false" t="array" ref="C45:C45">IF(ISBLANK(INDEX(PalData,MATCH($B45,PalNames,0)+1,MATCH("ActiveSkill",PalData_Header,0))),INDEX(PalData,MATCH($B45,PalNames,0)+1,MATCH("SkillUnlock_",PalData_Header,0)),INDEX(PalData,MATCH($B45,PalNames,0)+1,MATCH("ActiveSkill",PalData_Header,0)))</f>
        <v>Saddle</v>
      </c>
      <c r="D45" s="48"/>
      <c r="E45" s="48" t="n">
        <f aca="false">INDEX(PalData,MATCH($B45,PalNames,0)+1,MATCH("ActiveSkillBonus0",PalData_Header,0))</f>
        <v>0</v>
      </c>
      <c r="F45" s="48" t="n">
        <f aca="false">INDEX(PalData,MATCH($B45,PalNames,0)+1,MATCH("ActiveSkillBonus1",PalData_Header,0))</f>
        <v>0</v>
      </c>
      <c r="G45" s="48" t="n">
        <f aca="false">INDEX(PalData,MATCH($B45,PalNames,0)+1,MATCH("ActiveSkillBonus2",PalData_Header,0))</f>
        <v>0</v>
      </c>
      <c r="H45" s="48" t="n">
        <f aca="false">INDEX(PalData,MATCH($B45,PalNames,0)+1,MATCH("ActiveSkillBonus3",PalData_Header,0))</f>
        <v>0</v>
      </c>
      <c r="I45" s="263" t="n">
        <f aca="false">INDEX(PalData,MATCH($B45,PalNames,0)+1,MATCH("ActiveSkillBonus4",PalData_Header,0))</f>
        <v>0</v>
      </c>
      <c r="J45" s="48" t="str">
        <f aca="false">IFERROR(__xludf.dummyfunction("IFERROR(INDEX(SkillData,MATCH(Arrayformula(ARRAY_CONSTRAIN(FILTER(INDIRECT(""PalData!""&amp;ADDRESS(MATCH(B45,PalNames,0)+1,(MATCH(""Passive0c"",PalData_Header,0)))&amp;"":""&amp;ADDRESS(MATCH(B45,PalNames,0)+1,(MATCH(""Passive0c"",PalData_Header,0))+4)),LEN(INDIRECT"&amp;"(""PalData!""&amp;ADDRESS(MATCH(B45,PalNames,0)+1,(MATCH(""Passive0c"",PalData_Header,0)))&amp;"":""&amp;ADDRESS(MATCH(B45,PalNames,0)+1,(MATCH(""Passive0c"",PalData_Header,0))+4)))&gt;0),1,1)),SkillDataCodeName,0)+1,MATCH(""EffectTypeCombined"",SkillData_Header,0)))"),"FindWool")</f>
        <v>FindWool</v>
      </c>
      <c r="K45" s="48" t="str">
        <f aca="false">IFERROR(__xludf.dummyfunction("IFERROR(INDEX(SkillData,MATCH(Arrayformula(ARRAY_CONSTRAIN(FILTER(INDIRECT(""PalData!""&amp;ADDRESS(MATCH(B45,PalNames,0)+1,(MATCH(""Passive0c"",PalData_Header,0)))&amp;"":""&amp;ADDRESS(MATCH(B45,PalNames,0)+1,(MATCH(""Passive0c"",PalData_Header,0))+4)),LEN(INDIRECT"&amp;"(""PalData!""&amp;ADDRESS(MATCH(B45,PalNames,0)+1,(MATCH(""Passive0c"",PalData_Header,0)))&amp;"":""&amp;ADDRESS(MATCH(B45,PalNames,0)+1,(MATCH(""Passive0c"",PalData_Header,0))+4)))&gt;0),1,1)),SkillDataCodeName,0)+1,MATCH(""TargetType1"",SkillData_Header,0)))"),"")</f>
        <v/>
      </c>
      <c r="L45" s="48" t="e">
        <f aca="false" t="array" ref="L45:L45">IF(INDEX(PalData,MATCH($B45,PalNames,0)+1,MATCH("Passive0cCondition",PalData_Header,0))=IFERROR(INDEX(SkillData,MATCH(INDEX(PalData,MATCH($B45,PalNames,0)+1,MATCH("Passive0c",PalData_Header,0)),SkillDataCodeName,0)+1,MATCH("Conditions",SkillData_Header,0))),INDEX(PalData,MATCH($B45,PalNames,0)+1,MATCH("Passive0cCondition",PalData_Header,0)),INDEX(PalData,MATCH($B45,PalNames,0)+1,MATCH("Passive0cCondition",PalData_Header,0)) &amp; IF(ISBLANK(INDEX(PalData,MATCH($B45,PalNames,0)+1,MATCH("Passive0cCondition",PalData_Header,0))),," ")&amp;IFERROR(INDEX(SkillData,MATCH(INDEX(PalData,MATCH($B45,PalNames,0)+1,MATCH("Passive0c",PalData_Header,0)),SkillDataCodeName,0)+1,MATCH("Conditions",SkillData_Header,0))))</f>
        <v>#VALUE!</v>
      </c>
      <c r="M45" s="48" t="str">
        <f aca="false">IFERROR(__xludf.dummyfunction("IFERROR(INDEX(SkillData,MATCH(Arrayformula(ARRAY_CONSTRAIN(FILTER(INDIRECT(""PalData!""&amp;ADDRESS(MATCH(B45,PalNames,0)+1,(MATCH(""Passive0c"",PalData_Header,0)))&amp;"":""&amp;ADDRESS(MATCH(B45,PalNames,0)+1,(MATCH(""Passive0c"",PalData_Header,0))+4)),LEN(INDIRECT"&amp;"(""PalData!""&amp;ADDRESS(MATCH(B45,PalNames,0)+1,(MATCH(""Passive0c"",PalData_Header,0)))&amp;"":""&amp;ADDRESS(MATCH(B45,PalNames,0)+1,(MATCH(""Passive0c"",PalData_Header,0))+4)))&gt;0),1,1)),SkillDataCodeName,0)+1,MATCH(""ValueType1"",SkillData_Header,0)))"),"(min,max)")</f>
        <v>(min,max)</v>
      </c>
      <c r="N45" s="48" t="e">
        <f aca="false" t="array" ref="N45:N45">IFERROR(INDEX(SkillData,MATCH(INDEX(PalData,MATCH($B45,PalNames,0)+1,MATCH("Passive0c",PalData_Header,0)),SkillDataCodeName,0)+1,MATCH("EffectValue1",SkillData_Header,0)))</f>
        <v>#VALUE!</v>
      </c>
      <c r="O45" s="48" t="e">
        <f aca="false" t="array" ref="O45:O45">IFERROR(INDEX(SkillData,MATCH(INDEX(PalData,MATCH($B45,PalNames,0)+1,MATCH("Passive1c",PalData_Header,0)),SkillDataCodeName,0)+1,MATCH("EffectValue1",SkillData_Header,0)))</f>
        <v>#VALUE!</v>
      </c>
      <c r="P45" s="48" t="e">
        <f aca="false" t="array" ref="P45:P45">IFERROR(INDEX(SkillData,MATCH(INDEX(PalData,MATCH($B45,PalNames,0)+1,MATCH("Passive2c",PalData_Header,0)),SkillDataCodeName,0)+1,MATCH("EffectValue1",SkillData_Header,0)))</f>
        <v>#VALUE!</v>
      </c>
      <c r="Q45" s="48" t="e">
        <f aca="false" t="array" ref="Q45:Q45">IFERROR(INDEX(SkillData,MATCH(INDEX(PalData,MATCH($B45,PalNames,0)+1,MATCH("Passive3c",PalData_Header,0)),SkillDataCodeName,0)+1,MATCH("EffectValue1",SkillData_Header,0)))</f>
        <v>#VALUE!</v>
      </c>
      <c r="R45" s="263" t="e">
        <f aca="false" t="array" ref="R45:R45">IFERROR(INDEX(SkillData,MATCH(INDEX(PalData,MATCH($B45,PalNames,0)+1,MATCH("Passive4c",PalData_Header,0)),SkillDataCodeName,0)+1,MATCH("EffectValue1",SkillData_Header,0)))</f>
        <v>#VALUE!</v>
      </c>
      <c r="S45" s="48" t="str">
        <f aca="false">IFERROR(__xludf.dummyfunction("IFERROR(INDEX(SkillData,MATCH(Arrayformula(ARRAY_CONSTRAIN(FILTER(INDIRECT(""PalData!""&amp;ADDRESS(MATCH(B45,PalNames,0)+1,(MATCH(""Passive0a"",PalData_Header,0)))&amp;"":""&amp;ADDRESS(MATCH(B45,PalNames,0)+1,(MATCH(""Passive0a"",PalData_Header,0))+4)),LEN(INDIRECT"&amp;"(""PalData!""&amp;ADDRESS(MATCH(B45,PalNames,0)+1,(MATCH(""Passive0a"",PalData_Header,0)))&amp;"":""&amp;ADDRESS(MATCH(B45,PalNames,0)+1,(MATCH(""Passive0a"",PalData_Header,0))+4)))&gt;0),1,1)),SkillDataCodeName,0)+1,MATCH(""EffectTypeCombined"",SkillData_Header,0)))"),"")</f>
        <v/>
      </c>
      <c r="T45" s="48" t="str">
        <f aca="false">IFERROR(__xludf.dummyfunction("IFERROR(INDEX(SkillData,MATCH(Arrayformula(ARRAY_CONSTRAIN(FILTER(INDIRECT(""PalData!""&amp;ADDRESS(MATCH(B45,PalNames,0)+1,(MATCH(""Passive0a"",PalData_Header,0)))&amp;"":""&amp;ADDRESS(MATCH(B45,PalNames,0)+1,(MATCH(""Passive0a"",PalData_Header,0))+4)),LEN(INDIRECT"&amp;"(""PalData!""&amp;ADDRESS(MATCH(B45,PalNames,0)+1,(MATCH(""Passive0a"",PalData_Header,0)))&amp;"":""&amp;ADDRESS(MATCH(B45,PalNames,0)+1,(MATCH(""Passive0a"",PalData_Header,0))+4)))&gt;0),1,1)),SkillDataCodeName,0)+1,MATCH(""TargetType1"",SkillData_Header,0)))"),"")</f>
        <v/>
      </c>
      <c r="U45" s="48" t="e">
        <f aca="false" t="array" ref="U45:U45">IF(INDEX(PalData,MATCH($B45,PalNames,0)+1,MATCH("Passive0aCondition",PalData_Header,0))=IFERROR(INDEX(SkillData,MATCH(INDEX(PalData,MATCH($B45,PalNames,0)+1,MATCH("Passive0a",PalData_Header,0)),SkillDataCodeName,0)+1,MATCH("Conditions",SkillData_Header,0))),INDEX(PalData,MATCH($B45,PalNames,0)+1,MATCH("Passive0aCondition",PalData_Header,0)),INDEX(PalData,MATCH($B45,PalNames,0)+1,MATCH("Passive0aCondition",PalData_Header,0)) &amp; IF(ISBLANK(INDEX(PalData,MATCH($B45,PalNames,0)+1,MATCH("Passive0aCondition",PalData_Header,0))),," ")&amp;IFERROR(INDEX(SkillData,MATCH(INDEX(PalData,MATCH($B45,PalNames,0)+1,MATCH("Passive0a",PalData_Header,0)),SkillDataCodeName,0)+1,MATCH("Conditions",SkillData_Header,0))))</f>
        <v>#N/A</v>
      </c>
      <c r="V45" s="48" t="str">
        <f aca="false">IFERROR(__xludf.dummyfunction("IFERROR(INDEX(SkillData,MATCH(Arrayformula(ARRAY_CONSTRAIN(FILTER(INDIRECT(""PalData!""&amp;ADDRESS(MATCH(B45,PalNames,0)+1,(MATCH(""Passive0a"",PalData_Header,0)))&amp;"":""&amp;ADDRESS(MATCH(B45,PalNames,0)+1,(MATCH(""Passive0a"",PalData_Header,0))+4)),LEN(INDIRECT"&amp;"(""PalData!""&amp;ADDRESS(MATCH(B45,PalNames,0)+1,(MATCH(""Passive0a"",PalData_Header,0)))&amp;"":""&amp;ADDRESS(MATCH(B45,PalNames,0)+1,(MATCH(""Passive0a"",PalData_Header,0))+4)))&gt;0),1,1)),SkillDataCodeName,0)+1,MATCH(""ValueType1"",SkillData_Header,0)))"),"")</f>
        <v/>
      </c>
      <c r="W45" s="48" t="n">
        <f aca="false">IFERROR(INDEX(SkillData,MATCH(INDEX(PalData,MATCH($B45,PalNames,0)+1,MATCH("Passive0a",PalData_Header,0)),SkillDataCodeName,0)+1,MATCH("EffectValue1",SkillData_Header,0)),)</f>
        <v>0</v>
      </c>
      <c r="X45" s="48" t="n">
        <f aca="false">IFERROR(INDEX(SkillData,MATCH(INDEX(PalData,MATCH($B45,PalNames,0)+1,MATCH("Passive1a",PalData_Header,0)),SkillDataCodeName,0)+1,MATCH("EffectValue1",SkillData_Header,0)),)</f>
        <v>0</v>
      </c>
      <c r="Y45" s="48" t="n">
        <f aca="false">IFERROR(INDEX(SkillData,MATCH(INDEX(PalData,MATCH($B45,PalNames,0)+1,MATCH("Passive2a",PalData_Header,0)),SkillDataCodeName,0)+1,MATCH("EffectValue1",SkillData_Header,0)),)</f>
        <v>0</v>
      </c>
      <c r="Z45" s="48" t="n">
        <f aca="false">IFERROR(INDEX(SkillData,MATCH(INDEX(PalData,MATCH($B45,PalNames,0)+1,MATCH("Passive3a",PalData_Header,0)),SkillDataCodeName,0)+1,MATCH("EffectValue1",SkillData_Header,0)),)</f>
        <v>0</v>
      </c>
      <c r="AA45" s="263" t="n">
        <f aca="false">IFERROR(INDEX(SkillData,MATCH(INDEX(PalData,MATCH($B45,PalNames,0)+1,MATCH("Passive4a",PalData_Header,0)),SkillDataCodeName,0)+1,MATCH("EffectValue1",SkillData_Header,0)),)</f>
        <v>0</v>
      </c>
      <c r="AB45" s="48" t="str">
        <f aca="false">IFERROR(__xludf.dummyfunction("IFERROR(INDEX(SkillData,MATCH(Arrayformula(ARRAY_CONSTRAIN(FILTER(INDIRECT(""PalData!""&amp;ADDRESS(MATCH(B45,PalNames,0)+1,(MATCH(""Passive0b"",PalData_Header,0)))&amp;"":""&amp;ADDRESS(MATCH(B45,PalNames,0)+1,(MATCH(""Passive0b"",PalData_Header,0))+4)),LEN(INDIRECT"&amp;"(""PalData!""&amp;ADDRESS(MATCH(B45,PalNames,0)+1,(MATCH(""Passive0b"",PalData_Header,0)))&amp;"":""&amp;ADDRESS(MATCH(B45,PalNames,0)+1,(MATCH(""Passive0b"",PalData_Header,0))+4)))&gt;0),1,1)),SkillDataCodeName,0)+1,MATCH(""EffectTypeCombined"",SkillData_Header,0)))"),"")</f>
        <v/>
      </c>
      <c r="AC45" s="48" t="str">
        <f aca="false">IFERROR(__xludf.dummyfunction("IFERROR(INDEX(SkillData,MATCH(Arrayformula(ARRAY_CONSTRAIN(FILTER(INDIRECT(""PalData!""&amp;ADDRESS(MATCH(B45,PalNames,0)+1,(MATCH(""Passive0b"",PalData_Header,0)))&amp;"":""&amp;ADDRESS(MATCH(B45,PalNames,0)+1,(MATCH(""Passive0b"",PalData_Header,0))+4)),LEN(INDIRECT"&amp;"(""PalData!""&amp;ADDRESS(MATCH(B45,PalNames,0)+1,(MATCH(""Passive0b"",PalData_Header,0)))&amp;"":""&amp;ADDRESS(MATCH(B45,PalNames,0)+1,(MATCH(""Passive0b"",PalData_Header,0))+4)))&gt;0),1,1)),SkillDataCodeName,0)+1,MATCH(""TargetType1"",SkillData_Header,0)))"),"")</f>
        <v/>
      </c>
      <c r="AD45" s="48" t="e">
        <f aca="false" t="array" ref="AD45:AD45">IF(INDEX(PalData,MATCH($B45,PalNames,0)+1,MATCH("Passive0bCondition",PalData_Header,0))=IFERROR(INDEX(SkillData,MATCH(INDEX(PalData,MATCH($B45,PalNames,0)+1,MATCH("Passive0b",PalData_Header,0)),SkillDataCodeName,0)+1,MATCH("Conditions",SkillData_Header,0))),INDEX(PalData,MATCH($B45,PalNames,0)+1,MATCH("Passive0bCondition",PalData_Header,0)),INDEX(PalData,MATCH($B45,PalNames,0)+1,MATCH("Passive0bCondition",PalData_Header,0)) &amp; IF(ISBLANK(INDEX(PalData,MATCH($B45,PalNames,0)+1,MATCH("Passive0bCondition",PalData_Header,0))),," ")&amp;IFERROR(INDEX(SkillData,MATCH(INDEX(PalData,MATCH($B45,PalNames,0)+1,MATCH("Passive0b",PalData_Header,0)),SkillDataCodeName,0)+1,MATCH("Conditions",SkillData_Header,0))))</f>
        <v>#N/A</v>
      </c>
      <c r="AE45" s="48" t="str">
        <f aca="false">IFERROR(__xludf.dummyfunction("IFERROR(INDEX(SkillData,MATCH(Arrayformula(ARRAY_CONSTRAIN(FILTER(INDIRECT(""PalData!""&amp;ADDRESS(MATCH(B45,PalNames,0)+1,(MATCH(""Passive0b"",PalData_Header,0)))&amp;"":""&amp;ADDRESS(MATCH(B45,PalNames,0)+1,(MATCH(""Passive0b"",PalData_Header,0))+4)),LEN(INDIRECT"&amp;"(""PalData!""&amp;ADDRESS(MATCH(B45,PalNames,0)+1,(MATCH(""Passive0b"",PalData_Header,0)))&amp;"":""&amp;ADDRESS(MATCH(B45,PalNames,0)+1,(MATCH(""Passive0b"",PalData_Header,0))+4)))&gt;0),1,1)),SkillDataCodeName,0)+1,MATCH(""ValueType1"",SkillData_Header,0)))"),"")</f>
        <v/>
      </c>
      <c r="AF45" s="48" t="n">
        <f aca="false">IFERROR(INDEX(SkillData,MATCH(INDEX(PalData,MATCH($B45,PalNames,0)+1,MATCH("Passive0b",PalData_Header,0)),SkillDataCodeName,0)+1,MATCH("EffectValue1",SkillData_Header,0)),)</f>
        <v>0</v>
      </c>
      <c r="AG45" s="48" t="n">
        <f aca="false">IFERROR(INDEX(SkillData,MATCH(INDEX(PalData,MATCH($B45,PalNames,0)+1,MATCH("Passive1b",PalData_Header,0)),SkillDataCodeName,0)+1,MATCH("EffectValue1",SkillData_Header,0)),)</f>
        <v>0</v>
      </c>
      <c r="AH45" s="48" t="n">
        <f aca="false">IFERROR(INDEX(SkillData,MATCH(INDEX(PalData,MATCH($B45,PalNames,0)+1,MATCH("Passive2b",PalData_Header,0)),SkillDataCodeName,0)+1,MATCH("EffectValue1",SkillData_Header,0)),)</f>
        <v>0</v>
      </c>
      <c r="AI45" s="48" t="n">
        <f aca="false">IFERROR(INDEX(SkillData,MATCH(INDEX(PalData,MATCH($B45,PalNames,0)+1,MATCH("Passive3b",PalData_Header,0)),SkillDataCodeName,0)+1,MATCH("EffectValue1",SkillData_Header,0)),)</f>
        <v>0</v>
      </c>
      <c r="AJ45" s="263" t="n">
        <f aca="false">IFERROR(INDEX(SkillData,MATCH(INDEX(PalData,MATCH($B45,PalNames,0)+1,MATCH("Passive4b",PalData_Header,0)),SkillDataCodeName,0)+1,MATCH("EffectValue1",SkillData_Header,0)),)</f>
        <v>0</v>
      </c>
      <c r="AK45" s="305" t="s">
        <v>309</v>
      </c>
    </row>
    <row r="46" customFormat="false" ht="15.75" hidden="false" customHeight="false" outlineLevel="0" collapsed="false">
      <c r="A46" s="299" t="n">
        <v>37</v>
      </c>
      <c r="B46" s="300" t="s">
        <v>48</v>
      </c>
      <c r="C46" s="45" t="str">
        <f aca="false" t="array" ref="C46:C46">IF(ISBLANK(INDEX(PalData,MATCH($B46,PalNames,0)+1,MATCH("ActiveSkill",PalData_Header,0))),INDEX(PalData,MATCH($B46,PalNames,0)+1,MATCH("SkillUnlock_",PalData_Header,0)),INDEX(PalData,MATCH($B46,PalNames,0)+1,MATCH("ActiveSkill",PalData_Header,0)))</f>
        <v>Saddle</v>
      </c>
      <c r="D46" s="45"/>
      <c r="E46" s="45" t="n">
        <f aca="false">INDEX(PalData,MATCH($B46,PalNames,0)+1,MATCH("ActiveSkillBonus0",PalData_Header,0))</f>
        <v>0</v>
      </c>
      <c r="F46" s="45" t="n">
        <f aca="false">INDEX(PalData,MATCH($B46,PalNames,0)+1,MATCH("ActiveSkillBonus1",PalData_Header,0))</f>
        <v>0</v>
      </c>
      <c r="G46" s="45" t="n">
        <f aca="false">INDEX(PalData,MATCH($B46,PalNames,0)+1,MATCH("ActiveSkillBonus2",PalData_Header,0))</f>
        <v>0</v>
      </c>
      <c r="H46" s="45" t="n">
        <f aca="false">INDEX(PalData,MATCH($B46,PalNames,0)+1,MATCH("ActiveSkillBonus3",PalData_Header,0))</f>
        <v>0</v>
      </c>
      <c r="I46" s="260" t="n">
        <f aca="false">INDEX(PalData,MATCH($B46,PalNames,0)+1,MATCH("ActiveSkillBonus4",PalData_Header,0))</f>
        <v>0</v>
      </c>
      <c r="J46" s="45" t="str">
        <f aca="false">IFERROR(__xludf.dummyfunction("IFERROR(INDEX(SkillData,MATCH(Arrayformula(ARRAY_CONSTRAIN(FILTER(INDIRECT(""PalData!""&amp;ADDRESS(MATCH(B46,PalNames,0)+1,(MATCH(""Passive0c"",PalData_Header,0)))&amp;"":""&amp;ADDRESS(MATCH(B46,PalNames,0)+1,(MATCH(""Passive0c"",PalData_Header,0))+4)),LEN(INDIRECT"&amp;"(""PalData!""&amp;ADDRESS(MATCH(B46,PalNames,0)+1,(MATCH(""Passive0c"",PalData_Header,0)))&amp;"":""&amp;ADDRESS(MATCH(B46,PalNames,0)+1,(MATCH(""Passive0c"",PalData_Header,0))+4)))&gt;0),1,1)),SkillDataCodeName,0)+1,MATCH(""EffectTypeCombined"",SkillData_Header,0)))"),"Logging")</f>
        <v>Logging</v>
      </c>
      <c r="K46" s="45" t="str">
        <f aca="false">IFERROR(__xludf.dummyfunction("IFERROR(INDEX(SkillData,MATCH(Arrayformula(ARRAY_CONSTRAIN(FILTER(INDIRECT(""PalData!""&amp;ADDRESS(MATCH(B46,PalNames,0)+1,(MATCH(""Passive0c"",PalData_Header,0)))&amp;"":""&amp;ADDRESS(MATCH(B46,PalNames,0)+1,(MATCH(""Passive0c"",PalData_Header,0))+4)),LEN(INDIRECT"&amp;"(""PalData!""&amp;ADDRESS(MATCH(B46,PalNames,0)+1,(MATCH(""Passive0c"",PalData_Header,0)))&amp;"":""&amp;ADDRESS(MATCH(B46,PalNames,0)+1,(MATCH(""Passive0c"",PalData_Header,0))+4)))&gt;0),1,1)),SkillDataCodeName,0)+1,MATCH(""TargetType1"",SkillData_Header,0)))"),"Self")</f>
        <v>Self</v>
      </c>
      <c r="L46" s="45" t="e">
        <f aca="false" t="array" ref="L46:L46">IF(INDEX(PalData,MATCH($B46,PalNames,0)+1,MATCH("Passive0cCondition",PalData_Header,0))=IFERROR(INDEX(SkillData,MATCH(INDEX(PalData,MATCH($B46,PalNames,0)+1,MATCH("Passive0c",PalData_Header,0)),SkillDataCodeName,0)+1,MATCH("Conditions",SkillData_Header,0))),INDEX(PalData,MATCH($B46,PalNames,0)+1,MATCH("Passive0cCondition",PalData_Header,0)),INDEX(PalData,MATCH($B46,PalNames,0)+1,MATCH("Passive0cCondition",PalData_Header,0)) &amp; IF(ISBLANK(INDEX(PalData,MATCH($B46,PalNames,0)+1,MATCH("Passive0cCondition",PalData_Header,0))),," ")&amp;IFERROR(INDEX(SkillData,MATCH(INDEX(PalData,MATCH($B46,PalNames,0)+1,MATCH("Passive0c",PalData_Header,0)),SkillDataCodeName,0)+1,MATCH("Conditions",SkillData_Header,0))))</f>
        <v>#VALUE!</v>
      </c>
      <c r="M46" s="45" t="str">
        <f aca="false">IFERROR(__xludf.dummyfunction("IFERROR(INDEX(SkillData,MATCH(Arrayformula(ARRAY_CONSTRAIN(FILTER(INDIRECT(""PalData!""&amp;ADDRESS(MATCH(B46,PalNames,0)+1,(MATCH(""Passive0c"",PalData_Header,0)))&amp;"":""&amp;ADDRESS(MATCH(B46,PalNames,0)+1,(MATCH(""Passive0c"",PalData_Header,0))+4)),LEN(INDIRECT"&amp;"(""PalData!""&amp;ADDRESS(MATCH(B46,PalNames,0)+1,(MATCH(""Passive0c"",PalData_Header,0)))&amp;"":""&amp;ADDRESS(MATCH(B46,PalNames,0)+1,(MATCH(""Passive0c"",PalData_Header,0))+4)))&gt;0),1,1)),SkillDataCodeName,0)+1,MATCH(""ValueType1"",SkillData_Header,0)))"),"+")</f>
        <v>+</v>
      </c>
      <c r="N46" s="62" t="e">
        <f aca="false" t="array" ref="N46:N46">IFERROR(INDEX(SkillData,MATCH(INDEX(PalData,MATCH($B46,PalNames,0)+1,MATCH("Passive0c",PalData_Header,0)),SkillDataCodeName,0)+1,MATCH("EffectValue1",SkillData_Header,0)))</f>
        <v>#VALUE!</v>
      </c>
      <c r="O46" s="62" t="e">
        <f aca="false" t="array" ref="O46:O46">IFERROR(INDEX(SkillData,MATCH(INDEX(PalData,MATCH($B46,PalNames,0)+1,MATCH("Passive1c",PalData_Header,0)),SkillDataCodeName,0)+1,MATCH("EffectValue1",SkillData_Header,0)))</f>
        <v>#VALUE!</v>
      </c>
      <c r="P46" s="62" t="e">
        <f aca="false" t="array" ref="P46:P46">IFERROR(INDEX(SkillData,MATCH(INDEX(PalData,MATCH($B46,PalNames,0)+1,MATCH("Passive2c",PalData_Header,0)),SkillDataCodeName,0)+1,MATCH("EffectValue1",SkillData_Header,0)))</f>
        <v>#VALUE!</v>
      </c>
      <c r="Q46" s="62" t="e">
        <f aca="false" t="array" ref="Q46:Q46">IFERROR(INDEX(SkillData,MATCH(INDEX(PalData,MATCH($B46,PalNames,0)+1,MATCH("Passive3c",PalData_Header,0)),SkillDataCodeName,0)+1,MATCH("EffectValue1",SkillData_Header,0)))</f>
        <v>#VALUE!</v>
      </c>
      <c r="R46" s="306" t="e">
        <f aca="false" t="array" ref="R46:R46">IFERROR(INDEX(SkillData,MATCH(INDEX(PalData,MATCH($B46,PalNames,0)+1,MATCH("Passive4c",PalData_Header,0)),SkillDataCodeName,0)+1,MATCH("EffectValue1",SkillData_Header,0)))</f>
        <v>#VALUE!</v>
      </c>
      <c r="S46" s="45" t="str">
        <f aca="false">IFERROR(__xludf.dummyfunction("IFERROR(INDEX(SkillData,MATCH(Arrayformula(ARRAY_CONSTRAIN(FILTER(INDIRECT(""PalData!""&amp;ADDRESS(MATCH(B46,PalNames,0)+1,(MATCH(""Passive0a"",PalData_Header,0)))&amp;"":""&amp;ADDRESS(MATCH(B46,PalNames,0)+1,(MATCH(""Passive0a"",PalData_Header,0))+4)),LEN(INDIRECT"&amp;"(""PalData!""&amp;ADDRESS(MATCH(B46,PalNames,0)+1,(MATCH(""Passive0a"",PalData_Header,0)))&amp;"":""&amp;ADDRESS(MATCH(B46,PalNames,0)+1,(MATCH(""Passive0a"",PalData_Header,0))+4)))&gt;0),1,1)),SkillDataCodeName,0)+1,MATCH(""EffectTypeCombined"",SkillData_Header,0)))"),"")</f>
        <v/>
      </c>
      <c r="T46" s="45" t="str">
        <f aca="false">IFERROR(__xludf.dummyfunction("IFERROR(INDEX(SkillData,MATCH(Arrayformula(ARRAY_CONSTRAIN(FILTER(INDIRECT(""PalData!""&amp;ADDRESS(MATCH(B46,PalNames,0)+1,(MATCH(""Passive0a"",PalData_Header,0)))&amp;"":""&amp;ADDRESS(MATCH(B46,PalNames,0)+1,(MATCH(""Passive0a"",PalData_Header,0))+4)),LEN(INDIRECT"&amp;"(""PalData!""&amp;ADDRESS(MATCH(B46,PalNames,0)+1,(MATCH(""Passive0a"",PalData_Header,0)))&amp;"":""&amp;ADDRESS(MATCH(B46,PalNames,0)+1,(MATCH(""Passive0a"",PalData_Header,0))+4)))&gt;0),1,1)),SkillDataCodeName,0)+1,MATCH(""TargetType1"",SkillData_Header,0)))"),"")</f>
        <v/>
      </c>
      <c r="U46" s="45" t="e">
        <f aca="false" t="array" ref="U46:U46">IF(INDEX(PalData,MATCH($B46,PalNames,0)+1,MATCH("Passive0aCondition",PalData_Header,0))=IFERROR(INDEX(SkillData,MATCH(INDEX(PalData,MATCH($B46,PalNames,0)+1,MATCH("Passive0a",PalData_Header,0)),SkillDataCodeName,0)+1,MATCH("Conditions",SkillData_Header,0))),INDEX(PalData,MATCH($B46,PalNames,0)+1,MATCH("Passive0aCondition",PalData_Header,0)),INDEX(PalData,MATCH($B46,PalNames,0)+1,MATCH("Passive0aCondition",PalData_Header,0)) &amp; IF(ISBLANK(INDEX(PalData,MATCH($B46,PalNames,0)+1,MATCH("Passive0aCondition",PalData_Header,0))),," ")&amp;IFERROR(INDEX(SkillData,MATCH(INDEX(PalData,MATCH($B46,PalNames,0)+1,MATCH("Passive0a",PalData_Header,0)),SkillDataCodeName,0)+1,MATCH("Conditions",SkillData_Header,0))))</f>
        <v>#N/A</v>
      </c>
      <c r="V46" s="45" t="str">
        <f aca="false">IFERROR(__xludf.dummyfunction("IFERROR(INDEX(SkillData,MATCH(Arrayformula(ARRAY_CONSTRAIN(FILTER(INDIRECT(""PalData!""&amp;ADDRESS(MATCH(B46,PalNames,0)+1,(MATCH(""Passive0a"",PalData_Header,0)))&amp;"":""&amp;ADDRESS(MATCH(B46,PalNames,0)+1,(MATCH(""Passive0a"",PalData_Header,0))+4)),LEN(INDIRECT"&amp;"(""PalData!""&amp;ADDRESS(MATCH(B46,PalNames,0)+1,(MATCH(""Passive0a"",PalData_Header,0)))&amp;"":""&amp;ADDRESS(MATCH(B46,PalNames,0)+1,(MATCH(""Passive0a"",PalData_Header,0))+4)))&gt;0),1,1)),SkillDataCodeName,0)+1,MATCH(""ValueType1"",SkillData_Header,0)))"),"")</f>
        <v/>
      </c>
      <c r="W46" s="45" t="n">
        <f aca="false">IFERROR(INDEX(SkillData,MATCH(INDEX(PalData,MATCH($B46,PalNames,0)+1,MATCH("Passive0a",PalData_Header,0)),SkillDataCodeName,0)+1,MATCH("EffectValue1",SkillData_Header,0)),)</f>
        <v>0</v>
      </c>
      <c r="X46" s="45" t="n">
        <f aca="false">IFERROR(INDEX(SkillData,MATCH(INDEX(PalData,MATCH($B46,PalNames,0)+1,MATCH("Passive1a",PalData_Header,0)),SkillDataCodeName,0)+1,MATCH("EffectValue1",SkillData_Header,0)),)</f>
        <v>0</v>
      </c>
      <c r="Y46" s="45" t="n">
        <f aca="false">IFERROR(INDEX(SkillData,MATCH(INDEX(PalData,MATCH($B46,PalNames,0)+1,MATCH("Passive2a",PalData_Header,0)),SkillDataCodeName,0)+1,MATCH("EffectValue1",SkillData_Header,0)),)</f>
        <v>0</v>
      </c>
      <c r="Z46" s="45" t="n">
        <f aca="false">IFERROR(INDEX(SkillData,MATCH(INDEX(PalData,MATCH($B46,PalNames,0)+1,MATCH("Passive3a",PalData_Header,0)),SkillDataCodeName,0)+1,MATCH("EffectValue1",SkillData_Header,0)),)</f>
        <v>0</v>
      </c>
      <c r="AA46" s="260" t="n">
        <f aca="false">IFERROR(INDEX(SkillData,MATCH(INDEX(PalData,MATCH($B46,PalNames,0)+1,MATCH("Passive4a",PalData_Header,0)),SkillDataCodeName,0)+1,MATCH("EffectValue1",SkillData_Header,0)),)</f>
        <v>0</v>
      </c>
      <c r="AB46" s="45" t="str">
        <f aca="false">IFERROR(__xludf.dummyfunction("IFERROR(INDEX(SkillData,MATCH(Arrayformula(ARRAY_CONSTRAIN(FILTER(INDIRECT(""PalData!""&amp;ADDRESS(MATCH(B46,PalNames,0)+1,(MATCH(""Passive0b"",PalData_Header,0)))&amp;"":""&amp;ADDRESS(MATCH(B46,PalNames,0)+1,(MATCH(""Passive0b"",PalData_Header,0))+4)),LEN(INDIRECT"&amp;"(""PalData!""&amp;ADDRESS(MATCH(B46,PalNames,0)+1,(MATCH(""Passive0b"",PalData_Header,0)))&amp;"":""&amp;ADDRESS(MATCH(B46,PalNames,0)+1,(MATCH(""Passive0b"",PalData_Header,0))+4)))&gt;0),1,1)),SkillDataCodeName,0)+1,MATCH(""EffectTypeCombined"",SkillData_Header,0)))"),"")</f>
        <v/>
      </c>
      <c r="AC46" s="45" t="str">
        <f aca="false">IFERROR(__xludf.dummyfunction("IFERROR(INDEX(SkillData,MATCH(Arrayformula(ARRAY_CONSTRAIN(FILTER(INDIRECT(""PalData!""&amp;ADDRESS(MATCH(B46,PalNames,0)+1,(MATCH(""Passive0b"",PalData_Header,0)))&amp;"":""&amp;ADDRESS(MATCH(B46,PalNames,0)+1,(MATCH(""Passive0b"",PalData_Header,0))+4)),LEN(INDIRECT"&amp;"(""PalData!""&amp;ADDRESS(MATCH(B46,PalNames,0)+1,(MATCH(""Passive0b"",PalData_Header,0)))&amp;"":""&amp;ADDRESS(MATCH(B46,PalNames,0)+1,(MATCH(""Passive0b"",PalData_Header,0))+4)))&gt;0),1,1)),SkillDataCodeName,0)+1,MATCH(""TargetType1"",SkillData_Header,0)))"),"")</f>
        <v/>
      </c>
      <c r="AD46" s="45" t="e">
        <f aca="false" t="array" ref="AD46:AD46">IF(INDEX(PalData,MATCH($B46,PalNames,0)+1,MATCH("Passive0bCondition",PalData_Header,0))=IFERROR(INDEX(SkillData,MATCH(INDEX(PalData,MATCH($B46,PalNames,0)+1,MATCH("Passive0b",PalData_Header,0)),SkillDataCodeName,0)+1,MATCH("Conditions",SkillData_Header,0))),INDEX(PalData,MATCH($B46,PalNames,0)+1,MATCH("Passive0bCondition",PalData_Header,0)),INDEX(PalData,MATCH($B46,PalNames,0)+1,MATCH("Passive0bCondition",PalData_Header,0)) &amp; IF(ISBLANK(INDEX(PalData,MATCH($B46,PalNames,0)+1,MATCH("Passive0bCondition",PalData_Header,0))),," ")&amp;IFERROR(INDEX(SkillData,MATCH(INDEX(PalData,MATCH($B46,PalNames,0)+1,MATCH("Passive0b",PalData_Header,0)),SkillDataCodeName,0)+1,MATCH("Conditions",SkillData_Header,0))))</f>
        <v>#N/A</v>
      </c>
      <c r="AE46" s="45" t="str">
        <f aca="false">IFERROR(__xludf.dummyfunction("IFERROR(INDEX(SkillData,MATCH(Arrayformula(ARRAY_CONSTRAIN(FILTER(INDIRECT(""PalData!""&amp;ADDRESS(MATCH(B46,PalNames,0)+1,(MATCH(""Passive0b"",PalData_Header,0)))&amp;"":""&amp;ADDRESS(MATCH(B46,PalNames,0)+1,(MATCH(""Passive0b"",PalData_Header,0))+4)),LEN(INDIRECT"&amp;"(""PalData!""&amp;ADDRESS(MATCH(B46,PalNames,0)+1,(MATCH(""Passive0b"",PalData_Header,0)))&amp;"":""&amp;ADDRESS(MATCH(B46,PalNames,0)+1,(MATCH(""Passive0b"",PalData_Header,0))+4)))&gt;0),1,1)),SkillDataCodeName,0)+1,MATCH(""ValueType1"",SkillData_Header,0)))"),"")</f>
        <v/>
      </c>
      <c r="AF46" s="45" t="n">
        <f aca="false">IFERROR(INDEX(SkillData,MATCH(INDEX(PalData,MATCH($B46,PalNames,0)+1,MATCH("Passive0b",PalData_Header,0)),SkillDataCodeName,0)+1,MATCH("EffectValue1",SkillData_Header,0)),)</f>
        <v>0</v>
      </c>
      <c r="AG46" s="45" t="n">
        <f aca="false">IFERROR(INDEX(SkillData,MATCH(INDEX(PalData,MATCH($B46,PalNames,0)+1,MATCH("Passive1b",PalData_Header,0)),SkillDataCodeName,0)+1,MATCH("EffectValue1",SkillData_Header,0)),)</f>
        <v>0</v>
      </c>
      <c r="AH46" s="45" t="n">
        <f aca="false">IFERROR(INDEX(SkillData,MATCH(INDEX(PalData,MATCH($B46,PalNames,0)+1,MATCH("Passive2b",PalData_Header,0)),SkillDataCodeName,0)+1,MATCH("EffectValue1",SkillData_Header,0)),)</f>
        <v>0</v>
      </c>
      <c r="AI46" s="45" t="n">
        <f aca="false">IFERROR(INDEX(SkillData,MATCH(INDEX(PalData,MATCH($B46,PalNames,0)+1,MATCH("Passive3b",PalData_Header,0)),SkillDataCodeName,0)+1,MATCH("EffectValue1",SkillData_Header,0)),)</f>
        <v>0</v>
      </c>
      <c r="AJ46" s="260" t="n">
        <f aca="false">IFERROR(INDEX(SkillData,MATCH(INDEX(PalData,MATCH($B46,PalNames,0)+1,MATCH("Passive4b",PalData_Header,0)),SkillDataCodeName,0)+1,MATCH("EffectValue1",SkillData_Header,0)),)</f>
        <v>0</v>
      </c>
      <c r="AK46" s="301" t="s">
        <v>310</v>
      </c>
    </row>
    <row r="47" customFormat="false" ht="15.75" hidden="false" customHeight="false" outlineLevel="0" collapsed="false">
      <c r="A47" s="302" t="n">
        <v>37</v>
      </c>
      <c r="B47" s="303" t="s">
        <v>49</v>
      </c>
      <c r="C47" s="48" t="str">
        <f aca="false" t="array" ref="C47:C47">IF(ISBLANK(INDEX(PalData,MATCH($B47,PalNames,0)+1,MATCH("ActiveSkill",PalData_Header,0))),INDEX(PalData,MATCH($B47,PalNames,0)+1,MATCH("SkillUnlock_",PalData_Header,0)),INDEX(PalData,MATCH($B47,PalNames,0)+1,MATCH("ActiveSkill",PalData_Header,0)))</f>
        <v>Saddle</v>
      </c>
      <c r="D47" s="48"/>
      <c r="E47" s="48" t="n">
        <f aca="false">INDEX(PalData,MATCH($B47,PalNames,0)+1,MATCH("ActiveSkillBonus0",PalData_Header,0))</f>
        <v>0</v>
      </c>
      <c r="F47" s="48" t="n">
        <f aca="false">INDEX(PalData,MATCH($B47,PalNames,0)+1,MATCH("ActiveSkillBonus1",PalData_Header,0))</f>
        <v>0</v>
      </c>
      <c r="G47" s="48" t="n">
        <f aca="false">INDEX(PalData,MATCH($B47,PalNames,0)+1,MATCH("ActiveSkillBonus2",PalData_Header,0))</f>
        <v>0</v>
      </c>
      <c r="H47" s="48" t="n">
        <f aca="false">INDEX(PalData,MATCH($B47,PalNames,0)+1,MATCH("ActiveSkillBonus3",PalData_Header,0))</f>
        <v>0</v>
      </c>
      <c r="I47" s="263" t="n">
        <f aca="false">INDEX(PalData,MATCH($B47,PalNames,0)+1,MATCH("ActiveSkillBonus4",PalData_Header,0))</f>
        <v>0</v>
      </c>
      <c r="J47" s="48" t="str">
        <f aca="false">IFERROR(__xludf.dummyfunction("IFERROR(INDEX(SkillData,MATCH(Arrayformula(ARRAY_CONSTRAIN(FILTER(INDIRECT(""PalData!""&amp;ADDRESS(MATCH(B47,PalNames,0)+1,(MATCH(""Passive0c"",PalData_Header,0)))&amp;"":""&amp;ADDRESS(MATCH(B47,PalNames,0)+1,(MATCH(""Passive0c"",PalData_Header,0))+4)),LEN(INDIRECT"&amp;"(""PalData!""&amp;ADDRESS(MATCH(B47,PalNames,0)+1,(MATCH(""Passive0c"",PalData_Header,0)))&amp;"":""&amp;ADDRESS(MATCH(B47,PalNames,0)+1,(MATCH(""Passive0c"",PalData_Header,0))+4)))&gt;0),1,1)),SkillDataCodeName,0)+1,MATCH(""EffectTypeCombined"",SkillData_Header,0)))"),"Logging")</f>
        <v>Logging</v>
      </c>
      <c r="K47" s="48" t="str">
        <f aca="false">IFERROR(__xludf.dummyfunction("IFERROR(INDEX(SkillData,MATCH(Arrayformula(ARRAY_CONSTRAIN(FILTER(INDIRECT(""PalData!""&amp;ADDRESS(MATCH(B47,PalNames,0)+1,(MATCH(""Passive0c"",PalData_Header,0)))&amp;"":""&amp;ADDRESS(MATCH(B47,PalNames,0)+1,(MATCH(""Passive0c"",PalData_Header,0))+4)),LEN(INDIRECT"&amp;"(""PalData!""&amp;ADDRESS(MATCH(B47,PalNames,0)+1,(MATCH(""Passive0c"",PalData_Header,0)))&amp;"":""&amp;ADDRESS(MATCH(B47,PalNames,0)+1,(MATCH(""Passive0c"",PalData_Header,0))+4)))&gt;0),1,1)),SkillDataCodeName,0)+1,MATCH(""TargetType1"",SkillData_Header,0)))"),"Self")</f>
        <v>Self</v>
      </c>
      <c r="L47" s="48" t="e">
        <f aca="false" t="array" ref="L47:L47">IF(INDEX(PalData,MATCH($B47,PalNames,0)+1,MATCH("Passive0cCondition",PalData_Header,0))=IFERROR(INDEX(SkillData,MATCH(INDEX(PalData,MATCH($B47,PalNames,0)+1,MATCH("Passive0c",PalData_Header,0)),SkillDataCodeName,0)+1,MATCH("Conditions",SkillData_Header,0))),INDEX(PalData,MATCH($B47,PalNames,0)+1,MATCH("Passive0cCondition",PalData_Header,0)),INDEX(PalData,MATCH($B47,PalNames,0)+1,MATCH("Passive0cCondition",PalData_Header,0)) &amp; IF(ISBLANK(INDEX(PalData,MATCH($B47,PalNames,0)+1,MATCH("Passive0cCondition",PalData_Header,0))),," ")&amp;IFERROR(INDEX(SkillData,MATCH(INDEX(PalData,MATCH($B47,PalNames,0)+1,MATCH("Passive0c",PalData_Header,0)),SkillDataCodeName,0)+1,MATCH("Conditions",SkillData_Header,0))))</f>
        <v>#VALUE!</v>
      </c>
      <c r="M47" s="48" t="str">
        <f aca="false">IFERROR(__xludf.dummyfunction("IFERROR(INDEX(SkillData,MATCH(Arrayformula(ARRAY_CONSTRAIN(FILTER(INDIRECT(""PalData!""&amp;ADDRESS(MATCH(B47,PalNames,0)+1,(MATCH(""Passive0c"",PalData_Header,0)))&amp;"":""&amp;ADDRESS(MATCH(B47,PalNames,0)+1,(MATCH(""Passive0c"",PalData_Header,0))+4)),LEN(INDIRECT"&amp;"(""PalData!""&amp;ADDRESS(MATCH(B47,PalNames,0)+1,(MATCH(""Passive0c"",PalData_Header,0)))&amp;"":""&amp;ADDRESS(MATCH(B47,PalNames,0)+1,(MATCH(""Passive0c"",PalData_Header,0))+4)))&gt;0),1,1)),SkillDataCodeName,0)+1,MATCH(""ValueType1"",SkillData_Header,0)))"),"+")</f>
        <v>+</v>
      </c>
      <c r="N47" s="61" t="e">
        <f aca="false" t="array" ref="N47:N47">IFERROR(INDEX(SkillData,MATCH(INDEX(PalData,MATCH($B47,PalNames,0)+1,MATCH("Passive0c",PalData_Header,0)),SkillDataCodeName,0)+1,MATCH("EffectValue1",SkillData_Header,0)))</f>
        <v>#VALUE!</v>
      </c>
      <c r="O47" s="61" t="e">
        <f aca="false" t="array" ref="O47:O47">IFERROR(INDEX(SkillData,MATCH(INDEX(PalData,MATCH($B47,PalNames,0)+1,MATCH("Passive1c",PalData_Header,0)),SkillDataCodeName,0)+1,MATCH("EffectValue1",SkillData_Header,0)))</f>
        <v>#VALUE!</v>
      </c>
      <c r="P47" s="61" t="e">
        <f aca="false" t="array" ref="P47:P47">IFERROR(INDEX(SkillData,MATCH(INDEX(PalData,MATCH($B47,PalNames,0)+1,MATCH("Passive2c",PalData_Header,0)),SkillDataCodeName,0)+1,MATCH("EffectValue1",SkillData_Header,0)))</f>
        <v>#VALUE!</v>
      </c>
      <c r="Q47" s="61" t="e">
        <f aca="false" t="array" ref="Q47:Q47">IFERROR(INDEX(SkillData,MATCH(INDEX(PalData,MATCH($B47,PalNames,0)+1,MATCH("Passive3c",PalData_Header,0)),SkillDataCodeName,0)+1,MATCH("EffectValue1",SkillData_Header,0)))</f>
        <v>#VALUE!</v>
      </c>
      <c r="R47" s="304" t="e">
        <f aca="false" t="array" ref="R47:R47">IFERROR(INDEX(SkillData,MATCH(INDEX(PalData,MATCH($B47,PalNames,0)+1,MATCH("Passive4c",PalData_Header,0)),SkillDataCodeName,0)+1,MATCH("EffectValue1",SkillData_Header,0)))</f>
        <v>#VALUE!</v>
      </c>
      <c r="S47" s="48" t="str">
        <f aca="false">IFERROR(__xludf.dummyfunction("IFERROR(INDEX(SkillData,MATCH(Arrayformula(ARRAY_CONSTRAIN(FILTER(INDIRECT(""PalData!""&amp;ADDRESS(MATCH(B47,PalNames,0)+1,(MATCH(""Passive0a"",PalData_Header,0)))&amp;"":""&amp;ADDRESS(MATCH(B47,PalNames,0)+1,(MATCH(""Passive0a"",PalData_Header,0))+4)),LEN(INDIRECT"&amp;"(""PalData!""&amp;ADDRESS(MATCH(B47,PalNames,0)+1,(MATCH(""Passive0a"",PalData_Header,0)))&amp;"":""&amp;ADDRESS(MATCH(B47,PalNames,0)+1,(MATCH(""Passive0a"",PalData_Header,0))+4)))&gt;0),1,1)),SkillDataCodeName,0)+1,MATCH(""EffectTypeCombined"",SkillData_Header,0)))"),"")</f>
        <v/>
      </c>
      <c r="T47" s="48" t="str">
        <f aca="false">IFERROR(__xludf.dummyfunction("IFERROR(INDEX(SkillData,MATCH(Arrayformula(ARRAY_CONSTRAIN(FILTER(INDIRECT(""PalData!""&amp;ADDRESS(MATCH(B47,PalNames,0)+1,(MATCH(""Passive0a"",PalData_Header,0)))&amp;"":""&amp;ADDRESS(MATCH(B47,PalNames,0)+1,(MATCH(""Passive0a"",PalData_Header,0))+4)),LEN(INDIRECT"&amp;"(""PalData!""&amp;ADDRESS(MATCH(B47,PalNames,0)+1,(MATCH(""Passive0a"",PalData_Header,0)))&amp;"":""&amp;ADDRESS(MATCH(B47,PalNames,0)+1,(MATCH(""Passive0a"",PalData_Header,0))+4)))&gt;0),1,1)),SkillDataCodeName,0)+1,MATCH(""TargetType1"",SkillData_Header,0)))"),"")</f>
        <v/>
      </c>
      <c r="U47" s="48" t="e">
        <f aca="false" t="array" ref="U47:U47">IF(INDEX(PalData,MATCH($B47,PalNames,0)+1,MATCH("Passive0aCondition",PalData_Header,0))=IFERROR(INDEX(SkillData,MATCH(INDEX(PalData,MATCH($B47,PalNames,0)+1,MATCH("Passive0a",PalData_Header,0)),SkillDataCodeName,0)+1,MATCH("Conditions",SkillData_Header,0))),INDEX(PalData,MATCH($B47,PalNames,0)+1,MATCH("Passive0aCondition",PalData_Header,0)),INDEX(PalData,MATCH($B47,PalNames,0)+1,MATCH("Passive0aCondition",PalData_Header,0)) &amp; IF(ISBLANK(INDEX(PalData,MATCH($B47,PalNames,0)+1,MATCH("Passive0aCondition",PalData_Header,0))),," ")&amp;IFERROR(INDEX(SkillData,MATCH(INDEX(PalData,MATCH($B47,PalNames,0)+1,MATCH("Passive0a",PalData_Header,0)),SkillDataCodeName,0)+1,MATCH("Conditions",SkillData_Header,0))))</f>
        <v>#N/A</v>
      </c>
      <c r="V47" s="48" t="str">
        <f aca="false">IFERROR(__xludf.dummyfunction("IFERROR(INDEX(SkillData,MATCH(Arrayformula(ARRAY_CONSTRAIN(FILTER(INDIRECT(""PalData!""&amp;ADDRESS(MATCH(B47,PalNames,0)+1,(MATCH(""Passive0a"",PalData_Header,0)))&amp;"":""&amp;ADDRESS(MATCH(B47,PalNames,0)+1,(MATCH(""Passive0a"",PalData_Header,0))+4)),LEN(INDIRECT"&amp;"(""PalData!""&amp;ADDRESS(MATCH(B47,PalNames,0)+1,(MATCH(""Passive0a"",PalData_Header,0)))&amp;"":""&amp;ADDRESS(MATCH(B47,PalNames,0)+1,(MATCH(""Passive0a"",PalData_Header,0))+4)))&gt;0),1,1)),SkillDataCodeName,0)+1,MATCH(""ValueType1"",SkillData_Header,0)))"),"")</f>
        <v/>
      </c>
      <c r="W47" s="48" t="n">
        <f aca="false">IFERROR(INDEX(SkillData,MATCH(INDEX(PalData,MATCH($B47,PalNames,0)+1,MATCH("Passive0a",PalData_Header,0)),SkillDataCodeName,0)+1,MATCH("EffectValue1",SkillData_Header,0)),)</f>
        <v>0</v>
      </c>
      <c r="X47" s="48" t="n">
        <f aca="false">IFERROR(INDEX(SkillData,MATCH(INDEX(PalData,MATCH($B47,PalNames,0)+1,MATCH("Passive1a",PalData_Header,0)),SkillDataCodeName,0)+1,MATCH("EffectValue1",SkillData_Header,0)),)</f>
        <v>0</v>
      </c>
      <c r="Y47" s="48" t="n">
        <f aca="false">IFERROR(INDEX(SkillData,MATCH(INDEX(PalData,MATCH($B47,PalNames,0)+1,MATCH("Passive2a",PalData_Header,0)),SkillDataCodeName,0)+1,MATCH("EffectValue1",SkillData_Header,0)),)</f>
        <v>0</v>
      </c>
      <c r="Z47" s="48" t="n">
        <f aca="false">IFERROR(INDEX(SkillData,MATCH(INDEX(PalData,MATCH($B47,PalNames,0)+1,MATCH("Passive3a",PalData_Header,0)),SkillDataCodeName,0)+1,MATCH("EffectValue1",SkillData_Header,0)),)</f>
        <v>0</v>
      </c>
      <c r="AA47" s="263" t="n">
        <f aca="false">IFERROR(INDEX(SkillData,MATCH(INDEX(PalData,MATCH($B47,PalNames,0)+1,MATCH("Passive4a",PalData_Header,0)),SkillDataCodeName,0)+1,MATCH("EffectValue1",SkillData_Header,0)),)</f>
        <v>0</v>
      </c>
      <c r="AB47" s="48" t="str">
        <f aca="false">IFERROR(__xludf.dummyfunction("IFERROR(INDEX(SkillData,MATCH(Arrayformula(ARRAY_CONSTRAIN(FILTER(INDIRECT(""PalData!""&amp;ADDRESS(MATCH(B47,PalNames,0)+1,(MATCH(""Passive0b"",PalData_Header,0)))&amp;"":""&amp;ADDRESS(MATCH(B47,PalNames,0)+1,(MATCH(""Passive0b"",PalData_Header,0))+4)),LEN(INDIRECT"&amp;"(""PalData!""&amp;ADDRESS(MATCH(B47,PalNames,0)+1,(MATCH(""Passive0b"",PalData_Header,0)))&amp;"":""&amp;ADDRESS(MATCH(B47,PalNames,0)+1,(MATCH(""Passive0b"",PalData_Header,0))+4)))&gt;0),1,1)),SkillDataCodeName,0)+1,MATCH(""EffectTypeCombined"",SkillData_Header,0)))"),"")</f>
        <v/>
      </c>
      <c r="AC47" s="48" t="str">
        <f aca="false">IFERROR(__xludf.dummyfunction("IFERROR(INDEX(SkillData,MATCH(Arrayformula(ARRAY_CONSTRAIN(FILTER(INDIRECT(""PalData!""&amp;ADDRESS(MATCH(B47,PalNames,0)+1,(MATCH(""Passive0b"",PalData_Header,0)))&amp;"":""&amp;ADDRESS(MATCH(B47,PalNames,0)+1,(MATCH(""Passive0b"",PalData_Header,0))+4)),LEN(INDIRECT"&amp;"(""PalData!""&amp;ADDRESS(MATCH(B47,PalNames,0)+1,(MATCH(""Passive0b"",PalData_Header,0)))&amp;"":""&amp;ADDRESS(MATCH(B47,PalNames,0)+1,(MATCH(""Passive0b"",PalData_Header,0))+4)))&gt;0),1,1)),SkillDataCodeName,0)+1,MATCH(""TargetType1"",SkillData_Header,0)))"),"")</f>
        <v/>
      </c>
      <c r="AD47" s="48" t="e">
        <f aca="false" t="array" ref="AD47:AD47">IF(INDEX(PalData,MATCH($B47,PalNames,0)+1,MATCH("Passive0bCondition",PalData_Header,0))=IFERROR(INDEX(SkillData,MATCH(INDEX(PalData,MATCH($B47,PalNames,0)+1,MATCH("Passive0b",PalData_Header,0)),SkillDataCodeName,0)+1,MATCH("Conditions",SkillData_Header,0))),INDEX(PalData,MATCH($B47,PalNames,0)+1,MATCH("Passive0bCondition",PalData_Header,0)),INDEX(PalData,MATCH($B47,PalNames,0)+1,MATCH("Passive0bCondition",PalData_Header,0)) &amp; IF(ISBLANK(INDEX(PalData,MATCH($B47,PalNames,0)+1,MATCH("Passive0bCondition",PalData_Header,0))),," ")&amp;IFERROR(INDEX(SkillData,MATCH(INDEX(PalData,MATCH($B47,PalNames,0)+1,MATCH("Passive0b",PalData_Header,0)),SkillDataCodeName,0)+1,MATCH("Conditions",SkillData_Header,0))))</f>
        <v>#N/A</v>
      </c>
      <c r="AE47" s="48" t="str">
        <f aca="false">IFERROR(__xludf.dummyfunction("IFERROR(INDEX(SkillData,MATCH(Arrayformula(ARRAY_CONSTRAIN(FILTER(INDIRECT(""PalData!""&amp;ADDRESS(MATCH(B47,PalNames,0)+1,(MATCH(""Passive0b"",PalData_Header,0)))&amp;"":""&amp;ADDRESS(MATCH(B47,PalNames,0)+1,(MATCH(""Passive0b"",PalData_Header,0))+4)),LEN(INDIRECT"&amp;"(""PalData!""&amp;ADDRESS(MATCH(B47,PalNames,0)+1,(MATCH(""Passive0b"",PalData_Header,0)))&amp;"":""&amp;ADDRESS(MATCH(B47,PalNames,0)+1,(MATCH(""Passive0b"",PalData_Header,0))+4)))&gt;0),1,1)),SkillDataCodeName,0)+1,MATCH(""ValueType1"",SkillData_Header,0)))"),"")</f>
        <v/>
      </c>
      <c r="AF47" s="48" t="n">
        <f aca="false">IFERROR(INDEX(SkillData,MATCH(INDEX(PalData,MATCH($B47,PalNames,0)+1,MATCH("Passive0b",PalData_Header,0)),SkillDataCodeName,0)+1,MATCH("EffectValue1",SkillData_Header,0)),)</f>
        <v>0</v>
      </c>
      <c r="AG47" s="48" t="n">
        <f aca="false">IFERROR(INDEX(SkillData,MATCH(INDEX(PalData,MATCH($B47,PalNames,0)+1,MATCH("Passive1b",PalData_Header,0)),SkillDataCodeName,0)+1,MATCH("EffectValue1",SkillData_Header,0)),)</f>
        <v>0</v>
      </c>
      <c r="AH47" s="48" t="n">
        <f aca="false">IFERROR(INDEX(SkillData,MATCH(INDEX(PalData,MATCH($B47,PalNames,0)+1,MATCH("Passive2b",PalData_Header,0)),SkillDataCodeName,0)+1,MATCH("EffectValue1",SkillData_Header,0)),)</f>
        <v>0</v>
      </c>
      <c r="AI47" s="48" t="n">
        <f aca="false">IFERROR(INDEX(SkillData,MATCH(INDEX(PalData,MATCH($B47,PalNames,0)+1,MATCH("Passive3b",PalData_Header,0)),SkillDataCodeName,0)+1,MATCH("EffectValue1",SkillData_Header,0)),)</f>
        <v>0</v>
      </c>
      <c r="AJ47" s="263" t="n">
        <f aca="false">IFERROR(INDEX(SkillData,MATCH(INDEX(PalData,MATCH($B47,PalNames,0)+1,MATCH("Passive4b",PalData_Header,0)),SkillDataCodeName,0)+1,MATCH("EffectValue1",SkillData_Header,0)),)</f>
        <v>0</v>
      </c>
      <c r="AK47" s="305" t="s">
        <v>311</v>
      </c>
    </row>
    <row r="48" customFormat="false" ht="15.75" hidden="false" customHeight="false" outlineLevel="0" collapsed="false">
      <c r="A48" s="299" t="n">
        <v>38</v>
      </c>
      <c r="B48" s="300" t="s">
        <v>110</v>
      </c>
      <c r="C48" s="45" t="str">
        <f aca="false" t="array" ref="C48:C48">IF(ISBLANK(INDEX(PalData,MATCH($B48,PalNames,0)+1,MATCH("ActiveSkill",PalData_Header,0))),INDEX(PalData,MATCH($B48,PalNames,0)+1,MATCH("SkillUnlock_",PalData_Header,0)),INDEX(PalData,MATCH($B48,PalNames,0)+1,MATCH("ActiveSkill",PalData_Header,0)))</f>
        <v>Saddle</v>
      </c>
      <c r="D48" s="45"/>
      <c r="E48" s="45" t="n">
        <f aca="false">INDEX(PalData,MATCH($B48,PalNames,0)+1,MATCH("ActiveSkillBonus0",PalData_Header,0))</f>
        <v>0</v>
      </c>
      <c r="F48" s="45" t="n">
        <f aca="false">INDEX(PalData,MATCH($B48,PalNames,0)+1,MATCH("ActiveSkillBonus1",PalData_Header,0))</f>
        <v>0</v>
      </c>
      <c r="G48" s="45" t="n">
        <f aca="false">INDEX(PalData,MATCH($B48,PalNames,0)+1,MATCH("ActiveSkillBonus2",PalData_Header,0))</f>
        <v>0</v>
      </c>
      <c r="H48" s="45" t="n">
        <f aca="false">INDEX(PalData,MATCH($B48,PalNames,0)+1,MATCH("ActiveSkillBonus3",PalData_Header,0))</f>
        <v>0</v>
      </c>
      <c r="I48" s="260" t="n">
        <f aca="false">INDEX(PalData,MATCH($B48,PalNames,0)+1,MATCH("ActiveSkillBonus4",PalData_Header,0))</f>
        <v>0</v>
      </c>
      <c r="J48" s="45" t="str">
        <f aca="false">IFERROR(__xludf.dummyfunction("IFERROR(INDEX(SkillData,MATCH(Arrayformula(ARRAY_CONSTRAIN(FILTER(INDIRECT(""PalData!""&amp;ADDRESS(MATCH(B48,PalNames,0)+1,(MATCH(""Passive0c"",PalData_Header,0)))&amp;"":""&amp;ADDRESS(MATCH(B48,PalNames,0)+1,(MATCH(""Passive0c"",PalData_Header,0))+4)),LEN(INDIRECT"&amp;"(""PalData!""&amp;ADDRESS(MATCH(B48,PalNames,0)+1,(MATCH(""Passive0c"",PalData_Header,0)))&amp;"":""&amp;ADDRESS(MATCH(B48,PalNames,0)+1,(MATCH(""Passive0c"",PalData_Header,0))+4)))&gt;0),1,1)),SkillDataCodeName,0)+1,MATCH(""EffectTypeCombined"",SkillData_Header,0)))"),"MoveSpeed")</f>
        <v>MoveSpeed</v>
      </c>
      <c r="K48" s="45" t="str">
        <f aca="false">IFERROR(__xludf.dummyfunction("IFERROR(INDEX(SkillData,MATCH(Arrayformula(ARRAY_CONSTRAIN(FILTER(INDIRECT(""PalData!""&amp;ADDRESS(MATCH(B48,PalNames,0)+1,(MATCH(""Passive0c"",PalData_Header,0)))&amp;"":""&amp;ADDRESS(MATCH(B48,PalNames,0)+1,(MATCH(""Passive0c"",PalData_Header,0))+4)),LEN(INDIRECT"&amp;"(""PalData!""&amp;ADDRESS(MATCH(B48,PalNames,0)+1,(MATCH(""Passive0c"",PalData_Header,0)))&amp;"":""&amp;ADDRESS(MATCH(B48,PalNames,0)+1,(MATCH(""Passive0c"",PalData_Header,0))+4)))&gt;0),1,1)),SkillDataCodeName,0)+1,MATCH(""TargetType1"",SkillData_Header,0)))"),"SelfAndTrainer")</f>
        <v>SelfAndTrainer</v>
      </c>
      <c r="L48" s="45" t="e">
        <f aca="false" t="array" ref="L48:L48">IF(INDEX(PalData,MATCH($B48,PalNames,0)+1,MATCH("Passive0cCondition",PalData_Header,0))=IFERROR(INDEX(SkillData,MATCH(INDEX(PalData,MATCH($B48,PalNames,0)+1,MATCH("Passive0c",PalData_Header,0)),SkillDataCodeName,0)+1,MATCH("Conditions",SkillData_Header,0))),INDEX(PalData,MATCH($B48,PalNames,0)+1,MATCH("Passive0cCondition",PalData_Header,0)),INDEX(PalData,MATCH($B48,PalNames,0)+1,MATCH("Passive0cCondition",PalData_Header,0)) &amp; IF(ISBLANK(INDEX(PalData,MATCH($B48,PalNames,0)+1,MATCH("Passive0cCondition",PalData_Header,0))),," ")&amp;IFERROR(INDEX(SkillData,MATCH(INDEX(PalData,MATCH($B48,PalNames,0)+1,MATCH("Passive0c",PalData_Header,0)),SkillDataCodeName,0)+1,MATCH("Conditions",SkillData_Header,0))))</f>
        <v>#N/A</v>
      </c>
      <c r="M48" s="45" t="str">
        <f aca="false">IFERROR(__xludf.dummyfunction("IFERROR(INDEX(SkillData,MATCH(Arrayformula(ARRAY_CONSTRAIN(FILTER(INDIRECT(""PalData!""&amp;ADDRESS(MATCH(B48,PalNames,0)+1,(MATCH(""Passive0c"",PalData_Header,0)))&amp;"":""&amp;ADDRESS(MATCH(B48,PalNames,0)+1,(MATCH(""Passive0c"",PalData_Header,0))+4)),LEN(INDIRECT"&amp;"(""PalData!""&amp;ADDRESS(MATCH(B48,PalNames,0)+1,(MATCH(""Passive0c"",PalData_Header,0)))&amp;"":""&amp;ADDRESS(MATCH(B48,PalNames,0)+1,(MATCH(""Passive0c"",PalData_Header,0))+4)))&gt;0),1,1)),SkillDataCodeName,0)+1,MATCH(""ValueType1"",SkillData_Header,0)))"),"%")</f>
        <v>%</v>
      </c>
      <c r="N48" s="45" t="e">
        <f aca="false" t="array" ref="N48:N48">IFERROR(INDEX(SkillData,MATCH(INDEX(PalData,MATCH($B48,PalNames,0)+1,MATCH("Passive0c",PalData_Header,0)),SkillDataCodeName,0)+1,MATCH("EffectValue1",SkillData_Header,0)))</f>
        <v>#VALUE!</v>
      </c>
      <c r="O48" s="62" t="e">
        <f aca="false" t="array" ref="O48:O48">IFERROR(INDEX(SkillData,MATCH(INDEX(PalData,MATCH($B48,PalNames,0)+1,MATCH("Passive1c",PalData_Header,0)),SkillDataCodeName,0)+1,MATCH("EffectValue1",SkillData_Header,0)))</f>
        <v>#VALUE!</v>
      </c>
      <c r="P48" s="62" t="e">
        <f aca="false" t="array" ref="P48:P48">IFERROR(INDEX(SkillData,MATCH(INDEX(PalData,MATCH($B48,PalNames,0)+1,MATCH("Passive2c",PalData_Header,0)),SkillDataCodeName,0)+1,MATCH("EffectValue1",SkillData_Header,0)))</f>
        <v>#VALUE!</v>
      </c>
      <c r="Q48" s="62" t="e">
        <f aca="false" t="array" ref="Q48:Q48">IFERROR(INDEX(SkillData,MATCH(INDEX(PalData,MATCH($B48,PalNames,0)+1,MATCH("Passive3c",PalData_Header,0)),SkillDataCodeName,0)+1,MATCH("EffectValue1",SkillData_Header,0)))</f>
        <v>#VALUE!</v>
      </c>
      <c r="R48" s="306" t="e">
        <f aca="false" t="array" ref="R48:R48">IFERROR(INDEX(SkillData,MATCH(INDEX(PalData,MATCH($B48,PalNames,0)+1,MATCH("Passive4c",PalData_Header,0)),SkillDataCodeName,0)+1,MATCH("EffectValue1",SkillData_Header,0)))</f>
        <v>#VALUE!</v>
      </c>
      <c r="S48" s="45" t="str">
        <f aca="false">IFERROR(__xludf.dummyfunction("IFERROR(INDEX(SkillData,MATCH(Arrayformula(ARRAY_CONSTRAIN(FILTER(INDIRECT(""PalData!""&amp;ADDRESS(MATCH(B48,PalNames,0)+1,(MATCH(""Passive0a"",PalData_Header,0)))&amp;"":""&amp;ADDRESS(MATCH(B48,PalNames,0)+1,(MATCH(""Passive0a"",PalData_Header,0))+4)),LEN(INDIRECT"&amp;"(""PalData!""&amp;ADDRESS(MATCH(B48,PalNames,0)+1,(MATCH(""Passive0a"",PalData_Header,0)))&amp;"":""&amp;ADDRESS(MATCH(B48,PalNames,0)+1,(MATCH(""Passive0a"",PalData_Header,0))+4)))&gt;0),1,1)),SkillDataCodeName,0)+1,MATCH(""EffectTypeCombined"",SkillData_Header,0)))"),"")</f>
        <v/>
      </c>
      <c r="T48" s="45" t="str">
        <f aca="false">IFERROR(__xludf.dummyfunction("IFERROR(INDEX(SkillData,MATCH(Arrayformula(ARRAY_CONSTRAIN(FILTER(INDIRECT(""PalData!""&amp;ADDRESS(MATCH(B48,PalNames,0)+1,(MATCH(""Passive0a"",PalData_Header,0)))&amp;"":""&amp;ADDRESS(MATCH(B48,PalNames,0)+1,(MATCH(""Passive0a"",PalData_Header,0))+4)),LEN(INDIRECT"&amp;"(""PalData!""&amp;ADDRESS(MATCH(B48,PalNames,0)+1,(MATCH(""Passive0a"",PalData_Header,0)))&amp;"":""&amp;ADDRESS(MATCH(B48,PalNames,0)+1,(MATCH(""Passive0a"",PalData_Header,0))+4)))&gt;0),1,1)),SkillDataCodeName,0)+1,MATCH(""TargetType1"",SkillData_Header,0)))"),"")</f>
        <v/>
      </c>
      <c r="U48" s="45" t="e">
        <f aca="false" t="array" ref="U48:U48">IF(INDEX(PalData,MATCH($B48,PalNames,0)+1,MATCH("Passive0aCondition",PalData_Header,0))=IFERROR(INDEX(SkillData,MATCH(INDEX(PalData,MATCH($B48,PalNames,0)+1,MATCH("Passive0a",PalData_Header,0)),SkillDataCodeName,0)+1,MATCH("Conditions",SkillData_Header,0))),INDEX(PalData,MATCH($B48,PalNames,0)+1,MATCH("Passive0aCondition",PalData_Header,0)),INDEX(PalData,MATCH($B48,PalNames,0)+1,MATCH("Passive0aCondition",PalData_Header,0)) &amp; IF(ISBLANK(INDEX(PalData,MATCH($B48,PalNames,0)+1,MATCH("Passive0aCondition",PalData_Header,0))),," ")&amp;IFERROR(INDEX(SkillData,MATCH(INDEX(PalData,MATCH($B48,PalNames,0)+1,MATCH("Passive0a",PalData_Header,0)),SkillDataCodeName,0)+1,MATCH("Conditions",SkillData_Header,0))))</f>
        <v>#N/A</v>
      </c>
      <c r="V48" s="45" t="str">
        <f aca="false">IFERROR(__xludf.dummyfunction("IFERROR(INDEX(SkillData,MATCH(Arrayformula(ARRAY_CONSTRAIN(FILTER(INDIRECT(""PalData!""&amp;ADDRESS(MATCH(B48,PalNames,0)+1,(MATCH(""Passive0a"",PalData_Header,0)))&amp;"":""&amp;ADDRESS(MATCH(B48,PalNames,0)+1,(MATCH(""Passive0a"",PalData_Header,0))+4)),LEN(INDIRECT"&amp;"(""PalData!""&amp;ADDRESS(MATCH(B48,PalNames,0)+1,(MATCH(""Passive0a"",PalData_Header,0)))&amp;"":""&amp;ADDRESS(MATCH(B48,PalNames,0)+1,(MATCH(""Passive0a"",PalData_Header,0))+4)))&gt;0),1,1)),SkillDataCodeName,0)+1,MATCH(""ValueType1"",SkillData_Header,0)))"),"")</f>
        <v/>
      </c>
      <c r="W48" s="45" t="n">
        <f aca="false">IFERROR(INDEX(SkillData,MATCH(INDEX(PalData,MATCH($B48,PalNames,0)+1,MATCH("Passive0a",PalData_Header,0)),SkillDataCodeName,0)+1,MATCH("EffectValue1",SkillData_Header,0)),)</f>
        <v>0</v>
      </c>
      <c r="X48" s="45" t="n">
        <f aca="false">IFERROR(INDEX(SkillData,MATCH(INDEX(PalData,MATCH($B48,PalNames,0)+1,MATCH("Passive1a",PalData_Header,0)),SkillDataCodeName,0)+1,MATCH("EffectValue1",SkillData_Header,0)),)</f>
        <v>0</v>
      </c>
      <c r="Y48" s="45" t="n">
        <f aca="false">IFERROR(INDEX(SkillData,MATCH(INDEX(PalData,MATCH($B48,PalNames,0)+1,MATCH("Passive2a",PalData_Header,0)),SkillDataCodeName,0)+1,MATCH("EffectValue1",SkillData_Header,0)),)</f>
        <v>0</v>
      </c>
      <c r="Z48" s="45" t="n">
        <f aca="false">IFERROR(INDEX(SkillData,MATCH(INDEX(PalData,MATCH($B48,PalNames,0)+1,MATCH("Passive3a",PalData_Header,0)),SkillDataCodeName,0)+1,MATCH("EffectValue1",SkillData_Header,0)),)</f>
        <v>0</v>
      </c>
      <c r="AA48" s="260" t="n">
        <f aca="false">IFERROR(INDEX(SkillData,MATCH(INDEX(PalData,MATCH($B48,PalNames,0)+1,MATCH("Passive4a",PalData_Header,0)),SkillDataCodeName,0)+1,MATCH("EffectValue1",SkillData_Header,0)),)</f>
        <v>0</v>
      </c>
      <c r="AB48" s="45" t="str">
        <f aca="false">IFERROR(__xludf.dummyfunction("IFERROR(INDEX(SkillData,MATCH(Arrayformula(ARRAY_CONSTRAIN(FILTER(INDIRECT(""PalData!""&amp;ADDRESS(MATCH(B48,PalNames,0)+1,(MATCH(""Passive0b"",PalData_Header,0)))&amp;"":""&amp;ADDRESS(MATCH(B48,PalNames,0)+1,(MATCH(""Passive0b"",PalData_Header,0))+4)),LEN(INDIRECT"&amp;"(""PalData!""&amp;ADDRESS(MATCH(B48,PalNames,0)+1,(MATCH(""Passive0b"",PalData_Header,0)))&amp;"":""&amp;ADDRESS(MATCH(B48,PalNames,0)+1,(MATCH(""Passive0b"",PalData_Header,0))+4)))&gt;0),1,1)),SkillDataCodeName,0)+1,MATCH(""EffectTypeCombined"",SkillData_Header,0)))"),"")</f>
        <v/>
      </c>
      <c r="AC48" s="45" t="str">
        <f aca="false">IFERROR(__xludf.dummyfunction("IFERROR(INDEX(SkillData,MATCH(Arrayformula(ARRAY_CONSTRAIN(FILTER(INDIRECT(""PalData!""&amp;ADDRESS(MATCH(B48,PalNames,0)+1,(MATCH(""Passive0b"",PalData_Header,0)))&amp;"":""&amp;ADDRESS(MATCH(B48,PalNames,0)+1,(MATCH(""Passive0b"",PalData_Header,0))+4)),LEN(INDIRECT"&amp;"(""PalData!""&amp;ADDRESS(MATCH(B48,PalNames,0)+1,(MATCH(""Passive0b"",PalData_Header,0)))&amp;"":""&amp;ADDRESS(MATCH(B48,PalNames,0)+1,(MATCH(""Passive0b"",PalData_Header,0))+4)))&gt;0),1,1)),SkillDataCodeName,0)+1,MATCH(""TargetType1"",SkillData_Header,0)))"),"")</f>
        <v/>
      </c>
      <c r="AD48" s="45" t="e">
        <f aca="false" t="array" ref="AD48:AD48">IF(INDEX(PalData,MATCH($B48,PalNames,0)+1,MATCH("Passive0bCondition",PalData_Header,0))=IFERROR(INDEX(SkillData,MATCH(INDEX(PalData,MATCH($B48,PalNames,0)+1,MATCH("Passive0b",PalData_Header,0)),SkillDataCodeName,0)+1,MATCH("Conditions",SkillData_Header,0))),INDEX(PalData,MATCH($B48,PalNames,0)+1,MATCH("Passive0bCondition",PalData_Header,0)),INDEX(PalData,MATCH($B48,PalNames,0)+1,MATCH("Passive0bCondition",PalData_Header,0)) &amp; IF(ISBLANK(INDEX(PalData,MATCH($B48,PalNames,0)+1,MATCH("Passive0bCondition",PalData_Header,0))),," ")&amp;IFERROR(INDEX(SkillData,MATCH(INDEX(PalData,MATCH($B48,PalNames,0)+1,MATCH("Passive0b",PalData_Header,0)),SkillDataCodeName,0)+1,MATCH("Conditions",SkillData_Header,0))))</f>
        <v>#N/A</v>
      </c>
      <c r="AE48" s="45" t="str">
        <f aca="false">IFERROR(__xludf.dummyfunction("IFERROR(INDEX(SkillData,MATCH(Arrayformula(ARRAY_CONSTRAIN(FILTER(INDIRECT(""PalData!""&amp;ADDRESS(MATCH(B48,PalNames,0)+1,(MATCH(""Passive0b"",PalData_Header,0)))&amp;"":""&amp;ADDRESS(MATCH(B48,PalNames,0)+1,(MATCH(""Passive0b"",PalData_Header,0))+4)),LEN(INDIRECT"&amp;"(""PalData!""&amp;ADDRESS(MATCH(B48,PalNames,0)+1,(MATCH(""Passive0b"",PalData_Header,0)))&amp;"":""&amp;ADDRESS(MATCH(B48,PalNames,0)+1,(MATCH(""Passive0b"",PalData_Header,0))+4)))&gt;0),1,1)),SkillDataCodeName,0)+1,MATCH(""ValueType1"",SkillData_Header,0)))"),"")</f>
        <v/>
      </c>
      <c r="AF48" s="45" t="n">
        <f aca="false">IFERROR(INDEX(SkillData,MATCH(INDEX(PalData,MATCH($B48,PalNames,0)+1,MATCH("Passive0b",PalData_Header,0)),SkillDataCodeName,0)+1,MATCH("EffectValue1",SkillData_Header,0)),)</f>
        <v>0</v>
      </c>
      <c r="AG48" s="45" t="n">
        <f aca="false">IFERROR(INDEX(SkillData,MATCH(INDEX(PalData,MATCH($B48,PalNames,0)+1,MATCH("Passive1b",PalData_Header,0)),SkillDataCodeName,0)+1,MATCH("EffectValue1",SkillData_Header,0)),)</f>
        <v>0</v>
      </c>
      <c r="AH48" s="45" t="n">
        <f aca="false">IFERROR(INDEX(SkillData,MATCH(INDEX(PalData,MATCH($B48,PalNames,0)+1,MATCH("Passive2b",PalData_Header,0)),SkillDataCodeName,0)+1,MATCH("EffectValue1",SkillData_Header,0)),)</f>
        <v>0</v>
      </c>
      <c r="AI48" s="45" t="n">
        <f aca="false">IFERROR(INDEX(SkillData,MATCH(INDEX(PalData,MATCH($B48,PalNames,0)+1,MATCH("Passive3b",PalData_Header,0)),SkillDataCodeName,0)+1,MATCH("EffectValue1",SkillData_Header,0)),)</f>
        <v>0</v>
      </c>
      <c r="AJ48" s="260" t="n">
        <f aca="false">IFERROR(INDEX(SkillData,MATCH(INDEX(PalData,MATCH($B48,PalNames,0)+1,MATCH("Passive4b",PalData_Header,0)),SkillDataCodeName,0)+1,MATCH("EffectValue1",SkillData_Header,0)),)</f>
        <v>0</v>
      </c>
      <c r="AK48" s="301" t="s">
        <v>312</v>
      </c>
    </row>
    <row r="49" customFormat="false" ht="15.75" hidden="false" customHeight="false" outlineLevel="0" collapsed="false">
      <c r="A49" s="302" t="n">
        <v>39</v>
      </c>
      <c r="B49" s="303" t="s">
        <v>125</v>
      </c>
      <c r="C49" s="48" t="n">
        <f aca="false">IF(ISBLANK(INDEX(PalData,MATCH($B49,PalNames,0)+1,MATCH("ActiveSkill",PalData_Header,0))),INDEX(PalData,MATCH($B49,PalNames,0)+1,MATCH("SkillUnlock_",PalData_Header,0)),INDEX(PalData,MATCH($B49,PalNames,0)+1,MATCH("ActiveSkill",PalData_Header,0)))</f>
        <v>0</v>
      </c>
      <c r="D49" s="48"/>
      <c r="E49" s="48" t="n">
        <f aca="false">INDEX(PalData,MATCH($B49,PalNames,0)+1,MATCH("ActiveSkillBonus0",PalData_Header,0))</f>
        <v>0</v>
      </c>
      <c r="F49" s="48" t="n">
        <f aca="false">INDEX(PalData,MATCH($B49,PalNames,0)+1,MATCH("ActiveSkillBonus1",PalData_Header,0))</f>
        <v>0</v>
      </c>
      <c r="G49" s="48" t="n">
        <f aca="false">INDEX(PalData,MATCH($B49,PalNames,0)+1,MATCH("ActiveSkillBonus2",PalData_Header,0))</f>
        <v>0</v>
      </c>
      <c r="H49" s="48" t="n">
        <f aca="false">INDEX(PalData,MATCH($B49,PalNames,0)+1,MATCH("ActiveSkillBonus3",PalData_Header,0))</f>
        <v>0</v>
      </c>
      <c r="I49" s="263" t="n">
        <f aca="false">INDEX(PalData,MATCH($B49,PalNames,0)+1,MATCH("ActiveSkillBonus4",PalData_Header,0))</f>
        <v>0</v>
      </c>
      <c r="J49" s="48" t="str">
        <f aca="false">IFERROR(__xludf.dummyfunction("IFERROR(INDEX(SkillData,MATCH(Arrayformula(ARRAY_CONSTRAIN(FILTER(INDIRECT(""PalData!""&amp;ADDRESS(MATCH(B49,PalNames,0)+1,(MATCH(""Passive0c"",PalData_Header,0)))&amp;"":""&amp;ADDRESS(MATCH(B49,PalNames,0)+1,(MATCH(""Passive0c"",PalData_Header,0))+4)),LEN(INDIRECT"&amp;"(""PalData!""&amp;ADDRESS(MATCH(B49,PalNames,0)+1,(MATCH(""Passive0c"",PalData_Header,0)))&amp;"":""&amp;ADDRESS(MATCH(B49,PalNames,0)+1,(MATCH(""Passive0c"",PalData_Header,0))+4)))&gt;0),1,1)),SkillDataCodeName,0)+1,MATCH(""EffectTypeCombined"",SkillData_Header,0)))"),"ShotAttack")</f>
        <v>ShotAttack</v>
      </c>
      <c r="K49" s="48" t="str">
        <f aca="false">IFERROR(__xludf.dummyfunction("IFERROR(INDEX(SkillData,MATCH(Arrayformula(ARRAY_CONSTRAIN(FILTER(INDIRECT(""PalData!""&amp;ADDRESS(MATCH(B49,PalNames,0)+1,(MATCH(""Passive0c"",PalData_Header,0)))&amp;"":""&amp;ADDRESS(MATCH(B49,PalNames,0)+1,(MATCH(""Passive0c"",PalData_Header,0))+4)),LEN(INDIRECT"&amp;"(""PalData!""&amp;ADDRESS(MATCH(B49,PalNames,0)+1,(MATCH(""Passive0c"",PalData_Header,0)))&amp;"":""&amp;ADDRESS(MATCH(B49,PalNames,0)+1,(MATCH(""Passive0c"",PalData_Header,0))+4)))&gt;0),1,1)),SkillDataCodeName,0)+1,MATCH(""TargetType1"",SkillData_Header,0)))"),"Self")</f>
        <v>Self</v>
      </c>
      <c r="L49" s="48" t="e">
        <f aca="false" t="array" ref="L49:L49">IF(INDEX(PalData,MATCH($B49,PalNames,0)+1,MATCH("Passive0cCondition",PalData_Header,0))=IFERROR(INDEX(SkillData,MATCH(INDEX(PalData,MATCH($B49,PalNames,0)+1,MATCH("Passive0c",PalData_Header,0)),SkillDataCodeName,0)+1,MATCH("Conditions",SkillData_Header,0))),INDEX(PalData,MATCH($B49,PalNames,0)+1,MATCH("Passive0cCondition",PalData_Header,0)),INDEX(PalData,MATCH($B49,PalNames,0)+1,MATCH("Passive0cCondition",PalData_Header,0)) &amp; IF(ISBLANK(INDEX(PalData,MATCH($B49,PalNames,0)+1,MATCH("Passive0cCondition",PalData_Header,0))),," ")&amp;IFERROR(INDEX(SkillData,MATCH(INDEX(PalData,MATCH($B49,PalNames,0)+1,MATCH("Passive0c",PalData_Header,0)),SkillDataCodeName,0)+1,MATCH("Conditions",SkillData_Header,0))))</f>
        <v>#VALUE!</v>
      </c>
      <c r="M49" s="48" t="str">
        <f aca="false">IFERROR(__xludf.dummyfunction("IFERROR(INDEX(SkillData,MATCH(Arrayformula(ARRAY_CONSTRAIN(FILTER(INDIRECT(""PalData!""&amp;ADDRESS(MATCH(B49,PalNames,0)+1,(MATCH(""Passive0c"",PalData_Header,0)))&amp;"":""&amp;ADDRESS(MATCH(B49,PalNames,0)+1,(MATCH(""Passive0c"",PalData_Header,0))+4)),LEN(INDIRECT"&amp;"(""PalData!""&amp;ADDRESS(MATCH(B49,PalNames,0)+1,(MATCH(""Passive0c"",PalData_Header,0)))&amp;"":""&amp;ADDRESS(MATCH(B49,PalNames,0)+1,(MATCH(""Passive0c"",PalData_Header,0))+4)))&gt;0),1,1)),SkillDataCodeName,0)+1,MATCH(""ValueType1"",SkillData_Header,0)))"),"%")</f>
        <v>%</v>
      </c>
      <c r="N49" s="61" t="e">
        <f aca="false" t="array" ref="N49:N49">IFERROR(INDEX(SkillData,MATCH(INDEX(PalData,MATCH($B49,PalNames,0)+1,MATCH("Passive0c",PalData_Header,0)),SkillDataCodeName,0)+1,MATCH("EffectValue1",SkillData_Header,0)))</f>
        <v>#VALUE!</v>
      </c>
      <c r="O49" s="61" t="e">
        <f aca="false" t="array" ref="O49:O49">IFERROR(INDEX(SkillData,MATCH(INDEX(PalData,MATCH($B49,PalNames,0)+1,MATCH("Passive1c",PalData_Header,0)),SkillDataCodeName,0)+1,MATCH("EffectValue1",SkillData_Header,0)))</f>
        <v>#VALUE!</v>
      </c>
      <c r="P49" s="61" t="e">
        <f aca="false" t="array" ref="P49:P49">IFERROR(INDEX(SkillData,MATCH(INDEX(PalData,MATCH($B49,PalNames,0)+1,MATCH("Passive2c",PalData_Header,0)),SkillDataCodeName,0)+1,MATCH("EffectValue1",SkillData_Header,0)))</f>
        <v>#VALUE!</v>
      </c>
      <c r="Q49" s="61" t="e">
        <f aca="false" t="array" ref="Q49:Q49">IFERROR(INDEX(SkillData,MATCH(INDEX(PalData,MATCH($B49,PalNames,0)+1,MATCH("Passive3c",PalData_Header,0)),SkillDataCodeName,0)+1,MATCH("EffectValue1",SkillData_Header,0)))</f>
        <v>#VALUE!</v>
      </c>
      <c r="R49" s="304" t="e">
        <f aca="false" t="array" ref="R49:R49">IFERROR(INDEX(SkillData,MATCH(INDEX(PalData,MATCH($B49,PalNames,0)+1,MATCH("Passive4c",PalData_Header,0)),SkillDataCodeName,0)+1,MATCH("EffectValue1",SkillData_Header,0)))</f>
        <v>#VALUE!</v>
      </c>
      <c r="S49" s="48" t="str">
        <f aca="false">IFERROR(__xludf.dummyfunction("IFERROR(INDEX(SkillData,MATCH(Arrayformula(ARRAY_CONSTRAIN(FILTER(INDIRECT(""PalData!""&amp;ADDRESS(MATCH(B49,PalNames,0)+1,(MATCH(""Passive0a"",PalData_Header,0)))&amp;"":""&amp;ADDRESS(MATCH(B49,PalNames,0)+1,(MATCH(""Passive0a"",PalData_Header,0))+4)),LEN(INDIRECT"&amp;"(""PalData!""&amp;ADDRESS(MATCH(B49,PalNames,0)+1,(MATCH(""Passive0a"",PalData_Header,0)))&amp;"":""&amp;ADDRESS(MATCH(B49,PalNames,0)+1,(MATCH(""Passive0a"",PalData_Header,0))+4)))&gt;0),1,1)),SkillDataCodeName,0)+1,MATCH(""EffectTypeCombined"",SkillData_Header,0)))"),"CraftSpeed")</f>
        <v>CraftSpeed</v>
      </c>
      <c r="T49" s="48" t="str">
        <f aca="false">IFERROR(__xludf.dummyfunction("IFERROR(INDEX(SkillData,MATCH(Arrayformula(ARRAY_CONSTRAIN(FILTER(INDIRECT(""PalData!""&amp;ADDRESS(MATCH(B49,PalNames,0)+1,(MATCH(""Passive0a"",PalData_Header,0)))&amp;"":""&amp;ADDRESS(MATCH(B49,PalNames,0)+1,(MATCH(""Passive0a"",PalData_Header,0))+4)),LEN(INDIRECT"&amp;"(""PalData!""&amp;ADDRESS(MATCH(B49,PalNames,0)+1,(MATCH(""Passive0a"",PalData_Header,0)))&amp;"":""&amp;ADDRESS(MATCH(B49,PalNames,0)+1,(MATCH(""Passive0a"",PalData_Header,0))+4)))&gt;0),1,1)),SkillDataCodeName,0)+1,MATCH(""TargetType1"",SkillData_Header,0)))"),"Self")</f>
        <v>Self</v>
      </c>
      <c r="U49" s="48" t="e">
        <f aca="false" t="array" ref="U49:U49">IF(INDEX(PalData,MATCH($B49,PalNames,0)+1,MATCH("Passive0aCondition",PalData_Header,0))=IFERROR(INDEX(SkillData,MATCH(INDEX(PalData,MATCH($B49,PalNames,0)+1,MATCH("Passive0a",PalData_Header,0)),SkillDataCodeName,0)+1,MATCH("Conditions",SkillData_Header,0))),INDEX(PalData,MATCH($B49,PalNames,0)+1,MATCH("Passive0aCondition",PalData_Header,0)),INDEX(PalData,MATCH($B49,PalNames,0)+1,MATCH("Passive0aCondition",PalData_Header,0)) &amp; IF(ISBLANK(INDEX(PalData,MATCH($B49,PalNames,0)+1,MATCH("Passive0aCondition",PalData_Header,0))),," ")&amp;IFERROR(INDEX(SkillData,MATCH(INDEX(PalData,MATCH($B49,PalNames,0)+1,MATCH("Passive0a",PalData_Header,0)),SkillDataCodeName,0)+1,MATCH("Conditions",SkillData_Header,0))))</f>
        <v>#VALUE!</v>
      </c>
      <c r="V49" s="48" t="str">
        <f aca="false">IFERROR(__xludf.dummyfunction("IFERROR(INDEX(SkillData,MATCH(Arrayformula(ARRAY_CONSTRAIN(FILTER(INDIRECT(""PalData!""&amp;ADDRESS(MATCH(B49,PalNames,0)+1,(MATCH(""Passive0a"",PalData_Header,0)))&amp;"":""&amp;ADDRESS(MATCH(B49,PalNames,0)+1,(MATCH(""Passive0a"",PalData_Header,0))+4)),LEN(INDIRECT"&amp;"(""PalData!""&amp;ADDRESS(MATCH(B49,PalNames,0)+1,(MATCH(""Passive0a"",PalData_Header,0)))&amp;"":""&amp;ADDRESS(MATCH(B49,PalNames,0)+1,(MATCH(""Passive0a"",PalData_Header,0))+4)))&gt;0),1,1)),SkillDataCodeName,0)+1,MATCH(""ValueType1"",SkillData_Header,0)))"),"%")</f>
        <v>%</v>
      </c>
      <c r="W49" s="61" t="n">
        <f aca="false" t="array" ref="W49:W49">IFERROR(INDEX(SkillData,MATCH(INDEX(PalData,MATCH($B49,PalNames,0)+1,MATCH("Passive0a",PalData_Header,0)),SkillDataCodeName,0)+1,MATCH("EffectValue1",SkillData_Header,0)),)</f>
        <v>200</v>
      </c>
      <c r="X49" s="61" t="n">
        <f aca="false" t="array" ref="X49:X49">IFERROR(INDEX(SkillData,MATCH(INDEX(PalData,MATCH($B49,PalNames,0)+1,MATCH("Passive1a",PalData_Header,0)),SkillDataCodeName,0)+1,MATCH("EffectValue1",SkillData_Header,0)),)</f>
        <v>220</v>
      </c>
      <c r="Y49" s="61" t="n">
        <f aca="false" t="array" ref="Y49:Y49">IFERROR(INDEX(SkillData,MATCH(INDEX(PalData,MATCH($B49,PalNames,0)+1,MATCH("Passive2a",PalData_Header,0)),SkillDataCodeName,0)+1,MATCH("EffectValue1",SkillData_Header,0)),)</f>
        <v>260</v>
      </c>
      <c r="Z49" s="61" t="n">
        <f aca="false" t="array" ref="Z49:Z49">IFERROR(INDEX(SkillData,MATCH(INDEX(PalData,MATCH($B49,PalNames,0)+1,MATCH("Passive3a",PalData_Header,0)),SkillDataCodeName,0)+1,MATCH("EffectValue1",SkillData_Header,0)),)</f>
        <v>320</v>
      </c>
      <c r="AA49" s="304" t="n">
        <f aca="false" t="array" ref="AA49:AA49">IFERROR(INDEX(SkillData,MATCH(INDEX(PalData,MATCH($B49,PalNames,0)+1,MATCH("Passive4a",PalData_Header,0)),SkillDataCodeName,0)+1,MATCH("EffectValue1",SkillData_Header,0)),)</f>
        <v>400</v>
      </c>
      <c r="AB49" s="48" t="str">
        <f aca="false">IFERROR(__xludf.dummyfunction("IFERROR(INDEX(SkillData,MATCH(Arrayformula(ARRAY_CONSTRAIN(FILTER(INDIRECT(""PalData!""&amp;ADDRESS(MATCH(B49,PalNames,0)+1,(MATCH(""Passive0b"",PalData_Header,0)))&amp;"":""&amp;ADDRESS(MATCH(B49,PalNames,0)+1,(MATCH(""Passive0b"",PalData_Header,0))+4)),LEN(INDIRECT"&amp;"(""PalData!""&amp;ADDRESS(MATCH(B49,PalNames,0)+1,(MATCH(""Passive0b"",PalData_Header,0)))&amp;"":""&amp;ADDRESS(MATCH(B49,PalNames,0)+1,(MATCH(""Passive0b"",PalData_Header,0))+4)))&gt;0),1,1)),SkillDataCodeName,0)+1,MATCH(""EffectTypeCombined"",SkillData_Header,0)))"),"")</f>
        <v/>
      </c>
      <c r="AC49" s="48" t="str">
        <f aca="false">IFERROR(__xludf.dummyfunction("IFERROR(INDEX(SkillData,MATCH(Arrayformula(ARRAY_CONSTRAIN(FILTER(INDIRECT(""PalData!""&amp;ADDRESS(MATCH(B49,PalNames,0)+1,(MATCH(""Passive0b"",PalData_Header,0)))&amp;"":""&amp;ADDRESS(MATCH(B49,PalNames,0)+1,(MATCH(""Passive0b"",PalData_Header,0))+4)),LEN(INDIRECT"&amp;"(""PalData!""&amp;ADDRESS(MATCH(B49,PalNames,0)+1,(MATCH(""Passive0b"",PalData_Header,0)))&amp;"":""&amp;ADDRESS(MATCH(B49,PalNames,0)+1,(MATCH(""Passive0b"",PalData_Header,0))+4)))&gt;0),1,1)),SkillDataCodeName,0)+1,MATCH(""TargetType1"",SkillData_Header,0)))"),"")</f>
        <v/>
      </c>
      <c r="AD49" s="48" t="e">
        <f aca="false" t="array" ref="AD49:AD49">IF(INDEX(PalData,MATCH($B49,PalNames,0)+1,MATCH("Passive0bCondition",PalData_Header,0))=IFERROR(INDEX(SkillData,MATCH(INDEX(PalData,MATCH($B49,PalNames,0)+1,MATCH("Passive0b",PalData_Header,0)),SkillDataCodeName,0)+1,MATCH("Conditions",SkillData_Header,0))),INDEX(PalData,MATCH($B49,PalNames,0)+1,MATCH("Passive0bCondition",PalData_Header,0)),INDEX(PalData,MATCH($B49,PalNames,0)+1,MATCH("Passive0bCondition",PalData_Header,0)) &amp; IF(ISBLANK(INDEX(PalData,MATCH($B49,PalNames,0)+1,MATCH("Passive0bCondition",PalData_Header,0))),," ")&amp;IFERROR(INDEX(SkillData,MATCH(INDEX(PalData,MATCH($B49,PalNames,0)+1,MATCH("Passive0b",PalData_Header,0)),SkillDataCodeName,0)+1,MATCH("Conditions",SkillData_Header,0))))</f>
        <v>#N/A</v>
      </c>
      <c r="AE49" s="48" t="str">
        <f aca="false">IFERROR(__xludf.dummyfunction("IFERROR(INDEX(SkillData,MATCH(Arrayformula(ARRAY_CONSTRAIN(FILTER(INDIRECT(""PalData!""&amp;ADDRESS(MATCH(B49,PalNames,0)+1,(MATCH(""Passive0b"",PalData_Header,0)))&amp;"":""&amp;ADDRESS(MATCH(B49,PalNames,0)+1,(MATCH(""Passive0b"",PalData_Header,0))+4)),LEN(INDIRECT"&amp;"(""PalData!""&amp;ADDRESS(MATCH(B49,PalNames,0)+1,(MATCH(""Passive0b"",PalData_Header,0)))&amp;"":""&amp;ADDRESS(MATCH(B49,PalNames,0)+1,(MATCH(""Passive0b"",PalData_Header,0))+4)))&gt;0),1,1)),SkillDataCodeName,0)+1,MATCH(""ValueType1"",SkillData_Header,0)))"),"")</f>
        <v/>
      </c>
      <c r="AF49" s="48" t="n">
        <f aca="false">IFERROR(INDEX(SkillData,MATCH(INDEX(PalData,MATCH($B49,PalNames,0)+1,MATCH("Passive0b",PalData_Header,0)),SkillDataCodeName,0)+1,MATCH("EffectValue1",SkillData_Header,0)),)</f>
        <v>0</v>
      </c>
      <c r="AG49" s="48" t="n">
        <f aca="false">IFERROR(INDEX(SkillData,MATCH(INDEX(PalData,MATCH($B49,PalNames,0)+1,MATCH("Passive1b",PalData_Header,0)),SkillDataCodeName,0)+1,MATCH("EffectValue1",SkillData_Header,0)),)</f>
        <v>0</v>
      </c>
      <c r="AH49" s="48" t="n">
        <f aca="false">IFERROR(INDEX(SkillData,MATCH(INDEX(PalData,MATCH($B49,PalNames,0)+1,MATCH("Passive2b",PalData_Header,0)),SkillDataCodeName,0)+1,MATCH("EffectValue1",SkillData_Header,0)),)</f>
        <v>0</v>
      </c>
      <c r="AI49" s="48" t="n">
        <f aca="false">IFERROR(INDEX(SkillData,MATCH(INDEX(PalData,MATCH($B49,PalNames,0)+1,MATCH("Passive3b",PalData_Header,0)),SkillDataCodeName,0)+1,MATCH("EffectValue1",SkillData_Header,0)),)</f>
        <v>0</v>
      </c>
      <c r="AJ49" s="263" t="n">
        <f aca="false">IFERROR(INDEX(SkillData,MATCH(INDEX(PalData,MATCH($B49,PalNames,0)+1,MATCH("Passive4b",PalData_Header,0)),SkillDataCodeName,0)+1,MATCH("EffectValue1",SkillData_Header,0)),)</f>
        <v>0</v>
      </c>
      <c r="AK49" s="305" t="s">
        <v>313</v>
      </c>
    </row>
    <row r="50" customFormat="false" ht="15.75" hidden="false" customHeight="false" outlineLevel="0" collapsed="false">
      <c r="A50" s="299" t="n">
        <v>40</v>
      </c>
      <c r="B50" s="300" t="s">
        <v>77</v>
      </c>
      <c r="C50" s="45" t="str">
        <f aca="false" t="array" ref="C50:C50">IF(ISBLANK(INDEX(PalData,MATCH($B50,PalNames,0)+1,MATCH("ActiveSkill",PalData_Header,0))),INDEX(PalData,MATCH($B50,PalNames,0)+1,MATCH("SkillUnlock_",PalData_Header,0)),INDEX(PalData,MATCH($B50,PalNames,0)+1,MATCH("ActiveSkill",PalData_Header,0)))</f>
        <v>Unique_Baphomet_SwallowKite</v>
      </c>
      <c r="D50" s="45" t="s">
        <v>269</v>
      </c>
      <c r="E50" s="62" t="n">
        <f aca="false" t="array" ref="E50:E50">INDEX(PalData,MATCH($B50,PalNames,0)+1,MATCH("ActiveSkillBonus0",PalData_Header,0))</f>
        <v>1.1</v>
      </c>
      <c r="F50" s="62" t="n">
        <f aca="false" t="array" ref="F50:F50">INDEX(PalData,MATCH($B50,PalNames,0)+1,MATCH("ActiveSkillBonus1",PalData_Header,0))</f>
        <v>1.3</v>
      </c>
      <c r="G50" s="62" t="n">
        <f aca="false" t="array" ref="G50:G50">INDEX(PalData,MATCH($B50,PalNames,0)+1,MATCH("ActiveSkillBonus2",PalData_Header,0))</f>
        <v>1.6</v>
      </c>
      <c r="H50" s="62" t="n">
        <f aca="false" t="array" ref="H50:H50">INDEX(PalData,MATCH($B50,PalNames,0)+1,MATCH("ActiveSkillBonus3",PalData_Header,0))</f>
        <v>2</v>
      </c>
      <c r="I50" s="306" t="n">
        <f aca="false" t="array" ref="I50:I50">INDEX(PalData,MATCH($B50,PalNames,0)+1,MATCH("ActiveSkillBonus4",PalData_Header,0))</f>
        <v>2.5</v>
      </c>
      <c r="J50" s="45" t="str">
        <f aca="false">IFERROR(__xludf.dummyfunction("IFERROR(INDEX(SkillData,MATCH(Arrayformula(ARRAY_CONSTRAIN(FILTER(INDIRECT(""PalData!""&amp;ADDRESS(MATCH(B50,PalNames,0)+1,(MATCH(""Passive0c"",PalData_Header,0)))&amp;"":""&amp;ADDRESS(MATCH(B50,PalNames,0)+1,(MATCH(""Passive0c"",PalData_Header,0))+4)),LEN(INDIRECT"&amp;"(""PalData!""&amp;ADDRESS(MATCH(B50,PalNames,0)+1,(MATCH(""Passive0c"",PalData_Header,0)))&amp;"":""&amp;ADDRESS(MATCH(B50,PalNames,0)+1,(MATCH(""Passive0c"",PalData_Header,0))+4)))&gt;0),1,1)),SkillDataCodeName,0)+1,MATCH(""EffectTypeCombined"",SkillData_Header,0)))"),"")</f>
        <v/>
      </c>
      <c r="K50" s="45" t="str">
        <f aca="false">IFERROR(__xludf.dummyfunction("IFERROR(INDEX(SkillData,MATCH(Arrayformula(ARRAY_CONSTRAIN(FILTER(INDIRECT(""PalData!""&amp;ADDRESS(MATCH(B50,PalNames,0)+1,(MATCH(""Passive0c"",PalData_Header,0)))&amp;"":""&amp;ADDRESS(MATCH(B50,PalNames,0)+1,(MATCH(""Passive0c"",PalData_Header,0))+4)),LEN(INDIRECT"&amp;"(""PalData!""&amp;ADDRESS(MATCH(B50,PalNames,0)+1,(MATCH(""Passive0c"",PalData_Header,0)))&amp;"":""&amp;ADDRESS(MATCH(B50,PalNames,0)+1,(MATCH(""Passive0c"",PalData_Header,0))+4)))&gt;0),1,1)),SkillDataCodeName,0)+1,MATCH(""TargetType1"",SkillData_Header,0)))"),"")</f>
        <v/>
      </c>
      <c r="L50" s="45" t="e">
        <f aca="false" t="array" ref="L50:L50">IF(INDEX(PalData,MATCH($B50,PalNames,0)+1,MATCH("Passive0cCondition",PalData_Header,0))=IFERROR(INDEX(SkillData,MATCH(INDEX(PalData,MATCH($B50,PalNames,0)+1,MATCH("Passive0c",PalData_Header,0)),SkillDataCodeName,0)+1,MATCH("Conditions",SkillData_Header,0))),INDEX(PalData,MATCH($B50,PalNames,0)+1,MATCH("Passive0cCondition",PalData_Header,0)),INDEX(PalData,MATCH($B50,PalNames,0)+1,MATCH("Passive0cCondition",PalData_Header,0)) &amp; IF(ISBLANK(INDEX(PalData,MATCH($B50,PalNames,0)+1,MATCH("Passive0cCondition",PalData_Header,0))),," ")&amp;IFERROR(INDEX(SkillData,MATCH(INDEX(PalData,MATCH($B50,PalNames,0)+1,MATCH("Passive0c",PalData_Header,0)),SkillDataCodeName,0)+1,MATCH("Conditions",SkillData_Header,0))))</f>
        <v>#N/A</v>
      </c>
      <c r="M50" s="45" t="str">
        <f aca="false">IFERROR(__xludf.dummyfunction("IFERROR(INDEX(SkillData,MATCH(Arrayformula(ARRAY_CONSTRAIN(FILTER(INDIRECT(""PalData!""&amp;ADDRESS(MATCH(B50,PalNames,0)+1,(MATCH(""Passive0c"",PalData_Header,0)))&amp;"":""&amp;ADDRESS(MATCH(B50,PalNames,0)+1,(MATCH(""Passive0c"",PalData_Header,0))+4)),LEN(INDIRECT"&amp;"(""PalData!""&amp;ADDRESS(MATCH(B50,PalNames,0)+1,(MATCH(""Passive0c"",PalData_Header,0)))&amp;"":""&amp;ADDRESS(MATCH(B50,PalNames,0)+1,(MATCH(""Passive0c"",PalData_Header,0))+4)))&gt;0),1,1)),SkillDataCodeName,0)+1,MATCH(""ValueType1"",SkillData_Header,0)))"),"")</f>
        <v/>
      </c>
      <c r="N50" s="45" t="e">
        <f aca="false" t="array" ref="N50:N50">IFERROR(INDEX(SkillData,MATCH(INDEX(PalData,MATCH($B50,PalNames,0)+1,MATCH("Passive0c",PalData_Header,0)),SkillDataCodeName,0)+1,MATCH("EffectValue1",SkillData_Header,0)))</f>
        <v>#VALUE!</v>
      </c>
      <c r="O50" s="45" t="e">
        <f aca="false" t="array" ref="O50:O50">IFERROR(INDEX(SkillData,MATCH(INDEX(PalData,MATCH($B50,PalNames,0)+1,MATCH("Passive1c",PalData_Header,0)),SkillDataCodeName,0)+1,MATCH("EffectValue1",SkillData_Header,0)))</f>
        <v>#VALUE!</v>
      </c>
      <c r="P50" s="45" t="e">
        <f aca="false" t="array" ref="P50:P50">IFERROR(INDEX(SkillData,MATCH(INDEX(PalData,MATCH($B50,PalNames,0)+1,MATCH("Passive2c",PalData_Header,0)),SkillDataCodeName,0)+1,MATCH("EffectValue1",SkillData_Header,0)))</f>
        <v>#VALUE!</v>
      </c>
      <c r="Q50" s="45" t="e">
        <f aca="false" t="array" ref="Q50:Q50">IFERROR(INDEX(SkillData,MATCH(INDEX(PalData,MATCH($B50,PalNames,0)+1,MATCH("Passive3c",PalData_Header,0)),SkillDataCodeName,0)+1,MATCH("EffectValue1",SkillData_Header,0)))</f>
        <v>#VALUE!</v>
      </c>
      <c r="R50" s="260" t="e">
        <f aca="false" t="array" ref="R50:R50">IFERROR(INDEX(SkillData,MATCH(INDEX(PalData,MATCH($B50,PalNames,0)+1,MATCH("Passive4c",PalData_Header,0)),SkillDataCodeName,0)+1,MATCH("EffectValue1",SkillData_Header,0)))</f>
        <v>#VALUE!</v>
      </c>
      <c r="S50" s="45" t="str">
        <f aca="false">IFERROR(__xludf.dummyfunction("IFERROR(INDEX(SkillData,MATCH(Arrayformula(ARRAY_CONSTRAIN(FILTER(INDIRECT(""PalData!""&amp;ADDRESS(MATCH(B50,PalNames,0)+1,(MATCH(""Passive0a"",PalData_Header,0)))&amp;"":""&amp;ADDRESS(MATCH(B50,PalNames,0)+1,(MATCH(""Passive0a"",PalData_Header,0))+4)),LEN(INDIRECT"&amp;"(""PalData!""&amp;ADDRESS(MATCH(B50,PalNames,0)+1,(MATCH(""Passive0a"",PalData_Header,0)))&amp;"":""&amp;ADDRESS(MATCH(B50,PalNames,0)+1,(MATCH(""Passive0a"",PalData_Header,0))+4)))&gt;0),1,1)),SkillDataCodeName,0)+1,MATCH(""EffectTypeCombined"",SkillData_Header,0)))"),"")</f>
        <v/>
      </c>
      <c r="T50" s="45" t="str">
        <f aca="false">IFERROR(__xludf.dummyfunction("IFERROR(INDEX(SkillData,MATCH(Arrayformula(ARRAY_CONSTRAIN(FILTER(INDIRECT(""PalData!""&amp;ADDRESS(MATCH(B50,PalNames,0)+1,(MATCH(""Passive0a"",PalData_Header,0)))&amp;"":""&amp;ADDRESS(MATCH(B50,PalNames,0)+1,(MATCH(""Passive0a"",PalData_Header,0))+4)),LEN(INDIRECT"&amp;"(""PalData!""&amp;ADDRESS(MATCH(B50,PalNames,0)+1,(MATCH(""Passive0a"",PalData_Header,0)))&amp;"":""&amp;ADDRESS(MATCH(B50,PalNames,0)+1,(MATCH(""Passive0a"",PalData_Header,0))+4)))&gt;0),1,1)),SkillDataCodeName,0)+1,MATCH(""TargetType1"",SkillData_Header,0)))"),"")</f>
        <v/>
      </c>
      <c r="U50" s="45" t="e">
        <f aca="false" t="array" ref="U50:U50">IF(INDEX(PalData,MATCH($B50,PalNames,0)+1,MATCH("Passive0aCondition",PalData_Header,0))=IFERROR(INDEX(SkillData,MATCH(INDEX(PalData,MATCH($B50,PalNames,0)+1,MATCH("Passive0a",PalData_Header,0)),SkillDataCodeName,0)+1,MATCH("Conditions",SkillData_Header,0))),INDEX(PalData,MATCH($B50,PalNames,0)+1,MATCH("Passive0aCondition",PalData_Header,0)),INDEX(PalData,MATCH($B50,PalNames,0)+1,MATCH("Passive0aCondition",PalData_Header,0)) &amp; IF(ISBLANK(INDEX(PalData,MATCH($B50,PalNames,0)+1,MATCH("Passive0aCondition",PalData_Header,0))),," ")&amp;IFERROR(INDEX(SkillData,MATCH(INDEX(PalData,MATCH($B50,PalNames,0)+1,MATCH("Passive0a",PalData_Header,0)),SkillDataCodeName,0)+1,MATCH("Conditions",SkillData_Header,0))))</f>
        <v>#N/A</v>
      </c>
      <c r="V50" s="45" t="str">
        <f aca="false">IFERROR(__xludf.dummyfunction("IFERROR(INDEX(SkillData,MATCH(Arrayformula(ARRAY_CONSTRAIN(FILTER(INDIRECT(""PalData!""&amp;ADDRESS(MATCH(B50,PalNames,0)+1,(MATCH(""Passive0a"",PalData_Header,0)))&amp;"":""&amp;ADDRESS(MATCH(B50,PalNames,0)+1,(MATCH(""Passive0a"",PalData_Header,0))+4)),LEN(INDIRECT"&amp;"(""PalData!""&amp;ADDRESS(MATCH(B50,PalNames,0)+1,(MATCH(""Passive0a"",PalData_Header,0)))&amp;"":""&amp;ADDRESS(MATCH(B50,PalNames,0)+1,(MATCH(""Passive0a"",PalData_Header,0))+4)))&gt;0),1,1)),SkillDataCodeName,0)+1,MATCH(""ValueType1"",SkillData_Header,0)))"),"")</f>
        <v/>
      </c>
      <c r="W50" s="45" t="n">
        <f aca="false">IFERROR(INDEX(SkillData,MATCH(INDEX(PalData,MATCH($B50,PalNames,0)+1,MATCH("Passive0a",PalData_Header,0)),SkillDataCodeName,0)+1,MATCH("EffectValue1",SkillData_Header,0)),)</f>
        <v>0</v>
      </c>
      <c r="X50" s="45" t="n">
        <f aca="false">IFERROR(INDEX(SkillData,MATCH(INDEX(PalData,MATCH($B50,PalNames,0)+1,MATCH("Passive1a",PalData_Header,0)),SkillDataCodeName,0)+1,MATCH("EffectValue1",SkillData_Header,0)),)</f>
        <v>0</v>
      </c>
      <c r="Y50" s="45" t="n">
        <f aca="false">IFERROR(INDEX(SkillData,MATCH(INDEX(PalData,MATCH($B50,PalNames,0)+1,MATCH("Passive2a",PalData_Header,0)),SkillDataCodeName,0)+1,MATCH("EffectValue1",SkillData_Header,0)),)</f>
        <v>0</v>
      </c>
      <c r="Z50" s="45" t="n">
        <f aca="false">IFERROR(INDEX(SkillData,MATCH(INDEX(PalData,MATCH($B50,PalNames,0)+1,MATCH("Passive3a",PalData_Header,0)),SkillDataCodeName,0)+1,MATCH("EffectValue1",SkillData_Header,0)),)</f>
        <v>0</v>
      </c>
      <c r="AA50" s="260" t="n">
        <f aca="false">IFERROR(INDEX(SkillData,MATCH(INDEX(PalData,MATCH($B50,PalNames,0)+1,MATCH("Passive4a",PalData_Header,0)),SkillDataCodeName,0)+1,MATCH("EffectValue1",SkillData_Header,0)),)</f>
        <v>0</v>
      </c>
      <c r="AB50" s="45" t="str">
        <f aca="false">IFERROR(__xludf.dummyfunction("IFERROR(INDEX(SkillData,MATCH(Arrayformula(ARRAY_CONSTRAIN(FILTER(INDIRECT(""PalData!""&amp;ADDRESS(MATCH(B50,PalNames,0)+1,(MATCH(""Passive0b"",PalData_Header,0)))&amp;"":""&amp;ADDRESS(MATCH(B50,PalNames,0)+1,(MATCH(""Passive0b"",PalData_Header,0))+4)),LEN(INDIRECT"&amp;"(""PalData!""&amp;ADDRESS(MATCH(B50,PalNames,0)+1,(MATCH(""Passive0b"",PalData_Header,0)))&amp;"":""&amp;ADDRESS(MATCH(B50,PalNames,0)+1,(MATCH(""Passive0b"",PalData_Header,0))+4)))&gt;0),1,1)),SkillDataCodeName,0)+1,MATCH(""EffectTypeCombined"",SkillData_Header,0)))"),"")</f>
        <v/>
      </c>
      <c r="AC50" s="45" t="str">
        <f aca="false">IFERROR(__xludf.dummyfunction("IFERROR(INDEX(SkillData,MATCH(Arrayformula(ARRAY_CONSTRAIN(FILTER(INDIRECT(""PalData!""&amp;ADDRESS(MATCH(B50,PalNames,0)+1,(MATCH(""Passive0b"",PalData_Header,0)))&amp;"":""&amp;ADDRESS(MATCH(B50,PalNames,0)+1,(MATCH(""Passive0b"",PalData_Header,0))+4)),LEN(INDIRECT"&amp;"(""PalData!""&amp;ADDRESS(MATCH(B50,PalNames,0)+1,(MATCH(""Passive0b"",PalData_Header,0)))&amp;"":""&amp;ADDRESS(MATCH(B50,PalNames,0)+1,(MATCH(""Passive0b"",PalData_Header,0))+4)))&gt;0),1,1)),SkillDataCodeName,0)+1,MATCH(""TargetType1"",SkillData_Header,0)))"),"")</f>
        <v/>
      </c>
      <c r="AD50" s="45" t="e">
        <f aca="false" t="array" ref="AD50:AD50">IF(INDEX(PalData,MATCH($B50,PalNames,0)+1,MATCH("Passive0bCondition",PalData_Header,0))=IFERROR(INDEX(SkillData,MATCH(INDEX(PalData,MATCH($B50,PalNames,0)+1,MATCH("Passive0b",PalData_Header,0)),SkillDataCodeName,0)+1,MATCH("Conditions",SkillData_Header,0))),INDEX(PalData,MATCH($B50,PalNames,0)+1,MATCH("Passive0bCondition",PalData_Header,0)),INDEX(PalData,MATCH($B50,PalNames,0)+1,MATCH("Passive0bCondition",PalData_Header,0)) &amp; IF(ISBLANK(INDEX(PalData,MATCH($B50,PalNames,0)+1,MATCH("Passive0bCondition",PalData_Header,0))),," ")&amp;IFERROR(INDEX(SkillData,MATCH(INDEX(PalData,MATCH($B50,PalNames,0)+1,MATCH("Passive0b",PalData_Header,0)),SkillDataCodeName,0)+1,MATCH("Conditions",SkillData_Header,0))))</f>
        <v>#N/A</v>
      </c>
      <c r="AE50" s="45" t="str">
        <f aca="false">IFERROR(__xludf.dummyfunction("IFERROR(INDEX(SkillData,MATCH(Arrayformula(ARRAY_CONSTRAIN(FILTER(INDIRECT(""PalData!""&amp;ADDRESS(MATCH(B50,PalNames,0)+1,(MATCH(""Passive0b"",PalData_Header,0)))&amp;"":""&amp;ADDRESS(MATCH(B50,PalNames,0)+1,(MATCH(""Passive0b"",PalData_Header,0))+4)),LEN(INDIRECT"&amp;"(""PalData!""&amp;ADDRESS(MATCH(B50,PalNames,0)+1,(MATCH(""Passive0b"",PalData_Header,0)))&amp;"":""&amp;ADDRESS(MATCH(B50,PalNames,0)+1,(MATCH(""Passive0b"",PalData_Header,0))+4)))&gt;0),1,1)),SkillDataCodeName,0)+1,MATCH(""ValueType1"",SkillData_Header,0)))"),"")</f>
        <v/>
      </c>
      <c r="AF50" s="45" t="n">
        <f aca="false">IFERROR(INDEX(SkillData,MATCH(INDEX(PalData,MATCH($B50,PalNames,0)+1,MATCH("Passive0b",PalData_Header,0)),SkillDataCodeName,0)+1,MATCH("EffectValue1",SkillData_Header,0)),)</f>
        <v>0</v>
      </c>
      <c r="AG50" s="45" t="n">
        <f aca="false">IFERROR(INDEX(SkillData,MATCH(INDEX(PalData,MATCH($B50,PalNames,0)+1,MATCH("Passive1b",PalData_Header,0)),SkillDataCodeName,0)+1,MATCH("EffectValue1",SkillData_Header,0)),)</f>
        <v>0</v>
      </c>
      <c r="AH50" s="45" t="n">
        <f aca="false">IFERROR(INDEX(SkillData,MATCH(INDEX(PalData,MATCH($B50,PalNames,0)+1,MATCH("Passive2b",PalData_Header,0)),SkillDataCodeName,0)+1,MATCH("EffectValue1",SkillData_Header,0)),)</f>
        <v>0</v>
      </c>
      <c r="AI50" s="45" t="n">
        <f aca="false">IFERROR(INDEX(SkillData,MATCH(INDEX(PalData,MATCH($B50,PalNames,0)+1,MATCH("Passive3b",PalData_Header,0)),SkillDataCodeName,0)+1,MATCH("EffectValue1",SkillData_Header,0)),)</f>
        <v>0</v>
      </c>
      <c r="AJ50" s="260" t="n">
        <f aca="false">IFERROR(INDEX(SkillData,MATCH(INDEX(PalData,MATCH($B50,PalNames,0)+1,MATCH("Passive4b",PalData_Header,0)),SkillDataCodeName,0)+1,MATCH("EffectValue1",SkillData_Header,0)),)</f>
        <v>0</v>
      </c>
      <c r="AK50" s="301" t="s">
        <v>314</v>
      </c>
    </row>
    <row r="51" customFormat="false" ht="15.75" hidden="false" customHeight="false" outlineLevel="0" collapsed="false">
      <c r="A51" s="302" t="n">
        <v>40</v>
      </c>
      <c r="B51" s="303" t="s">
        <v>78</v>
      </c>
      <c r="C51" s="48" t="str">
        <f aca="false" t="array" ref="C51:C51">IF(ISBLANK(INDEX(PalData,MATCH($B51,PalNames,0)+1,MATCH("ActiveSkill",PalData_Header,0))),INDEX(PalData,MATCH($B51,PalNames,0)+1,MATCH("SkillUnlock_",PalData_Header,0)),INDEX(PalData,MATCH($B51,PalNames,0)+1,MATCH("ActiveSkill",PalData_Header,0)))</f>
        <v>Unique_Baphomet_SwallowKite</v>
      </c>
      <c r="D51" s="48" t="s">
        <v>269</v>
      </c>
      <c r="E51" s="61" t="n">
        <f aca="false" t="array" ref="E51:E51">INDEX(PalData,MATCH($B51,PalNames,0)+1,MATCH("ActiveSkillBonus0",PalData_Header,0))</f>
        <v>1.1</v>
      </c>
      <c r="F51" s="61" t="n">
        <f aca="false" t="array" ref="F51:F51">INDEX(PalData,MATCH($B51,PalNames,0)+1,MATCH("ActiveSkillBonus1",PalData_Header,0))</f>
        <v>1.3</v>
      </c>
      <c r="G51" s="61" t="n">
        <f aca="false" t="array" ref="G51:G51">INDEX(PalData,MATCH($B51,PalNames,0)+1,MATCH("ActiveSkillBonus2",PalData_Header,0))</f>
        <v>1.6</v>
      </c>
      <c r="H51" s="61" t="n">
        <f aca="false" t="array" ref="H51:H51">INDEX(PalData,MATCH($B51,PalNames,0)+1,MATCH("ActiveSkillBonus3",PalData_Header,0))</f>
        <v>2</v>
      </c>
      <c r="I51" s="304" t="n">
        <f aca="false" t="array" ref="I51:I51">INDEX(PalData,MATCH($B51,PalNames,0)+1,MATCH("ActiveSkillBonus4",PalData_Header,0))</f>
        <v>2.5</v>
      </c>
      <c r="J51" s="48" t="str">
        <f aca="false">IFERROR(__xludf.dummyfunction("IFERROR(INDEX(SkillData,MATCH(Arrayformula(ARRAY_CONSTRAIN(FILTER(INDIRECT(""PalData!""&amp;ADDRESS(MATCH(B51,PalNames,0)+1,(MATCH(""Passive0c"",PalData_Header,0)))&amp;"":""&amp;ADDRESS(MATCH(B51,PalNames,0)+1,(MATCH(""Passive0c"",PalData_Header,0))+4)),LEN(INDIRECT"&amp;"(""PalData!""&amp;ADDRESS(MATCH(B51,PalNames,0)+1,(MATCH(""Passive0c"",PalData_Header,0)))&amp;"":""&amp;ADDRESS(MATCH(B51,PalNames,0)+1,(MATCH(""Passive0c"",PalData_Header,0))+4)))&gt;0),1,1)),SkillDataCodeName,0)+1,MATCH(""EffectTypeCombined"",SkillData_Header,0)))"),"")</f>
        <v/>
      </c>
      <c r="K51" s="48" t="str">
        <f aca="false">IFERROR(__xludf.dummyfunction("IFERROR(INDEX(SkillData,MATCH(Arrayformula(ARRAY_CONSTRAIN(FILTER(INDIRECT(""PalData!""&amp;ADDRESS(MATCH(B51,PalNames,0)+1,(MATCH(""Passive0c"",PalData_Header,0)))&amp;"":""&amp;ADDRESS(MATCH(B51,PalNames,0)+1,(MATCH(""Passive0c"",PalData_Header,0))+4)),LEN(INDIRECT"&amp;"(""PalData!""&amp;ADDRESS(MATCH(B51,PalNames,0)+1,(MATCH(""Passive0c"",PalData_Header,0)))&amp;"":""&amp;ADDRESS(MATCH(B51,PalNames,0)+1,(MATCH(""Passive0c"",PalData_Header,0))+4)))&gt;0),1,1)),SkillDataCodeName,0)+1,MATCH(""TargetType1"",SkillData_Header,0)))"),"")</f>
        <v/>
      </c>
      <c r="L51" s="48" t="e">
        <f aca="false" t="array" ref="L51:L51">IF(INDEX(PalData,MATCH($B51,PalNames,0)+1,MATCH("Passive0cCondition",PalData_Header,0))=IFERROR(INDEX(SkillData,MATCH(INDEX(PalData,MATCH($B51,PalNames,0)+1,MATCH("Passive0c",PalData_Header,0)),SkillDataCodeName,0)+1,MATCH("Conditions",SkillData_Header,0))),INDEX(PalData,MATCH($B51,PalNames,0)+1,MATCH("Passive0cCondition",PalData_Header,0)),INDEX(PalData,MATCH($B51,PalNames,0)+1,MATCH("Passive0cCondition",PalData_Header,0)) &amp; IF(ISBLANK(INDEX(PalData,MATCH($B51,PalNames,0)+1,MATCH("Passive0cCondition",PalData_Header,0))),," ")&amp;IFERROR(INDEX(SkillData,MATCH(INDEX(PalData,MATCH($B51,PalNames,0)+1,MATCH("Passive0c",PalData_Header,0)),SkillDataCodeName,0)+1,MATCH("Conditions",SkillData_Header,0))))</f>
        <v>#N/A</v>
      </c>
      <c r="M51" s="48" t="str">
        <f aca="false">IFERROR(__xludf.dummyfunction("IFERROR(INDEX(SkillData,MATCH(Arrayformula(ARRAY_CONSTRAIN(FILTER(INDIRECT(""PalData!""&amp;ADDRESS(MATCH(B51,PalNames,0)+1,(MATCH(""Passive0c"",PalData_Header,0)))&amp;"":""&amp;ADDRESS(MATCH(B51,PalNames,0)+1,(MATCH(""Passive0c"",PalData_Header,0))+4)),LEN(INDIRECT"&amp;"(""PalData!""&amp;ADDRESS(MATCH(B51,PalNames,0)+1,(MATCH(""Passive0c"",PalData_Header,0)))&amp;"":""&amp;ADDRESS(MATCH(B51,PalNames,0)+1,(MATCH(""Passive0c"",PalData_Header,0))+4)))&gt;0),1,1)),SkillDataCodeName,0)+1,MATCH(""ValueType1"",SkillData_Header,0)))"),"")</f>
        <v/>
      </c>
      <c r="N51" s="48" t="e">
        <f aca="false" t="array" ref="N51:N51">IFERROR(INDEX(SkillData,MATCH(INDEX(PalData,MATCH($B51,PalNames,0)+1,MATCH("Passive0c",PalData_Header,0)),SkillDataCodeName,0)+1,MATCH("EffectValue1",SkillData_Header,0)))</f>
        <v>#VALUE!</v>
      </c>
      <c r="O51" s="48" t="e">
        <f aca="false" t="array" ref="O51:O51">IFERROR(INDEX(SkillData,MATCH(INDEX(PalData,MATCH($B51,PalNames,0)+1,MATCH("Passive1c",PalData_Header,0)),SkillDataCodeName,0)+1,MATCH("EffectValue1",SkillData_Header,0)))</f>
        <v>#VALUE!</v>
      </c>
      <c r="P51" s="48" t="e">
        <f aca="false" t="array" ref="P51:P51">IFERROR(INDEX(SkillData,MATCH(INDEX(PalData,MATCH($B51,PalNames,0)+1,MATCH("Passive2c",PalData_Header,0)),SkillDataCodeName,0)+1,MATCH("EffectValue1",SkillData_Header,0)))</f>
        <v>#VALUE!</v>
      </c>
      <c r="Q51" s="48" t="e">
        <f aca="false" t="array" ref="Q51:Q51">IFERROR(INDEX(SkillData,MATCH(INDEX(PalData,MATCH($B51,PalNames,0)+1,MATCH("Passive3c",PalData_Header,0)),SkillDataCodeName,0)+1,MATCH("EffectValue1",SkillData_Header,0)))</f>
        <v>#VALUE!</v>
      </c>
      <c r="R51" s="263" t="e">
        <f aca="false" t="array" ref="R51:R51">IFERROR(INDEX(SkillData,MATCH(INDEX(PalData,MATCH($B51,PalNames,0)+1,MATCH("Passive4c",PalData_Header,0)),SkillDataCodeName,0)+1,MATCH("EffectValue1",SkillData_Header,0)))</f>
        <v>#VALUE!</v>
      </c>
      <c r="S51" s="48" t="str">
        <f aca="false">IFERROR(__xludf.dummyfunction("IFERROR(INDEX(SkillData,MATCH(Arrayformula(ARRAY_CONSTRAIN(FILTER(INDIRECT(""PalData!""&amp;ADDRESS(MATCH(B51,PalNames,0)+1,(MATCH(""Passive0a"",PalData_Header,0)))&amp;"":""&amp;ADDRESS(MATCH(B51,PalNames,0)+1,(MATCH(""Passive0a"",PalData_Header,0))+4)),LEN(INDIRECT"&amp;"(""PalData!""&amp;ADDRESS(MATCH(B51,PalNames,0)+1,(MATCH(""Passive0a"",PalData_Header,0)))&amp;"":""&amp;ADDRESS(MATCH(B51,PalNames,0)+1,(MATCH(""Passive0a"",PalData_Header,0))+4)))&gt;0),1,1)),SkillDataCodeName,0)+1,MATCH(""EffectTypeCombined"",SkillData_Header,0)))"),"")</f>
        <v/>
      </c>
      <c r="T51" s="48" t="str">
        <f aca="false">IFERROR(__xludf.dummyfunction("IFERROR(INDEX(SkillData,MATCH(Arrayformula(ARRAY_CONSTRAIN(FILTER(INDIRECT(""PalData!""&amp;ADDRESS(MATCH(B51,PalNames,0)+1,(MATCH(""Passive0a"",PalData_Header,0)))&amp;"":""&amp;ADDRESS(MATCH(B51,PalNames,0)+1,(MATCH(""Passive0a"",PalData_Header,0))+4)),LEN(INDIRECT"&amp;"(""PalData!""&amp;ADDRESS(MATCH(B51,PalNames,0)+1,(MATCH(""Passive0a"",PalData_Header,0)))&amp;"":""&amp;ADDRESS(MATCH(B51,PalNames,0)+1,(MATCH(""Passive0a"",PalData_Header,0))+4)))&gt;0),1,1)),SkillDataCodeName,0)+1,MATCH(""TargetType1"",SkillData_Header,0)))"),"")</f>
        <v/>
      </c>
      <c r="U51" s="48" t="e">
        <f aca="false" t="array" ref="U51:U51">IF(INDEX(PalData,MATCH($B51,PalNames,0)+1,MATCH("Passive0aCondition",PalData_Header,0))=IFERROR(INDEX(SkillData,MATCH(INDEX(PalData,MATCH($B51,PalNames,0)+1,MATCH("Passive0a",PalData_Header,0)),SkillDataCodeName,0)+1,MATCH("Conditions",SkillData_Header,0))),INDEX(PalData,MATCH($B51,PalNames,0)+1,MATCH("Passive0aCondition",PalData_Header,0)),INDEX(PalData,MATCH($B51,PalNames,0)+1,MATCH("Passive0aCondition",PalData_Header,0)) &amp; IF(ISBLANK(INDEX(PalData,MATCH($B51,PalNames,0)+1,MATCH("Passive0aCondition",PalData_Header,0))),," ")&amp;IFERROR(INDEX(SkillData,MATCH(INDEX(PalData,MATCH($B51,PalNames,0)+1,MATCH("Passive0a",PalData_Header,0)),SkillDataCodeName,0)+1,MATCH("Conditions",SkillData_Header,0))))</f>
        <v>#N/A</v>
      </c>
      <c r="V51" s="48" t="str">
        <f aca="false">IFERROR(__xludf.dummyfunction("IFERROR(INDEX(SkillData,MATCH(Arrayformula(ARRAY_CONSTRAIN(FILTER(INDIRECT(""PalData!""&amp;ADDRESS(MATCH(B51,PalNames,0)+1,(MATCH(""Passive0a"",PalData_Header,0)))&amp;"":""&amp;ADDRESS(MATCH(B51,PalNames,0)+1,(MATCH(""Passive0a"",PalData_Header,0))+4)),LEN(INDIRECT"&amp;"(""PalData!""&amp;ADDRESS(MATCH(B51,PalNames,0)+1,(MATCH(""Passive0a"",PalData_Header,0)))&amp;"":""&amp;ADDRESS(MATCH(B51,PalNames,0)+1,(MATCH(""Passive0a"",PalData_Header,0))+4)))&gt;0),1,1)),SkillDataCodeName,0)+1,MATCH(""ValueType1"",SkillData_Header,0)))"),"")</f>
        <v/>
      </c>
      <c r="W51" s="48" t="n">
        <f aca="false">IFERROR(INDEX(SkillData,MATCH(INDEX(PalData,MATCH($B51,PalNames,0)+1,MATCH("Passive0a",PalData_Header,0)),SkillDataCodeName,0)+1,MATCH("EffectValue1",SkillData_Header,0)),)</f>
        <v>0</v>
      </c>
      <c r="X51" s="48" t="n">
        <f aca="false">IFERROR(INDEX(SkillData,MATCH(INDEX(PalData,MATCH($B51,PalNames,0)+1,MATCH("Passive1a",PalData_Header,0)),SkillDataCodeName,0)+1,MATCH("EffectValue1",SkillData_Header,0)),)</f>
        <v>0</v>
      </c>
      <c r="Y51" s="48" t="n">
        <f aca="false">IFERROR(INDEX(SkillData,MATCH(INDEX(PalData,MATCH($B51,PalNames,0)+1,MATCH("Passive2a",PalData_Header,0)),SkillDataCodeName,0)+1,MATCH("EffectValue1",SkillData_Header,0)),)</f>
        <v>0</v>
      </c>
      <c r="Z51" s="48" t="n">
        <f aca="false">IFERROR(INDEX(SkillData,MATCH(INDEX(PalData,MATCH($B51,PalNames,0)+1,MATCH("Passive3a",PalData_Header,0)),SkillDataCodeName,0)+1,MATCH("EffectValue1",SkillData_Header,0)),)</f>
        <v>0</v>
      </c>
      <c r="AA51" s="263" t="n">
        <f aca="false">IFERROR(INDEX(SkillData,MATCH(INDEX(PalData,MATCH($B51,PalNames,0)+1,MATCH("Passive4a",PalData_Header,0)),SkillDataCodeName,0)+1,MATCH("EffectValue1",SkillData_Header,0)),)</f>
        <v>0</v>
      </c>
      <c r="AB51" s="48" t="str">
        <f aca="false">IFERROR(__xludf.dummyfunction("IFERROR(INDEX(SkillData,MATCH(Arrayformula(ARRAY_CONSTRAIN(FILTER(INDIRECT(""PalData!""&amp;ADDRESS(MATCH(B51,PalNames,0)+1,(MATCH(""Passive0b"",PalData_Header,0)))&amp;"":""&amp;ADDRESS(MATCH(B51,PalNames,0)+1,(MATCH(""Passive0b"",PalData_Header,0))+4)),LEN(INDIRECT"&amp;"(""PalData!""&amp;ADDRESS(MATCH(B51,PalNames,0)+1,(MATCH(""Passive0b"",PalData_Header,0)))&amp;"":""&amp;ADDRESS(MATCH(B51,PalNames,0)+1,(MATCH(""Passive0b"",PalData_Header,0))+4)))&gt;0),1,1)),SkillDataCodeName,0)+1,MATCH(""EffectTypeCombined"",SkillData_Header,0)))"),"")</f>
        <v/>
      </c>
      <c r="AC51" s="48" t="str">
        <f aca="false">IFERROR(__xludf.dummyfunction("IFERROR(INDEX(SkillData,MATCH(Arrayformula(ARRAY_CONSTRAIN(FILTER(INDIRECT(""PalData!""&amp;ADDRESS(MATCH(B51,PalNames,0)+1,(MATCH(""Passive0b"",PalData_Header,0)))&amp;"":""&amp;ADDRESS(MATCH(B51,PalNames,0)+1,(MATCH(""Passive0b"",PalData_Header,0))+4)),LEN(INDIRECT"&amp;"(""PalData!""&amp;ADDRESS(MATCH(B51,PalNames,0)+1,(MATCH(""Passive0b"",PalData_Header,0)))&amp;"":""&amp;ADDRESS(MATCH(B51,PalNames,0)+1,(MATCH(""Passive0b"",PalData_Header,0))+4)))&gt;0),1,1)),SkillDataCodeName,0)+1,MATCH(""TargetType1"",SkillData_Header,0)))"),"")</f>
        <v/>
      </c>
      <c r="AD51" s="48" t="e">
        <f aca="false" t="array" ref="AD51:AD51">IF(INDEX(PalData,MATCH($B51,PalNames,0)+1,MATCH("Passive0bCondition",PalData_Header,0))=IFERROR(INDEX(SkillData,MATCH(INDEX(PalData,MATCH($B51,PalNames,0)+1,MATCH("Passive0b",PalData_Header,0)),SkillDataCodeName,0)+1,MATCH("Conditions",SkillData_Header,0))),INDEX(PalData,MATCH($B51,PalNames,0)+1,MATCH("Passive0bCondition",PalData_Header,0)),INDEX(PalData,MATCH($B51,PalNames,0)+1,MATCH("Passive0bCondition",PalData_Header,0)) &amp; IF(ISBLANK(INDEX(PalData,MATCH($B51,PalNames,0)+1,MATCH("Passive0bCondition",PalData_Header,0))),," ")&amp;IFERROR(INDEX(SkillData,MATCH(INDEX(PalData,MATCH($B51,PalNames,0)+1,MATCH("Passive0b",PalData_Header,0)),SkillDataCodeName,0)+1,MATCH("Conditions",SkillData_Header,0))))</f>
        <v>#N/A</v>
      </c>
      <c r="AE51" s="48" t="str">
        <f aca="false">IFERROR(__xludf.dummyfunction("IFERROR(INDEX(SkillData,MATCH(Arrayformula(ARRAY_CONSTRAIN(FILTER(INDIRECT(""PalData!""&amp;ADDRESS(MATCH(B51,PalNames,0)+1,(MATCH(""Passive0b"",PalData_Header,0)))&amp;"":""&amp;ADDRESS(MATCH(B51,PalNames,0)+1,(MATCH(""Passive0b"",PalData_Header,0))+4)),LEN(INDIRECT"&amp;"(""PalData!""&amp;ADDRESS(MATCH(B51,PalNames,0)+1,(MATCH(""Passive0b"",PalData_Header,0)))&amp;"":""&amp;ADDRESS(MATCH(B51,PalNames,0)+1,(MATCH(""Passive0b"",PalData_Header,0))+4)))&gt;0),1,1)),SkillDataCodeName,0)+1,MATCH(""ValueType1"",SkillData_Header,0)))"),"")</f>
        <v/>
      </c>
      <c r="AF51" s="48" t="n">
        <f aca="false">IFERROR(INDEX(SkillData,MATCH(INDEX(PalData,MATCH($B51,PalNames,0)+1,MATCH("Passive0b",PalData_Header,0)),SkillDataCodeName,0)+1,MATCH("EffectValue1",SkillData_Header,0)),)</f>
        <v>0</v>
      </c>
      <c r="AG51" s="48" t="n">
        <f aca="false">IFERROR(INDEX(SkillData,MATCH(INDEX(PalData,MATCH($B51,PalNames,0)+1,MATCH("Passive1b",PalData_Header,0)),SkillDataCodeName,0)+1,MATCH("EffectValue1",SkillData_Header,0)),)</f>
        <v>0</v>
      </c>
      <c r="AH51" s="48" t="n">
        <f aca="false">IFERROR(INDEX(SkillData,MATCH(INDEX(PalData,MATCH($B51,PalNames,0)+1,MATCH("Passive2b",PalData_Header,0)),SkillDataCodeName,0)+1,MATCH("EffectValue1",SkillData_Header,0)),)</f>
        <v>0</v>
      </c>
      <c r="AI51" s="48" t="n">
        <f aca="false">IFERROR(INDEX(SkillData,MATCH(INDEX(PalData,MATCH($B51,PalNames,0)+1,MATCH("Passive3b",PalData_Header,0)),SkillDataCodeName,0)+1,MATCH("EffectValue1",SkillData_Header,0)),)</f>
        <v>0</v>
      </c>
      <c r="AJ51" s="263" t="n">
        <f aca="false">IFERROR(INDEX(SkillData,MATCH(INDEX(PalData,MATCH($B51,PalNames,0)+1,MATCH("Passive4b",PalData_Header,0)),SkillDataCodeName,0)+1,MATCH("EffectValue1",SkillData_Header,0)),)</f>
        <v>0</v>
      </c>
      <c r="AK51" s="305" t="s">
        <v>315</v>
      </c>
    </row>
    <row r="52" customFormat="false" ht="15.75" hidden="false" customHeight="false" outlineLevel="0" collapsed="false">
      <c r="A52" s="299" t="n">
        <v>41</v>
      </c>
      <c r="B52" s="300" t="s">
        <v>37</v>
      </c>
      <c r="C52" s="45" t="str">
        <f aca="false" t="array" ref="C52:C52">IF(ISBLANK(INDEX(PalData,MATCH($B52,PalNames,0)+1,MATCH("ActiveSkill",PalData_Header,0))),INDEX(PalData,MATCH($B52,PalNames,0)+1,MATCH("SkillUnlock_",PalData_Header,0)),INDEX(PalData,MATCH($B52,PalNames,0)+1,MATCH("ActiveSkill",PalData_Header,0)))</f>
        <v>PoisonFog</v>
      </c>
      <c r="D52" s="45" t="s">
        <v>269</v>
      </c>
      <c r="E52" s="62" t="n">
        <f aca="false" t="array" ref="E52:E52">INDEX(PalData,MATCH($B52,PalNames,0)+1,MATCH("ActiveSkillBonus0",PalData_Header,0))</f>
        <v>1.1</v>
      </c>
      <c r="F52" s="62" t="n">
        <f aca="false" t="array" ref="F52:F52">INDEX(PalData,MATCH($B52,PalNames,0)+1,MATCH("ActiveSkillBonus1",PalData_Header,0))</f>
        <v>1.3</v>
      </c>
      <c r="G52" s="62" t="n">
        <f aca="false" t="array" ref="G52:G52">INDEX(PalData,MATCH($B52,PalNames,0)+1,MATCH("ActiveSkillBonus2",PalData_Header,0))</f>
        <v>1.6</v>
      </c>
      <c r="H52" s="62" t="n">
        <f aca="false" t="array" ref="H52:H52">INDEX(PalData,MATCH($B52,PalNames,0)+1,MATCH("ActiveSkillBonus3",PalData_Header,0))</f>
        <v>2</v>
      </c>
      <c r="I52" s="306" t="n">
        <f aca="false" t="array" ref="I52:I52">INDEX(PalData,MATCH($B52,PalNames,0)+1,MATCH("ActiveSkillBonus4",PalData_Header,0))</f>
        <v>2.5</v>
      </c>
      <c r="J52" s="45" t="str">
        <f aca="false">IFERROR(__xludf.dummyfunction("IFERROR(INDEX(SkillData,MATCH(Arrayformula(ARRAY_CONSTRAIN(FILTER(INDIRECT(""PalData!""&amp;ADDRESS(MATCH(B52,PalNames,0)+1,(MATCH(""Passive0c"",PalData_Header,0)))&amp;"":""&amp;ADDRESS(MATCH(B52,PalNames,0)+1,(MATCH(""Passive0c"",PalData_Header,0))+4)),LEN(INDIRECT"&amp;"(""PalData!""&amp;ADDRESS(MATCH(B52,PalNames,0)+1,(MATCH(""Passive0c"",PalData_Header,0)))&amp;"":""&amp;ADDRESS(MATCH(B52,PalNames,0)+1,(MATCH(""Passive0c"",PalData_Header,0))+4)))&gt;0),1,1)),SkillDataCodeName,0)+1,MATCH(""EffectTypeCombined"",SkillData_Header,0)))"),"")</f>
        <v/>
      </c>
      <c r="K52" s="45" t="str">
        <f aca="false">IFERROR(__xludf.dummyfunction("IFERROR(INDEX(SkillData,MATCH(Arrayformula(ARRAY_CONSTRAIN(FILTER(INDIRECT(""PalData!""&amp;ADDRESS(MATCH(B52,PalNames,0)+1,(MATCH(""Passive0c"",PalData_Header,0)))&amp;"":""&amp;ADDRESS(MATCH(B52,PalNames,0)+1,(MATCH(""Passive0c"",PalData_Header,0))+4)),LEN(INDIRECT"&amp;"(""PalData!""&amp;ADDRESS(MATCH(B52,PalNames,0)+1,(MATCH(""Passive0c"",PalData_Header,0)))&amp;"":""&amp;ADDRESS(MATCH(B52,PalNames,0)+1,(MATCH(""Passive0c"",PalData_Header,0))+4)))&gt;0),1,1)),SkillDataCodeName,0)+1,MATCH(""TargetType1"",SkillData_Header,0)))"),"")</f>
        <v/>
      </c>
      <c r="L52" s="45" t="e">
        <f aca="false" t="array" ref="L52:L52">IF(INDEX(PalData,MATCH($B52,PalNames,0)+1,MATCH("Passive0cCondition",PalData_Header,0))=IFERROR(INDEX(SkillData,MATCH(INDEX(PalData,MATCH($B52,PalNames,0)+1,MATCH("Passive0c",PalData_Header,0)),SkillDataCodeName,0)+1,MATCH("Conditions",SkillData_Header,0))),INDEX(PalData,MATCH($B52,PalNames,0)+1,MATCH("Passive0cCondition",PalData_Header,0)),INDEX(PalData,MATCH($B52,PalNames,0)+1,MATCH("Passive0cCondition",PalData_Header,0)) &amp; IF(ISBLANK(INDEX(PalData,MATCH($B52,PalNames,0)+1,MATCH("Passive0cCondition",PalData_Header,0))),," ")&amp;IFERROR(INDEX(SkillData,MATCH(INDEX(PalData,MATCH($B52,PalNames,0)+1,MATCH("Passive0c",PalData_Header,0)),SkillDataCodeName,0)+1,MATCH("Conditions",SkillData_Header,0))))</f>
        <v>#N/A</v>
      </c>
      <c r="M52" s="45" t="str">
        <f aca="false">IFERROR(__xludf.dummyfunction("IFERROR(INDEX(SkillData,MATCH(Arrayformula(ARRAY_CONSTRAIN(FILTER(INDIRECT(""PalData!""&amp;ADDRESS(MATCH(B52,PalNames,0)+1,(MATCH(""Passive0c"",PalData_Header,0)))&amp;"":""&amp;ADDRESS(MATCH(B52,PalNames,0)+1,(MATCH(""Passive0c"",PalData_Header,0))+4)),LEN(INDIRECT"&amp;"(""PalData!""&amp;ADDRESS(MATCH(B52,PalNames,0)+1,(MATCH(""Passive0c"",PalData_Header,0)))&amp;"":""&amp;ADDRESS(MATCH(B52,PalNames,0)+1,(MATCH(""Passive0c"",PalData_Header,0))+4)))&gt;0),1,1)),SkillDataCodeName,0)+1,MATCH(""ValueType1"",SkillData_Header,0)))"),"")</f>
        <v/>
      </c>
      <c r="N52" s="45" t="e">
        <f aca="false" t="array" ref="N52:N52">IFERROR(INDEX(SkillData,MATCH(INDEX(PalData,MATCH($B52,PalNames,0)+1,MATCH("Passive0c",PalData_Header,0)),SkillDataCodeName,0)+1,MATCH("EffectValue1",SkillData_Header,0)))</f>
        <v>#VALUE!</v>
      </c>
      <c r="O52" s="45" t="e">
        <f aca="false" t="array" ref="O52:O52">IFERROR(INDEX(SkillData,MATCH(INDEX(PalData,MATCH($B52,PalNames,0)+1,MATCH("Passive1c",PalData_Header,0)),SkillDataCodeName,0)+1,MATCH("EffectValue1",SkillData_Header,0)))</f>
        <v>#VALUE!</v>
      </c>
      <c r="P52" s="45" t="e">
        <f aca="false" t="array" ref="P52:P52">IFERROR(INDEX(SkillData,MATCH(INDEX(PalData,MATCH($B52,PalNames,0)+1,MATCH("Passive2c",PalData_Header,0)),SkillDataCodeName,0)+1,MATCH("EffectValue1",SkillData_Header,0)))</f>
        <v>#VALUE!</v>
      </c>
      <c r="Q52" s="45" t="e">
        <f aca="false" t="array" ref="Q52:Q52">IFERROR(INDEX(SkillData,MATCH(INDEX(PalData,MATCH($B52,PalNames,0)+1,MATCH("Passive3c",PalData_Header,0)),SkillDataCodeName,0)+1,MATCH("EffectValue1",SkillData_Header,0)))</f>
        <v>#VALUE!</v>
      </c>
      <c r="R52" s="260" t="e">
        <f aca="false" t="array" ref="R52:R52">IFERROR(INDEX(SkillData,MATCH(INDEX(PalData,MATCH($B52,PalNames,0)+1,MATCH("Passive4c",PalData_Header,0)),SkillDataCodeName,0)+1,MATCH("EffectValue1",SkillData_Header,0)))</f>
        <v>#VALUE!</v>
      </c>
      <c r="S52" s="45" t="str">
        <f aca="false">IFERROR(__xludf.dummyfunction("IFERROR(INDEX(SkillData,MATCH(Arrayformula(ARRAY_CONSTRAIN(FILTER(INDIRECT(""PalData!""&amp;ADDRESS(MATCH(B52,PalNames,0)+1,(MATCH(""Passive0a"",PalData_Header,0)))&amp;"":""&amp;ADDRESS(MATCH(B52,PalNames,0)+1,(MATCH(""Passive0a"",PalData_Header,0))+4)),LEN(INDIRECT"&amp;"(""PalData!""&amp;ADDRESS(MATCH(B52,PalNames,0)+1,(MATCH(""Passive0a"",PalData_Header,0)))&amp;"":""&amp;ADDRESS(MATCH(B52,PalNames,0)+1,(MATCH(""Passive0a"",PalData_Header,0))+4)))&gt;0),1,1)),SkillDataCodeName,0)+1,MATCH(""EffectTypeCombined"",SkillData_Header,0)))"),"")</f>
        <v/>
      </c>
      <c r="T52" s="45" t="str">
        <f aca="false">IFERROR(__xludf.dummyfunction("IFERROR(INDEX(SkillData,MATCH(Arrayformula(ARRAY_CONSTRAIN(FILTER(INDIRECT(""PalData!""&amp;ADDRESS(MATCH(B52,PalNames,0)+1,(MATCH(""Passive0a"",PalData_Header,0)))&amp;"":""&amp;ADDRESS(MATCH(B52,PalNames,0)+1,(MATCH(""Passive0a"",PalData_Header,0))+4)),LEN(INDIRECT"&amp;"(""PalData!""&amp;ADDRESS(MATCH(B52,PalNames,0)+1,(MATCH(""Passive0a"",PalData_Header,0)))&amp;"":""&amp;ADDRESS(MATCH(B52,PalNames,0)+1,(MATCH(""Passive0a"",PalData_Header,0))+4)))&gt;0),1,1)),SkillDataCodeName,0)+1,MATCH(""TargetType1"",SkillData_Header,0)))"),"")</f>
        <v/>
      </c>
      <c r="U52" s="45" t="e">
        <f aca="false" t="array" ref="U52:U52">IF(INDEX(PalData,MATCH($B52,PalNames,0)+1,MATCH("Passive0aCondition",PalData_Header,0))=IFERROR(INDEX(SkillData,MATCH(INDEX(PalData,MATCH($B52,PalNames,0)+1,MATCH("Passive0a",PalData_Header,0)),SkillDataCodeName,0)+1,MATCH("Conditions",SkillData_Header,0))),INDEX(PalData,MATCH($B52,PalNames,0)+1,MATCH("Passive0aCondition",PalData_Header,0)),INDEX(PalData,MATCH($B52,PalNames,0)+1,MATCH("Passive0aCondition",PalData_Header,0)) &amp; IF(ISBLANK(INDEX(PalData,MATCH($B52,PalNames,0)+1,MATCH("Passive0aCondition",PalData_Header,0))),," ")&amp;IFERROR(INDEX(SkillData,MATCH(INDEX(PalData,MATCH($B52,PalNames,0)+1,MATCH("Passive0a",PalData_Header,0)),SkillDataCodeName,0)+1,MATCH("Conditions",SkillData_Header,0))))</f>
        <v>#N/A</v>
      </c>
      <c r="V52" s="45" t="str">
        <f aca="false">IFERROR(__xludf.dummyfunction("IFERROR(INDEX(SkillData,MATCH(Arrayformula(ARRAY_CONSTRAIN(FILTER(INDIRECT(""PalData!""&amp;ADDRESS(MATCH(B52,PalNames,0)+1,(MATCH(""Passive0a"",PalData_Header,0)))&amp;"":""&amp;ADDRESS(MATCH(B52,PalNames,0)+1,(MATCH(""Passive0a"",PalData_Header,0))+4)),LEN(INDIRECT"&amp;"(""PalData!""&amp;ADDRESS(MATCH(B52,PalNames,0)+1,(MATCH(""Passive0a"",PalData_Header,0)))&amp;"":""&amp;ADDRESS(MATCH(B52,PalNames,0)+1,(MATCH(""Passive0a"",PalData_Header,0))+4)))&gt;0),1,1)),SkillDataCodeName,0)+1,MATCH(""ValueType1"",SkillData_Header,0)))"),"")</f>
        <v/>
      </c>
      <c r="W52" s="45" t="n">
        <f aca="false">IFERROR(INDEX(SkillData,MATCH(INDEX(PalData,MATCH($B52,PalNames,0)+1,MATCH("Passive0a",PalData_Header,0)),SkillDataCodeName,0)+1,MATCH("EffectValue1",SkillData_Header,0)),)</f>
        <v>0</v>
      </c>
      <c r="X52" s="45" t="n">
        <f aca="false">IFERROR(INDEX(SkillData,MATCH(INDEX(PalData,MATCH($B52,PalNames,0)+1,MATCH("Passive1a",PalData_Header,0)),SkillDataCodeName,0)+1,MATCH("EffectValue1",SkillData_Header,0)),)</f>
        <v>0</v>
      </c>
      <c r="Y52" s="45" t="n">
        <f aca="false">IFERROR(INDEX(SkillData,MATCH(INDEX(PalData,MATCH($B52,PalNames,0)+1,MATCH("Passive2a",PalData_Header,0)),SkillDataCodeName,0)+1,MATCH("EffectValue1",SkillData_Header,0)),)</f>
        <v>0</v>
      </c>
      <c r="Z52" s="45" t="n">
        <f aca="false">IFERROR(INDEX(SkillData,MATCH(INDEX(PalData,MATCH($B52,PalNames,0)+1,MATCH("Passive3a",PalData_Header,0)),SkillDataCodeName,0)+1,MATCH("EffectValue1",SkillData_Header,0)),)</f>
        <v>0</v>
      </c>
      <c r="AA52" s="260" t="n">
        <f aca="false">IFERROR(INDEX(SkillData,MATCH(INDEX(PalData,MATCH($B52,PalNames,0)+1,MATCH("Passive4a",PalData_Header,0)),SkillDataCodeName,0)+1,MATCH("EffectValue1",SkillData_Header,0)),)</f>
        <v>0</v>
      </c>
      <c r="AB52" s="45" t="str">
        <f aca="false">IFERROR(__xludf.dummyfunction("IFERROR(INDEX(SkillData,MATCH(Arrayformula(ARRAY_CONSTRAIN(FILTER(INDIRECT(""PalData!""&amp;ADDRESS(MATCH(B52,PalNames,0)+1,(MATCH(""Passive0b"",PalData_Header,0)))&amp;"":""&amp;ADDRESS(MATCH(B52,PalNames,0)+1,(MATCH(""Passive0b"",PalData_Header,0))+4)),LEN(INDIRECT"&amp;"(""PalData!""&amp;ADDRESS(MATCH(B52,PalNames,0)+1,(MATCH(""Passive0b"",PalData_Header,0)))&amp;"":""&amp;ADDRESS(MATCH(B52,PalNames,0)+1,(MATCH(""Passive0b"",PalData_Header,0))+4)))&gt;0),1,1)),SkillDataCodeName,0)+1,MATCH(""EffectTypeCombined"",SkillData_Header,0)))"),"")</f>
        <v/>
      </c>
      <c r="AC52" s="45" t="str">
        <f aca="false">IFERROR(__xludf.dummyfunction("IFERROR(INDEX(SkillData,MATCH(Arrayformula(ARRAY_CONSTRAIN(FILTER(INDIRECT(""PalData!""&amp;ADDRESS(MATCH(B52,PalNames,0)+1,(MATCH(""Passive0b"",PalData_Header,0)))&amp;"":""&amp;ADDRESS(MATCH(B52,PalNames,0)+1,(MATCH(""Passive0b"",PalData_Header,0))+4)),LEN(INDIRECT"&amp;"(""PalData!""&amp;ADDRESS(MATCH(B52,PalNames,0)+1,(MATCH(""Passive0b"",PalData_Header,0)))&amp;"":""&amp;ADDRESS(MATCH(B52,PalNames,0)+1,(MATCH(""Passive0b"",PalData_Header,0))+4)))&gt;0),1,1)),SkillDataCodeName,0)+1,MATCH(""TargetType1"",SkillData_Header,0)))"),"")</f>
        <v/>
      </c>
      <c r="AD52" s="45" t="e">
        <f aca="false" t="array" ref="AD52:AD52">IF(INDEX(PalData,MATCH($B52,PalNames,0)+1,MATCH("Passive0bCondition",PalData_Header,0))=IFERROR(INDEX(SkillData,MATCH(INDEX(PalData,MATCH($B52,PalNames,0)+1,MATCH("Passive0b",PalData_Header,0)),SkillDataCodeName,0)+1,MATCH("Conditions",SkillData_Header,0))),INDEX(PalData,MATCH($B52,PalNames,0)+1,MATCH("Passive0bCondition",PalData_Header,0)),INDEX(PalData,MATCH($B52,PalNames,0)+1,MATCH("Passive0bCondition",PalData_Header,0)) &amp; IF(ISBLANK(INDEX(PalData,MATCH($B52,PalNames,0)+1,MATCH("Passive0bCondition",PalData_Header,0))),," ")&amp;IFERROR(INDEX(SkillData,MATCH(INDEX(PalData,MATCH($B52,PalNames,0)+1,MATCH("Passive0b",PalData_Header,0)),SkillDataCodeName,0)+1,MATCH("Conditions",SkillData_Header,0))))</f>
        <v>#N/A</v>
      </c>
      <c r="AE52" s="45" t="str">
        <f aca="false">IFERROR(__xludf.dummyfunction("IFERROR(INDEX(SkillData,MATCH(Arrayformula(ARRAY_CONSTRAIN(FILTER(INDIRECT(""PalData!""&amp;ADDRESS(MATCH(B52,PalNames,0)+1,(MATCH(""Passive0b"",PalData_Header,0)))&amp;"":""&amp;ADDRESS(MATCH(B52,PalNames,0)+1,(MATCH(""Passive0b"",PalData_Header,0))+4)),LEN(INDIRECT"&amp;"(""PalData!""&amp;ADDRESS(MATCH(B52,PalNames,0)+1,(MATCH(""Passive0b"",PalData_Header,0)))&amp;"":""&amp;ADDRESS(MATCH(B52,PalNames,0)+1,(MATCH(""Passive0b"",PalData_Header,0))+4)))&gt;0),1,1)),SkillDataCodeName,0)+1,MATCH(""ValueType1"",SkillData_Header,0)))"),"")</f>
        <v/>
      </c>
      <c r="AF52" s="45" t="n">
        <f aca="false">IFERROR(INDEX(SkillData,MATCH(INDEX(PalData,MATCH($B52,PalNames,0)+1,MATCH("Passive0b",PalData_Header,0)),SkillDataCodeName,0)+1,MATCH("EffectValue1",SkillData_Header,0)),)</f>
        <v>0</v>
      </c>
      <c r="AG52" s="45" t="n">
        <f aca="false">IFERROR(INDEX(SkillData,MATCH(INDEX(PalData,MATCH($B52,PalNames,0)+1,MATCH("Passive1b",PalData_Header,0)),SkillDataCodeName,0)+1,MATCH("EffectValue1",SkillData_Header,0)),)</f>
        <v>0</v>
      </c>
      <c r="AH52" s="45" t="n">
        <f aca="false">IFERROR(INDEX(SkillData,MATCH(INDEX(PalData,MATCH($B52,PalNames,0)+1,MATCH("Passive2b",PalData_Header,0)),SkillDataCodeName,0)+1,MATCH("EffectValue1",SkillData_Header,0)),)</f>
        <v>0</v>
      </c>
      <c r="AI52" s="45" t="n">
        <f aca="false">IFERROR(INDEX(SkillData,MATCH(INDEX(PalData,MATCH($B52,PalNames,0)+1,MATCH("Passive3b",PalData_Header,0)),SkillDataCodeName,0)+1,MATCH("EffectValue1",SkillData_Header,0)),)</f>
        <v>0</v>
      </c>
      <c r="AJ52" s="260" t="n">
        <f aca="false">IFERROR(INDEX(SkillData,MATCH(INDEX(PalData,MATCH($B52,PalNames,0)+1,MATCH("Passive4b",PalData_Header,0)),SkillDataCodeName,0)+1,MATCH("EffectValue1",SkillData_Header,0)),)</f>
        <v>0</v>
      </c>
      <c r="AK52" s="301" t="s">
        <v>316</v>
      </c>
    </row>
    <row r="53" customFormat="false" ht="15.75" hidden="false" customHeight="false" outlineLevel="0" collapsed="false">
      <c r="A53" s="302" t="n">
        <v>42</v>
      </c>
      <c r="B53" s="303" t="s">
        <v>13</v>
      </c>
      <c r="C53" s="48" t="str">
        <f aca="false" t="array" ref="C53:C53">IF(ISBLANK(INDEX(PalData,MATCH($B53,PalNames,0)+1,MATCH("ActiveSkill",PalData_Header,0))),INDEX(PalData,MATCH($B53,PalNames,0)+1,MATCH("SkillUnlock_",PalData_Header,0)),INDEX(PalData,MATCH($B53,PalNames,0)+1,MATCH("ActiveSkill",PalData_Header,0)))</f>
        <v>Saddle</v>
      </c>
      <c r="D53" s="48"/>
      <c r="E53" s="48" t="n">
        <f aca="false">INDEX(PalData,MATCH($B53,PalNames,0)+1,MATCH("ActiveSkillBonus0",PalData_Header,0))</f>
        <v>0</v>
      </c>
      <c r="F53" s="48" t="n">
        <f aca="false">INDEX(PalData,MATCH($B53,PalNames,0)+1,MATCH("ActiveSkillBonus1",PalData_Header,0))</f>
        <v>0</v>
      </c>
      <c r="G53" s="48" t="n">
        <f aca="false">INDEX(PalData,MATCH($B53,PalNames,0)+1,MATCH("ActiveSkillBonus2",PalData_Header,0))</f>
        <v>0</v>
      </c>
      <c r="H53" s="48" t="n">
        <f aca="false">INDEX(PalData,MATCH($B53,PalNames,0)+1,MATCH("ActiveSkillBonus3",PalData_Header,0))</f>
        <v>0</v>
      </c>
      <c r="I53" s="263" t="n">
        <f aca="false">INDEX(PalData,MATCH($B53,PalNames,0)+1,MATCH("ActiveSkillBonus4",PalData_Header,0))</f>
        <v>0</v>
      </c>
      <c r="J53" s="48" t="str">
        <f aca="false">IFERROR(__xludf.dummyfunction("IFERROR(INDEX(SkillData,MATCH(Arrayformula(ARRAY_CONSTRAIN(FILTER(INDIRECT(""PalData!""&amp;ADDRESS(MATCH(B53,PalNames,0)+1,(MATCH(""Passive0c"",PalData_Header,0)))&amp;"":""&amp;ADDRESS(MATCH(B53,PalNames,0)+1,(MATCH(""Passive0c"",PalData_Header,0))+4)),LEN(INDIRECT"&amp;"(""PalData!""&amp;ADDRESS(MATCH(B53,PalNames,0)+1,(MATCH(""Passive0c"",PalData_Header,0)))&amp;"":""&amp;ADDRESS(MATCH(B53,PalNames,0)+1,(MATCH(""Passive0c"",PalData_Header,0))+4)))&gt;0),1,1)),SkillDataCodeName,0)+1,MATCH(""EffectTypeCombined"",SkillData_Header,0)))"),"MoveSpeed")</f>
        <v>MoveSpeed</v>
      </c>
      <c r="K53" s="48" t="str">
        <f aca="false">IFERROR(__xludf.dummyfunction("IFERROR(INDEX(SkillData,MATCH(Arrayformula(ARRAY_CONSTRAIN(FILTER(INDIRECT(""PalData!""&amp;ADDRESS(MATCH(B53,PalNames,0)+1,(MATCH(""Passive0c"",PalData_Header,0)))&amp;"":""&amp;ADDRESS(MATCH(B53,PalNames,0)+1,(MATCH(""Passive0c"",PalData_Header,0))+4)),LEN(INDIRECT"&amp;"(""PalData!""&amp;ADDRESS(MATCH(B53,PalNames,0)+1,(MATCH(""Passive0c"",PalData_Header,0)))&amp;"":""&amp;ADDRESS(MATCH(B53,PalNames,0)+1,(MATCH(""Passive0c"",PalData_Header,0))+4)))&gt;0),1,1)),SkillDataCodeName,0)+1,MATCH(""TargetType1"",SkillData_Header,0)))"),"SelfAndTrainer")</f>
        <v>SelfAndTrainer</v>
      </c>
      <c r="L53" s="48" t="e">
        <f aca="false" t="array" ref="L53:L53">IF(INDEX(PalData,MATCH($B53,PalNames,0)+1,MATCH("Passive0cCondition",PalData_Header,0))=IFERROR(INDEX(SkillData,MATCH(INDEX(PalData,MATCH($B53,PalNames,0)+1,MATCH("Passive0c",PalData_Header,0)),SkillDataCodeName,0)+1,MATCH("Conditions",SkillData_Header,0))),INDEX(PalData,MATCH($B53,PalNames,0)+1,MATCH("Passive0cCondition",PalData_Header,0)),INDEX(PalData,MATCH($B53,PalNames,0)+1,MATCH("Passive0cCondition",PalData_Header,0)) &amp; IF(ISBLANK(INDEX(PalData,MATCH($B53,PalNames,0)+1,MATCH("Passive0cCondition",PalData_Header,0))),," ")&amp;IFERROR(INDEX(SkillData,MATCH(INDEX(PalData,MATCH($B53,PalNames,0)+1,MATCH("Passive0c",PalData_Header,0)),SkillDataCodeName,0)+1,MATCH("Conditions",SkillData_Header,0))))</f>
        <v>#N/A</v>
      </c>
      <c r="M53" s="48" t="str">
        <f aca="false">IFERROR(__xludf.dummyfunction("IFERROR(INDEX(SkillData,MATCH(Arrayformula(ARRAY_CONSTRAIN(FILTER(INDIRECT(""PalData!""&amp;ADDRESS(MATCH(B53,PalNames,0)+1,(MATCH(""Passive0c"",PalData_Header,0)))&amp;"":""&amp;ADDRESS(MATCH(B53,PalNames,0)+1,(MATCH(""Passive0c"",PalData_Header,0))+4)),LEN(INDIRECT"&amp;"(""PalData!""&amp;ADDRESS(MATCH(B53,PalNames,0)+1,(MATCH(""Passive0c"",PalData_Header,0)))&amp;"":""&amp;ADDRESS(MATCH(B53,PalNames,0)+1,(MATCH(""Passive0c"",PalData_Header,0))+4)))&gt;0),1,1)),SkillDataCodeName,0)+1,MATCH(""ValueType1"",SkillData_Header,0)))"),"%")</f>
        <v>%</v>
      </c>
      <c r="N53" s="48" t="e">
        <f aca="false" t="array" ref="N53:N53">IFERROR(INDEX(SkillData,MATCH(INDEX(PalData,MATCH($B53,PalNames,0)+1,MATCH("Passive0c",PalData_Header,0)),SkillDataCodeName,0)+1,MATCH("EffectValue1",SkillData_Header,0)))</f>
        <v>#VALUE!</v>
      </c>
      <c r="O53" s="61" t="e">
        <f aca="false" t="array" ref="O53:O53">IFERROR(INDEX(SkillData,MATCH(INDEX(PalData,MATCH($B53,PalNames,0)+1,MATCH("Passive1c",PalData_Header,0)),SkillDataCodeName,0)+1,MATCH("EffectValue1",SkillData_Header,0)))</f>
        <v>#VALUE!</v>
      </c>
      <c r="P53" s="61" t="e">
        <f aca="false" t="array" ref="P53:P53">IFERROR(INDEX(SkillData,MATCH(INDEX(PalData,MATCH($B53,PalNames,0)+1,MATCH("Passive2c",PalData_Header,0)),SkillDataCodeName,0)+1,MATCH("EffectValue1",SkillData_Header,0)))</f>
        <v>#VALUE!</v>
      </c>
      <c r="Q53" s="61" t="e">
        <f aca="false" t="array" ref="Q53:Q53">IFERROR(INDEX(SkillData,MATCH(INDEX(PalData,MATCH($B53,PalNames,0)+1,MATCH("Passive3c",PalData_Header,0)),SkillDataCodeName,0)+1,MATCH("EffectValue1",SkillData_Header,0)))</f>
        <v>#VALUE!</v>
      </c>
      <c r="R53" s="304" t="e">
        <f aca="false" t="array" ref="R53:R53">IFERROR(INDEX(SkillData,MATCH(INDEX(PalData,MATCH($B53,PalNames,0)+1,MATCH("Passive4c",PalData_Header,0)),SkillDataCodeName,0)+1,MATCH("EffectValue1",SkillData_Header,0)))</f>
        <v>#VALUE!</v>
      </c>
      <c r="S53" s="48" t="str">
        <f aca="false">IFERROR(__xludf.dummyfunction("IFERROR(INDEX(SkillData,MATCH(Arrayformula(ARRAY_CONSTRAIN(FILTER(INDIRECT(""PalData!""&amp;ADDRESS(MATCH(B53,PalNames,0)+1,(MATCH(""Passive0a"",PalData_Header,0)))&amp;"":""&amp;ADDRESS(MATCH(B53,PalNames,0)+1,(MATCH(""Passive0a"",PalData_Header,0))+4)),LEN(INDIRECT"&amp;"(""PalData!""&amp;ADDRESS(MATCH(B53,PalNames,0)+1,(MATCH(""Passive0a"",PalData_Header,0)))&amp;"":""&amp;ADDRESS(MATCH(B53,PalNames,0)+1,(MATCH(""Passive0a"",PalData_Header,0))+4)))&gt;0),1,1)),SkillDataCodeName,0)+1,MATCH(""EffectTypeCombined"",SkillData_Header,0)))"),"TemperatureInvalid_Cold")</f>
        <v>TemperatureInvalid_Cold</v>
      </c>
      <c r="T53" s="48" t="str">
        <f aca="false">IFERROR(__xludf.dummyfunction("IFERROR(INDEX(SkillData,MATCH(Arrayformula(ARRAY_CONSTRAIN(FILTER(INDIRECT(""PalData!""&amp;ADDRESS(MATCH(B53,PalNames,0)+1,(MATCH(""Passive0a"",PalData_Header,0)))&amp;"":""&amp;ADDRESS(MATCH(B53,PalNames,0)+1,(MATCH(""Passive0a"",PalData_Header,0))+4)),LEN(INDIRECT"&amp;"(""PalData!""&amp;ADDRESS(MATCH(B53,PalNames,0)+1,(MATCH(""Passive0a"",PalData_Header,0)))&amp;"":""&amp;ADDRESS(MATCH(B53,PalNames,0)+1,(MATCH(""Passive0a"",PalData_Header,0))+4)))&gt;0),1,1)),SkillDataCodeName,0)+1,MATCH(""TargetType1"",SkillData_Header,0)))"),"Trainer")</f>
        <v>Trainer</v>
      </c>
      <c r="U53" s="48" t="e">
        <f aca="false" t="array" ref="U53:U53">IF(INDEX(PalData,MATCH($B53,PalNames,0)+1,MATCH("Passive0aCondition",PalData_Header,0))=IFERROR(INDEX(SkillData,MATCH(INDEX(PalData,MATCH($B53,PalNames,0)+1,MATCH("Passive0a",PalData_Header,0)),SkillDataCodeName,0)+1,MATCH("Conditions",SkillData_Header,0))),INDEX(PalData,MATCH($B53,PalNames,0)+1,MATCH("Passive0aCondition",PalData_Header,0)),INDEX(PalData,MATCH($B53,PalNames,0)+1,MATCH("Passive0aCondition",PalData_Header,0)) &amp; IF(ISBLANK(INDEX(PalData,MATCH($B53,PalNames,0)+1,MATCH("Passive0aCondition",PalData_Header,0))),," ")&amp;IFERROR(INDEX(SkillData,MATCH(INDEX(PalData,MATCH($B53,PalNames,0)+1,MATCH("Passive0a",PalData_Header,0)),SkillDataCodeName,0)+1,MATCH("Conditions",SkillData_Header,0))))</f>
        <v>#VALUE!</v>
      </c>
      <c r="V53" s="48" t="str">
        <f aca="false">IFERROR(__xludf.dummyfunction("IFERROR(INDEX(SkillData,MATCH(Arrayformula(ARRAY_CONSTRAIN(FILTER(INDIRECT(""PalData!""&amp;ADDRESS(MATCH(B53,PalNames,0)+1,(MATCH(""Passive0a"",PalData_Header,0)))&amp;"":""&amp;ADDRESS(MATCH(B53,PalNames,0)+1,(MATCH(""Passive0a"",PalData_Header,0))+4)),LEN(INDIRECT"&amp;"(""PalData!""&amp;ADDRESS(MATCH(B53,PalNames,0)+1,(MATCH(""Passive0a"",PalData_Header,0)))&amp;"":""&amp;ADDRESS(MATCH(B53,PalNames,0)+1,(MATCH(""Passive0a"",PalData_Header,0))+4)))&gt;0),1,1)),SkillDataCodeName,0)+1,MATCH(""ValueType1"",SkillData_Header,0)))"),"bool")</f>
        <v>bool</v>
      </c>
      <c r="W53" s="61" t="n">
        <f aca="false" t="array" ref="W53:W53">IFERROR(INDEX(SkillData,MATCH(INDEX(PalData,MATCH($B53,PalNames,0)+1,MATCH("Passive0a",PalData_Header,0)),SkillDataCodeName,0)+1,MATCH("EffectValue1",SkillData_Header,0)),)</f>
        <v>0</v>
      </c>
      <c r="X53" s="61" t="n">
        <f aca="false" t="array" ref="X53:X53">IFERROR(INDEX(SkillData,MATCH(INDEX(PalData,MATCH($B53,PalNames,0)+1,MATCH("Passive1a",PalData_Header,0)),SkillDataCodeName,0)+1,MATCH("EffectValue1",SkillData_Header,0)),)</f>
        <v>0</v>
      </c>
      <c r="Y53" s="61" t="n">
        <f aca="false" t="array" ref="Y53:Y53">IFERROR(INDEX(SkillData,MATCH(INDEX(PalData,MATCH($B53,PalNames,0)+1,MATCH("Passive2a",PalData_Header,0)),SkillDataCodeName,0)+1,MATCH("EffectValue1",SkillData_Header,0)),)</f>
        <v>0</v>
      </c>
      <c r="Z53" s="61" t="n">
        <f aca="false" t="array" ref="Z53:Z53">IFERROR(INDEX(SkillData,MATCH(INDEX(PalData,MATCH($B53,PalNames,0)+1,MATCH("Passive3a",PalData_Header,0)),SkillDataCodeName,0)+1,MATCH("EffectValue1",SkillData_Header,0)),)</f>
        <v>0</v>
      </c>
      <c r="AA53" s="304" t="n">
        <f aca="false" t="array" ref="AA53:AA53">IFERROR(INDEX(SkillData,MATCH(INDEX(PalData,MATCH($B53,PalNames,0)+1,MATCH("Passive4a",PalData_Header,0)),SkillDataCodeName,0)+1,MATCH("EffectValue1",SkillData_Header,0)),)</f>
        <v>0</v>
      </c>
      <c r="AB53" s="48" t="str">
        <f aca="false">IFERROR(__xludf.dummyfunction("IFERROR(INDEX(SkillData,MATCH(Arrayformula(ARRAY_CONSTRAIN(FILTER(INDIRECT(""PalData!""&amp;ADDRESS(MATCH(B53,PalNames,0)+1,(MATCH(""Passive0b"",PalData_Header,0)))&amp;"":""&amp;ADDRESS(MATCH(B53,PalNames,0)+1,(MATCH(""Passive0b"",PalData_Header,0))+4)),LEN(INDIRECT"&amp;"(""PalData!""&amp;ADDRESS(MATCH(B53,PalNames,0)+1,(MATCH(""Passive0b"",PalData_Header,0)))&amp;"":""&amp;ADDRESS(MATCH(B53,PalNames,0)+1,(MATCH(""Passive0b"",PalData_Header,0))+4)))&gt;0),1,1)),SkillDataCodeName,0)+1,MATCH(""EffectTypeCombined"",SkillData_Header,0)))"),"")</f>
        <v/>
      </c>
      <c r="AC53" s="48" t="str">
        <f aca="false">IFERROR(__xludf.dummyfunction("IFERROR(INDEX(SkillData,MATCH(Arrayformula(ARRAY_CONSTRAIN(FILTER(INDIRECT(""PalData!""&amp;ADDRESS(MATCH(B53,PalNames,0)+1,(MATCH(""Passive0b"",PalData_Header,0)))&amp;"":""&amp;ADDRESS(MATCH(B53,PalNames,0)+1,(MATCH(""Passive0b"",PalData_Header,0))+4)),LEN(INDIRECT"&amp;"(""PalData!""&amp;ADDRESS(MATCH(B53,PalNames,0)+1,(MATCH(""Passive0b"",PalData_Header,0)))&amp;"":""&amp;ADDRESS(MATCH(B53,PalNames,0)+1,(MATCH(""Passive0b"",PalData_Header,0))+4)))&gt;0),1,1)),SkillDataCodeName,0)+1,MATCH(""TargetType1"",SkillData_Header,0)))"),"")</f>
        <v/>
      </c>
      <c r="AD53" s="48" t="e">
        <f aca="false" t="array" ref="AD53:AD53">IF(INDEX(PalData,MATCH($B53,PalNames,0)+1,MATCH("Passive0bCondition",PalData_Header,0))=IFERROR(INDEX(SkillData,MATCH(INDEX(PalData,MATCH($B53,PalNames,0)+1,MATCH("Passive0b",PalData_Header,0)),SkillDataCodeName,0)+1,MATCH("Conditions",SkillData_Header,0))),INDEX(PalData,MATCH($B53,PalNames,0)+1,MATCH("Passive0bCondition",PalData_Header,0)),INDEX(PalData,MATCH($B53,PalNames,0)+1,MATCH("Passive0bCondition",PalData_Header,0)) &amp; IF(ISBLANK(INDEX(PalData,MATCH($B53,PalNames,0)+1,MATCH("Passive0bCondition",PalData_Header,0))),," ")&amp;IFERROR(INDEX(SkillData,MATCH(INDEX(PalData,MATCH($B53,PalNames,0)+1,MATCH("Passive0b",PalData_Header,0)),SkillDataCodeName,0)+1,MATCH("Conditions",SkillData_Header,0))))</f>
        <v>#N/A</v>
      </c>
      <c r="AE53" s="48" t="str">
        <f aca="false">IFERROR(__xludf.dummyfunction("IFERROR(INDEX(SkillData,MATCH(Arrayformula(ARRAY_CONSTRAIN(FILTER(INDIRECT(""PalData!""&amp;ADDRESS(MATCH(B53,PalNames,0)+1,(MATCH(""Passive0b"",PalData_Header,0)))&amp;"":""&amp;ADDRESS(MATCH(B53,PalNames,0)+1,(MATCH(""Passive0b"",PalData_Header,0))+4)),LEN(INDIRECT"&amp;"(""PalData!""&amp;ADDRESS(MATCH(B53,PalNames,0)+1,(MATCH(""Passive0b"",PalData_Header,0)))&amp;"":""&amp;ADDRESS(MATCH(B53,PalNames,0)+1,(MATCH(""Passive0b"",PalData_Header,0))+4)))&gt;0),1,1)),SkillDataCodeName,0)+1,MATCH(""ValueType1"",SkillData_Header,0)))"),"")</f>
        <v/>
      </c>
      <c r="AF53" s="48" t="n">
        <f aca="false">IFERROR(INDEX(SkillData,MATCH(INDEX(PalData,MATCH($B53,PalNames,0)+1,MATCH("Passive0b",PalData_Header,0)),SkillDataCodeName,0)+1,MATCH("EffectValue1",SkillData_Header,0)),)</f>
        <v>0</v>
      </c>
      <c r="AG53" s="48" t="n">
        <f aca="false">IFERROR(INDEX(SkillData,MATCH(INDEX(PalData,MATCH($B53,PalNames,0)+1,MATCH("Passive1b",PalData_Header,0)),SkillDataCodeName,0)+1,MATCH("EffectValue1",SkillData_Header,0)),)</f>
        <v>0</v>
      </c>
      <c r="AH53" s="48" t="n">
        <f aca="false">IFERROR(INDEX(SkillData,MATCH(INDEX(PalData,MATCH($B53,PalNames,0)+1,MATCH("Passive2b",PalData_Header,0)),SkillDataCodeName,0)+1,MATCH("EffectValue1",SkillData_Header,0)),)</f>
        <v>0</v>
      </c>
      <c r="AI53" s="48" t="n">
        <f aca="false">IFERROR(INDEX(SkillData,MATCH(INDEX(PalData,MATCH($B53,PalNames,0)+1,MATCH("Passive3b",PalData_Header,0)),SkillDataCodeName,0)+1,MATCH("EffectValue1",SkillData_Header,0)),)</f>
        <v>0</v>
      </c>
      <c r="AJ53" s="263" t="n">
        <f aca="false">IFERROR(INDEX(SkillData,MATCH(INDEX(PalData,MATCH($B53,PalNames,0)+1,MATCH("Passive4b",PalData_Header,0)),SkillDataCodeName,0)+1,MATCH("EffectValue1",SkillData_Header,0)),)</f>
        <v>0</v>
      </c>
      <c r="AK53" s="305" t="s">
        <v>317</v>
      </c>
    </row>
    <row r="54" customFormat="false" ht="15.75" hidden="false" customHeight="false" outlineLevel="0" collapsed="false">
      <c r="A54" s="299" t="n">
        <v>43</v>
      </c>
      <c r="B54" s="300" t="s">
        <v>47</v>
      </c>
      <c r="C54" s="45" t="n">
        <f aca="false">IF(ISBLANK(INDEX(PalData,MATCH($B54,PalNames,0)+1,MATCH("ActiveSkill",PalData_Header,0))),INDEX(PalData,MATCH($B54,PalNames,0)+1,MATCH("SkillUnlock_",PalData_Header,0)),INDEX(PalData,MATCH($B54,PalNames,0)+1,MATCH("ActiveSkill",PalData_Header,0)))</f>
        <v>0</v>
      </c>
      <c r="D54" s="45"/>
      <c r="E54" s="45" t="n">
        <f aca="false">INDEX(PalData,MATCH($B54,PalNames,0)+1,MATCH("ActiveSkillBonus0",PalData_Header,0))</f>
        <v>0</v>
      </c>
      <c r="F54" s="45" t="n">
        <f aca="false">INDEX(PalData,MATCH($B54,PalNames,0)+1,MATCH("ActiveSkillBonus1",PalData_Header,0))</f>
        <v>0</v>
      </c>
      <c r="G54" s="45" t="n">
        <f aca="false">INDEX(PalData,MATCH($B54,PalNames,0)+1,MATCH("ActiveSkillBonus2",PalData_Header,0))</f>
        <v>0</v>
      </c>
      <c r="H54" s="45" t="n">
        <f aca="false">INDEX(PalData,MATCH($B54,PalNames,0)+1,MATCH("ActiveSkillBonus3",PalData_Header,0))</f>
        <v>0</v>
      </c>
      <c r="I54" s="260" t="n">
        <f aca="false">INDEX(PalData,MATCH($B54,PalNames,0)+1,MATCH("ActiveSkillBonus4",PalData_Header,0))</f>
        <v>0</v>
      </c>
      <c r="J54" s="45" t="str">
        <f aca="false">IFERROR(__xludf.dummyfunction("IFERROR(INDEX(SkillData,MATCH(Arrayformula(ARRAY_CONSTRAIN(FILTER(INDIRECT(""PalData!""&amp;ADDRESS(MATCH(B54,PalNames,0)+1,(MATCH(""Passive0c"",PalData_Header,0)))&amp;"":""&amp;ADDRESS(MATCH(B54,PalNames,0)+1,(MATCH(""Passive0c"",PalData_Header,0))+4)),LEN(INDIRECT"&amp;"(""PalData!""&amp;ADDRESS(MATCH(B54,PalNames,0)+1,(MATCH(""Passive0c"",PalData_Header,0)))&amp;"":""&amp;ADDRESS(MATCH(B54,PalNames,0)+1,(MATCH(""Passive0c"",PalData_Header,0))+4)))&gt;0),1,1)),SkillDataCodeName,0)+1,MATCH(""EffectTypeCombined"",SkillData_Header,0)))"),"ShotAttack")</f>
        <v>ShotAttack</v>
      </c>
      <c r="K54" s="45" t="str">
        <f aca="false">IFERROR(__xludf.dummyfunction("IFERROR(INDEX(SkillData,MATCH(Arrayformula(ARRAY_CONSTRAIN(FILTER(INDIRECT(""PalData!""&amp;ADDRESS(MATCH(B54,PalNames,0)+1,(MATCH(""Passive0c"",PalData_Header,0)))&amp;"":""&amp;ADDRESS(MATCH(B54,PalNames,0)+1,(MATCH(""Passive0c"",PalData_Header,0))+4)),LEN(INDIRECT"&amp;"(""PalData!""&amp;ADDRESS(MATCH(B54,PalNames,0)+1,(MATCH(""Passive0c"",PalData_Header,0)))&amp;"":""&amp;ADDRESS(MATCH(B54,PalNames,0)+1,(MATCH(""Passive0c"",PalData_Header,0))+4)))&gt;0),1,1)),SkillDataCodeName,0)+1,MATCH(""TargetType1"",SkillData_Header,0)))"),"Self")</f>
        <v>Self</v>
      </c>
      <c r="L54" s="45" t="e">
        <f aca="false" t="array" ref="L54:L54">IF(INDEX(PalData,MATCH($B54,PalNames,0)+1,MATCH("Passive0cCondition",PalData_Header,0))=IFERROR(INDEX(SkillData,MATCH(INDEX(PalData,MATCH($B54,PalNames,0)+1,MATCH("Passive0c",PalData_Header,0)),SkillDataCodeName,0)+1,MATCH("Conditions",SkillData_Header,0))),INDEX(PalData,MATCH($B54,PalNames,0)+1,MATCH("Passive0cCondition",PalData_Header,0)),INDEX(PalData,MATCH($B54,PalNames,0)+1,MATCH("Passive0cCondition",PalData_Header,0)) &amp; IF(ISBLANK(INDEX(PalData,MATCH($B54,PalNames,0)+1,MATCH("Passive0cCondition",PalData_Header,0))),," ")&amp;IFERROR(INDEX(SkillData,MATCH(INDEX(PalData,MATCH($B54,PalNames,0)+1,MATCH("Passive0c",PalData_Header,0)),SkillDataCodeName,0)+1,MATCH("Conditions",SkillData_Header,0))))</f>
        <v>#VALUE!</v>
      </c>
      <c r="M54" s="45" t="str">
        <f aca="false">IFERROR(__xludf.dummyfunction("IFERROR(INDEX(SkillData,MATCH(Arrayformula(ARRAY_CONSTRAIN(FILTER(INDIRECT(""PalData!""&amp;ADDRESS(MATCH(B54,PalNames,0)+1,(MATCH(""Passive0c"",PalData_Header,0)))&amp;"":""&amp;ADDRESS(MATCH(B54,PalNames,0)+1,(MATCH(""Passive0c"",PalData_Header,0))+4)),LEN(INDIRECT"&amp;"(""PalData!""&amp;ADDRESS(MATCH(B54,PalNames,0)+1,(MATCH(""Passive0c"",PalData_Header,0)))&amp;"":""&amp;ADDRESS(MATCH(B54,PalNames,0)+1,(MATCH(""Passive0c"",PalData_Header,0))+4)))&gt;0),1,1)),SkillDataCodeName,0)+1,MATCH(""ValueType1"",SkillData_Header,0)))"),"%")</f>
        <v>%</v>
      </c>
      <c r="N54" s="62" t="e">
        <f aca="false" t="array" ref="N54:N54">IFERROR(INDEX(SkillData,MATCH(INDEX(PalData,MATCH($B54,PalNames,0)+1,MATCH("Passive0c",PalData_Header,0)),SkillDataCodeName,0)+1,MATCH("EffectValue1",SkillData_Header,0)))</f>
        <v>#VALUE!</v>
      </c>
      <c r="O54" s="62" t="e">
        <f aca="false" t="array" ref="O54:O54">IFERROR(INDEX(SkillData,MATCH(INDEX(PalData,MATCH($B54,PalNames,0)+1,MATCH("Passive1c",PalData_Header,0)),SkillDataCodeName,0)+1,MATCH("EffectValue1",SkillData_Header,0)))</f>
        <v>#VALUE!</v>
      </c>
      <c r="P54" s="62" t="e">
        <f aca="false" t="array" ref="P54:P54">IFERROR(INDEX(SkillData,MATCH(INDEX(PalData,MATCH($B54,PalNames,0)+1,MATCH("Passive2c",PalData_Header,0)),SkillDataCodeName,0)+1,MATCH("EffectValue1",SkillData_Header,0)))</f>
        <v>#VALUE!</v>
      </c>
      <c r="Q54" s="62" t="e">
        <f aca="false" t="array" ref="Q54:Q54">IFERROR(INDEX(SkillData,MATCH(INDEX(PalData,MATCH($B54,PalNames,0)+1,MATCH("Passive3c",PalData_Header,0)),SkillDataCodeName,0)+1,MATCH("EffectValue1",SkillData_Header,0)))</f>
        <v>#VALUE!</v>
      </c>
      <c r="R54" s="306" t="e">
        <f aca="false" t="array" ref="R54:R54">IFERROR(INDEX(SkillData,MATCH(INDEX(PalData,MATCH($B54,PalNames,0)+1,MATCH("Passive4c",PalData_Header,0)),SkillDataCodeName,0)+1,MATCH("EffectValue1",SkillData_Header,0)))</f>
        <v>#VALUE!</v>
      </c>
      <c r="S54" s="45" t="str">
        <f aca="false">IFERROR(__xludf.dummyfunction("IFERROR(INDEX(SkillData,MATCH(Arrayformula(ARRAY_CONSTRAIN(FILTER(INDIRECT(""PalData!""&amp;ADDRESS(MATCH(B54,PalNames,0)+1,(MATCH(""Passive0a"",PalData_Header,0)))&amp;"":""&amp;ADDRESS(MATCH(B54,PalNames,0)+1,(MATCH(""Passive0a"",PalData_Header,0))+4)),LEN(INDIRECT"&amp;"(""PalData!""&amp;ADDRESS(MATCH(B54,PalNames,0)+1,(MATCH(""Passive0a"",PalData_Header,0)))&amp;"":""&amp;ADDRESS(MATCH(B54,PalNames,0)+1,(MATCH(""Passive0a"",PalData_Header,0))+4)))&gt;0),1,1)),SkillDataCodeName,0)+1,MATCH(""EffectTypeCombined"",SkillData_Header,0)))"),"")</f>
        <v/>
      </c>
      <c r="T54" s="45" t="str">
        <f aca="false">IFERROR(__xludf.dummyfunction("IFERROR(INDEX(SkillData,MATCH(Arrayformula(ARRAY_CONSTRAIN(FILTER(INDIRECT(""PalData!""&amp;ADDRESS(MATCH(B54,PalNames,0)+1,(MATCH(""Passive0a"",PalData_Header,0)))&amp;"":""&amp;ADDRESS(MATCH(B54,PalNames,0)+1,(MATCH(""Passive0a"",PalData_Header,0))+4)),LEN(INDIRECT"&amp;"(""PalData!""&amp;ADDRESS(MATCH(B54,PalNames,0)+1,(MATCH(""Passive0a"",PalData_Header,0)))&amp;"":""&amp;ADDRESS(MATCH(B54,PalNames,0)+1,(MATCH(""Passive0a"",PalData_Header,0))+4)))&gt;0),1,1)),SkillDataCodeName,0)+1,MATCH(""TargetType1"",SkillData_Header,0)))"),"")</f>
        <v/>
      </c>
      <c r="U54" s="45" t="e">
        <f aca="false" t="array" ref="U54:U54">IF(INDEX(PalData,MATCH($B54,PalNames,0)+1,MATCH("Passive0aCondition",PalData_Header,0))=IFERROR(INDEX(SkillData,MATCH(INDEX(PalData,MATCH($B54,PalNames,0)+1,MATCH("Passive0a",PalData_Header,0)),SkillDataCodeName,0)+1,MATCH("Conditions",SkillData_Header,0))),INDEX(PalData,MATCH($B54,PalNames,0)+1,MATCH("Passive0aCondition",PalData_Header,0)),INDEX(PalData,MATCH($B54,PalNames,0)+1,MATCH("Passive0aCondition",PalData_Header,0)) &amp; IF(ISBLANK(INDEX(PalData,MATCH($B54,PalNames,0)+1,MATCH("Passive0aCondition",PalData_Header,0))),," ")&amp;IFERROR(INDEX(SkillData,MATCH(INDEX(PalData,MATCH($B54,PalNames,0)+1,MATCH("Passive0a",PalData_Header,0)),SkillDataCodeName,0)+1,MATCH("Conditions",SkillData_Header,0))))</f>
        <v>#N/A</v>
      </c>
      <c r="V54" s="45" t="str">
        <f aca="false">IFERROR(__xludf.dummyfunction("IFERROR(INDEX(SkillData,MATCH(Arrayformula(ARRAY_CONSTRAIN(FILTER(INDIRECT(""PalData!""&amp;ADDRESS(MATCH(B54,PalNames,0)+1,(MATCH(""Passive0a"",PalData_Header,0)))&amp;"":""&amp;ADDRESS(MATCH(B54,PalNames,0)+1,(MATCH(""Passive0a"",PalData_Header,0))+4)),LEN(INDIRECT"&amp;"(""PalData!""&amp;ADDRESS(MATCH(B54,PalNames,0)+1,(MATCH(""Passive0a"",PalData_Header,0)))&amp;"":""&amp;ADDRESS(MATCH(B54,PalNames,0)+1,(MATCH(""Passive0a"",PalData_Header,0))+4)))&gt;0),1,1)),SkillDataCodeName,0)+1,MATCH(""ValueType1"",SkillData_Header,0)))"),"")</f>
        <v/>
      </c>
      <c r="W54" s="45" t="n">
        <f aca="false">IFERROR(INDEX(SkillData,MATCH(INDEX(PalData,MATCH($B54,PalNames,0)+1,MATCH("Passive0a",PalData_Header,0)),SkillDataCodeName,0)+1,MATCH("EffectValue1",SkillData_Header,0)),)</f>
        <v>0</v>
      </c>
      <c r="X54" s="45" t="n">
        <f aca="false">IFERROR(INDEX(SkillData,MATCH(INDEX(PalData,MATCH($B54,PalNames,0)+1,MATCH("Passive1a",PalData_Header,0)),SkillDataCodeName,0)+1,MATCH("EffectValue1",SkillData_Header,0)),)</f>
        <v>0</v>
      </c>
      <c r="Y54" s="45" t="n">
        <f aca="false">IFERROR(INDEX(SkillData,MATCH(INDEX(PalData,MATCH($B54,PalNames,0)+1,MATCH("Passive2a",PalData_Header,0)),SkillDataCodeName,0)+1,MATCH("EffectValue1",SkillData_Header,0)),)</f>
        <v>0</v>
      </c>
      <c r="Z54" s="45" t="n">
        <f aca="false">IFERROR(INDEX(SkillData,MATCH(INDEX(PalData,MATCH($B54,PalNames,0)+1,MATCH("Passive3a",PalData_Header,0)),SkillDataCodeName,0)+1,MATCH("EffectValue1",SkillData_Header,0)),)</f>
        <v>0</v>
      </c>
      <c r="AA54" s="260" t="n">
        <f aca="false">IFERROR(INDEX(SkillData,MATCH(INDEX(PalData,MATCH($B54,PalNames,0)+1,MATCH("Passive4a",PalData_Header,0)),SkillDataCodeName,0)+1,MATCH("EffectValue1",SkillData_Header,0)),)</f>
        <v>0</v>
      </c>
      <c r="AB54" s="45" t="str">
        <f aca="false">IFERROR(__xludf.dummyfunction("IFERROR(INDEX(SkillData,MATCH(Arrayformula(ARRAY_CONSTRAIN(FILTER(INDIRECT(""PalData!""&amp;ADDRESS(MATCH(B54,PalNames,0)+1,(MATCH(""Passive0b"",PalData_Header,0)))&amp;"":""&amp;ADDRESS(MATCH(B54,PalNames,0)+1,(MATCH(""Passive0b"",PalData_Header,0))+4)),LEN(INDIRECT"&amp;"(""PalData!""&amp;ADDRESS(MATCH(B54,PalNames,0)+1,(MATCH(""Passive0b"",PalData_Header,0)))&amp;"":""&amp;ADDRESS(MATCH(B54,PalNames,0)+1,(MATCH(""Passive0b"",PalData_Header,0))+4)))&gt;0),1,1)),SkillDataCodeName,0)+1,MATCH(""EffectTypeCombined"",SkillData_Header,0)))"),"")</f>
        <v/>
      </c>
      <c r="AC54" s="45" t="str">
        <f aca="false">IFERROR(__xludf.dummyfunction("IFERROR(INDEX(SkillData,MATCH(Arrayformula(ARRAY_CONSTRAIN(FILTER(INDIRECT(""PalData!""&amp;ADDRESS(MATCH(B54,PalNames,0)+1,(MATCH(""Passive0b"",PalData_Header,0)))&amp;"":""&amp;ADDRESS(MATCH(B54,PalNames,0)+1,(MATCH(""Passive0b"",PalData_Header,0))+4)),LEN(INDIRECT"&amp;"(""PalData!""&amp;ADDRESS(MATCH(B54,PalNames,0)+1,(MATCH(""Passive0b"",PalData_Header,0)))&amp;"":""&amp;ADDRESS(MATCH(B54,PalNames,0)+1,(MATCH(""Passive0b"",PalData_Header,0))+4)))&gt;0),1,1)),SkillDataCodeName,0)+1,MATCH(""TargetType1"",SkillData_Header,0)))"),"")</f>
        <v/>
      </c>
      <c r="AD54" s="45" t="e">
        <f aca="false" t="array" ref="AD54:AD54">IF(INDEX(PalData,MATCH($B54,PalNames,0)+1,MATCH("Passive0bCondition",PalData_Header,0))=IFERROR(INDEX(SkillData,MATCH(INDEX(PalData,MATCH($B54,PalNames,0)+1,MATCH("Passive0b",PalData_Header,0)),SkillDataCodeName,0)+1,MATCH("Conditions",SkillData_Header,0))),INDEX(PalData,MATCH($B54,PalNames,0)+1,MATCH("Passive0bCondition",PalData_Header,0)),INDEX(PalData,MATCH($B54,PalNames,0)+1,MATCH("Passive0bCondition",PalData_Header,0)) &amp; IF(ISBLANK(INDEX(PalData,MATCH($B54,PalNames,0)+1,MATCH("Passive0bCondition",PalData_Header,0))),," ")&amp;IFERROR(INDEX(SkillData,MATCH(INDEX(PalData,MATCH($B54,PalNames,0)+1,MATCH("Passive0b",PalData_Header,0)),SkillDataCodeName,0)+1,MATCH("Conditions",SkillData_Header,0))))</f>
        <v>#N/A</v>
      </c>
      <c r="AE54" s="45" t="str">
        <f aca="false">IFERROR(__xludf.dummyfunction("IFERROR(INDEX(SkillData,MATCH(Arrayformula(ARRAY_CONSTRAIN(FILTER(INDIRECT(""PalData!""&amp;ADDRESS(MATCH(B54,PalNames,0)+1,(MATCH(""Passive0b"",PalData_Header,0)))&amp;"":""&amp;ADDRESS(MATCH(B54,PalNames,0)+1,(MATCH(""Passive0b"",PalData_Header,0))+4)),LEN(INDIRECT"&amp;"(""PalData!""&amp;ADDRESS(MATCH(B54,PalNames,0)+1,(MATCH(""Passive0b"",PalData_Header,0)))&amp;"":""&amp;ADDRESS(MATCH(B54,PalNames,0)+1,(MATCH(""Passive0b"",PalData_Header,0))+4)))&gt;0),1,1)),SkillDataCodeName,0)+1,MATCH(""ValueType1"",SkillData_Header,0)))"),"")</f>
        <v/>
      </c>
      <c r="AF54" s="45" t="n">
        <f aca="false">IFERROR(INDEX(SkillData,MATCH(INDEX(PalData,MATCH($B54,PalNames,0)+1,MATCH("Passive0b",PalData_Header,0)),SkillDataCodeName,0)+1,MATCH("EffectValue1",SkillData_Header,0)),)</f>
        <v>0</v>
      </c>
      <c r="AG54" s="45" t="n">
        <f aca="false">IFERROR(INDEX(SkillData,MATCH(INDEX(PalData,MATCH($B54,PalNames,0)+1,MATCH("Passive1b",PalData_Header,0)),SkillDataCodeName,0)+1,MATCH("EffectValue1",SkillData_Header,0)),)</f>
        <v>0</v>
      </c>
      <c r="AH54" s="45" t="n">
        <f aca="false">IFERROR(INDEX(SkillData,MATCH(INDEX(PalData,MATCH($B54,PalNames,0)+1,MATCH("Passive2b",PalData_Header,0)),SkillDataCodeName,0)+1,MATCH("EffectValue1",SkillData_Header,0)),)</f>
        <v>0</v>
      </c>
      <c r="AI54" s="45" t="n">
        <f aca="false">IFERROR(INDEX(SkillData,MATCH(INDEX(PalData,MATCH($B54,PalNames,0)+1,MATCH("Passive3b",PalData_Header,0)),SkillDataCodeName,0)+1,MATCH("EffectValue1",SkillData_Header,0)),)</f>
        <v>0</v>
      </c>
      <c r="AJ54" s="260" t="n">
        <f aca="false">IFERROR(INDEX(SkillData,MATCH(INDEX(PalData,MATCH($B54,PalNames,0)+1,MATCH("Passive4b",PalData_Header,0)),SkillDataCodeName,0)+1,MATCH("EffectValue1",SkillData_Header,0)),)</f>
        <v>0</v>
      </c>
      <c r="AK54" s="301" t="s">
        <v>318</v>
      </c>
    </row>
    <row r="55" customFormat="false" ht="15.75" hidden="false" customHeight="false" outlineLevel="0" collapsed="false">
      <c r="A55" s="302" t="n">
        <v>44</v>
      </c>
      <c r="B55" s="303" t="s">
        <v>33</v>
      </c>
      <c r="C55" s="48" t="str">
        <f aca="false" t="array" ref="C55:C55">IF(ISBLANK(INDEX(PalData,MATCH($B55,PalNames,0)+1,MATCH("ActiveSkill",PalData_Header,0))),INDEX(PalData,MATCH($B55,PalNames,0)+1,MATCH("SkillUnlock_",PalData_Header,0)),INDEX(PalData,MATCH($B55,PalNames,0)+1,MATCH("ActiveSkill",PalData_Header,0)))</f>
        <v>Unique_DarkCrow_TelePoke</v>
      </c>
      <c r="D55" s="48" t="s">
        <v>269</v>
      </c>
      <c r="E55" s="61" t="n">
        <f aca="false" t="array" ref="E55:E55">INDEX(PalData,MATCH($B55,PalNames,0)+1,MATCH("ActiveSkillBonus0",PalData_Header,0))</f>
        <v>1.1</v>
      </c>
      <c r="F55" s="61" t="n">
        <f aca="false" t="array" ref="F55:F55">INDEX(PalData,MATCH($B55,PalNames,0)+1,MATCH("ActiveSkillBonus1",PalData_Header,0))</f>
        <v>1.3</v>
      </c>
      <c r="G55" s="61" t="n">
        <f aca="false" t="array" ref="G55:G55">INDEX(PalData,MATCH($B55,PalNames,0)+1,MATCH("ActiveSkillBonus2",PalData_Header,0))</f>
        <v>1.6</v>
      </c>
      <c r="H55" s="61" t="n">
        <f aca="false" t="array" ref="H55:H55">INDEX(PalData,MATCH($B55,PalNames,0)+1,MATCH("ActiveSkillBonus3",PalData_Header,0))</f>
        <v>2</v>
      </c>
      <c r="I55" s="304" t="n">
        <f aca="false" t="array" ref="I55:I55">INDEX(PalData,MATCH($B55,PalNames,0)+1,MATCH("ActiveSkillBonus4",PalData_Header,0))</f>
        <v>2.5</v>
      </c>
      <c r="J55" s="48" t="str">
        <f aca="false">IFERROR(__xludf.dummyfunction("IFERROR(INDEX(SkillData,MATCH(Arrayformula(ARRAY_CONSTRAIN(FILTER(INDIRECT(""PalData!""&amp;ADDRESS(MATCH(B55,PalNames,0)+1,(MATCH(""Passive0c"",PalData_Header,0)))&amp;"":""&amp;ADDRESS(MATCH(B55,PalNames,0)+1,(MATCH(""Passive0c"",PalData_Header,0))+4)),LEN(INDIRECT"&amp;"(""PalData!""&amp;ADDRESS(MATCH(B55,PalNames,0)+1,(MATCH(""Passive0c"",PalData_Header,0)))&amp;"":""&amp;ADDRESS(MATCH(B55,PalNames,0)+1,(MATCH(""Passive0c"",PalData_Header,0))+4)))&gt;0),1,1)),SkillDataCodeName,0)+1,MATCH(""EffectTypeCombined"",SkillData_Header,0)))"),"")</f>
        <v/>
      </c>
      <c r="K55" s="48" t="str">
        <f aca="false">IFERROR(__xludf.dummyfunction("IFERROR(INDEX(SkillData,MATCH(Arrayformula(ARRAY_CONSTRAIN(FILTER(INDIRECT(""PalData!""&amp;ADDRESS(MATCH(B55,PalNames,0)+1,(MATCH(""Passive0c"",PalData_Header,0)))&amp;"":""&amp;ADDRESS(MATCH(B55,PalNames,0)+1,(MATCH(""Passive0c"",PalData_Header,0))+4)),LEN(INDIRECT"&amp;"(""PalData!""&amp;ADDRESS(MATCH(B55,PalNames,0)+1,(MATCH(""Passive0c"",PalData_Header,0)))&amp;"":""&amp;ADDRESS(MATCH(B55,PalNames,0)+1,(MATCH(""Passive0c"",PalData_Header,0))+4)))&gt;0),1,1)),SkillDataCodeName,0)+1,MATCH(""TargetType1"",SkillData_Header,0)))"),"")</f>
        <v/>
      </c>
      <c r="L55" s="48" t="e">
        <f aca="false" t="array" ref="L55:L55">IF(INDEX(PalData,MATCH($B55,PalNames,0)+1,MATCH("Passive0cCondition",PalData_Header,0))=IFERROR(INDEX(SkillData,MATCH(INDEX(PalData,MATCH($B55,PalNames,0)+1,MATCH("Passive0c",PalData_Header,0)),SkillDataCodeName,0)+1,MATCH("Conditions",SkillData_Header,0))),INDEX(PalData,MATCH($B55,PalNames,0)+1,MATCH("Passive0cCondition",PalData_Header,0)),INDEX(PalData,MATCH($B55,PalNames,0)+1,MATCH("Passive0cCondition",PalData_Header,0)) &amp; IF(ISBLANK(INDEX(PalData,MATCH($B55,PalNames,0)+1,MATCH("Passive0cCondition",PalData_Header,0))),," ")&amp;IFERROR(INDEX(SkillData,MATCH(INDEX(PalData,MATCH($B55,PalNames,0)+1,MATCH("Passive0c",PalData_Header,0)),SkillDataCodeName,0)+1,MATCH("Conditions",SkillData_Header,0))))</f>
        <v>#N/A</v>
      </c>
      <c r="M55" s="48" t="str">
        <f aca="false">IFERROR(__xludf.dummyfunction("IFERROR(INDEX(SkillData,MATCH(Arrayformula(ARRAY_CONSTRAIN(FILTER(INDIRECT(""PalData!""&amp;ADDRESS(MATCH(B55,PalNames,0)+1,(MATCH(""Passive0c"",PalData_Header,0)))&amp;"":""&amp;ADDRESS(MATCH(B55,PalNames,0)+1,(MATCH(""Passive0c"",PalData_Header,0))+4)),LEN(INDIRECT"&amp;"(""PalData!""&amp;ADDRESS(MATCH(B55,PalNames,0)+1,(MATCH(""Passive0c"",PalData_Header,0)))&amp;"":""&amp;ADDRESS(MATCH(B55,PalNames,0)+1,(MATCH(""Passive0c"",PalData_Header,0))+4)))&gt;0),1,1)),SkillDataCodeName,0)+1,MATCH(""ValueType1"",SkillData_Header,0)))"),"")</f>
        <v/>
      </c>
      <c r="N55" s="48" t="e">
        <f aca="false" t="array" ref="N55:N55">IFERROR(INDEX(SkillData,MATCH(INDEX(PalData,MATCH($B55,PalNames,0)+1,MATCH("Passive0c",PalData_Header,0)),SkillDataCodeName,0)+1,MATCH("EffectValue1",SkillData_Header,0)))</f>
        <v>#VALUE!</v>
      </c>
      <c r="O55" s="48" t="e">
        <f aca="false" t="array" ref="O55:O55">IFERROR(INDEX(SkillData,MATCH(INDEX(PalData,MATCH($B55,PalNames,0)+1,MATCH("Passive1c",PalData_Header,0)),SkillDataCodeName,0)+1,MATCH("EffectValue1",SkillData_Header,0)))</f>
        <v>#VALUE!</v>
      </c>
      <c r="P55" s="48" t="e">
        <f aca="false" t="array" ref="P55:P55">IFERROR(INDEX(SkillData,MATCH(INDEX(PalData,MATCH($B55,PalNames,0)+1,MATCH("Passive2c",PalData_Header,0)),SkillDataCodeName,0)+1,MATCH("EffectValue1",SkillData_Header,0)))</f>
        <v>#VALUE!</v>
      </c>
      <c r="Q55" s="48" t="e">
        <f aca="false" t="array" ref="Q55:Q55">IFERROR(INDEX(SkillData,MATCH(INDEX(PalData,MATCH($B55,PalNames,0)+1,MATCH("Passive3c",PalData_Header,0)),SkillDataCodeName,0)+1,MATCH("EffectValue1",SkillData_Header,0)))</f>
        <v>#VALUE!</v>
      </c>
      <c r="R55" s="263" t="e">
        <f aca="false" t="array" ref="R55:R55">IFERROR(INDEX(SkillData,MATCH(INDEX(PalData,MATCH($B55,PalNames,0)+1,MATCH("Passive4c",PalData_Header,0)),SkillDataCodeName,0)+1,MATCH("EffectValue1",SkillData_Header,0)))</f>
        <v>#VALUE!</v>
      </c>
      <c r="S55" s="48" t="str">
        <f aca="false">IFERROR(__xludf.dummyfunction("IFERROR(INDEX(SkillData,MATCH(Arrayformula(ARRAY_CONSTRAIN(FILTER(INDIRECT(""PalData!""&amp;ADDRESS(MATCH(B55,PalNames,0)+1,(MATCH(""Passive0a"",PalData_Header,0)))&amp;"":""&amp;ADDRESS(MATCH(B55,PalNames,0)+1,(MATCH(""Passive0a"",PalData_Header,0))+4)),LEN(INDIRECT"&amp;"(""PalData!""&amp;ADDRESS(MATCH(B55,PalNames,0)+1,(MATCH(""Passive0a"",PalData_Header,0)))&amp;"":""&amp;ADDRESS(MATCH(B55,PalNames,0)+1,(MATCH(""Passive0a"",PalData_Header,0))+4)))&gt;0),1,1)),SkillDataCodeName,0)+1,MATCH(""EffectTypeCombined"",SkillData_Header,0)))"),"")</f>
        <v/>
      </c>
      <c r="T55" s="48" t="str">
        <f aca="false">IFERROR(__xludf.dummyfunction("IFERROR(INDEX(SkillData,MATCH(Arrayformula(ARRAY_CONSTRAIN(FILTER(INDIRECT(""PalData!""&amp;ADDRESS(MATCH(B55,PalNames,0)+1,(MATCH(""Passive0a"",PalData_Header,0)))&amp;"":""&amp;ADDRESS(MATCH(B55,PalNames,0)+1,(MATCH(""Passive0a"",PalData_Header,0))+4)),LEN(INDIRECT"&amp;"(""PalData!""&amp;ADDRESS(MATCH(B55,PalNames,0)+1,(MATCH(""Passive0a"",PalData_Header,0)))&amp;"":""&amp;ADDRESS(MATCH(B55,PalNames,0)+1,(MATCH(""Passive0a"",PalData_Header,0))+4)))&gt;0),1,1)),SkillDataCodeName,0)+1,MATCH(""TargetType1"",SkillData_Header,0)))"),"")</f>
        <v/>
      </c>
      <c r="U55" s="48" t="e">
        <f aca="false" t="array" ref="U55:U55">IF(INDEX(PalData,MATCH($B55,PalNames,0)+1,MATCH("Passive0aCondition",PalData_Header,0))=IFERROR(INDEX(SkillData,MATCH(INDEX(PalData,MATCH($B55,PalNames,0)+1,MATCH("Passive0a",PalData_Header,0)),SkillDataCodeName,0)+1,MATCH("Conditions",SkillData_Header,0))),INDEX(PalData,MATCH($B55,PalNames,0)+1,MATCH("Passive0aCondition",PalData_Header,0)),INDEX(PalData,MATCH($B55,PalNames,0)+1,MATCH("Passive0aCondition",PalData_Header,0)) &amp; IF(ISBLANK(INDEX(PalData,MATCH($B55,PalNames,0)+1,MATCH("Passive0aCondition",PalData_Header,0))),," ")&amp;IFERROR(INDEX(SkillData,MATCH(INDEX(PalData,MATCH($B55,PalNames,0)+1,MATCH("Passive0a",PalData_Header,0)),SkillDataCodeName,0)+1,MATCH("Conditions",SkillData_Header,0))))</f>
        <v>#N/A</v>
      </c>
      <c r="V55" s="48" t="str">
        <f aca="false">IFERROR(__xludf.dummyfunction("IFERROR(INDEX(SkillData,MATCH(Arrayformula(ARRAY_CONSTRAIN(FILTER(INDIRECT(""PalData!""&amp;ADDRESS(MATCH(B55,PalNames,0)+1,(MATCH(""Passive0a"",PalData_Header,0)))&amp;"":""&amp;ADDRESS(MATCH(B55,PalNames,0)+1,(MATCH(""Passive0a"",PalData_Header,0))+4)),LEN(INDIRECT"&amp;"(""PalData!""&amp;ADDRESS(MATCH(B55,PalNames,0)+1,(MATCH(""Passive0a"",PalData_Header,0)))&amp;"":""&amp;ADDRESS(MATCH(B55,PalNames,0)+1,(MATCH(""Passive0a"",PalData_Header,0))+4)))&gt;0),1,1)),SkillDataCodeName,0)+1,MATCH(""ValueType1"",SkillData_Header,0)))"),"")</f>
        <v/>
      </c>
      <c r="W55" s="48" t="n">
        <f aca="false">IFERROR(INDEX(SkillData,MATCH(INDEX(PalData,MATCH($B55,PalNames,0)+1,MATCH("Passive0a",PalData_Header,0)),SkillDataCodeName,0)+1,MATCH("EffectValue1",SkillData_Header,0)),)</f>
        <v>0</v>
      </c>
      <c r="X55" s="48" t="n">
        <f aca="false">IFERROR(INDEX(SkillData,MATCH(INDEX(PalData,MATCH($B55,PalNames,0)+1,MATCH("Passive1a",PalData_Header,0)),SkillDataCodeName,0)+1,MATCH("EffectValue1",SkillData_Header,0)),)</f>
        <v>0</v>
      </c>
      <c r="Y55" s="48" t="n">
        <f aca="false">IFERROR(INDEX(SkillData,MATCH(INDEX(PalData,MATCH($B55,PalNames,0)+1,MATCH("Passive2a",PalData_Header,0)),SkillDataCodeName,0)+1,MATCH("EffectValue1",SkillData_Header,0)),)</f>
        <v>0</v>
      </c>
      <c r="Z55" s="48" t="n">
        <f aca="false">IFERROR(INDEX(SkillData,MATCH(INDEX(PalData,MATCH($B55,PalNames,0)+1,MATCH("Passive3a",PalData_Header,0)),SkillDataCodeName,0)+1,MATCH("EffectValue1",SkillData_Header,0)),)</f>
        <v>0</v>
      </c>
      <c r="AA55" s="263" t="n">
        <f aca="false">IFERROR(INDEX(SkillData,MATCH(INDEX(PalData,MATCH($B55,PalNames,0)+1,MATCH("Passive4a",PalData_Header,0)),SkillDataCodeName,0)+1,MATCH("EffectValue1",SkillData_Header,0)),)</f>
        <v>0</v>
      </c>
      <c r="AB55" s="48" t="str">
        <f aca="false">IFERROR(__xludf.dummyfunction("IFERROR(INDEX(SkillData,MATCH(Arrayformula(ARRAY_CONSTRAIN(FILTER(INDIRECT(""PalData!""&amp;ADDRESS(MATCH(B55,PalNames,0)+1,(MATCH(""Passive0b"",PalData_Header,0)))&amp;"":""&amp;ADDRESS(MATCH(B55,PalNames,0)+1,(MATCH(""Passive0b"",PalData_Header,0))+4)),LEN(INDIRECT"&amp;"(""PalData!""&amp;ADDRESS(MATCH(B55,PalNames,0)+1,(MATCH(""Passive0b"",PalData_Header,0)))&amp;"":""&amp;ADDRESS(MATCH(B55,PalNames,0)+1,(MATCH(""Passive0b"",PalData_Header,0))+4)))&gt;0),1,1)),SkillDataCodeName,0)+1,MATCH(""EffectTypeCombined"",SkillData_Header,0)))"),"")</f>
        <v/>
      </c>
      <c r="AC55" s="48" t="str">
        <f aca="false">IFERROR(__xludf.dummyfunction("IFERROR(INDEX(SkillData,MATCH(Arrayformula(ARRAY_CONSTRAIN(FILTER(INDIRECT(""PalData!""&amp;ADDRESS(MATCH(B55,PalNames,0)+1,(MATCH(""Passive0b"",PalData_Header,0)))&amp;"":""&amp;ADDRESS(MATCH(B55,PalNames,0)+1,(MATCH(""Passive0b"",PalData_Header,0))+4)),LEN(INDIRECT"&amp;"(""PalData!""&amp;ADDRESS(MATCH(B55,PalNames,0)+1,(MATCH(""Passive0b"",PalData_Header,0)))&amp;"":""&amp;ADDRESS(MATCH(B55,PalNames,0)+1,(MATCH(""Passive0b"",PalData_Header,0))+4)))&gt;0),1,1)),SkillDataCodeName,0)+1,MATCH(""TargetType1"",SkillData_Header,0)))"),"")</f>
        <v/>
      </c>
      <c r="AD55" s="48" t="e">
        <f aca="false" t="array" ref="AD55:AD55">IF(INDEX(PalData,MATCH($B55,PalNames,0)+1,MATCH("Passive0bCondition",PalData_Header,0))=IFERROR(INDEX(SkillData,MATCH(INDEX(PalData,MATCH($B55,PalNames,0)+1,MATCH("Passive0b",PalData_Header,0)),SkillDataCodeName,0)+1,MATCH("Conditions",SkillData_Header,0))),INDEX(PalData,MATCH($B55,PalNames,0)+1,MATCH("Passive0bCondition",PalData_Header,0)),INDEX(PalData,MATCH($B55,PalNames,0)+1,MATCH("Passive0bCondition",PalData_Header,0)) &amp; IF(ISBLANK(INDEX(PalData,MATCH($B55,PalNames,0)+1,MATCH("Passive0bCondition",PalData_Header,0))),," ")&amp;IFERROR(INDEX(SkillData,MATCH(INDEX(PalData,MATCH($B55,PalNames,0)+1,MATCH("Passive0b",PalData_Header,0)),SkillDataCodeName,0)+1,MATCH("Conditions",SkillData_Header,0))))</f>
        <v>#N/A</v>
      </c>
      <c r="AE55" s="48" t="str">
        <f aca="false">IFERROR(__xludf.dummyfunction("IFERROR(INDEX(SkillData,MATCH(Arrayformula(ARRAY_CONSTRAIN(FILTER(INDIRECT(""PalData!""&amp;ADDRESS(MATCH(B55,PalNames,0)+1,(MATCH(""Passive0b"",PalData_Header,0)))&amp;"":""&amp;ADDRESS(MATCH(B55,PalNames,0)+1,(MATCH(""Passive0b"",PalData_Header,0))+4)),LEN(INDIRECT"&amp;"(""PalData!""&amp;ADDRESS(MATCH(B55,PalNames,0)+1,(MATCH(""Passive0b"",PalData_Header,0)))&amp;"":""&amp;ADDRESS(MATCH(B55,PalNames,0)+1,(MATCH(""Passive0b"",PalData_Header,0))+4)))&gt;0),1,1)),SkillDataCodeName,0)+1,MATCH(""ValueType1"",SkillData_Header,0)))"),"")</f>
        <v/>
      </c>
      <c r="AF55" s="48" t="n">
        <f aca="false">IFERROR(INDEX(SkillData,MATCH(INDEX(PalData,MATCH($B55,PalNames,0)+1,MATCH("Passive0b",PalData_Header,0)),SkillDataCodeName,0)+1,MATCH("EffectValue1",SkillData_Header,0)),)</f>
        <v>0</v>
      </c>
      <c r="AG55" s="48" t="n">
        <f aca="false">IFERROR(INDEX(SkillData,MATCH(INDEX(PalData,MATCH($B55,PalNames,0)+1,MATCH("Passive1b",PalData_Header,0)),SkillDataCodeName,0)+1,MATCH("EffectValue1",SkillData_Header,0)),)</f>
        <v>0</v>
      </c>
      <c r="AH55" s="48" t="n">
        <f aca="false">IFERROR(INDEX(SkillData,MATCH(INDEX(PalData,MATCH($B55,PalNames,0)+1,MATCH("Passive2b",PalData_Header,0)),SkillDataCodeName,0)+1,MATCH("EffectValue1",SkillData_Header,0)),)</f>
        <v>0</v>
      </c>
      <c r="AI55" s="48" t="n">
        <f aca="false">IFERROR(INDEX(SkillData,MATCH(INDEX(PalData,MATCH($B55,PalNames,0)+1,MATCH("Passive3b",PalData_Header,0)),SkillDataCodeName,0)+1,MATCH("EffectValue1",SkillData_Header,0)),)</f>
        <v>0</v>
      </c>
      <c r="AJ55" s="263" t="n">
        <f aca="false">IFERROR(INDEX(SkillData,MATCH(INDEX(PalData,MATCH($B55,PalNames,0)+1,MATCH("Passive4b",PalData_Header,0)),SkillDataCodeName,0)+1,MATCH("EffectValue1",SkillData_Header,0)),)</f>
        <v>0</v>
      </c>
      <c r="AK55" s="305" t="s">
        <v>319</v>
      </c>
    </row>
    <row r="56" customFormat="false" ht="15.75" hidden="false" customHeight="false" outlineLevel="0" collapsed="false">
      <c r="A56" s="299" t="n">
        <v>45</v>
      </c>
      <c r="B56" s="300" t="s">
        <v>91</v>
      </c>
      <c r="C56" s="45" t="str">
        <f aca="false" t="array" ref="C56:C56">IF(ISBLANK(INDEX(PalData,MATCH($B56,PalNames,0)+1,MATCH("ActiveSkill",PalData_Header,0))),INDEX(PalData,MATCH($B56,PalNames,0)+1,MATCH("SkillUnlock_",PalData_Header,0)),INDEX(PalData,MATCH($B56,PalNames,0)+1,MATCH("ActiveSkill",PalData_Header,0)))</f>
        <v>SearchDungeon</v>
      </c>
      <c r="D56" s="45" t="s">
        <v>290</v>
      </c>
      <c r="E56" s="62" t="n">
        <f aca="false" t="array" ref="E56:E56">INDEX(PalData,MATCH($B56,PalNames,0)+1,MATCH("ActiveSkillBonus0",PalData_Header,0))</f>
        <v>10000</v>
      </c>
      <c r="F56" s="62" t="n">
        <f aca="false" t="array" ref="F56:F56">INDEX(PalData,MATCH($B56,PalNames,0)+1,MATCH("ActiveSkillBonus1",PalData_Header,0))</f>
        <v>11000</v>
      </c>
      <c r="G56" s="62" t="n">
        <f aca="false" t="array" ref="G56:G56">INDEX(PalData,MATCH($B56,PalNames,0)+1,MATCH("ActiveSkillBonus2",PalData_Header,0))</f>
        <v>13000</v>
      </c>
      <c r="H56" s="62" t="n">
        <f aca="false" t="array" ref="H56:H56">INDEX(PalData,MATCH($B56,PalNames,0)+1,MATCH("ActiveSkillBonus3",PalData_Header,0))</f>
        <v>16000</v>
      </c>
      <c r="I56" s="306" t="n">
        <f aca="false" t="array" ref="I56:I56">INDEX(PalData,MATCH($B56,PalNames,0)+1,MATCH("ActiveSkillBonus4",PalData_Header,0))</f>
        <v>20000</v>
      </c>
      <c r="J56" s="45" t="str">
        <f aca="false">IFERROR(__xludf.dummyfunction("IFERROR(INDEX(SkillData,MATCH(Arrayformula(ARRAY_CONSTRAIN(FILTER(INDIRECT(""PalData!""&amp;ADDRESS(MATCH(B56,PalNames,0)+1,(MATCH(""Passive0c"",PalData_Header,0)))&amp;"":""&amp;ADDRESS(MATCH(B56,PalNames,0)+1,(MATCH(""Passive0c"",PalData_Header,0))+4)),LEN(INDIRECT"&amp;"(""PalData!""&amp;ADDRESS(MATCH(B56,PalNames,0)+1,(MATCH(""Passive0c"",PalData_Header,0)))&amp;"":""&amp;ADDRESS(MATCH(B56,PalNames,0)+1,(MATCH(""Passive0c"",PalData_Header,0))+4)))&gt;0),1,1)),SkillDataCodeName,0)+1,MATCH(""EffectTypeCombined"",SkillData_Header,0)))"),"")</f>
        <v/>
      </c>
      <c r="K56" s="45" t="str">
        <f aca="false">IFERROR(__xludf.dummyfunction("IFERROR(INDEX(SkillData,MATCH(Arrayformula(ARRAY_CONSTRAIN(FILTER(INDIRECT(""PalData!""&amp;ADDRESS(MATCH(B56,PalNames,0)+1,(MATCH(""Passive0c"",PalData_Header,0)))&amp;"":""&amp;ADDRESS(MATCH(B56,PalNames,0)+1,(MATCH(""Passive0c"",PalData_Header,0))+4)),LEN(INDIRECT"&amp;"(""PalData!""&amp;ADDRESS(MATCH(B56,PalNames,0)+1,(MATCH(""Passive0c"",PalData_Header,0)))&amp;"":""&amp;ADDRESS(MATCH(B56,PalNames,0)+1,(MATCH(""Passive0c"",PalData_Header,0))+4)))&gt;0),1,1)),SkillDataCodeName,0)+1,MATCH(""TargetType1"",SkillData_Header,0)))"),"")</f>
        <v/>
      </c>
      <c r="L56" s="45" t="e">
        <f aca="false" t="array" ref="L56:L56">IF(INDEX(PalData,MATCH($B56,PalNames,0)+1,MATCH("Passive0cCondition",PalData_Header,0))=IFERROR(INDEX(SkillData,MATCH(INDEX(PalData,MATCH($B56,PalNames,0)+1,MATCH("Passive0c",PalData_Header,0)),SkillDataCodeName,0)+1,MATCH("Conditions",SkillData_Header,0))),INDEX(PalData,MATCH($B56,PalNames,0)+1,MATCH("Passive0cCondition",PalData_Header,0)),INDEX(PalData,MATCH($B56,PalNames,0)+1,MATCH("Passive0cCondition",PalData_Header,0)) &amp; IF(ISBLANK(INDEX(PalData,MATCH($B56,PalNames,0)+1,MATCH("Passive0cCondition",PalData_Header,0))),," ")&amp;IFERROR(INDEX(SkillData,MATCH(INDEX(PalData,MATCH($B56,PalNames,0)+1,MATCH("Passive0c",PalData_Header,0)),SkillDataCodeName,0)+1,MATCH("Conditions",SkillData_Header,0))))</f>
        <v>#N/A</v>
      </c>
      <c r="M56" s="45" t="str">
        <f aca="false">IFERROR(__xludf.dummyfunction("IFERROR(INDEX(SkillData,MATCH(Arrayformula(ARRAY_CONSTRAIN(FILTER(INDIRECT(""PalData!""&amp;ADDRESS(MATCH(B56,PalNames,0)+1,(MATCH(""Passive0c"",PalData_Header,0)))&amp;"":""&amp;ADDRESS(MATCH(B56,PalNames,0)+1,(MATCH(""Passive0c"",PalData_Header,0))+4)),LEN(INDIRECT"&amp;"(""PalData!""&amp;ADDRESS(MATCH(B56,PalNames,0)+1,(MATCH(""Passive0c"",PalData_Header,0)))&amp;"":""&amp;ADDRESS(MATCH(B56,PalNames,0)+1,(MATCH(""Passive0c"",PalData_Header,0))+4)))&gt;0),1,1)),SkillDataCodeName,0)+1,MATCH(""ValueType1"",SkillData_Header,0)))"),"")</f>
        <v/>
      </c>
      <c r="N56" s="45" t="e">
        <f aca="false" t="array" ref="N56:N56">IFERROR(INDEX(SkillData,MATCH(INDEX(PalData,MATCH($B56,PalNames,0)+1,MATCH("Passive0c",PalData_Header,0)),SkillDataCodeName,0)+1,MATCH("EffectValue1",SkillData_Header,0)))</f>
        <v>#VALUE!</v>
      </c>
      <c r="O56" s="45" t="e">
        <f aca="false" t="array" ref="O56:O56">IFERROR(INDEX(SkillData,MATCH(INDEX(PalData,MATCH($B56,PalNames,0)+1,MATCH("Passive1c",PalData_Header,0)),SkillDataCodeName,0)+1,MATCH("EffectValue1",SkillData_Header,0)))</f>
        <v>#VALUE!</v>
      </c>
      <c r="P56" s="45" t="e">
        <f aca="false" t="array" ref="P56:P56">IFERROR(INDEX(SkillData,MATCH(INDEX(PalData,MATCH($B56,PalNames,0)+1,MATCH("Passive2c",PalData_Header,0)),SkillDataCodeName,0)+1,MATCH("EffectValue1",SkillData_Header,0)))</f>
        <v>#VALUE!</v>
      </c>
      <c r="Q56" s="45" t="e">
        <f aca="false" t="array" ref="Q56:Q56">IFERROR(INDEX(SkillData,MATCH(INDEX(PalData,MATCH($B56,PalNames,0)+1,MATCH("Passive3c",PalData_Header,0)),SkillDataCodeName,0)+1,MATCH("EffectValue1",SkillData_Header,0)))</f>
        <v>#VALUE!</v>
      </c>
      <c r="R56" s="260" t="e">
        <f aca="false" t="array" ref="R56:R56">IFERROR(INDEX(SkillData,MATCH(INDEX(PalData,MATCH($B56,PalNames,0)+1,MATCH("Passive4c",PalData_Header,0)),SkillDataCodeName,0)+1,MATCH("EffectValue1",SkillData_Header,0)))</f>
        <v>#VALUE!</v>
      </c>
      <c r="S56" s="45" t="str">
        <f aca="false">IFERROR(__xludf.dummyfunction("IFERROR(INDEX(SkillData,MATCH(Arrayformula(ARRAY_CONSTRAIN(FILTER(INDIRECT(""PalData!""&amp;ADDRESS(MATCH(B56,PalNames,0)+1,(MATCH(""Passive0a"",PalData_Header,0)))&amp;"":""&amp;ADDRESS(MATCH(B56,PalNames,0)+1,(MATCH(""Passive0a"",PalData_Header,0))+4)),LEN(INDIRECT"&amp;"(""PalData!""&amp;ADDRESS(MATCH(B56,PalNames,0)+1,(MATCH(""Passive0a"",PalData_Header,0)))&amp;"":""&amp;ADDRESS(MATCH(B56,PalNames,0)+1,(MATCH(""Passive0a"",PalData_Header,0))+4)))&gt;0),1,1)),SkillDataCodeName,0)+1,MATCH(""EffectTypeCombined"",SkillData_Header,0)))"),"")</f>
        <v/>
      </c>
      <c r="T56" s="45" t="str">
        <f aca="false">IFERROR(__xludf.dummyfunction("IFERROR(INDEX(SkillData,MATCH(Arrayformula(ARRAY_CONSTRAIN(FILTER(INDIRECT(""PalData!""&amp;ADDRESS(MATCH(B56,PalNames,0)+1,(MATCH(""Passive0a"",PalData_Header,0)))&amp;"":""&amp;ADDRESS(MATCH(B56,PalNames,0)+1,(MATCH(""Passive0a"",PalData_Header,0))+4)),LEN(INDIRECT"&amp;"(""PalData!""&amp;ADDRESS(MATCH(B56,PalNames,0)+1,(MATCH(""Passive0a"",PalData_Header,0)))&amp;"":""&amp;ADDRESS(MATCH(B56,PalNames,0)+1,(MATCH(""Passive0a"",PalData_Header,0))+4)))&gt;0),1,1)),SkillDataCodeName,0)+1,MATCH(""TargetType1"",SkillData_Header,0)))"),"")</f>
        <v/>
      </c>
      <c r="U56" s="45" t="e">
        <f aca="false" t="array" ref="U56:U56">IF(INDEX(PalData,MATCH($B56,PalNames,0)+1,MATCH("Passive0aCondition",PalData_Header,0))=IFERROR(INDEX(SkillData,MATCH(INDEX(PalData,MATCH($B56,PalNames,0)+1,MATCH("Passive0a",PalData_Header,0)),SkillDataCodeName,0)+1,MATCH("Conditions",SkillData_Header,0))),INDEX(PalData,MATCH($B56,PalNames,0)+1,MATCH("Passive0aCondition",PalData_Header,0)),INDEX(PalData,MATCH($B56,PalNames,0)+1,MATCH("Passive0aCondition",PalData_Header,0)) &amp; IF(ISBLANK(INDEX(PalData,MATCH($B56,PalNames,0)+1,MATCH("Passive0aCondition",PalData_Header,0))),," ")&amp;IFERROR(INDEX(SkillData,MATCH(INDEX(PalData,MATCH($B56,PalNames,0)+1,MATCH("Passive0a",PalData_Header,0)),SkillDataCodeName,0)+1,MATCH("Conditions",SkillData_Header,0))))</f>
        <v>#N/A</v>
      </c>
      <c r="V56" s="45" t="str">
        <f aca="false">IFERROR(__xludf.dummyfunction("IFERROR(INDEX(SkillData,MATCH(Arrayformula(ARRAY_CONSTRAIN(FILTER(INDIRECT(""PalData!""&amp;ADDRESS(MATCH(B56,PalNames,0)+1,(MATCH(""Passive0a"",PalData_Header,0)))&amp;"":""&amp;ADDRESS(MATCH(B56,PalNames,0)+1,(MATCH(""Passive0a"",PalData_Header,0))+4)),LEN(INDIRECT"&amp;"(""PalData!""&amp;ADDRESS(MATCH(B56,PalNames,0)+1,(MATCH(""Passive0a"",PalData_Header,0)))&amp;"":""&amp;ADDRESS(MATCH(B56,PalNames,0)+1,(MATCH(""Passive0a"",PalData_Header,0))+4)))&gt;0),1,1)),SkillDataCodeName,0)+1,MATCH(""ValueType1"",SkillData_Header,0)))"),"")</f>
        <v/>
      </c>
      <c r="W56" s="45" t="n">
        <f aca="false">IFERROR(INDEX(SkillData,MATCH(INDEX(PalData,MATCH($B56,PalNames,0)+1,MATCH("Passive0a",PalData_Header,0)),SkillDataCodeName,0)+1,MATCH("EffectValue1",SkillData_Header,0)),)</f>
        <v>0</v>
      </c>
      <c r="X56" s="45" t="n">
        <f aca="false">IFERROR(INDEX(SkillData,MATCH(INDEX(PalData,MATCH($B56,PalNames,0)+1,MATCH("Passive1a",PalData_Header,0)),SkillDataCodeName,0)+1,MATCH("EffectValue1",SkillData_Header,0)),)</f>
        <v>0</v>
      </c>
      <c r="Y56" s="45" t="n">
        <f aca="false">IFERROR(INDEX(SkillData,MATCH(INDEX(PalData,MATCH($B56,PalNames,0)+1,MATCH("Passive2a",PalData_Header,0)),SkillDataCodeName,0)+1,MATCH("EffectValue1",SkillData_Header,0)),)</f>
        <v>0</v>
      </c>
      <c r="Z56" s="45" t="n">
        <f aca="false">IFERROR(INDEX(SkillData,MATCH(INDEX(PalData,MATCH($B56,PalNames,0)+1,MATCH("Passive3a",PalData_Header,0)),SkillDataCodeName,0)+1,MATCH("EffectValue1",SkillData_Header,0)),)</f>
        <v>0</v>
      </c>
      <c r="AA56" s="260" t="n">
        <f aca="false">IFERROR(INDEX(SkillData,MATCH(INDEX(PalData,MATCH($B56,PalNames,0)+1,MATCH("Passive4a",PalData_Header,0)),SkillDataCodeName,0)+1,MATCH("EffectValue1",SkillData_Header,0)),)</f>
        <v>0</v>
      </c>
      <c r="AB56" s="45" t="str">
        <f aca="false">IFERROR(__xludf.dummyfunction("IFERROR(INDEX(SkillData,MATCH(Arrayformula(ARRAY_CONSTRAIN(FILTER(INDIRECT(""PalData!""&amp;ADDRESS(MATCH(B56,PalNames,0)+1,(MATCH(""Passive0b"",PalData_Header,0)))&amp;"":""&amp;ADDRESS(MATCH(B56,PalNames,0)+1,(MATCH(""Passive0b"",PalData_Header,0))+4)),LEN(INDIRECT"&amp;"(""PalData!""&amp;ADDRESS(MATCH(B56,PalNames,0)+1,(MATCH(""Passive0b"",PalData_Header,0)))&amp;"":""&amp;ADDRESS(MATCH(B56,PalNames,0)+1,(MATCH(""Passive0b"",PalData_Header,0))+4)))&gt;0),1,1)),SkillDataCodeName,0)+1,MATCH(""EffectTypeCombined"",SkillData_Header,0)))"),"")</f>
        <v/>
      </c>
      <c r="AC56" s="45" t="str">
        <f aca="false">IFERROR(__xludf.dummyfunction("IFERROR(INDEX(SkillData,MATCH(Arrayformula(ARRAY_CONSTRAIN(FILTER(INDIRECT(""PalData!""&amp;ADDRESS(MATCH(B56,PalNames,0)+1,(MATCH(""Passive0b"",PalData_Header,0)))&amp;"":""&amp;ADDRESS(MATCH(B56,PalNames,0)+1,(MATCH(""Passive0b"",PalData_Header,0))+4)),LEN(INDIRECT"&amp;"(""PalData!""&amp;ADDRESS(MATCH(B56,PalNames,0)+1,(MATCH(""Passive0b"",PalData_Header,0)))&amp;"":""&amp;ADDRESS(MATCH(B56,PalNames,0)+1,(MATCH(""Passive0b"",PalData_Header,0))+4)))&gt;0),1,1)),SkillDataCodeName,0)+1,MATCH(""TargetType1"",SkillData_Header,0)))"),"")</f>
        <v/>
      </c>
      <c r="AD56" s="45" t="e">
        <f aca="false" t="array" ref="AD56:AD56">IF(INDEX(PalData,MATCH($B56,PalNames,0)+1,MATCH("Passive0bCondition",PalData_Header,0))=IFERROR(INDEX(SkillData,MATCH(INDEX(PalData,MATCH($B56,PalNames,0)+1,MATCH("Passive0b",PalData_Header,0)),SkillDataCodeName,0)+1,MATCH("Conditions",SkillData_Header,0))),INDEX(PalData,MATCH($B56,PalNames,0)+1,MATCH("Passive0bCondition",PalData_Header,0)),INDEX(PalData,MATCH($B56,PalNames,0)+1,MATCH("Passive0bCondition",PalData_Header,0)) &amp; IF(ISBLANK(INDEX(PalData,MATCH($B56,PalNames,0)+1,MATCH("Passive0bCondition",PalData_Header,0))),," ")&amp;IFERROR(INDEX(SkillData,MATCH(INDEX(PalData,MATCH($B56,PalNames,0)+1,MATCH("Passive0b",PalData_Header,0)),SkillDataCodeName,0)+1,MATCH("Conditions",SkillData_Header,0))))</f>
        <v>#N/A</v>
      </c>
      <c r="AE56" s="45" t="str">
        <f aca="false">IFERROR(__xludf.dummyfunction("IFERROR(INDEX(SkillData,MATCH(Arrayformula(ARRAY_CONSTRAIN(FILTER(INDIRECT(""PalData!""&amp;ADDRESS(MATCH(B56,PalNames,0)+1,(MATCH(""Passive0b"",PalData_Header,0)))&amp;"":""&amp;ADDRESS(MATCH(B56,PalNames,0)+1,(MATCH(""Passive0b"",PalData_Header,0))+4)),LEN(INDIRECT"&amp;"(""PalData!""&amp;ADDRESS(MATCH(B56,PalNames,0)+1,(MATCH(""Passive0b"",PalData_Header,0)))&amp;"":""&amp;ADDRESS(MATCH(B56,PalNames,0)+1,(MATCH(""Passive0b"",PalData_Header,0))+4)))&gt;0),1,1)),SkillDataCodeName,0)+1,MATCH(""ValueType1"",SkillData_Header,0)))"),"")</f>
        <v/>
      </c>
      <c r="AF56" s="45" t="n">
        <f aca="false">IFERROR(INDEX(SkillData,MATCH(INDEX(PalData,MATCH($B56,PalNames,0)+1,MATCH("Passive0b",PalData_Header,0)),SkillDataCodeName,0)+1,MATCH("EffectValue1",SkillData_Header,0)),)</f>
        <v>0</v>
      </c>
      <c r="AG56" s="45" t="n">
        <f aca="false">IFERROR(INDEX(SkillData,MATCH(INDEX(PalData,MATCH($B56,PalNames,0)+1,MATCH("Passive1b",PalData_Header,0)),SkillDataCodeName,0)+1,MATCH("EffectValue1",SkillData_Header,0)),)</f>
        <v>0</v>
      </c>
      <c r="AH56" s="45" t="n">
        <f aca="false">IFERROR(INDEX(SkillData,MATCH(INDEX(PalData,MATCH($B56,PalNames,0)+1,MATCH("Passive2b",PalData_Header,0)),SkillDataCodeName,0)+1,MATCH("EffectValue1",SkillData_Header,0)),)</f>
        <v>0</v>
      </c>
      <c r="AI56" s="45" t="n">
        <f aca="false">IFERROR(INDEX(SkillData,MATCH(INDEX(PalData,MATCH($B56,PalNames,0)+1,MATCH("Passive3b",PalData_Header,0)),SkillDataCodeName,0)+1,MATCH("EffectValue1",SkillData_Header,0)),)</f>
        <v>0</v>
      </c>
      <c r="AJ56" s="260" t="n">
        <f aca="false">IFERROR(INDEX(SkillData,MATCH(INDEX(PalData,MATCH($B56,PalNames,0)+1,MATCH("Passive4b",PalData_Header,0)),SkillDataCodeName,0)+1,MATCH("EffectValue1",SkillData_Header,0)),)</f>
        <v>0</v>
      </c>
      <c r="AK56" s="301" t="s">
        <v>320</v>
      </c>
    </row>
    <row r="57" customFormat="false" ht="15.75" hidden="false" customHeight="false" outlineLevel="0" collapsed="false">
      <c r="A57" s="302" t="n">
        <v>45</v>
      </c>
      <c r="B57" s="303" t="s">
        <v>92</v>
      </c>
      <c r="C57" s="48" t="str">
        <f aca="false" t="array" ref="C57:C57">IF(ISBLANK(INDEX(PalData,MATCH($B57,PalNames,0)+1,MATCH("ActiveSkill",PalData_Header,0))),INDEX(PalData,MATCH($B57,PalNames,0)+1,MATCH("SkillUnlock_",PalData_Header,0)),INDEX(PalData,MATCH($B57,PalNames,0)+1,MATCH("ActiveSkill",PalData_Header,0)))</f>
        <v>SearchDungeon</v>
      </c>
      <c r="D57" s="48" t="s">
        <v>290</v>
      </c>
      <c r="E57" s="61" t="n">
        <f aca="false" t="array" ref="E57:E57">INDEX(PalData,MATCH($B57,PalNames,0)+1,MATCH("ActiveSkillBonus0",PalData_Header,0))</f>
        <v>10000</v>
      </c>
      <c r="F57" s="61" t="n">
        <f aca="false" t="array" ref="F57:F57">INDEX(PalData,MATCH($B57,PalNames,0)+1,MATCH("ActiveSkillBonus1",PalData_Header,0))</f>
        <v>11000</v>
      </c>
      <c r="G57" s="61" t="n">
        <f aca="false" t="array" ref="G57:G57">INDEX(PalData,MATCH($B57,PalNames,0)+1,MATCH("ActiveSkillBonus2",PalData_Header,0))</f>
        <v>13000</v>
      </c>
      <c r="H57" s="61" t="n">
        <f aca="false" t="array" ref="H57:H57">INDEX(PalData,MATCH($B57,PalNames,0)+1,MATCH("ActiveSkillBonus3",PalData_Header,0))</f>
        <v>16000</v>
      </c>
      <c r="I57" s="304" t="n">
        <f aca="false" t="array" ref="I57:I57">INDEX(PalData,MATCH($B57,PalNames,0)+1,MATCH("ActiveSkillBonus4",PalData_Header,0))</f>
        <v>20000</v>
      </c>
      <c r="J57" s="48" t="str">
        <f aca="false">IFERROR(__xludf.dummyfunction("IFERROR(INDEX(SkillData,MATCH(Arrayformula(ARRAY_CONSTRAIN(FILTER(INDIRECT(""PalData!""&amp;ADDRESS(MATCH(B57,PalNames,0)+1,(MATCH(""Passive0c"",PalData_Header,0)))&amp;"":""&amp;ADDRESS(MATCH(B57,PalNames,0)+1,(MATCH(""Passive0c"",PalData_Header,0))+4)),LEN(INDIRECT"&amp;"(""PalData!""&amp;ADDRESS(MATCH(B57,PalNames,0)+1,(MATCH(""Passive0c"",PalData_Header,0)))&amp;"":""&amp;ADDRESS(MATCH(B57,PalNames,0)+1,(MATCH(""Passive0c"",PalData_Header,0))+4)))&gt;0),1,1)),SkillDataCodeName,0)+1,MATCH(""EffectTypeCombined"",SkillData_Header,0)))"),"")</f>
        <v/>
      </c>
      <c r="K57" s="48" t="str">
        <f aca="false">IFERROR(__xludf.dummyfunction("IFERROR(INDEX(SkillData,MATCH(Arrayformula(ARRAY_CONSTRAIN(FILTER(INDIRECT(""PalData!""&amp;ADDRESS(MATCH(B57,PalNames,0)+1,(MATCH(""Passive0c"",PalData_Header,0)))&amp;"":""&amp;ADDRESS(MATCH(B57,PalNames,0)+1,(MATCH(""Passive0c"",PalData_Header,0))+4)),LEN(INDIRECT"&amp;"(""PalData!""&amp;ADDRESS(MATCH(B57,PalNames,0)+1,(MATCH(""Passive0c"",PalData_Header,0)))&amp;"":""&amp;ADDRESS(MATCH(B57,PalNames,0)+1,(MATCH(""Passive0c"",PalData_Header,0))+4)))&gt;0),1,1)),SkillDataCodeName,0)+1,MATCH(""TargetType1"",SkillData_Header,0)))"),"")</f>
        <v/>
      </c>
      <c r="L57" s="48" t="e">
        <f aca="false" t="array" ref="L57:L57">IF(INDEX(PalData,MATCH($B57,PalNames,0)+1,MATCH("Passive0cCondition",PalData_Header,0))=IFERROR(INDEX(SkillData,MATCH(INDEX(PalData,MATCH($B57,PalNames,0)+1,MATCH("Passive0c",PalData_Header,0)),SkillDataCodeName,0)+1,MATCH("Conditions",SkillData_Header,0))),INDEX(PalData,MATCH($B57,PalNames,0)+1,MATCH("Passive0cCondition",PalData_Header,0)),INDEX(PalData,MATCH($B57,PalNames,0)+1,MATCH("Passive0cCondition",PalData_Header,0)) &amp; IF(ISBLANK(INDEX(PalData,MATCH($B57,PalNames,0)+1,MATCH("Passive0cCondition",PalData_Header,0))),," ")&amp;IFERROR(INDEX(SkillData,MATCH(INDEX(PalData,MATCH($B57,PalNames,0)+1,MATCH("Passive0c",PalData_Header,0)),SkillDataCodeName,0)+1,MATCH("Conditions",SkillData_Header,0))))</f>
        <v>#N/A</v>
      </c>
      <c r="M57" s="48" t="str">
        <f aca="false">IFERROR(__xludf.dummyfunction("IFERROR(INDEX(SkillData,MATCH(Arrayformula(ARRAY_CONSTRAIN(FILTER(INDIRECT(""PalData!""&amp;ADDRESS(MATCH(B57,PalNames,0)+1,(MATCH(""Passive0c"",PalData_Header,0)))&amp;"":""&amp;ADDRESS(MATCH(B57,PalNames,0)+1,(MATCH(""Passive0c"",PalData_Header,0))+4)),LEN(INDIRECT"&amp;"(""PalData!""&amp;ADDRESS(MATCH(B57,PalNames,0)+1,(MATCH(""Passive0c"",PalData_Header,0)))&amp;"":""&amp;ADDRESS(MATCH(B57,PalNames,0)+1,(MATCH(""Passive0c"",PalData_Header,0))+4)))&gt;0),1,1)),SkillDataCodeName,0)+1,MATCH(""ValueType1"",SkillData_Header,0)))"),"")</f>
        <v/>
      </c>
      <c r="N57" s="48" t="e">
        <f aca="false" t="array" ref="N57:N57">IFERROR(INDEX(SkillData,MATCH(INDEX(PalData,MATCH($B57,PalNames,0)+1,MATCH("Passive0c",PalData_Header,0)),SkillDataCodeName,0)+1,MATCH("EffectValue1",SkillData_Header,0)))</f>
        <v>#VALUE!</v>
      </c>
      <c r="O57" s="48" t="e">
        <f aca="false" t="array" ref="O57:O57">IFERROR(INDEX(SkillData,MATCH(INDEX(PalData,MATCH($B57,PalNames,0)+1,MATCH("Passive1c",PalData_Header,0)),SkillDataCodeName,0)+1,MATCH("EffectValue1",SkillData_Header,0)))</f>
        <v>#VALUE!</v>
      </c>
      <c r="P57" s="48" t="e">
        <f aca="false" t="array" ref="P57:P57">IFERROR(INDEX(SkillData,MATCH(INDEX(PalData,MATCH($B57,PalNames,0)+1,MATCH("Passive2c",PalData_Header,0)),SkillDataCodeName,0)+1,MATCH("EffectValue1",SkillData_Header,0)))</f>
        <v>#VALUE!</v>
      </c>
      <c r="Q57" s="48" t="e">
        <f aca="false" t="array" ref="Q57:Q57">IFERROR(INDEX(SkillData,MATCH(INDEX(PalData,MATCH($B57,PalNames,0)+1,MATCH("Passive3c",PalData_Header,0)),SkillDataCodeName,0)+1,MATCH("EffectValue1",SkillData_Header,0)))</f>
        <v>#VALUE!</v>
      </c>
      <c r="R57" s="263" t="e">
        <f aca="false" t="array" ref="R57:R57">IFERROR(INDEX(SkillData,MATCH(INDEX(PalData,MATCH($B57,PalNames,0)+1,MATCH("Passive4c",PalData_Header,0)),SkillDataCodeName,0)+1,MATCH("EffectValue1",SkillData_Header,0)))</f>
        <v>#VALUE!</v>
      </c>
      <c r="S57" s="48" t="str">
        <f aca="false">IFERROR(__xludf.dummyfunction("IFERROR(INDEX(SkillData,MATCH(Arrayformula(ARRAY_CONSTRAIN(FILTER(INDIRECT(""PalData!""&amp;ADDRESS(MATCH(B57,PalNames,0)+1,(MATCH(""Passive0a"",PalData_Header,0)))&amp;"":""&amp;ADDRESS(MATCH(B57,PalNames,0)+1,(MATCH(""Passive0a"",PalData_Header,0))+4)),LEN(INDIRECT"&amp;"(""PalData!""&amp;ADDRESS(MATCH(B57,PalNames,0)+1,(MATCH(""Passive0a"",PalData_Header,0)))&amp;"":""&amp;ADDRESS(MATCH(B57,PalNames,0)+1,(MATCH(""Passive0a"",PalData_Header,0))+4)))&gt;0),1,1)),SkillDataCodeName,0)+1,MATCH(""EffectTypeCombined"",SkillData_Header,0)))"),"")</f>
        <v/>
      </c>
      <c r="T57" s="48" t="str">
        <f aca="false">IFERROR(__xludf.dummyfunction("IFERROR(INDEX(SkillData,MATCH(Arrayformula(ARRAY_CONSTRAIN(FILTER(INDIRECT(""PalData!""&amp;ADDRESS(MATCH(B57,PalNames,0)+1,(MATCH(""Passive0a"",PalData_Header,0)))&amp;"":""&amp;ADDRESS(MATCH(B57,PalNames,0)+1,(MATCH(""Passive0a"",PalData_Header,0))+4)),LEN(INDIRECT"&amp;"(""PalData!""&amp;ADDRESS(MATCH(B57,PalNames,0)+1,(MATCH(""Passive0a"",PalData_Header,0)))&amp;"":""&amp;ADDRESS(MATCH(B57,PalNames,0)+1,(MATCH(""Passive0a"",PalData_Header,0))+4)))&gt;0),1,1)),SkillDataCodeName,0)+1,MATCH(""TargetType1"",SkillData_Header,0)))"),"")</f>
        <v/>
      </c>
      <c r="U57" s="48" t="e">
        <f aca="false" t="array" ref="U57:U57">IF(INDEX(PalData,MATCH($B57,PalNames,0)+1,MATCH("Passive0aCondition",PalData_Header,0))=IFERROR(INDEX(SkillData,MATCH(INDEX(PalData,MATCH($B57,PalNames,0)+1,MATCH("Passive0a",PalData_Header,0)),SkillDataCodeName,0)+1,MATCH("Conditions",SkillData_Header,0))),INDEX(PalData,MATCH($B57,PalNames,0)+1,MATCH("Passive0aCondition",PalData_Header,0)),INDEX(PalData,MATCH($B57,PalNames,0)+1,MATCH("Passive0aCondition",PalData_Header,0)) &amp; IF(ISBLANK(INDEX(PalData,MATCH($B57,PalNames,0)+1,MATCH("Passive0aCondition",PalData_Header,0))),," ")&amp;IFERROR(INDEX(SkillData,MATCH(INDEX(PalData,MATCH($B57,PalNames,0)+1,MATCH("Passive0a",PalData_Header,0)),SkillDataCodeName,0)+1,MATCH("Conditions",SkillData_Header,0))))</f>
        <v>#N/A</v>
      </c>
      <c r="V57" s="48" t="str">
        <f aca="false">IFERROR(__xludf.dummyfunction("IFERROR(INDEX(SkillData,MATCH(Arrayformula(ARRAY_CONSTRAIN(FILTER(INDIRECT(""PalData!""&amp;ADDRESS(MATCH(B57,PalNames,0)+1,(MATCH(""Passive0a"",PalData_Header,0)))&amp;"":""&amp;ADDRESS(MATCH(B57,PalNames,0)+1,(MATCH(""Passive0a"",PalData_Header,0))+4)),LEN(INDIRECT"&amp;"(""PalData!""&amp;ADDRESS(MATCH(B57,PalNames,0)+1,(MATCH(""Passive0a"",PalData_Header,0)))&amp;"":""&amp;ADDRESS(MATCH(B57,PalNames,0)+1,(MATCH(""Passive0a"",PalData_Header,0))+4)))&gt;0),1,1)),SkillDataCodeName,0)+1,MATCH(""ValueType1"",SkillData_Header,0)))"),"")</f>
        <v/>
      </c>
      <c r="W57" s="48" t="n">
        <f aca="false">IFERROR(INDEX(SkillData,MATCH(INDEX(PalData,MATCH($B57,PalNames,0)+1,MATCH("Passive0a",PalData_Header,0)),SkillDataCodeName,0)+1,MATCH("EffectValue1",SkillData_Header,0)),)</f>
        <v>0</v>
      </c>
      <c r="X57" s="48" t="n">
        <f aca="false">IFERROR(INDEX(SkillData,MATCH(INDEX(PalData,MATCH($B57,PalNames,0)+1,MATCH("Passive1a",PalData_Header,0)),SkillDataCodeName,0)+1,MATCH("EffectValue1",SkillData_Header,0)),)</f>
        <v>0</v>
      </c>
      <c r="Y57" s="48" t="n">
        <f aca="false">IFERROR(INDEX(SkillData,MATCH(INDEX(PalData,MATCH($B57,PalNames,0)+1,MATCH("Passive2a",PalData_Header,0)),SkillDataCodeName,0)+1,MATCH("EffectValue1",SkillData_Header,0)),)</f>
        <v>0</v>
      </c>
      <c r="Z57" s="48" t="n">
        <f aca="false">IFERROR(INDEX(SkillData,MATCH(INDEX(PalData,MATCH($B57,PalNames,0)+1,MATCH("Passive3a",PalData_Header,0)),SkillDataCodeName,0)+1,MATCH("EffectValue1",SkillData_Header,0)),)</f>
        <v>0</v>
      </c>
      <c r="AA57" s="263" t="n">
        <f aca="false">IFERROR(INDEX(SkillData,MATCH(INDEX(PalData,MATCH($B57,PalNames,0)+1,MATCH("Passive4a",PalData_Header,0)),SkillDataCodeName,0)+1,MATCH("EffectValue1",SkillData_Header,0)),)</f>
        <v>0</v>
      </c>
      <c r="AB57" s="48" t="str">
        <f aca="false">IFERROR(__xludf.dummyfunction("IFERROR(INDEX(SkillData,MATCH(Arrayformula(ARRAY_CONSTRAIN(FILTER(INDIRECT(""PalData!""&amp;ADDRESS(MATCH(B57,PalNames,0)+1,(MATCH(""Passive0b"",PalData_Header,0)))&amp;"":""&amp;ADDRESS(MATCH(B57,PalNames,0)+1,(MATCH(""Passive0b"",PalData_Header,0))+4)),LEN(INDIRECT"&amp;"(""PalData!""&amp;ADDRESS(MATCH(B57,PalNames,0)+1,(MATCH(""Passive0b"",PalData_Header,0)))&amp;"":""&amp;ADDRESS(MATCH(B57,PalNames,0)+1,(MATCH(""Passive0b"",PalData_Header,0))+4)))&gt;0),1,1)),SkillDataCodeName,0)+1,MATCH(""EffectTypeCombined"",SkillData_Header,0)))"),"")</f>
        <v/>
      </c>
      <c r="AC57" s="48" t="str">
        <f aca="false">IFERROR(__xludf.dummyfunction("IFERROR(INDEX(SkillData,MATCH(Arrayformula(ARRAY_CONSTRAIN(FILTER(INDIRECT(""PalData!""&amp;ADDRESS(MATCH(B57,PalNames,0)+1,(MATCH(""Passive0b"",PalData_Header,0)))&amp;"":""&amp;ADDRESS(MATCH(B57,PalNames,0)+1,(MATCH(""Passive0b"",PalData_Header,0))+4)),LEN(INDIRECT"&amp;"(""PalData!""&amp;ADDRESS(MATCH(B57,PalNames,0)+1,(MATCH(""Passive0b"",PalData_Header,0)))&amp;"":""&amp;ADDRESS(MATCH(B57,PalNames,0)+1,(MATCH(""Passive0b"",PalData_Header,0))+4)))&gt;0),1,1)),SkillDataCodeName,0)+1,MATCH(""TargetType1"",SkillData_Header,0)))"),"")</f>
        <v/>
      </c>
      <c r="AD57" s="48" t="e">
        <f aca="false" t="array" ref="AD57:AD57">IF(INDEX(PalData,MATCH($B57,PalNames,0)+1,MATCH("Passive0bCondition",PalData_Header,0))=IFERROR(INDEX(SkillData,MATCH(INDEX(PalData,MATCH($B57,PalNames,0)+1,MATCH("Passive0b",PalData_Header,0)),SkillDataCodeName,0)+1,MATCH("Conditions",SkillData_Header,0))),INDEX(PalData,MATCH($B57,PalNames,0)+1,MATCH("Passive0bCondition",PalData_Header,0)),INDEX(PalData,MATCH($B57,PalNames,0)+1,MATCH("Passive0bCondition",PalData_Header,0)) &amp; IF(ISBLANK(INDEX(PalData,MATCH($B57,PalNames,0)+1,MATCH("Passive0bCondition",PalData_Header,0))),," ")&amp;IFERROR(INDEX(SkillData,MATCH(INDEX(PalData,MATCH($B57,PalNames,0)+1,MATCH("Passive0b",PalData_Header,0)),SkillDataCodeName,0)+1,MATCH("Conditions",SkillData_Header,0))))</f>
        <v>#N/A</v>
      </c>
      <c r="AE57" s="48" t="str">
        <f aca="false">IFERROR(__xludf.dummyfunction("IFERROR(INDEX(SkillData,MATCH(Arrayformula(ARRAY_CONSTRAIN(FILTER(INDIRECT(""PalData!""&amp;ADDRESS(MATCH(B57,PalNames,0)+1,(MATCH(""Passive0b"",PalData_Header,0)))&amp;"":""&amp;ADDRESS(MATCH(B57,PalNames,0)+1,(MATCH(""Passive0b"",PalData_Header,0))+4)),LEN(INDIRECT"&amp;"(""PalData!""&amp;ADDRESS(MATCH(B57,PalNames,0)+1,(MATCH(""Passive0b"",PalData_Header,0)))&amp;"":""&amp;ADDRESS(MATCH(B57,PalNames,0)+1,(MATCH(""Passive0b"",PalData_Header,0))+4)))&gt;0),1,1)),SkillDataCodeName,0)+1,MATCH(""ValueType1"",SkillData_Header,0)))"),"")</f>
        <v/>
      </c>
      <c r="AF57" s="48" t="n">
        <f aca="false">IFERROR(INDEX(SkillData,MATCH(INDEX(PalData,MATCH($B57,PalNames,0)+1,MATCH("Passive0b",PalData_Header,0)),SkillDataCodeName,0)+1,MATCH("EffectValue1",SkillData_Header,0)),)</f>
        <v>0</v>
      </c>
      <c r="AG57" s="48" t="n">
        <f aca="false">IFERROR(INDEX(SkillData,MATCH(INDEX(PalData,MATCH($B57,PalNames,0)+1,MATCH("Passive1b",PalData_Header,0)),SkillDataCodeName,0)+1,MATCH("EffectValue1",SkillData_Header,0)),)</f>
        <v>0</v>
      </c>
      <c r="AH57" s="48" t="n">
        <f aca="false">IFERROR(INDEX(SkillData,MATCH(INDEX(PalData,MATCH($B57,PalNames,0)+1,MATCH("Passive2b",PalData_Header,0)),SkillDataCodeName,0)+1,MATCH("EffectValue1",SkillData_Header,0)),)</f>
        <v>0</v>
      </c>
      <c r="AI57" s="48" t="n">
        <f aca="false">IFERROR(INDEX(SkillData,MATCH(INDEX(PalData,MATCH($B57,PalNames,0)+1,MATCH("Passive3b",PalData_Header,0)),SkillDataCodeName,0)+1,MATCH("EffectValue1",SkillData_Header,0)),)</f>
        <v>0</v>
      </c>
      <c r="AJ57" s="263" t="n">
        <f aca="false">IFERROR(INDEX(SkillData,MATCH(INDEX(PalData,MATCH($B57,PalNames,0)+1,MATCH("Passive4b",PalData_Header,0)),SkillDataCodeName,0)+1,MATCH("EffectValue1",SkillData_Header,0)),)</f>
        <v>0</v>
      </c>
      <c r="AK57" s="305" t="s">
        <v>321</v>
      </c>
    </row>
    <row r="58" customFormat="false" ht="15.75" hidden="false" customHeight="false" outlineLevel="0" collapsed="false">
      <c r="A58" s="299" t="n">
        <v>46</v>
      </c>
      <c r="B58" s="300" t="s">
        <v>94</v>
      </c>
      <c r="C58" s="45" t="str">
        <f aca="false" t="array" ref="C58:C58">IF(ISBLANK(INDEX(PalData,MATCH($B58,PalNames,0)+1,MATCH("ActiveSkill",PalData_Header,0))),INDEX(PalData,MATCH($B58,PalNames,0)+1,MATCH("SkillUnlock_",PalData_Header,0)),INDEX(PalData,MATCH($B58,PalNames,0)+1,MATCH("ActiveSkill",PalData_Header,0)))</f>
        <v>Unique_Werewolf_Scratch</v>
      </c>
      <c r="D58" s="45" t="s">
        <v>269</v>
      </c>
      <c r="E58" s="62" t="n">
        <f aca="false" t="array" ref="E58:E58">INDEX(PalData,MATCH($B58,PalNames,0)+1,MATCH("ActiveSkillBonus0",PalData_Header,0))</f>
        <v>1.1</v>
      </c>
      <c r="F58" s="62" t="n">
        <f aca="false" t="array" ref="F58:F58">INDEX(PalData,MATCH($B58,PalNames,0)+1,MATCH("ActiveSkillBonus1",PalData_Header,0))</f>
        <v>1.3</v>
      </c>
      <c r="G58" s="62" t="n">
        <f aca="false" t="array" ref="G58:G58">INDEX(PalData,MATCH($B58,PalNames,0)+1,MATCH("ActiveSkillBonus2",PalData_Header,0))</f>
        <v>1.6</v>
      </c>
      <c r="H58" s="62" t="n">
        <f aca="false" t="array" ref="H58:H58">INDEX(PalData,MATCH($B58,PalNames,0)+1,MATCH("ActiveSkillBonus3",PalData_Header,0))</f>
        <v>2</v>
      </c>
      <c r="I58" s="306" t="n">
        <f aca="false" t="array" ref="I58:I58">INDEX(PalData,MATCH($B58,PalNames,0)+1,MATCH("ActiveSkillBonus4",PalData_Header,0))</f>
        <v>2.5</v>
      </c>
      <c r="J58" s="45" t="str">
        <f aca="false">IFERROR(__xludf.dummyfunction("IFERROR(INDEX(SkillData,MATCH(Arrayformula(ARRAY_CONSTRAIN(FILTER(INDIRECT(""PalData!""&amp;ADDRESS(MATCH(B58,PalNames,0)+1,(MATCH(""Passive0c"",PalData_Header,0)))&amp;"":""&amp;ADDRESS(MATCH(B58,PalNames,0)+1,(MATCH(""Passive0c"",PalData_Header,0))+4)),LEN(INDIRECT"&amp;"(""PalData!""&amp;ADDRESS(MATCH(B58,PalNames,0)+1,(MATCH(""Passive0c"",PalData_Header,0)))&amp;"":""&amp;ADDRESS(MATCH(B58,PalNames,0)+1,(MATCH(""Passive0c"",PalData_Header,0))+4)))&gt;0),1,1)),SkillDataCodeName,0)+1,MATCH(""EffectTypeCombined"",SkillData_Header,0)))"),"")</f>
        <v/>
      </c>
      <c r="K58" s="45" t="str">
        <f aca="false">IFERROR(__xludf.dummyfunction("IFERROR(INDEX(SkillData,MATCH(Arrayformula(ARRAY_CONSTRAIN(FILTER(INDIRECT(""PalData!""&amp;ADDRESS(MATCH(B58,PalNames,0)+1,(MATCH(""Passive0c"",PalData_Header,0)))&amp;"":""&amp;ADDRESS(MATCH(B58,PalNames,0)+1,(MATCH(""Passive0c"",PalData_Header,0))+4)),LEN(INDIRECT"&amp;"(""PalData!""&amp;ADDRESS(MATCH(B58,PalNames,0)+1,(MATCH(""Passive0c"",PalData_Header,0)))&amp;"":""&amp;ADDRESS(MATCH(B58,PalNames,0)+1,(MATCH(""Passive0c"",PalData_Header,0))+4)))&gt;0),1,1)),SkillDataCodeName,0)+1,MATCH(""TargetType1"",SkillData_Header,0)))"),"")</f>
        <v/>
      </c>
      <c r="L58" s="45" t="e">
        <f aca="false" t="array" ref="L58:L58">IF(INDEX(PalData,MATCH($B58,PalNames,0)+1,MATCH("Passive0cCondition",PalData_Header,0))=IFERROR(INDEX(SkillData,MATCH(INDEX(PalData,MATCH($B58,PalNames,0)+1,MATCH("Passive0c",PalData_Header,0)),SkillDataCodeName,0)+1,MATCH("Conditions",SkillData_Header,0))),INDEX(PalData,MATCH($B58,PalNames,0)+1,MATCH("Passive0cCondition",PalData_Header,0)),INDEX(PalData,MATCH($B58,PalNames,0)+1,MATCH("Passive0cCondition",PalData_Header,0)) &amp; IF(ISBLANK(INDEX(PalData,MATCH($B58,PalNames,0)+1,MATCH("Passive0cCondition",PalData_Header,0))),," ")&amp;IFERROR(INDEX(SkillData,MATCH(INDEX(PalData,MATCH($B58,PalNames,0)+1,MATCH("Passive0c",PalData_Header,0)),SkillDataCodeName,0)+1,MATCH("Conditions",SkillData_Header,0))))</f>
        <v>#N/A</v>
      </c>
      <c r="M58" s="45" t="str">
        <f aca="false">IFERROR(__xludf.dummyfunction("IFERROR(INDEX(SkillData,MATCH(Arrayformula(ARRAY_CONSTRAIN(FILTER(INDIRECT(""PalData!""&amp;ADDRESS(MATCH(B58,PalNames,0)+1,(MATCH(""Passive0c"",PalData_Header,0)))&amp;"":""&amp;ADDRESS(MATCH(B58,PalNames,0)+1,(MATCH(""Passive0c"",PalData_Header,0))+4)),LEN(INDIRECT"&amp;"(""PalData!""&amp;ADDRESS(MATCH(B58,PalNames,0)+1,(MATCH(""Passive0c"",PalData_Header,0)))&amp;"":""&amp;ADDRESS(MATCH(B58,PalNames,0)+1,(MATCH(""Passive0c"",PalData_Header,0))+4)))&gt;0),1,1)),SkillDataCodeName,0)+1,MATCH(""ValueType1"",SkillData_Header,0)))"),"")</f>
        <v/>
      </c>
      <c r="N58" s="45" t="e">
        <f aca="false" t="array" ref="N58:N58">IFERROR(INDEX(SkillData,MATCH(INDEX(PalData,MATCH($B58,PalNames,0)+1,MATCH("Passive0c",PalData_Header,0)),SkillDataCodeName,0)+1,MATCH("EffectValue1",SkillData_Header,0)))</f>
        <v>#VALUE!</v>
      </c>
      <c r="O58" s="45" t="e">
        <f aca="false" t="array" ref="O58:O58">IFERROR(INDEX(SkillData,MATCH(INDEX(PalData,MATCH($B58,PalNames,0)+1,MATCH("Passive1c",PalData_Header,0)),SkillDataCodeName,0)+1,MATCH("EffectValue1",SkillData_Header,0)))</f>
        <v>#VALUE!</v>
      </c>
      <c r="P58" s="45" t="e">
        <f aca="false" t="array" ref="P58:P58">IFERROR(INDEX(SkillData,MATCH(INDEX(PalData,MATCH($B58,PalNames,0)+1,MATCH("Passive2c",PalData_Header,0)),SkillDataCodeName,0)+1,MATCH("EffectValue1",SkillData_Header,0)))</f>
        <v>#VALUE!</v>
      </c>
      <c r="Q58" s="45" t="e">
        <f aca="false" t="array" ref="Q58:Q58">IFERROR(INDEX(SkillData,MATCH(INDEX(PalData,MATCH($B58,PalNames,0)+1,MATCH("Passive3c",PalData_Header,0)),SkillDataCodeName,0)+1,MATCH("EffectValue1",SkillData_Header,0)))</f>
        <v>#VALUE!</v>
      </c>
      <c r="R58" s="260" t="e">
        <f aca="false" t="array" ref="R58:R58">IFERROR(INDEX(SkillData,MATCH(INDEX(PalData,MATCH($B58,PalNames,0)+1,MATCH("Passive4c",PalData_Header,0)),SkillDataCodeName,0)+1,MATCH("EffectValue1",SkillData_Header,0)))</f>
        <v>#VALUE!</v>
      </c>
      <c r="S58" s="45" t="str">
        <f aca="false">IFERROR(__xludf.dummyfunction("IFERROR(INDEX(SkillData,MATCH(Arrayformula(ARRAY_CONSTRAIN(FILTER(INDIRECT(""PalData!""&amp;ADDRESS(MATCH(B58,PalNames,0)+1,(MATCH(""Passive0a"",PalData_Header,0)))&amp;"":""&amp;ADDRESS(MATCH(B58,PalNames,0)+1,(MATCH(""Passive0a"",PalData_Header,0))+4)),LEN(INDIRECT"&amp;"(""PalData!""&amp;ADDRESS(MATCH(B58,PalNames,0)+1,(MATCH(""Passive0a"",PalData_Header,0)))&amp;"":""&amp;ADDRESS(MATCH(B58,PalNames,0)+1,(MATCH(""Passive0a"",PalData_Header,0))+4)))&gt;0),1,1)),SkillDataCodeName,0)+1,MATCH(""EffectTypeCombined"",SkillData_Header,0)))"),"")</f>
        <v/>
      </c>
      <c r="T58" s="45" t="str">
        <f aca="false">IFERROR(__xludf.dummyfunction("IFERROR(INDEX(SkillData,MATCH(Arrayformula(ARRAY_CONSTRAIN(FILTER(INDIRECT(""PalData!""&amp;ADDRESS(MATCH(B58,PalNames,0)+1,(MATCH(""Passive0a"",PalData_Header,0)))&amp;"":""&amp;ADDRESS(MATCH(B58,PalNames,0)+1,(MATCH(""Passive0a"",PalData_Header,0))+4)),LEN(INDIRECT"&amp;"(""PalData!""&amp;ADDRESS(MATCH(B58,PalNames,0)+1,(MATCH(""Passive0a"",PalData_Header,0)))&amp;"":""&amp;ADDRESS(MATCH(B58,PalNames,0)+1,(MATCH(""Passive0a"",PalData_Header,0))+4)))&gt;0),1,1)),SkillDataCodeName,0)+1,MATCH(""TargetType1"",SkillData_Header,0)))"),"")</f>
        <v/>
      </c>
      <c r="U58" s="45" t="e">
        <f aca="false" t="array" ref="U58:U58">IF(INDEX(PalData,MATCH($B58,PalNames,0)+1,MATCH("Passive0aCondition",PalData_Header,0))=IFERROR(INDEX(SkillData,MATCH(INDEX(PalData,MATCH($B58,PalNames,0)+1,MATCH("Passive0a",PalData_Header,0)),SkillDataCodeName,0)+1,MATCH("Conditions",SkillData_Header,0))),INDEX(PalData,MATCH($B58,PalNames,0)+1,MATCH("Passive0aCondition",PalData_Header,0)),INDEX(PalData,MATCH($B58,PalNames,0)+1,MATCH("Passive0aCondition",PalData_Header,0)) &amp; IF(ISBLANK(INDEX(PalData,MATCH($B58,PalNames,0)+1,MATCH("Passive0aCondition",PalData_Header,0))),," ")&amp;IFERROR(INDEX(SkillData,MATCH(INDEX(PalData,MATCH($B58,PalNames,0)+1,MATCH("Passive0a",PalData_Header,0)),SkillDataCodeName,0)+1,MATCH("Conditions",SkillData_Header,0))))</f>
        <v>#N/A</v>
      </c>
      <c r="V58" s="45" t="str">
        <f aca="false">IFERROR(__xludf.dummyfunction("IFERROR(INDEX(SkillData,MATCH(Arrayformula(ARRAY_CONSTRAIN(FILTER(INDIRECT(""PalData!""&amp;ADDRESS(MATCH(B58,PalNames,0)+1,(MATCH(""Passive0a"",PalData_Header,0)))&amp;"":""&amp;ADDRESS(MATCH(B58,PalNames,0)+1,(MATCH(""Passive0a"",PalData_Header,0))+4)),LEN(INDIRECT"&amp;"(""PalData!""&amp;ADDRESS(MATCH(B58,PalNames,0)+1,(MATCH(""Passive0a"",PalData_Header,0)))&amp;"":""&amp;ADDRESS(MATCH(B58,PalNames,0)+1,(MATCH(""Passive0a"",PalData_Header,0))+4)))&gt;0),1,1)),SkillDataCodeName,0)+1,MATCH(""ValueType1"",SkillData_Header,0)))"),"")</f>
        <v/>
      </c>
      <c r="W58" s="45" t="n">
        <f aca="false">IFERROR(INDEX(SkillData,MATCH(INDEX(PalData,MATCH($B58,PalNames,0)+1,MATCH("Passive0a",PalData_Header,0)),SkillDataCodeName,0)+1,MATCH("EffectValue1",SkillData_Header,0)),)</f>
        <v>0</v>
      </c>
      <c r="X58" s="45" t="n">
        <f aca="false">IFERROR(INDEX(SkillData,MATCH(INDEX(PalData,MATCH($B58,PalNames,0)+1,MATCH("Passive1a",PalData_Header,0)),SkillDataCodeName,0)+1,MATCH("EffectValue1",SkillData_Header,0)),)</f>
        <v>0</v>
      </c>
      <c r="Y58" s="45" t="n">
        <f aca="false">IFERROR(INDEX(SkillData,MATCH(INDEX(PalData,MATCH($B58,PalNames,0)+1,MATCH("Passive2a",PalData_Header,0)),SkillDataCodeName,0)+1,MATCH("EffectValue1",SkillData_Header,0)),)</f>
        <v>0</v>
      </c>
      <c r="Z58" s="45" t="n">
        <f aca="false">IFERROR(INDEX(SkillData,MATCH(INDEX(PalData,MATCH($B58,PalNames,0)+1,MATCH("Passive3a",PalData_Header,0)),SkillDataCodeName,0)+1,MATCH("EffectValue1",SkillData_Header,0)),)</f>
        <v>0</v>
      </c>
      <c r="AA58" s="260" t="n">
        <f aca="false">IFERROR(INDEX(SkillData,MATCH(INDEX(PalData,MATCH($B58,PalNames,0)+1,MATCH("Passive4a",PalData_Header,0)),SkillDataCodeName,0)+1,MATCH("EffectValue1",SkillData_Header,0)),)</f>
        <v>0</v>
      </c>
      <c r="AB58" s="45" t="str">
        <f aca="false">IFERROR(__xludf.dummyfunction("IFERROR(INDEX(SkillData,MATCH(Arrayformula(ARRAY_CONSTRAIN(FILTER(INDIRECT(""PalData!""&amp;ADDRESS(MATCH(B58,PalNames,0)+1,(MATCH(""Passive0b"",PalData_Header,0)))&amp;"":""&amp;ADDRESS(MATCH(B58,PalNames,0)+1,(MATCH(""Passive0b"",PalData_Header,0))+4)),LEN(INDIRECT"&amp;"(""PalData!""&amp;ADDRESS(MATCH(B58,PalNames,0)+1,(MATCH(""Passive0b"",PalData_Header,0)))&amp;"":""&amp;ADDRESS(MATCH(B58,PalNames,0)+1,(MATCH(""Passive0b"",PalData_Header,0))+4)))&gt;0),1,1)),SkillDataCodeName,0)+1,MATCH(""EffectTypeCombined"",SkillData_Header,0)))"),"")</f>
        <v/>
      </c>
      <c r="AC58" s="45" t="str">
        <f aca="false">IFERROR(__xludf.dummyfunction("IFERROR(INDEX(SkillData,MATCH(Arrayformula(ARRAY_CONSTRAIN(FILTER(INDIRECT(""PalData!""&amp;ADDRESS(MATCH(B58,PalNames,0)+1,(MATCH(""Passive0b"",PalData_Header,0)))&amp;"":""&amp;ADDRESS(MATCH(B58,PalNames,0)+1,(MATCH(""Passive0b"",PalData_Header,0))+4)),LEN(INDIRECT"&amp;"(""PalData!""&amp;ADDRESS(MATCH(B58,PalNames,0)+1,(MATCH(""Passive0b"",PalData_Header,0)))&amp;"":""&amp;ADDRESS(MATCH(B58,PalNames,0)+1,(MATCH(""Passive0b"",PalData_Header,0))+4)))&gt;0),1,1)),SkillDataCodeName,0)+1,MATCH(""TargetType1"",SkillData_Header,0)))"),"")</f>
        <v/>
      </c>
      <c r="AD58" s="45" t="e">
        <f aca="false" t="array" ref="AD58:AD58">IF(INDEX(PalData,MATCH($B58,PalNames,0)+1,MATCH("Passive0bCondition",PalData_Header,0))=IFERROR(INDEX(SkillData,MATCH(INDEX(PalData,MATCH($B58,PalNames,0)+1,MATCH("Passive0b",PalData_Header,0)),SkillDataCodeName,0)+1,MATCH("Conditions",SkillData_Header,0))),INDEX(PalData,MATCH($B58,PalNames,0)+1,MATCH("Passive0bCondition",PalData_Header,0)),INDEX(PalData,MATCH($B58,PalNames,0)+1,MATCH("Passive0bCondition",PalData_Header,0)) &amp; IF(ISBLANK(INDEX(PalData,MATCH($B58,PalNames,0)+1,MATCH("Passive0bCondition",PalData_Header,0))),," ")&amp;IFERROR(INDEX(SkillData,MATCH(INDEX(PalData,MATCH($B58,PalNames,0)+1,MATCH("Passive0b",PalData_Header,0)),SkillDataCodeName,0)+1,MATCH("Conditions",SkillData_Header,0))))</f>
        <v>#N/A</v>
      </c>
      <c r="AE58" s="45" t="str">
        <f aca="false">IFERROR(__xludf.dummyfunction("IFERROR(INDEX(SkillData,MATCH(Arrayformula(ARRAY_CONSTRAIN(FILTER(INDIRECT(""PalData!""&amp;ADDRESS(MATCH(B58,PalNames,0)+1,(MATCH(""Passive0b"",PalData_Header,0)))&amp;"":""&amp;ADDRESS(MATCH(B58,PalNames,0)+1,(MATCH(""Passive0b"",PalData_Header,0))+4)),LEN(INDIRECT"&amp;"(""PalData!""&amp;ADDRESS(MATCH(B58,PalNames,0)+1,(MATCH(""Passive0b"",PalData_Header,0)))&amp;"":""&amp;ADDRESS(MATCH(B58,PalNames,0)+1,(MATCH(""Passive0b"",PalData_Header,0))+4)))&gt;0),1,1)),SkillDataCodeName,0)+1,MATCH(""ValueType1"",SkillData_Header,0)))"),"")</f>
        <v/>
      </c>
      <c r="AF58" s="45" t="n">
        <f aca="false">IFERROR(INDEX(SkillData,MATCH(INDEX(PalData,MATCH($B58,PalNames,0)+1,MATCH("Passive0b",PalData_Header,0)),SkillDataCodeName,0)+1,MATCH("EffectValue1",SkillData_Header,0)),)</f>
        <v>0</v>
      </c>
      <c r="AG58" s="45" t="n">
        <f aca="false">IFERROR(INDEX(SkillData,MATCH(INDEX(PalData,MATCH($B58,PalNames,0)+1,MATCH("Passive1b",PalData_Header,0)),SkillDataCodeName,0)+1,MATCH("EffectValue1",SkillData_Header,0)),)</f>
        <v>0</v>
      </c>
      <c r="AH58" s="45" t="n">
        <f aca="false">IFERROR(INDEX(SkillData,MATCH(INDEX(PalData,MATCH($B58,PalNames,0)+1,MATCH("Passive2b",PalData_Header,0)),SkillDataCodeName,0)+1,MATCH("EffectValue1",SkillData_Header,0)),)</f>
        <v>0</v>
      </c>
      <c r="AI58" s="45" t="n">
        <f aca="false">IFERROR(INDEX(SkillData,MATCH(INDEX(PalData,MATCH($B58,PalNames,0)+1,MATCH("Passive3b",PalData_Header,0)),SkillDataCodeName,0)+1,MATCH("EffectValue1",SkillData_Header,0)),)</f>
        <v>0</v>
      </c>
      <c r="AJ58" s="260" t="n">
        <f aca="false">IFERROR(INDEX(SkillData,MATCH(INDEX(PalData,MATCH($B58,PalNames,0)+1,MATCH("Passive4b",PalData_Header,0)),SkillDataCodeName,0)+1,MATCH("EffectValue1",SkillData_Header,0)),)</f>
        <v>0</v>
      </c>
      <c r="AK58" s="301" t="s">
        <v>322</v>
      </c>
    </row>
    <row r="59" customFormat="false" ht="15.75" hidden="false" customHeight="false" outlineLevel="0" collapsed="false">
      <c r="A59" s="302" t="n">
        <v>47</v>
      </c>
      <c r="B59" s="303" t="s">
        <v>63</v>
      </c>
      <c r="C59" s="48" t="str">
        <f aca="false" t="array" ref="C59:C59">IF(ISBLANK(INDEX(PalData,MATCH($B59,PalNames,0)+1,MATCH("ActiveSkill",PalData_Header,0))),INDEX(PalData,MATCH($B59,PalNames,0)+1,MATCH("SkillUnlock_",PalData_Header,0)),INDEX(PalData,MATCH($B59,PalNames,0)+1,MATCH("ActiveSkill",PalData_Header,0)))</f>
        <v>Gloves</v>
      </c>
      <c r="D59" s="48"/>
      <c r="E59" s="48" t="n">
        <f aca="false">INDEX(PalData,MATCH($B59,PalNames,0)+1,MATCH("ActiveSkillBonus0",PalData_Header,0))</f>
        <v>0</v>
      </c>
      <c r="F59" s="48" t="n">
        <f aca="false">INDEX(PalData,MATCH($B59,PalNames,0)+1,MATCH("ActiveSkillBonus1",PalData_Header,0))</f>
        <v>0</v>
      </c>
      <c r="G59" s="48" t="n">
        <f aca="false">INDEX(PalData,MATCH($B59,PalNames,0)+1,MATCH("ActiveSkillBonus2",PalData_Header,0))</f>
        <v>0</v>
      </c>
      <c r="H59" s="48" t="n">
        <f aca="false">INDEX(PalData,MATCH($B59,PalNames,0)+1,MATCH("ActiveSkillBonus3",PalData_Header,0))</f>
        <v>0</v>
      </c>
      <c r="I59" s="263" t="n">
        <f aca="false">INDEX(PalData,MATCH($B59,PalNames,0)+1,MATCH("ActiveSkillBonus4",PalData_Header,0))</f>
        <v>0</v>
      </c>
      <c r="J59" s="48" t="str">
        <f aca="false">IFERROR(__xludf.dummyfunction("IFERROR(INDEX(SkillData,MATCH(Arrayformula(ARRAY_CONSTRAIN(FILTER(INDIRECT(""PalData!""&amp;ADDRESS(MATCH(B59,PalNames,0)+1,(MATCH(""Passive0c"",PalData_Header,0)))&amp;"":""&amp;ADDRESS(MATCH(B59,PalNames,0)+1,(MATCH(""Passive0c"",PalData_Header,0))+4)),LEN(INDIRECT"&amp;"(""PalData!""&amp;ADDRESS(MATCH(B59,PalNames,0)+1,(MATCH(""Passive0c"",PalData_Header,0)))&amp;"":""&amp;ADDRESS(MATCH(B59,PalNames,0)+1,(MATCH(""Passive0c"",PalData_Header,0))+4)))&gt;0),1,1)),SkillDataCodeName,0)+1,MATCH(""EffectTypeCombined"",SkillData_Header,0)))"),"")</f>
        <v/>
      </c>
      <c r="K59" s="48" t="str">
        <f aca="false">IFERROR(__xludf.dummyfunction("IFERROR(INDEX(SkillData,MATCH(Arrayformula(ARRAY_CONSTRAIN(FILTER(INDIRECT(""PalData!""&amp;ADDRESS(MATCH(B59,PalNames,0)+1,(MATCH(""Passive0c"",PalData_Header,0)))&amp;"":""&amp;ADDRESS(MATCH(B59,PalNames,0)+1,(MATCH(""Passive0c"",PalData_Header,0))+4)),LEN(INDIRECT"&amp;"(""PalData!""&amp;ADDRESS(MATCH(B59,PalNames,0)+1,(MATCH(""Passive0c"",PalData_Header,0)))&amp;"":""&amp;ADDRESS(MATCH(B59,PalNames,0)+1,(MATCH(""Passive0c"",PalData_Header,0))+4)))&gt;0),1,1)),SkillDataCodeName,0)+1,MATCH(""TargetType1"",SkillData_Header,0)))"),"")</f>
        <v/>
      </c>
      <c r="L59" s="48" t="e">
        <f aca="false" t="array" ref="L59:L59">IF(INDEX(PalData,MATCH($B59,PalNames,0)+1,MATCH("Passive0cCondition",PalData_Header,0))=IFERROR(INDEX(SkillData,MATCH(INDEX(PalData,MATCH($B59,PalNames,0)+1,MATCH("Passive0c",PalData_Header,0)),SkillDataCodeName,0)+1,MATCH("Conditions",SkillData_Header,0))),INDEX(PalData,MATCH($B59,PalNames,0)+1,MATCH("Passive0cCondition",PalData_Header,0)),INDEX(PalData,MATCH($B59,PalNames,0)+1,MATCH("Passive0cCondition",PalData_Header,0)) &amp; IF(ISBLANK(INDEX(PalData,MATCH($B59,PalNames,0)+1,MATCH("Passive0cCondition",PalData_Header,0))),," ")&amp;IFERROR(INDEX(SkillData,MATCH(INDEX(PalData,MATCH($B59,PalNames,0)+1,MATCH("Passive0c",PalData_Header,0)),SkillDataCodeName,0)+1,MATCH("Conditions",SkillData_Header,0))))</f>
        <v>#N/A</v>
      </c>
      <c r="M59" s="48" t="str">
        <f aca="false">IFERROR(__xludf.dummyfunction("IFERROR(INDEX(SkillData,MATCH(Arrayformula(ARRAY_CONSTRAIN(FILTER(INDIRECT(""PalData!""&amp;ADDRESS(MATCH(B59,PalNames,0)+1,(MATCH(""Passive0c"",PalData_Header,0)))&amp;"":""&amp;ADDRESS(MATCH(B59,PalNames,0)+1,(MATCH(""Passive0c"",PalData_Header,0))+4)),LEN(INDIRECT"&amp;"(""PalData!""&amp;ADDRESS(MATCH(B59,PalNames,0)+1,(MATCH(""Passive0c"",PalData_Header,0)))&amp;"":""&amp;ADDRESS(MATCH(B59,PalNames,0)+1,(MATCH(""Passive0c"",PalData_Header,0))+4)))&gt;0),1,1)),SkillDataCodeName,0)+1,MATCH(""ValueType1"",SkillData_Header,0)))"),"")</f>
        <v/>
      </c>
      <c r="N59" s="48" t="e">
        <f aca="false" t="array" ref="N59:N59">IFERROR(INDEX(SkillData,MATCH(INDEX(PalData,MATCH($B59,PalNames,0)+1,MATCH("Passive0c",PalData_Header,0)),SkillDataCodeName,0)+1,MATCH("EffectValue1",SkillData_Header,0)))</f>
        <v>#VALUE!</v>
      </c>
      <c r="O59" s="48" t="e">
        <f aca="false" t="array" ref="O59:O59">IFERROR(INDEX(SkillData,MATCH(INDEX(PalData,MATCH($B59,PalNames,0)+1,MATCH("Passive1c",PalData_Header,0)),SkillDataCodeName,0)+1,MATCH("EffectValue1",SkillData_Header,0)))</f>
        <v>#VALUE!</v>
      </c>
      <c r="P59" s="48" t="e">
        <f aca="false" t="array" ref="P59:P59">IFERROR(INDEX(SkillData,MATCH(INDEX(PalData,MATCH($B59,PalNames,0)+1,MATCH("Passive2c",PalData_Header,0)),SkillDataCodeName,0)+1,MATCH("EffectValue1",SkillData_Header,0)))</f>
        <v>#VALUE!</v>
      </c>
      <c r="Q59" s="48" t="e">
        <f aca="false" t="array" ref="Q59:Q59">IFERROR(INDEX(SkillData,MATCH(INDEX(PalData,MATCH($B59,PalNames,0)+1,MATCH("Passive3c",PalData_Header,0)),SkillDataCodeName,0)+1,MATCH("EffectValue1",SkillData_Header,0)))</f>
        <v>#VALUE!</v>
      </c>
      <c r="R59" s="263" t="e">
        <f aca="false" t="array" ref="R59:R59">IFERROR(INDEX(SkillData,MATCH(INDEX(PalData,MATCH($B59,PalNames,0)+1,MATCH("Passive4c",PalData_Header,0)),SkillDataCodeName,0)+1,MATCH("EffectValue1",SkillData_Header,0)))</f>
        <v>#VALUE!</v>
      </c>
      <c r="S59" s="48" t="str">
        <f aca="false">IFERROR(__xludf.dummyfunction("IFERROR(INDEX(SkillData,MATCH(Arrayformula(ARRAY_CONSTRAIN(FILTER(INDIRECT(""PalData!""&amp;ADDRESS(MATCH(B59,PalNames,0)+1,(MATCH(""Passive0a"",PalData_Header,0)))&amp;"":""&amp;ADDRESS(MATCH(B59,PalNames,0)+1,(MATCH(""Passive0a"",PalData_Header,0))+4)),LEN(INDIRECT"&amp;"(""PalData!""&amp;ADDRESS(MATCH(B59,PalNames,0)+1,(MATCH(""Passive0a"",PalData_Header,0)))&amp;"":""&amp;ADDRESS(MATCH(B59,PalNames,0)+1,(MATCH(""Passive0a"",PalData_Header,0))+4)))&gt;0),1,1)),SkillDataCodeName,0)+1,MATCH(""EffectTypeCombined"",SkillData_Header,0)))"),"")</f>
        <v/>
      </c>
      <c r="T59" s="48" t="str">
        <f aca="false">IFERROR(__xludf.dummyfunction("IFERROR(INDEX(SkillData,MATCH(Arrayformula(ARRAY_CONSTRAIN(FILTER(INDIRECT(""PalData!""&amp;ADDRESS(MATCH(B59,PalNames,0)+1,(MATCH(""Passive0a"",PalData_Header,0)))&amp;"":""&amp;ADDRESS(MATCH(B59,PalNames,0)+1,(MATCH(""Passive0a"",PalData_Header,0))+4)),LEN(INDIRECT"&amp;"(""PalData!""&amp;ADDRESS(MATCH(B59,PalNames,0)+1,(MATCH(""Passive0a"",PalData_Header,0)))&amp;"":""&amp;ADDRESS(MATCH(B59,PalNames,0)+1,(MATCH(""Passive0a"",PalData_Header,0))+4)))&gt;0),1,1)),SkillDataCodeName,0)+1,MATCH(""TargetType1"",SkillData_Header,0)))"),"")</f>
        <v/>
      </c>
      <c r="U59" s="48" t="e">
        <f aca="false" t="array" ref="U59:U59">IF(INDEX(PalData,MATCH($B59,PalNames,0)+1,MATCH("Passive0aCondition",PalData_Header,0))=IFERROR(INDEX(SkillData,MATCH(INDEX(PalData,MATCH($B59,PalNames,0)+1,MATCH("Passive0a",PalData_Header,0)),SkillDataCodeName,0)+1,MATCH("Conditions",SkillData_Header,0))),INDEX(PalData,MATCH($B59,PalNames,0)+1,MATCH("Passive0aCondition",PalData_Header,0)),INDEX(PalData,MATCH($B59,PalNames,0)+1,MATCH("Passive0aCondition",PalData_Header,0)) &amp; IF(ISBLANK(INDEX(PalData,MATCH($B59,PalNames,0)+1,MATCH("Passive0aCondition",PalData_Header,0))),," ")&amp;IFERROR(INDEX(SkillData,MATCH(INDEX(PalData,MATCH($B59,PalNames,0)+1,MATCH("Passive0a",PalData_Header,0)),SkillDataCodeName,0)+1,MATCH("Conditions",SkillData_Header,0))))</f>
        <v>#N/A</v>
      </c>
      <c r="V59" s="48" t="str">
        <f aca="false">IFERROR(__xludf.dummyfunction("IFERROR(INDEX(SkillData,MATCH(Arrayformula(ARRAY_CONSTRAIN(FILTER(INDIRECT(""PalData!""&amp;ADDRESS(MATCH(B59,PalNames,0)+1,(MATCH(""Passive0a"",PalData_Header,0)))&amp;"":""&amp;ADDRESS(MATCH(B59,PalNames,0)+1,(MATCH(""Passive0a"",PalData_Header,0))+4)),LEN(INDIRECT"&amp;"(""PalData!""&amp;ADDRESS(MATCH(B59,PalNames,0)+1,(MATCH(""Passive0a"",PalData_Header,0)))&amp;"":""&amp;ADDRESS(MATCH(B59,PalNames,0)+1,(MATCH(""Passive0a"",PalData_Header,0))+4)))&gt;0),1,1)),SkillDataCodeName,0)+1,MATCH(""ValueType1"",SkillData_Header,0)))"),"")</f>
        <v/>
      </c>
      <c r="W59" s="48" t="n">
        <f aca="false">IFERROR(INDEX(SkillData,MATCH(INDEX(PalData,MATCH($B59,PalNames,0)+1,MATCH("Passive0a",PalData_Header,0)),SkillDataCodeName,0)+1,MATCH("EffectValue1",SkillData_Header,0)),)</f>
        <v>0</v>
      </c>
      <c r="X59" s="48" t="n">
        <f aca="false">IFERROR(INDEX(SkillData,MATCH(INDEX(PalData,MATCH($B59,PalNames,0)+1,MATCH("Passive1a",PalData_Header,0)),SkillDataCodeName,0)+1,MATCH("EffectValue1",SkillData_Header,0)),)</f>
        <v>0</v>
      </c>
      <c r="Y59" s="48" t="n">
        <f aca="false">IFERROR(INDEX(SkillData,MATCH(INDEX(PalData,MATCH($B59,PalNames,0)+1,MATCH("Passive2a",PalData_Header,0)),SkillDataCodeName,0)+1,MATCH("EffectValue1",SkillData_Header,0)),)</f>
        <v>0</v>
      </c>
      <c r="Z59" s="48" t="n">
        <f aca="false">IFERROR(INDEX(SkillData,MATCH(INDEX(PalData,MATCH($B59,PalNames,0)+1,MATCH("Passive3a",PalData_Header,0)),SkillDataCodeName,0)+1,MATCH("EffectValue1",SkillData_Header,0)),)</f>
        <v>0</v>
      </c>
      <c r="AA59" s="263" t="n">
        <f aca="false">IFERROR(INDEX(SkillData,MATCH(INDEX(PalData,MATCH($B59,PalNames,0)+1,MATCH("Passive4a",PalData_Header,0)),SkillDataCodeName,0)+1,MATCH("EffectValue1",SkillData_Header,0)),)</f>
        <v>0</v>
      </c>
      <c r="AB59" s="48" t="str">
        <f aca="false">IFERROR(__xludf.dummyfunction("IFERROR(INDEX(SkillData,MATCH(Arrayformula(ARRAY_CONSTRAIN(FILTER(INDIRECT(""PalData!""&amp;ADDRESS(MATCH(B59,PalNames,0)+1,(MATCH(""Passive0b"",PalData_Header,0)))&amp;"":""&amp;ADDRESS(MATCH(B59,PalNames,0)+1,(MATCH(""Passive0b"",PalData_Header,0))+4)),LEN(INDIRECT"&amp;"(""PalData!""&amp;ADDRESS(MATCH(B59,PalNames,0)+1,(MATCH(""Passive0b"",PalData_Header,0)))&amp;"":""&amp;ADDRESS(MATCH(B59,PalNames,0)+1,(MATCH(""Passive0b"",PalData_Header,0))+4)))&gt;0),1,1)),SkillDataCodeName,0)+1,MATCH(""EffectTypeCombined"",SkillData_Header,0)))"),"")</f>
        <v/>
      </c>
      <c r="AC59" s="48" t="str">
        <f aca="false">IFERROR(__xludf.dummyfunction("IFERROR(INDEX(SkillData,MATCH(Arrayformula(ARRAY_CONSTRAIN(FILTER(INDIRECT(""PalData!""&amp;ADDRESS(MATCH(B59,PalNames,0)+1,(MATCH(""Passive0b"",PalData_Header,0)))&amp;"":""&amp;ADDRESS(MATCH(B59,PalNames,0)+1,(MATCH(""Passive0b"",PalData_Header,0))+4)),LEN(INDIRECT"&amp;"(""PalData!""&amp;ADDRESS(MATCH(B59,PalNames,0)+1,(MATCH(""Passive0b"",PalData_Header,0)))&amp;"":""&amp;ADDRESS(MATCH(B59,PalNames,0)+1,(MATCH(""Passive0b"",PalData_Header,0))+4)))&gt;0),1,1)),SkillDataCodeName,0)+1,MATCH(""TargetType1"",SkillData_Header,0)))"),"")</f>
        <v/>
      </c>
      <c r="AD59" s="48" t="e">
        <f aca="false" t="array" ref="AD59:AD59">IF(INDEX(PalData,MATCH($B59,PalNames,0)+1,MATCH("Passive0bCondition",PalData_Header,0))=IFERROR(INDEX(SkillData,MATCH(INDEX(PalData,MATCH($B59,PalNames,0)+1,MATCH("Passive0b",PalData_Header,0)),SkillDataCodeName,0)+1,MATCH("Conditions",SkillData_Header,0))),INDEX(PalData,MATCH($B59,PalNames,0)+1,MATCH("Passive0bCondition",PalData_Header,0)),INDEX(PalData,MATCH($B59,PalNames,0)+1,MATCH("Passive0bCondition",PalData_Header,0)) &amp; IF(ISBLANK(INDEX(PalData,MATCH($B59,PalNames,0)+1,MATCH("Passive0bCondition",PalData_Header,0))),," ")&amp;IFERROR(INDEX(SkillData,MATCH(INDEX(PalData,MATCH($B59,PalNames,0)+1,MATCH("Passive0b",PalData_Header,0)),SkillDataCodeName,0)+1,MATCH("Conditions",SkillData_Header,0))))</f>
        <v>#N/A</v>
      </c>
      <c r="AE59" s="48" t="str">
        <f aca="false">IFERROR(__xludf.dummyfunction("IFERROR(INDEX(SkillData,MATCH(Arrayformula(ARRAY_CONSTRAIN(FILTER(INDIRECT(""PalData!""&amp;ADDRESS(MATCH(B59,PalNames,0)+1,(MATCH(""Passive0b"",PalData_Header,0)))&amp;"":""&amp;ADDRESS(MATCH(B59,PalNames,0)+1,(MATCH(""Passive0b"",PalData_Header,0))+4)),LEN(INDIRECT"&amp;"(""PalData!""&amp;ADDRESS(MATCH(B59,PalNames,0)+1,(MATCH(""Passive0b"",PalData_Header,0)))&amp;"":""&amp;ADDRESS(MATCH(B59,PalNames,0)+1,(MATCH(""Passive0b"",PalData_Header,0))+4)))&gt;0),1,1)),SkillDataCodeName,0)+1,MATCH(""ValueType1"",SkillData_Header,0)))"),"")</f>
        <v/>
      </c>
      <c r="AF59" s="48" t="n">
        <f aca="false">IFERROR(INDEX(SkillData,MATCH(INDEX(PalData,MATCH($B59,PalNames,0)+1,MATCH("Passive0b",PalData_Header,0)),SkillDataCodeName,0)+1,MATCH("EffectValue1",SkillData_Header,0)),)</f>
        <v>0</v>
      </c>
      <c r="AG59" s="48" t="n">
        <f aca="false">IFERROR(INDEX(SkillData,MATCH(INDEX(PalData,MATCH($B59,PalNames,0)+1,MATCH("Passive1b",PalData_Header,0)),SkillDataCodeName,0)+1,MATCH("EffectValue1",SkillData_Header,0)),)</f>
        <v>0</v>
      </c>
      <c r="AH59" s="48" t="n">
        <f aca="false">IFERROR(INDEX(SkillData,MATCH(INDEX(PalData,MATCH($B59,PalNames,0)+1,MATCH("Passive2b",PalData_Header,0)),SkillDataCodeName,0)+1,MATCH("EffectValue1",SkillData_Header,0)),)</f>
        <v>0</v>
      </c>
      <c r="AI59" s="48" t="n">
        <f aca="false">IFERROR(INDEX(SkillData,MATCH(INDEX(PalData,MATCH($B59,PalNames,0)+1,MATCH("Passive3b",PalData_Header,0)),SkillDataCodeName,0)+1,MATCH("EffectValue1",SkillData_Header,0)),)</f>
        <v>0</v>
      </c>
      <c r="AJ59" s="263" t="n">
        <f aca="false">IFERROR(INDEX(SkillData,MATCH(INDEX(PalData,MATCH($B59,PalNames,0)+1,MATCH("Passive4b",PalData_Header,0)),SkillDataCodeName,0)+1,MATCH("EffectValue1",SkillData_Header,0)),)</f>
        <v>0</v>
      </c>
      <c r="AK59" s="305" t="s">
        <v>323</v>
      </c>
    </row>
    <row r="60" customFormat="false" ht="15.75" hidden="false" customHeight="false" outlineLevel="0" collapsed="false">
      <c r="A60" s="299" t="n">
        <v>48</v>
      </c>
      <c r="B60" s="300" t="s">
        <v>126</v>
      </c>
      <c r="C60" s="45" t="n">
        <f aca="false">IF(ISBLANK(INDEX(PalData,MATCH($B60,PalNames,0)+1,MATCH("ActiveSkill",PalData_Header,0))),INDEX(PalData,MATCH($B60,PalNames,0)+1,MATCH("SkillUnlock_",PalData_Header,0)),INDEX(PalData,MATCH($B60,PalNames,0)+1,MATCH("ActiveSkill",PalData_Header,0)))</f>
        <v>0</v>
      </c>
      <c r="D60" s="45"/>
      <c r="E60" s="45" t="n">
        <f aca="false">INDEX(PalData,MATCH($B60,PalNames,0)+1,MATCH("ActiveSkillBonus0",PalData_Header,0))</f>
        <v>0</v>
      </c>
      <c r="F60" s="45" t="n">
        <f aca="false">INDEX(PalData,MATCH($B60,PalNames,0)+1,MATCH("ActiveSkillBonus1",PalData_Header,0))</f>
        <v>0</v>
      </c>
      <c r="G60" s="45" t="n">
        <f aca="false">INDEX(PalData,MATCH($B60,PalNames,0)+1,MATCH("ActiveSkillBonus2",PalData_Header,0))</f>
        <v>0</v>
      </c>
      <c r="H60" s="45" t="n">
        <f aca="false">INDEX(PalData,MATCH($B60,PalNames,0)+1,MATCH("ActiveSkillBonus3",PalData_Header,0))</f>
        <v>0</v>
      </c>
      <c r="I60" s="260" t="n">
        <f aca="false">INDEX(PalData,MATCH($B60,PalNames,0)+1,MATCH("ActiveSkillBonus4",PalData_Header,0))</f>
        <v>0</v>
      </c>
      <c r="J60" s="45" t="str">
        <f aca="false">IFERROR(__xludf.dummyfunction("IFERROR(INDEX(SkillData,MATCH(Arrayformula(ARRAY_CONSTRAIN(FILTER(INDIRECT(""PalData!""&amp;ADDRESS(MATCH(B60,PalNames,0)+1,(MATCH(""Passive0c"",PalData_Header,0)))&amp;"":""&amp;ADDRESS(MATCH(B60,PalNames,0)+1,(MATCH(""Passive0c"",PalData_Header,0))+4)),LEN(INDIRECT"&amp;"(""PalData!""&amp;ADDRESS(MATCH(B60,PalNames,0)+1,(MATCH(""Passive0c"",PalData_Header,0)))&amp;"":""&amp;ADDRESS(MATCH(B60,PalNames,0)+1,(MATCH(""Passive0c"",PalData_Header,0))+4)))&gt;0),1,1)),SkillDataCodeName,0)+1,MATCH(""EffectTypeCombined"",SkillData_Header,0)))"),"BodyPartsWeakDamage")</f>
        <v>BodyPartsWeakDamage</v>
      </c>
      <c r="K60" s="45" t="str">
        <f aca="false">IFERROR(__xludf.dummyfunction("IFERROR(INDEX(SkillData,MATCH(Arrayformula(ARRAY_CONSTRAIN(FILTER(INDIRECT(""PalData!""&amp;ADDRESS(MATCH(B60,PalNames,0)+1,(MATCH(""Passive0c"",PalData_Header,0)))&amp;"":""&amp;ADDRESS(MATCH(B60,PalNames,0)+1,(MATCH(""Passive0c"",PalData_Header,0))+4)),LEN(INDIRECT"&amp;"(""PalData!""&amp;ADDRESS(MATCH(B60,PalNames,0)+1,(MATCH(""Passive0c"",PalData_Header,0)))&amp;"":""&amp;ADDRESS(MATCH(B60,PalNames,0)+1,(MATCH(""Passive0c"",PalData_Header,0))+4)))&gt;0),1,1)),SkillDataCodeName,0)+1,MATCH(""TargetType1"",SkillData_Header,0)))"),"Trainer")</f>
        <v>Trainer</v>
      </c>
      <c r="L60" s="45" t="e">
        <f aca="false" t="array" ref="L60:L60">IF(INDEX(PalData,MATCH($B60,PalNames,0)+1,MATCH("Passive0cCondition",PalData_Header,0))=IFERROR(INDEX(SkillData,MATCH(INDEX(PalData,MATCH($B60,PalNames,0)+1,MATCH("Passive0c",PalData_Header,0)),SkillDataCodeName,0)+1,MATCH("Conditions",SkillData_Header,0))),INDEX(PalData,MATCH($B60,PalNames,0)+1,MATCH("Passive0cCondition",PalData_Header,0)),INDEX(PalData,MATCH($B60,PalNames,0)+1,MATCH("Passive0cCondition",PalData_Header,0)) &amp; IF(ISBLANK(INDEX(PalData,MATCH($B60,PalNames,0)+1,MATCH("Passive0cCondition",PalData_Header,0))),," ")&amp;IFERROR(INDEX(SkillData,MATCH(INDEX(PalData,MATCH($B60,PalNames,0)+1,MATCH("Passive0c",PalData_Header,0)),SkillDataCodeName,0)+1,MATCH("Conditions",SkillData_Header,0))))</f>
        <v>#VALUE!</v>
      </c>
      <c r="M60" s="45" t="str">
        <f aca="false">IFERROR(__xludf.dummyfunction("IFERROR(INDEX(SkillData,MATCH(Arrayformula(ARRAY_CONSTRAIN(FILTER(INDIRECT(""PalData!""&amp;ADDRESS(MATCH(B60,PalNames,0)+1,(MATCH(""Passive0c"",PalData_Header,0)))&amp;"":""&amp;ADDRESS(MATCH(B60,PalNames,0)+1,(MATCH(""Passive0c"",PalData_Header,0))+4)),LEN(INDIRECT"&amp;"(""PalData!""&amp;ADDRESS(MATCH(B60,PalNames,0)+1,(MATCH(""Passive0c"",PalData_Header,0)))&amp;"":""&amp;ADDRESS(MATCH(B60,PalNames,0)+1,(MATCH(""Passive0c"",PalData_Header,0))+4)))&gt;0),1,1)),SkillDataCodeName,0)+1,MATCH(""ValueType1"",SkillData_Header,0)))"),"%")</f>
        <v>%</v>
      </c>
      <c r="N60" s="62" t="e">
        <f aca="false" t="array" ref="N60:N60">IFERROR(INDEX(SkillData,MATCH(INDEX(PalData,MATCH($B60,PalNames,0)+1,MATCH("Passive0c",PalData_Header,0)),SkillDataCodeName,0)+1,MATCH("EffectValue1",SkillData_Header,0)))</f>
        <v>#VALUE!</v>
      </c>
      <c r="O60" s="62" t="e">
        <f aca="false" t="array" ref="O60:O60">IFERROR(INDEX(SkillData,MATCH(INDEX(PalData,MATCH($B60,PalNames,0)+1,MATCH("Passive1c",PalData_Header,0)),SkillDataCodeName,0)+1,MATCH("EffectValue1",SkillData_Header,0)))</f>
        <v>#VALUE!</v>
      </c>
      <c r="P60" s="62" t="e">
        <f aca="false" t="array" ref="P60:P60">IFERROR(INDEX(SkillData,MATCH(INDEX(PalData,MATCH($B60,PalNames,0)+1,MATCH("Passive2c",PalData_Header,0)),SkillDataCodeName,0)+1,MATCH("EffectValue1",SkillData_Header,0)))</f>
        <v>#VALUE!</v>
      </c>
      <c r="Q60" s="62" t="e">
        <f aca="false" t="array" ref="Q60:Q60">IFERROR(INDEX(SkillData,MATCH(INDEX(PalData,MATCH($B60,PalNames,0)+1,MATCH("Passive3c",PalData_Header,0)),SkillDataCodeName,0)+1,MATCH("EffectValue1",SkillData_Header,0)))</f>
        <v>#VALUE!</v>
      </c>
      <c r="R60" s="306" t="e">
        <f aca="false" t="array" ref="R60:R60">IFERROR(INDEX(SkillData,MATCH(INDEX(PalData,MATCH($B60,PalNames,0)+1,MATCH("Passive4c",PalData_Header,0)),SkillDataCodeName,0)+1,MATCH("EffectValue1",SkillData_Header,0)))</f>
        <v>#VALUE!</v>
      </c>
      <c r="S60" s="45" t="str">
        <f aca="false">IFERROR(__xludf.dummyfunction("IFERROR(INDEX(SkillData,MATCH(Arrayformula(ARRAY_CONSTRAIN(FILTER(INDIRECT(""PalData!""&amp;ADDRESS(MATCH(B60,PalNames,0)+1,(MATCH(""Passive0a"",PalData_Header,0)))&amp;"":""&amp;ADDRESS(MATCH(B60,PalNames,0)+1,(MATCH(""Passive0a"",PalData_Header,0))+4)),LEN(INDIRECT"&amp;"(""PalData!""&amp;ADDRESS(MATCH(B60,PalNames,0)+1,(MATCH(""Passive0a"",PalData_Header,0)))&amp;"":""&amp;ADDRESS(MATCH(B60,PalNames,0)+1,(MATCH(""Passive0a"",PalData_Header,0))+4)))&gt;0),1,1)),SkillDataCodeName,0)+1,MATCH(""EffectTypeCombined"",SkillData_Header,0)))"),"")</f>
        <v/>
      </c>
      <c r="T60" s="45" t="str">
        <f aca="false">IFERROR(__xludf.dummyfunction("IFERROR(INDEX(SkillData,MATCH(Arrayformula(ARRAY_CONSTRAIN(FILTER(INDIRECT(""PalData!""&amp;ADDRESS(MATCH(B60,PalNames,0)+1,(MATCH(""Passive0a"",PalData_Header,0)))&amp;"":""&amp;ADDRESS(MATCH(B60,PalNames,0)+1,(MATCH(""Passive0a"",PalData_Header,0))+4)),LEN(INDIRECT"&amp;"(""PalData!""&amp;ADDRESS(MATCH(B60,PalNames,0)+1,(MATCH(""Passive0a"",PalData_Header,0)))&amp;"":""&amp;ADDRESS(MATCH(B60,PalNames,0)+1,(MATCH(""Passive0a"",PalData_Header,0))+4)))&gt;0),1,1)),SkillDataCodeName,0)+1,MATCH(""TargetType1"",SkillData_Header,0)))"),"")</f>
        <v/>
      </c>
      <c r="U60" s="45" t="e">
        <f aca="false" t="array" ref="U60:U60">IF(INDEX(PalData,MATCH($B60,PalNames,0)+1,MATCH("Passive0aCondition",PalData_Header,0))=IFERROR(INDEX(SkillData,MATCH(INDEX(PalData,MATCH($B60,PalNames,0)+1,MATCH("Passive0a",PalData_Header,0)),SkillDataCodeName,0)+1,MATCH("Conditions",SkillData_Header,0))),INDEX(PalData,MATCH($B60,PalNames,0)+1,MATCH("Passive0aCondition",PalData_Header,0)),INDEX(PalData,MATCH($B60,PalNames,0)+1,MATCH("Passive0aCondition",PalData_Header,0)) &amp; IF(ISBLANK(INDEX(PalData,MATCH($B60,PalNames,0)+1,MATCH("Passive0aCondition",PalData_Header,0))),," ")&amp;IFERROR(INDEX(SkillData,MATCH(INDEX(PalData,MATCH($B60,PalNames,0)+1,MATCH("Passive0a",PalData_Header,0)),SkillDataCodeName,0)+1,MATCH("Conditions",SkillData_Header,0))))</f>
        <v>#N/A</v>
      </c>
      <c r="V60" s="45" t="str">
        <f aca="false">IFERROR(__xludf.dummyfunction("IFERROR(INDEX(SkillData,MATCH(Arrayformula(ARRAY_CONSTRAIN(FILTER(INDIRECT(""PalData!""&amp;ADDRESS(MATCH(B60,PalNames,0)+1,(MATCH(""Passive0a"",PalData_Header,0)))&amp;"":""&amp;ADDRESS(MATCH(B60,PalNames,0)+1,(MATCH(""Passive0a"",PalData_Header,0))+4)),LEN(INDIRECT"&amp;"(""PalData!""&amp;ADDRESS(MATCH(B60,PalNames,0)+1,(MATCH(""Passive0a"",PalData_Header,0)))&amp;"":""&amp;ADDRESS(MATCH(B60,PalNames,0)+1,(MATCH(""Passive0a"",PalData_Header,0))+4)))&gt;0),1,1)),SkillDataCodeName,0)+1,MATCH(""ValueType1"",SkillData_Header,0)))"),"")</f>
        <v/>
      </c>
      <c r="W60" s="45" t="n">
        <f aca="false">IFERROR(INDEX(SkillData,MATCH(INDEX(PalData,MATCH($B60,PalNames,0)+1,MATCH("Passive0a",PalData_Header,0)),SkillDataCodeName,0)+1,MATCH("EffectValue1",SkillData_Header,0)),)</f>
        <v>0</v>
      </c>
      <c r="X60" s="45" t="n">
        <f aca="false">IFERROR(INDEX(SkillData,MATCH(INDEX(PalData,MATCH($B60,PalNames,0)+1,MATCH("Passive1a",PalData_Header,0)),SkillDataCodeName,0)+1,MATCH("EffectValue1",SkillData_Header,0)),)</f>
        <v>0</v>
      </c>
      <c r="Y60" s="45" t="n">
        <f aca="false">IFERROR(INDEX(SkillData,MATCH(INDEX(PalData,MATCH($B60,PalNames,0)+1,MATCH("Passive2a",PalData_Header,0)),SkillDataCodeName,0)+1,MATCH("EffectValue1",SkillData_Header,0)),)</f>
        <v>0</v>
      </c>
      <c r="Z60" s="45" t="n">
        <f aca="false">IFERROR(INDEX(SkillData,MATCH(INDEX(PalData,MATCH($B60,PalNames,0)+1,MATCH("Passive3a",PalData_Header,0)),SkillDataCodeName,0)+1,MATCH("EffectValue1",SkillData_Header,0)),)</f>
        <v>0</v>
      </c>
      <c r="AA60" s="260" t="n">
        <f aca="false">IFERROR(INDEX(SkillData,MATCH(INDEX(PalData,MATCH($B60,PalNames,0)+1,MATCH("Passive4a",PalData_Header,0)),SkillDataCodeName,0)+1,MATCH("EffectValue1",SkillData_Header,0)),)</f>
        <v>0</v>
      </c>
      <c r="AB60" s="45" t="str">
        <f aca="false">IFERROR(__xludf.dummyfunction("IFERROR(INDEX(SkillData,MATCH(Arrayformula(ARRAY_CONSTRAIN(FILTER(INDIRECT(""PalData!""&amp;ADDRESS(MATCH(B60,PalNames,0)+1,(MATCH(""Passive0b"",PalData_Header,0)))&amp;"":""&amp;ADDRESS(MATCH(B60,PalNames,0)+1,(MATCH(""Passive0b"",PalData_Header,0))+4)),LEN(INDIRECT"&amp;"(""PalData!""&amp;ADDRESS(MATCH(B60,PalNames,0)+1,(MATCH(""Passive0b"",PalData_Header,0)))&amp;"":""&amp;ADDRESS(MATCH(B60,PalNames,0)+1,(MATCH(""Passive0b"",PalData_Header,0))+4)))&gt;0),1,1)),SkillDataCodeName,0)+1,MATCH(""EffectTypeCombined"",SkillData_Header,0)))"),"")</f>
        <v/>
      </c>
      <c r="AC60" s="45" t="str">
        <f aca="false">IFERROR(__xludf.dummyfunction("IFERROR(INDEX(SkillData,MATCH(Arrayformula(ARRAY_CONSTRAIN(FILTER(INDIRECT(""PalData!""&amp;ADDRESS(MATCH(B60,PalNames,0)+1,(MATCH(""Passive0b"",PalData_Header,0)))&amp;"":""&amp;ADDRESS(MATCH(B60,PalNames,0)+1,(MATCH(""Passive0b"",PalData_Header,0))+4)),LEN(INDIRECT"&amp;"(""PalData!""&amp;ADDRESS(MATCH(B60,PalNames,0)+1,(MATCH(""Passive0b"",PalData_Header,0)))&amp;"":""&amp;ADDRESS(MATCH(B60,PalNames,0)+1,(MATCH(""Passive0b"",PalData_Header,0))+4)))&gt;0),1,1)),SkillDataCodeName,0)+1,MATCH(""TargetType1"",SkillData_Header,0)))"),"")</f>
        <v/>
      </c>
      <c r="AD60" s="45" t="e">
        <f aca="false" t="array" ref="AD60:AD60">IF(INDEX(PalData,MATCH($B60,PalNames,0)+1,MATCH("Passive0bCondition",PalData_Header,0))=IFERROR(INDEX(SkillData,MATCH(INDEX(PalData,MATCH($B60,PalNames,0)+1,MATCH("Passive0b",PalData_Header,0)),SkillDataCodeName,0)+1,MATCH("Conditions",SkillData_Header,0))),INDEX(PalData,MATCH($B60,PalNames,0)+1,MATCH("Passive0bCondition",PalData_Header,0)),INDEX(PalData,MATCH($B60,PalNames,0)+1,MATCH("Passive0bCondition",PalData_Header,0)) &amp; IF(ISBLANK(INDEX(PalData,MATCH($B60,PalNames,0)+1,MATCH("Passive0bCondition",PalData_Header,0))),," ")&amp;IFERROR(INDEX(SkillData,MATCH(INDEX(PalData,MATCH($B60,PalNames,0)+1,MATCH("Passive0b",PalData_Header,0)),SkillDataCodeName,0)+1,MATCH("Conditions",SkillData_Header,0))))</f>
        <v>#N/A</v>
      </c>
      <c r="AE60" s="45" t="str">
        <f aca="false">IFERROR(__xludf.dummyfunction("IFERROR(INDEX(SkillData,MATCH(Arrayformula(ARRAY_CONSTRAIN(FILTER(INDIRECT(""PalData!""&amp;ADDRESS(MATCH(B60,PalNames,0)+1,(MATCH(""Passive0b"",PalData_Header,0)))&amp;"":""&amp;ADDRESS(MATCH(B60,PalNames,0)+1,(MATCH(""Passive0b"",PalData_Header,0))+4)),LEN(INDIRECT"&amp;"(""PalData!""&amp;ADDRESS(MATCH(B60,PalNames,0)+1,(MATCH(""Passive0b"",PalData_Header,0)))&amp;"":""&amp;ADDRESS(MATCH(B60,PalNames,0)+1,(MATCH(""Passive0b"",PalData_Header,0))+4)))&gt;0),1,1)),SkillDataCodeName,0)+1,MATCH(""ValueType1"",SkillData_Header,0)))"),"")</f>
        <v/>
      </c>
      <c r="AF60" s="45" t="n">
        <f aca="false">IFERROR(INDEX(SkillData,MATCH(INDEX(PalData,MATCH($B60,PalNames,0)+1,MATCH("Passive0b",PalData_Header,0)),SkillDataCodeName,0)+1,MATCH("EffectValue1",SkillData_Header,0)),)</f>
        <v>0</v>
      </c>
      <c r="AG60" s="45" t="n">
        <f aca="false">IFERROR(INDEX(SkillData,MATCH(INDEX(PalData,MATCH($B60,PalNames,0)+1,MATCH("Passive1b",PalData_Header,0)),SkillDataCodeName,0)+1,MATCH("EffectValue1",SkillData_Header,0)),)</f>
        <v>0</v>
      </c>
      <c r="AH60" s="45" t="n">
        <f aca="false">IFERROR(INDEX(SkillData,MATCH(INDEX(PalData,MATCH($B60,PalNames,0)+1,MATCH("Passive2b",PalData_Header,0)),SkillDataCodeName,0)+1,MATCH("EffectValue1",SkillData_Header,0)),)</f>
        <v>0</v>
      </c>
      <c r="AI60" s="45" t="n">
        <f aca="false">IFERROR(INDEX(SkillData,MATCH(INDEX(PalData,MATCH($B60,PalNames,0)+1,MATCH("Passive3b",PalData_Header,0)),SkillDataCodeName,0)+1,MATCH("EffectValue1",SkillData_Header,0)),)</f>
        <v>0</v>
      </c>
      <c r="AJ60" s="260" t="n">
        <f aca="false">IFERROR(INDEX(SkillData,MATCH(INDEX(PalData,MATCH($B60,PalNames,0)+1,MATCH("Passive4b",PalData_Header,0)),SkillDataCodeName,0)+1,MATCH("EffectValue1",SkillData_Header,0)),)</f>
        <v>0</v>
      </c>
      <c r="AK60" s="301" t="s">
        <v>324</v>
      </c>
    </row>
    <row r="61" customFormat="false" ht="15.75" hidden="false" customHeight="false" outlineLevel="0" collapsed="false">
      <c r="A61" s="302" t="n">
        <v>48</v>
      </c>
      <c r="B61" s="303" t="s">
        <v>127</v>
      </c>
      <c r="C61" s="48" t="n">
        <f aca="false">IF(ISBLANK(INDEX(PalData,MATCH($B61,PalNames,0)+1,MATCH("ActiveSkill",PalData_Header,0))),INDEX(PalData,MATCH($B61,PalNames,0)+1,MATCH("SkillUnlock_",PalData_Header,0)),INDEX(PalData,MATCH($B61,PalNames,0)+1,MATCH("ActiveSkill",PalData_Header,0)))</f>
        <v>0</v>
      </c>
      <c r="D61" s="48"/>
      <c r="E61" s="48" t="n">
        <f aca="false">INDEX(PalData,MATCH($B61,PalNames,0)+1,MATCH("ActiveSkillBonus0",PalData_Header,0))</f>
        <v>0</v>
      </c>
      <c r="F61" s="48" t="n">
        <f aca="false">INDEX(PalData,MATCH($B61,PalNames,0)+1,MATCH("ActiveSkillBonus1",PalData_Header,0))</f>
        <v>0</v>
      </c>
      <c r="G61" s="48" t="n">
        <f aca="false">INDEX(PalData,MATCH($B61,PalNames,0)+1,MATCH("ActiveSkillBonus2",PalData_Header,0))</f>
        <v>0</v>
      </c>
      <c r="H61" s="48" t="n">
        <f aca="false">INDEX(PalData,MATCH($B61,PalNames,0)+1,MATCH("ActiveSkillBonus3",PalData_Header,0))</f>
        <v>0</v>
      </c>
      <c r="I61" s="263" t="n">
        <f aca="false">INDEX(PalData,MATCH($B61,PalNames,0)+1,MATCH("ActiveSkillBonus4",PalData_Header,0))</f>
        <v>0</v>
      </c>
      <c r="J61" s="48" t="str">
        <f aca="false">IFERROR(__xludf.dummyfunction("IFERROR(INDEX(SkillData,MATCH(Arrayformula(ARRAY_CONSTRAIN(FILTER(INDIRECT(""PalData!""&amp;ADDRESS(MATCH(B61,PalNames,0)+1,(MATCH(""Passive0c"",PalData_Header,0)))&amp;"":""&amp;ADDRESS(MATCH(B61,PalNames,0)+1,(MATCH(""Passive0c"",PalData_Header,0))+4)),LEN(INDIRECT"&amp;"(""PalData!""&amp;ADDRESS(MATCH(B61,PalNames,0)+1,(MATCH(""Passive0c"",PalData_Header,0)))&amp;"":""&amp;ADDRESS(MATCH(B61,PalNames,0)+1,(MATCH(""Passive0c"",PalData_Header,0))+4)))&gt;0),1,1)),SkillDataCodeName,0)+1,MATCH(""EffectTypeCombined"",SkillData_Header,0)))"),"BodyPartsWeakDamage")</f>
        <v>BodyPartsWeakDamage</v>
      </c>
      <c r="K61" s="48" t="str">
        <f aca="false">IFERROR(__xludf.dummyfunction("IFERROR(INDEX(SkillData,MATCH(Arrayformula(ARRAY_CONSTRAIN(FILTER(INDIRECT(""PalData!""&amp;ADDRESS(MATCH(B61,PalNames,0)+1,(MATCH(""Passive0c"",PalData_Header,0)))&amp;"":""&amp;ADDRESS(MATCH(B61,PalNames,0)+1,(MATCH(""Passive0c"",PalData_Header,0))+4)),LEN(INDIRECT"&amp;"(""PalData!""&amp;ADDRESS(MATCH(B61,PalNames,0)+1,(MATCH(""Passive0c"",PalData_Header,0)))&amp;"":""&amp;ADDRESS(MATCH(B61,PalNames,0)+1,(MATCH(""Passive0c"",PalData_Header,0))+4)))&gt;0),1,1)),SkillDataCodeName,0)+1,MATCH(""TargetType1"",SkillData_Header,0)))"),"Trainer")</f>
        <v>Trainer</v>
      </c>
      <c r="L61" s="48" t="e">
        <f aca="false" t="array" ref="L61:L61">IF(INDEX(PalData,MATCH($B61,PalNames,0)+1,MATCH("Passive0cCondition",PalData_Header,0))=IFERROR(INDEX(SkillData,MATCH(INDEX(PalData,MATCH($B61,PalNames,0)+1,MATCH("Passive0c",PalData_Header,0)),SkillDataCodeName,0)+1,MATCH("Conditions",SkillData_Header,0))),INDEX(PalData,MATCH($B61,PalNames,0)+1,MATCH("Passive0cCondition",PalData_Header,0)),INDEX(PalData,MATCH($B61,PalNames,0)+1,MATCH("Passive0cCondition",PalData_Header,0)) &amp; IF(ISBLANK(INDEX(PalData,MATCH($B61,PalNames,0)+1,MATCH("Passive0cCondition",PalData_Header,0))),," ")&amp;IFERROR(INDEX(SkillData,MATCH(INDEX(PalData,MATCH($B61,PalNames,0)+1,MATCH("Passive0c",PalData_Header,0)),SkillDataCodeName,0)+1,MATCH("Conditions",SkillData_Header,0))))</f>
        <v>#VALUE!</v>
      </c>
      <c r="M61" s="48" t="str">
        <f aca="false">IFERROR(__xludf.dummyfunction("IFERROR(INDEX(SkillData,MATCH(Arrayformula(ARRAY_CONSTRAIN(FILTER(INDIRECT(""PalData!""&amp;ADDRESS(MATCH(B61,PalNames,0)+1,(MATCH(""Passive0c"",PalData_Header,0)))&amp;"":""&amp;ADDRESS(MATCH(B61,PalNames,0)+1,(MATCH(""Passive0c"",PalData_Header,0))+4)),LEN(INDIRECT"&amp;"(""PalData!""&amp;ADDRESS(MATCH(B61,PalNames,0)+1,(MATCH(""Passive0c"",PalData_Header,0)))&amp;"":""&amp;ADDRESS(MATCH(B61,PalNames,0)+1,(MATCH(""Passive0c"",PalData_Header,0))+4)))&gt;0),1,1)),SkillDataCodeName,0)+1,MATCH(""ValueType1"",SkillData_Header,0)))"),"%")</f>
        <v>%</v>
      </c>
      <c r="N61" s="61" t="e">
        <f aca="false" t="array" ref="N61:N61">IFERROR(INDEX(SkillData,MATCH(INDEX(PalData,MATCH($B61,PalNames,0)+1,MATCH("Passive0c",PalData_Header,0)),SkillDataCodeName,0)+1,MATCH("EffectValue1",SkillData_Header,0)))</f>
        <v>#VALUE!</v>
      </c>
      <c r="O61" s="61" t="e">
        <f aca="false" t="array" ref="O61:O61">IFERROR(INDEX(SkillData,MATCH(INDEX(PalData,MATCH($B61,PalNames,0)+1,MATCH("Passive1c",PalData_Header,0)),SkillDataCodeName,0)+1,MATCH("EffectValue1",SkillData_Header,0)))</f>
        <v>#VALUE!</v>
      </c>
      <c r="P61" s="61" t="e">
        <f aca="false" t="array" ref="P61:P61">IFERROR(INDEX(SkillData,MATCH(INDEX(PalData,MATCH($B61,PalNames,0)+1,MATCH("Passive2c",PalData_Header,0)),SkillDataCodeName,0)+1,MATCH("EffectValue1",SkillData_Header,0)))</f>
        <v>#VALUE!</v>
      </c>
      <c r="Q61" s="61" t="e">
        <f aca="false" t="array" ref="Q61:Q61">IFERROR(INDEX(SkillData,MATCH(INDEX(PalData,MATCH($B61,PalNames,0)+1,MATCH("Passive3c",PalData_Header,0)),SkillDataCodeName,0)+1,MATCH("EffectValue1",SkillData_Header,0)))</f>
        <v>#VALUE!</v>
      </c>
      <c r="R61" s="304" t="e">
        <f aca="false" t="array" ref="R61:R61">IFERROR(INDEX(SkillData,MATCH(INDEX(PalData,MATCH($B61,PalNames,0)+1,MATCH("Passive4c",PalData_Header,0)),SkillDataCodeName,0)+1,MATCH("EffectValue1",SkillData_Header,0)))</f>
        <v>#VALUE!</v>
      </c>
      <c r="S61" s="48" t="str">
        <f aca="false">IFERROR(__xludf.dummyfunction("IFERROR(INDEX(SkillData,MATCH(Arrayformula(ARRAY_CONSTRAIN(FILTER(INDIRECT(""PalData!""&amp;ADDRESS(MATCH(B61,PalNames,0)+1,(MATCH(""Passive0a"",PalData_Header,0)))&amp;"":""&amp;ADDRESS(MATCH(B61,PalNames,0)+1,(MATCH(""Passive0a"",PalData_Header,0))+4)),LEN(INDIRECT"&amp;"(""PalData!""&amp;ADDRESS(MATCH(B61,PalNames,0)+1,(MATCH(""Passive0a"",PalData_Header,0)))&amp;"":""&amp;ADDRESS(MATCH(B61,PalNames,0)+1,(MATCH(""Passive0a"",PalData_Header,0))+4)))&gt;0),1,1)),SkillDataCodeName,0)+1,MATCH(""EffectTypeCombined"",SkillData_Header,0)))"),"")</f>
        <v/>
      </c>
      <c r="T61" s="48" t="str">
        <f aca="false">IFERROR(__xludf.dummyfunction("IFERROR(INDEX(SkillData,MATCH(Arrayformula(ARRAY_CONSTRAIN(FILTER(INDIRECT(""PalData!""&amp;ADDRESS(MATCH(B61,PalNames,0)+1,(MATCH(""Passive0a"",PalData_Header,0)))&amp;"":""&amp;ADDRESS(MATCH(B61,PalNames,0)+1,(MATCH(""Passive0a"",PalData_Header,0))+4)),LEN(INDIRECT"&amp;"(""PalData!""&amp;ADDRESS(MATCH(B61,PalNames,0)+1,(MATCH(""Passive0a"",PalData_Header,0)))&amp;"":""&amp;ADDRESS(MATCH(B61,PalNames,0)+1,(MATCH(""Passive0a"",PalData_Header,0))+4)))&gt;0),1,1)),SkillDataCodeName,0)+1,MATCH(""TargetType1"",SkillData_Header,0)))"),"")</f>
        <v/>
      </c>
      <c r="U61" s="48" t="e">
        <f aca="false" t="array" ref="U61:U61">IF(INDEX(PalData,MATCH($B61,PalNames,0)+1,MATCH("Passive0aCondition",PalData_Header,0))=IFERROR(INDEX(SkillData,MATCH(INDEX(PalData,MATCH($B61,PalNames,0)+1,MATCH("Passive0a",PalData_Header,0)),SkillDataCodeName,0)+1,MATCH("Conditions",SkillData_Header,0))),INDEX(PalData,MATCH($B61,PalNames,0)+1,MATCH("Passive0aCondition",PalData_Header,0)),INDEX(PalData,MATCH($B61,PalNames,0)+1,MATCH("Passive0aCondition",PalData_Header,0)) &amp; IF(ISBLANK(INDEX(PalData,MATCH($B61,PalNames,0)+1,MATCH("Passive0aCondition",PalData_Header,0))),," ")&amp;IFERROR(INDEX(SkillData,MATCH(INDEX(PalData,MATCH($B61,PalNames,0)+1,MATCH("Passive0a",PalData_Header,0)),SkillDataCodeName,0)+1,MATCH("Conditions",SkillData_Header,0))))</f>
        <v>#N/A</v>
      </c>
      <c r="V61" s="48" t="str">
        <f aca="false">IFERROR(__xludf.dummyfunction("IFERROR(INDEX(SkillData,MATCH(Arrayformula(ARRAY_CONSTRAIN(FILTER(INDIRECT(""PalData!""&amp;ADDRESS(MATCH(B61,PalNames,0)+1,(MATCH(""Passive0a"",PalData_Header,0)))&amp;"":""&amp;ADDRESS(MATCH(B61,PalNames,0)+1,(MATCH(""Passive0a"",PalData_Header,0))+4)),LEN(INDIRECT"&amp;"(""PalData!""&amp;ADDRESS(MATCH(B61,PalNames,0)+1,(MATCH(""Passive0a"",PalData_Header,0)))&amp;"":""&amp;ADDRESS(MATCH(B61,PalNames,0)+1,(MATCH(""Passive0a"",PalData_Header,0))+4)))&gt;0),1,1)),SkillDataCodeName,0)+1,MATCH(""ValueType1"",SkillData_Header,0)))"),"")</f>
        <v/>
      </c>
      <c r="W61" s="48" t="n">
        <f aca="false">IFERROR(INDEX(SkillData,MATCH(INDEX(PalData,MATCH($B61,PalNames,0)+1,MATCH("Passive0a",PalData_Header,0)),SkillDataCodeName,0)+1,MATCH("EffectValue1",SkillData_Header,0)),)</f>
        <v>0</v>
      </c>
      <c r="X61" s="48" t="n">
        <f aca="false">IFERROR(INDEX(SkillData,MATCH(INDEX(PalData,MATCH($B61,PalNames,0)+1,MATCH("Passive1a",PalData_Header,0)),SkillDataCodeName,0)+1,MATCH("EffectValue1",SkillData_Header,0)),)</f>
        <v>0</v>
      </c>
      <c r="Y61" s="48" t="n">
        <f aca="false">IFERROR(INDEX(SkillData,MATCH(INDEX(PalData,MATCH($B61,PalNames,0)+1,MATCH("Passive2a",PalData_Header,0)),SkillDataCodeName,0)+1,MATCH("EffectValue1",SkillData_Header,0)),)</f>
        <v>0</v>
      </c>
      <c r="Z61" s="48" t="n">
        <f aca="false">IFERROR(INDEX(SkillData,MATCH(INDEX(PalData,MATCH($B61,PalNames,0)+1,MATCH("Passive3a",PalData_Header,0)),SkillDataCodeName,0)+1,MATCH("EffectValue1",SkillData_Header,0)),)</f>
        <v>0</v>
      </c>
      <c r="AA61" s="263" t="n">
        <f aca="false">IFERROR(INDEX(SkillData,MATCH(INDEX(PalData,MATCH($B61,PalNames,0)+1,MATCH("Passive4a",PalData_Header,0)),SkillDataCodeName,0)+1,MATCH("EffectValue1",SkillData_Header,0)),)</f>
        <v>0</v>
      </c>
      <c r="AB61" s="48" t="str">
        <f aca="false">IFERROR(__xludf.dummyfunction("IFERROR(INDEX(SkillData,MATCH(Arrayformula(ARRAY_CONSTRAIN(FILTER(INDIRECT(""PalData!""&amp;ADDRESS(MATCH(B61,PalNames,0)+1,(MATCH(""Passive0b"",PalData_Header,0)))&amp;"":""&amp;ADDRESS(MATCH(B61,PalNames,0)+1,(MATCH(""Passive0b"",PalData_Header,0))+4)),LEN(INDIRECT"&amp;"(""PalData!""&amp;ADDRESS(MATCH(B61,PalNames,0)+1,(MATCH(""Passive0b"",PalData_Header,0)))&amp;"":""&amp;ADDRESS(MATCH(B61,PalNames,0)+1,(MATCH(""Passive0b"",PalData_Header,0))+4)))&gt;0),1,1)),SkillDataCodeName,0)+1,MATCH(""EffectTypeCombined"",SkillData_Header,0)))"),"")</f>
        <v/>
      </c>
      <c r="AC61" s="48" t="str">
        <f aca="false">IFERROR(__xludf.dummyfunction("IFERROR(INDEX(SkillData,MATCH(Arrayformula(ARRAY_CONSTRAIN(FILTER(INDIRECT(""PalData!""&amp;ADDRESS(MATCH(B61,PalNames,0)+1,(MATCH(""Passive0b"",PalData_Header,0)))&amp;"":""&amp;ADDRESS(MATCH(B61,PalNames,0)+1,(MATCH(""Passive0b"",PalData_Header,0))+4)),LEN(INDIRECT"&amp;"(""PalData!""&amp;ADDRESS(MATCH(B61,PalNames,0)+1,(MATCH(""Passive0b"",PalData_Header,0)))&amp;"":""&amp;ADDRESS(MATCH(B61,PalNames,0)+1,(MATCH(""Passive0b"",PalData_Header,0))+4)))&gt;0),1,1)),SkillDataCodeName,0)+1,MATCH(""TargetType1"",SkillData_Header,0)))"),"")</f>
        <v/>
      </c>
      <c r="AD61" s="48" t="e">
        <f aca="false" t="array" ref="AD61:AD61">IF(INDEX(PalData,MATCH($B61,PalNames,0)+1,MATCH("Passive0bCondition",PalData_Header,0))=IFERROR(INDEX(SkillData,MATCH(INDEX(PalData,MATCH($B61,PalNames,0)+1,MATCH("Passive0b",PalData_Header,0)),SkillDataCodeName,0)+1,MATCH("Conditions",SkillData_Header,0))),INDEX(PalData,MATCH($B61,PalNames,0)+1,MATCH("Passive0bCondition",PalData_Header,0)),INDEX(PalData,MATCH($B61,PalNames,0)+1,MATCH("Passive0bCondition",PalData_Header,0)) &amp; IF(ISBLANK(INDEX(PalData,MATCH($B61,PalNames,0)+1,MATCH("Passive0bCondition",PalData_Header,0))),," ")&amp;IFERROR(INDEX(SkillData,MATCH(INDEX(PalData,MATCH($B61,PalNames,0)+1,MATCH("Passive0b",PalData_Header,0)),SkillDataCodeName,0)+1,MATCH("Conditions",SkillData_Header,0))))</f>
        <v>#N/A</v>
      </c>
      <c r="AE61" s="48" t="str">
        <f aca="false">IFERROR(__xludf.dummyfunction("IFERROR(INDEX(SkillData,MATCH(Arrayformula(ARRAY_CONSTRAIN(FILTER(INDIRECT(""PalData!""&amp;ADDRESS(MATCH(B61,PalNames,0)+1,(MATCH(""Passive0b"",PalData_Header,0)))&amp;"":""&amp;ADDRESS(MATCH(B61,PalNames,0)+1,(MATCH(""Passive0b"",PalData_Header,0))+4)),LEN(INDIRECT"&amp;"(""PalData!""&amp;ADDRESS(MATCH(B61,PalNames,0)+1,(MATCH(""Passive0b"",PalData_Header,0)))&amp;"":""&amp;ADDRESS(MATCH(B61,PalNames,0)+1,(MATCH(""Passive0b"",PalData_Header,0))+4)))&gt;0),1,1)),SkillDataCodeName,0)+1,MATCH(""ValueType1"",SkillData_Header,0)))"),"")</f>
        <v/>
      </c>
      <c r="AF61" s="48" t="n">
        <f aca="false">IFERROR(INDEX(SkillData,MATCH(INDEX(PalData,MATCH($B61,PalNames,0)+1,MATCH("Passive0b",PalData_Header,0)),SkillDataCodeName,0)+1,MATCH("EffectValue1",SkillData_Header,0)),)</f>
        <v>0</v>
      </c>
      <c r="AG61" s="48" t="n">
        <f aca="false">IFERROR(INDEX(SkillData,MATCH(INDEX(PalData,MATCH($B61,PalNames,0)+1,MATCH("Passive1b",PalData_Header,0)),SkillDataCodeName,0)+1,MATCH("EffectValue1",SkillData_Header,0)),)</f>
        <v>0</v>
      </c>
      <c r="AH61" s="48" t="n">
        <f aca="false">IFERROR(INDEX(SkillData,MATCH(INDEX(PalData,MATCH($B61,PalNames,0)+1,MATCH("Passive2b",PalData_Header,0)),SkillDataCodeName,0)+1,MATCH("EffectValue1",SkillData_Header,0)),)</f>
        <v>0</v>
      </c>
      <c r="AI61" s="48" t="n">
        <f aca="false">IFERROR(INDEX(SkillData,MATCH(INDEX(PalData,MATCH($B61,PalNames,0)+1,MATCH("Passive3b",PalData_Header,0)),SkillDataCodeName,0)+1,MATCH("EffectValue1",SkillData_Header,0)),)</f>
        <v>0</v>
      </c>
      <c r="AJ61" s="263" t="n">
        <f aca="false">IFERROR(INDEX(SkillData,MATCH(INDEX(PalData,MATCH($B61,PalNames,0)+1,MATCH("Passive4b",PalData_Header,0)),SkillDataCodeName,0)+1,MATCH("EffectValue1",SkillData_Header,0)),)</f>
        <v>0</v>
      </c>
      <c r="AK61" s="305" t="s">
        <v>325</v>
      </c>
    </row>
    <row r="62" customFormat="false" ht="15.75" hidden="false" customHeight="false" outlineLevel="0" collapsed="false">
      <c r="A62" s="299" t="n">
        <v>49</v>
      </c>
      <c r="B62" s="300" t="s">
        <v>66</v>
      </c>
      <c r="C62" s="45" t="str">
        <f aca="false" t="array" ref="C62:C62">IF(ISBLANK(INDEX(PalData,MATCH($B62,PalNames,0)+1,MATCH("ActiveSkill",PalData_Header,0))),INDEX(PalData,MATCH($B62,PalNames,0)+1,MATCH("SkillUnlock_",PalData_Header,0)),INDEX(PalData,MATCH($B62,PalNames,0)+1,MATCH("ActiveSkill",PalData_Header,0)))</f>
        <v>Berserk</v>
      </c>
      <c r="D62" s="45"/>
      <c r="E62" s="45" t="n">
        <f aca="false">INDEX(PalData,MATCH($B62,PalNames,0)+1,MATCH("ActiveSkillBonus0",PalData_Header,0))</f>
        <v>0</v>
      </c>
      <c r="F62" s="45" t="n">
        <f aca="false">INDEX(PalData,MATCH($B62,PalNames,0)+1,MATCH("ActiveSkillBonus1",PalData_Header,0))</f>
        <v>0</v>
      </c>
      <c r="G62" s="45" t="n">
        <f aca="false">INDEX(PalData,MATCH($B62,PalNames,0)+1,MATCH("ActiveSkillBonus2",PalData_Header,0))</f>
        <v>0</v>
      </c>
      <c r="H62" s="45" t="n">
        <f aca="false">INDEX(PalData,MATCH($B62,PalNames,0)+1,MATCH("ActiveSkillBonus3",PalData_Header,0))</f>
        <v>0</v>
      </c>
      <c r="I62" s="260" t="n">
        <f aca="false">INDEX(PalData,MATCH($B62,PalNames,0)+1,MATCH("ActiveSkillBonus4",PalData_Header,0))</f>
        <v>0</v>
      </c>
      <c r="J62" s="45" t="str">
        <f aca="false">IFERROR(__xludf.dummyfunction("IFERROR(INDEX(SkillData,MATCH(Arrayformula(ARRAY_CONSTRAIN(FILTER(INDIRECT(""PalData!""&amp;ADDRESS(MATCH(B62,PalNames,0)+1,(MATCH(""Passive0c"",PalData_Header,0)))&amp;"":""&amp;ADDRESS(MATCH(B62,PalNames,0)+1,(MATCH(""Passive0c"",PalData_Header,0))+4)),LEN(INDIRECT"&amp;"(""PalData!""&amp;ADDRESS(MATCH(B62,PalNames,0)+1,(MATCH(""Passive0c"",PalData_Header,0)))&amp;"":""&amp;ADDRESS(MATCH(B62,PalNames,0)+1,(MATCH(""Passive0c"",PalData_Header,0))+4)))&gt;0),1,1)),SkillDataCodeName,0)+1,MATCH(""EffectTypeCombined"",SkillData_Header,0)))"),"ShotAttack")</f>
        <v>ShotAttack</v>
      </c>
      <c r="K62" s="45" t="str">
        <f aca="false">IFERROR(__xludf.dummyfunction("IFERROR(INDEX(SkillData,MATCH(Arrayformula(ARRAY_CONSTRAIN(FILTER(INDIRECT(""PalData!""&amp;ADDRESS(MATCH(B62,PalNames,0)+1,(MATCH(""Passive0c"",PalData_Header,0)))&amp;"":""&amp;ADDRESS(MATCH(B62,PalNames,0)+1,(MATCH(""Passive0c"",PalData_Header,0))+4)),LEN(INDIRECT"&amp;"(""PalData!""&amp;ADDRESS(MATCH(B62,PalNames,0)+1,(MATCH(""Passive0c"",PalData_Header,0)))&amp;"":""&amp;ADDRESS(MATCH(B62,PalNames,0)+1,(MATCH(""Passive0c"",PalData_Header,0))+4)))&gt;0),1,1)),SkillDataCodeName,0)+1,MATCH(""TargetType1"",SkillData_Header,0)))"),"Self")</f>
        <v>Self</v>
      </c>
      <c r="L62" s="45" t="e">
        <f aca="false" t="array" ref="L62:L62">IF(INDEX(PalData,MATCH($B62,PalNames,0)+1,MATCH("Passive0cCondition",PalData_Header,0))=IFERROR(INDEX(SkillData,MATCH(INDEX(PalData,MATCH($B62,PalNames,0)+1,MATCH("Passive0c",PalData_Header,0)),SkillDataCodeName,0)+1,MATCH("Conditions",SkillData_Header,0))),INDEX(PalData,MATCH($B62,PalNames,0)+1,MATCH("Passive0cCondition",PalData_Header,0)),INDEX(PalData,MATCH($B62,PalNames,0)+1,MATCH("Passive0cCondition",PalData_Header,0)) &amp; IF(ISBLANK(INDEX(PalData,MATCH($B62,PalNames,0)+1,MATCH("Passive0cCondition",PalData_Header,0))),," ")&amp;IFERROR(INDEX(SkillData,MATCH(INDEX(PalData,MATCH($B62,PalNames,0)+1,MATCH("Passive0c",PalData_Header,0)),SkillDataCodeName,0)+1,MATCH("Conditions",SkillData_Header,0))))</f>
        <v>#VALUE!</v>
      </c>
      <c r="M62" s="45" t="str">
        <f aca="false">IFERROR(__xludf.dummyfunction("IFERROR(INDEX(SkillData,MATCH(Arrayformula(ARRAY_CONSTRAIN(FILTER(INDIRECT(""PalData!""&amp;ADDRESS(MATCH(B62,PalNames,0)+1,(MATCH(""Passive0c"",PalData_Header,0)))&amp;"":""&amp;ADDRESS(MATCH(B62,PalNames,0)+1,(MATCH(""Passive0c"",PalData_Header,0))+4)),LEN(INDIRECT"&amp;"(""PalData!""&amp;ADDRESS(MATCH(B62,PalNames,0)+1,(MATCH(""Passive0c"",PalData_Header,0)))&amp;"":""&amp;ADDRESS(MATCH(B62,PalNames,0)+1,(MATCH(""Passive0c"",PalData_Header,0))+4)))&gt;0),1,1)),SkillDataCodeName,0)+1,MATCH(""ValueType1"",SkillData_Header,0)))"),"%")</f>
        <v>%</v>
      </c>
      <c r="N62" s="62" t="e">
        <f aca="false" t="array" ref="N62:N62">IFERROR(INDEX(SkillData,MATCH(INDEX(PalData,MATCH($B62,PalNames,0)+1,MATCH("Passive0c",PalData_Header,0)),SkillDataCodeName,0)+1,MATCH("EffectValue1",SkillData_Header,0)))</f>
        <v>#VALUE!</v>
      </c>
      <c r="O62" s="62" t="e">
        <f aca="false" t="array" ref="O62:O62">IFERROR(INDEX(SkillData,MATCH(INDEX(PalData,MATCH($B62,PalNames,0)+1,MATCH("Passive1c",PalData_Header,0)),SkillDataCodeName,0)+1,MATCH("EffectValue1",SkillData_Header,0)))</f>
        <v>#VALUE!</v>
      </c>
      <c r="P62" s="62" t="e">
        <f aca="false" t="array" ref="P62:P62">IFERROR(INDEX(SkillData,MATCH(INDEX(PalData,MATCH($B62,PalNames,0)+1,MATCH("Passive2c",PalData_Header,0)),SkillDataCodeName,0)+1,MATCH("EffectValue1",SkillData_Header,0)))</f>
        <v>#VALUE!</v>
      </c>
      <c r="Q62" s="62" t="e">
        <f aca="false" t="array" ref="Q62:Q62">IFERROR(INDEX(SkillData,MATCH(INDEX(PalData,MATCH($B62,PalNames,0)+1,MATCH("Passive3c",PalData_Header,0)),SkillDataCodeName,0)+1,MATCH("EffectValue1",SkillData_Header,0)))</f>
        <v>#VALUE!</v>
      </c>
      <c r="R62" s="306" t="e">
        <f aca="false" t="array" ref="R62:R62">IFERROR(INDEX(SkillData,MATCH(INDEX(PalData,MATCH($B62,PalNames,0)+1,MATCH("Passive4c",PalData_Header,0)),SkillDataCodeName,0)+1,MATCH("EffectValue1",SkillData_Header,0)))</f>
        <v>#VALUE!</v>
      </c>
      <c r="S62" s="45" t="str">
        <f aca="false">IFERROR(__xludf.dummyfunction("IFERROR(INDEX(SkillData,MATCH(Arrayformula(ARRAY_CONSTRAIN(FILTER(INDIRECT(""PalData!""&amp;ADDRESS(MATCH(B62,PalNames,0)+1,(MATCH(""Passive0a"",PalData_Header,0)))&amp;"":""&amp;ADDRESS(MATCH(B62,PalNames,0)+1,(MATCH(""Passive0a"",PalData_Header,0))+4)),LEN(INDIRECT"&amp;"(""PalData!""&amp;ADDRESS(MATCH(B62,PalNames,0)+1,(MATCH(""Passive0a"",PalData_Header,0)))&amp;"":""&amp;ADDRESS(MATCH(B62,PalNames,0)+1,(MATCH(""Passive0a"",PalData_Header,0))+4)))&gt;0),1,1)),SkillDataCodeName,0)+1,MATCH(""EffectTypeCombined"",SkillData_Header,0)))"),"")</f>
        <v/>
      </c>
      <c r="T62" s="45" t="str">
        <f aca="false">IFERROR(__xludf.dummyfunction("IFERROR(INDEX(SkillData,MATCH(Arrayformula(ARRAY_CONSTRAIN(FILTER(INDIRECT(""PalData!""&amp;ADDRESS(MATCH(B62,PalNames,0)+1,(MATCH(""Passive0a"",PalData_Header,0)))&amp;"":""&amp;ADDRESS(MATCH(B62,PalNames,0)+1,(MATCH(""Passive0a"",PalData_Header,0))+4)),LEN(INDIRECT"&amp;"(""PalData!""&amp;ADDRESS(MATCH(B62,PalNames,0)+1,(MATCH(""Passive0a"",PalData_Header,0)))&amp;"":""&amp;ADDRESS(MATCH(B62,PalNames,0)+1,(MATCH(""Passive0a"",PalData_Header,0))+4)))&gt;0),1,1)),SkillDataCodeName,0)+1,MATCH(""TargetType1"",SkillData_Header,0)))"),"")</f>
        <v/>
      </c>
      <c r="U62" s="45" t="e">
        <f aca="false" t="array" ref="U62:U62">IF(INDEX(PalData,MATCH($B62,PalNames,0)+1,MATCH("Passive0aCondition",PalData_Header,0))=IFERROR(INDEX(SkillData,MATCH(INDEX(PalData,MATCH($B62,PalNames,0)+1,MATCH("Passive0a",PalData_Header,0)),SkillDataCodeName,0)+1,MATCH("Conditions",SkillData_Header,0))),INDEX(PalData,MATCH($B62,PalNames,0)+1,MATCH("Passive0aCondition",PalData_Header,0)),INDEX(PalData,MATCH($B62,PalNames,0)+1,MATCH("Passive0aCondition",PalData_Header,0)) &amp; IF(ISBLANK(INDEX(PalData,MATCH($B62,PalNames,0)+1,MATCH("Passive0aCondition",PalData_Header,0))),," ")&amp;IFERROR(INDEX(SkillData,MATCH(INDEX(PalData,MATCH($B62,PalNames,0)+1,MATCH("Passive0a",PalData_Header,0)),SkillDataCodeName,0)+1,MATCH("Conditions",SkillData_Header,0))))</f>
        <v>#N/A</v>
      </c>
      <c r="V62" s="45" t="str">
        <f aca="false">IFERROR(__xludf.dummyfunction("IFERROR(INDEX(SkillData,MATCH(Arrayformula(ARRAY_CONSTRAIN(FILTER(INDIRECT(""PalData!""&amp;ADDRESS(MATCH(B62,PalNames,0)+1,(MATCH(""Passive0a"",PalData_Header,0)))&amp;"":""&amp;ADDRESS(MATCH(B62,PalNames,0)+1,(MATCH(""Passive0a"",PalData_Header,0))+4)),LEN(INDIRECT"&amp;"(""PalData!""&amp;ADDRESS(MATCH(B62,PalNames,0)+1,(MATCH(""Passive0a"",PalData_Header,0)))&amp;"":""&amp;ADDRESS(MATCH(B62,PalNames,0)+1,(MATCH(""Passive0a"",PalData_Header,0))+4)))&gt;0),1,1)),SkillDataCodeName,0)+1,MATCH(""ValueType1"",SkillData_Header,0)))"),"")</f>
        <v/>
      </c>
      <c r="W62" s="45" t="n">
        <f aca="false">IFERROR(INDEX(SkillData,MATCH(INDEX(PalData,MATCH($B62,PalNames,0)+1,MATCH("Passive0a",PalData_Header,0)),SkillDataCodeName,0)+1,MATCH("EffectValue1",SkillData_Header,0)),)</f>
        <v>0</v>
      </c>
      <c r="X62" s="45" t="n">
        <f aca="false">IFERROR(INDEX(SkillData,MATCH(INDEX(PalData,MATCH($B62,PalNames,0)+1,MATCH("Passive1a",PalData_Header,0)),SkillDataCodeName,0)+1,MATCH("EffectValue1",SkillData_Header,0)),)</f>
        <v>0</v>
      </c>
      <c r="Y62" s="45" t="n">
        <f aca="false">IFERROR(INDEX(SkillData,MATCH(INDEX(PalData,MATCH($B62,PalNames,0)+1,MATCH("Passive2a",PalData_Header,0)),SkillDataCodeName,0)+1,MATCH("EffectValue1",SkillData_Header,0)),)</f>
        <v>0</v>
      </c>
      <c r="Z62" s="45" t="n">
        <f aca="false">IFERROR(INDEX(SkillData,MATCH(INDEX(PalData,MATCH($B62,PalNames,0)+1,MATCH("Passive3a",PalData_Header,0)),SkillDataCodeName,0)+1,MATCH("EffectValue1",SkillData_Header,0)),)</f>
        <v>0</v>
      </c>
      <c r="AA62" s="260" t="n">
        <f aca="false">IFERROR(INDEX(SkillData,MATCH(INDEX(PalData,MATCH($B62,PalNames,0)+1,MATCH("Passive4a",PalData_Header,0)),SkillDataCodeName,0)+1,MATCH("EffectValue1",SkillData_Header,0)),)</f>
        <v>0</v>
      </c>
      <c r="AB62" s="45" t="str">
        <f aca="false">IFERROR(__xludf.dummyfunction("IFERROR(INDEX(SkillData,MATCH(Arrayformula(ARRAY_CONSTRAIN(FILTER(INDIRECT(""PalData!""&amp;ADDRESS(MATCH(B62,PalNames,0)+1,(MATCH(""Passive0b"",PalData_Header,0)))&amp;"":""&amp;ADDRESS(MATCH(B62,PalNames,0)+1,(MATCH(""Passive0b"",PalData_Header,0))+4)),LEN(INDIRECT"&amp;"(""PalData!""&amp;ADDRESS(MATCH(B62,PalNames,0)+1,(MATCH(""Passive0b"",PalData_Header,0)))&amp;"":""&amp;ADDRESS(MATCH(B62,PalNames,0)+1,(MATCH(""Passive0b"",PalData_Header,0))+4)))&gt;0),1,1)),SkillDataCodeName,0)+1,MATCH(""EffectTypeCombined"",SkillData_Header,0)))"),"")</f>
        <v/>
      </c>
      <c r="AC62" s="45" t="str">
        <f aca="false">IFERROR(__xludf.dummyfunction("IFERROR(INDEX(SkillData,MATCH(Arrayformula(ARRAY_CONSTRAIN(FILTER(INDIRECT(""PalData!""&amp;ADDRESS(MATCH(B62,PalNames,0)+1,(MATCH(""Passive0b"",PalData_Header,0)))&amp;"":""&amp;ADDRESS(MATCH(B62,PalNames,0)+1,(MATCH(""Passive0b"",PalData_Header,0))+4)),LEN(INDIRECT"&amp;"(""PalData!""&amp;ADDRESS(MATCH(B62,PalNames,0)+1,(MATCH(""Passive0b"",PalData_Header,0)))&amp;"":""&amp;ADDRESS(MATCH(B62,PalNames,0)+1,(MATCH(""Passive0b"",PalData_Header,0))+4)))&gt;0),1,1)),SkillDataCodeName,0)+1,MATCH(""TargetType1"",SkillData_Header,0)))"),"")</f>
        <v/>
      </c>
      <c r="AD62" s="45" t="e">
        <f aca="false" t="array" ref="AD62:AD62">IF(INDEX(PalData,MATCH($B62,PalNames,0)+1,MATCH("Passive0bCondition",PalData_Header,0))=IFERROR(INDEX(SkillData,MATCH(INDEX(PalData,MATCH($B62,PalNames,0)+1,MATCH("Passive0b",PalData_Header,0)),SkillDataCodeName,0)+1,MATCH("Conditions",SkillData_Header,0))),INDEX(PalData,MATCH($B62,PalNames,0)+1,MATCH("Passive0bCondition",PalData_Header,0)),INDEX(PalData,MATCH($B62,PalNames,0)+1,MATCH("Passive0bCondition",PalData_Header,0)) &amp; IF(ISBLANK(INDEX(PalData,MATCH($B62,PalNames,0)+1,MATCH("Passive0bCondition",PalData_Header,0))),," ")&amp;IFERROR(INDEX(SkillData,MATCH(INDEX(PalData,MATCH($B62,PalNames,0)+1,MATCH("Passive0b",PalData_Header,0)),SkillDataCodeName,0)+1,MATCH("Conditions",SkillData_Header,0))))</f>
        <v>#N/A</v>
      </c>
      <c r="AE62" s="45" t="str">
        <f aca="false">IFERROR(__xludf.dummyfunction("IFERROR(INDEX(SkillData,MATCH(Arrayformula(ARRAY_CONSTRAIN(FILTER(INDIRECT(""PalData!""&amp;ADDRESS(MATCH(B62,PalNames,0)+1,(MATCH(""Passive0b"",PalData_Header,0)))&amp;"":""&amp;ADDRESS(MATCH(B62,PalNames,0)+1,(MATCH(""Passive0b"",PalData_Header,0))+4)),LEN(INDIRECT"&amp;"(""PalData!""&amp;ADDRESS(MATCH(B62,PalNames,0)+1,(MATCH(""Passive0b"",PalData_Header,0)))&amp;"":""&amp;ADDRESS(MATCH(B62,PalNames,0)+1,(MATCH(""Passive0b"",PalData_Header,0))+4)))&gt;0),1,1)),SkillDataCodeName,0)+1,MATCH(""ValueType1"",SkillData_Header,0)))"),"")</f>
        <v/>
      </c>
      <c r="AF62" s="45" t="n">
        <f aca="false">IFERROR(INDEX(SkillData,MATCH(INDEX(PalData,MATCH($B62,PalNames,0)+1,MATCH("Passive0b",PalData_Header,0)),SkillDataCodeName,0)+1,MATCH("EffectValue1",SkillData_Header,0)),)</f>
        <v>0</v>
      </c>
      <c r="AG62" s="45" t="n">
        <f aca="false">IFERROR(INDEX(SkillData,MATCH(INDEX(PalData,MATCH($B62,PalNames,0)+1,MATCH("Passive1b",PalData_Header,0)),SkillDataCodeName,0)+1,MATCH("EffectValue1",SkillData_Header,0)),)</f>
        <v>0</v>
      </c>
      <c r="AH62" s="45" t="n">
        <f aca="false">IFERROR(INDEX(SkillData,MATCH(INDEX(PalData,MATCH($B62,PalNames,0)+1,MATCH("Passive2b",PalData_Header,0)),SkillDataCodeName,0)+1,MATCH("EffectValue1",SkillData_Header,0)),)</f>
        <v>0</v>
      </c>
      <c r="AI62" s="45" t="n">
        <f aca="false">IFERROR(INDEX(SkillData,MATCH(INDEX(PalData,MATCH($B62,PalNames,0)+1,MATCH("Passive3b",PalData_Header,0)),SkillDataCodeName,0)+1,MATCH("EffectValue1",SkillData_Header,0)),)</f>
        <v>0</v>
      </c>
      <c r="AJ62" s="260" t="n">
        <f aca="false">IFERROR(INDEX(SkillData,MATCH(INDEX(PalData,MATCH($B62,PalNames,0)+1,MATCH("Passive4b",PalData_Header,0)),SkillDataCodeName,0)+1,MATCH("EffectValue1",SkillData_Header,0)),)</f>
        <v>0</v>
      </c>
      <c r="AK62" s="301" t="s">
        <v>326</v>
      </c>
    </row>
    <row r="63" customFormat="false" ht="15.75" hidden="false" customHeight="false" outlineLevel="0" collapsed="false">
      <c r="A63" s="302" t="n">
        <v>50</v>
      </c>
      <c r="B63" s="303" t="s">
        <v>22</v>
      </c>
      <c r="C63" s="48" t="n">
        <f aca="false">IF(ISBLANK(INDEX(PalData,MATCH($B63,PalNames,0)+1,MATCH("ActiveSkill",PalData_Header,0))),INDEX(PalData,MATCH($B63,PalNames,0)+1,MATCH("SkillUnlock_",PalData_Header,0)),INDEX(PalData,MATCH($B63,PalNames,0)+1,MATCH("ActiveSkill",PalData_Header,0)))</f>
        <v>0</v>
      </c>
      <c r="D63" s="48"/>
      <c r="E63" s="48" t="n">
        <f aca="false">INDEX(PalData,MATCH($B63,PalNames,0)+1,MATCH("ActiveSkillBonus0",PalData_Header,0))</f>
        <v>0</v>
      </c>
      <c r="F63" s="48" t="n">
        <f aca="false">INDEX(PalData,MATCH($B63,PalNames,0)+1,MATCH("ActiveSkillBonus1",PalData_Header,0))</f>
        <v>0</v>
      </c>
      <c r="G63" s="48" t="n">
        <f aca="false">INDEX(PalData,MATCH($B63,PalNames,0)+1,MATCH("ActiveSkillBonus2",PalData_Header,0))</f>
        <v>0</v>
      </c>
      <c r="H63" s="48" t="n">
        <f aca="false">INDEX(PalData,MATCH($B63,PalNames,0)+1,MATCH("ActiveSkillBonus3",PalData_Header,0))</f>
        <v>0</v>
      </c>
      <c r="I63" s="263" t="n">
        <f aca="false">INDEX(PalData,MATCH($B63,PalNames,0)+1,MATCH("ActiveSkillBonus4",PalData_Header,0))</f>
        <v>0</v>
      </c>
      <c r="J63" s="48" t="str">
        <f aca="false">IFERROR(__xludf.dummyfunction("IFERROR(INDEX(SkillData,MATCH(Arrayformula(ARRAY_CONSTRAIN(FILTER(INDIRECT(""PalData!""&amp;ADDRESS(MATCH(B63,PalNames,0)+1,(MATCH(""Passive0c"",PalData_Header,0)))&amp;"":""&amp;ADDRESS(MATCH(B63,PalNames,0)+1,(MATCH(""Passive0c"",PalData_Header,0))+4)),LEN(INDIRECT"&amp;"(""PalData!""&amp;ADDRESS(MATCH(B63,PalNames,0)+1,(MATCH(""Passive0c"",PalData_Header,0)))&amp;"":""&amp;ADDRESS(MATCH(B63,PalNames,0)+1,(MATCH(""Passive0c"",PalData_Header,0))+4)))&gt;0),1,1)),SkillDataCodeName,0)+1,MATCH(""EffectTypeCombined"",SkillData_Header,0)))"),"ShotAttack. Defense")</f>
        <v>ShotAttack. Defense</v>
      </c>
      <c r="K63" s="48" t="str">
        <f aca="false">IFERROR(__xludf.dummyfunction("IFERROR(INDEX(SkillData,MATCH(Arrayformula(ARRAY_CONSTRAIN(FILTER(INDIRECT(""PalData!""&amp;ADDRESS(MATCH(B63,PalNames,0)+1,(MATCH(""Passive0c"",PalData_Header,0)))&amp;"":""&amp;ADDRESS(MATCH(B63,PalNames,0)+1,(MATCH(""Passive0c"",PalData_Header,0))+4)),LEN(INDIRECT"&amp;"(""PalData!""&amp;ADDRESS(MATCH(B63,PalNames,0)+1,(MATCH(""Passive0c"",PalData_Header,0)))&amp;"":""&amp;ADDRESS(MATCH(B63,PalNames,0)+1,(MATCH(""Passive0c"",PalData_Header,0))+4)))&gt;0),1,1)),SkillDataCodeName,0)+1,MATCH(""TargetType1"",SkillData_Header,0)))"),"Self")</f>
        <v>Self</v>
      </c>
      <c r="L63" s="48" t="e">
        <f aca="false" t="array" ref="L63:L63">IF(INDEX(PalData,MATCH($B63,PalNames,0)+1,MATCH("Passive0cCondition",PalData_Header,0))=IFERROR(INDEX(SkillData,MATCH(INDEX(PalData,MATCH($B63,PalNames,0)+1,MATCH("Passive0c",PalData_Header,0)),SkillDataCodeName,0)+1,MATCH("Conditions",SkillData_Header,0))),INDEX(PalData,MATCH($B63,PalNames,0)+1,MATCH("Passive0cCondition",PalData_Header,0)),INDEX(PalData,MATCH($B63,PalNames,0)+1,MATCH("Passive0cCondition",PalData_Header,0)) &amp; IF(ISBLANK(INDEX(PalData,MATCH($B63,PalNames,0)+1,MATCH("Passive0cCondition",PalData_Header,0))),," ")&amp;IFERROR(INDEX(SkillData,MATCH(INDEX(PalData,MATCH($B63,PalNames,0)+1,MATCH("Passive0c",PalData_Header,0)),SkillDataCodeName,0)+1,MATCH("Conditions",SkillData_Header,0))))</f>
        <v>#VALUE!</v>
      </c>
      <c r="M63" s="48" t="str">
        <f aca="false">IFERROR(__xludf.dummyfunction("IFERROR(INDEX(SkillData,MATCH(Arrayformula(ARRAY_CONSTRAIN(FILTER(INDIRECT(""PalData!""&amp;ADDRESS(MATCH(B63,PalNames,0)+1,(MATCH(""Passive0c"",PalData_Header,0)))&amp;"":""&amp;ADDRESS(MATCH(B63,PalNames,0)+1,(MATCH(""Passive0c"",PalData_Header,0))+4)),LEN(INDIRECT"&amp;"(""PalData!""&amp;ADDRESS(MATCH(B63,PalNames,0)+1,(MATCH(""Passive0c"",PalData_Header,0)))&amp;"":""&amp;ADDRESS(MATCH(B63,PalNames,0)+1,(MATCH(""Passive0c"",PalData_Header,0))+4)))&gt;0),1,1)),SkillDataCodeName,0)+1,MATCH(""ValueType1"",SkillData_Header,0)))"),"%")</f>
        <v>%</v>
      </c>
      <c r="N63" s="61" t="e">
        <f aca="false" t="array" ref="N63:N63">IFERROR(INDEX(SkillData,MATCH(INDEX(PalData,MATCH($B63,PalNames,0)+1,MATCH("Passive0c",PalData_Header,0)),SkillDataCodeName,0)+1,MATCH("EffectValue1",SkillData_Header,0)))</f>
        <v>#VALUE!</v>
      </c>
      <c r="O63" s="61" t="e">
        <f aca="false" t="array" ref="O63:O63">IFERROR(INDEX(SkillData,MATCH(INDEX(PalData,MATCH($B63,PalNames,0)+1,MATCH("Passive1c",PalData_Header,0)),SkillDataCodeName,0)+1,MATCH("EffectValue1",SkillData_Header,0)))</f>
        <v>#VALUE!</v>
      </c>
      <c r="P63" s="61" t="e">
        <f aca="false" t="array" ref="P63:P63">IFERROR(INDEX(SkillData,MATCH(INDEX(PalData,MATCH($B63,PalNames,0)+1,MATCH("Passive2c",PalData_Header,0)),SkillDataCodeName,0)+1,MATCH("EffectValue1",SkillData_Header,0)))</f>
        <v>#VALUE!</v>
      </c>
      <c r="Q63" s="61" t="e">
        <f aca="false" t="array" ref="Q63:Q63">IFERROR(INDEX(SkillData,MATCH(INDEX(PalData,MATCH($B63,PalNames,0)+1,MATCH("Passive3c",PalData_Header,0)),SkillDataCodeName,0)+1,MATCH("EffectValue1",SkillData_Header,0)))</f>
        <v>#VALUE!</v>
      </c>
      <c r="R63" s="304" t="e">
        <f aca="false" t="array" ref="R63:R63">IFERROR(INDEX(SkillData,MATCH(INDEX(PalData,MATCH($B63,PalNames,0)+1,MATCH("Passive4c",PalData_Header,0)),SkillDataCodeName,0)+1,MATCH("EffectValue1",SkillData_Header,0)))</f>
        <v>#VALUE!</v>
      </c>
      <c r="S63" s="48" t="str">
        <f aca="false">IFERROR(__xludf.dummyfunction("IFERROR(INDEX(SkillData,MATCH(Arrayformula(ARRAY_CONSTRAIN(FILTER(INDIRECT(""PalData!""&amp;ADDRESS(MATCH(B63,PalNames,0)+1,(MATCH(""Passive0a"",PalData_Header,0)))&amp;"":""&amp;ADDRESS(MATCH(B63,PalNames,0)+1,(MATCH(""Passive0a"",PalData_Header,0))+4)),LEN(INDIRECT"&amp;"(""PalData!""&amp;ADDRESS(MATCH(B63,PalNames,0)+1,(MATCH(""Passive0a"",PalData_Header,0)))&amp;"":""&amp;ADDRESS(MATCH(B63,PalNames,0)+1,(MATCH(""Passive0a"",PalData_Header,0))+4)))&gt;0),1,1)),SkillDataCodeName,0)+1,MATCH(""EffectTypeCombined"",SkillData_Header,0)))"),"FindHoney")</f>
        <v>FindHoney</v>
      </c>
      <c r="T63" s="48" t="str">
        <f aca="false">IFERROR(__xludf.dummyfunction("IFERROR(INDEX(SkillData,MATCH(Arrayformula(ARRAY_CONSTRAIN(FILTER(INDIRECT(""PalData!""&amp;ADDRESS(MATCH(B63,PalNames,0)+1,(MATCH(""Passive0a"",PalData_Header,0)))&amp;"":""&amp;ADDRESS(MATCH(B63,PalNames,0)+1,(MATCH(""Passive0a"",PalData_Header,0))+4)),LEN(INDIRECT"&amp;"(""PalData!""&amp;ADDRESS(MATCH(B63,PalNames,0)+1,(MATCH(""Passive0a"",PalData_Header,0)))&amp;"":""&amp;ADDRESS(MATCH(B63,PalNames,0)+1,(MATCH(""Passive0a"",PalData_Header,0))+4)))&gt;0),1,1)),SkillDataCodeName,0)+1,MATCH(""TargetType1"",SkillData_Header,0)))"),"")</f>
        <v/>
      </c>
      <c r="U63" s="48" t="e">
        <f aca="false" t="array" ref="U63:U63">IF(INDEX(PalData,MATCH($B63,PalNames,0)+1,MATCH("Passive0aCondition",PalData_Header,0))=IFERROR(INDEX(SkillData,MATCH(INDEX(PalData,MATCH($B63,PalNames,0)+1,MATCH("Passive0a",PalData_Header,0)),SkillDataCodeName,0)+1,MATCH("Conditions",SkillData_Header,0))),INDEX(PalData,MATCH($B63,PalNames,0)+1,MATCH("Passive0aCondition",PalData_Header,0)),INDEX(PalData,MATCH($B63,PalNames,0)+1,MATCH("Passive0aCondition",PalData_Header,0)) &amp; IF(ISBLANK(INDEX(PalData,MATCH($B63,PalNames,0)+1,MATCH("Passive0aCondition",PalData_Header,0))),," ")&amp;IFERROR(INDEX(SkillData,MATCH(INDEX(PalData,MATCH($B63,PalNames,0)+1,MATCH("Passive0a",PalData_Header,0)),SkillDataCodeName,0)+1,MATCH("Conditions",SkillData_Header,0))))</f>
        <v>#VALUE!</v>
      </c>
      <c r="V63" s="48" t="str">
        <f aca="false">IFERROR(__xludf.dummyfunction("IFERROR(INDEX(SkillData,MATCH(Arrayformula(ARRAY_CONSTRAIN(FILTER(INDIRECT(""PalData!""&amp;ADDRESS(MATCH(B63,PalNames,0)+1,(MATCH(""Passive0a"",PalData_Header,0)))&amp;"":""&amp;ADDRESS(MATCH(B63,PalNames,0)+1,(MATCH(""Passive0a"",PalData_Header,0))+4)),LEN(INDIRECT"&amp;"(""PalData!""&amp;ADDRESS(MATCH(B63,PalNames,0)+1,(MATCH(""Passive0a"",PalData_Header,0)))&amp;"":""&amp;ADDRESS(MATCH(B63,PalNames,0)+1,(MATCH(""Passive0a"",PalData_Header,0))+4)))&gt;0),1,1)),SkillDataCodeName,0)+1,MATCH(""ValueType1"",SkillData_Header,0)))"),"(min,max)")</f>
        <v>(min,max)</v>
      </c>
      <c r="W63" s="48" t="str">
        <f aca="false" t="array" ref="W63:W63">IFERROR(INDEX(SkillData,MATCH(INDEX(PalData,MATCH($B63,PalNames,0)+1,MATCH("Passive0a",PalData_Header,0)),SkillDataCodeName,0)+1,MATCH("EffectValue1",SkillData_Header,0)),)</f>
        <v>1,1</v>
      </c>
      <c r="X63" s="48" t="str">
        <f aca="false" t="array" ref="X63:X63">IFERROR(INDEX(SkillData,MATCH(INDEX(PalData,MATCH($B63,PalNames,0)+1,MATCH("Passive1a",PalData_Header,0)),SkillDataCodeName,0)+1,MATCH("EffectValue1",SkillData_Header,0)),)</f>
        <v>1,2</v>
      </c>
      <c r="Y63" s="48" t="str">
        <f aca="false" t="array" ref="Y63:Y63">IFERROR(INDEX(SkillData,MATCH(INDEX(PalData,MATCH($B63,PalNames,0)+1,MATCH("Passive2a",PalData_Header,0)),SkillDataCodeName,0)+1,MATCH("EffectValue1",SkillData_Header,0)),)</f>
        <v>1,3</v>
      </c>
      <c r="Z63" s="48" t="str">
        <f aca="false" t="array" ref="Z63:Z63">IFERROR(INDEX(SkillData,MATCH(INDEX(PalData,MATCH($B63,PalNames,0)+1,MATCH("Passive3a",PalData_Header,0)),SkillDataCodeName,0)+1,MATCH("EffectValue1",SkillData_Header,0)),)</f>
        <v>1,4</v>
      </c>
      <c r="AA63" s="263" t="str">
        <f aca="false" t="array" ref="AA63:AA63">IFERROR(INDEX(SkillData,MATCH(INDEX(PalData,MATCH($B63,PalNames,0)+1,MATCH("Passive4a",PalData_Header,0)),SkillDataCodeName,0)+1,MATCH("EffectValue1",SkillData_Header,0)),)</f>
        <v>1,5</v>
      </c>
      <c r="AB63" s="48" t="str">
        <f aca="false">IFERROR(__xludf.dummyfunction("IFERROR(INDEX(SkillData,MATCH(Arrayformula(ARRAY_CONSTRAIN(FILTER(INDIRECT(""PalData!""&amp;ADDRESS(MATCH(B63,PalNames,0)+1,(MATCH(""Passive0b"",PalData_Header,0)))&amp;"":""&amp;ADDRESS(MATCH(B63,PalNames,0)+1,(MATCH(""Passive0b"",PalData_Header,0))+4)),LEN(INDIRECT"&amp;"(""PalData!""&amp;ADDRESS(MATCH(B63,PalNames,0)+1,(MATCH(""Passive0b"",PalData_Header,0)))&amp;"":""&amp;ADDRESS(MATCH(B63,PalNames,0)+1,(MATCH(""Passive0b"",PalData_Header,0))+4)))&gt;0),1,1)),SkillDataCodeName,0)+1,MATCH(""EffectTypeCombined"",SkillData_Header,0)))"),"")</f>
        <v/>
      </c>
      <c r="AC63" s="48" t="str">
        <f aca="false">IFERROR(__xludf.dummyfunction("IFERROR(INDEX(SkillData,MATCH(Arrayformula(ARRAY_CONSTRAIN(FILTER(INDIRECT(""PalData!""&amp;ADDRESS(MATCH(B63,PalNames,0)+1,(MATCH(""Passive0b"",PalData_Header,0)))&amp;"":""&amp;ADDRESS(MATCH(B63,PalNames,0)+1,(MATCH(""Passive0b"",PalData_Header,0))+4)),LEN(INDIRECT"&amp;"(""PalData!""&amp;ADDRESS(MATCH(B63,PalNames,0)+1,(MATCH(""Passive0b"",PalData_Header,0)))&amp;"":""&amp;ADDRESS(MATCH(B63,PalNames,0)+1,(MATCH(""Passive0b"",PalData_Header,0))+4)))&gt;0),1,1)),SkillDataCodeName,0)+1,MATCH(""TargetType1"",SkillData_Header,0)))"),"")</f>
        <v/>
      </c>
      <c r="AD63" s="48" t="e">
        <f aca="false" t="array" ref="AD63:AD63">IF(INDEX(PalData,MATCH($B63,PalNames,0)+1,MATCH("Passive0bCondition",PalData_Header,0))=IFERROR(INDEX(SkillData,MATCH(INDEX(PalData,MATCH($B63,PalNames,0)+1,MATCH("Passive0b",PalData_Header,0)),SkillDataCodeName,0)+1,MATCH("Conditions",SkillData_Header,0))),INDEX(PalData,MATCH($B63,PalNames,0)+1,MATCH("Passive0bCondition",PalData_Header,0)),INDEX(PalData,MATCH($B63,PalNames,0)+1,MATCH("Passive0bCondition",PalData_Header,0)) &amp; IF(ISBLANK(INDEX(PalData,MATCH($B63,PalNames,0)+1,MATCH("Passive0bCondition",PalData_Header,0))),," ")&amp;IFERROR(INDEX(SkillData,MATCH(INDEX(PalData,MATCH($B63,PalNames,0)+1,MATCH("Passive0b",PalData_Header,0)),SkillDataCodeName,0)+1,MATCH("Conditions",SkillData_Header,0))))</f>
        <v>#N/A</v>
      </c>
      <c r="AE63" s="48" t="str">
        <f aca="false">IFERROR(__xludf.dummyfunction("IFERROR(INDEX(SkillData,MATCH(Arrayformula(ARRAY_CONSTRAIN(FILTER(INDIRECT(""PalData!""&amp;ADDRESS(MATCH(B63,PalNames,0)+1,(MATCH(""Passive0b"",PalData_Header,0)))&amp;"":""&amp;ADDRESS(MATCH(B63,PalNames,0)+1,(MATCH(""Passive0b"",PalData_Header,0))+4)),LEN(INDIRECT"&amp;"(""PalData!""&amp;ADDRESS(MATCH(B63,PalNames,0)+1,(MATCH(""Passive0b"",PalData_Header,0)))&amp;"":""&amp;ADDRESS(MATCH(B63,PalNames,0)+1,(MATCH(""Passive0b"",PalData_Header,0))+4)))&gt;0),1,1)),SkillDataCodeName,0)+1,MATCH(""ValueType1"",SkillData_Header,0)))"),"")</f>
        <v/>
      </c>
      <c r="AF63" s="48" t="n">
        <f aca="false">IFERROR(INDEX(SkillData,MATCH(INDEX(PalData,MATCH($B63,PalNames,0)+1,MATCH("Passive0b",PalData_Header,0)),SkillDataCodeName,0)+1,MATCH("EffectValue1",SkillData_Header,0)),)</f>
        <v>0</v>
      </c>
      <c r="AG63" s="48" t="n">
        <f aca="false">IFERROR(INDEX(SkillData,MATCH(INDEX(PalData,MATCH($B63,PalNames,0)+1,MATCH("Passive1b",PalData_Header,0)),SkillDataCodeName,0)+1,MATCH("EffectValue1",SkillData_Header,0)),)</f>
        <v>0</v>
      </c>
      <c r="AH63" s="48" t="n">
        <f aca="false">IFERROR(INDEX(SkillData,MATCH(INDEX(PalData,MATCH($B63,PalNames,0)+1,MATCH("Passive2b",PalData_Header,0)),SkillDataCodeName,0)+1,MATCH("EffectValue1",SkillData_Header,0)),)</f>
        <v>0</v>
      </c>
      <c r="AI63" s="48" t="n">
        <f aca="false">IFERROR(INDEX(SkillData,MATCH(INDEX(PalData,MATCH($B63,PalNames,0)+1,MATCH("Passive3b",PalData_Header,0)),SkillDataCodeName,0)+1,MATCH("EffectValue1",SkillData_Header,0)),)</f>
        <v>0</v>
      </c>
      <c r="AJ63" s="263" t="n">
        <f aca="false">IFERROR(INDEX(SkillData,MATCH(INDEX(PalData,MATCH($B63,PalNames,0)+1,MATCH("Passive4b",PalData_Header,0)),SkillDataCodeName,0)+1,MATCH("EffectValue1",SkillData_Header,0)),)</f>
        <v>0</v>
      </c>
      <c r="AK63" s="305" t="s">
        <v>327</v>
      </c>
    </row>
    <row r="64" customFormat="false" ht="15.75" hidden="false" customHeight="false" outlineLevel="0" collapsed="false">
      <c r="A64" s="299" t="n">
        <v>51</v>
      </c>
      <c r="B64" s="300" t="s">
        <v>50</v>
      </c>
      <c r="C64" s="45" t="n">
        <f aca="false">IF(ISBLANK(INDEX(PalData,MATCH($B64,PalNames,0)+1,MATCH("ActiveSkill",PalData_Header,0))),INDEX(PalData,MATCH($B64,PalNames,0)+1,MATCH("SkillUnlock_",PalData_Header,0)),INDEX(PalData,MATCH($B64,PalNames,0)+1,MATCH("ActiveSkill",PalData_Header,0)))</f>
        <v>0</v>
      </c>
      <c r="D64" s="45"/>
      <c r="E64" s="45" t="n">
        <f aca="false">INDEX(PalData,MATCH($B64,PalNames,0)+1,MATCH("ActiveSkillBonus0",PalData_Header,0))</f>
        <v>0</v>
      </c>
      <c r="F64" s="45" t="n">
        <f aca="false">INDEX(PalData,MATCH($B64,PalNames,0)+1,MATCH("ActiveSkillBonus1",PalData_Header,0))</f>
        <v>0</v>
      </c>
      <c r="G64" s="45" t="n">
        <f aca="false">INDEX(PalData,MATCH($B64,PalNames,0)+1,MATCH("ActiveSkillBonus2",PalData_Header,0))</f>
        <v>0</v>
      </c>
      <c r="H64" s="45" t="n">
        <f aca="false">INDEX(PalData,MATCH($B64,PalNames,0)+1,MATCH("ActiveSkillBonus3",PalData_Header,0))</f>
        <v>0</v>
      </c>
      <c r="I64" s="260" t="n">
        <f aca="false">INDEX(PalData,MATCH($B64,PalNames,0)+1,MATCH("ActiveSkillBonus4",PalData_Header,0))</f>
        <v>0</v>
      </c>
      <c r="J64" s="45" t="str">
        <f aca="false">IFERROR(__xludf.dummyfunction("IFERROR(INDEX(SkillData,MATCH(Arrayformula(ARRAY_CONSTRAIN(FILTER(INDIRECT(""PalData!""&amp;ADDRESS(MATCH(B64,PalNames,0)+1,(MATCH(""Passive0c"",PalData_Header,0)))&amp;"":""&amp;ADDRESS(MATCH(B64,PalNames,0)+1,(MATCH(""Passive0c"",PalData_Header,0))+4)),LEN(INDIRECT"&amp;"(""PalData!""&amp;ADDRESS(MATCH(B64,PalNames,0)+1,(MATCH(""Passive0c"",PalData_Header,0)))&amp;"":""&amp;ADDRESS(MATCH(B64,PalNames,0)+1,(MATCH(""Passive0c"",PalData_Header,0))+4)))&gt;0),1,1)),SkillDataCodeName,0)+1,MATCH(""EffectTypeCombined"",SkillData_Header,0)))"),"ShotAttack")</f>
        <v>ShotAttack</v>
      </c>
      <c r="K64" s="45" t="str">
        <f aca="false">IFERROR(__xludf.dummyfunction("IFERROR(INDEX(SkillData,MATCH(Arrayformula(ARRAY_CONSTRAIN(FILTER(INDIRECT(""PalData!""&amp;ADDRESS(MATCH(B64,PalNames,0)+1,(MATCH(""Passive0c"",PalData_Header,0)))&amp;"":""&amp;ADDRESS(MATCH(B64,PalNames,0)+1,(MATCH(""Passive0c"",PalData_Header,0))+4)),LEN(INDIRECT"&amp;"(""PalData!""&amp;ADDRESS(MATCH(B64,PalNames,0)+1,(MATCH(""Passive0c"",PalData_Header,0)))&amp;"":""&amp;ADDRESS(MATCH(B64,PalNames,0)+1,(MATCH(""Passive0c"",PalData_Header,0))+4)))&gt;0),1,1)),SkillDataCodeName,0)+1,MATCH(""TargetType1"",SkillData_Header,0)))"),"Self")</f>
        <v>Self</v>
      </c>
      <c r="L64" s="45" t="e">
        <f aca="false" t="array" ref="L64:L64">IF(INDEX(PalData,MATCH($B64,PalNames,0)+1,MATCH("Passive0cCondition",PalData_Header,0))=IFERROR(INDEX(SkillData,MATCH(INDEX(PalData,MATCH($B64,PalNames,0)+1,MATCH("Passive0c",PalData_Header,0)),SkillDataCodeName,0)+1,MATCH("Conditions",SkillData_Header,0))),INDEX(PalData,MATCH($B64,PalNames,0)+1,MATCH("Passive0cCondition",PalData_Header,0)),INDEX(PalData,MATCH($B64,PalNames,0)+1,MATCH("Passive0cCondition",PalData_Header,0)) &amp; IF(ISBLANK(INDEX(PalData,MATCH($B64,PalNames,0)+1,MATCH("Passive0cCondition",PalData_Header,0))),," ")&amp;IFERROR(INDEX(SkillData,MATCH(INDEX(PalData,MATCH($B64,PalNames,0)+1,MATCH("Passive0c",PalData_Header,0)),SkillDataCodeName,0)+1,MATCH("Conditions",SkillData_Header,0))))</f>
        <v>#N/A</v>
      </c>
      <c r="M64" s="45" t="str">
        <f aca="false">IFERROR(__xludf.dummyfunction("IFERROR(INDEX(SkillData,MATCH(Arrayformula(ARRAY_CONSTRAIN(FILTER(INDIRECT(""PalData!""&amp;ADDRESS(MATCH(B64,PalNames,0)+1,(MATCH(""Passive0c"",PalData_Header,0)))&amp;"":""&amp;ADDRESS(MATCH(B64,PalNames,0)+1,(MATCH(""Passive0c"",PalData_Header,0))+4)),LEN(INDIRECT"&amp;"(""PalData!""&amp;ADDRESS(MATCH(B64,PalNames,0)+1,(MATCH(""Passive0c"",PalData_Header,0)))&amp;"":""&amp;ADDRESS(MATCH(B64,PalNames,0)+1,(MATCH(""Passive0c"",PalData_Header,0))+4)))&gt;0),1,1)),SkillDataCodeName,0)+1,MATCH(""ValueType1"",SkillData_Header,0)))"),"%")</f>
        <v>%</v>
      </c>
      <c r="N64" s="45" t="e">
        <f aca="false" t="array" ref="N64:N64">IFERROR(INDEX(SkillData,MATCH(INDEX(PalData,MATCH($B64,PalNames,0)+1,MATCH("Passive0c",PalData_Header,0)),SkillDataCodeName,0)+1,MATCH("EffectValue1",SkillData_Header,0)))</f>
        <v>#VALUE!</v>
      </c>
      <c r="O64" s="62" t="e">
        <f aca="false" t="array" ref="O64:O64">IFERROR(INDEX(SkillData,MATCH(INDEX(PalData,MATCH($B64,PalNames,0)+1,MATCH("Passive1c",PalData_Header,0)),SkillDataCodeName,0)+1,MATCH("EffectValue1",SkillData_Header,0)))</f>
        <v>#VALUE!</v>
      </c>
      <c r="P64" s="62" t="e">
        <f aca="false" t="array" ref="P64:P64">IFERROR(INDEX(SkillData,MATCH(INDEX(PalData,MATCH($B64,PalNames,0)+1,MATCH("Passive2c",PalData_Header,0)),SkillDataCodeName,0)+1,MATCH("EffectValue1",SkillData_Header,0)))</f>
        <v>#VALUE!</v>
      </c>
      <c r="Q64" s="62" t="e">
        <f aca="false" t="array" ref="Q64:Q64">IFERROR(INDEX(SkillData,MATCH(INDEX(PalData,MATCH($B64,PalNames,0)+1,MATCH("Passive3c",PalData_Header,0)),SkillDataCodeName,0)+1,MATCH("EffectValue1",SkillData_Header,0)))</f>
        <v>#VALUE!</v>
      </c>
      <c r="R64" s="306" t="e">
        <f aca="false" t="array" ref="R64:R64">IFERROR(INDEX(SkillData,MATCH(INDEX(PalData,MATCH($B64,PalNames,0)+1,MATCH("Passive4c",PalData_Header,0)),SkillDataCodeName,0)+1,MATCH("EffectValue1",SkillData_Header,0)))</f>
        <v>#VALUE!</v>
      </c>
      <c r="S64" s="45" t="str">
        <f aca="false">IFERROR(__xludf.dummyfunction("IFERROR(INDEX(SkillData,MATCH(Arrayformula(ARRAY_CONSTRAIN(FILTER(INDIRECT(""PalData!""&amp;ADDRESS(MATCH(B64,PalNames,0)+1,(MATCH(""Passive0a"",PalData_Header,0)))&amp;"":""&amp;ADDRESS(MATCH(B64,PalNames,0)+1,(MATCH(""Passive0a"",PalData_Header,0))+4)),LEN(INDIRECT"&amp;"(""PalData!""&amp;ADDRESS(MATCH(B64,PalNames,0)+1,(MATCH(""Passive0a"",PalData_Header,0)))&amp;"":""&amp;ADDRESS(MATCH(B64,PalNames,0)+1,(MATCH(""Passive0a"",PalData_Header,0))+4)))&gt;0),1,1)),SkillDataCodeName,0)+1,MATCH(""EffectTypeCombined"",SkillData_Header,0)))"),"")</f>
        <v/>
      </c>
      <c r="T64" s="45" t="str">
        <f aca="false">IFERROR(__xludf.dummyfunction("IFERROR(INDEX(SkillData,MATCH(Arrayformula(ARRAY_CONSTRAIN(FILTER(INDIRECT(""PalData!""&amp;ADDRESS(MATCH(B64,PalNames,0)+1,(MATCH(""Passive0a"",PalData_Header,0)))&amp;"":""&amp;ADDRESS(MATCH(B64,PalNames,0)+1,(MATCH(""Passive0a"",PalData_Header,0))+4)),LEN(INDIRECT"&amp;"(""PalData!""&amp;ADDRESS(MATCH(B64,PalNames,0)+1,(MATCH(""Passive0a"",PalData_Header,0)))&amp;"":""&amp;ADDRESS(MATCH(B64,PalNames,0)+1,(MATCH(""Passive0a"",PalData_Header,0))+4)))&gt;0),1,1)),SkillDataCodeName,0)+1,MATCH(""TargetType1"",SkillData_Header,0)))"),"")</f>
        <v/>
      </c>
      <c r="U64" s="45" t="e">
        <f aca="false" t="array" ref="U64:U64">IF(INDEX(PalData,MATCH($B64,PalNames,0)+1,MATCH("Passive0aCondition",PalData_Header,0))=IFERROR(INDEX(SkillData,MATCH(INDEX(PalData,MATCH($B64,PalNames,0)+1,MATCH("Passive0a",PalData_Header,0)),SkillDataCodeName,0)+1,MATCH("Conditions",SkillData_Header,0))),INDEX(PalData,MATCH($B64,PalNames,0)+1,MATCH("Passive0aCondition",PalData_Header,0)),INDEX(PalData,MATCH($B64,PalNames,0)+1,MATCH("Passive0aCondition",PalData_Header,0)) &amp; IF(ISBLANK(INDEX(PalData,MATCH($B64,PalNames,0)+1,MATCH("Passive0aCondition",PalData_Header,0))),," ")&amp;IFERROR(INDEX(SkillData,MATCH(INDEX(PalData,MATCH($B64,PalNames,0)+1,MATCH("Passive0a",PalData_Header,0)),SkillDataCodeName,0)+1,MATCH("Conditions",SkillData_Header,0))))</f>
        <v>#N/A</v>
      </c>
      <c r="V64" s="45" t="str">
        <f aca="false">IFERROR(__xludf.dummyfunction("IFERROR(INDEX(SkillData,MATCH(Arrayformula(ARRAY_CONSTRAIN(FILTER(INDIRECT(""PalData!""&amp;ADDRESS(MATCH(B64,PalNames,0)+1,(MATCH(""Passive0a"",PalData_Header,0)))&amp;"":""&amp;ADDRESS(MATCH(B64,PalNames,0)+1,(MATCH(""Passive0a"",PalData_Header,0))+4)),LEN(INDIRECT"&amp;"(""PalData!""&amp;ADDRESS(MATCH(B64,PalNames,0)+1,(MATCH(""Passive0a"",PalData_Header,0)))&amp;"":""&amp;ADDRESS(MATCH(B64,PalNames,0)+1,(MATCH(""Passive0a"",PalData_Header,0))+4)))&gt;0),1,1)),SkillDataCodeName,0)+1,MATCH(""ValueType1"",SkillData_Header,0)))"),"")</f>
        <v/>
      </c>
      <c r="W64" s="45" t="n">
        <f aca="false">IFERROR(INDEX(SkillData,MATCH(INDEX(PalData,MATCH($B64,PalNames,0)+1,MATCH("Passive0a",PalData_Header,0)),SkillDataCodeName,0)+1,MATCH("EffectValue1",SkillData_Header,0)),)</f>
        <v>0</v>
      </c>
      <c r="X64" s="45" t="n">
        <f aca="false">IFERROR(INDEX(SkillData,MATCH(INDEX(PalData,MATCH($B64,PalNames,0)+1,MATCH("Passive1a",PalData_Header,0)),SkillDataCodeName,0)+1,MATCH("EffectValue1",SkillData_Header,0)),)</f>
        <v>0</v>
      </c>
      <c r="Y64" s="45" t="n">
        <f aca="false">IFERROR(INDEX(SkillData,MATCH(INDEX(PalData,MATCH($B64,PalNames,0)+1,MATCH("Passive2a",PalData_Header,0)),SkillDataCodeName,0)+1,MATCH("EffectValue1",SkillData_Header,0)),)</f>
        <v>0</v>
      </c>
      <c r="Z64" s="45" t="n">
        <f aca="false">IFERROR(INDEX(SkillData,MATCH(INDEX(PalData,MATCH($B64,PalNames,0)+1,MATCH("Passive3a",PalData_Header,0)),SkillDataCodeName,0)+1,MATCH("EffectValue1",SkillData_Header,0)),)</f>
        <v>0</v>
      </c>
      <c r="AA64" s="260" t="n">
        <f aca="false">IFERROR(INDEX(SkillData,MATCH(INDEX(PalData,MATCH($B64,PalNames,0)+1,MATCH("Passive4a",PalData_Header,0)),SkillDataCodeName,0)+1,MATCH("EffectValue1",SkillData_Header,0)),)</f>
        <v>0</v>
      </c>
      <c r="AB64" s="45" t="str">
        <f aca="false">IFERROR(__xludf.dummyfunction("IFERROR(INDEX(SkillData,MATCH(Arrayformula(ARRAY_CONSTRAIN(FILTER(INDIRECT(""PalData!""&amp;ADDRESS(MATCH(B64,PalNames,0)+1,(MATCH(""Passive0b"",PalData_Header,0)))&amp;"":""&amp;ADDRESS(MATCH(B64,PalNames,0)+1,(MATCH(""Passive0b"",PalData_Header,0))+4)),LEN(INDIRECT"&amp;"(""PalData!""&amp;ADDRESS(MATCH(B64,PalNames,0)+1,(MATCH(""Passive0b"",PalData_Header,0)))&amp;"":""&amp;ADDRESS(MATCH(B64,PalNames,0)+1,(MATCH(""Passive0b"",PalData_Header,0))+4)))&gt;0),1,1)),SkillDataCodeName,0)+1,MATCH(""EffectTypeCombined"",SkillData_Header,0)))"),"")</f>
        <v/>
      </c>
      <c r="AC64" s="45" t="str">
        <f aca="false">IFERROR(__xludf.dummyfunction("IFERROR(INDEX(SkillData,MATCH(Arrayformula(ARRAY_CONSTRAIN(FILTER(INDIRECT(""PalData!""&amp;ADDRESS(MATCH(B64,PalNames,0)+1,(MATCH(""Passive0b"",PalData_Header,0)))&amp;"":""&amp;ADDRESS(MATCH(B64,PalNames,0)+1,(MATCH(""Passive0b"",PalData_Header,0))+4)),LEN(INDIRECT"&amp;"(""PalData!""&amp;ADDRESS(MATCH(B64,PalNames,0)+1,(MATCH(""Passive0b"",PalData_Header,0)))&amp;"":""&amp;ADDRESS(MATCH(B64,PalNames,0)+1,(MATCH(""Passive0b"",PalData_Header,0))+4)))&gt;0),1,1)),SkillDataCodeName,0)+1,MATCH(""TargetType1"",SkillData_Header,0)))"),"")</f>
        <v/>
      </c>
      <c r="AD64" s="45" t="e">
        <f aca="false" t="array" ref="AD64:AD64">IF(INDEX(PalData,MATCH($B64,PalNames,0)+1,MATCH("Passive0bCondition",PalData_Header,0))=IFERROR(INDEX(SkillData,MATCH(INDEX(PalData,MATCH($B64,PalNames,0)+1,MATCH("Passive0b",PalData_Header,0)),SkillDataCodeName,0)+1,MATCH("Conditions",SkillData_Header,0))),INDEX(PalData,MATCH($B64,PalNames,0)+1,MATCH("Passive0bCondition",PalData_Header,0)),INDEX(PalData,MATCH($B64,PalNames,0)+1,MATCH("Passive0bCondition",PalData_Header,0)) &amp; IF(ISBLANK(INDEX(PalData,MATCH($B64,PalNames,0)+1,MATCH("Passive0bCondition",PalData_Header,0))),," ")&amp;IFERROR(INDEX(SkillData,MATCH(INDEX(PalData,MATCH($B64,PalNames,0)+1,MATCH("Passive0b",PalData_Header,0)),SkillDataCodeName,0)+1,MATCH("Conditions",SkillData_Header,0))))</f>
        <v>#N/A</v>
      </c>
      <c r="AE64" s="45" t="str">
        <f aca="false">IFERROR(__xludf.dummyfunction("IFERROR(INDEX(SkillData,MATCH(Arrayformula(ARRAY_CONSTRAIN(FILTER(INDIRECT(""PalData!""&amp;ADDRESS(MATCH(B64,PalNames,0)+1,(MATCH(""Passive0b"",PalData_Header,0)))&amp;"":""&amp;ADDRESS(MATCH(B64,PalNames,0)+1,(MATCH(""Passive0b"",PalData_Header,0))+4)),LEN(INDIRECT"&amp;"(""PalData!""&amp;ADDRESS(MATCH(B64,PalNames,0)+1,(MATCH(""Passive0b"",PalData_Header,0)))&amp;"":""&amp;ADDRESS(MATCH(B64,PalNames,0)+1,(MATCH(""Passive0b"",PalData_Header,0))+4)))&gt;0),1,1)),SkillDataCodeName,0)+1,MATCH(""ValueType1"",SkillData_Header,0)))"),"")</f>
        <v/>
      </c>
      <c r="AF64" s="45" t="n">
        <f aca="false">IFERROR(INDEX(SkillData,MATCH(INDEX(PalData,MATCH($B64,PalNames,0)+1,MATCH("Passive0b",PalData_Header,0)),SkillDataCodeName,0)+1,MATCH("EffectValue1",SkillData_Header,0)),)</f>
        <v>0</v>
      </c>
      <c r="AG64" s="45" t="n">
        <f aca="false">IFERROR(INDEX(SkillData,MATCH(INDEX(PalData,MATCH($B64,PalNames,0)+1,MATCH("Passive1b",PalData_Header,0)),SkillDataCodeName,0)+1,MATCH("EffectValue1",SkillData_Header,0)),)</f>
        <v>0</v>
      </c>
      <c r="AH64" s="45" t="n">
        <f aca="false">IFERROR(INDEX(SkillData,MATCH(INDEX(PalData,MATCH($B64,PalNames,0)+1,MATCH("Passive2b",PalData_Header,0)),SkillDataCodeName,0)+1,MATCH("EffectValue1",SkillData_Header,0)),)</f>
        <v>0</v>
      </c>
      <c r="AI64" s="45" t="n">
        <f aca="false">IFERROR(INDEX(SkillData,MATCH(INDEX(PalData,MATCH($B64,PalNames,0)+1,MATCH("Passive3b",PalData_Header,0)),SkillDataCodeName,0)+1,MATCH("EffectValue1",SkillData_Header,0)),)</f>
        <v>0</v>
      </c>
      <c r="AJ64" s="260" t="n">
        <f aca="false">IFERROR(INDEX(SkillData,MATCH(INDEX(PalData,MATCH($B64,PalNames,0)+1,MATCH("Passive4b",PalData_Header,0)),SkillDataCodeName,0)+1,MATCH("EffectValue1",SkillData_Header,0)),)</f>
        <v>0</v>
      </c>
      <c r="AK64" s="301" t="s">
        <v>328</v>
      </c>
    </row>
    <row r="65" customFormat="false" ht="15.75" hidden="false" customHeight="false" outlineLevel="0" collapsed="false">
      <c r="A65" s="302" t="n">
        <v>52</v>
      </c>
      <c r="B65" s="303" t="s">
        <v>67</v>
      </c>
      <c r="C65" s="48" t="str">
        <f aca="false" t="array" ref="C65:C65">IF(ISBLANK(INDEX(PalData,MATCH($B65,PalNames,0)+1,MATCH("ActiveSkill",PalData_Header,0))),INDEX(PalData,MATCH($B65,PalNames,0)+1,MATCH("SkillUnlock_",PalData_Header,0)),INDEX(PalData,MATCH($B65,PalNames,0)+1,MATCH("ActiveSkill",PalData_Header,0)))</f>
        <v>Saddle</v>
      </c>
      <c r="D65" s="48"/>
      <c r="E65" s="48" t="n">
        <f aca="false">INDEX(PalData,MATCH($B65,PalNames,0)+1,MATCH("ActiveSkillBonus0",PalData_Header,0))</f>
        <v>0</v>
      </c>
      <c r="F65" s="48" t="n">
        <f aca="false">INDEX(PalData,MATCH($B65,PalNames,0)+1,MATCH("ActiveSkillBonus1",PalData_Header,0))</f>
        <v>0</v>
      </c>
      <c r="G65" s="48" t="n">
        <f aca="false">INDEX(PalData,MATCH($B65,PalNames,0)+1,MATCH("ActiveSkillBonus2",PalData_Header,0))</f>
        <v>0</v>
      </c>
      <c r="H65" s="48" t="n">
        <f aca="false">INDEX(PalData,MATCH($B65,PalNames,0)+1,MATCH("ActiveSkillBonus3",PalData_Header,0))</f>
        <v>0</v>
      </c>
      <c r="I65" s="263" t="n">
        <f aca="false">INDEX(PalData,MATCH($B65,PalNames,0)+1,MATCH("ActiveSkillBonus4",PalData_Header,0))</f>
        <v>0</v>
      </c>
      <c r="J65" s="48" t="str">
        <f aca="false">IFERROR(__xludf.dummyfunction("IFERROR(INDEX(SkillData,MATCH(Arrayformula(ARRAY_CONSTRAIN(FILTER(INDIRECT(""PalData!""&amp;ADDRESS(MATCH(B65,PalNames,0)+1,(MATCH(""Passive0c"",PalData_Header,0)))&amp;"":""&amp;ADDRESS(MATCH(B65,PalNames,0)+1,(MATCH(""Passive0c"",PalData_Header,0))+4)),LEN(INDIRECT"&amp;"(""PalData!""&amp;ADDRESS(MATCH(B65,PalNames,0)+1,(MATCH(""Passive0c"",PalData_Header,0)))&amp;"":""&amp;ADDRESS(MATCH(B65,PalNames,0)+1,(MATCH(""Passive0c"",PalData_Header,0))+4)))&gt;0),1,1)),SkillDataCodeName,0)+1,MATCH(""EffectTypeCombined"",SkillData_Header,0)))"),"ElementBoost_Normal")</f>
        <v>ElementBoost_Normal</v>
      </c>
      <c r="K65" s="48" t="str">
        <f aca="false">IFERROR(__xludf.dummyfunction("IFERROR(INDEX(SkillData,MATCH(Arrayformula(ARRAY_CONSTRAIN(FILTER(INDIRECT(""PalData!""&amp;ADDRESS(MATCH(B65,PalNames,0)+1,(MATCH(""Passive0c"",PalData_Header,0)))&amp;"":""&amp;ADDRESS(MATCH(B65,PalNames,0)+1,(MATCH(""Passive0c"",PalData_Header,0))+4)),LEN(INDIRECT"&amp;"(""PalData!""&amp;ADDRESS(MATCH(B65,PalNames,0)+1,(MATCH(""Passive0c"",PalData_Header,0)))&amp;"":""&amp;ADDRESS(MATCH(B65,PalNames,0)+1,(MATCH(""Passive0c"",PalData_Header,0))+4)))&gt;0),1,1)),SkillDataCodeName,0)+1,MATCH(""TargetType1"",SkillData_Header,0)))"),"SelfAndTrainer")</f>
        <v>SelfAndTrainer</v>
      </c>
      <c r="L65" s="48" t="e">
        <f aca="false" t="array" ref="L65:L65">IF(INDEX(PalData,MATCH($B65,PalNames,0)+1,MATCH("Passive0cCondition",PalData_Header,0))=IFERROR(INDEX(SkillData,MATCH(INDEX(PalData,MATCH($B65,PalNames,0)+1,MATCH("Passive0c",PalData_Header,0)),SkillDataCodeName,0)+1,MATCH("Conditions",SkillData_Header,0))),INDEX(PalData,MATCH($B65,PalNames,0)+1,MATCH("Passive0cCondition",PalData_Header,0)),INDEX(PalData,MATCH($B65,PalNames,0)+1,MATCH("Passive0cCondition",PalData_Header,0)) &amp; IF(ISBLANK(INDEX(PalData,MATCH($B65,PalNames,0)+1,MATCH("Passive0cCondition",PalData_Header,0))),," ")&amp;IFERROR(INDEX(SkillData,MATCH(INDEX(PalData,MATCH($B65,PalNames,0)+1,MATCH("Passive0c",PalData_Header,0)),SkillDataCodeName,0)+1,MATCH("Conditions",SkillData_Header,0))))</f>
        <v>#VALUE!</v>
      </c>
      <c r="M65" s="48" t="str">
        <f aca="false">IFERROR(__xludf.dummyfunction("IFERROR(INDEX(SkillData,MATCH(Arrayformula(ARRAY_CONSTRAIN(FILTER(INDIRECT(""PalData!""&amp;ADDRESS(MATCH(B65,PalNames,0)+1,(MATCH(""Passive0c"",PalData_Header,0)))&amp;"":""&amp;ADDRESS(MATCH(B65,PalNames,0)+1,(MATCH(""Passive0c"",PalData_Header,0))+4)),LEN(INDIRECT"&amp;"(""PalData!""&amp;ADDRESS(MATCH(B65,PalNames,0)+1,(MATCH(""Passive0c"",PalData_Header,0)))&amp;"":""&amp;ADDRESS(MATCH(B65,PalNames,0)+1,(MATCH(""Passive0c"",PalData_Header,0))+4)))&gt;0),1,1)),SkillDataCodeName,0)+1,MATCH(""ValueType1"",SkillData_Header,0)))"),"%")</f>
        <v>%</v>
      </c>
      <c r="N65" s="61" t="e">
        <f aca="false" t="array" ref="N65:N65">IFERROR(INDEX(SkillData,MATCH(INDEX(PalData,MATCH($B65,PalNames,0)+1,MATCH("Passive0c",PalData_Header,0)),SkillDataCodeName,0)+1,MATCH("EffectValue1",SkillData_Header,0)))</f>
        <v>#VALUE!</v>
      </c>
      <c r="O65" s="61" t="e">
        <f aca="false" t="array" ref="O65:O65">IFERROR(INDEX(SkillData,MATCH(INDEX(PalData,MATCH($B65,PalNames,0)+1,MATCH("Passive1c",PalData_Header,0)),SkillDataCodeName,0)+1,MATCH("EffectValue1",SkillData_Header,0)))</f>
        <v>#VALUE!</v>
      </c>
      <c r="P65" s="61" t="e">
        <f aca="false" t="array" ref="P65:P65">IFERROR(INDEX(SkillData,MATCH(INDEX(PalData,MATCH($B65,PalNames,0)+1,MATCH("Passive2c",PalData_Header,0)),SkillDataCodeName,0)+1,MATCH("EffectValue1",SkillData_Header,0)))</f>
        <v>#VALUE!</v>
      </c>
      <c r="Q65" s="61" t="e">
        <f aca="false" t="array" ref="Q65:Q65">IFERROR(INDEX(SkillData,MATCH(INDEX(PalData,MATCH($B65,PalNames,0)+1,MATCH("Passive3c",PalData_Header,0)),SkillDataCodeName,0)+1,MATCH("EffectValue1",SkillData_Header,0)))</f>
        <v>#VALUE!</v>
      </c>
      <c r="R65" s="304" t="e">
        <f aca="false" t="array" ref="R65:R65">IFERROR(INDEX(SkillData,MATCH(INDEX(PalData,MATCH($B65,PalNames,0)+1,MATCH("Passive4c",PalData_Header,0)),SkillDataCodeName,0)+1,MATCH("EffectValue1",SkillData_Header,0)))</f>
        <v>#VALUE!</v>
      </c>
      <c r="S65" s="48" t="str">
        <f aca="false">IFERROR(__xludf.dummyfunction("IFERROR(INDEX(SkillData,MATCH(Arrayformula(ARRAY_CONSTRAIN(FILTER(INDIRECT(""PalData!""&amp;ADDRESS(MATCH(B65,PalNames,0)+1,(MATCH(""Passive0a"",PalData_Header,0)))&amp;"":""&amp;ADDRESS(MATCH(B65,PalNames,0)+1,(MATCH(""Passive0a"",PalData_Header,0))+4)),LEN(INDIRECT"&amp;"(""PalData!""&amp;ADDRESS(MATCH(B65,PalNames,0)+1,(MATCH(""Passive0a"",PalData_Header,0)))&amp;"":""&amp;ADDRESS(MATCH(B65,PalNames,0)+1,(MATCH(""Passive0a"",PalData_Header,0))+4)))&gt;0),1,1)),SkillDataCodeName,0)+1,MATCH(""EffectTypeCombined"",SkillData_Header,0)))"),"")</f>
        <v/>
      </c>
      <c r="T65" s="48" t="str">
        <f aca="false">IFERROR(__xludf.dummyfunction("IFERROR(INDEX(SkillData,MATCH(Arrayformula(ARRAY_CONSTRAIN(FILTER(INDIRECT(""PalData!""&amp;ADDRESS(MATCH(B65,PalNames,0)+1,(MATCH(""Passive0a"",PalData_Header,0)))&amp;"":""&amp;ADDRESS(MATCH(B65,PalNames,0)+1,(MATCH(""Passive0a"",PalData_Header,0))+4)),LEN(INDIRECT"&amp;"(""PalData!""&amp;ADDRESS(MATCH(B65,PalNames,0)+1,(MATCH(""Passive0a"",PalData_Header,0)))&amp;"":""&amp;ADDRESS(MATCH(B65,PalNames,0)+1,(MATCH(""Passive0a"",PalData_Header,0))+4)))&gt;0),1,1)),SkillDataCodeName,0)+1,MATCH(""TargetType1"",SkillData_Header,0)))"),"")</f>
        <v/>
      </c>
      <c r="U65" s="48" t="e">
        <f aca="false" t="array" ref="U65:U65">IF(INDEX(PalData,MATCH($B65,PalNames,0)+1,MATCH("Passive0aCondition",PalData_Header,0))=IFERROR(INDEX(SkillData,MATCH(INDEX(PalData,MATCH($B65,PalNames,0)+1,MATCH("Passive0a",PalData_Header,0)),SkillDataCodeName,0)+1,MATCH("Conditions",SkillData_Header,0))),INDEX(PalData,MATCH($B65,PalNames,0)+1,MATCH("Passive0aCondition",PalData_Header,0)),INDEX(PalData,MATCH($B65,PalNames,0)+1,MATCH("Passive0aCondition",PalData_Header,0)) &amp; IF(ISBLANK(INDEX(PalData,MATCH($B65,PalNames,0)+1,MATCH("Passive0aCondition",PalData_Header,0))),," ")&amp;IFERROR(INDEX(SkillData,MATCH(INDEX(PalData,MATCH($B65,PalNames,0)+1,MATCH("Passive0a",PalData_Header,0)),SkillDataCodeName,0)+1,MATCH("Conditions",SkillData_Header,0))))</f>
        <v>#N/A</v>
      </c>
      <c r="V65" s="48" t="str">
        <f aca="false">IFERROR(__xludf.dummyfunction("IFERROR(INDEX(SkillData,MATCH(Arrayformula(ARRAY_CONSTRAIN(FILTER(INDIRECT(""PalData!""&amp;ADDRESS(MATCH(B65,PalNames,0)+1,(MATCH(""Passive0a"",PalData_Header,0)))&amp;"":""&amp;ADDRESS(MATCH(B65,PalNames,0)+1,(MATCH(""Passive0a"",PalData_Header,0))+4)),LEN(INDIRECT"&amp;"(""PalData!""&amp;ADDRESS(MATCH(B65,PalNames,0)+1,(MATCH(""Passive0a"",PalData_Header,0)))&amp;"":""&amp;ADDRESS(MATCH(B65,PalNames,0)+1,(MATCH(""Passive0a"",PalData_Header,0))+4)))&gt;0),1,1)),SkillDataCodeName,0)+1,MATCH(""ValueType1"",SkillData_Header,0)))"),"")</f>
        <v/>
      </c>
      <c r="W65" s="48" t="n">
        <f aca="false">IFERROR(INDEX(SkillData,MATCH(INDEX(PalData,MATCH($B65,PalNames,0)+1,MATCH("Passive0a",PalData_Header,0)),SkillDataCodeName,0)+1,MATCH("EffectValue1",SkillData_Header,0)),)</f>
        <v>0</v>
      </c>
      <c r="X65" s="48" t="n">
        <f aca="false">IFERROR(INDEX(SkillData,MATCH(INDEX(PalData,MATCH($B65,PalNames,0)+1,MATCH("Passive1a",PalData_Header,0)),SkillDataCodeName,0)+1,MATCH("EffectValue1",SkillData_Header,0)),)</f>
        <v>0</v>
      </c>
      <c r="Y65" s="48" t="n">
        <f aca="false">IFERROR(INDEX(SkillData,MATCH(INDEX(PalData,MATCH($B65,PalNames,0)+1,MATCH("Passive2a",PalData_Header,0)),SkillDataCodeName,0)+1,MATCH("EffectValue1",SkillData_Header,0)),)</f>
        <v>0</v>
      </c>
      <c r="Z65" s="48" t="n">
        <f aca="false">IFERROR(INDEX(SkillData,MATCH(INDEX(PalData,MATCH($B65,PalNames,0)+1,MATCH("Passive3a",PalData_Header,0)),SkillDataCodeName,0)+1,MATCH("EffectValue1",SkillData_Header,0)),)</f>
        <v>0</v>
      </c>
      <c r="AA65" s="263" t="n">
        <f aca="false">IFERROR(INDEX(SkillData,MATCH(INDEX(PalData,MATCH($B65,PalNames,0)+1,MATCH("Passive4a",PalData_Header,0)),SkillDataCodeName,0)+1,MATCH("EffectValue1",SkillData_Header,0)),)</f>
        <v>0</v>
      </c>
      <c r="AB65" s="48" t="str">
        <f aca="false">IFERROR(__xludf.dummyfunction("IFERROR(INDEX(SkillData,MATCH(Arrayformula(ARRAY_CONSTRAIN(FILTER(INDIRECT(""PalData!""&amp;ADDRESS(MATCH(B65,PalNames,0)+1,(MATCH(""Passive0b"",PalData_Header,0)))&amp;"":""&amp;ADDRESS(MATCH(B65,PalNames,0)+1,(MATCH(""Passive0b"",PalData_Header,0))+4)),LEN(INDIRECT"&amp;"(""PalData!""&amp;ADDRESS(MATCH(B65,PalNames,0)+1,(MATCH(""Passive0b"",PalData_Header,0)))&amp;"":""&amp;ADDRESS(MATCH(B65,PalNames,0)+1,(MATCH(""Passive0b"",PalData_Header,0))+4)))&gt;0),1,1)),SkillDataCodeName,0)+1,MATCH(""EffectTypeCombined"",SkillData_Header,0)))"),"")</f>
        <v/>
      </c>
      <c r="AC65" s="48" t="str">
        <f aca="false">IFERROR(__xludf.dummyfunction("IFERROR(INDEX(SkillData,MATCH(Arrayformula(ARRAY_CONSTRAIN(FILTER(INDIRECT(""PalData!""&amp;ADDRESS(MATCH(B65,PalNames,0)+1,(MATCH(""Passive0b"",PalData_Header,0)))&amp;"":""&amp;ADDRESS(MATCH(B65,PalNames,0)+1,(MATCH(""Passive0b"",PalData_Header,0))+4)),LEN(INDIRECT"&amp;"(""PalData!""&amp;ADDRESS(MATCH(B65,PalNames,0)+1,(MATCH(""Passive0b"",PalData_Header,0)))&amp;"":""&amp;ADDRESS(MATCH(B65,PalNames,0)+1,(MATCH(""Passive0b"",PalData_Header,0))+4)))&gt;0),1,1)),SkillDataCodeName,0)+1,MATCH(""TargetType1"",SkillData_Header,0)))"),"")</f>
        <v/>
      </c>
      <c r="AD65" s="48" t="e">
        <f aca="false" t="array" ref="AD65:AD65">IF(INDEX(PalData,MATCH($B65,PalNames,0)+1,MATCH("Passive0bCondition",PalData_Header,0))=IFERROR(INDEX(SkillData,MATCH(INDEX(PalData,MATCH($B65,PalNames,0)+1,MATCH("Passive0b",PalData_Header,0)),SkillDataCodeName,0)+1,MATCH("Conditions",SkillData_Header,0))),INDEX(PalData,MATCH($B65,PalNames,0)+1,MATCH("Passive0bCondition",PalData_Header,0)),INDEX(PalData,MATCH($B65,PalNames,0)+1,MATCH("Passive0bCondition",PalData_Header,0)) &amp; IF(ISBLANK(INDEX(PalData,MATCH($B65,PalNames,0)+1,MATCH("Passive0bCondition",PalData_Header,0))),," ")&amp;IFERROR(INDEX(SkillData,MATCH(INDEX(PalData,MATCH($B65,PalNames,0)+1,MATCH("Passive0b",PalData_Header,0)),SkillDataCodeName,0)+1,MATCH("Conditions",SkillData_Header,0))))</f>
        <v>#N/A</v>
      </c>
      <c r="AE65" s="48" t="str">
        <f aca="false">IFERROR(__xludf.dummyfunction("IFERROR(INDEX(SkillData,MATCH(Arrayformula(ARRAY_CONSTRAIN(FILTER(INDIRECT(""PalData!""&amp;ADDRESS(MATCH(B65,PalNames,0)+1,(MATCH(""Passive0b"",PalData_Header,0)))&amp;"":""&amp;ADDRESS(MATCH(B65,PalNames,0)+1,(MATCH(""Passive0b"",PalData_Header,0))+4)),LEN(INDIRECT"&amp;"(""PalData!""&amp;ADDRESS(MATCH(B65,PalNames,0)+1,(MATCH(""Passive0b"",PalData_Header,0)))&amp;"":""&amp;ADDRESS(MATCH(B65,PalNames,0)+1,(MATCH(""Passive0b"",PalData_Header,0))+4)))&gt;0),1,1)),SkillDataCodeName,0)+1,MATCH(""ValueType1"",SkillData_Header,0)))"),"")</f>
        <v/>
      </c>
      <c r="AF65" s="48" t="n">
        <f aca="false">IFERROR(INDEX(SkillData,MATCH(INDEX(PalData,MATCH($B65,PalNames,0)+1,MATCH("Passive0b",PalData_Header,0)),SkillDataCodeName,0)+1,MATCH("EffectValue1",SkillData_Header,0)),)</f>
        <v>0</v>
      </c>
      <c r="AG65" s="48" t="n">
        <f aca="false">IFERROR(INDEX(SkillData,MATCH(INDEX(PalData,MATCH($B65,PalNames,0)+1,MATCH("Passive1b",PalData_Header,0)),SkillDataCodeName,0)+1,MATCH("EffectValue1",SkillData_Header,0)),)</f>
        <v>0</v>
      </c>
      <c r="AH65" s="48" t="n">
        <f aca="false">IFERROR(INDEX(SkillData,MATCH(INDEX(PalData,MATCH($B65,PalNames,0)+1,MATCH("Passive2b",PalData_Header,0)),SkillDataCodeName,0)+1,MATCH("EffectValue1",SkillData_Header,0)),)</f>
        <v>0</v>
      </c>
      <c r="AI65" s="48" t="n">
        <f aca="false">IFERROR(INDEX(SkillData,MATCH(INDEX(PalData,MATCH($B65,PalNames,0)+1,MATCH("Passive3b",PalData_Header,0)),SkillDataCodeName,0)+1,MATCH("EffectValue1",SkillData_Header,0)),)</f>
        <v>0</v>
      </c>
      <c r="AJ65" s="263" t="n">
        <f aca="false">IFERROR(INDEX(SkillData,MATCH(INDEX(PalData,MATCH($B65,PalNames,0)+1,MATCH("Passive4b",PalData_Header,0)),SkillDataCodeName,0)+1,MATCH("EffectValue1",SkillData_Header,0)),)</f>
        <v>0</v>
      </c>
      <c r="AK65" s="305" t="s">
        <v>329</v>
      </c>
    </row>
    <row r="66" customFormat="false" ht="15.75" hidden="false" customHeight="false" outlineLevel="0" collapsed="false">
      <c r="A66" s="299" t="n">
        <v>53</v>
      </c>
      <c r="B66" s="300" t="s">
        <v>137</v>
      </c>
      <c r="C66" s="45" t="n">
        <f aca="false">IF(ISBLANK(INDEX(PalData,MATCH($B66,PalNames,0)+1,MATCH("ActiveSkill",PalData_Header,0))),INDEX(PalData,MATCH($B66,PalNames,0)+1,MATCH("SkillUnlock_",PalData_Header,0)),INDEX(PalData,MATCH($B66,PalNames,0)+1,MATCH("ActiveSkill",PalData_Header,0)))</f>
        <v>0</v>
      </c>
      <c r="D66" s="45"/>
      <c r="E66" s="45" t="n">
        <f aca="false">INDEX(PalData,MATCH($B66,PalNames,0)+1,MATCH("ActiveSkillBonus0",PalData_Header,0))</f>
        <v>0</v>
      </c>
      <c r="F66" s="45" t="n">
        <f aca="false">INDEX(PalData,MATCH($B66,PalNames,0)+1,MATCH("ActiveSkillBonus1",PalData_Header,0))</f>
        <v>0</v>
      </c>
      <c r="G66" s="45" t="n">
        <f aca="false">INDEX(PalData,MATCH($B66,PalNames,0)+1,MATCH("ActiveSkillBonus2",PalData_Header,0))</f>
        <v>0</v>
      </c>
      <c r="H66" s="45" t="n">
        <f aca="false">INDEX(PalData,MATCH($B66,PalNames,0)+1,MATCH("ActiveSkillBonus3",PalData_Header,0))</f>
        <v>0</v>
      </c>
      <c r="I66" s="260" t="n">
        <f aca="false">INDEX(PalData,MATCH($B66,PalNames,0)+1,MATCH("ActiveSkillBonus4",PalData_Header,0))</f>
        <v>0</v>
      </c>
      <c r="J66" s="45" t="str">
        <f aca="false">IFERROR(__xludf.dummyfunction("IFERROR(INDEX(SkillData,MATCH(Arrayformula(ARRAY_CONSTRAIN(FILTER(INDIRECT(""PalData!""&amp;ADDRESS(MATCH(B66,PalNames,0)+1,(MATCH(""Passive0c"",PalData_Header,0)))&amp;"":""&amp;ADDRESS(MATCH(B66,PalNames,0)+1,(MATCH(""Passive0c"",PalData_Header,0))+4)),LEN(INDIRECT"&amp;"(""PalData!""&amp;ADDRESS(MATCH(B66,PalNames,0)+1,(MATCH(""Passive0c"",PalData_Header,0)))&amp;"":""&amp;ADDRESS(MATCH(B66,PalNames,0)+1,(MATCH(""Passive0c"",PalData_Header,0))+4)))&gt;0),1,1)),SkillDataCodeName,0)+1,MATCH(""EffectTypeCombined"",SkillData_Header,0)))"),"ShotAttack. Defense")</f>
        <v>ShotAttack. Defense</v>
      </c>
      <c r="K66" s="45" t="str">
        <f aca="false">IFERROR(__xludf.dummyfunction("IFERROR(INDEX(SkillData,MATCH(Arrayformula(ARRAY_CONSTRAIN(FILTER(INDIRECT(""PalData!""&amp;ADDRESS(MATCH(B66,PalNames,0)+1,(MATCH(""Passive0c"",PalData_Header,0)))&amp;"":""&amp;ADDRESS(MATCH(B66,PalNames,0)+1,(MATCH(""Passive0c"",PalData_Header,0))+4)),LEN(INDIRECT"&amp;"(""PalData!""&amp;ADDRESS(MATCH(B66,PalNames,0)+1,(MATCH(""Passive0c"",PalData_Header,0)))&amp;"":""&amp;ADDRESS(MATCH(B66,PalNames,0)+1,(MATCH(""Passive0c"",PalData_Header,0))+4)))&gt;0),1,1)),SkillDataCodeName,0)+1,MATCH(""TargetType1"",SkillData_Header,0)))"),"Self")</f>
        <v>Self</v>
      </c>
      <c r="L66" s="45" t="e">
        <f aca="false" t="array" ref="L66:L66">IF(INDEX(PalData,MATCH($B66,PalNames,0)+1,MATCH("Passive0cCondition",PalData_Header,0))=IFERROR(INDEX(SkillData,MATCH(INDEX(PalData,MATCH($B66,PalNames,0)+1,MATCH("Passive0c",PalData_Header,0)),SkillDataCodeName,0)+1,MATCH("Conditions",SkillData_Header,0))),INDEX(PalData,MATCH($B66,PalNames,0)+1,MATCH("Passive0cCondition",PalData_Header,0)),INDEX(PalData,MATCH($B66,PalNames,0)+1,MATCH("Passive0cCondition",PalData_Header,0)) &amp; IF(ISBLANK(INDEX(PalData,MATCH($B66,PalNames,0)+1,MATCH("Passive0cCondition",PalData_Header,0))),," ")&amp;IFERROR(INDEX(SkillData,MATCH(INDEX(PalData,MATCH($B66,PalNames,0)+1,MATCH("Passive0c",PalData_Header,0)),SkillDataCodeName,0)+1,MATCH("Conditions",SkillData_Header,0))))</f>
        <v>#VALUE!</v>
      </c>
      <c r="M66" s="45" t="str">
        <f aca="false">IFERROR(__xludf.dummyfunction("IFERROR(INDEX(SkillData,MATCH(Arrayformula(ARRAY_CONSTRAIN(FILTER(INDIRECT(""PalData!""&amp;ADDRESS(MATCH(B66,PalNames,0)+1,(MATCH(""Passive0c"",PalData_Header,0)))&amp;"":""&amp;ADDRESS(MATCH(B66,PalNames,0)+1,(MATCH(""Passive0c"",PalData_Header,0))+4)),LEN(INDIRECT"&amp;"(""PalData!""&amp;ADDRESS(MATCH(B66,PalNames,0)+1,(MATCH(""Passive0c"",PalData_Header,0)))&amp;"":""&amp;ADDRESS(MATCH(B66,PalNames,0)+1,(MATCH(""Passive0c"",PalData_Header,0))+4)))&gt;0),1,1)),SkillDataCodeName,0)+1,MATCH(""ValueType1"",SkillData_Header,0)))"),"%")</f>
        <v>%</v>
      </c>
      <c r="N66" s="62" t="e">
        <f aca="false" t="array" ref="N66:N66">IFERROR(INDEX(SkillData,MATCH(INDEX(PalData,MATCH($B66,PalNames,0)+1,MATCH("Passive0c",PalData_Header,0)),SkillDataCodeName,0)+1,MATCH("EffectValue1",SkillData_Header,0)))</f>
        <v>#VALUE!</v>
      </c>
      <c r="O66" s="62" t="e">
        <f aca="false" t="array" ref="O66:O66">IFERROR(INDEX(SkillData,MATCH(INDEX(PalData,MATCH($B66,PalNames,0)+1,MATCH("Passive1c",PalData_Header,0)),SkillDataCodeName,0)+1,MATCH("EffectValue1",SkillData_Header,0)))</f>
        <v>#VALUE!</v>
      </c>
      <c r="P66" s="62" t="e">
        <f aca="false" t="array" ref="P66:P66">IFERROR(INDEX(SkillData,MATCH(INDEX(PalData,MATCH($B66,PalNames,0)+1,MATCH("Passive2c",PalData_Header,0)),SkillDataCodeName,0)+1,MATCH("EffectValue1",SkillData_Header,0)))</f>
        <v>#VALUE!</v>
      </c>
      <c r="Q66" s="62" t="e">
        <f aca="false" t="array" ref="Q66:Q66">IFERROR(INDEX(SkillData,MATCH(INDEX(PalData,MATCH($B66,PalNames,0)+1,MATCH("Passive3c",PalData_Header,0)),SkillDataCodeName,0)+1,MATCH("EffectValue1",SkillData_Header,0)))</f>
        <v>#VALUE!</v>
      </c>
      <c r="R66" s="306" t="e">
        <f aca="false" t="array" ref="R66:R66">IFERROR(INDEX(SkillData,MATCH(INDEX(PalData,MATCH($B66,PalNames,0)+1,MATCH("Passive4c",PalData_Header,0)),SkillDataCodeName,0)+1,MATCH("EffectValue1",SkillData_Header,0)))</f>
        <v>#VALUE!</v>
      </c>
      <c r="S66" s="45" t="str">
        <f aca="false">IFERROR(__xludf.dummyfunction("IFERROR(INDEX(SkillData,MATCH(Arrayformula(ARRAY_CONSTRAIN(FILTER(INDIRECT(""PalData!""&amp;ADDRESS(MATCH(B66,PalNames,0)+1,(MATCH(""Passive0a"",PalData_Header,0)))&amp;"":""&amp;ADDRESS(MATCH(B66,PalNames,0)+1,(MATCH(""Passive0a"",PalData_Header,0))+4)),LEN(INDIRECT"&amp;"(""PalData!""&amp;ADDRESS(MATCH(B66,PalNames,0)+1,(MATCH(""Passive0a"",PalData_Header,0)))&amp;"":""&amp;ADDRESS(MATCH(B66,PalNames,0)+1,(MATCH(""Passive0a"",PalData_Header,0))+4)))&gt;0),1,1)),SkillDataCodeName,0)+1,MATCH(""EffectTypeCombined"",SkillData_Header,0)))"),"")</f>
        <v/>
      </c>
      <c r="T66" s="45" t="str">
        <f aca="false">IFERROR(__xludf.dummyfunction("IFERROR(INDEX(SkillData,MATCH(Arrayformula(ARRAY_CONSTRAIN(FILTER(INDIRECT(""PalData!""&amp;ADDRESS(MATCH(B66,PalNames,0)+1,(MATCH(""Passive0a"",PalData_Header,0)))&amp;"":""&amp;ADDRESS(MATCH(B66,PalNames,0)+1,(MATCH(""Passive0a"",PalData_Header,0))+4)),LEN(INDIRECT"&amp;"(""PalData!""&amp;ADDRESS(MATCH(B66,PalNames,0)+1,(MATCH(""Passive0a"",PalData_Header,0)))&amp;"":""&amp;ADDRESS(MATCH(B66,PalNames,0)+1,(MATCH(""Passive0a"",PalData_Header,0))+4)))&gt;0),1,1)),SkillDataCodeName,0)+1,MATCH(""TargetType1"",SkillData_Header,0)))"),"")</f>
        <v/>
      </c>
      <c r="U66" s="45" t="e">
        <f aca="false" t="array" ref="U66:U66">IF(INDEX(PalData,MATCH($B66,PalNames,0)+1,MATCH("Passive0aCondition",PalData_Header,0))=IFERROR(INDEX(SkillData,MATCH(INDEX(PalData,MATCH($B66,PalNames,0)+1,MATCH("Passive0a",PalData_Header,0)),SkillDataCodeName,0)+1,MATCH("Conditions",SkillData_Header,0))),INDEX(PalData,MATCH($B66,PalNames,0)+1,MATCH("Passive0aCondition",PalData_Header,0)),INDEX(PalData,MATCH($B66,PalNames,0)+1,MATCH("Passive0aCondition",PalData_Header,0)) &amp; IF(ISBLANK(INDEX(PalData,MATCH($B66,PalNames,0)+1,MATCH("Passive0aCondition",PalData_Header,0))),," ")&amp;IFERROR(INDEX(SkillData,MATCH(INDEX(PalData,MATCH($B66,PalNames,0)+1,MATCH("Passive0a",PalData_Header,0)),SkillDataCodeName,0)+1,MATCH("Conditions",SkillData_Header,0))))</f>
        <v>#N/A</v>
      </c>
      <c r="V66" s="45" t="str">
        <f aca="false">IFERROR(__xludf.dummyfunction("IFERROR(INDEX(SkillData,MATCH(Arrayformula(ARRAY_CONSTRAIN(FILTER(INDIRECT(""PalData!""&amp;ADDRESS(MATCH(B66,PalNames,0)+1,(MATCH(""Passive0a"",PalData_Header,0)))&amp;"":""&amp;ADDRESS(MATCH(B66,PalNames,0)+1,(MATCH(""Passive0a"",PalData_Header,0))+4)),LEN(INDIRECT"&amp;"(""PalData!""&amp;ADDRESS(MATCH(B66,PalNames,0)+1,(MATCH(""Passive0a"",PalData_Header,0)))&amp;"":""&amp;ADDRESS(MATCH(B66,PalNames,0)+1,(MATCH(""Passive0a"",PalData_Header,0))+4)))&gt;0),1,1)),SkillDataCodeName,0)+1,MATCH(""ValueType1"",SkillData_Header,0)))"),"")</f>
        <v/>
      </c>
      <c r="W66" s="45" t="n">
        <f aca="false">IFERROR(INDEX(SkillData,MATCH(INDEX(PalData,MATCH($B66,PalNames,0)+1,MATCH("Passive0a",PalData_Header,0)),SkillDataCodeName,0)+1,MATCH("EffectValue1",SkillData_Header,0)),)</f>
        <v>0</v>
      </c>
      <c r="X66" s="45" t="n">
        <f aca="false">IFERROR(INDEX(SkillData,MATCH(INDEX(PalData,MATCH($B66,PalNames,0)+1,MATCH("Passive1a",PalData_Header,0)),SkillDataCodeName,0)+1,MATCH("EffectValue1",SkillData_Header,0)),)</f>
        <v>0</v>
      </c>
      <c r="Y66" s="45" t="n">
        <f aca="false">IFERROR(INDEX(SkillData,MATCH(INDEX(PalData,MATCH($B66,PalNames,0)+1,MATCH("Passive2a",PalData_Header,0)),SkillDataCodeName,0)+1,MATCH("EffectValue1",SkillData_Header,0)),)</f>
        <v>0</v>
      </c>
      <c r="Z66" s="45" t="n">
        <f aca="false">IFERROR(INDEX(SkillData,MATCH(INDEX(PalData,MATCH($B66,PalNames,0)+1,MATCH("Passive3a",PalData_Header,0)),SkillDataCodeName,0)+1,MATCH("EffectValue1",SkillData_Header,0)),)</f>
        <v>0</v>
      </c>
      <c r="AA66" s="260" t="n">
        <f aca="false">IFERROR(INDEX(SkillData,MATCH(INDEX(PalData,MATCH($B66,PalNames,0)+1,MATCH("Passive4a",PalData_Header,0)),SkillDataCodeName,0)+1,MATCH("EffectValue1",SkillData_Header,0)),)</f>
        <v>0</v>
      </c>
      <c r="AB66" s="45" t="str">
        <f aca="false">IFERROR(__xludf.dummyfunction("IFERROR(INDEX(SkillData,MATCH(Arrayformula(ARRAY_CONSTRAIN(FILTER(INDIRECT(""PalData!""&amp;ADDRESS(MATCH(B66,PalNames,0)+1,(MATCH(""Passive0b"",PalData_Header,0)))&amp;"":""&amp;ADDRESS(MATCH(B66,PalNames,0)+1,(MATCH(""Passive0b"",PalData_Header,0))+4)),LEN(INDIRECT"&amp;"(""PalData!""&amp;ADDRESS(MATCH(B66,PalNames,0)+1,(MATCH(""Passive0b"",PalData_Header,0)))&amp;"":""&amp;ADDRESS(MATCH(B66,PalNames,0)+1,(MATCH(""Passive0b"",PalData_Header,0))+4)))&gt;0),1,1)),SkillDataCodeName,0)+1,MATCH(""EffectTypeCombined"",SkillData_Header,0)))"),"")</f>
        <v/>
      </c>
      <c r="AC66" s="45" t="str">
        <f aca="false">IFERROR(__xludf.dummyfunction("IFERROR(INDEX(SkillData,MATCH(Arrayformula(ARRAY_CONSTRAIN(FILTER(INDIRECT(""PalData!""&amp;ADDRESS(MATCH(B66,PalNames,0)+1,(MATCH(""Passive0b"",PalData_Header,0)))&amp;"":""&amp;ADDRESS(MATCH(B66,PalNames,0)+1,(MATCH(""Passive0b"",PalData_Header,0))+4)),LEN(INDIRECT"&amp;"(""PalData!""&amp;ADDRESS(MATCH(B66,PalNames,0)+1,(MATCH(""Passive0b"",PalData_Header,0)))&amp;"":""&amp;ADDRESS(MATCH(B66,PalNames,0)+1,(MATCH(""Passive0b"",PalData_Header,0))+4)))&gt;0),1,1)),SkillDataCodeName,0)+1,MATCH(""TargetType1"",SkillData_Header,0)))"),"")</f>
        <v/>
      </c>
      <c r="AD66" s="45" t="e">
        <f aca="false" t="array" ref="AD66:AD66">IF(INDEX(PalData,MATCH($B66,PalNames,0)+1,MATCH("Passive0bCondition",PalData_Header,0))=IFERROR(INDEX(SkillData,MATCH(INDEX(PalData,MATCH($B66,PalNames,0)+1,MATCH("Passive0b",PalData_Header,0)),SkillDataCodeName,0)+1,MATCH("Conditions",SkillData_Header,0))),INDEX(PalData,MATCH($B66,PalNames,0)+1,MATCH("Passive0bCondition",PalData_Header,0)),INDEX(PalData,MATCH($B66,PalNames,0)+1,MATCH("Passive0bCondition",PalData_Header,0)) &amp; IF(ISBLANK(INDEX(PalData,MATCH($B66,PalNames,0)+1,MATCH("Passive0bCondition",PalData_Header,0))),," ")&amp;IFERROR(INDEX(SkillData,MATCH(INDEX(PalData,MATCH($B66,PalNames,0)+1,MATCH("Passive0b",PalData_Header,0)),SkillDataCodeName,0)+1,MATCH("Conditions",SkillData_Header,0))))</f>
        <v>#N/A</v>
      </c>
      <c r="AE66" s="45" t="str">
        <f aca="false">IFERROR(__xludf.dummyfunction("IFERROR(INDEX(SkillData,MATCH(Arrayformula(ARRAY_CONSTRAIN(FILTER(INDIRECT(""PalData!""&amp;ADDRESS(MATCH(B66,PalNames,0)+1,(MATCH(""Passive0b"",PalData_Header,0)))&amp;"":""&amp;ADDRESS(MATCH(B66,PalNames,0)+1,(MATCH(""Passive0b"",PalData_Header,0))+4)),LEN(INDIRECT"&amp;"(""PalData!""&amp;ADDRESS(MATCH(B66,PalNames,0)+1,(MATCH(""Passive0b"",PalData_Header,0)))&amp;"":""&amp;ADDRESS(MATCH(B66,PalNames,0)+1,(MATCH(""Passive0b"",PalData_Header,0))+4)))&gt;0),1,1)),SkillDataCodeName,0)+1,MATCH(""ValueType1"",SkillData_Header,0)))"),"")</f>
        <v/>
      </c>
      <c r="AF66" s="45" t="n">
        <f aca="false">IFERROR(INDEX(SkillData,MATCH(INDEX(PalData,MATCH($B66,PalNames,0)+1,MATCH("Passive0b",PalData_Header,0)),SkillDataCodeName,0)+1,MATCH("EffectValue1",SkillData_Header,0)),)</f>
        <v>0</v>
      </c>
      <c r="AG66" s="45" t="n">
        <f aca="false">IFERROR(INDEX(SkillData,MATCH(INDEX(PalData,MATCH($B66,PalNames,0)+1,MATCH("Passive1b",PalData_Header,0)),SkillDataCodeName,0)+1,MATCH("EffectValue1",SkillData_Header,0)),)</f>
        <v>0</v>
      </c>
      <c r="AH66" s="45" t="n">
        <f aca="false">IFERROR(INDEX(SkillData,MATCH(INDEX(PalData,MATCH($B66,PalNames,0)+1,MATCH("Passive2b",PalData_Header,0)),SkillDataCodeName,0)+1,MATCH("EffectValue1",SkillData_Header,0)),)</f>
        <v>0</v>
      </c>
      <c r="AI66" s="45" t="n">
        <f aca="false">IFERROR(INDEX(SkillData,MATCH(INDEX(PalData,MATCH($B66,PalNames,0)+1,MATCH("Passive3b",PalData_Header,0)),SkillDataCodeName,0)+1,MATCH("EffectValue1",SkillData_Header,0)),)</f>
        <v>0</v>
      </c>
      <c r="AJ66" s="260" t="n">
        <f aca="false">IFERROR(INDEX(SkillData,MATCH(INDEX(PalData,MATCH($B66,PalNames,0)+1,MATCH("Passive4b",PalData_Header,0)),SkillDataCodeName,0)+1,MATCH("EffectValue1",SkillData_Header,0)),)</f>
        <v>0</v>
      </c>
      <c r="AK66" s="301" t="s">
        <v>330</v>
      </c>
    </row>
    <row r="67" customFormat="false" ht="15.75" hidden="false" customHeight="false" outlineLevel="0" collapsed="false">
      <c r="A67" s="302" t="n">
        <v>54</v>
      </c>
      <c r="B67" s="303" t="s">
        <v>138</v>
      </c>
      <c r="C67" s="48" t="str">
        <f aca="false" t="array" ref="C67:C67">IF(ISBLANK(INDEX(PalData,MATCH($B67,PalNames,0)+1,MATCH("ActiveSkill",PalData_Header,0))),INDEX(PalData,MATCH($B67,PalNames,0)+1,MATCH("SkillUnlock_",PalData_Header,0)),INDEX(PalData,MATCH($B67,PalNames,0)+1,MATCH("ActiveSkill",PalData_Header,0)))</f>
        <v>Saddle</v>
      </c>
      <c r="D67" s="48"/>
      <c r="E67" s="48" t="n">
        <f aca="false">INDEX(PalData,MATCH($B67,PalNames,0)+1,MATCH("ActiveSkillBonus0",PalData_Header,0))</f>
        <v>0</v>
      </c>
      <c r="F67" s="48" t="n">
        <f aca="false">INDEX(PalData,MATCH($B67,PalNames,0)+1,MATCH("ActiveSkillBonus1",PalData_Header,0))</f>
        <v>0</v>
      </c>
      <c r="G67" s="48" t="n">
        <f aca="false">INDEX(PalData,MATCH($B67,PalNames,0)+1,MATCH("ActiveSkillBonus2",PalData_Header,0))</f>
        <v>0</v>
      </c>
      <c r="H67" s="48" t="n">
        <f aca="false">INDEX(PalData,MATCH($B67,PalNames,0)+1,MATCH("ActiveSkillBonus3",PalData_Header,0))</f>
        <v>0</v>
      </c>
      <c r="I67" s="263" t="n">
        <f aca="false">INDEX(PalData,MATCH($B67,PalNames,0)+1,MATCH("ActiveSkillBonus4",PalData_Header,0))</f>
        <v>0</v>
      </c>
      <c r="J67" s="48" t="str">
        <f aca="false">IFERROR(__xludf.dummyfunction("IFERROR(INDEX(SkillData,MATCH(Arrayformula(ARRAY_CONSTRAIN(FILTER(INDIRECT(""PalData!""&amp;ADDRESS(MATCH(B67,PalNames,0)+1,(MATCH(""Passive0c"",PalData_Header,0)))&amp;"":""&amp;ADDRESS(MATCH(B67,PalNames,0)+1,(MATCH(""Passive0c"",PalData_Header,0))+4)),LEN(INDIRECT"&amp;"(""PalData!""&amp;ADDRESS(MATCH(B67,PalNames,0)+1,(MATCH(""Passive0c"",PalData_Header,0)))&amp;"":""&amp;ADDRESS(MATCH(B67,PalNames,0)+1,(MATCH(""Passive0c"",PalData_Header,0))+4)))&gt;0),1,1)),SkillDataCodeName,0)+1,MATCH(""EffectTypeCombined"",SkillData_Header,0)))"),"ShotAttack")</f>
        <v>ShotAttack</v>
      </c>
      <c r="K67" s="48" t="str">
        <f aca="false">IFERROR(__xludf.dummyfunction("IFERROR(INDEX(SkillData,MATCH(Arrayformula(ARRAY_CONSTRAIN(FILTER(INDIRECT(""PalData!""&amp;ADDRESS(MATCH(B67,PalNames,0)+1,(MATCH(""Passive0c"",PalData_Header,0)))&amp;"":""&amp;ADDRESS(MATCH(B67,PalNames,0)+1,(MATCH(""Passive0c"",PalData_Header,0))+4)),LEN(INDIRECT"&amp;"(""PalData!""&amp;ADDRESS(MATCH(B67,PalNames,0)+1,(MATCH(""Passive0c"",PalData_Header,0)))&amp;"":""&amp;ADDRESS(MATCH(B67,PalNames,0)+1,(MATCH(""Passive0c"",PalData_Header,0))+4)))&gt;0),1,1)),SkillDataCodeName,0)+1,MATCH(""TargetType1"",SkillData_Header,0)))"),"Self")</f>
        <v>Self</v>
      </c>
      <c r="L67" s="48" t="e">
        <f aca="false" t="array" ref="L67:L67">IF(INDEX(PalData,MATCH($B67,PalNames,0)+1,MATCH("Passive0cCondition",PalData_Header,0))=IFERROR(INDEX(SkillData,MATCH(INDEX(PalData,MATCH($B67,PalNames,0)+1,MATCH("Passive0c",PalData_Header,0)),SkillDataCodeName,0)+1,MATCH("Conditions",SkillData_Header,0))),INDEX(PalData,MATCH($B67,PalNames,0)+1,MATCH("Passive0cCondition",PalData_Header,0)),INDEX(PalData,MATCH($B67,PalNames,0)+1,MATCH("Passive0cCondition",PalData_Header,0)) &amp; IF(ISBLANK(INDEX(PalData,MATCH($B67,PalNames,0)+1,MATCH("Passive0cCondition",PalData_Header,0))),," ")&amp;IFERROR(INDEX(SkillData,MATCH(INDEX(PalData,MATCH($B67,PalNames,0)+1,MATCH("Passive0c",PalData_Header,0)),SkillDataCodeName,0)+1,MATCH("Conditions",SkillData_Header,0))))</f>
        <v>#N/A</v>
      </c>
      <c r="M67" s="48" t="str">
        <f aca="false">IFERROR(__xludf.dummyfunction("IFERROR(INDEX(SkillData,MATCH(Arrayformula(ARRAY_CONSTRAIN(FILTER(INDIRECT(""PalData!""&amp;ADDRESS(MATCH(B67,PalNames,0)+1,(MATCH(""Passive0c"",PalData_Header,0)))&amp;"":""&amp;ADDRESS(MATCH(B67,PalNames,0)+1,(MATCH(""Passive0c"",PalData_Header,0))+4)),LEN(INDIRECT"&amp;"(""PalData!""&amp;ADDRESS(MATCH(B67,PalNames,0)+1,(MATCH(""Passive0c"",PalData_Header,0)))&amp;"":""&amp;ADDRESS(MATCH(B67,PalNames,0)+1,(MATCH(""Passive0c"",PalData_Header,0))+4)))&gt;0),1,1)),SkillDataCodeName,0)+1,MATCH(""ValueType1"",SkillData_Header,0)))"),"%")</f>
        <v>%</v>
      </c>
      <c r="N67" s="48" t="e">
        <f aca="false" t="array" ref="N67:N67">IFERROR(INDEX(SkillData,MATCH(INDEX(PalData,MATCH($B67,PalNames,0)+1,MATCH("Passive0c",PalData_Header,0)),SkillDataCodeName,0)+1,MATCH("EffectValue1",SkillData_Header,0)))</f>
        <v>#VALUE!</v>
      </c>
      <c r="O67" s="61" t="e">
        <f aca="false" t="array" ref="O67:O67">IFERROR(INDEX(SkillData,MATCH(INDEX(PalData,MATCH($B67,PalNames,0)+1,MATCH("Passive1c",PalData_Header,0)),SkillDataCodeName,0)+1,MATCH("EffectValue1",SkillData_Header,0)))</f>
        <v>#VALUE!</v>
      </c>
      <c r="P67" s="61" t="e">
        <f aca="false" t="array" ref="P67:P67">IFERROR(INDEX(SkillData,MATCH(INDEX(PalData,MATCH($B67,PalNames,0)+1,MATCH("Passive2c",PalData_Header,0)),SkillDataCodeName,0)+1,MATCH("EffectValue1",SkillData_Header,0)))</f>
        <v>#VALUE!</v>
      </c>
      <c r="Q67" s="61" t="e">
        <f aca="false" t="array" ref="Q67:Q67">IFERROR(INDEX(SkillData,MATCH(INDEX(PalData,MATCH($B67,PalNames,0)+1,MATCH("Passive3c",PalData_Header,0)),SkillDataCodeName,0)+1,MATCH("EffectValue1",SkillData_Header,0)))</f>
        <v>#VALUE!</v>
      </c>
      <c r="R67" s="304" t="e">
        <f aca="false" t="array" ref="R67:R67">IFERROR(INDEX(SkillData,MATCH(INDEX(PalData,MATCH($B67,PalNames,0)+1,MATCH("Passive4c",PalData_Header,0)),SkillDataCodeName,0)+1,MATCH("EffectValue1",SkillData_Header,0)))</f>
        <v>#VALUE!</v>
      </c>
      <c r="S67" s="48" t="str">
        <f aca="false">IFERROR(__xludf.dummyfunction("IFERROR(INDEX(SkillData,MATCH(Arrayformula(ARRAY_CONSTRAIN(FILTER(INDIRECT(""PalData!""&amp;ADDRESS(MATCH(B67,PalNames,0)+1,(MATCH(""Passive0a"",PalData_Header,0)))&amp;"":""&amp;ADDRESS(MATCH(B67,PalNames,0)+1,(MATCH(""Passive0a"",PalData_Header,0))+4)),LEN(INDIRECT"&amp;"(""PalData!""&amp;ADDRESS(MATCH(B67,PalNames,0)+1,(MATCH(""Passive0a"",PalData_Header,0)))&amp;"":""&amp;ADDRESS(MATCH(B67,PalNames,0)+1,(MATCH(""Passive0a"",PalData_Header,0))+4)))&gt;0),1,1)),SkillDataCodeName,0)+1,MATCH(""EffectTypeCombined"",SkillData_Header,0)))"),"")</f>
        <v/>
      </c>
      <c r="T67" s="48" t="str">
        <f aca="false">IFERROR(__xludf.dummyfunction("IFERROR(INDEX(SkillData,MATCH(Arrayformula(ARRAY_CONSTRAIN(FILTER(INDIRECT(""PalData!""&amp;ADDRESS(MATCH(B67,PalNames,0)+1,(MATCH(""Passive0a"",PalData_Header,0)))&amp;"":""&amp;ADDRESS(MATCH(B67,PalNames,0)+1,(MATCH(""Passive0a"",PalData_Header,0))+4)),LEN(INDIRECT"&amp;"(""PalData!""&amp;ADDRESS(MATCH(B67,PalNames,0)+1,(MATCH(""Passive0a"",PalData_Header,0)))&amp;"":""&amp;ADDRESS(MATCH(B67,PalNames,0)+1,(MATCH(""Passive0a"",PalData_Header,0))+4)))&gt;0),1,1)),SkillDataCodeName,0)+1,MATCH(""TargetType1"",SkillData_Header,0)))"),"")</f>
        <v/>
      </c>
      <c r="U67" s="48" t="e">
        <f aca="false" t="array" ref="U67:U67">IF(INDEX(PalData,MATCH($B67,PalNames,0)+1,MATCH("Passive0aCondition",PalData_Header,0))=IFERROR(INDEX(SkillData,MATCH(INDEX(PalData,MATCH($B67,PalNames,0)+1,MATCH("Passive0a",PalData_Header,0)),SkillDataCodeName,0)+1,MATCH("Conditions",SkillData_Header,0))),INDEX(PalData,MATCH($B67,PalNames,0)+1,MATCH("Passive0aCondition",PalData_Header,0)),INDEX(PalData,MATCH($B67,PalNames,0)+1,MATCH("Passive0aCondition",PalData_Header,0)) &amp; IF(ISBLANK(INDEX(PalData,MATCH($B67,PalNames,0)+1,MATCH("Passive0aCondition",PalData_Header,0))),," ")&amp;IFERROR(INDEX(SkillData,MATCH(INDEX(PalData,MATCH($B67,PalNames,0)+1,MATCH("Passive0a",PalData_Header,0)),SkillDataCodeName,0)+1,MATCH("Conditions",SkillData_Header,0))))</f>
        <v>#N/A</v>
      </c>
      <c r="V67" s="48" t="str">
        <f aca="false">IFERROR(__xludf.dummyfunction("IFERROR(INDEX(SkillData,MATCH(Arrayformula(ARRAY_CONSTRAIN(FILTER(INDIRECT(""PalData!""&amp;ADDRESS(MATCH(B67,PalNames,0)+1,(MATCH(""Passive0a"",PalData_Header,0)))&amp;"":""&amp;ADDRESS(MATCH(B67,PalNames,0)+1,(MATCH(""Passive0a"",PalData_Header,0))+4)),LEN(INDIRECT"&amp;"(""PalData!""&amp;ADDRESS(MATCH(B67,PalNames,0)+1,(MATCH(""Passive0a"",PalData_Header,0)))&amp;"":""&amp;ADDRESS(MATCH(B67,PalNames,0)+1,(MATCH(""Passive0a"",PalData_Header,0))+4)))&gt;0),1,1)),SkillDataCodeName,0)+1,MATCH(""ValueType1"",SkillData_Header,0)))"),"")</f>
        <v/>
      </c>
      <c r="W67" s="48" t="n">
        <f aca="false">IFERROR(INDEX(SkillData,MATCH(INDEX(PalData,MATCH($B67,PalNames,0)+1,MATCH("Passive0a",PalData_Header,0)),SkillDataCodeName,0)+1,MATCH("EffectValue1",SkillData_Header,0)),)</f>
        <v>0</v>
      </c>
      <c r="X67" s="48" t="n">
        <f aca="false">IFERROR(INDEX(SkillData,MATCH(INDEX(PalData,MATCH($B67,PalNames,0)+1,MATCH("Passive1a",PalData_Header,0)),SkillDataCodeName,0)+1,MATCH("EffectValue1",SkillData_Header,0)),)</f>
        <v>0</v>
      </c>
      <c r="Y67" s="48" t="n">
        <f aca="false">IFERROR(INDEX(SkillData,MATCH(INDEX(PalData,MATCH($B67,PalNames,0)+1,MATCH("Passive2a",PalData_Header,0)),SkillDataCodeName,0)+1,MATCH("EffectValue1",SkillData_Header,0)),)</f>
        <v>0</v>
      </c>
      <c r="Z67" s="48" t="n">
        <f aca="false">IFERROR(INDEX(SkillData,MATCH(INDEX(PalData,MATCH($B67,PalNames,0)+1,MATCH("Passive3a",PalData_Header,0)),SkillDataCodeName,0)+1,MATCH("EffectValue1",SkillData_Header,0)),)</f>
        <v>0</v>
      </c>
      <c r="AA67" s="263" t="n">
        <f aca="false">IFERROR(INDEX(SkillData,MATCH(INDEX(PalData,MATCH($B67,PalNames,0)+1,MATCH("Passive4a",PalData_Header,0)),SkillDataCodeName,0)+1,MATCH("EffectValue1",SkillData_Header,0)),)</f>
        <v>0</v>
      </c>
      <c r="AB67" s="48" t="str">
        <f aca="false">IFERROR(__xludf.dummyfunction("IFERROR(INDEX(SkillData,MATCH(Arrayformula(ARRAY_CONSTRAIN(FILTER(INDIRECT(""PalData!""&amp;ADDRESS(MATCH(B67,PalNames,0)+1,(MATCH(""Passive0b"",PalData_Header,0)))&amp;"":""&amp;ADDRESS(MATCH(B67,PalNames,0)+1,(MATCH(""Passive0b"",PalData_Header,0))+4)),LEN(INDIRECT"&amp;"(""PalData!""&amp;ADDRESS(MATCH(B67,PalNames,0)+1,(MATCH(""Passive0b"",PalData_Header,0)))&amp;"":""&amp;ADDRESS(MATCH(B67,PalNames,0)+1,(MATCH(""Passive0b"",PalData_Header,0))+4)))&gt;0),1,1)),SkillDataCodeName,0)+1,MATCH(""EffectTypeCombined"",SkillData_Header,0)))"),"")</f>
        <v/>
      </c>
      <c r="AC67" s="48" t="str">
        <f aca="false">IFERROR(__xludf.dummyfunction("IFERROR(INDEX(SkillData,MATCH(Arrayformula(ARRAY_CONSTRAIN(FILTER(INDIRECT(""PalData!""&amp;ADDRESS(MATCH(B67,PalNames,0)+1,(MATCH(""Passive0b"",PalData_Header,0)))&amp;"":""&amp;ADDRESS(MATCH(B67,PalNames,0)+1,(MATCH(""Passive0b"",PalData_Header,0))+4)),LEN(INDIRECT"&amp;"(""PalData!""&amp;ADDRESS(MATCH(B67,PalNames,0)+1,(MATCH(""Passive0b"",PalData_Header,0)))&amp;"":""&amp;ADDRESS(MATCH(B67,PalNames,0)+1,(MATCH(""Passive0b"",PalData_Header,0))+4)))&gt;0),1,1)),SkillDataCodeName,0)+1,MATCH(""TargetType1"",SkillData_Header,0)))"),"")</f>
        <v/>
      </c>
      <c r="AD67" s="48" t="e">
        <f aca="false" t="array" ref="AD67:AD67">IF(INDEX(PalData,MATCH($B67,PalNames,0)+1,MATCH("Passive0bCondition",PalData_Header,0))=IFERROR(INDEX(SkillData,MATCH(INDEX(PalData,MATCH($B67,PalNames,0)+1,MATCH("Passive0b",PalData_Header,0)),SkillDataCodeName,0)+1,MATCH("Conditions",SkillData_Header,0))),INDEX(PalData,MATCH($B67,PalNames,0)+1,MATCH("Passive0bCondition",PalData_Header,0)),INDEX(PalData,MATCH($B67,PalNames,0)+1,MATCH("Passive0bCondition",PalData_Header,0)) &amp; IF(ISBLANK(INDEX(PalData,MATCH($B67,PalNames,0)+1,MATCH("Passive0bCondition",PalData_Header,0))),," ")&amp;IFERROR(INDEX(SkillData,MATCH(INDEX(PalData,MATCH($B67,PalNames,0)+1,MATCH("Passive0b",PalData_Header,0)),SkillDataCodeName,0)+1,MATCH("Conditions",SkillData_Header,0))))</f>
        <v>#N/A</v>
      </c>
      <c r="AE67" s="48" t="str">
        <f aca="false">IFERROR(__xludf.dummyfunction("IFERROR(INDEX(SkillData,MATCH(Arrayformula(ARRAY_CONSTRAIN(FILTER(INDIRECT(""PalData!""&amp;ADDRESS(MATCH(B67,PalNames,0)+1,(MATCH(""Passive0b"",PalData_Header,0)))&amp;"":""&amp;ADDRESS(MATCH(B67,PalNames,0)+1,(MATCH(""Passive0b"",PalData_Header,0))+4)),LEN(INDIRECT"&amp;"(""PalData!""&amp;ADDRESS(MATCH(B67,PalNames,0)+1,(MATCH(""Passive0b"",PalData_Header,0)))&amp;"":""&amp;ADDRESS(MATCH(B67,PalNames,0)+1,(MATCH(""Passive0b"",PalData_Header,0))+4)))&gt;0),1,1)),SkillDataCodeName,0)+1,MATCH(""ValueType1"",SkillData_Header,0)))"),"")</f>
        <v/>
      </c>
      <c r="AF67" s="48" t="n">
        <f aca="false">IFERROR(INDEX(SkillData,MATCH(INDEX(PalData,MATCH($B67,PalNames,0)+1,MATCH("Passive0b",PalData_Header,0)),SkillDataCodeName,0)+1,MATCH("EffectValue1",SkillData_Header,0)),)</f>
        <v>0</v>
      </c>
      <c r="AG67" s="48" t="n">
        <f aca="false">IFERROR(INDEX(SkillData,MATCH(INDEX(PalData,MATCH($B67,PalNames,0)+1,MATCH("Passive1b",PalData_Header,0)),SkillDataCodeName,0)+1,MATCH("EffectValue1",SkillData_Header,0)),)</f>
        <v>0</v>
      </c>
      <c r="AH67" s="48" t="n">
        <f aca="false">IFERROR(INDEX(SkillData,MATCH(INDEX(PalData,MATCH($B67,PalNames,0)+1,MATCH("Passive2b",PalData_Header,0)),SkillDataCodeName,0)+1,MATCH("EffectValue1",SkillData_Header,0)),)</f>
        <v>0</v>
      </c>
      <c r="AI67" s="48" t="n">
        <f aca="false">IFERROR(INDEX(SkillData,MATCH(INDEX(PalData,MATCH($B67,PalNames,0)+1,MATCH("Passive3b",PalData_Header,0)),SkillDataCodeName,0)+1,MATCH("EffectValue1",SkillData_Header,0)),)</f>
        <v>0</v>
      </c>
      <c r="AJ67" s="263" t="n">
        <f aca="false">IFERROR(INDEX(SkillData,MATCH(INDEX(PalData,MATCH($B67,PalNames,0)+1,MATCH("Passive4b",PalData_Header,0)),SkillDataCodeName,0)+1,MATCH("EffectValue1",SkillData_Header,0)),)</f>
        <v>0</v>
      </c>
      <c r="AK67" s="305" t="s">
        <v>331</v>
      </c>
    </row>
    <row r="68" customFormat="false" ht="15.75" hidden="false" customHeight="false" outlineLevel="0" collapsed="false">
      <c r="A68" s="299" t="n">
        <v>55</v>
      </c>
      <c r="B68" s="300" t="s">
        <v>36</v>
      </c>
      <c r="C68" s="45" t="str">
        <f aca="false" t="array" ref="C68:C68">IF(ISBLANK(INDEX(PalData,MATCH($B68,PalNames,0)+1,MATCH("ActiveSkill",PalData_Header,0))),INDEX(PalData,MATCH($B68,PalNames,0)+1,MATCH("SkillUnlock_",PalData_Header,0)),INDEX(PalData,MATCH($B68,PalNames,0)+1,MATCH("ActiveSkill",PalData_Header,0)))</f>
        <v>Saddle</v>
      </c>
      <c r="D68" s="45"/>
      <c r="E68" s="45" t="n">
        <f aca="false">INDEX(PalData,MATCH($B68,PalNames,0)+1,MATCH("ActiveSkillBonus0",PalData_Header,0))</f>
        <v>0</v>
      </c>
      <c r="F68" s="45" t="n">
        <f aca="false">INDEX(PalData,MATCH($B68,PalNames,0)+1,MATCH("ActiveSkillBonus1",PalData_Header,0))</f>
        <v>0</v>
      </c>
      <c r="G68" s="45" t="n">
        <f aca="false">INDEX(PalData,MATCH($B68,PalNames,0)+1,MATCH("ActiveSkillBonus2",PalData_Header,0))</f>
        <v>0</v>
      </c>
      <c r="H68" s="45" t="n">
        <f aca="false">INDEX(PalData,MATCH($B68,PalNames,0)+1,MATCH("ActiveSkillBonus3",PalData_Header,0))</f>
        <v>0</v>
      </c>
      <c r="I68" s="260" t="n">
        <f aca="false">INDEX(PalData,MATCH($B68,PalNames,0)+1,MATCH("ActiveSkillBonus4",PalData_Header,0))</f>
        <v>0</v>
      </c>
      <c r="J68" s="45" t="str">
        <f aca="false">IFERROR(__xludf.dummyfunction("IFERROR(INDEX(SkillData,MATCH(Arrayformula(ARRAY_CONSTRAIN(FILTER(INDIRECT(""PalData!""&amp;ADDRESS(MATCH(B68,PalNames,0)+1,(MATCH(""Passive0c"",PalData_Header,0)))&amp;"":""&amp;ADDRESS(MATCH(B68,PalNames,0)+1,(MATCH(""Passive0c"",PalData_Header,0))+4)),LEN(INDIRECT"&amp;"(""PalData!""&amp;ADDRESS(MATCH(B68,PalNames,0)+1,(MATCH(""Passive0c"",PalData_Header,0)))&amp;"":""&amp;ADDRESS(MATCH(B68,PalNames,0)+1,(MATCH(""Passive0c"",PalData_Header,0))+4)))&gt;0),1,1)),SkillDataCodeName,0)+1,MATCH(""EffectTypeCombined"",SkillData_Header,0)))"),"ShotAttack")</f>
        <v>ShotAttack</v>
      </c>
      <c r="K68" s="45" t="str">
        <f aca="false">IFERROR(__xludf.dummyfunction("IFERROR(INDEX(SkillData,MATCH(Arrayformula(ARRAY_CONSTRAIN(FILTER(INDIRECT(""PalData!""&amp;ADDRESS(MATCH(B68,PalNames,0)+1,(MATCH(""Passive0c"",PalData_Header,0)))&amp;"":""&amp;ADDRESS(MATCH(B68,PalNames,0)+1,(MATCH(""Passive0c"",PalData_Header,0))+4)),LEN(INDIRECT"&amp;"(""PalData!""&amp;ADDRESS(MATCH(B68,PalNames,0)+1,(MATCH(""Passive0c"",PalData_Header,0)))&amp;"":""&amp;ADDRESS(MATCH(B68,PalNames,0)+1,(MATCH(""Passive0c"",PalData_Header,0))+4)))&gt;0),1,1)),SkillDataCodeName,0)+1,MATCH(""TargetType1"",SkillData_Header,0)))"),"Trainer")</f>
        <v>Trainer</v>
      </c>
      <c r="L68" s="45" t="e">
        <f aca="false" t="array" ref="L68:L68">IF(INDEX(PalData,MATCH($B68,PalNames,0)+1,MATCH("Passive0cCondition",PalData_Header,0))=IFERROR(INDEX(SkillData,MATCH(INDEX(PalData,MATCH($B68,PalNames,0)+1,MATCH("Passive0c",PalData_Header,0)),SkillDataCodeName,0)+1,MATCH("Conditions",SkillData_Header,0))),INDEX(PalData,MATCH($B68,PalNames,0)+1,MATCH("Passive0cCondition",PalData_Header,0)),INDEX(PalData,MATCH($B68,PalNames,0)+1,MATCH("Passive0cCondition",PalData_Header,0)) &amp; IF(ISBLANK(INDEX(PalData,MATCH($B68,PalNames,0)+1,MATCH("Passive0cCondition",PalData_Header,0))),," ")&amp;IFERROR(INDEX(SkillData,MATCH(INDEX(PalData,MATCH($B68,PalNames,0)+1,MATCH("Passive0c",PalData_Header,0)),SkillDataCodeName,0)+1,MATCH("Conditions",SkillData_Header,0))))</f>
        <v>#VALUE!</v>
      </c>
      <c r="M68" s="45" t="str">
        <f aca="false">IFERROR(__xludf.dummyfunction("IFERROR(INDEX(SkillData,MATCH(Arrayformula(ARRAY_CONSTRAIN(FILTER(INDIRECT(""PalData!""&amp;ADDRESS(MATCH(B68,PalNames,0)+1,(MATCH(""Passive0c"",PalData_Header,0)))&amp;"":""&amp;ADDRESS(MATCH(B68,PalNames,0)+1,(MATCH(""Passive0c"",PalData_Header,0))+4)),LEN(INDIRECT"&amp;"(""PalData!""&amp;ADDRESS(MATCH(B68,PalNames,0)+1,(MATCH(""Passive0c"",PalData_Header,0)))&amp;"":""&amp;ADDRESS(MATCH(B68,PalNames,0)+1,(MATCH(""Passive0c"",PalData_Header,0))+4)))&gt;0),1,1)),SkillDataCodeName,0)+1,MATCH(""ValueType1"",SkillData_Header,0)))"),"%")</f>
        <v>%</v>
      </c>
      <c r="N68" s="62" t="e">
        <f aca="false" t="array" ref="N68:N68">IFERROR(INDEX(SkillData,MATCH(INDEX(PalData,MATCH($B68,PalNames,0)+1,MATCH("Passive0c",PalData_Header,0)),SkillDataCodeName,0)+1,MATCH("EffectValue1",SkillData_Header,0)))</f>
        <v>#VALUE!</v>
      </c>
      <c r="O68" s="62" t="e">
        <f aca="false" t="array" ref="O68:O68">IFERROR(INDEX(SkillData,MATCH(INDEX(PalData,MATCH($B68,PalNames,0)+1,MATCH("Passive1c",PalData_Header,0)),SkillDataCodeName,0)+1,MATCH("EffectValue1",SkillData_Header,0)))</f>
        <v>#VALUE!</v>
      </c>
      <c r="P68" s="62" t="e">
        <f aca="false" t="array" ref="P68:P68">IFERROR(INDEX(SkillData,MATCH(INDEX(PalData,MATCH($B68,PalNames,0)+1,MATCH("Passive2c",PalData_Header,0)),SkillDataCodeName,0)+1,MATCH("EffectValue1",SkillData_Header,0)))</f>
        <v>#VALUE!</v>
      </c>
      <c r="Q68" s="62" t="e">
        <f aca="false" t="array" ref="Q68:Q68">IFERROR(INDEX(SkillData,MATCH(INDEX(PalData,MATCH($B68,PalNames,0)+1,MATCH("Passive3c",PalData_Header,0)),SkillDataCodeName,0)+1,MATCH("EffectValue1",SkillData_Header,0)))</f>
        <v>#VALUE!</v>
      </c>
      <c r="R68" s="306" t="e">
        <f aca="false" t="array" ref="R68:R68">IFERROR(INDEX(SkillData,MATCH(INDEX(PalData,MATCH($B68,PalNames,0)+1,MATCH("Passive4c",PalData_Header,0)),SkillDataCodeName,0)+1,MATCH("EffectValue1",SkillData_Header,0)))</f>
        <v>#VALUE!</v>
      </c>
      <c r="S68" s="45" t="str">
        <f aca="false">IFERROR(__xludf.dummyfunction("IFERROR(INDEX(SkillData,MATCH(Arrayformula(ARRAY_CONSTRAIN(FILTER(INDIRECT(""PalData!""&amp;ADDRESS(MATCH(B68,PalNames,0)+1,(MATCH(""Passive0a"",PalData_Header,0)))&amp;"":""&amp;ADDRESS(MATCH(B68,PalNames,0)+1,(MATCH(""Passive0a"",PalData_Header,0))+4)),LEN(INDIRECT"&amp;"(""PalData!""&amp;ADDRESS(MATCH(B68,PalNames,0)+1,(MATCH(""Passive0a"",PalData_Header,0)))&amp;"":""&amp;ADDRESS(MATCH(B68,PalNames,0)+1,(MATCH(""Passive0a"",PalData_Header,0))+4)))&gt;0),1,1)),SkillDataCodeName,0)+1,MATCH(""EffectTypeCombined"",SkillData_Header,0)))"),"ElementDragon")</f>
        <v>ElementDragon</v>
      </c>
      <c r="T68" s="45" t="str">
        <f aca="false">IFERROR(__xludf.dummyfunction("IFERROR(INDEX(SkillData,MATCH(Arrayformula(ARRAY_CONSTRAIN(FILTER(INDIRECT(""PalData!""&amp;ADDRESS(MATCH(B68,PalNames,0)+1,(MATCH(""Passive0a"",PalData_Header,0)))&amp;"":""&amp;ADDRESS(MATCH(B68,PalNames,0)+1,(MATCH(""Passive0a"",PalData_Header,0))+4)),LEN(INDIRECT"&amp;"(""PalData!""&amp;ADDRESS(MATCH(B68,PalNames,0)+1,(MATCH(""Passive0a"",PalData_Header,0)))&amp;"":""&amp;ADDRESS(MATCH(B68,PalNames,0)+1,(MATCH(""Passive0a"",PalData_Header,0))+4)))&gt;0),1,1)),SkillDataCodeName,0)+1,MATCH(""TargetType1"",SkillData_Header,0)))"),"Trainer")</f>
        <v>Trainer</v>
      </c>
      <c r="U68" s="45" t="e">
        <f aca="false" t="array" ref="U68:U68">IF(INDEX(PalData,MATCH($B68,PalNames,0)+1,MATCH("Passive0aCondition",PalData_Header,0))=IFERROR(INDEX(SkillData,MATCH(INDEX(PalData,MATCH($B68,PalNames,0)+1,MATCH("Passive0a",PalData_Header,0)),SkillDataCodeName,0)+1,MATCH("Conditions",SkillData_Header,0))),INDEX(PalData,MATCH($B68,PalNames,0)+1,MATCH("Passive0aCondition",PalData_Header,0)),INDEX(PalData,MATCH($B68,PalNames,0)+1,MATCH("Passive0aCondition",PalData_Header,0)) &amp; IF(ISBLANK(INDEX(PalData,MATCH($B68,PalNames,0)+1,MATCH("Passive0aCondition",PalData_Header,0))),," ")&amp;IFERROR(INDEX(SkillData,MATCH(INDEX(PalData,MATCH($B68,PalNames,0)+1,MATCH("Passive0a",PalData_Header,0)),SkillDataCodeName,0)+1,MATCH("Conditions",SkillData_Header,0))))</f>
        <v>#VALUE!</v>
      </c>
      <c r="V68" s="45" t="str">
        <f aca="false">IFERROR(__xludf.dummyfunction("IFERROR(INDEX(SkillData,MATCH(Arrayformula(ARRAY_CONSTRAIN(FILTER(INDIRECT(""PalData!""&amp;ADDRESS(MATCH(B68,PalNames,0)+1,(MATCH(""Passive0a"",PalData_Header,0)))&amp;"":""&amp;ADDRESS(MATCH(B68,PalNames,0)+1,(MATCH(""Passive0a"",PalData_Header,0))+4)),LEN(INDIRECT"&amp;"(""PalData!""&amp;ADDRESS(MATCH(B68,PalNames,0)+1,(MATCH(""Passive0a"",PalData_Header,0)))&amp;"":""&amp;ADDRESS(MATCH(B68,PalNames,0)+1,(MATCH(""Passive0a"",PalData_Header,0))+4)))&gt;0),1,1)),SkillDataCodeName,0)+1,MATCH(""ValueType1"",SkillData_Header,0)))"),"bool")</f>
        <v>bool</v>
      </c>
      <c r="W68" s="62" t="n">
        <f aca="false" t="array" ref="W68:W68">IFERROR(INDEX(SkillData,MATCH(INDEX(PalData,MATCH($B68,PalNames,0)+1,MATCH("Passive0a",PalData_Header,0)),SkillDataCodeName,0)+1,MATCH("EffectValue1",SkillData_Header,0)),)</f>
        <v>1</v>
      </c>
      <c r="X68" s="62" t="n">
        <f aca="false" t="array" ref="X68:X68">IFERROR(INDEX(SkillData,MATCH(INDEX(PalData,MATCH($B68,PalNames,0)+1,MATCH("Passive1a",PalData_Header,0)),SkillDataCodeName,0)+1,MATCH("EffectValue1",SkillData_Header,0)),)</f>
        <v>1</v>
      </c>
      <c r="Y68" s="62" t="n">
        <f aca="false" t="array" ref="Y68:Y68">IFERROR(INDEX(SkillData,MATCH(INDEX(PalData,MATCH($B68,PalNames,0)+1,MATCH("Passive2a",PalData_Header,0)),SkillDataCodeName,0)+1,MATCH("EffectValue1",SkillData_Header,0)),)</f>
        <v>1</v>
      </c>
      <c r="Z68" s="62" t="n">
        <f aca="false" t="array" ref="Z68:Z68">IFERROR(INDEX(SkillData,MATCH(INDEX(PalData,MATCH($B68,PalNames,0)+1,MATCH("Passive3a",PalData_Header,0)),SkillDataCodeName,0)+1,MATCH("EffectValue1",SkillData_Header,0)),)</f>
        <v>1</v>
      </c>
      <c r="AA68" s="306" t="n">
        <f aca="false" t="array" ref="AA68:AA68">IFERROR(INDEX(SkillData,MATCH(INDEX(PalData,MATCH($B68,PalNames,0)+1,MATCH("Passive4a",PalData_Header,0)),SkillDataCodeName,0)+1,MATCH("EffectValue1",SkillData_Header,0)),)</f>
        <v>1</v>
      </c>
      <c r="AB68" s="45" t="str">
        <f aca="false">IFERROR(__xludf.dummyfunction("IFERROR(INDEX(SkillData,MATCH(Arrayformula(ARRAY_CONSTRAIN(FILTER(INDIRECT(""PalData!""&amp;ADDRESS(MATCH(B68,PalNames,0)+1,(MATCH(""Passive0b"",PalData_Header,0)))&amp;"":""&amp;ADDRESS(MATCH(B68,PalNames,0)+1,(MATCH(""Passive0b"",PalData_Header,0))+4)),LEN(INDIRECT"&amp;"(""PalData!""&amp;ADDRESS(MATCH(B68,PalNames,0)+1,(MATCH(""Passive0b"",PalData_Header,0)))&amp;"":""&amp;ADDRESS(MATCH(B68,PalNames,0)+1,(MATCH(""Passive0b"",PalData_Header,0))+4)))&gt;0),1,1)),SkillDataCodeName,0)+1,MATCH(""EffectTypeCombined"",SkillData_Header,0)))"),"")</f>
        <v/>
      </c>
      <c r="AC68" s="45" t="str">
        <f aca="false">IFERROR(__xludf.dummyfunction("IFERROR(INDEX(SkillData,MATCH(Arrayformula(ARRAY_CONSTRAIN(FILTER(INDIRECT(""PalData!""&amp;ADDRESS(MATCH(B68,PalNames,0)+1,(MATCH(""Passive0b"",PalData_Header,0)))&amp;"":""&amp;ADDRESS(MATCH(B68,PalNames,0)+1,(MATCH(""Passive0b"",PalData_Header,0))+4)),LEN(INDIRECT"&amp;"(""PalData!""&amp;ADDRESS(MATCH(B68,PalNames,0)+1,(MATCH(""Passive0b"",PalData_Header,0)))&amp;"":""&amp;ADDRESS(MATCH(B68,PalNames,0)+1,(MATCH(""Passive0b"",PalData_Header,0))+4)))&gt;0),1,1)),SkillDataCodeName,0)+1,MATCH(""TargetType1"",SkillData_Header,0)))"),"")</f>
        <v/>
      </c>
      <c r="AD68" s="45" t="e">
        <f aca="false" t="array" ref="AD68:AD68">IF(INDEX(PalData,MATCH($B68,PalNames,0)+1,MATCH("Passive0bCondition",PalData_Header,0))=IFERROR(INDEX(SkillData,MATCH(INDEX(PalData,MATCH($B68,PalNames,0)+1,MATCH("Passive0b",PalData_Header,0)),SkillDataCodeName,0)+1,MATCH("Conditions",SkillData_Header,0))),INDEX(PalData,MATCH($B68,PalNames,0)+1,MATCH("Passive0bCondition",PalData_Header,0)),INDEX(PalData,MATCH($B68,PalNames,0)+1,MATCH("Passive0bCondition",PalData_Header,0)) &amp; IF(ISBLANK(INDEX(PalData,MATCH($B68,PalNames,0)+1,MATCH("Passive0bCondition",PalData_Header,0))),," ")&amp;IFERROR(INDEX(SkillData,MATCH(INDEX(PalData,MATCH($B68,PalNames,0)+1,MATCH("Passive0b",PalData_Header,0)),SkillDataCodeName,0)+1,MATCH("Conditions",SkillData_Header,0))))</f>
        <v>#N/A</v>
      </c>
      <c r="AE68" s="45" t="str">
        <f aca="false">IFERROR(__xludf.dummyfunction("IFERROR(INDEX(SkillData,MATCH(Arrayformula(ARRAY_CONSTRAIN(FILTER(INDIRECT(""PalData!""&amp;ADDRESS(MATCH(B68,PalNames,0)+1,(MATCH(""Passive0b"",PalData_Header,0)))&amp;"":""&amp;ADDRESS(MATCH(B68,PalNames,0)+1,(MATCH(""Passive0b"",PalData_Header,0))+4)),LEN(INDIRECT"&amp;"(""PalData!""&amp;ADDRESS(MATCH(B68,PalNames,0)+1,(MATCH(""Passive0b"",PalData_Header,0)))&amp;"":""&amp;ADDRESS(MATCH(B68,PalNames,0)+1,(MATCH(""Passive0b"",PalData_Header,0))+4)))&gt;0),1,1)),SkillDataCodeName,0)+1,MATCH(""ValueType1"",SkillData_Header,0)))"),"")</f>
        <v/>
      </c>
      <c r="AF68" s="45" t="n">
        <f aca="false">IFERROR(INDEX(SkillData,MATCH(INDEX(PalData,MATCH($B68,PalNames,0)+1,MATCH("Passive0b",PalData_Header,0)),SkillDataCodeName,0)+1,MATCH("EffectValue1",SkillData_Header,0)),)</f>
        <v>0</v>
      </c>
      <c r="AG68" s="45" t="n">
        <f aca="false">IFERROR(INDEX(SkillData,MATCH(INDEX(PalData,MATCH($B68,PalNames,0)+1,MATCH("Passive1b",PalData_Header,0)),SkillDataCodeName,0)+1,MATCH("EffectValue1",SkillData_Header,0)),)</f>
        <v>0</v>
      </c>
      <c r="AH68" s="45" t="n">
        <f aca="false">IFERROR(INDEX(SkillData,MATCH(INDEX(PalData,MATCH($B68,PalNames,0)+1,MATCH("Passive2b",PalData_Header,0)),SkillDataCodeName,0)+1,MATCH("EffectValue1",SkillData_Header,0)),)</f>
        <v>0</v>
      </c>
      <c r="AI68" s="45" t="n">
        <f aca="false">IFERROR(INDEX(SkillData,MATCH(INDEX(PalData,MATCH($B68,PalNames,0)+1,MATCH("Passive3b",PalData_Header,0)),SkillDataCodeName,0)+1,MATCH("EffectValue1",SkillData_Header,0)),)</f>
        <v>0</v>
      </c>
      <c r="AJ68" s="260" t="n">
        <f aca="false">IFERROR(INDEX(SkillData,MATCH(INDEX(PalData,MATCH($B68,PalNames,0)+1,MATCH("Passive4b",PalData_Header,0)),SkillDataCodeName,0)+1,MATCH("EffectValue1",SkillData_Header,0)),)</f>
        <v>0</v>
      </c>
      <c r="AK68" s="301" t="s">
        <v>332</v>
      </c>
    </row>
    <row r="69" customFormat="false" ht="15.75" hidden="false" customHeight="false" outlineLevel="0" collapsed="false">
      <c r="A69" s="302" t="n">
        <v>56</v>
      </c>
      <c r="B69" s="303" t="s">
        <v>143</v>
      </c>
      <c r="C69" s="48" t="str">
        <f aca="false" t="array" ref="C69:C69">IF(ISBLANK(INDEX(PalData,MATCH($B69,PalNames,0)+1,MATCH("ActiveSkill",PalData_Header,0))),INDEX(PalData,MATCH($B69,PalNames,0)+1,MATCH("SkillUnlock_",PalData_Header,0)),INDEX(PalData,MATCH($B69,PalNames,0)+1,MATCH("ActiveSkill",PalData_Header,0)))</f>
        <v>Saddle</v>
      </c>
      <c r="D69" s="48"/>
      <c r="E69" s="48" t="n">
        <f aca="false">INDEX(PalData,MATCH($B69,PalNames,0)+1,MATCH("ActiveSkillBonus0",PalData_Header,0))</f>
        <v>0</v>
      </c>
      <c r="F69" s="48" t="n">
        <f aca="false">INDEX(PalData,MATCH($B69,PalNames,0)+1,MATCH("ActiveSkillBonus1",PalData_Header,0))</f>
        <v>0</v>
      </c>
      <c r="G69" s="48" t="n">
        <f aca="false">INDEX(PalData,MATCH($B69,PalNames,0)+1,MATCH("ActiveSkillBonus2",PalData_Header,0))</f>
        <v>0</v>
      </c>
      <c r="H69" s="48" t="n">
        <f aca="false">INDEX(PalData,MATCH($B69,PalNames,0)+1,MATCH("ActiveSkillBonus3",PalData_Header,0))</f>
        <v>0</v>
      </c>
      <c r="I69" s="263" t="n">
        <f aca="false">INDEX(PalData,MATCH($B69,PalNames,0)+1,MATCH("ActiveSkillBonus4",PalData_Header,0))</f>
        <v>0</v>
      </c>
      <c r="J69" s="48" t="str">
        <f aca="false">IFERROR(__xludf.dummyfunction("IFERROR(INDEX(SkillData,MATCH(Arrayformula(ARRAY_CONSTRAIN(FILTER(INDIRECT(""PalData!""&amp;ADDRESS(MATCH(B69,PalNames,0)+1,(MATCH(""Passive0c"",PalData_Header,0)))&amp;"":""&amp;ADDRESS(MATCH(B69,PalNames,0)+1,(MATCH(""Passive0c"",PalData_Header,0))+4)),LEN(INDIRECT"&amp;"(""PalData!""&amp;ADDRESS(MATCH(B69,PalNames,0)+1,(MATCH(""Passive0c"",PalData_Header,0)))&amp;"":""&amp;ADDRESS(MATCH(B69,PalNames,0)+1,(MATCH(""Passive0c"",PalData_Header,0))+4)))&gt;0),1,1)),SkillDataCodeName,0)+1,MATCH(""EffectTypeCombined"",SkillData_Header,0)))"),"ShotAttack")</f>
        <v>ShotAttack</v>
      </c>
      <c r="K69" s="48" t="str">
        <f aca="false">IFERROR(__xludf.dummyfunction("IFERROR(INDEX(SkillData,MATCH(Arrayformula(ARRAY_CONSTRAIN(FILTER(INDIRECT(""PalData!""&amp;ADDRESS(MATCH(B69,PalNames,0)+1,(MATCH(""Passive0c"",PalData_Header,0)))&amp;"":""&amp;ADDRESS(MATCH(B69,PalNames,0)+1,(MATCH(""Passive0c"",PalData_Header,0))+4)),LEN(INDIRECT"&amp;"(""PalData!""&amp;ADDRESS(MATCH(B69,PalNames,0)+1,(MATCH(""Passive0c"",PalData_Header,0)))&amp;"":""&amp;ADDRESS(MATCH(B69,PalNames,0)+1,(MATCH(""Passive0c"",PalData_Header,0))+4)))&gt;0),1,1)),SkillDataCodeName,0)+1,MATCH(""TargetType1"",SkillData_Header,0)))"),"Trainer")</f>
        <v>Trainer</v>
      </c>
      <c r="L69" s="48" t="e">
        <f aca="false" t="array" ref="L69:L69">IF(INDEX(PalData,MATCH($B69,PalNames,0)+1,MATCH("Passive0cCondition",PalData_Header,0))=IFERROR(INDEX(SkillData,MATCH(INDEX(PalData,MATCH($B69,PalNames,0)+1,MATCH("Passive0c",PalData_Header,0)),SkillDataCodeName,0)+1,MATCH("Conditions",SkillData_Header,0))),INDEX(PalData,MATCH($B69,PalNames,0)+1,MATCH("Passive0cCondition",PalData_Header,0)),INDEX(PalData,MATCH($B69,PalNames,0)+1,MATCH("Passive0cCondition",PalData_Header,0)) &amp; IF(ISBLANK(INDEX(PalData,MATCH($B69,PalNames,0)+1,MATCH("Passive0cCondition",PalData_Header,0))),," ")&amp;IFERROR(INDEX(SkillData,MATCH(INDEX(PalData,MATCH($B69,PalNames,0)+1,MATCH("Passive0c",PalData_Header,0)),SkillDataCodeName,0)+1,MATCH("Conditions",SkillData_Header,0))))</f>
        <v>#VALUE!</v>
      </c>
      <c r="M69" s="48" t="str">
        <f aca="false">IFERROR(__xludf.dummyfunction("IFERROR(INDEX(SkillData,MATCH(Arrayformula(ARRAY_CONSTRAIN(FILTER(INDIRECT(""PalData!""&amp;ADDRESS(MATCH(B69,PalNames,0)+1,(MATCH(""Passive0c"",PalData_Header,0)))&amp;"":""&amp;ADDRESS(MATCH(B69,PalNames,0)+1,(MATCH(""Passive0c"",PalData_Header,0))+4)),LEN(INDIRECT"&amp;"(""PalData!""&amp;ADDRESS(MATCH(B69,PalNames,0)+1,(MATCH(""Passive0c"",PalData_Header,0)))&amp;"":""&amp;ADDRESS(MATCH(B69,PalNames,0)+1,(MATCH(""Passive0c"",PalData_Header,0))+4)))&gt;0),1,1)),SkillDataCodeName,0)+1,MATCH(""ValueType1"",SkillData_Header,0)))"),"%")</f>
        <v>%</v>
      </c>
      <c r="N69" s="61" t="e">
        <f aca="false" t="array" ref="N69:N69">IFERROR(INDEX(SkillData,MATCH(INDEX(PalData,MATCH($B69,PalNames,0)+1,MATCH("Passive0c",PalData_Header,0)),SkillDataCodeName,0)+1,MATCH("EffectValue1",SkillData_Header,0)))</f>
        <v>#VALUE!</v>
      </c>
      <c r="O69" s="61" t="e">
        <f aca="false" t="array" ref="O69:O69">IFERROR(INDEX(SkillData,MATCH(INDEX(PalData,MATCH($B69,PalNames,0)+1,MATCH("Passive1c",PalData_Header,0)),SkillDataCodeName,0)+1,MATCH("EffectValue1",SkillData_Header,0)))</f>
        <v>#VALUE!</v>
      </c>
      <c r="P69" s="61" t="e">
        <f aca="false" t="array" ref="P69:P69">IFERROR(INDEX(SkillData,MATCH(INDEX(PalData,MATCH($B69,PalNames,0)+1,MATCH("Passive2c",PalData_Header,0)),SkillDataCodeName,0)+1,MATCH("EffectValue1",SkillData_Header,0)))</f>
        <v>#VALUE!</v>
      </c>
      <c r="Q69" s="61" t="e">
        <f aca="false" t="array" ref="Q69:Q69">IFERROR(INDEX(SkillData,MATCH(INDEX(PalData,MATCH($B69,PalNames,0)+1,MATCH("Passive3c",PalData_Header,0)),SkillDataCodeName,0)+1,MATCH("EffectValue1",SkillData_Header,0)))</f>
        <v>#VALUE!</v>
      </c>
      <c r="R69" s="304" t="e">
        <f aca="false" t="array" ref="R69:R69">IFERROR(INDEX(SkillData,MATCH(INDEX(PalData,MATCH($B69,PalNames,0)+1,MATCH("Passive4c",PalData_Header,0)),SkillDataCodeName,0)+1,MATCH("EffectValue1",SkillData_Header,0)))</f>
        <v>#VALUE!</v>
      </c>
      <c r="S69" s="48" t="str">
        <f aca="false">IFERROR(__xludf.dummyfunction("IFERROR(INDEX(SkillData,MATCH(Arrayformula(ARRAY_CONSTRAIN(FILTER(INDIRECT(""PalData!""&amp;ADDRESS(MATCH(B69,PalNames,0)+1,(MATCH(""Passive0a"",PalData_Header,0)))&amp;"":""&amp;ADDRESS(MATCH(B69,PalNames,0)+1,(MATCH(""Passive0a"",PalData_Header,0))+4)),LEN(INDIRECT"&amp;"(""PalData!""&amp;ADDRESS(MATCH(B69,PalNames,0)+1,(MATCH(""Passive0a"",PalData_Header,0)))&amp;"":""&amp;ADDRESS(MATCH(B69,PalNames,0)+1,(MATCH(""Passive0a"",PalData_Header,0))+4)))&gt;0),1,1)),SkillDataCodeName,0)+1,MATCH(""EffectTypeCombined"",SkillData_Header,0)))"),"ElementElectricity")</f>
        <v>ElementElectricity</v>
      </c>
      <c r="T69" s="48" t="str">
        <f aca="false">IFERROR(__xludf.dummyfunction("IFERROR(INDEX(SkillData,MATCH(Arrayformula(ARRAY_CONSTRAIN(FILTER(INDIRECT(""PalData!""&amp;ADDRESS(MATCH(B69,PalNames,0)+1,(MATCH(""Passive0a"",PalData_Header,0)))&amp;"":""&amp;ADDRESS(MATCH(B69,PalNames,0)+1,(MATCH(""Passive0a"",PalData_Header,0))+4)),LEN(INDIRECT"&amp;"(""PalData!""&amp;ADDRESS(MATCH(B69,PalNames,0)+1,(MATCH(""Passive0a"",PalData_Header,0)))&amp;"":""&amp;ADDRESS(MATCH(B69,PalNames,0)+1,(MATCH(""Passive0a"",PalData_Header,0))+4)))&gt;0),1,1)),SkillDataCodeName,0)+1,MATCH(""TargetType1"",SkillData_Header,0)))"),"Trainer")</f>
        <v>Trainer</v>
      </c>
      <c r="U69" s="48" t="e">
        <f aca="false" t="array" ref="U69:U69">IF(INDEX(PalData,MATCH($B69,PalNames,0)+1,MATCH("Passive0aCondition",PalData_Header,0))=IFERROR(INDEX(SkillData,MATCH(INDEX(PalData,MATCH($B69,PalNames,0)+1,MATCH("Passive0a",PalData_Header,0)),SkillDataCodeName,0)+1,MATCH("Conditions",SkillData_Header,0))),INDEX(PalData,MATCH($B69,PalNames,0)+1,MATCH("Passive0aCondition",PalData_Header,0)),INDEX(PalData,MATCH($B69,PalNames,0)+1,MATCH("Passive0aCondition",PalData_Header,0)) &amp; IF(ISBLANK(INDEX(PalData,MATCH($B69,PalNames,0)+1,MATCH("Passive0aCondition",PalData_Header,0))),," ")&amp;IFERROR(INDEX(SkillData,MATCH(INDEX(PalData,MATCH($B69,PalNames,0)+1,MATCH("Passive0a",PalData_Header,0)),SkillDataCodeName,0)+1,MATCH("Conditions",SkillData_Header,0))))</f>
        <v>#VALUE!</v>
      </c>
      <c r="V69" s="48" t="str">
        <f aca="false">IFERROR(__xludf.dummyfunction("IFERROR(INDEX(SkillData,MATCH(Arrayformula(ARRAY_CONSTRAIN(FILTER(INDIRECT(""PalData!""&amp;ADDRESS(MATCH(B69,PalNames,0)+1,(MATCH(""Passive0a"",PalData_Header,0)))&amp;"":""&amp;ADDRESS(MATCH(B69,PalNames,0)+1,(MATCH(""Passive0a"",PalData_Header,0))+4)),LEN(INDIRECT"&amp;"(""PalData!""&amp;ADDRESS(MATCH(B69,PalNames,0)+1,(MATCH(""Passive0a"",PalData_Header,0)))&amp;"":""&amp;ADDRESS(MATCH(B69,PalNames,0)+1,(MATCH(""Passive0a"",PalData_Header,0))+4)))&gt;0),1,1)),SkillDataCodeName,0)+1,MATCH(""ValueType1"",SkillData_Header,0)))"),"bool")</f>
        <v>bool</v>
      </c>
      <c r="W69" s="61" t="n">
        <f aca="false" t="array" ref="W69:W69">IFERROR(INDEX(SkillData,MATCH(INDEX(PalData,MATCH($B69,PalNames,0)+1,MATCH("Passive0a",PalData_Header,0)),SkillDataCodeName,0)+1,MATCH("EffectValue1",SkillData_Header,0)),)</f>
        <v>1</v>
      </c>
      <c r="X69" s="61" t="n">
        <f aca="false" t="array" ref="X69:X69">IFERROR(INDEX(SkillData,MATCH(INDEX(PalData,MATCH($B69,PalNames,0)+1,MATCH("Passive1a",PalData_Header,0)),SkillDataCodeName,0)+1,MATCH("EffectValue1",SkillData_Header,0)),)</f>
        <v>1</v>
      </c>
      <c r="Y69" s="61" t="n">
        <f aca="false" t="array" ref="Y69:Y69">IFERROR(INDEX(SkillData,MATCH(INDEX(PalData,MATCH($B69,PalNames,0)+1,MATCH("Passive2a",PalData_Header,0)),SkillDataCodeName,0)+1,MATCH("EffectValue1",SkillData_Header,0)),)</f>
        <v>1</v>
      </c>
      <c r="Z69" s="61" t="n">
        <f aca="false" t="array" ref="Z69:Z69">IFERROR(INDEX(SkillData,MATCH(INDEX(PalData,MATCH($B69,PalNames,0)+1,MATCH("Passive3a",PalData_Header,0)),SkillDataCodeName,0)+1,MATCH("EffectValue1",SkillData_Header,0)),)</f>
        <v>1</v>
      </c>
      <c r="AA69" s="304" t="n">
        <f aca="false" t="array" ref="AA69:AA69">IFERROR(INDEX(SkillData,MATCH(INDEX(PalData,MATCH($B69,PalNames,0)+1,MATCH("Passive4a",PalData_Header,0)),SkillDataCodeName,0)+1,MATCH("EffectValue1",SkillData_Header,0)),)</f>
        <v>1</v>
      </c>
      <c r="AB69" s="48" t="str">
        <f aca="false">IFERROR(__xludf.dummyfunction("IFERROR(INDEX(SkillData,MATCH(Arrayformula(ARRAY_CONSTRAIN(FILTER(INDIRECT(""PalData!""&amp;ADDRESS(MATCH(B69,PalNames,0)+1,(MATCH(""Passive0b"",PalData_Header,0)))&amp;"":""&amp;ADDRESS(MATCH(B69,PalNames,0)+1,(MATCH(""Passive0b"",PalData_Header,0))+4)),LEN(INDIRECT"&amp;"(""PalData!""&amp;ADDRESS(MATCH(B69,PalNames,0)+1,(MATCH(""Passive0b"",PalData_Header,0)))&amp;"":""&amp;ADDRESS(MATCH(B69,PalNames,0)+1,(MATCH(""Passive0b"",PalData_Header,0))+4)))&gt;0),1,1)),SkillDataCodeName,0)+1,MATCH(""EffectTypeCombined"",SkillData_Header,0)))"),"")</f>
        <v/>
      </c>
      <c r="AC69" s="48" t="str">
        <f aca="false">IFERROR(__xludf.dummyfunction("IFERROR(INDEX(SkillData,MATCH(Arrayformula(ARRAY_CONSTRAIN(FILTER(INDIRECT(""PalData!""&amp;ADDRESS(MATCH(B69,PalNames,0)+1,(MATCH(""Passive0b"",PalData_Header,0)))&amp;"":""&amp;ADDRESS(MATCH(B69,PalNames,0)+1,(MATCH(""Passive0b"",PalData_Header,0))+4)),LEN(INDIRECT"&amp;"(""PalData!""&amp;ADDRESS(MATCH(B69,PalNames,0)+1,(MATCH(""Passive0b"",PalData_Header,0)))&amp;"":""&amp;ADDRESS(MATCH(B69,PalNames,0)+1,(MATCH(""Passive0b"",PalData_Header,0))+4)))&gt;0),1,1)),SkillDataCodeName,0)+1,MATCH(""TargetType1"",SkillData_Header,0)))"),"")</f>
        <v/>
      </c>
      <c r="AD69" s="48" t="e">
        <f aca="false" t="array" ref="AD69:AD69">IF(INDEX(PalData,MATCH($B69,PalNames,0)+1,MATCH("Passive0bCondition",PalData_Header,0))=IFERROR(INDEX(SkillData,MATCH(INDEX(PalData,MATCH($B69,PalNames,0)+1,MATCH("Passive0b",PalData_Header,0)),SkillDataCodeName,0)+1,MATCH("Conditions",SkillData_Header,0))),INDEX(PalData,MATCH($B69,PalNames,0)+1,MATCH("Passive0bCondition",PalData_Header,0)),INDEX(PalData,MATCH($B69,PalNames,0)+1,MATCH("Passive0bCondition",PalData_Header,0)) &amp; IF(ISBLANK(INDEX(PalData,MATCH($B69,PalNames,0)+1,MATCH("Passive0bCondition",PalData_Header,0))),," ")&amp;IFERROR(INDEX(SkillData,MATCH(INDEX(PalData,MATCH($B69,PalNames,0)+1,MATCH("Passive0b",PalData_Header,0)),SkillDataCodeName,0)+1,MATCH("Conditions",SkillData_Header,0))))</f>
        <v>#N/A</v>
      </c>
      <c r="AE69" s="48" t="str">
        <f aca="false">IFERROR(__xludf.dummyfunction("IFERROR(INDEX(SkillData,MATCH(Arrayformula(ARRAY_CONSTRAIN(FILTER(INDIRECT(""PalData!""&amp;ADDRESS(MATCH(B69,PalNames,0)+1,(MATCH(""Passive0b"",PalData_Header,0)))&amp;"":""&amp;ADDRESS(MATCH(B69,PalNames,0)+1,(MATCH(""Passive0b"",PalData_Header,0))+4)),LEN(INDIRECT"&amp;"(""PalData!""&amp;ADDRESS(MATCH(B69,PalNames,0)+1,(MATCH(""Passive0b"",PalData_Header,0)))&amp;"":""&amp;ADDRESS(MATCH(B69,PalNames,0)+1,(MATCH(""Passive0b"",PalData_Header,0))+4)))&gt;0),1,1)),SkillDataCodeName,0)+1,MATCH(""ValueType1"",SkillData_Header,0)))"),"")</f>
        <v/>
      </c>
      <c r="AF69" s="48" t="n">
        <f aca="false">IFERROR(INDEX(SkillData,MATCH(INDEX(PalData,MATCH($B69,PalNames,0)+1,MATCH("Passive0b",PalData_Header,0)),SkillDataCodeName,0)+1,MATCH("EffectValue1",SkillData_Header,0)),)</f>
        <v>0</v>
      </c>
      <c r="AG69" s="48" t="n">
        <f aca="false">IFERROR(INDEX(SkillData,MATCH(INDEX(PalData,MATCH($B69,PalNames,0)+1,MATCH("Passive1b",PalData_Header,0)),SkillDataCodeName,0)+1,MATCH("EffectValue1",SkillData_Header,0)),)</f>
        <v>0</v>
      </c>
      <c r="AH69" s="48" t="n">
        <f aca="false">IFERROR(INDEX(SkillData,MATCH(INDEX(PalData,MATCH($B69,PalNames,0)+1,MATCH("Passive2b",PalData_Header,0)),SkillDataCodeName,0)+1,MATCH("EffectValue1",SkillData_Header,0)),)</f>
        <v>0</v>
      </c>
      <c r="AI69" s="48" t="n">
        <f aca="false">IFERROR(INDEX(SkillData,MATCH(INDEX(PalData,MATCH($B69,PalNames,0)+1,MATCH("Passive3b",PalData_Header,0)),SkillDataCodeName,0)+1,MATCH("EffectValue1",SkillData_Header,0)),)</f>
        <v>0</v>
      </c>
      <c r="AJ69" s="263" t="n">
        <f aca="false">IFERROR(INDEX(SkillData,MATCH(INDEX(PalData,MATCH($B69,PalNames,0)+1,MATCH("Passive4b",PalData_Header,0)),SkillDataCodeName,0)+1,MATCH("EffectValue1",SkillData_Header,0)),)</f>
        <v>0</v>
      </c>
      <c r="AK69" s="305" t="s">
        <v>333</v>
      </c>
    </row>
    <row r="70" customFormat="false" ht="15.75" hidden="false" customHeight="false" outlineLevel="0" collapsed="false">
      <c r="A70" s="299" t="n">
        <v>57</v>
      </c>
      <c r="B70" s="300" t="s">
        <v>58</v>
      </c>
      <c r="C70" s="45" t="n">
        <f aca="false">IF(ISBLANK(INDEX(PalData,MATCH($B70,PalNames,0)+1,MATCH("ActiveSkill",PalData_Header,0))),INDEX(PalData,MATCH($B70,PalNames,0)+1,MATCH("SkillUnlock_",PalData_Header,0)),INDEX(PalData,MATCH($B70,PalNames,0)+1,MATCH("ActiveSkill",PalData_Header,0)))</f>
        <v>0</v>
      </c>
      <c r="D70" s="45"/>
      <c r="E70" s="45" t="n">
        <f aca="false">INDEX(PalData,MATCH($B70,PalNames,0)+1,MATCH("ActiveSkillBonus0",PalData_Header,0))</f>
        <v>0</v>
      </c>
      <c r="F70" s="45" t="n">
        <f aca="false">INDEX(PalData,MATCH($B70,PalNames,0)+1,MATCH("ActiveSkillBonus1",PalData_Header,0))</f>
        <v>0</v>
      </c>
      <c r="G70" s="45" t="n">
        <f aca="false">INDEX(PalData,MATCH($B70,PalNames,0)+1,MATCH("ActiveSkillBonus2",PalData_Header,0))</f>
        <v>0</v>
      </c>
      <c r="H70" s="45" t="n">
        <f aca="false">INDEX(PalData,MATCH($B70,PalNames,0)+1,MATCH("ActiveSkillBonus3",PalData_Header,0))</f>
        <v>0</v>
      </c>
      <c r="I70" s="260" t="n">
        <f aca="false">INDEX(PalData,MATCH($B70,PalNames,0)+1,MATCH("ActiveSkillBonus4",PalData_Header,0))</f>
        <v>0</v>
      </c>
      <c r="J70" s="45" t="str">
        <f aca="false">IFERROR(__xludf.dummyfunction("IFERROR(INDEX(SkillData,MATCH(Arrayformula(ARRAY_CONSTRAIN(FILTER(INDIRECT(""PalData!""&amp;ADDRESS(MATCH(B70,PalNames,0)+1,(MATCH(""Passive0c"",PalData_Header,0)))&amp;"":""&amp;ADDRESS(MATCH(B70,PalNames,0)+1,(MATCH(""Passive0c"",PalData_Header,0))+4)),LEN(INDIRECT"&amp;"(""PalData!""&amp;ADDRESS(MATCH(B70,PalNames,0)+1,(MATCH(""Passive0c"",PalData_Header,0)))&amp;"":""&amp;ADDRESS(MATCH(B70,PalNames,0)+1,(MATCH(""Passive0c"",PalData_Header,0))+4)))&gt;0),1,1)),SkillDataCodeName,0)+1,MATCH(""EffectTypeCombined"",SkillData_Header,0)))"),"ShotAttack")</f>
        <v>ShotAttack</v>
      </c>
      <c r="K70" s="45" t="str">
        <f aca="false">IFERROR(__xludf.dummyfunction("IFERROR(INDEX(SkillData,MATCH(Arrayformula(ARRAY_CONSTRAIN(FILTER(INDIRECT(""PalData!""&amp;ADDRESS(MATCH(B70,PalNames,0)+1,(MATCH(""Passive0c"",PalData_Header,0)))&amp;"":""&amp;ADDRESS(MATCH(B70,PalNames,0)+1,(MATCH(""Passive0c"",PalData_Header,0))+4)),LEN(INDIRECT"&amp;"(""PalData!""&amp;ADDRESS(MATCH(B70,PalNames,0)+1,(MATCH(""Passive0c"",PalData_Header,0)))&amp;"":""&amp;ADDRESS(MATCH(B70,PalNames,0)+1,(MATCH(""Passive0c"",PalData_Header,0))+4)))&gt;0),1,1)),SkillDataCodeName,0)+1,MATCH(""TargetType1"",SkillData_Header,0)))"),"Self")</f>
        <v>Self</v>
      </c>
      <c r="L70" s="45" t="e">
        <f aca="false" t="array" ref="L70:L70">IF(INDEX(PalData,MATCH($B70,PalNames,0)+1,MATCH("Passive0cCondition",PalData_Header,0))=IFERROR(INDEX(SkillData,MATCH(INDEX(PalData,MATCH($B70,PalNames,0)+1,MATCH("Passive0c",PalData_Header,0)),SkillDataCodeName,0)+1,MATCH("Conditions",SkillData_Header,0))),INDEX(PalData,MATCH($B70,PalNames,0)+1,MATCH("Passive0cCondition",PalData_Header,0)),INDEX(PalData,MATCH($B70,PalNames,0)+1,MATCH("Passive0cCondition",PalData_Header,0)) &amp; IF(ISBLANK(INDEX(PalData,MATCH($B70,PalNames,0)+1,MATCH("Passive0cCondition",PalData_Header,0))),," ")&amp;IFERROR(INDEX(SkillData,MATCH(INDEX(PalData,MATCH($B70,PalNames,0)+1,MATCH("Passive0c",PalData_Header,0)),SkillDataCodeName,0)+1,MATCH("Conditions",SkillData_Header,0))))</f>
        <v>#VALUE!</v>
      </c>
      <c r="M70" s="45" t="str">
        <f aca="false">IFERROR(__xludf.dummyfunction("IFERROR(INDEX(SkillData,MATCH(Arrayformula(ARRAY_CONSTRAIN(FILTER(INDIRECT(""PalData!""&amp;ADDRESS(MATCH(B70,PalNames,0)+1,(MATCH(""Passive0c"",PalData_Header,0)))&amp;"":""&amp;ADDRESS(MATCH(B70,PalNames,0)+1,(MATCH(""Passive0c"",PalData_Header,0))+4)),LEN(INDIRECT"&amp;"(""PalData!""&amp;ADDRESS(MATCH(B70,PalNames,0)+1,(MATCH(""Passive0c"",PalData_Header,0)))&amp;"":""&amp;ADDRESS(MATCH(B70,PalNames,0)+1,(MATCH(""Passive0c"",PalData_Header,0))+4)))&gt;0),1,1)),SkillDataCodeName,0)+1,MATCH(""ValueType1"",SkillData_Header,0)))"),"%")</f>
        <v>%</v>
      </c>
      <c r="N70" s="62" t="e">
        <f aca="false" t="array" ref="N70:N70">IFERROR(INDEX(SkillData,MATCH(INDEX(PalData,MATCH($B70,PalNames,0)+1,MATCH("Passive0c",PalData_Header,0)),SkillDataCodeName,0)+1,MATCH("EffectValue1",SkillData_Header,0)))</f>
        <v>#VALUE!</v>
      </c>
      <c r="O70" s="62" t="e">
        <f aca="false" t="array" ref="O70:O70">IFERROR(INDEX(SkillData,MATCH(INDEX(PalData,MATCH($B70,PalNames,0)+1,MATCH("Passive1c",PalData_Header,0)),SkillDataCodeName,0)+1,MATCH("EffectValue1",SkillData_Header,0)))</f>
        <v>#VALUE!</v>
      </c>
      <c r="P70" s="62" t="e">
        <f aca="false" t="array" ref="P70:P70">IFERROR(INDEX(SkillData,MATCH(INDEX(PalData,MATCH($B70,PalNames,0)+1,MATCH("Passive2c",PalData_Header,0)),SkillDataCodeName,0)+1,MATCH("EffectValue1",SkillData_Header,0)))</f>
        <v>#VALUE!</v>
      </c>
      <c r="Q70" s="62" t="e">
        <f aca="false" t="array" ref="Q70:Q70">IFERROR(INDEX(SkillData,MATCH(INDEX(PalData,MATCH($B70,PalNames,0)+1,MATCH("Passive3c",PalData_Header,0)),SkillDataCodeName,0)+1,MATCH("EffectValue1",SkillData_Header,0)))</f>
        <v>#VALUE!</v>
      </c>
      <c r="R70" s="306" t="e">
        <f aca="false" t="array" ref="R70:R70">IFERROR(INDEX(SkillData,MATCH(INDEX(PalData,MATCH($B70,PalNames,0)+1,MATCH("Passive4c",PalData_Header,0)),SkillDataCodeName,0)+1,MATCH("EffectValue1",SkillData_Header,0)))</f>
        <v>#VALUE!</v>
      </c>
      <c r="S70" s="45" t="str">
        <f aca="false">IFERROR(__xludf.dummyfunction("IFERROR(INDEX(SkillData,MATCH(Arrayformula(ARRAY_CONSTRAIN(FILTER(INDIRECT(""PalData!""&amp;ADDRESS(MATCH(B70,PalNames,0)+1,(MATCH(""Passive0a"",PalData_Header,0)))&amp;"":""&amp;ADDRESS(MATCH(B70,PalNames,0)+1,(MATCH(""Passive0a"",PalData_Header,0))+4)),LEN(INDIRECT"&amp;"(""PalData!""&amp;ADDRESS(MATCH(B70,PalNames,0)+1,(MATCH(""Passive0a"",PalData_Header,0)))&amp;"":""&amp;ADDRESS(MATCH(B70,PalNames,0)+1,(MATCH(""Passive0a"",PalData_Header,0))+4)))&gt;0),1,1)),SkillDataCodeName,0)+1,MATCH(""EffectTypeCombined"",SkillData_Header,0)))"),"")</f>
        <v/>
      </c>
      <c r="T70" s="45" t="str">
        <f aca="false">IFERROR(__xludf.dummyfunction("IFERROR(INDEX(SkillData,MATCH(Arrayformula(ARRAY_CONSTRAIN(FILTER(INDIRECT(""PalData!""&amp;ADDRESS(MATCH(B70,PalNames,0)+1,(MATCH(""Passive0a"",PalData_Header,0)))&amp;"":""&amp;ADDRESS(MATCH(B70,PalNames,0)+1,(MATCH(""Passive0a"",PalData_Header,0))+4)),LEN(INDIRECT"&amp;"(""PalData!""&amp;ADDRESS(MATCH(B70,PalNames,0)+1,(MATCH(""Passive0a"",PalData_Header,0)))&amp;"":""&amp;ADDRESS(MATCH(B70,PalNames,0)+1,(MATCH(""Passive0a"",PalData_Header,0))+4)))&gt;0),1,1)),SkillDataCodeName,0)+1,MATCH(""TargetType1"",SkillData_Header,0)))"),"")</f>
        <v/>
      </c>
      <c r="U70" s="45" t="e">
        <f aca="false" t="array" ref="U70:U70">IF(INDEX(PalData,MATCH($B70,PalNames,0)+1,MATCH("Passive0aCondition",PalData_Header,0))=IFERROR(INDEX(SkillData,MATCH(INDEX(PalData,MATCH($B70,PalNames,0)+1,MATCH("Passive0a",PalData_Header,0)),SkillDataCodeName,0)+1,MATCH("Conditions",SkillData_Header,0))),INDEX(PalData,MATCH($B70,PalNames,0)+1,MATCH("Passive0aCondition",PalData_Header,0)),INDEX(PalData,MATCH($B70,PalNames,0)+1,MATCH("Passive0aCondition",PalData_Header,0)) &amp; IF(ISBLANK(INDEX(PalData,MATCH($B70,PalNames,0)+1,MATCH("Passive0aCondition",PalData_Header,0))),," ")&amp;IFERROR(INDEX(SkillData,MATCH(INDEX(PalData,MATCH($B70,PalNames,0)+1,MATCH("Passive0a",PalData_Header,0)),SkillDataCodeName,0)+1,MATCH("Conditions",SkillData_Header,0))))</f>
        <v>#N/A</v>
      </c>
      <c r="V70" s="45" t="str">
        <f aca="false">IFERROR(__xludf.dummyfunction("IFERROR(INDEX(SkillData,MATCH(Arrayformula(ARRAY_CONSTRAIN(FILTER(INDIRECT(""PalData!""&amp;ADDRESS(MATCH(B70,PalNames,0)+1,(MATCH(""Passive0a"",PalData_Header,0)))&amp;"":""&amp;ADDRESS(MATCH(B70,PalNames,0)+1,(MATCH(""Passive0a"",PalData_Header,0))+4)),LEN(INDIRECT"&amp;"(""PalData!""&amp;ADDRESS(MATCH(B70,PalNames,0)+1,(MATCH(""Passive0a"",PalData_Header,0)))&amp;"":""&amp;ADDRESS(MATCH(B70,PalNames,0)+1,(MATCH(""Passive0a"",PalData_Header,0))+4)))&gt;0),1,1)),SkillDataCodeName,0)+1,MATCH(""ValueType1"",SkillData_Header,0)))"),"")</f>
        <v/>
      </c>
      <c r="W70" s="45" t="n">
        <f aca="false">IFERROR(INDEX(SkillData,MATCH(INDEX(PalData,MATCH($B70,PalNames,0)+1,MATCH("Passive0a",PalData_Header,0)),SkillDataCodeName,0)+1,MATCH("EffectValue1",SkillData_Header,0)),)</f>
        <v>0</v>
      </c>
      <c r="X70" s="45" t="n">
        <f aca="false">IFERROR(INDEX(SkillData,MATCH(INDEX(PalData,MATCH($B70,PalNames,0)+1,MATCH("Passive1a",PalData_Header,0)),SkillDataCodeName,0)+1,MATCH("EffectValue1",SkillData_Header,0)),)</f>
        <v>0</v>
      </c>
      <c r="Y70" s="45" t="n">
        <f aca="false">IFERROR(INDEX(SkillData,MATCH(INDEX(PalData,MATCH($B70,PalNames,0)+1,MATCH("Passive2a",PalData_Header,0)),SkillDataCodeName,0)+1,MATCH("EffectValue1",SkillData_Header,0)),)</f>
        <v>0</v>
      </c>
      <c r="Z70" s="45" t="n">
        <f aca="false">IFERROR(INDEX(SkillData,MATCH(INDEX(PalData,MATCH($B70,PalNames,0)+1,MATCH("Passive3a",PalData_Header,0)),SkillDataCodeName,0)+1,MATCH("EffectValue1",SkillData_Header,0)),)</f>
        <v>0</v>
      </c>
      <c r="AA70" s="260" t="n">
        <f aca="false">IFERROR(INDEX(SkillData,MATCH(INDEX(PalData,MATCH($B70,PalNames,0)+1,MATCH("Passive4a",PalData_Header,0)),SkillDataCodeName,0)+1,MATCH("EffectValue1",SkillData_Header,0)),)</f>
        <v>0</v>
      </c>
      <c r="AB70" s="45" t="str">
        <f aca="false">IFERROR(__xludf.dummyfunction("IFERROR(INDEX(SkillData,MATCH(Arrayformula(ARRAY_CONSTRAIN(FILTER(INDIRECT(""PalData!""&amp;ADDRESS(MATCH(B70,PalNames,0)+1,(MATCH(""Passive0b"",PalData_Header,0)))&amp;"":""&amp;ADDRESS(MATCH(B70,PalNames,0)+1,(MATCH(""Passive0b"",PalData_Header,0))+4)),LEN(INDIRECT"&amp;"(""PalData!""&amp;ADDRESS(MATCH(B70,PalNames,0)+1,(MATCH(""Passive0b"",PalData_Header,0)))&amp;"":""&amp;ADDRESS(MATCH(B70,PalNames,0)+1,(MATCH(""Passive0b"",PalData_Header,0))+4)))&gt;0),1,1)),SkillDataCodeName,0)+1,MATCH(""EffectTypeCombined"",SkillData_Header,0)))"),"")</f>
        <v/>
      </c>
      <c r="AC70" s="45" t="str">
        <f aca="false">IFERROR(__xludf.dummyfunction("IFERROR(INDEX(SkillData,MATCH(Arrayformula(ARRAY_CONSTRAIN(FILTER(INDIRECT(""PalData!""&amp;ADDRESS(MATCH(B70,PalNames,0)+1,(MATCH(""Passive0b"",PalData_Header,0)))&amp;"":""&amp;ADDRESS(MATCH(B70,PalNames,0)+1,(MATCH(""Passive0b"",PalData_Header,0))+4)),LEN(INDIRECT"&amp;"(""PalData!""&amp;ADDRESS(MATCH(B70,PalNames,0)+1,(MATCH(""Passive0b"",PalData_Header,0)))&amp;"":""&amp;ADDRESS(MATCH(B70,PalNames,0)+1,(MATCH(""Passive0b"",PalData_Header,0))+4)))&gt;0),1,1)),SkillDataCodeName,0)+1,MATCH(""TargetType1"",SkillData_Header,0)))"),"")</f>
        <v/>
      </c>
      <c r="AD70" s="45" t="e">
        <f aca="false" t="array" ref="AD70:AD70">IF(INDEX(PalData,MATCH($B70,PalNames,0)+1,MATCH("Passive0bCondition",PalData_Header,0))=IFERROR(INDEX(SkillData,MATCH(INDEX(PalData,MATCH($B70,PalNames,0)+1,MATCH("Passive0b",PalData_Header,0)),SkillDataCodeName,0)+1,MATCH("Conditions",SkillData_Header,0))),INDEX(PalData,MATCH($B70,PalNames,0)+1,MATCH("Passive0bCondition",PalData_Header,0)),INDEX(PalData,MATCH($B70,PalNames,0)+1,MATCH("Passive0bCondition",PalData_Header,0)) &amp; IF(ISBLANK(INDEX(PalData,MATCH($B70,PalNames,0)+1,MATCH("Passive0bCondition",PalData_Header,0))),," ")&amp;IFERROR(INDEX(SkillData,MATCH(INDEX(PalData,MATCH($B70,PalNames,0)+1,MATCH("Passive0b",PalData_Header,0)),SkillDataCodeName,0)+1,MATCH("Conditions",SkillData_Header,0))))</f>
        <v>#N/A</v>
      </c>
      <c r="AE70" s="45" t="str">
        <f aca="false">IFERROR(__xludf.dummyfunction("IFERROR(INDEX(SkillData,MATCH(Arrayformula(ARRAY_CONSTRAIN(FILTER(INDIRECT(""PalData!""&amp;ADDRESS(MATCH(B70,PalNames,0)+1,(MATCH(""Passive0b"",PalData_Header,0)))&amp;"":""&amp;ADDRESS(MATCH(B70,PalNames,0)+1,(MATCH(""Passive0b"",PalData_Header,0))+4)),LEN(INDIRECT"&amp;"(""PalData!""&amp;ADDRESS(MATCH(B70,PalNames,0)+1,(MATCH(""Passive0b"",PalData_Header,0)))&amp;"":""&amp;ADDRESS(MATCH(B70,PalNames,0)+1,(MATCH(""Passive0b"",PalData_Header,0))+4)))&gt;0),1,1)),SkillDataCodeName,0)+1,MATCH(""ValueType1"",SkillData_Header,0)))"),"")</f>
        <v/>
      </c>
      <c r="AF70" s="45" t="n">
        <f aca="false">IFERROR(INDEX(SkillData,MATCH(INDEX(PalData,MATCH($B70,PalNames,0)+1,MATCH("Passive0b",PalData_Header,0)),SkillDataCodeName,0)+1,MATCH("EffectValue1",SkillData_Header,0)),)</f>
        <v>0</v>
      </c>
      <c r="AG70" s="45" t="n">
        <f aca="false">IFERROR(INDEX(SkillData,MATCH(INDEX(PalData,MATCH($B70,PalNames,0)+1,MATCH("Passive1b",PalData_Header,0)),SkillDataCodeName,0)+1,MATCH("EffectValue1",SkillData_Header,0)),)</f>
        <v>0</v>
      </c>
      <c r="AH70" s="45" t="n">
        <f aca="false">IFERROR(INDEX(SkillData,MATCH(INDEX(PalData,MATCH($B70,PalNames,0)+1,MATCH("Passive2b",PalData_Header,0)),SkillDataCodeName,0)+1,MATCH("EffectValue1",SkillData_Header,0)),)</f>
        <v>0</v>
      </c>
      <c r="AI70" s="45" t="n">
        <f aca="false">IFERROR(INDEX(SkillData,MATCH(INDEX(PalData,MATCH($B70,PalNames,0)+1,MATCH("Passive3b",PalData_Header,0)),SkillDataCodeName,0)+1,MATCH("EffectValue1",SkillData_Header,0)),)</f>
        <v>0</v>
      </c>
      <c r="AJ70" s="260" t="n">
        <f aca="false">IFERROR(INDEX(SkillData,MATCH(INDEX(PalData,MATCH($B70,PalNames,0)+1,MATCH("Passive4b",PalData_Header,0)),SkillDataCodeName,0)+1,MATCH("EffectValue1",SkillData_Header,0)),)</f>
        <v>0</v>
      </c>
      <c r="AK70" s="301" t="s">
        <v>334</v>
      </c>
    </row>
    <row r="71" customFormat="false" ht="15.75" hidden="false" customHeight="false" outlineLevel="0" collapsed="false">
      <c r="A71" s="302" t="n">
        <v>58</v>
      </c>
      <c r="B71" s="303" t="s">
        <v>117</v>
      </c>
      <c r="C71" s="48" t="str">
        <f aca="false" t="array" ref="C71:C71">IF(ISBLANK(INDEX(PalData,MATCH($B71,PalNames,0)+1,MATCH("ActiveSkill",PalData_Header,0))),INDEX(PalData,MATCH($B71,PalNames,0)+1,MATCH("SkillUnlock_",PalData_Header,0)),INDEX(PalData,MATCH($B71,PalNames,0)+1,MATCH("ActiveSkill",PalData_Header,0)))</f>
        <v>Saddle</v>
      </c>
      <c r="D71" s="48"/>
      <c r="E71" s="48" t="n">
        <f aca="false">INDEX(PalData,MATCH($B71,PalNames,0)+1,MATCH("ActiveSkillBonus0",PalData_Header,0))</f>
        <v>0</v>
      </c>
      <c r="F71" s="48" t="n">
        <f aca="false">INDEX(PalData,MATCH($B71,PalNames,0)+1,MATCH("ActiveSkillBonus1",PalData_Header,0))</f>
        <v>0</v>
      </c>
      <c r="G71" s="48" t="n">
        <f aca="false">INDEX(PalData,MATCH($B71,PalNames,0)+1,MATCH("ActiveSkillBonus2",PalData_Header,0))</f>
        <v>0</v>
      </c>
      <c r="H71" s="48" t="n">
        <f aca="false">INDEX(PalData,MATCH($B71,PalNames,0)+1,MATCH("ActiveSkillBonus3",PalData_Header,0))</f>
        <v>0</v>
      </c>
      <c r="I71" s="263" t="n">
        <f aca="false">INDEX(PalData,MATCH($B71,PalNames,0)+1,MATCH("ActiveSkillBonus4",PalData_Header,0))</f>
        <v>0</v>
      </c>
      <c r="J71" s="48" t="str">
        <f aca="false">IFERROR(__xludf.dummyfunction("IFERROR(INDEX(SkillData,MATCH(Arrayformula(ARRAY_CONSTRAIN(FILTER(INDIRECT(""PalData!""&amp;ADDRESS(MATCH(B71,PalNames,0)+1,(MATCH(""Passive0c"",PalData_Header,0)))&amp;"":""&amp;ADDRESS(MATCH(B71,PalNames,0)+1,(MATCH(""Passive0c"",PalData_Header,0))+4)),LEN(INDIRECT"&amp;"(""PalData!""&amp;ADDRESS(MATCH(B71,PalNames,0)+1,(MATCH(""Passive0c"",PalData_Header,0)))&amp;"":""&amp;ADDRESS(MATCH(B71,PalNames,0)+1,(MATCH(""Passive0c"",PalData_Header,0))+4)))&gt;0),1,1)),SkillDataCodeName,0)+1,MATCH(""EffectTypeCombined"",SkillData_Header,0)))"),"ShotAttack")</f>
        <v>ShotAttack</v>
      </c>
      <c r="K71" s="48" t="str">
        <f aca="false">IFERROR(__xludf.dummyfunction("IFERROR(INDEX(SkillData,MATCH(Arrayformula(ARRAY_CONSTRAIN(FILTER(INDIRECT(""PalData!""&amp;ADDRESS(MATCH(B71,PalNames,0)+1,(MATCH(""Passive0c"",PalData_Header,0)))&amp;"":""&amp;ADDRESS(MATCH(B71,PalNames,0)+1,(MATCH(""Passive0c"",PalData_Header,0))+4)),LEN(INDIRECT"&amp;"(""PalData!""&amp;ADDRESS(MATCH(B71,PalNames,0)+1,(MATCH(""Passive0c"",PalData_Header,0)))&amp;"":""&amp;ADDRESS(MATCH(B71,PalNames,0)+1,(MATCH(""Passive0c"",PalData_Header,0))+4)))&gt;0),1,1)),SkillDataCodeName,0)+1,MATCH(""TargetType1"",SkillData_Header,0)))"),"Trainer")</f>
        <v>Trainer</v>
      </c>
      <c r="L71" s="48" t="e">
        <f aca="false" t="array" ref="L71:L71">IF(INDEX(PalData,MATCH($B71,PalNames,0)+1,MATCH("Passive0cCondition",PalData_Header,0))=IFERROR(INDEX(SkillData,MATCH(INDEX(PalData,MATCH($B71,PalNames,0)+1,MATCH("Passive0c",PalData_Header,0)),SkillDataCodeName,0)+1,MATCH("Conditions",SkillData_Header,0))),INDEX(PalData,MATCH($B71,PalNames,0)+1,MATCH("Passive0cCondition",PalData_Header,0)),INDEX(PalData,MATCH($B71,PalNames,0)+1,MATCH("Passive0cCondition",PalData_Header,0)) &amp; IF(ISBLANK(INDEX(PalData,MATCH($B71,PalNames,0)+1,MATCH("Passive0cCondition",PalData_Header,0))),," ")&amp;IFERROR(INDEX(SkillData,MATCH(INDEX(PalData,MATCH($B71,PalNames,0)+1,MATCH("Passive0c",PalData_Header,0)),SkillDataCodeName,0)+1,MATCH("Conditions",SkillData_Header,0))))</f>
        <v>#VALUE!</v>
      </c>
      <c r="M71" s="48" t="str">
        <f aca="false">IFERROR(__xludf.dummyfunction("IFERROR(INDEX(SkillData,MATCH(Arrayformula(ARRAY_CONSTRAIN(FILTER(INDIRECT(""PalData!""&amp;ADDRESS(MATCH(B71,PalNames,0)+1,(MATCH(""Passive0c"",PalData_Header,0)))&amp;"":""&amp;ADDRESS(MATCH(B71,PalNames,0)+1,(MATCH(""Passive0c"",PalData_Header,0))+4)),LEN(INDIRECT"&amp;"(""PalData!""&amp;ADDRESS(MATCH(B71,PalNames,0)+1,(MATCH(""Passive0c"",PalData_Header,0)))&amp;"":""&amp;ADDRESS(MATCH(B71,PalNames,0)+1,(MATCH(""Passive0c"",PalData_Header,0))+4)))&gt;0),1,1)),SkillDataCodeName,0)+1,MATCH(""ValueType1"",SkillData_Header,0)))"),"%")</f>
        <v>%</v>
      </c>
      <c r="N71" s="61" t="e">
        <f aca="false" t="array" ref="N71:N71">IFERROR(INDEX(SkillData,MATCH(INDEX(PalData,MATCH($B71,PalNames,0)+1,MATCH("Passive0c",PalData_Header,0)),SkillDataCodeName,0)+1,MATCH("EffectValue1",SkillData_Header,0)))</f>
        <v>#VALUE!</v>
      </c>
      <c r="O71" s="61" t="e">
        <f aca="false" t="array" ref="O71:O71">IFERROR(INDEX(SkillData,MATCH(INDEX(PalData,MATCH($B71,PalNames,0)+1,MATCH("Passive1c",PalData_Header,0)),SkillDataCodeName,0)+1,MATCH("EffectValue1",SkillData_Header,0)))</f>
        <v>#VALUE!</v>
      </c>
      <c r="P71" s="61" t="e">
        <f aca="false" t="array" ref="P71:P71">IFERROR(INDEX(SkillData,MATCH(INDEX(PalData,MATCH($B71,PalNames,0)+1,MATCH("Passive2c",PalData_Header,0)),SkillDataCodeName,0)+1,MATCH("EffectValue1",SkillData_Header,0)))</f>
        <v>#VALUE!</v>
      </c>
      <c r="Q71" s="61" t="e">
        <f aca="false" t="array" ref="Q71:Q71">IFERROR(INDEX(SkillData,MATCH(INDEX(PalData,MATCH($B71,PalNames,0)+1,MATCH("Passive3c",PalData_Header,0)),SkillDataCodeName,0)+1,MATCH("EffectValue1",SkillData_Header,0)))</f>
        <v>#VALUE!</v>
      </c>
      <c r="R71" s="304" t="e">
        <f aca="false" t="array" ref="R71:R71">IFERROR(INDEX(SkillData,MATCH(INDEX(PalData,MATCH($B71,PalNames,0)+1,MATCH("Passive4c",PalData_Header,0)),SkillDataCodeName,0)+1,MATCH("EffectValue1",SkillData_Header,0)))</f>
        <v>#VALUE!</v>
      </c>
      <c r="S71" s="48" t="str">
        <f aca="false">IFERROR(__xludf.dummyfunction("IFERROR(INDEX(SkillData,MATCH(Arrayformula(ARRAY_CONSTRAIN(FILTER(INDIRECT(""PalData!""&amp;ADDRESS(MATCH(B71,PalNames,0)+1,(MATCH(""Passive0a"",PalData_Header,0)))&amp;"":""&amp;ADDRESS(MATCH(B71,PalNames,0)+1,(MATCH(""Passive0a"",PalData_Header,0))+4)),LEN(INDIRECT"&amp;"(""PalData!""&amp;ADDRESS(MATCH(B71,PalNames,0)+1,(MATCH(""Passive0a"",PalData_Header,0)))&amp;"":""&amp;ADDRESS(MATCH(B71,PalNames,0)+1,(MATCH(""Passive0a"",PalData_Header,0))+4)))&gt;0),1,1)),SkillDataCodeName,0)+1,MATCH(""EffectTypeCombined"",SkillData_Header,0)))"),"ElementFire")</f>
        <v>ElementFire</v>
      </c>
      <c r="T71" s="48" t="str">
        <f aca="false">IFERROR(__xludf.dummyfunction("IFERROR(INDEX(SkillData,MATCH(Arrayformula(ARRAY_CONSTRAIN(FILTER(INDIRECT(""PalData!""&amp;ADDRESS(MATCH(B71,PalNames,0)+1,(MATCH(""Passive0a"",PalData_Header,0)))&amp;"":""&amp;ADDRESS(MATCH(B71,PalNames,0)+1,(MATCH(""Passive0a"",PalData_Header,0))+4)),LEN(INDIRECT"&amp;"(""PalData!""&amp;ADDRESS(MATCH(B71,PalNames,0)+1,(MATCH(""Passive0a"",PalData_Header,0)))&amp;"":""&amp;ADDRESS(MATCH(B71,PalNames,0)+1,(MATCH(""Passive0a"",PalData_Header,0))+4)))&gt;0),1,1)),SkillDataCodeName,0)+1,MATCH(""TargetType1"",SkillData_Header,0)))"),"Trainer")</f>
        <v>Trainer</v>
      </c>
      <c r="U71" s="48" t="e">
        <f aca="false" t="array" ref="U71:U71">IF(INDEX(PalData,MATCH($B71,PalNames,0)+1,MATCH("Passive0aCondition",PalData_Header,0))=IFERROR(INDEX(SkillData,MATCH(INDEX(PalData,MATCH($B71,PalNames,0)+1,MATCH("Passive0a",PalData_Header,0)),SkillDataCodeName,0)+1,MATCH("Conditions",SkillData_Header,0))),INDEX(PalData,MATCH($B71,PalNames,0)+1,MATCH("Passive0aCondition",PalData_Header,0)),INDEX(PalData,MATCH($B71,PalNames,0)+1,MATCH("Passive0aCondition",PalData_Header,0)) &amp; IF(ISBLANK(INDEX(PalData,MATCH($B71,PalNames,0)+1,MATCH("Passive0aCondition",PalData_Header,0))),," ")&amp;IFERROR(INDEX(SkillData,MATCH(INDEX(PalData,MATCH($B71,PalNames,0)+1,MATCH("Passive0a",PalData_Header,0)),SkillDataCodeName,0)+1,MATCH("Conditions",SkillData_Header,0))))</f>
        <v>#VALUE!</v>
      </c>
      <c r="V71" s="48" t="str">
        <f aca="false">IFERROR(__xludf.dummyfunction("IFERROR(INDEX(SkillData,MATCH(Arrayformula(ARRAY_CONSTRAIN(FILTER(INDIRECT(""PalData!""&amp;ADDRESS(MATCH(B71,PalNames,0)+1,(MATCH(""Passive0a"",PalData_Header,0)))&amp;"":""&amp;ADDRESS(MATCH(B71,PalNames,0)+1,(MATCH(""Passive0a"",PalData_Header,0))+4)),LEN(INDIRECT"&amp;"(""PalData!""&amp;ADDRESS(MATCH(B71,PalNames,0)+1,(MATCH(""Passive0a"",PalData_Header,0)))&amp;"":""&amp;ADDRESS(MATCH(B71,PalNames,0)+1,(MATCH(""Passive0a"",PalData_Header,0))+4)))&gt;0),1,1)),SkillDataCodeName,0)+1,MATCH(""ValueType1"",SkillData_Header,0)))"),"bool")</f>
        <v>bool</v>
      </c>
      <c r="W71" s="61" t="n">
        <f aca="false" t="array" ref="W71:W71">IFERROR(INDEX(SkillData,MATCH(INDEX(PalData,MATCH($B71,PalNames,0)+1,MATCH("Passive0a",PalData_Header,0)),SkillDataCodeName,0)+1,MATCH("EffectValue1",SkillData_Header,0)),)</f>
        <v>1</v>
      </c>
      <c r="X71" s="61" t="n">
        <f aca="false" t="array" ref="X71:X71">IFERROR(INDEX(SkillData,MATCH(INDEX(PalData,MATCH($B71,PalNames,0)+1,MATCH("Passive1a",PalData_Header,0)),SkillDataCodeName,0)+1,MATCH("EffectValue1",SkillData_Header,0)),)</f>
        <v>1</v>
      </c>
      <c r="Y71" s="61" t="n">
        <f aca="false" t="array" ref="Y71:Y71">IFERROR(INDEX(SkillData,MATCH(INDEX(PalData,MATCH($B71,PalNames,0)+1,MATCH("Passive2a",PalData_Header,0)),SkillDataCodeName,0)+1,MATCH("EffectValue1",SkillData_Header,0)),)</f>
        <v>1</v>
      </c>
      <c r="Z71" s="61" t="n">
        <f aca="false" t="array" ref="Z71:Z71">IFERROR(INDEX(SkillData,MATCH(INDEX(PalData,MATCH($B71,PalNames,0)+1,MATCH("Passive3a",PalData_Header,0)),SkillDataCodeName,0)+1,MATCH("EffectValue1",SkillData_Header,0)),)</f>
        <v>1</v>
      </c>
      <c r="AA71" s="304" t="n">
        <f aca="false" t="array" ref="AA71:AA71">IFERROR(INDEX(SkillData,MATCH(INDEX(PalData,MATCH($B71,PalNames,0)+1,MATCH("Passive4a",PalData_Header,0)),SkillDataCodeName,0)+1,MATCH("EffectValue1",SkillData_Header,0)),)</f>
        <v>1</v>
      </c>
      <c r="AB71" s="48" t="str">
        <f aca="false">IFERROR(__xludf.dummyfunction("IFERROR(INDEX(SkillData,MATCH(Arrayformula(ARRAY_CONSTRAIN(FILTER(INDIRECT(""PalData!""&amp;ADDRESS(MATCH(B71,PalNames,0)+1,(MATCH(""Passive0b"",PalData_Header,0)))&amp;"":""&amp;ADDRESS(MATCH(B71,PalNames,0)+1,(MATCH(""Passive0b"",PalData_Header,0))+4)),LEN(INDIRECT"&amp;"(""PalData!""&amp;ADDRESS(MATCH(B71,PalNames,0)+1,(MATCH(""Passive0b"",PalData_Header,0)))&amp;"":""&amp;ADDRESS(MATCH(B71,PalNames,0)+1,(MATCH(""Passive0b"",PalData_Header,0))+4)))&gt;0),1,1)),SkillDataCodeName,0)+1,MATCH(""EffectTypeCombined"",SkillData_Header,0)))"),"")</f>
        <v/>
      </c>
      <c r="AC71" s="48" t="str">
        <f aca="false">IFERROR(__xludf.dummyfunction("IFERROR(INDEX(SkillData,MATCH(Arrayformula(ARRAY_CONSTRAIN(FILTER(INDIRECT(""PalData!""&amp;ADDRESS(MATCH(B71,PalNames,0)+1,(MATCH(""Passive0b"",PalData_Header,0)))&amp;"":""&amp;ADDRESS(MATCH(B71,PalNames,0)+1,(MATCH(""Passive0b"",PalData_Header,0))+4)),LEN(INDIRECT"&amp;"(""PalData!""&amp;ADDRESS(MATCH(B71,PalNames,0)+1,(MATCH(""Passive0b"",PalData_Header,0)))&amp;"":""&amp;ADDRESS(MATCH(B71,PalNames,0)+1,(MATCH(""Passive0b"",PalData_Header,0))+4)))&gt;0),1,1)),SkillDataCodeName,0)+1,MATCH(""TargetType1"",SkillData_Header,0)))"),"")</f>
        <v/>
      </c>
      <c r="AD71" s="48" t="e">
        <f aca="false" t="array" ref="AD71:AD71">IF(INDEX(PalData,MATCH($B71,PalNames,0)+1,MATCH("Passive0bCondition",PalData_Header,0))=IFERROR(INDEX(SkillData,MATCH(INDEX(PalData,MATCH($B71,PalNames,0)+1,MATCH("Passive0b",PalData_Header,0)),SkillDataCodeName,0)+1,MATCH("Conditions",SkillData_Header,0))),INDEX(PalData,MATCH($B71,PalNames,0)+1,MATCH("Passive0bCondition",PalData_Header,0)),INDEX(PalData,MATCH($B71,PalNames,0)+1,MATCH("Passive0bCondition",PalData_Header,0)) &amp; IF(ISBLANK(INDEX(PalData,MATCH($B71,PalNames,0)+1,MATCH("Passive0bCondition",PalData_Header,0))),," ")&amp;IFERROR(INDEX(SkillData,MATCH(INDEX(PalData,MATCH($B71,PalNames,0)+1,MATCH("Passive0b",PalData_Header,0)),SkillDataCodeName,0)+1,MATCH("Conditions",SkillData_Header,0))))</f>
        <v>#N/A</v>
      </c>
      <c r="AE71" s="48" t="str">
        <f aca="false">IFERROR(__xludf.dummyfunction("IFERROR(INDEX(SkillData,MATCH(Arrayformula(ARRAY_CONSTRAIN(FILTER(INDIRECT(""PalData!""&amp;ADDRESS(MATCH(B71,PalNames,0)+1,(MATCH(""Passive0b"",PalData_Header,0)))&amp;"":""&amp;ADDRESS(MATCH(B71,PalNames,0)+1,(MATCH(""Passive0b"",PalData_Header,0))+4)),LEN(INDIRECT"&amp;"(""PalData!""&amp;ADDRESS(MATCH(B71,PalNames,0)+1,(MATCH(""Passive0b"",PalData_Header,0)))&amp;"":""&amp;ADDRESS(MATCH(B71,PalNames,0)+1,(MATCH(""Passive0b"",PalData_Header,0))+4)))&gt;0),1,1)),SkillDataCodeName,0)+1,MATCH(""ValueType1"",SkillData_Header,0)))"),"")</f>
        <v/>
      </c>
      <c r="AF71" s="48" t="n">
        <f aca="false">IFERROR(INDEX(SkillData,MATCH(INDEX(PalData,MATCH($B71,PalNames,0)+1,MATCH("Passive0b",PalData_Header,0)),SkillDataCodeName,0)+1,MATCH("EffectValue1",SkillData_Header,0)),)</f>
        <v>0</v>
      </c>
      <c r="AG71" s="48" t="n">
        <f aca="false">IFERROR(INDEX(SkillData,MATCH(INDEX(PalData,MATCH($B71,PalNames,0)+1,MATCH("Passive1b",PalData_Header,0)),SkillDataCodeName,0)+1,MATCH("EffectValue1",SkillData_Header,0)),)</f>
        <v>0</v>
      </c>
      <c r="AH71" s="48" t="n">
        <f aca="false">IFERROR(INDEX(SkillData,MATCH(INDEX(PalData,MATCH($B71,PalNames,0)+1,MATCH("Passive2b",PalData_Header,0)),SkillDataCodeName,0)+1,MATCH("EffectValue1",SkillData_Header,0)),)</f>
        <v>0</v>
      </c>
      <c r="AI71" s="48" t="n">
        <f aca="false">IFERROR(INDEX(SkillData,MATCH(INDEX(PalData,MATCH($B71,PalNames,0)+1,MATCH("Passive3b",PalData_Header,0)),SkillDataCodeName,0)+1,MATCH("EffectValue1",SkillData_Header,0)),)</f>
        <v>0</v>
      </c>
      <c r="AJ71" s="263" t="n">
        <f aca="false">IFERROR(INDEX(SkillData,MATCH(INDEX(PalData,MATCH($B71,PalNames,0)+1,MATCH("Passive4b",PalData_Header,0)),SkillDataCodeName,0)+1,MATCH("EffectValue1",SkillData_Header,0)),)</f>
        <v>0</v>
      </c>
      <c r="AK71" s="305" t="s">
        <v>335</v>
      </c>
    </row>
    <row r="72" customFormat="false" ht="15.75" hidden="false" customHeight="false" outlineLevel="0" collapsed="false">
      <c r="A72" s="299" t="n">
        <v>58</v>
      </c>
      <c r="B72" s="300" t="s">
        <v>118</v>
      </c>
      <c r="C72" s="45" t="str">
        <f aca="false" t="array" ref="C72:C72">IF(ISBLANK(INDEX(PalData,MATCH($B72,PalNames,0)+1,MATCH("ActiveSkill",PalData_Header,0))),INDEX(PalData,MATCH($B72,PalNames,0)+1,MATCH("SkillUnlock_",PalData_Header,0)),INDEX(PalData,MATCH($B72,PalNames,0)+1,MATCH("ActiveSkill",PalData_Header,0)))</f>
        <v>Saddle</v>
      </c>
      <c r="D72" s="45"/>
      <c r="E72" s="45" t="n">
        <f aca="false">INDEX(PalData,MATCH($B72,PalNames,0)+1,MATCH("ActiveSkillBonus0",PalData_Header,0))</f>
        <v>0</v>
      </c>
      <c r="F72" s="45" t="n">
        <f aca="false">INDEX(PalData,MATCH($B72,PalNames,0)+1,MATCH("ActiveSkillBonus1",PalData_Header,0))</f>
        <v>0</v>
      </c>
      <c r="G72" s="45" t="n">
        <f aca="false">INDEX(PalData,MATCH($B72,PalNames,0)+1,MATCH("ActiveSkillBonus2",PalData_Header,0))</f>
        <v>0</v>
      </c>
      <c r="H72" s="45" t="n">
        <f aca="false">INDEX(PalData,MATCH($B72,PalNames,0)+1,MATCH("ActiveSkillBonus3",PalData_Header,0))</f>
        <v>0</v>
      </c>
      <c r="I72" s="260" t="n">
        <f aca="false">INDEX(PalData,MATCH($B72,PalNames,0)+1,MATCH("ActiveSkillBonus4",PalData_Header,0))</f>
        <v>0</v>
      </c>
      <c r="J72" s="45" t="str">
        <f aca="false">IFERROR(__xludf.dummyfunction("IFERROR(INDEX(SkillData,MATCH(Arrayformula(ARRAY_CONSTRAIN(FILTER(INDIRECT(""PalData!""&amp;ADDRESS(MATCH(B72,PalNames,0)+1,(MATCH(""Passive0c"",PalData_Header,0)))&amp;"":""&amp;ADDRESS(MATCH(B72,PalNames,0)+1,(MATCH(""Passive0c"",PalData_Header,0))+4)),LEN(INDIRECT"&amp;"(""PalData!""&amp;ADDRESS(MATCH(B72,PalNames,0)+1,(MATCH(""Passive0c"",PalData_Header,0)))&amp;"":""&amp;ADDRESS(MATCH(B72,PalNames,0)+1,(MATCH(""Passive0c"",PalData_Header,0))+4)))&gt;0),1,1)),SkillDataCodeName,0)+1,MATCH(""EffectTypeCombined"",SkillData_Header,0)))"),"ShotAttack")</f>
        <v>ShotAttack</v>
      </c>
      <c r="K72" s="45" t="str">
        <f aca="false">IFERROR(__xludf.dummyfunction("IFERROR(INDEX(SkillData,MATCH(Arrayformula(ARRAY_CONSTRAIN(FILTER(INDIRECT(""PalData!""&amp;ADDRESS(MATCH(B72,PalNames,0)+1,(MATCH(""Passive0c"",PalData_Header,0)))&amp;"":""&amp;ADDRESS(MATCH(B72,PalNames,0)+1,(MATCH(""Passive0c"",PalData_Header,0))+4)),LEN(INDIRECT"&amp;"(""PalData!""&amp;ADDRESS(MATCH(B72,PalNames,0)+1,(MATCH(""Passive0c"",PalData_Header,0)))&amp;"":""&amp;ADDRESS(MATCH(B72,PalNames,0)+1,(MATCH(""Passive0c"",PalData_Header,0))+4)))&gt;0),1,1)),SkillDataCodeName,0)+1,MATCH(""TargetType1"",SkillData_Header,0)))"),"Trainer")</f>
        <v>Trainer</v>
      </c>
      <c r="L72" s="45" t="e">
        <f aca="false" t="array" ref="L72:L72">IF(INDEX(PalData,MATCH($B72,PalNames,0)+1,MATCH("Passive0cCondition",PalData_Header,0))=IFERROR(INDEX(SkillData,MATCH(INDEX(PalData,MATCH($B72,PalNames,0)+1,MATCH("Passive0c",PalData_Header,0)),SkillDataCodeName,0)+1,MATCH("Conditions",SkillData_Header,0))),INDEX(PalData,MATCH($B72,PalNames,0)+1,MATCH("Passive0cCondition",PalData_Header,0)),INDEX(PalData,MATCH($B72,PalNames,0)+1,MATCH("Passive0cCondition",PalData_Header,0)) &amp; IF(ISBLANK(INDEX(PalData,MATCH($B72,PalNames,0)+1,MATCH("Passive0cCondition",PalData_Header,0))),," ")&amp;IFERROR(INDEX(SkillData,MATCH(INDEX(PalData,MATCH($B72,PalNames,0)+1,MATCH("Passive0c",PalData_Header,0)),SkillDataCodeName,0)+1,MATCH("Conditions",SkillData_Header,0))))</f>
        <v>#VALUE!</v>
      </c>
      <c r="M72" s="45" t="str">
        <f aca="false">IFERROR(__xludf.dummyfunction("IFERROR(INDEX(SkillData,MATCH(Arrayformula(ARRAY_CONSTRAIN(FILTER(INDIRECT(""PalData!""&amp;ADDRESS(MATCH(B72,PalNames,0)+1,(MATCH(""Passive0c"",PalData_Header,0)))&amp;"":""&amp;ADDRESS(MATCH(B72,PalNames,0)+1,(MATCH(""Passive0c"",PalData_Header,0))+4)),LEN(INDIRECT"&amp;"(""PalData!""&amp;ADDRESS(MATCH(B72,PalNames,0)+1,(MATCH(""Passive0c"",PalData_Header,0)))&amp;"":""&amp;ADDRESS(MATCH(B72,PalNames,0)+1,(MATCH(""Passive0c"",PalData_Header,0))+4)))&gt;0),1,1)),SkillDataCodeName,0)+1,MATCH(""ValueType1"",SkillData_Header,0)))"),"%")</f>
        <v>%</v>
      </c>
      <c r="N72" s="62" t="e">
        <f aca="false" t="array" ref="N72:N72">IFERROR(INDEX(SkillData,MATCH(INDEX(PalData,MATCH($B72,PalNames,0)+1,MATCH("Passive0c",PalData_Header,0)),SkillDataCodeName,0)+1,MATCH("EffectValue1",SkillData_Header,0)))</f>
        <v>#VALUE!</v>
      </c>
      <c r="O72" s="62" t="e">
        <f aca="false" t="array" ref="O72:O72">IFERROR(INDEX(SkillData,MATCH(INDEX(PalData,MATCH($B72,PalNames,0)+1,MATCH("Passive1c",PalData_Header,0)),SkillDataCodeName,0)+1,MATCH("EffectValue1",SkillData_Header,0)))</f>
        <v>#VALUE!</v>
      </c>
      <c r="P72" s="62" t="e">
        <f aca="false" t="array" ref="P72:P72">IFERROR(INDEX(SkillData,MATCH(INDEX(PalData,MATCH($B72,PalNames,0)+1,MATCH("Passive2c",PalData_Header,0)),SkillDataCodeName,0)+1,MATCH("EffectValue1",SkillData_Header,0)))</f>
        <v>#VALUE!</v>
      </c>
      <c r="Q72" s="62" t="e">
        <f aca="false" t="array" ref="Q72:Q72">IFERROR(INDEX(SkillData,MATCH(INDEX(PalData,MATCH($B72,PalNames,0)+1,MATCH("Passive3c",PalData_Header,0)),SkillDataCodeName,0)+1,MATCH("EffectValue1",SkillData_Header,0)))</f>
        <v>#VALUE!</v>
      </c>
      <c r="R72" s="306" t="e">
        <f aca="false" t="array" ref="R72:R72">IFERROR(INDEX(SkillData,MATCH(INDEX(PalData,MATCH($B72,PalNames,0)+1,MATCH("Passive4c",PalData_Header,0)),SkillDataCodeName,0)+1,MATCH("EffectValue1",SkillData_Header,0)))</f>
        <v>#VALUE!</v>
      </c>
      <c r="S72" s="45" t="str">
        <f aca="false">IFERROR(__xludf.dummyfunction("IFERROR(INDEX(SkillData,MATCH(Arrayformula(ARRAY_CONSTRAIN(FILTER(INDIRECT(""PalData!""&amp;ADDRESS(MATCH(B72,PalNames,0)+1,(MATCH(""Passive0a"",PalData_Header,0)))&amp;"":""&amp;ADDRESS(MATCH(B72,PalNames,0)+1,(MATCH(""Passive0a"",PalData_Header,0))+4)),LEN(INDIRECT"&amp;"(""PalData!""&amp;ADDRESS(MATCH(B72,PalNames,0)+1,(MATCH(""Passive0a"",PalData_Header,0)))&amp;"":""&amp;ADDRESS(MATCH(B72,PalNames,0)+1,(MATCH(""Passive0a"",PalData_Header,0))+4)))&gt;0),1,1)),SkillDataCodeName,0)+1,MATCH(""EffectTypeCombined"",SkillData_Header,0)))"),"ElementDark")</f>
        <v>ElementDark</v>
      </c>
      <c r="T72" s="45" t="str">
        <f aca="false">IFERROR(__xludf.dummyfunction("IFERROR(INDEX(SkillData,MATCH(Arrayformula(ARRAY_CONSTRAIN(FILTER(INDIRECT(""PalData!""&amp;ADDRESS(MATCH(B72,PalNames,0)+1,(MATCH(""Passive0a"",PalData_Header,0)))&amp;"":""&amp;ADDRESS(MATCH(B72,PalNames,0)+1,(MATCH(""Passive0a"",PalData_Header,0))+4)),LEN(INDIRECT"&amp;"(""PalData!""&amp;ADDRESS(MATCH(B72,PalNames,0)+1,(MATCH(""Passive0a"",PalData_Header,0)))&amp;"":""&amp;ADDRESS(MATCH(B72,PalNames,0)+1,(MATCH(""Passive0a"",PalData_Header,0))+4)))&gt;0),1,1)),SkillDataCodeName,0)+1,MATCH(""TargetType1"",SkillData_Header,0)))"),"Trainer")</f>
        <v>Trainer</v>
      </c>
      <c r="U72" s="45" t="e">
        <f aca="false" t="array" ref="U72:U72">IF(INDEX(PalData,MATCH($B72,PalNames,0)+1,MATCH("Passive0aCondition",PalData_Header,0))=IFERROR(INDEX(SkillData,MATCH(INDEX(PalData,MATCH($B72,PalNames,0)+1,MATCH("Passive0a",PalData_Header,0)),SkillDataCodeName,0)+1,MATCH("Conditions",SkillData_Header,0))),INDEX(PalData,MATCH($B72,PalNames,0)+1,MATCH("Passive0aCondition",PalData_Header,0)),INDEX(PalData,MATCH($B72,PalNames,0)+1,MATCH("Passive0aCondition",PalData_Header,0)) &amp; IF(ISBLANK(INDEX(PalData,MATCH($B72,PalNames,0)+1,MATCH("Passive0aCondition",PalData_Header,0))),," ")&amp;IFERROR(INDEX(SkillData,MATCH(INDEX(PalData,MATCH($B72,PalNames,0)+1,MATCH("Passive0a",PalData_Header,0)),SkillDataCodeName,0)+1,MATCH("Conditions",SkillData_Header,0))))</f>
        <v>#VALUE!</v>
      </c>
      <c r="V72" s="45" t="str">
        <f aca="false">IFERROR(__xludf.dummyfunction("IFERROR(INDEX(SkillData,MATCH(Arrayformula(ARRAY_CONSTRAIN(FILTER(INDIRECT(""PalData!""&amp;ADDRESS(MATCH(B72,PalNames,0)+1,(MATCH(""Passive0a"",PalData_Header,0)))&amp;"":""&amp;ADDRESS(MATCH(B72,PalNames,0)+1,(MATCH(""Passive0a"",PalData_Header,0))+4)),LEN(INDIRECT"&amp;"(""PalData!""&amp;ADDRESS(MATCH(B72,PalNames,0)+1,(MATCH(""Passive0a"",PalData_Header,0)))&amp;"":""&amp;ADDRESS(MATCH(B72,PalNames,0)+1,(MATCH(""Passive0a"",PalData_Header,0))+4)))&gt;0),1,1)),SkillDataCodeName,0)+1,MATCH(""ValueType1"",SkillData_Header,0)))"),"bool")</f>
        <v>bool</v>
      </c>
      <c r="W72" s="62" t="n">
        <f aca="false" t="array" ref="W72:W72">IFERROR(INDEX(SkillData,MATCH(INDEX(PalData,MATCH($B72,PalNames,0)+1,MATCH("Passive0a",PalData_Header,0)),SkillDataCodeName,0)+1,MATCH("EffectValue1",SkillData_Header,0)),)</f>
        <v>1</v>
      </c>
      <c r="X72" s="62" t="n">
        <f aca="false" t="array" ref="X72:X72">IFERROR(INDEX(SkillData,MATCH(INDEX(PalData,MATCH($B72,PalNames,0)+1,MATCH("Passive1a",PalData_Header,0)),SkillDataCodeName,0)+1,MATCH("EffectValue1",SkillData_Header,0)),)</f>
        <v>1</v>
      </c>
      <c r="Y72" s="62" t="n">
        <f aca="false" t="array" ref="Y72:Y72">IFERROR(INDEX(SkillData,MATCH(INDEX(PalData,MATCH($B72,PalNames,0)+1,MATCH("Passive2a",PalData_Header,0)),SkillDataCodeName,0)+1,MATCH("EffectValue1",SkillData_Header,0)),)</f>
        <v>1</v>
      </c>
      <c r="Z72" s="62" t="n">
        <f aca="false" t="array" ref="Z72:Z72">IFERROR(INDEX(SkillData,MATCH(INDEX(PalData,MATCH($B72,PalNames,0)+1,MATCH("Passive3a",PalData_Header,0)),SkillDataCodeName,0)+1,MATCH("EffectValue1",SkillData_Header,0)),)</f>
        <v>1</v>
      </c>
      <c r="AA72" s="306" t="n">
        <f aca="false" t="array" ref="AA72:AA72">IFERROR(INDEX(SkillData,MATCH(INDEX(PalData,MATCH($B72,PalNames,0)+1,MATCH("Passive4a",PalData_Header,0)),SkillDataCodeName,0)+1,MATCH("EffectValue1",SkillData_Header,0)),)</f>
        <v>1</v>
      </c>
      <c r="AB72" s="45" t="str">
        <f aca="false">IFERROR(__xludf.dummyfunction("IFERROR(INDEX(SkillData,MATCH(Arrayformula(ARRAY_CONSTRAIN(FILTER(INDIRECT(""PalData!""&amp;ADDRESS(MATCH(B72,PalNames,0)+1,(MATCH(""Passive0b"",PalData_Header,0)))&amp;"":""&amp;ADDRESS(MATCH(B72,PalNames,0)+1,(MATCH(""Passive0b"",PalData_Header,0))+4)),LEN(INDIRECT"&amp;"(""PalData!""&amp;ADDRESS(MATCH(B72,PalNames,0)+1,(MATCH(""Passive0b"",PalData_Header,0)))&amp;"":""&amp;ADDRESS(MATCH(B72,PalNames,0)+1,(MATCH(""Passive0b"",PalData_Header,0))+4)))&gt;0),1,1)),SkillDataCodeName,0)+1,MATCH(""EffectTypeCombined"",SkillData_Header,0)))"),"")</f>
        <v/>
      </c>
      <c r="AC72" s="45" t="str">
        <f aca="false">IFERROR(__xludf.dummyfunction("IFERROR(INDEX(SkillData,MATCH(Arrayformula(ARRAY_CONSTRAIN(FILTER(INDIRECT(""PalData!""&amp;ADDRESS(MATCH(B72,PalNames,0)+1,(MATCH(""Passive0b"",PalData_Header,0)))&amp;"":""&amp;ADDRESS(MATCH(B72,PalNames,0)+1,(MATCH(""Passive0b"",PalData_Header,0))+4)),LEN(INDIRECT"&amp;"(""PalData!""&amp;ADDRESS(MATCH(B72,PalNames,0)+1,(MATCH(""Passive0b"",PalData_Header,0)))&amp;"":""&amp;ADDRESS(MATCH(B72,PalNames,0)+1,(MATCH(""Passive0b"",PalData_Header,0))+4)))&gt;0),1,1)),SkillDataCodeName,0)+1,MATCH(""TargetType1"",SkillData_Header,0)))"),"")</f>
        <v/>
      </c>
      <c r="AD72" s="45" t="e">
        <f aca="false" t="array" ref="AD72:AD72">IF(INDEX(PalData,MATCH($B72,PalNames,0)+1,MATCH("Passive0bCondition",PalData_Header,0))=IFERROR(INDEX(SkillData,MATCH(INDEX(PalData,MATCH($B72,PalNames,0)+1,MATCH("Passive0b",PalData_Header,0)),SkillDataCodeName,0)+1,MATCH("Conditions",SkillData_Header,0))),INDEX(PalData,MATCH($B72,PalNames,0)+1,MATCH("Passive0bCondition",PalData_Header,0)),INDEX(PalData,MATCH($B72,PalNames,0)+1,MATCH("Passive0bCondition",PalData_Header,0)) &amp; IF(ISBLANK(INDEX(PalData,MATCH($B72,PalNames,0)+1,MATCH("Passive0bCondition",PalData_Header,0))),," ")&amp;IFERROR(INDEX(SkillData,MATCH(INDEX(PalData,MATCH($B72,PalNames,0)+1,MATCH("Passive0b",PalData_Header,0)),SkillDataCodeName,0)+1,MATCH("Conditions",SkillData_Header,0))))</f>
        <v>#N/A</v>
      </c>
      <c r="AE72" s="45" t="str">
        <f aca="false">IFERROR(__xludf.dummyfunction("IFERROR(INDEX(SkillData,MATCH(Arrayformula(ARRAY_CONSTRAIN(FILTER(INDIRECT(""PalData!""&amp;ADDRESS(MATCH(B72,PalNames,0)+1,(MATCH(""Passive0b"",PalData_Header,0)))&amp;"":""&amp;ADDRESS(MATCH(B72,PalNames,0)+1,(MATCH(""Passive0b"",PalData_Header,0))+4)),LEN(INDIRECT"&amp;"(""PalData!""&amp;ADDRESS(MATCH(B72,PalNames,0)+1,(MATCH(""Passive0b"",PalData_Header,0)))&amp;"":""&amp;ADDRESS(MATCH(B72,PalNames,0)+1,(MATCH(""Passive0b"",PalData_Header,0))+4)))&gt;0),1,1)),SkillDataCodeName,0)+1,MATCH(""ValueType1"",SkillData_Header,0)))"),"")</f>
        <v/>
      </c>
      <c r="AF72" s="45" t="n">
        <f aca="false">IFERROR(INDEX(SkillData,MATCH(INDEX(PalData,MATCH($B72,PalNames,0)+1,MATCH("Passive0b",PalData_Header,0)),SkillDataCodeName,0)+1,MATCH("EffectValue1",SkillData_Header,0)),)</f>
        <v>0</v>
      </c>
      <c r="AG72" s="45" t="n">
        <f aca="false">IFERROR(INDEX(SkillData,MATCH(INDEX(PalData,MATCH($B72,PalNames,0)+1,MATCH("Passive1b",PalData_Header,0)),SkillDataCodeName,0)+1,MATCH("EffectValue1",SkillData_Header,0)),)</f>
        <v>0</v>
      </c>
      <c r="AH72" s="45" t="n">
        <f aca="false">IFERROR(INDEX(SkillData,MATCH(INDEX(PalData,MATCH($B72,PalNames,0)+1,MATCH("Passive2b",PalData_Header,0)),SkillDataCodeName,0)+1,MATCH("EffectValue1",SkillData_Header,0)),)</f>
        <v>0</v>
      </c>
      <c r="AI72" s="45" t="n">
        <f aca="false">IFERROR(INDEX(SkillData,MATCH(INDEX(PalData,MATCH($B72,PalNames,0)+1,MATCH("Passive3b",PalData_Header,0)),SkillDataCodeName,0)+1,MATCH("EffectValue1",SkillData_Header,0)),)</f>
        <v>0</v>
      </c>
      <c r="AJ72" s="260" t="n">
        <f aca="false">IFERROR(INDEX(SkillData,MATCH(INDEX(PalData,MATCH($B72,PalNames,0)+1,MATCH("Passive4b",PalData_Header,0)),SkillDataCodeName,0)+1,MATCH("EffectValue1",SkillData_Header,0)),)</f>
        <v>0</v>
      </c>
      <c r="AK72" s="301" t="s">
        <v>336</v>
      </c>
    </row>
    <row r="73" customFormat="false" ht="15.75" hidden="false" customHeight="false" outlineLevel="0" collapsed="false">
      <c r="A73" s="302" t="n">
        <v>59</v>
      </c>
      <c r="B73" s="303" t="s">
        <v>121</v>
      </c>
      <c r="C73" s="48" t="str">
        <f aca="false" t="array" ref="C73:C73">IF(ISBLANK(INDEX(PalData,MATCH($B73,PalNames,0)+1,MATCH("ActiveSkill",PalData_Header,0))),INDEX(PalData,MATCH($B73,PalNames,0)+1,MATCH("SkillUnlock_",PalData_Header,0)),INDEX(PalData,MATCH($B73,PalNames,0)+1,MATCH("ActiveSkill",PalData_Header,0)))</f>
        <v>Saddle</v>
      </c>
      <c r="D73" s="48"/>
      <c r="E73" s="48" t="n">
        <f aca="false">INDEX(PalData,MATCH($B73,PalNames,0)+1,MATCH("ActiveSkillBonus0",PalData_Header,0))</f>
        <v>0</v>
      </c>
      <c r="F73" s="48" t="n">
        <f aca="false">INDEX(PalData,MATCH($B73,PalNames,0)+1,MATCH("ActiveSkillBonus1",PalData_Header,0))</f>
        <v>0</v>
      </c>
      <c r="G73" s="48" t="n">
        <f aca="false">INDEX(PalData,MATCH($B73,PalNames,0)+1,MATCH("ActiveSkillBonus2",PalData_Header,0))</f>
        <v>0</v>
      </c>
      <c r="H73" s="48" t="n">
        <f aca="false">INDEX(PalData,MATCH($B73,PalNames,0)+1,MATCH("ActiveSkillBonus3",PalData_Header,0))</f>
        <v>0</v>
      </c>
      <c r="I73" s="263" t="n">
        <f aca="false">INDEX(PalData,MATCH($B73,PalNames,0)+1,MATCH("ActiveSkillBonus4",PalData_Header,0))</f>
        <v>0</v>
      </c>
      <c r="J73" s="48" t="str">
        <f aca="false">IFERROR(__xludf.dummyfunction("IFERROR(INDEX(SkillData,MATCH(Arrayformula(ARRAY_CONSTRAIN(FILTER(INDIRECT(""PalData!""&amp;ADDRESS(MATCH(B73,PalNames,0)+1,(MATCH(""Passive0c"",PalData_Header,0)))&amp;"":""&amp;ADDRESS(MATCH(B73,PalNames,0)+1,(MATCH(""Passive0c"",PalData_Header,0))+4)),LEN(INDIRECT"&amp;"(""PalData!""&amp;ADDRESS(MATCH(B73,PalNames,0)+1,(MATCH(""Passive0c"",PalData_Header,0)))&amp;"":""&amp;ADDRESS(MATCH(B73,PalNames,0)+1,(MATCH(""Passive0c"",PalData_Header,0))+4)))&gt;0),1,1)),SkillDataCodeName,0)+1,MATCH(""EffectTypeCombined"",SkillData_Header,0)))"),"MoveSpeed")</f>
        <v>MoveSpeed</v>
      </c>
      <c r="K73" s="48" t="str">
        <f aca="false">IFERROR(__xludf.dummyfunction("IFERROR(INDEX(SkillData,MATCH(Arrayformula(ARRAY_CONSTRAIN(FILTER(INDIRECT(""PalData!""&amp;ADDRESS(MATCH(B73,PalNames,0)+1,(MATCH(""Passive0c"",PalData_Header,0)))&amp;"":""&amp;ADDRESS(MATCH(B73,PalNames,0)+1,(MATCH(""Passive0c"",PalData_Header,0))+4)),LEN(INDIRECT"&amp;"(""PalData!""&amp;ADDRESS(MATCH(B73,PalNames,0)+1,(MATCH(""Passive0c"",PalData_Header,0)))&amp;"":""&amp;ADDRESS(MATCH(B73,PalNames,0)+1,(MATCH(""Passive0c"",PalData_Header,0))+4)))&gt;0),1,1)),SkillDataCodeName,0)+1,MATCH(""TargetType1"",SkillData_Header,0)))"),"SelfAndTrainer")</f>
        <v>SelfAndTrainer</v>
      </c>
      <c r="L73" s="48" t="e">
        <f aca="false" t="array" ref="L73:L73">IF(INDEX(PalData,MATCH($B73,PalNames,0)+1,MATCH("Passive0cCondition",PalData_Header,0))=IFERROR(INDEX(SkillData,MATCH(INDEX(PalData,MATCH($B73,PalNames,0)+1,MATCH("Passive0c",PalData_Header,0)),SkillDataCodeName,0)+1,MATCH("Conditions",SkillData_Header,0))),INDEX(PalData,MATCH($B73,PalNames,0)+1,MATCH("Passive0cCondition",PalData_Header,0)),INDEX(PalData,MATCH($B73,PalNames,0)+1,MATCH("Passive0cCondition",PalData_Header,0)) &amp; IF(ISBLANK(INDEX(PalData,MATCH($B73,PalNames,0)+1,MATCH("Passive0cCondition",PalData_Header,0))),," ")&amp;IFERROR(INDEX(SkillData,MATCH(INDEX(PalData,MATCH($B73,PalNames,0)+1,MATCH("Passive0c",PalData_Header,0)),SkillDataCodeName,0)+1,MATCH("Conditions",SkillData_Header,0))))</f>
        <v>#N/A</v>
      </c>
      <c r="M73" s="48" t="str">
        <f aca="false">IFERROR(__xludf.dummyfunction("IFERROR(INDEX(SkillData,MATCH(Arrayformula(ARRAY_CONSTRAIN(FILTER(INDIRECT(""PalData!""&amp;ADDRESS(MATCH(B73,PalNames,0)+1,(MATCH(""Passive0c"",PalData_Header,0)))&amp;"":""&amp;ADDRESS(MATCH(B73,PalNames,0)+1,(MATCH(""Passive0c"",PalData_Header,0))+4)),LEN(INDIRECT"&amp;"(""PalData!""&amp;ADDRESS(MATCH(B73,PalNames,0)+1,(MATCH(""Passive0c"",PalData_Header,0)))&amp;"":""&amp;ADDRESS(MATCH(B73,PalNames,0)+1,(MATCH(""Passive0c"",PalData_Header,0))+4)))&gt;0),1,1)),SkillDataCodeName,0)+1,MATCH(""ValueType1"",SkillData_Header,0)))"),"%")</f>
        <v>%</v>
      </c>
      <c r="N73" s="48" t="e">
        <f aca="false" t="array" ref="N73:N73">IFERROR(INDEX(SkillData,MATCH(INDEX(PalData,MATCH($B73,PalNames,0)+1,MATCH("Passive0c",PalData_Header,0)),SkillDataCodeName,0)+1,MATCH("EffectValue1",SkillData_Header,0)))</f>
        <v>#VALUE!</v>
      </c>
      <c r="O73" s="61" t="e">
        <f aca="false" t="array" ref="O73:O73">IFERROR(INDEX(SkillData,MATCH(INDEX(PalData,MATCH($B73,PalNames,0)+1,MATCH("Passive1c",PalData_Header,0)),SkillDataCodeName,0)+1,MATCH("EffectValue1",SkillData_Header,0)))</f>
        <v>#VALUE!</v>
      </c>
      <c r="P73" s="61" t="e">
        <f aca="false" t="array" ref="P73:P73">IFERROR(INDEX(SkillData,MATCH(INDEX(PalData,MATCH($B73,PalNames,0)+1,MATCH("Passive2c",PalData_Header,0)),SkillDataCodeName,0)+1,MATCH("EffectValue1",SkillData_Header,0)))</f>
        <v>#VALUE!</v>
      </c>
      <c r="Q73" s="61" t="e">
        <f aca="false" t="array" ref="Q73:Q73">IFERROR(INDEX(SkillData,MATCH(INDEX(PalData,MATCH($B73,PalNames,0)+1,MATCH("Passive3c",PalData_Header,0)),SkillDataCodeName,0)+1,MATCH("EffectValue1",SkillData_Header,0)))</f>
        <v>#VALUE!</v>
      </c>
      <c r="R73" s="304" t="e">
        <f aca="false" t="array" ref="R73:R73">IFERROR(INDEX(SkillData,MATCH(INDEX(PalData,MATCH($B73,PalNames,0)+1,MATCH("Passive4c",PalData_Header,0)),SkillDataCodeName,0)+1,MATCH("EffectValue1",SkillData_Header,0)))</f>
        <v>#VALUE!</v>
      </c>
      <c r="S73" s="48" t="str">
        <f aca="false">IFERROR(__xludf.dummyfunction("IFERROR(INDEX(SkillData,MATCH(Arrayformula(ARRAY_CONSTRAIN(FILTER(INDIRECT(""PalData!""&amp;ADDRESS(MATCH(B73,PalNames,0)+1,(MATCH(""Passive0a"",PalData_Header,0)))&amp;"":""&amp;ADDRESS(MATCH(B73,PalNames,0)+1,(MATCH(""Passive0a"",PalData_Header,0))+4)),LEN(INDIRECT"&amp;"(""PalData!""&amp;ADDRESS(MATCH(B73,PalNames,0)+1,(MATCH(""Passive0a"",PalData_Header,0)))&amp;"":""&amp;ADDRESS(MATCH(B73,PalNames,0)+1,(MATCH(""Passive0a"",PalData_Header,0))+4)))&gt;0),1,1)),SkillDataCodeName,0)+1,MATCH(""EffectTypeCombined"",SkillData_Header,0)))"),"TemperatureInvalid_Heat")</f>
        <v>TemperatureInvalid_Heat</v>
      </c>
      <c r="T73" s="48" t="str">
        <f aca="false">IFERROR(__xludf.dummyfunction("IFERROR(INDEX(SkillData,MATCH(Arrayformula(ARRAY_CONSTRAIN(FILTER(INDIRECT(""PalData!""&amp;ADDRESS(MATCH(B73,PalNames,0)+1,(MATCH(""Passive0a"",PalData_Header,0)))&amp;"":""&amp;ADDRESS(MATCH(B73,PalNames,0)+1,(MATCH(""Passive0a"",PalData_Header,0))+4)),LEN(INDIRECT"&amp;"(""PalData!""&amp;ADDRESS(MATCH(B73,PalNames,0)+1,(MATCH(""Passive0a"",PalData_Header,0)))&amp;"":""&amp;ADDRESS(MATCH(B73,PalNames,0)+1,(MATCH(""Passive0a"",PalData_Header,0))+4)))&gt;0),1,1)),SkillDataCodeName,0)+1,MATCH(""TargetType1"",SkillData_Header,0)))"),"Trainer")</f>
        <v>Trainer</v>
      </c>
      <c r="U73" s="48" t="e">
        <f aca="false" t="array" ref="U73:U73">IF(INDEX(PalData,MATCH($B73,PalNames,0)+1,MATCH("Passive0aCondition",PalData_Header,0))=IFERROR(INDEX(SkillData,MATCH(INDEX(PalData,MATCH($B73,PalNames,0)+1,MATCH("Passive0a",PalData_Header,0)),SkillDataCodeName,0)+1,MATCH("Conditions",SkillData_Header,0))),INDEX(PalData,MATCH($B73,PalNames,0)+1,MATCH("Passive0aCondition",PalData_Header,0)),INDEX(PalData,MATCH($B73,PalNames,0)+1,MATCH("Passive0aCondition",PalData_Header,0)) &amp; IF(ISBLANK(INDEX(PalData,MATCH($B73,PalNames,0)+1,MATCH("Passive0aCondition",PalData_Header,0))),," ")&amp;IFERROR(INDEX(SkillData,MATCH(INDEX(PalData,MATCH($B73,PalNames,0)+1,MATCH("Passive0a",PalData_Header,0)),SkillDataCodeName,0)+1,MATCH("Conditions",SkillData_Header,0))))</f>
        <v>#VALUE!</v>
      </c>
      <c r="V73" s="48" t="str">
        <f aca="false">IFERROR(__xludf.dummyfunction("IFERROR(INDEX(SkillData,MATCH(Arrayformula(ARRAY_CONSTRAIN(FILTER(INDIRECT(""PalData!""&amp;ADDRESS(MATCH(B73,PalNames,0)+1,(MATCH(""Passive0a"",PalData_Header,0)))&amp;"":""&amp;ADDRESS(MATCH(B73,PalNames,0)+1,(MATCH(""Passive0a"",PalData_Header,0))+4)),LEN(INDIRECT"&amp;"(""PalData!""&amp;ADDRESS(MATCH(B73,PalNames,0)+1,(MATCH(""Passive0a"",PalData_Header,0)))&amp;"":""&amp;ADDRESS(MATCH(B73,PalNames,0)+1,(MATCH(""Passive0a"",PalData_Header,0))+4)))&gt;0),1,1)),SkillDataCodeName,0)+1,MATCH(""ValueType1"",SkillData_Header,0)))"),"bool")</f>
        <v>bool</v>
      </c>
      <c r="W73" s="61" t="n">
        <f aca="false" t="array" ref="W73:W73">IFERROR(INDEX(SkillData,MATCH(INDEX(PalData,MATCH($B73,PalNames,0)+1,MATCH("Passive0a",PalData_Header,0)),SkillDataCodeName,0)+1,MATCH("EffectValue1",SkillData_Header,0)),)</f>
        <v>0</v>
      </c>
      <c r="X73" s="61" t="n">
        <f aca="false" t="array" ref="X73:X73">IFERROR(INDEX(SkillData,MATCH(INDEX(PalData,MATCH($B73,PalNames,0)+1,MATCH("Passive1a",PalData_Header,0)),SkillDataCodeName,0)+1,MATCH("EffectValue1",SkillData_Header,0)),)</f>
        <v>0</v>
      </c>
      <c r="Y73" s="61" t="n">
        <f aca="false" t="array" ref="Y73:Y73">IFERROR(INDEX(SkillData,MATCH(INDEX(PalData,MATCH($B73,PalNames,0)+1,MATCH("Passive2a",PalData_Header,0)),SkillDataCodeName,0)+1,MATCH("EffectValue1",SkillData_Header,0)),)</f>
        <v>0</v>
      </c>
      <c r="Z73" s="61" t="n">
        <f aca="false" t="array" ref="Z73:Z73">IFERROR(INDEX(SkillData,MATCH(INDEX(PalData,MATCH($B73,PalNames,0)+1,MATCH("Passive3a",PalData_Header,0)),SkillDataCodeName,0)+1,MATCH("EffectValue1",SkillData_Header,0)),)</f>
        <v>0</v>
      </c>
      <c r="AA73" s="304" t="n">
        <f aca="false" t="array" ref="AA73:AA73">IFERROR(INDEX(SkillData,MATCH(INDEX(PalData,MATCH($B73,PalNames,0)+1,MATCH("Passive4a",PalData_Header,0)),SkillDataCodeName,0)+1,MATCH("EffectValue1",SkillData_Header,0)),)</f>
        <v>0</v>
      </c>
      <c r="AB73" s="48" t="str">
        <f aca="false">IFERROR(__xludf.dummyfunction("IFERROR(INDEX(SkillData,MATCH(Arrayformula(ARRAY_CONSTRAIN(FILTER(INDIRECT(""PalData!""&amp;ADDRESS(MATCH(B73,PalNames,0)+1,(MATCH(""Passive0b"",PalData_Header,0)))&amp;"":""&amp;ADDRESS(MATCH(B73,PalNames,0)+1,(MATCH(""Passive0b"",PalData_Header,0))+4)),LEN(INDIRECT"&amp;"(""PalData!""&amp;ADDRESS(MATCH(B73,PalNames,0)+1,(MATCH(""Passive0b"",PalData_Header,0)))&amp;"":""&amp;ADDRESS(MATCH(B73,PalNames,0)+1,(MATCH(""Passive0b"",PalData_Header,0))+4)))&gt;0),1,1)),SkillDataCodeName,0)+1,MATCH(""EffectTypeCombined"",SkillData_Header,0)))"),"")</f>
        <v/>
      </c>
      <c r="AC73" s="48" t="str">
        <f aca="false">IFERROR(__xludf.dummyfunction("IFERROR(INDEX(SkillData,MATCH(Arrayformula(ARRAY_CONSTRAIN(FILTER(INDIRECT(""PalData!""&amp;ADDRESS(MATCH(B73,PalNames,0)+1,(MATCH(""Passive0b"",PalData_Header,0)))&amp;"":""&amp;ADDRESS(MATCH(B73,PalNames,0)+1,(MATCH(""Passive0b"",PalData_Header,0))+4)),LEN(INDIRECT"&amp;"(""PalData!""&amp;ADDRESS(MATCH(B73,PalNames,0)+1,(MATCH(""Passive0b"",PalData_Header,0)))&amp;"":""&amp;ADDRESS(MATCH(B73,PalNames,0)+1,(MATCH(""Passive0b"",PalData_Header,0))+4)))&gt;0),1,1)),SkillDataCodeName,0)+1,MATCH(""TargetType1"",SkillData_Header,0)))"),"")</f>
        <v/>
      </c>
      <c r="AD73" s="48" t="e">
        <f aca="false" t="array" ref="AD73:AD73">IF(INDEX(PalData,MATCH($B73,PalNames,0)+1,MATCH("Passive0bCondition",PalData_Header,0))=IFERROR(INDEX(SkillData,MATCH(INDEX(PalData,MATCH($B73,PalNames,0)+1,MATCH("Passive0b",PalData_Header,0)),SkillDataCodeName,0)+1,MATCH("Conditions",SkillData_Header,0))),INDEX(PalData,MATCH($B73,PalNames,0)+1,MATCH("Passive0bCondition",PalData_Header,0)),INDEX(PalData,MATCH($B73,PalNames,0)+1,MATCH("Passive0bCondition",PalData_Header,0)) &amp; IF(ISBLANK(INDEX(PalData,MATCH($B73,PalNames,0)+1,MATCH("Passive0bCondition",PalData_Header,0))),," ")&amp;IFERROR(INDEX(SkillData,MATCH(INDEX(PalData,MATCH($B73,PalNames,0)+1,MATCH("Passive0b",PalData_Header,0)),SkillDataCodeName,0)+1,MATCH("Conditions",SkillData_Header,0))))</f>
        <v>#N/A</v>
      </c>
      <c r="AE73" s="48" t="str">
        <f aca="false">IFERROR(__xludf.dummyfunction("IFERROR(INDEX(SkillData,MATCH(Arrayformula(ARRAY_CONSTRAIN(FILTER(INDIRECT(""PalData!""&amp;ADDRESS(MATCH(B73,PalNames,0)+1,(MATCH(""Passive0b"",PalData_Header,0)))&amp;"":""&amp;ADDRESS(MATCH(B73,PalNames,0)+1,(MATCH(""Passive0b"",PalData_Header,0))+4)),LEN(INDIRECT"&amp;"(""PalData!""&amp;ADDRESS(MATCH(B73,PalNames,0)+1,(MATCH(""Passive0b"",PalData_Header,0)))&amp;"":""&amp;ADDRESS(MATCH(B73,PalNames,0)+1,(MATCH(""Passive0b"",PalData_Header,0))+4)))&gt;0),1,1)),SkillDataCodeName,0)+1,MATCH(""ValueType1"",SkillData_Header,0)))"),"")</f>
        <v/>
      </c>
      <c r="AF73" s="48" t="n">
        <f aca="false">IFERROR(INDEX(SkillData,MATCH(INDEX(PalData,MATCH($B73,PalNames,0)+1,MATCH("Passive0b",PalData_Header,0)),SkillDataCodeName,0)+1,MATCH("EffectValue1",SkillData_Header,0)),)</f>
        <v>0</v>
      </c>
      <c r="AG73" s="48" t="n">
        <f aca="false">IFERROR(INDEX(SkillData,MATCH(INDEX(PalData,MATCH($B73,PalNames,0)+1,MATCH("Passive1b",PalData_Header,0)),SkillDataCodeName,0)+1,MATCH("EffectValue1",SkillData_Header,0)),)</f>
        <v>0</v>
      </c>
      <c r="AH73" s="48" t="n">
        <f aca="false">IFERROR(INDEX(SkillData,MATCH(INDEX(PalData,MATCH($B73,PalNames,0)+1,MATCH("Passive2b",PalData_Header,0)),SkillDataCodeName,0)+1,MATCH("EffectValue1",SkillData_Header,0)),)</f>
        <v>0</v>
      </c>
      <c r="AI73" s="48" t="n">
        <f aca="false">IFERROR(INDEX(SkillData,MATCH(INDEX(PalData,MATCH($B73,PalNames,0)+1,MATCH("Passive3b",PalData_Header,0)),SkillDataCodeName,0)+1,MATCH("EffectValue1",SkillData_Header,0)),)</f>
        <v>0</v>
      </c>
      <c r="AJ73" s="263" t="n">
        <f aca="false">IFERROR(INDEX(SkillData,MATCH(INDEX(PalData,MATCH($B73,PalNames,0)+1,MATCH("Passive4b",PalData_Header,0)),SkillDataCodeName,0)+1,MATCH("EffectValue1",SkillData_Header,0)),)</f>
        <v>0</v>
      </c>
      <c r="AK73" s="305" t="s">
        <v>337</v>
      </c>
    </row>
    <row r="74" customFormat="false" ht="15.75" hidden="false" customHeight="false" outlineLevel="0" collapsed="false">
      <c r="A74" s="299" t="n">
        <v>60</v>
      </c>
      <c r="B74" s="300" t="s">
        <v>120</v>
      </c>
      <c r="C74" s="45" t="str">
        <f aca="false" t="array" ref="C74:C74">IF(ISBLANK(INDEX(PalData,MATCH($B74,PalNames,0)+1,MATCH("ActiveSkill",PalData_Header,0))),INDEX(PalData,MATCH($B74,PalNames,0)+1,MATCH("SkillUnlock_",PalData_Header,0)),INDEX(PalData,MATCH($B74,PalNames,0)+1,MATCH("ActiveSkill",PalData_Header,0)))</f>
        <v>Saddle</v>
      </c>
      <c r="D74" s="45"/>
      <c r="E74" s="45" t="n">
        <f aca="false">INDEX(PalData,MATCH($B74,PalNames,0)+1,MATCH("ActiveSkillBonus0",PalData_Header,0))</f>
        <v>0</v>
      </c>
      <c r="F74" s="45" t="n">
        <f aca="false">INDEX(PalData,MATCH($B74,PalNames,0)+1,MATCH("ActiveSkillBonus1",PalData_Header,0))</f>
        <v>0</v>
      </c>
      <c r="G74" s="45" t="n">
        <f aca="false">INDEX(PalData,MATCH($B74,PalNames,0)+1,MATCH("ActiveSkillBonus2",PalData_Header,0))</f>
        <v>0</v>
      </c>
      <c r="H74" s="45" t="n">
        <f aca="false">INDEX(PalData,MATCH($B74,PalNames,0)+1,MATCH("ActiveSkillBonus3",PalData_Header,0))</f>
        <v>0</v>
      </c>
      <c r="I74" s="260" t="n">
        <f aca="false">INDEX(PalData,MATCH($B74,PalNames,0)+1,MATCH("ActiveSkillBonus4",PalData_Header,0))</f>
        <v>0</v>
      </c>
      <c r="J74" s="45" t="str">
        <f aca="false">IFERROR(__xludf.dummyfunction("IFERROR(INDEX(SkillData,MATCH(Arrayformula(ARRAY_CONSTRAIN(FILTER(INDIRECT(""PalData!""&amp;ADDRESS(MATCH(B74,PalNames,0)+1,(MATCH(""Passive0c"",PalData_Header,0)))&amp;"":""&amp;ADDRESS(MATCH(B74,PalNames,0)+1,(MATCH(""Passive0c"",PalData_Header,0))+4)),LEN(INDIRECT"&amp;"(""PalData!""&amp;ADDRESS(MATCH(B74,PalNames,0)+1,(MATCH(""Passive0c"",PalData_Header,0)))&amp;"":""&amp;ADDRESS(MATCH(B74,PalNames,0)+1,(MATCH(""Passive0c"",PalData_Header,0))+4)))&gt;0),1,1)),SkillDataCodeName,0)+1,MATCH(""EffectTypeCombined"",SkillData_Header,0)))"),"MoveSpeed")</f>
        <v>MoveSpeed</v>
      </c>
      <c r="K74" s="45" t="str">
        <f aca="false">IFERROR(__xludf.dummyfunction("IFERROR(INDEX(SkillData,MATCH(Arrayformula(ARRAY_CONSTRAIN(FILTER(INDIRECT(""PalData!""&amp;ADDRESS(MATCH(B74,PalNames,0)+1,(MATCH(""Passive0c"",PalData_Header,0)))&amp;"":""&amp;ADDRESS(MATCH(B74,PalNames,0)+1,(MATCH(""Passive0c"",PalData_Header,0))+4)),LEN(INDIRECT"&amp;"(""PalData!""&amp;ADDRESS(MATCH(B74,PalNames,0)+1,(MATCH(""Passive0c"",PalData_Header,0)))&amp;"":""&amp;ADDRESS(MATCH(B74,PalNames,0)+1,(MATCH(""Passive0c"",PalData_Header,0))+4)))&gt;0),1,1)),SkillDataCodeName,0)+1,MATCH(""TargetType1"",SkillData_Header,0)))"),"SelfAndTrainer")</f>
        <v>SelfAndTrainer</v>
      </c>
      <c r="L74" s="45" t="e">
        <f aca="false" t="array" ref="L74:L74">IF(INDEX(PalData,MATCH($B74,PalNames,0)+1,MATCH("Passive0cCondition",PalData_Header,0))=IFERROR(INDEX(SkillData,MATCH(INDEX(PalData,MATCH($B74,PalNames,0)+1,MATCH("Passive0c",PalData_Header,0)),SkillDataCodeName,0)+1,MATCH("Conditions",SkillData_Header,0))),INDEX(PalData,MATCH($B74,PalNames,0)+1,MATCH("Passive0cCondition",PalData_Header,0)),INDEX(PalData,MATCH($B74,PalNames,0)+1,MATCH("Passive0cCondition",PalData_Header,0)) &amp; IF(ISBLANK(INDEX(PalData,MATCH($B74,PalNames,0)+1,MATCH("Passive0cCondition",PalData_Header,0))),," ")&amp;IFERROR(INDEX(SkillData,MATCH(INDEX(PalData,MATCH($B74,PalNames,0)+1,MATCH("Passive0c",PalData_Header,0)),SkillDataCodeName,0)+1,MATCH("Conditions",SkillData_Header,0))))</f>
        <v>#N/A</v>
      </c>
      <c r="M74" s="45" t="str">
        <f aca="false">IFERROR(__xludf.dummyfunction("IFERROR(INDEX(SkillData,MATCH(Arrayformula(ARRAY_CONSTRAIN(FILTER(INDIRECT(""PalData!""&amp;ADDRESS(MATCH(B74,PalNames,0)+1,(MATCH(""Passive0c"",PalData_Header,0)))&amp;"":""&amp;ADDRESS(MATCH(B74,PalNames,0)+1,(MATCH(""Passive0c"",PalData_Header,0))+4)),LEN(INDIRECT"&amp;"(""PalData!""&amp;ADDRESS(MATCH(B74,PalNames,0)+1,(MATCH(""Passive0c"",PalData_Header,0)))&amp;"":""&amp;ADDRESS(MATCH(B74,PalNames,0)+1,(MATCH(""Passive0c"",PalData_Header,0))+4)))&gt;0),1,1)),SkillDataCodeName,0)+1,MATCH(""ValueType1"",SkillData_Header,0)))"),"%")</f>
        <v>%</v>
      </c>
      <c r="N74" s="45" t="e">
        <f aca="false" t="array" ref="N74:N74">IFERROR(INDEX(SkillData,MATCH(INDEX(PalData,MATCH($B74,PalNames,0)+1,MATCH("Passive0c",PalData_Header,0)),SkillDataCodeName,0)+1,MATCH("EffectValue1",SkillData_Header,0)))</f>
        <v>#VALUE!</v>
      </c>
      <c r="O74" s="62" t="e">
        <f aca="false" t="array" ref="O74:O74">IFERROR(INDEX(SkillData,MATCH(INDEX(PalData,MATCH($B74,PalNames,0)+1,MATCH("Passive1c",PalData_Header,0)),SkillDataCodeName,0)+1,MATCH("EffectValue1",SkillData_Header,0)))</f>
        <v>#VALUE!</v>
      </c>
      <c r="P74" s="62" t="e">
        <f aca="false" t="array" ref="P74:P74">IFERROR(INDEX(SkillData,MATCH(INDEX(PalData,MATCH($B74,PalNames,0)+1,MATCH("Passive2c",PalData_Header,0)),SkillDataCodeName,0)+1,MATCH("EffectValue1",SkillData_Header,0)))</f>
        <v>#VALUE!</v>
      </c>
      <c r="Q74" s="62" t="e">
        <f aca="false" t="array" ref="Q74:Q74">IFERROR(INDEX(SkillData,MATCH(INDEX(PalData,MATCH($B74,PalNames,0)+1,MATCH("Passive3c",PalData_Header,0)),SkillDataCodeName,0)+1,MATCH("EffectValue1",SkillData_Header,0)))</f>
        <v>#VALUE!</v>
      </c>
      <c r="R74" s="306" t="e">
        <f aca="false" t="array" ref="R74:R74">IFERROR(INDEX(SkillData,MATCH(INDEX(PalData,MATCH($B74,PalNames,0)+1,MATCH("Passive4c",PalData_Header,0)),SkillDataCodeName,0)+1,MATCH("EffectValue1",SkillData_Header,0)))</f>
        <v>#VALUE!</v>
      </c>
      <c r="S74" s="45" t="str">
        <f aca="false">IFERROR(__xludf.dummyfunction("IFERROR(INDEX(SkillData,MATCH(Arrayformula(ARRAY_CONSTRAIN(FILTER(INDIRECT(""PalData!""&amp;ADDRESS(MATCH(B74,PalNames,0)+1,(MATCH(""Passive0a"",PalData_Header,0)))&amp;"":""&amp;ADDRESS(MATCH(B74,PalNames,0)+1,(MATCH(""Passive0a"",PalData_Header,0))+4)),LEN(INDIRECT"&amp;"(""PalData!""&amp;ADDRESS(MATCH(B74,PalNames,0)+1,(MATCH(""Passive0a"",PalData_Header,0)))&amp;"":""&amp;ADDRESS(MATCH(B74,PalNames,0)+1,(MATCH(""Passive0a"",PalData_Header,0))+4)))&gt;0),1,1)),SkillDataCodeName,0)+1,MATCH(""EffectTypeCombined"",SkillData_Header,0)))"),"")</f>
        <v/>
      </c>
      <c r="T74" s="45" t="str">
        <f aca="false">IFERROR(__xludf.dummyfunction("IFERROR(INDEX(SkillData,MATCH(Arrayformula(ARRAY_CONSTRAIN(FILTER(INDIRECT(""PalData!""&amp;ADDRESS(MATCH(B74,PalNames,0)+1,(MATCH(""Passive0a"",PalData_Header,0)))&amp;"":""&amp;ADDRESS(MATCH(B74,PalNames,0)+1,(MATCH(""Passive0a"",PalData_Header,0))+4)),LEN(INDIRECT"&amp;"(""PalData!""&amp;ADDRESS(MATCH(B74,PalNames,0)+1,(MATCH(""Passive0a"",PalData_Header,0)))&amp;"":""&amp;ADDRESS(MATCH(B74,PalNames,0)+1,(MATCH(""Passive0a"",PalData_Header,0))+4)))&gt;0),1,1)),SkillDataCodeName,0)+1,MATCH(""TargetType1"",SkillData_Header,0)))"),"")</f>
        <v/>
      </c>
      <c r="U74" s="45" t="e">
        <f aca="false" t="array" ref="U74:U74">IF(INDEX(PalData,MATCH($B74,PalNames,0)+1,MATCH("Passive0aCondition",PalData_Header,0))=IFERROR(INDEX(SkillData,MATCH(INDEX(PalData,MATCH($B74,PalNames,0)+1,MATCH("Passive0a",PalData_Header,0)),SkillDataCodeName,0)+1,MATCH("Conditions",SkillData_Header,0))),INDEX(PalData,MATCH($B74,PalNames,0)+1,MATCH("Passive0aCondition",PalData_Header,0)),INDEX(PalData,MATCH($B74,PalNames,0)+1,MATCH("Passive0aCondition",PalData_Header,0)) &amp; IF(ISBLANK(INDEX(PalData,MATCH($B74,PalNames,0)+1,MATCH("Passive0aCondition",PalData_Header,0))),," ")&amp;IFERROR(INDEX(SkillData,MATCH(INDEX(PalData,MATCH($B74,PalNames,0)+1,MATCH("Passive0a",PalData_Header,0)),SkillDataCodeName,0)+1,MATCH("Conditions",SkillData_Header,0))))</f>
        <v>#N/A</v>
      </c>
      <c r="V74" s="45" t="str">
        <f aca="false">IFERROR(__xludf.dummyfunction("IFERROR(INDEX(SkillData,MATCH(Arrayformula(ARRAY_CONSTRAIN(FILTER(INDIRECT(""PalData!""&amp;ADDRESS(MATCH(B74,PalNames,0)+1,(MATCH(""Passive0a"",PalData_Header,0)))&amp;"":""&amp;ADDRESS(MATCH(B74,PalNames,0)+1,(MATCH(""Passive0a"",PalData_Header,0))+4)),LEN(INDIRECT"&amp;"(""PalData!""&amp;ADDRESS(MATCH(B74,PalNames,0)+1,(MATCH(""Passive0a"",PalData_Header,0)))&amp;"":""&amp;ADDRESS(MATCH(B74,PalNames,0)+1,(MATCH(""Passive0a"",PalData_Header,0))+4)))&gt;0),1,1)),SkillDataCodeName,0)+1,MATCH(""ValueType1"",SkillData_Header,0)))"),"")</f>
        <v/>
      </c>
      <c r="W74" s="45" t="n">
        <f aca="false">IFERROR(INDEX(SkillData,MATCH(INDEX(PalData,MATCH($B74,PalNames,0)+1,MATCH("Passive0a",PalData_Header,0)),SkillDataCodeName,0)+1,MATCH("EffectValue1",SkillData_Header,0)),)</f>
        <v>0</v>
      </c>
      <c r="X74" s="45" t="n">
        <f aca="false">IFERROR(INDEX(SkillData,MATCH(INDEX(PalData,MATCH($B74,PalNames,0)+1,MATCH("Passive1a",PalData_Header,0)),SkillDataCodeName,0)+1,MATCH("EffectValue1",SkillData_Header,0)),)</f>
        <v>0</v>
      </c>
      <c r="Y74" s="45" t="n">
        <f aca="false">IFERROR(INDEX(SkillData,MATCH(INDEX(PalData,MATCH($B74,PalNames,0)+1,MATCH("Passive2a",PalData_Header,0)),SkillDataCodeName,0)+1,MATCH("EffectValue1",SkillData_Header,0)),)</f>
        <v>0</v>
      </c>
      <c r="Z74" s="45" t="n">
        <f aca="false">IFERROR(INDEX(SkillData,MATCH(INDEX(PalData,MATCH($B74,PalNames,0)+1,MATCH("Passive3a",PalData_Header,0)),SkillDataCodeName,0)+1,MATCH("EffectValue1",SkillData_Header,0)),)</f>
        <v>0</v>
      </c>
      <c r="AA74" s="260" t="n">
        <f aca="false">IFERROR(INDEX(SkillData,MATCH(INDEX(PalData,MATCH($B74,PalNames,0)+1,MATCH("Passive4a",PalData_Header,0)),SkillDataCodeName,0)+1,MATCH("EffectValue1",SkillData_Header,0)),)</f>
        <v>0</v>
      </c>
      <c r="AB74" s="45" t="str">
        <f aca="false">IFERROR(__xludf.dummyfunction("IFERROR(INDEX(SkillData,MATCH(Arrayformula(ARRAY_CONSTRAIN(FILTER(INDIRECT(""PalData!""&amp;ADDRESS(MATCH(B74,PalNames,0)+1,(MATCH(""Passive0b"",PalData_Header,0)))&amp;"":""&amp;ADDRESS(MATCH(B74,PalNames,0)+1,(MATCH(""Passive0b"",PalData_Header,0))+4)),LEN(INDIRECT"&amp;"(""PalData!""&amp;ADDRESS(MATCH(B74,PalNames,0)+1,(MATCH(""Passive0b"",PalData_Header,0)))&amp;"":""&amp;ADDRESS(MATCH(B74,PalNames,0)+1,(MATCH(""Passive0b"",PalData_Header,0))+4)))&gt;0),1,1)),SkillDataCodeName,0)+1,MATCH(""EffectTypeCombined"",SkillData_Header,0)))"),"")</f>
        <v/>
      </c>
      <c r="AC74" s="45" t="str">
        <f aca="false">IFERROR(__xludf.dummyfunction("IFERROR(INDEX(SkillData,MATCH(Arrayformula(ARRAY_CONSTRAIN(FILTER(INDIRECT(""PalData!""&amp;ADDRESS(MATCH(B74,PalNames,0)+1,(MATCH(""Passive0b"",PalData_Header,0)))&amp;"":""&amp;ADDRESS(MATCH(B74,PalNames,0)+1,(MATCH(""Passive0b"",PalData_Header,0))+4)),LEN(INDIRECT"&amp;"(""PalData!""&amp;ADDRESS(MATCH(B74,PalNames,0)+1,(MATCH(""Passive0b"",PalData_Header,0)))&amp;"":""&amp;ADDRESS(MATCH(B74,PalNames,0)+1,(MATCH(""Passive0b"",PalData_Header,0))+4)))&gt;0),1,1)),SkillDataCodeName,0)+1,MATCH(""TargetType1"",SkillData_Header,0)))"),"")</f>
        <v/>
      </c>
      <c r="AD74" s="45" t="e">
        <f aca="false" t="array" ref="AD74:AD74">IF(INDEX(PalData,MATCH($B74,PalNames,0)+1,MATCH("Passive0bCondition",PalData_Header,0))=IFERROR(INDEX(SkillData,MATCH(INDEX(PalData,MATCH($B74,PalNames,0)+1,MATCH("Passive0b",PalData_Header,0)),SkillDataCodeName,0)+1,MATCH("Conditions",SkillData_Header,0))),INDEX(PalData,MATCH($B74,PalNames,0)+1,MATCH("Passive0bCondition",PalData_Header,0)),INDEX(PalData,MATCH($B74,PalNames,0)+1,MATCH("Passive0bCondition",PalData_Header,0)) &amp; IF(ISBLANK(INDEX(PalData,MATCH($B74,PalNames,0)+1,MATCH("Passive0bCondition",PalData_Header,0))),," ")&amp;IFERROR(INDEX(SkillData,MATCH(INDEX(PalData,MATCH($B74,PalNames,0)+1,MATCH("Passive0b",PalData_Header,0)),SkillDataCodeName,0)+1,MATCH("Conditions",SkillData_Header,0))))</f>
        <v>#N/A</v>
      </c>
      <c r="AE74" s="45" t="str">
        <f aca="false">IFERROR(__xludf.dummyfunction("IFERROR(INDEX(SkillData,MATCH(Arrayformula(ARRAY_CONSTRAIN(FILTER(INDIRECT(""PalData!""&amp;ADDRESS(MATCH(B74,PalNames,0)+1,(MATCH(""Passive0b"",PalData_Header,0)))&amp;"":""&amp;ADDRESS(MATCH(B74,PalNames,0)+1,(MATCH(""Passive0b"",PalData_Header,0))+4)),LEN(INDIRECT"&amp;"(""PalData!""&amp;ADDRESS(MATCH(B74,PalNames,0)+1,(MATCH(""Passive0b"",PalData_Header,0)))&amp;"":""&amp;ADDRESS(MATCH(B74,PalNames,0)+1,(MATCH(""Passive0b"",PalData_Header,0))+4)))&gt;0),1,1)),SkillDataCodeName,0)+1,MATCH(""ValueType1"",SkillData_Header,0)))"),"")</f>
        <v/>
      </c>
      <c r="AF74" s="45" t="n">
        <f aca="false">IFERROR(INDEX(SkillData,MATCH(INDEX(PalData,MATCH($B74,PalNames,0)+1,MATCH("Passive0b",PalData_Header,0)),SkillDataCodeName,0)+1,MATCH("EffectValue1",SkillData_Header,0)),)</f>
        <v>0</v>
      </c>
      <c r="AG74" s="45" t="n">
        <f aca="false">IFERROR(INDEX(SkillData,MATCH(INDEX(PalData,MATCH($B74,PalNames,0)+1,MATCH("Passive1b",PalData_Header,0)),SkillDataCodeName,0)+1,MATCH("EffectValue1",SkillData_Header,0)),)</f>
        <v>0</v>
      </c>
      <c r="AH74" s="45" t="n">
        <f aca="false">IFERROR(INDEX(SkillData,MATCH(INDEX(PalData,MATCH($B74,PalNames,0)+1,MATCH("Passive2b",PalData_Header,0)),SkillDataCodeName,0)+1,MATCH("EffectValue1",SkillData_Header,0)),)</f>
        <v>0</v>
      </c>
      <c r="AI74" s="45" t="n">
        <f aca="false">IFERROR(INDEX(SkillData,MATCH(INDEX(PalData,MATCH($B74,PalNames,0)+1,MATCH("Passive3b",PalData_Header,0)),SkillDataCodeName,0)+1,MATCH("EffectValue1",SkillData_Header,0)),)</f>
        <v>0</v>
      </c>
      <c r="AJ74" s="260" t="n">
        <f aca="false">IFERROR(INDEX(SkillData,MATCH(INDEX(PalData,MATCH($B74,PalNames,0)+1,MATCH("Passive4b",PalData_Header,0)),SkillDataCodeName,0)+1,MATCH("EffectValue1",SkillData_Header,0)),)</f>
        <v>0</v>
      </c>
      <c r="AK74" s="301" t="s">
        <v>338</v>
      </c>
    </row>
    <row r="75" customFormat="false" ht="15.75" hidden="false" customHeight="false" outlineLevel="0" collapsed="false">
      <c r="A75" s="302" t="n">
        <v>61</v>
      </c>
      <c r="B75" s="303" t="s">
        <v>89</v>
      </c>
      <c r="C75" s="48" t="str">
        <f aca="false" t="array" ref="C75:C75">IF(ISBLANK(INDEX(PalData,MATCH($B75,PalNames,0)+1,MATCH("ActiveSkill",PalData_Header,0))),INDEX(PalData,MATCH($B75,PalNames,0)+1,MATCH("SkillUnlock_",PalData_Header,0)),INDEX(PalData,MATCH($B75,PalNames,0)+1,MATCH("ActiveSkill",PalData_Header,0)))</f>
        <v>Saddle</v>
      </c>
      <c r="D75" s="48"/>
      <c r="E75" s="48" t="n">
        <f aca="false">INDEX(PalData,MATCH($B75,PalNames,0)+1,MATCH("ActiveSkillBonus0",PalData_Header,0))</f>
        <v>0</v>
      </c>
      <c r="F75" s="48" t="n">
        <f aca="false">INDEX(PalData,MATCH($B75,PalNames,0)+1,MATCH("ActiveSkillBonus1",PalData_Header,0))</f>
        <v>0</v>
      </c>
      <c r="G75" s="48" t="n">
        <f aca="false">INDEX(PalData,MATCH($B75,PalNames,0)+1,MATCH("ActiveSkillBonus2",PalData_Header,0))</f>
        <v>0</v>
      </c>
      <c r="H75" s="48" t="n">
        <f aca="false">INDEX(PalData,MATCH($B75,PalNames,0)+1,MATCH("ActiveSkillBonus3",PalData_Header,0))</f>
        <v>0</v>
      </c>
      <c r="I75" s="263" t="n">
        <f aca="false">INDEX(PalData,MATCH($B75,PalNames,0)+1,MATCH("ActiveSkillBonus4",PalData_Header,0))</f>
        <v>0</v>
      </c>
      <c r="J75" s="48" t="str">
        <f aca="false">IFERROR(__xludf.dummyfunction("IFERROR(INDEX(SkillData,MATCH(Arrayformula(ARRAY_CONSTRAIN(FILTER(INDIRECT(""PalData!""&amp;ADDRESS(MATCH(B75,PalNames,0)+1,(MATCH(""Passive0c"",PalData_Header,0)))&amp;"":""&amp;ADDRESS(MATCH(B75,PalNames,0)+1,(MATCH(""Passive0c"",PalData_Header,0))+4)),LEN(INDIRECT"&amp;"(""PalData!""&amp;ADDRESS(MATCH(B75,PalNames,0)+1,(MATCH(""Passive0c"",PalData_Header,0)))&amp;"":""&amp;ADDRESS(MATCH(B75,PalNames,0)+1,(MATCH(""Passive0c"",PalData_Header,0))+4)))&gt;0),1,1)),SkillDataCodeName,0)+1,MATCH(""EffectTypeCombined"",SkillData_Header,0)))"),"MoveSpeed")</f>
        <v>MoveSpeed</v>
      </c>
      <c r="K75" s="48" t="str">
        <f aca="false">IFERROR(__xludf.dummyfunction("IFERROR(INDEX(SkillData,MATCH(Arrayformula(ARRAY_CONSTRAIN(FILTER(INDIRECT(""PalData!""&amp;ADDRESS(MATCH(B75,PalNames,0)+1,(MATCH(""Passive0c"",PalData_Header,0)))&amp;"":""&amp;ADDRESS(MATCH(B75,PalNames,0)+1,(MATCH(""Passive0c"",PalData_Header,0))+4)),LEN(INDIRECT"&amp;"(""PalData!""&amp;ADDRESS(MATCH(B75,PalNames,0)+1,(MATCH(""Passive0c"",PalData_Header,0)))&amp;"":""&amp;ADDRESS(MATCH(B75,PalNames,0)+1,(MATCH(""Passive0c"",PalData_Header,0))+4)))&gt;0),1,1)),SkillDataCodeName,0)+1,MATCH(""TargetType1"",SkillData_Header,0)))"),"SelfAndTrainer")</f>
        <v>SelfAndTrainer</v>
      </c>
      <c r="L75" s="48" t="e">
        <f aca="false" t="array" ref="L75:L75">IF(INDEX(PalData,MATCH($B75,PalNames,0)+1,MATCH("Passive0cCondition",PalData_Header,0))=IFERROR(INDEX(SkillData,MATCH(INDEX(PalData,MATCH($B75,PalNames,0)+1,MATCH("Passive0c",PalData_Header,0)),SkillDataCodeName,0)+1,MATCH("Conditions",SkillData_Header,0))),INDEX(PalData,MATCH($B75,PalNames,0)+1,MATCH("Passive0cCondition",PalData_Header,0)),INDEX(PalData,MATCH($B75,PalNames,0)+1,MATCH("Passive0cCondition",PalData_Header,0)) &amp; IF(ISBLANK(INDEX(PalData,MATCH($B75,PalNames,0)+1,MATCH("Passive0cCondition",PalData_Header,0))),," ")&amp;IFERROR(INDEX(SkillData,MATCH(INDEX(PalData,MATCH($B75,PalNames,0)+1,MATCH("Passive0c",PalData_Header,0)),SkillDataCodeName,0)+1,MATCH("Conditions",SkillData_Header,0))))</f>
        <v>#N/A</v>
      </c>
      <c r="M75" s="48" t="str">
        <f aca="false">IFERROR(__xludf.dummyfunction("IFERROR(INDEX(SkillData,MATCH(Arrayformula(ARRAY_CONSTRAIN(FILTER(INDIRECT(""PalData!""&amp;ADDRESS(MATCH(B75,PalNames,0)+1,(MATCH(""Passive0c"",PalData_Header,0)))&amp;"":""&amp;ADDRESS(MATCH(B75,PalNames,0)+1,(MATCH(""Passive0c"",PalData_Header,0))+4)),LEN(INDIRECT"&amp;"(""PalData!""&amp;ADDRESS(MATCH(B75,PalNames,0)+1,(MATCH(""Passive0c"",PalData_Header,0)))&amp;"":""&amp;ADDRESS(MATCH(B75,PalNames,0)+1,(MATCH(""Passive0c"",PalData_Header,0))+4)))&gt;0),1,1)),SkillDataCodeName,0)+1,MATCH(""ValueType1"",SkillData_Header,0)))"),"%")</f>
        <v>%</v>
      </c>
      <c r="N75" s="48" t="e">
        <f aca="false" t="array" ref="N75:N75">IFERROR(INDEX(SkillData,MATCH(INDEX(PalData,MATCH($B75,PalNames,0)+1,MATCH("Passive0c",PalData_Header,0)),SkillDataCodeName,0)+1,MATCH("EffectValue1",SkillData_Header,0)))</f>
        <v>#VALUE!</v>
      </c>
      <c r="O75" s="61" t="e">
        <f aca="false" t="array" ref="O75:O75">IFERROR(INDEX(SkillData,MATCH(INDEX(PalData,MATCH($B75,PalNames,0)+1,MATCH("Passive1c",PalData_Header,0)),SkillDataCodeName,0)+1,MATCH("EffectValue1",SkillData_Header,0)))</f>
        <v>#VALUE!</v>
      </c>
      <c r="P75" s="61" t="e">
        <f aca="false" t="array" ref="P75:P75">IFERROR(INDEX(SkillData,MATCH(INDEX(PalData,MATCH($B75,PalNames,0)+1,MATCH("Passive2c",PalData_Header,0)),SkillDataCodeName,0)+1,MATCH("EffectValue1",SkillData_Header,0)))</f>
        <v>#VALUE!</v>
      </c>
      <c r="Q75" s="61" t="e">
        <f aca="false" t="array" ref="Q75:Q75">IFERROR(INDEX(SkillData,MATCH(INDEX(PalData,MATCH($B75,PalNames,0)+1,MATCH("Passive3c",PalData_Header,0)),SkillDataCodeName,0)+1,MATCH("EffectValue1",SkillData_Header,0)))</f>
        <v>#VALUE!</v>
      </c>
      <c r="R75" s="304" t="e">
        <f aca="false" t="array" ref="R75:R75">IFERROR(INDEX(SkillData,MATCH(INDEX(PalData,MATCH($B75,PalNames,0)+1,MATCH("Passive4c",PalData_Header,0)),SkillDataCodeName,0)+1,MATCH("EffectValue1",SkillData_Header,0)))</f>
        <v>#VALUE!</v>
      </c>
      <c r="S75" s="48" t="str">
        <f aca="false">IFERROR(__xludf.dummyfunction("IFERROR(INDEX(SkillData,MATCH(Arrayformula(ARRAY_CONSTRAIN(FILTER(INDIRECT(""PalData!""&amp;ADDRESS(MATCH(B75,PalNames,0)+1,(MATCH(""Passive0a"",PalData_Header,0)))&amp;"":""&amp;ADDRESS(MATCH(B75,PalNames,0)+1,(MATCH(""Passive0a"",PalData_Header,0))+4)),LEN(INDIRECT"&amp;"(""PalData!""&amp;ADDRESS(MATCH(B75,PalNames,0)+1,(MATCH(""Passive0a"",PalData_Header,0)))&amp;"":""&amp;ADDRESS(MATCH(B75,PalNames,0)+1,(MATCH(""Passive0a"",PalData_Header,0))+4)))&gt;0),1,1)),SkillDataCodeName,0)+1,MATCH(""EffectTypeCombined"",SkillData_Header,0)))"),"TemperatureInvalid_Cold")</f>
        <v>TemperatureInvalid_Cold</v>
      </c>
      <c r="T75" s="48" t="str">
        <f aca="false">IFERROR(__xludf.dummyfunction("IFERROR(INDEX(SkillData,MATCH(Arrayformula(ARRAY_CONSTRAIN(FILTER(INDIRECT(""PalData!""&amp;ADDRESS(MATCH(B75,PalNames,0)+1,(MATCH(""Passive0a"",PalData_Header,0)))&amp;"":""&amp;ADDRESS(MATCH(B75,PalNames,0)+1,(MATCH(""Passive0a"",PalData_Header,0))+4)),LEN(INDIRECT"&amp;"(""PalData!""&amp;ADDRESS(MATCH(B75,PalNames,0)+1,(MATCH(""Passive0a"",PalData_Header,0)))&amp;"":""&amp;ADDRESS(MATCH(B75,PalNames,0)+1,(MATCH(""Passive0a"",PalData_Header,0))+4)))&gt;0),1,1)),SkillDataCodeName,0)+1,MATCH(""TargetType1"",SkillData_Header,0)))"),"Trainer")</f>
        <v>Trainer</v>
      </c>
      <c r="U75" s="48" t="e">
        <f aca="false" t="array" ref="U75:U75">IF(INDEX(PalData,MATCH($B75,PalNames,0)+1,MATCH("Passive0aCondition",PalData_Header,0))=IFERROR(INDEX(SkillData,MATCH(INDEX(PalData,MATCH($B75,PalNames,0)+1,MATCH("Passive0a",PalData_Header,0)),SkillDataCodeName,0)+1,MATCH("Conditions",SkillData_Header,0))),INDEX(PalData,MATCH($B75,PalNames,0)+1,MATCH("Passive0aCondition",PalData_Header,0)),INDEX(PalData,MATCH($B75,PalNames,0)+1,MATCH("Passive0aCondition",PalData_Header,0)) &amp; IF(ISBLANK(INDEX(PalData,MATCH($B75,PalNames,0)+1,MATCH("Passive0aCondition",PalData_Header,0))),," ")&amp;IFERROR(INDEX(SkillData,MATCH(INDEX(PalData,MATCH($B75,PalNames,0)+1,MATCH("Passive0a",PalData_Header,0)),SkillDataCodeName,0)+1,MATCH("Conditions",SkillData_Header,0))))</f>
        <v>#VALUE!</v>
      </c>
      <c r="V75" s="48" t="str">
        <f aca="false">IFERROR(__xludf.dummyfunction("IFERROR(INDEX(SkillData,MATCH(Arrayformula(ARRAY_CONSTRAIN(FILTER(INDIRECT(""PalData!""&amp;ADDRESS(MATCH(B75,PalNames,0)+1,(MATCH(""Passive0a"",PalData_Header,0)))&amp;"":""&amp;ADDRESS(MATCH(B75,PalNames,0)+1,(MATCH(""Passive0a"",PalData_Header,0))+4)),LEN(INDIRECT"&amp;"(""PalData!""&amp;ADDRESS(MATCH(B75,PalNames,0)+1,(MATCH(""Passive0a"",PalData_Header,0)))&amp;"":""&amp;ADDRESS(MATCH(B75,PalNames,0)+1,(MATCH(""Passive0a"",PalData_Header,0))+4)))&gt;0),1,1)),SkillDataCodeName,0)+1,MATCH(""ValueType1"",SkillData_Header,0)))"),"bool")</f>
        <v>bool</v>
      </c>
      <c r="W75" s="61" t="n">
        <f aca="false" t="array" ref="W75:W75">IFERROR(INDEX(SkillData,MATCH(INDEX(PalData,MATCH($B75,PalNames,0)+1,MATCH("Passive0a",PalData_Header,0)),SkillDataCodeName,0)+1,MATCH("EffectValue1",SkillData_Header,0)),)</f>
        <v>0</v>
      </c>
      <c r="X75" s="61" t="n">
        <f aca="false" t="array" ref="X75:X75">IFERROR(INDEX(SkillData,MATCH(INDEX(PalData,MATCH($B75,PalNames,0)+1,MATCH("Passive1a",PalData_Header,0)),SkillDataCodeName,0)+1,MATCH("EffectValue1",SkillData_Header,0)),)</f>
        <v>0</v>
      </c>
      <c r="Y75" s="61" t="n">
        <f aca="false" t="array" ref="Y75:Y75">IFERROR(INDEX(SkillData,MATCH(INDEX(PalData,MATCH($B75,PalNames,0)+1,MATCH("Passive2a",PalData_Header,0)),SkillDataCodeName,0)+1,MATCH("EffectValue1",SkillData_Header,0)),)</f>
        <v>0</v>
      </c>
      <c r="Z75" s="61" t="n">
        <f aca="false" t="array" ref="Z75:Z75">IFERROR(INDEX(SkillData,MATCH(INDEX(PalData,MATCH($B75,PalNames,0)+1,MATCH("Passive3a",PalData_Header,0)),SkillDataCodeName,0)+1,MATCH("EffectValue1",SkillData_Header,0)),)</f>
        <v>0</v>
      </c>
      <c r="AA75" s="304" t="n">
        <f aca="false" t="array" ref="AA75:AA75">IFERROR(INDEX(SkillData,MATCH(INDEX(PalData,MATCH($B75,PalNames,0)+1,MATCH("Passive4a",PalData_Header,0)),SkillDataCodeName,0)+1,MATCH("EffectValue1",SkillData_Header,0)),)</f>
        <v>0</v>
      </c>
      <c r="AB75" s="48" t="str">
        <f aca="false">IFERROR(__xludf.dummyfunction("IFERROR(INDEX(SkillData,MATCH(Arrayformula(ARRAY_CONSTRAIN(FILTER(INDIRECT(""PalData!""&amp;ADDRESS(MATCH(B75,PalNames,0)+1,(MATCH(""Passive0b"",PalData_Header,0)))&amp;"":""&amp;ADDRESS(MATCH(B75,PalNames,0)+1,(MATCH(""Passive0b"",PalData_Header,0))+4)),LEN(INDIRECT"&amp;"(""PalData!""&amp;ADDRESS(MATCH(B75,PalNames,0)+1,(MATCH(""Passive0b"",PalData_Header,0)))&amp;"":""&amp;ADDRESS(MATCH(B75,PalNames,0)+1,(MATCH(""Passive0b"",PalData_Header,0))+4)))&gt;0),1,1)),SkillDataCodeName,0)+1,MATCH(""EffectTypeCombined"",SkillData_Header,0)))"),"TemperatureInvalid_Heat")</f>
        <v>TemperatureInvalid_Heat</v>
      </c>
      <c r="AC75" s="48" t="str">
        <f aca="false">IFERROR(__xludf.dummyfunction("IFERROR(INDEX(SkillData,MATCH(Arrayformula(ARRAY_CONSTRAIN(FILTER(INDIRECT(""PalData!""&amp;ADDRESS(MATCH(B75,PalNames,0)+1,(MATCH(""Passive0b"",PalData_Header,0)))&amp;"":""&amp;ADDRESS(MATCH(B75,PalNames,0)+1,(MATCH(""Passive0b"",PalData_Header,0))+4)),LEN(INDIRECT"&amp;"(""PalData!""&amp;ADDRESS(MATCH(B75,PalNames,0)+1,(MATCH(""Passive0b"",PalData_Header,0)))&amp;"":""&amp;ADDRESS(MATCH(B75,PalNames,0)+1,(MATCH(""Passive0b"",PalData_Header,0))+4)))&gt;0),1,1)),SkillDataCodeName,0)+1,MATCH(""TargetType1"",SkillData_Header,0)))"),"Trainer")</f>
        <v>Trainer</v>
      </c>
      <c r="AD75" s="48" t="e">
        <f aca="false" t="array" ref="AD75:AD75">IF(INDEX(PalData,MATCH($B75,PalNames,0)+1,MATCH("Passive0bCondition",PalData_Header,0))=IFERROR(INDEX(SkillData,MATCH(INDEX(PalData,MATCH($B75,PalNames,0)+1,MATCH("Passive0b",PalData_Header,0)),SkillDataCodeName,0)+1,MATCH("Conditions",SkillData_Header,0))),INDEX(PalData,MATCH($B75,PalNames,0)+1,MATCH("Passive0bCondition",PalData_Header,0)),INDEX(PalData,MATCH($B75,PalNames,0)+1,MATCH("Passive0bCondition",PalData_Header,0)) &amp; IF(ISBLANK(INDEX(PalData,MATCH($B75,PalNames,0)+1,MATCH("Passive0bCondition",PalData_Header,0))),," ")&amp;IFERROR(INDEX(SkillData,MATCH(INDEX(PalData,MATCH($B75,PalNames,0)+1,MATCH("Passive0b",PalData_Header,0)),SkillDataCodeName,0)+1,MATCH("Conditions",SkillData_Header,0))))</f>
        <v>#VALUE!</v>
      </c>
      <c r="AE75" s="48" t="str">
        <f aca="false">IFERROR(__xludf.dummyfunction("IFERROR(INDEX(SkillData,MATCH(Arrayformula(ARRAY_CONSTRAIN(FILTER(INDIRECT(""PalData!""&amp;ADDRESS(MATCH(B75,PalNames,0)+1,(MATCH(""Passive0b"",PalData_Header,0)))&amp;"":""&amp;ADDRESS(MATCH(B75,PalNames,0)+1,(MATCH(""Passive0b"",PalData_Header,0))+4)),LEN(INDIRECT"&amp;"(""PalData!""&amp;ADDRESS(MATCH(B75,PalNames,0)+1,(MATCH(""Passive0b"",PalData_Header,0)))&amp;"":""&amp;ADDRESS(MATCH(B75,PalNames,0)+1,(MATCH(""Passive0b"",PalData_Header,0))+4)))&gt;0),1,1)),SkillDataCodeName,0)+1,MATCH(""ValueType1"",SkillData_Header,0)))"),"bool")</f>
        <v>bool</v>
      </c>
      <c r="AF75" s="61" t="n">
        <f aca="false" t="array" ref="AF75:AF75">IFERROR(INDEX(SkillData,MATCH(INDEX(PalData,MATCH($B75,PalNames,0)+1,MATCH("Passive0b",PalData_Header,0)),SkillDataCodeName,0)+1,MATCH("EffectValue1",SkillData_Header,0)),)</f>
        <v>0</v>
      </c>
      <c r="AG75" s="61" t="n">
        <f aca="false" t="array" ref="AG75:AG75">IFERROR(INDEX(SkillData,MATCH(INDEX(PalData,MATCH($B75,PalNames,0)+1,MATCH("Passive1b",PalData_Header,0)),SkillDataCodeName,0)+1,MATCH("EffectValue1",SkillData_Header,0)),)</f>
        <v>0</v>
      </c>
      <c r="AH75" s="61" t="n">
        <f aca="false" t="array" ref="AH75:AH75">IFERROR(INDEX(SkillData,MATCH(INDEX(PalData,MATCH($B75,PalNames,0)+1,MATCH("Passive2b",PalData_Header,0)),SkillDataCodeName,0)+1,MATCH("EffectValue1",SkillData_Header,0)),)</f>
        <v>0</v>
      </c>
      <c r="AI75" s="61" t="n">
        <f aca="false" t="array" ref="AI75:AI75">IFERROR(INDEX(SkillData,MATCH(INDEX(PalData,MATCH($B75,PalNames,0)+1,MATCH("Passive3b",PalData_Header,0)),SkillDataCodeName,0)+1,MATCH("EffectValue1",SkillData_Header,0)),)</f>
        <v>0</v>
      </c>
      <c r="AJ75" s="304" t="n">
        <f aca="false" t="array" ref="AJ75:AJ75">IFERROR(INDEX(SkillData,MATCH(INDEX(PalData,MATCH($B75,PalNames,0)+1,MATCH("Passive4b",PalData_Header,0)),SkillDataCodeName,0)+1,MATCH("EffectValue1",SkillData_Header,0)),)</f>
        <v>0</v>
      </c>
      <c r="AK75" s="305" t="s">
        <v>339</v>
      </c>
    </row>
    <row r="76" customFormat="false" ht="15.75" hidden="false" customHeight="false" outlineLevel="0" collapsed="false">
      <c r="A76" s="299" t="n">
        <v>62</v>
      </c>
      <c r="B76" s="300" t="s">
        <v>41</v>
      </c>
      <c r="C76" s="45" t="str">
        <f aca="false" t="array" ref="C76:C76">IF(ISBLANK(INDEX(PalData,MATCH($B76,PalNames,0)+1,MATCH("ActiveSkill",PalData_Header,0))),INDEX(PalData,MATCH($B76,PalNames,0)+1,MATCH("SkillUnlock_",PalData_Header,0)),INDEX(PalData,MATCH($B76,PalNames,0)+1,MATCH("ActiveSkill",PalData_Header,0)))</f>
        <v>Funnel_RaijinDaughter</v>
      </c>
      <c r="D76" s="45" t="s">
        <v>269</v>
      </c>
      <c r="E76" s="62" t="n">
        <f aca="false" t="array" ref="E76:E76">INDEX(PalData,MATCH($B76,PalNames,0)+1,MATCH("ActiveSkillBonus0",PalData_Header,0))</f>
        <v>1</v>
      </c>
      <c r="F76" s="62" t="n">
        <f aca="false" t="array" ref="F76:F76">INDEX(PalData,MATCH($B76,PalNames,0)+1,MATCH("ActiveSkillBonus1",PalData_Header,0))</f>
        <v>1.1</v>
      </c>
      <c r="G76" s="62" t="n">
        <f aca="false" t="array" ref="G76:G76">INDEX(PalData,MATCH($B76,PalNames,0)+1,MATCH("ActiveSkillBonus2",PalData_Header,0))</f>
        <v>1.3</v>
      </c>
      <c r="H76" s="62" t="n">
        <f aca="false" t="array" ref="H76:H76">INDEX(PalData,MATCH($B76,PalNames,0)+1,MATCH("ActiveSkillBonus3",PalData_Header,0))</f>
        <v>1.6</v>
      </c>
      <c r="I76" s="306" t="n">
        <f aca="false" t="array" ref="I76:I76">INDEX(PalData,MATCH($B76,PalNames,0)+1,MATCH("ActiveSkillBonus4",PalData_Header,0))</f>
        <v>2</v>
      </c>
      <c r="J76" s="45" t="str">
        <f aca="false">IFERROR(__xludf.dummyfunction("IFERROR(INDEX(SkillData,MATCH(Arrayformula(ARRAY_CONSTRAIN(FILTER(INDIRECT(""PalData!""&amp;ADDRESS(MATCH(B76,PalNames,0)+1,(MATCH(""Passive0c"",PalData_Header,0)))&amp;"":""&amp;ADDRESS(MATCH(B76,PalNames,0)+1,(MATCH(""Passive0c"",PalData_Header,0))+4)),LEN(INDIRECT"&amp;"(""PalData!""&amp;ADDRESS(MATCH(B76,PalNames,0)+1,(MATCH(""Passive0c"",PalData_Header,0)))&amp;"":""&amp;ADDRESS(MATCH(B76,PalNames,0)+1,(MATCH(""Passive0c"",PalData_Header,0))+4)))&gt;0),1,1)),SkillDataCodeName,0)+1,MATCH(""EffectTypeCombined"",SkillData_Header,0)))"),"")</f>
        <v/>
      </c>
      <c r="K76" s="45" t="str">
        <f aca="false">IFERROR(__xludf.dummyfunction("IFERROR(INDEX(SkillData,MATCH(Arrayformula(ARRAY_CONSTRAIN(FILTER(INDIRECT(""PalData!""&amp;ADDRESS(MATCH(B76,PalNames,0)+1,(MATCH(""Passive0c"",PalData_Header,0)))&amp;"":""&amp;ADDRESS(MATCH(B76,PalNames,0)+1,(MATCH(""Passive0c"",PalData_Header,0))+4)),LEN(INDIRECT"&amp;"(""PalData!""&amp;ADDRESS(MATCH(B76,PalNames,0)+1,(MATCH(""Passive0c"",PalData_Header,0)))&amp;"":""&amp;ADDRESS(MATCH(B76,PalNames,0)+1,(MATCH(""Passive0c"",PalData_Header,0))+4)))&gt;0),1,1)),SkillDataCodeName,0)+1,MATCH(""TargetType1"",SkillData_Header,0)))"),"")</f>
        <v/>
      </c>
      <c r="L76" s="45" t="e">
        <f aca="false" t="array" ref="L76:L76">IF(INDEX(PalData,MATCH($B76,PalNames,0)+1,MATCH("Passive0cCondition",PalData_Header,0))=IFERROR(INDEX(SkillData,MATCH(INDEX(PalData,MATCH($B76,PalNames,0)+1,MATCH("Passive0c",PalData_Header,0)),SkillDataCodeName,0)+1,MATCH("Conditions",SkillData_Header,0))),INDEX(PalData,MATCH($B76,PalNames,0)+1,MATCH("Passive0cCondition",PalData_Header,0)),INDEX(PalData,MATCH($B76,PalNames,0)+1,MATCH("Passive0cCondition",PalData_Header,0)) &amp; IF(ISBLANK(INDEX(PalData,MATCH($B76,PalNames,0)+1,MATCH("Passive0cCondition",PalData_Header,0))),," ")&amp;IFERROR(INDEX(SkillData,MATCH(INDEX(PalData,MATCH($B76,PalNames,0)+1,MATCH("Passive0c",PalData_Header,0)),SkillDataCodeName,0)+1,MATCH("Conditions",SkillData_Header,0))))</f>
        <v>#N/A</v>
      </c>
      <c r="M76" s="45" t="str">
        <f aca="false">IFERROR(__xludf.dummyfunction("IFERROR(INDEX(SkillData,MATCH(Arrayformula(ARRAY_CONSTRAIN(FILTER(INDIRECT(""PalData!""&amp;ADDRESS(MATCH(B76,PalNames,0)+1,(MATCH(""Passive0c"",PalData_Header,0)))&amp;"":""&amp;ADDRESS(MATCH(B76,PalNames,0)+1,(MATCH(""Passive0c"",PalData_Header,0))+4)),LEN(INDIRECT"&amp;"(""PalData!""&amp;ADDRESS(MATCH(B76,PalNames,0)+1,(MATCH(""Passive0c"",PalData_Header,0)))&amp;"":""&amp;ADDRESS(MATCH(B76,PalNames,0)+1,(MATCH(""Passive0c"",PalData_Header,0))+4)))&gt;0),1,1)),SkillDataCodeName,0)+1,MATCH(""ValueType1"",SkillData_Header,0)))"),"")</f>
        <v/>
      </c>
      <c r="N76" s="45" t="e">
        <f aca="false" t="array" ref="N76:N76">IFERROR(INDEX(SkillData,MATCH(INDEX(PalData,MATCH($B76,PalNames,0)+1,MATCH("Passive0c",PalData_Header,0)),SkillDataCodeName,0)+1,MATCH("EffectValue1",SkillData_Header,0)))</f>
        <v>#VALUE!</v>
      </c>
      <c r="O76" s="45" t="e">
        <f aca="false" t="array" ref="O76:O76">IFERROR(INDEX(SkillData,MATCH(INDEX(PalData,MATCH($B76,PalNames,0)+1,MATCH("Passive1c",PalData_Header,0)),SkillDataCodeName,0)+1,MATCH("EffectValue1",SkillData_Header,0)))</f>
        <v>#VALUE!</v>
      </c>
      <c r="P76" s="45" t="e">
        <f aca="false" t="array" ref="P76:P76">IFERROR(INDEX(SkillData,MATCH(INDEX(PalData,MATCH($B76,PalNames,0)+1,MATCH("Passive2c",PalData_Header,0)),SkillDataCodeName,0)+1,MATCH("EffectValue1",SkillData_Header,0)))</f>
        <v>#VALUE!</v>
      </c>
      <c r="Q76" s="45" t="e">
        <f aca="false" t="array" ref="Q76:Q76">IFERROR(INDEX(SkillData,MATCH(INDEX(PalData,MATCH($B76,PalNames,0)+1,MATCH("Passive3c",PalData_Header,0)),SkillDataCodeName,0)+1,MATCH("EffectValue1",SkillData_Header,0)))</f>
        <v>#VALUE!</v>
      </c>
      <c r="R76" s="260" t="e">
        <f aca="false" t="array" ref="R76:R76">IFERROR(INDEX(SkillData,MATCH(INDEX(PalData,MATCH($B76,PalNames,0)+1,MATCH("Passive4c",PalData_Header,0)),SkillDataCodeName,0)+1,MATCH("EffectValue1",SkillData_Header,0)))</f>
        <v>#VALUE!</v>
      </c>
      <c r="S76" s="45" t="str">
        <f aca="false">IFERROR(__xludf.dummyfunction("IFERROR(INDEX(SkillData,MATCH(Arrayformula(ARRAY_CONSTRAIN(FILTER(INDIRECT(""PalData!""&amp;ADDRESS(MATCH(B76,PalNames,0)+1,(MATCH(""Passive0a"",PalData_Header,0)))&amp;"":""&amp;ADDRESS(MATCH(B76,PalNames,0)+1,(MATCH(""Passive0a"",PalData_Header,0))+4)),LEN(INDIRECT"&amp;"(""PalData!""&amp;ADDRESS(MATCH(B76,PalNames,0)+1,(MATCH(""Passive0a"",PalData_Header,0)))&amp;"":""&amp;ADDRESS(MATCH(B76,PalNames,0)+1,(MATCH(""Passive0a"",PalData_Header,0))+4)))&gt;0),1,1)),SkillDataCodeName,0)+1,MATCH(""EffectTypeCombined"",SkillData_Header,0)))"),"")</f>
        <v/>
      </c>
      <c r="T76" s="45" t="str">
        <f aca="false">IFERROR(__xludf.dummyfunction("IFERROR(INDEX(SkillData,MATCH(Arrayformula(ARRAY_CONSTRAIN(FILTER(INDIRECT(""PalData!""&amp;ADDRESS(MATCH(B76,PalNames,0)+1,(MATCH(""Passive0a"",PalData_Header,0)))&amp;"":""&amp;ADDRESS(MATCH(B76,PalNames,0)+1,(MATCH(""Passive0a"",PalData_Header,0))+4)),LEN(INDIRECT"&amp;"(""PalData!""&amp;ADDRESS(MATCH(B76,PalNames,0)+1,(MATCH(""Passive0a"",PalData_Header,0)))&amp;"":""&amp;ADDRESS(MATCH(B76,PalNames,0)+1,(MATCH(""Passive0a"",PalData_Header,0))+4)))&gt;0),1,1)),SkillDataCodeName,0)+1,MATCH(""TargetType1"",SkillData_Header,0)))"),"")</f>
        <v/>
      </c>
      <c r="U76" s="45" t="e">
        <f aca="false" t="array" ref="U76:U76">IF(INDEX(PalData,MATCH($B76,PalNames,0)+1,MATCH("Passive0aCondition",PalData_Header,0))=IFERROR(INDEX(SkillData,MATCH(INDEX(PalData,MATCH($B76,PalNames,0)+1,MATCH("Passive0a",PalData_Header,0)),SkillDataCodeName,0)+1,MATCH("Conditions",SkillData_Header,0))),INDEX(PalData,MATCH($B76,PalNames,0)+1,MATCH("Passive0aCondition",PalData_Header,0)),INDEX(PalData,MATCH($B76,PalNames,0)+1,MATCH("Passive0aCondition",PalData_Header,0)) &amp; IF(ISBLANK(INDEX(PalData,MATCH($B76,PalNames,0)+1,MATCH("Passive0aCondition",PalData_Header,0))),," ")&amp;IFERROR(INDEX(SkillData,MATCH(INDEX(PalData,MATCH($B76,PalNames,0)+1,MATCH("Passive0a",PalData_Header,0)),SkillDataCodeName,0)+1,MATCH("Conditions",SkillData_Header,0))))</f>
        <v>#N/A</v>
      </c>
      <c r="V76" s="45" t="str">
        <f aca="false">IFERROR(__xludf.dummyfunction("IFERROR(INDEX(SkillData,MATCH(Arrayformula(ARRAY_CONSTRAIN(FILTER(INDIRECT(""PalData!""&amp;ADDRESS(MATCH(B76,PalNames,0)+1,(MATCH(""Passive0a"",PalData_Header,0)))&amp;"":""&amp;ADDRESS(MATCH(B76,PalNames,0)+1,(MATCH(""Passive0a"",PalData_Header,0))+4)),LEN(INDIRECT"&amp;"(""PalData!""&amp;ADDRESS(MATCH(B76,PalNames,0)+1,(MATCH(""Passive0a"",PalData_Header,0)))&amp;"":""&amp;ADDRESS(MATCH(B76,PalNames,0)+1,(MATCH(""Passive0a"",PalData_Header,0))+4)))&gt;0),1,1)),SkillDataCodeName,0)+1,MATCH(""ValueType1"",SkillData_Header,0)))"),"")</f>
        <v/>
      </c>
      <c r="W76" s="45" t="n">
        <f aca="false">IFERROR(INDEX(SkillData,MATCH(INDEX(PalData,MATCH($B76,PalNames,0)+1,MATCH("Passive0a",PalData_Header,0)),SkillDataCodeName,0)+1,MATCH("EffectValue1",SkillData_Header,0)),)</f>
        <v>0</v>
      </c>
      <c r="X76" s="45" t="n">
        <f aca="false">IFERROR(INDEX(SkillData,MATCH(INDEX(PalData,MATCH($B76,PalNames,0)+1,MATCH("Passive1a",PalData_Header,0)),SkillDataCodeName,0)+1,MATCH("EffectValue1",SkillData_Header,0)),)</f>
        <v>0</v>
      </c>
      <c r="Y76" s="45" t="n">
        <f aca="false">IFERROR(INDEX(SkillData,MATCH(INDEX(PalData,MATCH($B76,PalNames,0)+1,MATCH("Passive2a",PalData_Header,0)),SkillDataCodeName,0)+1,MATCH("EffectValue1",SkillData_Header,0)),)</f>
        <v>0</v>
      </c>
      <c r="Z76" s="45" t="n">
        <f aca="false">IFERROR(INDEX(SkillData,MATCH(INDEX(PalData,MATCH($B76,PalNames,0)+1,MATCH("Passive3a",PalData_Header,0)),SkillDataCodeName,0)+1,MATCH("EffectValue1",SkillData_Header,0)),)</f>
        <v>0</v>
      </c>
      <c r="AA76" s="260" t="n">
        <f aca="false">IFERROR(INDEX(SkillData,MATCH(INDEX(PalData,MATCH($B76,PalNames,0)+1,MATCH("Passive4a",PalData_Header,0)),SkillDataCodeName,0)+1,MATCH("EffectValue1",SkillData_Header,0)),)</f>
        <v>0</v>
      </c>
      <c r="AB76" s="45" t="str">
        <f aca="false">IFERROR(__xludf.dummyfunction("IFERROR(INDEX(SkillData,MATCH(Arrayformula(ARRAY_CONSTRAIN(FILTER(INDIRECT(""PalData!""&amp;ADDRESS(MATCH(B76,PalNames,0)+1,(MATCH(""Passive0b"",PalData_Header,0)))&amp;"":""&amp;ADDRESS(MATCH(B76,PalNames,0)+1,(MATCH(""Passive0b"",PalData_Header,0))+4)),LEN(INDIRECT"&amp;"(""PalData!""&amp;ADDRESS(MATCH(B76,PalNames,0)+1,(MATCH(""Passive0b"",PalData_Header,0)))&amp;"":""&amp;ADDRESS(MATCH(B76,PalNames,0)+1,(MATCH(""Passive0b"",PalData_Header,0))+4)))&gt;0),1,1)),SkillDataCodeName,0)+1,MATCH(""EffectTypeCombined"",SkillData_Header,0)))"),"")</f>
        <v/>
      </c>
      <c r="AC76" s="45" t="str">
        <f aca="false">IFERROR(__xludf.dummyfunction("IFERROR(INDEX(SkillData,MATCH(Arrayformula(ARRAY_CONSTRAIN(FILTER(INDIRECT(""PalData!""&amp;ADDRESS(MATCH(B76,PalNames,0)+1,(MATCH(""Passive0b"",PalData_Header,0)))&amp;"":""&amp;ADDRESS(MATCH(B76,PalNames,0)+1,(MATCH(""Passive0b"",PalData_Header,0))+4)),LEN(INDIRECT"&amp;"(""PalData!""&amp;ADDRESS(MATCH(B76,PalNames,0)+1,(MATCH(""Passive0b"",PalData_Header,0)))&amp;"":""&amp;ADDRESS(MATCH(B76,PalNames,0)+1,(MATCH(""Passive0b"",PalData_Header,0))+4)))&gt;0),1,1)),SkillDataCodeName,0)+1,MATCH(""TargetType1"",SkillData_Header,0)))"),"")</f>
        <v/>
      </c>
      <c r="AD76" s="45" t="e">
        <f aca="false" t="array" ref="AD76:AD76">IF(INDEX(PalData,MATCH($B76,PalNames,0)+1,MATCH("Passive0bCondition",PalData_Header,0))=IFERROR(INDEX(SkillData,MATCH(INDEX(PalData,MATCH($B76,PalNames,0)+1,MATCH("Passive0b",PalData_Header,0)),SkillDataCodeName,0)+1,MATCH("Conditions",SkillData_Header,0))),INDEX(PalData,MATCH($B76,PalNames,0)+1,MATCH("Passive0bCondition",PalData_Header,0)),INDEX(PalData,MATCH($B76,PalNames,0)+1,MATCH("Passive0bCondition",PalData_Header,0)) &amp; IF(ISBLANK(INDEX(PalData,MATCH($B76,PalNames,0)+1,MATCH("Passive0bCondition",PalData_Header,0))),," ")&amp;IFERROR(INDEX(SkillData,MATCH(INDEX(PalData,MATCH($B76,PalNames,0)+1,MATCH("Passive0b",PalData_Header,0)),SkillDataCodeName,0)+1,MATCH("Conditions",SkillData_Header,0))))</f>
        <v>#N/A</v>
      </c>
      <c r="AE76" s="45" t="str">
        <f aca="false">IFERROR(__xludf.dummyfunction("IFERROR(INDEX(SkillData,MATCH(Arrayformula(ARRAY_CONSTRAIN(FILTER(INDIRECT(""PalData!""&amp;ADDRESS(MATCH(B76,PalNames,0)+1,(MATCH(""Passive0b"",PalData_Header,0)))&amp;"":""&amp;ADDRESS(MATCH(B76,PalNames,0)+1,(MATCH(""Passive0b"",PalData_Header,0))+4)),LEN(INDIRECT"&amp;"(""PalData!""&amp;ADDRESS(MATCH(B76,PalNames,0)+1,(MATCH(""Passive0b"",PalData_Header,0)))&amp;"":""&amp;ADDRESS(MATCH(B76,PalNames,0)+1,(MATCH(""Passive0b"",PalData_Header,0))+4)))&gt;0),1,1)),SkillDataCodeName,0)+1,MATCH(""ValueType1"",SkillData_Header,0)))"),"")</f>
        <v/>
      </c>
      <c r="AF76" s="45" t="n">
        <f aca="false">IFERROR(INDEX(SkillData,MATCH(INDEX(PalData,MATCH($B76,PalNames,0)+1,MATCH("Passive0b",PalData_Header,0)),SkillDataCodeName,0)+1,MATCH("EffectValue1",SkillData_Header,0)),)</f>
        <v>0</v>
      </c>
      <c r="AG76" s="45" t="n">
        <f aca="false">IFERROR(INDEX(SkillData,MATCH(INDEX(PalData,MATCH($B76,PalNames,0)+1,MATCH("Passive1b",PalData_Header,0)),SkillDataCodeName,0)+1,MATCH("EffectValue1",SkillData_Header,0)),)</f>
        <v>0</v>
      </c>
      <c r="AH76" s="45" t="n">
        <f aca="false">IFERROR(INDEX(SkillData,MATCH(INDEX(PalData,MATCH($B76,PalNames,0)+1,MATCH("Passive2b",PalData_Header,0)),SkillDataCodeName,0)+1,MATCH("EffectValue1",SkillData_Header,0)),)</f>
        <v>0</v>
      </c>
      <c r="AI76" s="45" t="n">
        <f aca="false">IFERROR(INDEX(SkillData,MATCH(INDEX(PalData,MATCH($B76,PalNames,0)+1,MATCH("Passive3b",PalData_Header,0)),SkillDataCodeName,0)+1,MATCH("EffectValue1",SkillData_Header,0)),)</f>
        <v>0</v>
      </c>
      <c r="AJ76" s="260" t="n">
        <f aca="false">IFERROR(INDEX(SkillData,MATCH(INDEX(PalData,MATCH($B76,PalNames,0)+1,MATCH("Passive4b",PalData_Header,0)),SkillDataCodeName,0)+1,MATCH("EffectValue1",SkillData_Header,0)),)</f>
        <v>0</v>
      </c>
      <c r="AK76" s="301" t="s">
        <v>340</v>
      </c>
    </row>
    <row r="77" customFormat="false" ht="15.75" hidden="false" customHeight="false" outlineLevel="0" collapsed="false">
      <c r="A77" s="302" t="n">
        <v>63</v>
      </c>
      <c r="B77" s="303" t="s">
        <v>96</v>
      </c>
      <c r="C77" s="48" t="n">
        <f aca="false">IF(ISBLANK(INDEX(PalData,MATCH($B77,PalNames,0)+1,MATCH("ActiveSkill",PalData_Header,0))),INDEX(PalData,MATCH($B77,PalNames,0)+1,MATCH("SkillUnlock_",PalData_Header,0)),INDEX(PalData,MATCH($B77,PalNames,0)+1,MATCH("ActiveSkill",PalData_Header,0)))</f>
        <v>0</v>
      </c>
      <c r="D77" s="48"/>
      <c r="E77" s="48" t="n">
        <f aca="false">INDEX(PalData,MATCH($B77,PalNames,0)+1,MATCH("ActiveSkillBonus0",PalData_Header,0))</f>
        <v>0</v>
      </c>
      <c r="F77" s="48" t="n">
        <f aca="false">INDEX(PalData,MATCH($B77,PalNames,0)+1,MATCH("ActiveSkillBonus1",PalData_Header,0))</f>
        <v>0</v>
      </c>
      <c r="G77" s="48" t="n">
        <f aca="false">INDEX(PalData,MATCH($B77,PalNames,0)+1,MATCH("ActiveSkillBonus2",PalData_Header,0))</f>
        <v>0</v>
      </c>
      <c r="H77" s="48" t="n">
        <f aca="false">INDEX(PalData,MATCH($B77,PalNames,0)+1,MATCH("ActiveSkillBonus3",PalData_Header,0))</f>
        <v>0</v>
      </c>
      <c r="I77" s="263" t="n">
        <f aca="false">INDEX(PalData,MATCH($B77,PalNames,0)+1,MATCH("ActiveSkillBonus4",PalData_Header,0))</f>
        <v>0</v>
      </c>
      <c r="J77" s="48" t="str">
        <f aca="false">IFERROR(__xludf.dummyfunction("IFERROR(INDEX(SkillData,MATCH(Arrayformula(ARRAY_CONSTRAIN(FILTER(INDIRECT(""PalData!""&amp;ADDRESS(MATCH(B77,PalNames,0)+1,(MATCH(""Passive0c"",PalData_Header,0)))&amp;"":""&amp;ADDRESS(MATCH(B77,PalNames,0)+1,(MATCH(""Passive0c"",PalData_Header,0))+4)),LEN(INDIRECT"&amp;"(""PalData!""&amp;ADDRESS(MATCH(B77,PalNames,0)+1,(MATCH(""Passive0c"",PalData_Header,0)))&amp;"":""&amp;ADDRESS(MATCH(B77,PalNames,0)+1,(MATCH(""Passive0c"",PalData_Header,0))+4)))&gt;0),1,1)),SkillDataCodeName,0)+1,MATCH(""EffectTypeCombined"",SkillData_Header,0)))"),"MaxInventoryWeight")</f>
        <v>MaxInventoryWeight</v>
      </c>
      <c r="K77" s="48" t="str">
        <f aca="false">IFERROR(__xludf.dummyfunction("IFERROR(INDEX(SkillData,MATCH(Arrayformula(ARRAY_CONSTRAIN(FILTER(INDIRECT(""PalData!""&amp;ADDRESS(MATCH(B77,PalNames,0)+1,(MATCH(""Passive0c"",PalData_Header,0)))&amp;"":""&amp;ADDRESS(MATCH(B77,PalNames,0)+1,(MATCH(""Passive0c"",PalData_Header,0))+4)),LEN(INDIRECT"&amp;"(""PalData!""&amp;ADDRESS(MATCH(B77,PalNames,0)+1,(MATCH(""Passive0c"",PalData_Header,0)))&amp;"":""&amp;ADDRESS(MATCH(B77,PalNames,0)+1,(MATCH(""Passive0c"",PalData_Header,0))+4)))&gt;0),1,1)),SkillDataCodeName,0)+1,MATCH(""TargetType1"",SkillData_Header,0)))"),"Trainer")</f>
        <v>Trainer</v>
      </c>
      <c r="L77" s="48" t="e">
        <f aca="false" t="array" ref="L77:L77">IF(INDEX(PalData,MATCH($B77,PalNames,0)+1,MATCH("Passive0cCondition",PalData_Header,0))=IFERROR(INDEX(SkillData,MATCH(INDEX(PalData,MATCH($B77,PalNames,0)+1,MATCH("Passive0c",PalData_Header,0)),SkillDataCodeName,0)+1,MATCH("Conditions",SkillData_Header,0))),INDEX(PalData,MATCH($B77,PalNames,0)+1,MATCH("Passive0cCondition",PalData_Header,0)),INDEX(PalData,MATCH($B77,PalNames,0)+1,MATCH("Passive0cCondition",PalData_Header,0)) &amp; IF(ISBLANK(INDEX(PalData,MATCH($B77,PalNames,0)+1,MATCH("Passive0cCondition",PalData_Header,0))),," ")&amp;IFERROR(INDEX(SkillData,MATCH(INDEX(PalData,MATCH($B77,PalNames,0)+1,MATCH("Passive0c",PalData_Header,0)),SkillDataCodeName,0)+1,MATCH("Conditions",SkillData_Header,0))))</f>
        <v>#VALUE!</v>
      </c>
      <c r="M77" s="48" t="str">
        <f aca="false">IFERROR(__xludf.dummyfunction("IFERROR(INDEX(SkillData,MATCH(Arrayformula(ARRAY_CONSTRAIN(FILTER(INDIRECT(""PalData!""&amp;ADDRESS(MATCH(B77,PalNames,0)+1,(MATCH(""Passive0c"",PalData_Header,0)))&amp;"":""&amp;ADDRESS(MATCH(B77,PalNames,0)+1,(MATCH(""Passive0c"",PalData_Header,0))+4)),LEN(INDIRECT"&amp;"(""PalData!""&amp;ADDRESS(MATCH(B77,PalNames,0)+1,(MATCH(""Passive0c"",PalData_Header,0)))&amp;"":""&amp;ADDRESS(MATCH(B77,PalNames,0)+1,(MATCH(""Passive0c"",PalData_Header,0))+4)))&gt;0),1,1)),SkillDataCodeName,0)+1,MATCH(""ValueType1"",SkillData_Header,0)))"),"+")</f>
        <v>+</v>
      </c>
      <c r="N77" s="61" t="e">
        <f aca="false" t="array" ref="N77:N77">IFERROR(INDEX(SkillData,MATCH(INDEX(PalData,MATCH($B77,PalNames,0)+1,MATCH("Passive0c",PalData_Header,0)),SkillDataCodeName,0)+1,MATCH("EffectValue1",SkillData_Header,0)))</f>
        <v>#VALUE!</v>
      </c>
      <c r="O77" s="61" t="e">
        <f aca="false" t="array" ref="O77:O77">IFERROR(INDEX(SkillData,MATCH(INDEX(PalData,MATCH($B77,PalNames,0)+1,MATCH("Passive1c",PalData_Header,0)),SkillDataCodeName,0)+1,MATCH("EffectValue1",SkillData_Header,0)))</f>
        <v>#VALUE!</v>
      </c>
      <c r="P77" s="61" t="e">
        <f aca="false" t="array" ref="P77:P77">IFERROR(INDEX(SkillData,MATCH(INDEX(PalData,MATCH($B77,PalNames,0)+1,MATCH("Passive2c",PalData_Header,0)),SkillDataCodeName,0)+1,MATCH("EffectValue1",SkillData_Header,0)))</f>
        <v>#VALUE!</v>
      </c>
      <c r="Q77" s="61" t="e">
        <f aca="false" t="array" ref="Q77:Q77">IFERROR(INDEX(SkillData,MATCH(INDEX(PalData,MATCH($B77,PalNames,0)+1,MATCH("Passive3c",PalData_Header,0)),SkillDataCodeName,0)+1,MATCH("EffectValue1",SkillData_Header,0)))</f>
        <v>#VALUE!</v>
      </c>
      <c r="R77" s="304" t="e">
        <f aca="false" t="array" ref="R77:R77">IFERROR(INDEX(SkillData,MATCH(INDEX(PalData,MATCH($B77,PalNames,0)+1,MATCH("Passive4c",PalData_Header,0)),SkillDataCodeName,0)+1,MATCH("EffectValue1",SkillData_Header,0)))</f>
        <v>#VALUE!</v>
      </c>
      <c r="S77" s="48" t="str">
        <f aca="false">IFERROR(__xludf.dummyfunction("IFERROR(INDEX(SkillData,MATCH(Arrayformula(ARRAY_CONSTRAIN(FILTER(INDIRECT(""PalData!""&amp;ADDRESS(MATCH(B77,PalNames,0)+1,(MATCH(""Passive0a"",PalData_Header,0)))&amp;"":""&amp;ADDRESS(MATCH(B77,PalNames,0)+1,(MATCH(""Passive0a"",PalData_Header,0))+4)),LEN(INDIRECT"&amp;"(""PalData!""&amp;ADDRESS(MATCH(B77,PalNames,0)+1,(MATCH(""Passive0a"",PalData_Header,0)))&amp;"":""&amp;ADDRESS(MATCH(B77,PalNames,0)+1,(MATCH(""Passive0a"",PalData_Header,0))+4)))&gt;0),1,1)),SkillDataCodeName,0)+1,MATCH(""EffectTypeCombined"",SkillData_Header,0)))"),"")</f>
        <v/>
      </c>
      <c r="T77" s="48" t="str">
        <f aca="false">IFERROR(__xludf.dummyfunction("IFERROR(INDEX(SkillData,MATCH(Arrayformula(ARRAY_CONSTRAIN(FILTER(INDIRECT(""PalData!""&amp;ADDRESS(MATCH(B77,PalNames,0)+1,(MATCH(""Passive0a"",PalData_Header,0)))&amp;"":""&amp;ADDRESS(MATCH(B77,PalNames,0)+1,(MATCH(""Passive0a"",PalData_Header,0))+4)),LEN(INDIRECT"&amp;"(""PalData!""&amp;ADDRESS(MATCH(B77,PalNames,0)+1,(MATCH(""Passive0a"",PalData_Header,0)))&amp;"":""&amp;ADDRESS(MATCH(B77,PalNames,0)+1,(MATCH(""Passive0a"",PalData_Header,0))+4)))&gt;0),1,1)),SkillDataCodeName,0)+1,MATCH(""TargetType1"",SkillData_Header,0)))"),"")</f>
        <v/>
      </c>
      <c r="U77" s="48" t="e">
        <f aca="false" t="array" ref="U77:U77">IF(INDEX(PalData,MATCH($B77,PalNames,0)+1,MATCH("Passive0aCondition",PalData_Header,0))=IFERROR(INDEX(SkillData,MATCH(INDEX(PalData,MATCH($B77,PalNames,0)+1,MATCH("Passive0a",PalData_Header,0)),SkillDataCodeName,0)+1,MATCH("Conditions",SkillData_Header,0))),INDEX(PalData,MATCH($B77,PalNames,0)+1,MATCH("Passive0aCondition",PalData_Header,0)),INDEX(PalData,MATCH($B77,PalNames,0)+1,MATCH("Passive0aCondition",PalData_Header,0)) &amp; IF(ISBLANK(INDEX(PalData,MATCH($B77,PalNames,0)+1,MATCH("Passive0aCondition",PalData_Header,0))),," ")&amp;IFERROR(INDEX(SkillData,MATCH(INDEX(PalData,MATCH($B77,PalNames,0)+1,MATCH("Passive0a",PalData_Header,0)),SkillDataCodeName,0)+1,MATCH("Conditions",SkillData_Header,0))))</f>
        <v>#N/A</v>
      </c>
      <c r="V77" s="48" t="str">
        <f aca="false">IFERROR(__xludf.dummyfunction("IFERROR(INDEX(SkillData,MATCH(Arrayformula(ARRAY_CONSTRAIN(FILTER(INDIRECT(""PalData!""&amp;ADDRESS(MATCH(B77,PalNames,0)+1,(MATCH(""Passive0a"",PalData_Header,0)))&amp;"":""&amp;ADDRESS(MATCH(B77,PalNames,0)+1,(MATCH(""Passive0a"",PalData_Header,0))+4)),LEN(INDIRECT"&amp;"(""PalData!""&amp;ADDRESS(MATCH(B77,PalNames,0)+1,(MATCH(""Passive0a"",PalData_Header,0)))&amp;"":""&amp;ADDRESS(MATCH(B77,PalNames,0)+1,(MATCH(""Passive0a"",PalData_Header,0))+4)))&gt;0),1,1)),SkillDataCodeName,0)+1,MATCH(""ValueType1"",SkillData_Header,0)))"),"")</f>
        <v/>
      </c>
      <c r="W77" s="48" t="n">
        <f aca="false">IFERROR(INDEX(SkillData,MATCH(INDEX(PalData,MATCH($B77,PalNames,0)+1,MATCH("Passive0a",PalData_Header,0)),SkillDataCodeName,0)+1,MATCH("EffectValue1",SkillData_Header,0)),)</f>
        <v>0</v>
      </c>
      <c r="X77" s="48" t="n">
        <f aca="false">IFERROR(INDEX(SkillData,MATCH(INDEX(PalData,MATCH($B77,PalNames,0)+1,MATCH("Passive1a",PalData_Header,0)),SkillDataCodeName,0)+1,MATCH("EffectValue1",SkillData_Header,0)),)</f>
        <v>0</v>
      </c>
      <c r="Y77" s="48" t="n">
        <f aca="false">IFERROR(INDEX(SkillData,MATCH(INDEX(PalData,MATCH($B77,PalNames,0)+1,MATCH("Passive2a",PalData_Header,0)),SkillDataCodeName,0)+1,MATCH("EffectValue1",SkillData_Header,0)),)</f>
        <v>0</v>
      </c>
      <c r="Z77" s="48" t="n">
        <f aca="false">IFERROR(INDEX(SkillData,MATCH(INDEX(PalData,MATCH($B77,PalNames,0)+1,MATCH("Passive3a",PalData_Header,0)),SkillDataCodeName,0)+1,MATCH("EffectValue1",SkillData_Header,0)),)</f>
        <v>0</v>
      </c>
      <c r="AA77" s="263" t="n">
        <f aca="false">IFERROR(INDEX(SkillData,MATCH(INDEX(PalData,MATCH($B77,PalNames,0)+1,MATCH("Passive4a",PalData_Header,0)),SkillDataCodeName,0)+1,MATCH("EffectValue1",SkillData_Header,0)),)</f>
        <v>0</v>
      </c>
      <c r="AB77" s="48" t="str">
        <f aca="false">IFERROR(__xludf.dummyfunction("IFERROR(INDEX(SkillData,MATCH(Arrayformula(ARRAY_CONSTRAIN(FILTER(INDIRECT(""PalData!""&amp;ADDRESS(MATCH(B77,PalNames,0)+1,(MATCH(""Passive0b"",PalData_Header,0)))&amp;"":""&amp;ADDRESS(MATCH(B77,PalNames,0)+1,(MATCH(""Passive0b"",PalData_Header,0))+4)),LEN(INDIRECT"&amp;"(""PalData!""&amp;ADDRESS(MATCH(B77,PalNames,0)+1,(MATCH(""Passive0b"",PalData_Header,0)))&amp;"":""&amp;ADDRESS(MATCH(B77,PalNames,0)+1,(MATCH(""Passive0b"",PalData_Header,0))+4)))&gt;0),1,1)),SkillDataCodeName,0)+1,MATCH(""EffectTypeCombined"",SkillData_Header,0)))"),"")</f>
        <v/>
      </c>
      <c r="AC77" s="48" t="str">
        <f aca="false">IFERROR(__xludf.dummyfunction("IFERROR(INDEX(SkillData,MATCH(Arrayformula(ARRAY_CONSTRAIN(FILTER(INDIRECT(""PalData!""&amp;ADDRESS(MATCH(B77,PalNames,0)+1,(MATCH(""Passive0b"",PalData_Header,0)))&amp;"":""&amp;ADDRESS(MATCH(B77,PalNames,0)+1,(MATCH(""Passive0b"",PalData_Header,0))+4)),LEN(INDIRECT"&amp;"(""PalData!""&amp;ADDRESS(MATCH(B77,PalNames,0)+1,(MATCH(""Passive0b"",PalData_Header,0)))&amp;"":""&amp;ADDRESS(MATCH(B77,PalNames,0)+1,(MATCH(""Passive0b"",PalData_Header,0))+4)))&gt;0),1,1)),SkillDataCodeName,0)+1,MATCH(""TargetType1"",SkillData_Header,0)))"),"")</f>
        <v/>
      </c>
      <c r="AD77" s="48" t="e">
        <f aca="false" t="array" ref="AD77:AD77">IF(INDEX(PalData,MATCH($B77,PalNames,0)+1,MATCH("Passive0bCondition",PalData_Header,0))=IFERROR(INDEX(SkillData,MATCH(INDEX(PalData,MATCH($B77,PalNames,0)+1,MATCH("Passive0b",PalData_Header,0)),SkillDataCodeName,0)+1,MATCH("Conditions",SkillData_Header,0))),INDEX(PalData,MATCH($B77,PalNames,0)+1,MATCH("Passive0bCondition",PalData_Header,0)),INDEX(PalData,MATCH($B77,PalNames,0)+1,MATCH("Passive0bCondition",PalData_Header,0)) &amp; IF(ISBLANK(INDEX(PalData,MATCH($B77,PalNames,0)+1,MATCH("Passive0bCondition",PalData_Header,0))),," ")&amp;IFERROR(INDEX(SkillData,MATCH(INDEX(PalData,MATCH($B77,PalNames,0)+1,MATCH("Passive0b",PalData_Header,0)),SkillDataCodeName,0)+1,MATCH("Conditions",SkillData_Header,0))))</f>
        <v>#N/A</v>
      </c>
      <c r="AE77" s="48" t="str">
        <f aca="false">IFERROR(__xludf.dummyfunction("IFERROR(INDEX(SkillData,MATCH(Arrayformula(ARRAY_CONSTRAIN(FILTER(INDIRECT(""PalData!""&amp;ADDRESS(MATCH(B77,PalNames,0)+1,(MATCH(""Passive0b"",PalData_Header,0)))&amp;"":""&amp;ADDRESS(MATCH(B77,PalNames,0)+1,(MATCH(""Passive0b"",PalData_Header,0))+4)),LEN(INDIRECT"&amp;"(""PalData!""&amp;ADDRESS(MATCH(B77,PalNames,0)+1,(MATCH(""Passive0b"",PalData_Header,0)))&amp;"":""&amp;ADDRESS(MATCH(B77,PalNames,0)+1,(MATCH(""Passive0b"",PalData_Header,0))+4)))&gt;0),1,1)),SkillDataCodeName,0)+1,MATCH(""ValueType1"",SkillData_Header,0)))"),"")</f>
        <v/>
      </c>
      <c r="AF77" s="48" t="n">
        <f aca="false">IFERROR(INDEX(SkillData,MATCH(INDEX(PalData,MATCH($B77,PalNames,0)+1,MATCH("Passive0b",PalData_Header,0)),SkillDataCodeName,0)+1,MATCH("EffectValue1",SkillData_Header,0)),)</f>
        <v>0</v>
      </c>
      <c r="AG77" s="48" t="n">
        <f aca="false">IFERROR(INDEX(SkillData,MATCH(INDEX(PalData,MATCH($B77,PalNames,0)+1,MATCH("Passive1b",PalData_Header,0)),SkillDataCodeName,0)+1,MATCH("EffectValue1",SkillData_Header,0)),)</f>
        <v>0</v>
      </c>
      <c r="AH77" s="48" t="n">
        <f aca="false">IFERROR(INDEX(SkillData,MATCH(INDEX(PalData,MATCH($B77,PalNames,0)+1,MATCH("Passive2b",PalData_Header,0)),SkillDataCodeName,0)+1,MATCH("EffectValue1",SkillData_Header,0)),)</f>
        <v>0</v>
      </c>
      <c r="AI77" s="48" t="n">
        <f aca="false">IFERROR(INDEX(SkillData,MATCH(INDEX(PalData,MATCH($B77,PalNames,0)+1,MATCH("Passive3b",PalData_Header,0)),SkillDataCodeName,0)+1,MATCH("EffectValue1",SkillData_Header,0)),)</f>
        <v>0</v>
      </c>
      <c r="AJ77" s="263" t="n">
        <f aca="false">IFERROR(INDEX(SkillData,MATCH(INDEX(PalData,MATCH($B77,PalNames,0)+1,MATCH("Passive4b",PalData_Header,0)),SkillDataCodeName,0)+1,MATCH("EffectValue1",SkillData_Header,0)),)</f>
        <v>0</v>
      </c>
      <c r="AK77" s="305" t="s">
        <v>341</v>
      </c>
    </row>
    <row r="78" customFormat="false" ht="15.75" hidden="false" customHeight="false" outlineLevel="0" collapsed="false">
      <c r="A78" s="299" t="n">
        <v>64</v>
      </c>
      <c r="B78" s="300" t="s">
        <v>44</v>
      </c>
      <c r="C78" s="45" t="str">
        <f aca="false" t="array" ref="C78:C78">IF(ISBLANK(INDEX(PalData,MATCH($B78,PalNames,0)+1,MATCH("ActiveSkill",PalData_Header,0))),INDEX(PalData,MATCH($B78,PalNames,0)+1,MATCH("SkillUnlock_",PalData_Header,0)),INDEX(PalData,MATCH($B78,PalNames,0)+1,MATCH("ActiveSkill",PalData_Header,0)))</f>
        <v>Saddle</v>
      </c>
      <c r="D78" s="45"/>
      <c r="E78" s="45" t="n">
        <f aca="false">INDEX(PalData,MATCH($B78,PalNames,0)+1,MATCH("ActiveSkillBonus0",PalData_Header,0))</f>
        <v>0</v>
      </c>
      <c r="F78" s="45" t="n">
        <f aca="false">INDEX(PalData,MATCH($B78,PalNames,0)+1,MATCH("ActiveSkillBonus1",PalData_Header,0))</f>
        <v>0</v>
      </c>
      <c r="G78" s="45" t="n">
        <f aca="false">INDEX(PalData,MATCH($B78,PalNames,0)+1,MATCH("ActiveSkillBonus2",PalData_Header,0))</f>
        <v>0</v>
      </c>
      <c r="H78" s="45" t="n">
        <f aca="false">INDEX(PalData,MATCH($B78,PalNames,0)+1,MATCH("ActiveSkillBonus3",PalData_Header,0))</f>
        <v>0</v>
      </c>
      <c r="I78" s="260" t="n">
        <f aca="false">INDEX(PalData,MATCH($B78,PalNames,0)+1,MATCH("ActiveSkillBonus4",PalData_Header,0))</f>
        <v>0</v>
      </c>
      <c r="J78" s="45" t="str">
        <f aca="false">IFERROR(__xludf.dummyfunction("IFERROR(INDEX(SkillData,MATCH(Arrayformula(ARRAY_CONSTRAIN(FILTER(INDIRECT(""PalData!""&amp;ADDRESS(MATCH(B78,PalNames,0)+1,(MATCH(""Passive0c"",PalData_Header,0)))&amp;"":""&amp;ADDRESS(MATCH(B78,PalNames,0)+1,(MATCH(""Passive0c"",PalData_Header,0))+4)),LEN(INDIRECT"&amp;"(""PalData!""&amp;ADDRESS(MATCH(B78,PalNames,0)+1,(MATCH(""Passive0c"",PalData_Header,0)))&amp;"":""&amp;ADDRESS(MATCH(B78,PalNames,0)+1,(MATCH(""Passive0c"",PalData_Header,0))+4)))&gt;0),1,1)),SkillDataCodeName,0)+1,MATCH(""EffectTypeCombined"",SkillData_Header,0)))"),"ElementBoost_Leaf")</f>
        <v>ElementBoost_Leaf</v>
      </c>
      <c r="K78" s="45" t="str">
        <f aca="false">IFERROR(__xludf.dummyfunction("IFERROR(INDEX(SkillData,MATCH(Arrayformula(ARRAY_CONSTRAIN(FILTER(INDIRECT(""PalData!""&amp;ADDRESS(MATCH(B78,PalNames,0)+1,(MATCH(""Passive0c"",PalData_Header,0)))&amp;"":""&amp;ADDRESS(MATCH(B78,PalNames,0)+1,(MATCH(""Passive0c"",PalData_Header,0))+4)),LEN(INDIRECT"&amp;"(""PalData!""&amp;ADDRESS(MATCH(B78,PalNames,0)+1,(MATCH(""Passive0c"",PalData_Header,0)))&amp;"":""&amp;ADDRESS(MATCH(B78,PalNames,0)+1,(MATCH(""Passive0c"",PalData_Header,0))+4)))&gt;0),1,1)),SkillDataCodeName,0)+1,MATCH(""TargetType1"",SkillData_Header,0)))"),"SelfAndTrainer")</f>
        <v>SelfAndTrainer</v>
      </c>
      <c r="L78" s="45" t="e">
        <f aca="false" t="array" ref="L78:L78">IF(INDEX(PalData,MATCH($B78,PalNames,0)+1,MATCH("Passive0cCondition",PalData_Header,0))=IFERROR(INDEX(SkillData,MATCH(INDEX(PalData,MATCH($B78,PalNames,0)+1,MATCH("Passive0c",PalData_Header,0)),SkillDataCodeName,0)+1,MATCH("Conditions",SkillData_Header,0))),INDEX(PalData,MATCH($B78,PalNames,0)+1,MATCH("Passive0cCondition",PalData_Header,0)),INDEX(PalData,MATCH($B78,PalNames,0)+1,MATCH("Passive0cCondition",PalData_Header,0)) &amp; IF(ISBLANK(INDEX(PalData,MATCH($B78,PalNames,0)+1,MATCH("Passive0cCondition",PalData_Header,0))),," ")&amp;IFERROR(INDEX(SkillData,MATCH(INDEX(PalData,MATCH($B78,PalNames,0)+1,MATCH("Passive0c",PalData_Header,0)),SkillDataCodeName,0)+1,MATCH("Conditions",SkillData_Header,0))))</f>
        <v>#VALUE!</v>
      </c>
      <c r="M78" s="45" t="str">
        <f aca="false">IFERROR(__xludf.dummyfunction("IFERROR(INDEX(SkillData,MATCH(Arrayformula(ARRAY_CONSTRAIN(FILTER(INDIRECT(""PalData!""&amp;ADDRESS(MATCH(B78,PalNames,0)+1,(MATCH(""Passive0c"",PalData_Header,0)))&amp;"":""&amp;ADDRESS(MATCH(B78,PalNames,0)+1,(MATCH(""Passive0c"",PalData_Header,0))+4)),LEN(INDIRECT"&amp;"(""PalData!""&amp;ADDRESS(MATCH(B78,PalNames,0)+1,(MATCH(""Passive0c"",PalData_Header,0)))&amp;"":""&amp;ADDRESS(MATCH(B78,PalNames,0)+1,(MATCH(""Passive0c"",PalData_Header,0))+4)))&gt;0),1,1)),SkillDataCodeName,0)+1,MATCH(""ValueType1"",SkillData_Header,0)))"),"%")</f>
        <v>%</v>
      </c>
      <c r="N78" s="62" t="e">
        <f aca="false" t="array" ref="N78:N78">IFERROR(INDEX(SkillData,MATCH(INDEX(PalData,MATCH($B78,PalNames,0)+1,MATCH("Passive0c",PalData_Header,0)),SkillDataCodeName,0)+1,MATCH("EffectValue1",SkillData_Header,0)))</f>
        <v>#VALUE!</v>
      </c>
      <c r="O78" s="62" t="e">
        <f aca="false" t="array" ref="O78:O78">IFERROR(INDEX(SkillData,MATCH(INDEX(PalData,MATCH($B78,PalNames,0)+1,MATCH("Passive1c",PalData_Header,0)),SkillDataCodeName,0)+1,MATCH("EffectValue1",SkillData_Header,0)))</f>
        <v>#VALUE!</v>
      </c>
      <c r="P78" s="62" t="e">
        <f aca="false" t="array" ref="P78:P78">IFERROR(INDEX(SkillData,MATCH(INDEX(PalData,MATCH($B78,PalNames,0)+1,MATCH("Passive2c",PalData_Header,0)),SkillDataCodeName,0)+1,MATCH("EffectValue1",SkillData_Header,0)))</f>
        <v>#VALUE!</v>
      </c>
      <c r="Q78" s="62" t="e">
        <f aca="false" t="array" ref="Q78:Q78">IFERROR(INDEX(SkillData,MATCH(INDEX(PalData,MATCH($B78,PalNames,0)+1,MATCH("Passive3c",PalData_Header,0)),SkillDataCodeName,0)+1,MATCH("EffectValue1",SkillData_Header,0)))</f>
        <v>#VALUE!</v>
      </c>
      <c r="R78" s="306" t="e">
        <f aca="false" t="array" ref="R78:R78">IFERROR(INDEX(SkillData,MATCH(INDEX(PalData,MATCH($B78,PalNames,0)+1,MATCH("Passive4c",PalData_Header,0)),SkillDataCodeName,0)+1,MATCH("EffectValue1",SkillData_Header,0)))</f>
        <v>#VALUE!</v>
      </c>
      <c r="S78" s="45" t="str">
        <f aca="false">IFERROR(__xludf.dummyfunction("IFERROR(INDEX(SkillData,MATCH(Arrayformula(ARRAY_CONSTRAIN(FILTER(INDIRECT(""PalData!""&amp;ADDRESS(MATCH(B78,PalNames,0)+1,(MATCH(""Passive0a"",PalData_Header,0)))&amp;"":""&amp;ADDRESS(MATCH(B78,PalNames,0)+1,(MATCH(""Passive0a"",PalData_Header,0))+4)),LEN(INDIRECT"&amp;"(""PalData!""&amp;ADDRESS(MATCH(B78,PalNames,0)+1,(MATCH(""Passive0a"",PalData_Header,0)))&amp;"":""&amp;ADDRESS(MATCH(B78,PalNames,0)+1,(MATCH(""Passive0a"",PalData_Header,0))+4)))&gt;0),1,1)),SkillDataCodeName,0)+1,MATCH(""EffectTypeCombined"",SkillData_Header,0)))"),"")</f>
        <v/>
      </c>
      <c r="T78" s="45" t="str">
        <f aca="false">IFERROR(__xludf.dummyfunction("IFERROR(INDEX(SkillData,MATCH(Arrayformula(ARRAY_CONSTRAIN(FILTER(INDIRECT(""PalData!""&amp;ADDRESS(MATCH(B78,PalNames,0)+1,(MATCH(""Passive0a"",PalData_Header,0)))&amp;"":""&amp;ADDRESS(MATCH(B78,PalNames,0)+1,(MATCH(""Passive0a"",PalData_Header,0))+4)),LEN(INDIRECT"&amp;"(""PalData!""&amp;ADDRESS(MATCH(B78,PalNames,0)+1,(MATCH(""Passive0a"",PalData_Header,0)))&amp;"":""&amp;ADDRESS(MATCH(B78,PalNames,0)+1,(MATCH(""Passive0a"",PalData_Header,0))+4)))&gt;0),1,1)),SkillDataCodeName,0)+1,MATCH(""TargetType1"",SkillData_Header,0)))"),"")</f>
        <v/>
      </c>
      <c r="U78" s="45" t="e">
        <f aca="false" t="array" ref="U78:U78">IF(INDEX(PalData,MATCH($B78,PalNames,0)+1,MATCH("Passive0aCondition",PalData_Header,0))=IFERROR(INDEX(SkillData,MATCH(INDEX(PalData,MATCH($B78,PalNames,0)+1,MATCH("Passive0a",PalData_Header,0)),SkillDataCodeName,0)+1,MATCH("Conditions",SkillData_Header,0))),INDEX(PalData,MATCH($B78,PalNames,0)+1,MATCH("Passive0aCondition",PalData_Header,0)),INDEX(PalData,MATCH($B78,PalNames,0)+1,MATCH("Passive0aCondition",PalData_Header,0)) &amp; IF(ISBLANK(INDEX(PalData,MATCH($B78,PalNames,0)+1,MATCH("Passive0aCondition",PalData_Header,0))),," ")&amp;IFERROR(INDEX(SkillData,MATCH(INDEX(PalData,MATCH($B78,PalNames,0)+1,MATCH("Passive0a",PalData_Header,0)),SkillDataCodeName,0)+1,MATCH("Conditions",SkillData_Header,0))))</f>
        <v>#N/A</v>
      </c>
      <c r="V78" s="45" t="str">
        <f aca="false">IFERROR(__xludf.dummyfunction("IFERROR(INDEX(SkillData,MATCH(Arrayformula(ARRAY_CONSTRAIN(FILTER(INDIRECT(""PalData!""&amp;ADDRESS(MATCH(B78,PalNames,0)+1,(MATCH(""Passive0a"",PalData_Header,0)))&amp;"":""&amp;ADDRESS(MATCH(B78,PalNames,0)+1,(MATCH(""Passive0a"",PalData_Header,0))+4)),LEN(INDIRECT"&amp;"(""PalData!""&amp;ADDRESS(MATCH(B78,PalNames,0)+1,(MATCH(""Passive0a"",PalData_Header,0)))&amp;"":""&amp;ADDRESS(MATCH(B78,PalNames,0)+1,(MATCH(""Passive0a"",PalData_Header,0))+4)))&gt;0),1,1)),SkillDataCodeName,0)+1,MATCH(""ValueType1"",SkillData_Header,0)))"),"")</f>
        <v/>
      </c>
      <c r="W78" s="45" t="n">
        <f aca="false">IFERROR(INDEX(SkillData,MATCH(INDEX(PalData,MATCH($B78,PalNames,0)+1,MATCH("Passive0a",PalData_Header,0)),SkillDataCodeName,0)+1,MATCH("EffectValue1",SkillData_Header,0)),)</f>
        <v>0</v>
      </c>
      <c r="X78" s="45" t="n">
        <f aca="false">IFERROR(INDEX(SkillData,MATCH(INDEX(PalData,MATCH($B78,PalNames,0)+1,MATCH("Passive1a",PalData_Header,0)),SkillDataCodeName,0)+1,MATCH("EffectValue1",SkillData_Header,0)),)</f>
        <v>0</v>
      </c>
      <c r="Y78" s="45" t="n">
        <f aca="false">IFERROR(INDEX(SkillData,MATCH(INDEX(PalData,MATCH($B78,PalNames,0)+1,MATCH("Passive2a",PalData_Header,0)),SkillDataCodeName,0)+1,MATCH("EffectValue1",SkillData_Header,0)),)</f>
        <v>0</v>
      </c>
      <c r="Z78" s="45" t="n">
        <f aca="false">IFERROR(INDEX(SkillData,MATCH(INDEX(PalData,MATCH($B78,PalNames,0)+1,MATCH("Passive3a",PalData_Header,0)),SkillDataCodeName,0)+1,MATCH("EffectValue1",SkillData_Header,0)),)</f>
        <v>0</v>
      </c>
      <c r="AA78" s="260" t="n">
        <f aca="false">IFERROR(INDEX(SkillData,MATCH(INDEX(PalData,MATCH($B78,PalNames,0)+1,MATCH("Passive4a",PalData_Header,0)),SkillDataCodeName,0)+1,MATCH("EffectValue1",SkillData_Header,0)),)</f>
        <v>0</v>
      </c>
      <c r="AB78" s="45" t="str">
        <f aca="false">IFERROR(__xludf.dummyfunction("IFERROR(INDEX(SkillData,MATCH(Arrayformula(ARRAY_CONSTRAIN(FILTER(INDIRECT(""PalData!""&amp;ADDRESS(MATCH(B78,PalNames,0)+1,(MATCH(""Passive0b"",PalData_Header,0)))&amp;"":""&amp;ADDRESS(MATCH(B78,PalNames,0)+1,(MATCH(""Passive0b"",PalData_Header,0))+4)),LEN(INDIRECT"&amp;"(""PalData!""&amp;ADDRESS(MATCH(B78,PalNames,0)+1,(MATCH(""Passive0b"",PalData_Header,0)))&amp;"":""&amp;ADDRESS(MATCH(B78,PalNames,0)+1,(MATCH(""Passive0b"",PalData_Header,0))+4)))&gt;0),1,1)),SkillDataCodeName,0)+1,MATCH(""EffectTypeCombined"",SkillData_Header,0)))"),"")</f>
        <v/>
      </c>
      <c r="AC78" s="45" t="str">
        <f aca="false">IFERROR(__xludf.dummyfunction("IFERROR(INDEX(SkillData,MATCH(Arrayformula(ARRAY_CONSTRAIN(FILTER(INDIRECT(""PalData!""&amp;ADDRESS(MATCH(B78,PalNames,0)+1,(MATCH(""Passive0b"",PalData_Header,0)))&amp;"":""&amp;ADDRESS(MATCH(B78,PalNames,0)+1,(MATCH(""Passive0b"",PalData_Header,0))+4)),LEN(INDIRECT"&amp;"(""PalData!""&amp;ADDRESS(MATCH(B78,PalNames,0)+1,(MATCH(""Passive0b"",PalData_Header,0)))&amp;"":""&amp;ADDRESS(MATCH(B78,PalNames,0)+1,(MATCH(""Passive0b"",PalData_Header,0))+4)))&gt;0),1,1)),SkillDataCodeName,0)+1,MATCH(""TargetType1"",SkillData_Header,0)))"),"")</f>
        <v/>
      </c>
      <c r="AD78" s="45" t="e">
        <f aca="false" t="array" ref="AD78:AD78">IF(INDEX(PalData,MATCH($B78,PalNames,0)+1,MATCH("Passive0bCondition",PalData_Header,0))=IFERROR(INDEX(SkillData,MATCH(INDEX(PalData,MATCH($B78,PalNames,0)+1,MATCH("Passive0b",PalData_Header,0)),SkillDataCodeName,0)+1,MATCH("Conditions",SkillData_Header,0))),INDEX(PalData,MATCH($B78,PalNames,0)+1,MATCH("Passive0bCondition",PalData_Header,0)),INDEX(PalData,MATCH($B78,PalNames,0)+1,MATCH("Passive0bCondition",PalData_Header,0)) &amp; IF(ISBLANK(INDEX(PalData,MATCH($B78,PalNames,0)+1,MATCH("Passive0bCondition",PalData_Header,0))),," ")&amp;IFERROR(INDEX(SkillData,MATCH(INDEX(PalData,MATCH($B78,PalNames,0)+1,MATCH("Passive0b",PalData_Header,0)),SkillDataCodeName,0)+1,MATCH("Conditions",SkillData_Header,0))))</f>
        <v>#N/A</v>
      </c>
      <c r="AE78" s="45" t="str">
        <f aca="false">IFERROR(__xludf.dummyfunction("IFERROR(INDEX(SkillData,MATCH(Arrayformula(ARRAY_CONSTRAIN(FILTER(INDIRECT(""PalData!""&amp;ADDRESS(MATCH(B78,PalNames,0)+1,(MATCH(""Passive0b"",PalData_Header,0)))&amp;"":""&amp;ADDRESS(MATCH(B78,PalNames,0)+1,(MATCH(""Passive0b"",PalData_Header,0))+4)),LEN(INDIRECT"&amp;"(""PalData!""&amp;ADDRESS(MATCH(B78,PalNames,0)+1,(MATCH(""Passive0b"",PalData_Header,0)))&amp;"":""&amp;ADDRESS(MATCH(B78,PalNames,0)+1,(MATCH(""Passive0b"",PalData_Header,0))+4)))&gt;0),1,1)),SkillDataCodeName,0)+1,MATCH(""ValueType1"",SkillData_Header,0)))"),"")</f>
        <v/>
      </c>
      <c r="AF78" s="45" t="n">
        <f aca="false">IFERROR(INDEX(SkillData,MATCH(INDEX(PalData,MATCH($B78,PalNames,0)+1,MATCH("Passive0b",PalData_Header,0)),SkillDataCodeName,0)+1,MATCH("EffectValue1",SkillData_Header,0)),)</f>
        <v>0</v>
      </c>
      <c r="AG78" s="45" t="n">
        <f aca="false">IFERROR(INDEX(SkillData,MATCH(INDEX(PalData,MATCH($B78,PalNames,0)+1,MATCH("Passive1b",PalData_Header,0)),SkillDataCodeName,0)+1,MATCH("EffectValue1",SkillData_Header,0)),)</f>
        <v>0</v>
      </c>
      <c r="AH78" s="45" t="n">
        <f aca="false">IFERROR(INDEX(SkillData,MATCH(INDEX(PalData,MATCH($B78,PalNames,0)+1,MATCH("Passive2b",PalData_Header,0)),SkillDataCodeName,0)+1,MATCH("EffectValue1",SkillData_Header,0)),)</f>
        <v>0</v>
      </c>
      <c r="AI78" s="45" t="n">
        <f aca="false">IFERROR(INDEX(SkillData,MATCH(INDEX(PalData,MATCH($B78,PalNames,0)+1,MATCH("Passive3b",PalData_Header,0)),SkillDataCodeName,0)+1,MATCH("EffectValue1",SkillData_Header,0)),)</f>
        <v>0</v>
      </c>
      <c r="AJ78" s="260" t="n">
        <f aca="false">IFERROR(INDEX(SkillData,MATCH(INDEX(PalData,MATCH($B78,PalNames,0)+1,MATCH("Passive4b",PalData_Header,0)),SkillDataCodeName,0)+1,MATCH("EffectValue1",SkillData_Header,0)),)</f>
        <v>0</v>
      </c>
      <c r="AK78" s="301" t="s">
        <v>342</v>
      </c>
    </row>
    <row r="79" customFormat="false" ht="15.75" hidden="false" customHeight="false" outlineLevel="0" collapsed="false">
      <c r="A79" s="302" t="n">
        <v>64</v>
      </c>
      <c r="B79" s="303" t="s">
        <v>45</v>
      </c>
      <c r="C79" s="48" t="str">
        <f aca="false" t="array" ref="C79:C79">IF(ISBLANK(INDEX(PalData,MATCH($B79,PalNames,0)+1,MATCH("ActiveSkill",PalData_Header,0))),INDEX(PalData,MATCH($B79,PalNames,0)+1,MATCH("SkillUnlock_",PalData_Header,0)),INDEX(PalData,MATCH($B79,PalNames,0)+1,MATCH("ActiveSkill",PalData_Header,0)))</f>
        <v>Saddle</v>
      </c>
      <c r="D79" s="48"/>
      <c r="E79" s="48" t="n">
        <f aca="false">INDEX(PalData,MATCH($B79,PalNames,0)+1,MATCH("ActiveSkillBonus0",PalData_Header,0))</f>
        <v>0</v>
      </c>
      <c r="F79" s="48" t="n">
        <f aca="false">INDEX(PalData,MATCH($B79,PalNames,0)+1,MATCH("ActiveSkillBonus1",PalData_Header,0))</f>
        <v>0</v>
      </c>
      <c r="G79" s="48" t="n">
        <f aca="false">INDEX(PalData,MATCH($B79,PalNames,0)+1,MATCH("ActiveSkillBonus2",PalData_Header,0))</f>
        <v>0</v>
      </c>
      <c r="H79" s="48" t="n">
        <f aca="false">INDEX(PalData,MATCH($B79,PalNames,0)+1,MATCH("ActiveSkillBonus3",PalData_Header,0))</f>
        <v>0</v>
      </c>
      <c r="I79" s="263" t="n">
        <f aca="false">INDEX(PalData,MATCH($B79,PalNames,0)+1,MATCH("ActiveSkillBonus4",PalData_Header,0))</f>
        <v>0</v>
      </c>
      <c r="J79" s="48" t="str">
        <f aca="false">IFERROR(__xludf.dummyfunction("IFERROR(INDEX(SkillData,MATCH(Arrayformula(ARRAY_CONSTRAIN(FILTER(INDIRECT(""PalData!""&amp;ADDRESS(MATCH(B79,PalNames,0)+1,(MATCH(""Passive0c"",PalData_Header,0)))&amp;"":""&amp;ADDRESS(MATCH(B79,PalNames,0)+1,(MATCH(""Passive0c"",PalData_Header,0))+4)),LEN(INDIRECT"&amp;"(""PalData!""&amp;ADDRESS(MATCH(B79,PalNames,0)+1,(MATCH(""Passive0c"",PalData_Header,0)))&amp;"":""&amp;ADDRESS(MATCH(B79,PalNames,0)+1,(MATCH(""Passive0c"",PalData_Header,0))+4)))&gt;0),1,1)),SkillDataCodeName,0)+1,MATCH(""EffectTypeCombined"",SkillData_Header,0)))"),"ElementBoost_Electricity")</f>
        <v>ElementBoost_Electricity</v>
      </c>
      <c r="K79" s="48" t="str">
        <f aca="false">IFERROR(__xludf.dummyfunction("IFERROR(INDEX(SkillData,MATCH(Arrayformula(ARRAY_CONSTRAIN(FILTER(INDIRECT(""PalData!""&amp;ADDRESS(MATCH(B79,PalNames,0)+1,(MATCH(""Passive0c"",PalData_Header,0)))&amp;"":""&amp;ADDRESS(MATCH(B79,PalNames,0)+1,(MATCH(""Passive0c"",PalData_Header,0))+4)),LEN(INDIRECT"&amp;"(""PalData!""&amp;ADDRESS(MATCH(B79,PalNames,0)+1,(MATCH(""Passive0c"",PalData_Header,0)))&amp;"":""&amp;ADDRESS(MATCH(B79,PalNames,0)+1,(MATCH(""Passive0c"",PalData_Header,0))+4)))&gt;0),1,1)),SkillDataCodeName,0)+1,MATCH(""TargetType1"",SkillData_Header,0)))"),"SelfAndTrainer")</f>
        <v>SelfAndTrainer</v>
      </c>
      <c r="L79" s="48" t="e">
        <f aca="false" t="array" ref="L79:L79">IF(INDEX(PalData,MATCH($B79,PalNames,0)+1,MATCH("Passive0cCondition",PalData_Header,0))=IFERROR(INDEX(SkillData,MATCH(INDEX(PalData,MATCH($B79,PalNames,0)+1,MATCH("Passive0c",PalData_Header,0)),SkillDataCodeName,0)+1,MATCH("Conditions",SkillData_Header,0))),INDEX(PalData,MATCH($B79,PalNames,0)+1,MATCH("Passive0cCondition",PalData_Header,0)),INDEX(PalData,MATCH($B79,PalNames,0)+1,MATCH("Passive0cCondition",PalData_Header,0)) &amp; IF(ISBLANK(INDEX(PalData,MATCH($B79,PalNames,0)+1,MATCH("Passive0cCondition",PalData_Header,0))),," ")&amp;IFERROR(INDEX(SkillData,MATCH(INDEX(PalData,MATCH($B79,PalNames,0)+1,MATCH("Passive0c",PalData_Header,0)),SkillDataCodeName,0)+1,MATCH("Conditions",SkillData_Header,0))))</f>
        <v>#VALUE!</v>
      </c>
      <c r="M79" s="48" t="str">
        <f aca="false">IFERROR(__xludf.dummyfunction("IFERROR(INDEX(SkillData,MATCH(Arrayformula(ARRAY_CONSTRAIN(FILTER(INDIRECT(""PalData!""&amp;ADDRESS(MATCH(B79,PalNames,0)+1,(MATCH(""Passive0c"",PalData_Header,0)))&amp;"":""&amp;ADDRESS(MATCH(B79,PalNames,0)+1,(MATCH(""Passive0c"",PalData_Header,0))+4)),LEN(INDIRECT"&amp;"(""PalData!""&amp;ADDRESS(MATCH(B79,PalNames,0)+1,(MATCH(""Passive0c"",PalData_Header,0)))&amp;"":""&amp;ADDRESS(MATCH(B79,PalNames,0)+1,(MATCH(""Passive0c"",PalData_Header,0))+4)))&gt;0),1,1)),SkillDataCodeName,0)+1,MATCH(""ValueType1"",SkillData_Header,0)))"),"%")</f>
        <v>%</v>
      </c>
      <c r="N79" s="61" t="e">
        <f aca="false" t="array" ref="N79:N79">IFERROR(INDEX(SkillData,MATCH(INDEX(PalData,MATCH($B79,PalNames,0)+1,MATCH("Passive0c",PalData_Header,0)),SkillDataCodeName,0)+1,MATCH("EffectValue1",SkillData_Header,0)))</f>
        <v>#VALUE!</v>
      </c>
      <c r="O79" s="61" t="e">
        <f aca="false" t="array" ref="O79:O79">IFERROR(INDEX(SkillData,MATCH(INDEX(PalData,MATCH($B79,PalNames,0)+1,MATCH("Passive1c",PalData_Header,0)),SkillDataCodeName,0)+1,MATCH("EffectValue1",SkillData_Header,0)))</f>
        <v>#VALUE!</v>
      </c>
      <c r="P79" s="61" t="e">
        <f aca="false" t="array" ref="P79:P79">IFERROR(INDEX(SkillData,MATCH(INDEX(PalData,MATCH($B79,PalNames,0)+1,MATCH("Passive2c",PalData_Header,0)),SkillDataCodeName,0)+1,MATCH("EffectValue1",SkillData_Header,0)))</f>
        <v>#VALUE!</v>
      </c>
      <c r="Q79" s="61" t="e">
        <f aca="false" t="array" ref="Q79:Q79">IFERROR(INDEX(SkillData,MATCH(INDEX(PalData,MATCH($B79,PalNames,0)+1,MATCH("Passive3c",PalData_Header,0)),SkillDataCodeName,0)+1,MATCH("EffectValue1",SkillData_Header,0)))</f>
        <v>#VALUE!</v>
      </c>
      <c r="R79" s="304" t="e">
        <f aca="false" t="array" ref="R79:R79">IFERROR(INDEX(SkillData,MATCH(INDEX(PalData,MATCH($B79,PalNames,0)+1,MATCH("Passive4c",PalData_Header,0)),SkillDataCodeName,0)+1,MATCH("EffectValue1",SkillData_Header,0)))</f>
        <v>#VALUE!</v>
      </c>
      <c r="S79" s="48" t="str">
        <f aca="false">IFERROR(__xludf.dummyfunction("IFERROR(INDEX(SkillData,MATCH(Arrayformula(ARRAY_CONSTRAIN(FILTER(INDIRECT(""PalData!""&amp;ADDRESS(MATCH(B79,PalNames,0)+1,(MATCH(""Passive0a"",PalData_Header,0)))&amp;"":""&amp;ADDRESS(MATCH(B79,PalNames,0)+1,(MATCH(""Passive0a"",PalData_Header,0))+4)),LEN(INDIRECT"&amp;"(""PalData!""&amp;ADDRESS(MATCH(B79,PalNames,0)+1,(MATCH(""Passive0a"",PalData_Header,0)))&amp;"":""&amp;ADDRESS(MATCH(B79,PalNames,0)+1,(MATCH(""Passive0a"",PalData_Header,0))+4)))&gt;0),1,1)),SkillDataCodeName,0)+1,MATCH(""EffectTypeCombined"",SkillData_Header,0)))"),"")</f>
        <v/>
      </c>
      <c r="T79" s="48" t="str">
        <f aca="false">IFERROR(__xludf.dummyfunction("IFERROR(INDEX(SkillData,MATCH(Arrayformula(ARRAY_CONSTRAIN(FILTER(INDIRECT(""PalData!""&amp;ADDRESS(MATCH(B79,PalNames,0)+1,(MATCH(""Passive0a"",PalData_Header,0)))&amp;"":""&amp;ADDRESS(MATCH(B79,PalNames,0)+1,(MATCH(""Passive0a"",PalData_Header,0))+4)),LEN(INDIRECT"&amp;"(""PalData!""&amp;ADDRESS(MATCH(B79,PalNames,0)+1,(MATCH(""Passive0a"",PalData_Header,0)))&amp;"":""&amp;ADDRESS(MATCH(B79,PalNames,0)+1,(MATCH(""Passive0a"",PalData_Header,0))+4)))&gt;0),1,1)),SkillDataCodeName,0)+1,MATCH(""TargetType1"",SkillData_Header,0)))"),"")</f>
        <v/>
      </c>
      <c r="U79" s="48" t="e">
        <f aca="false" t="array" ref="U79:U79">IF(INDEX(PalData,MATCH($B79,PalNames,0)+1,MATCH("Passive0aCondition",PalData_Header,0))=IFERROR(INDEX(SkillData,MATCH(INDEX(PalData,MATCH($B79,PalNames,0)+1,MATCH("Passive0a",PalData_Header,0)),SkillDataCodeName,0)+1,MATCH("Conditions",SkillData_Header,0))),INDEX(PalData,MATCH($B79,PalNames,0)+1,MATCH("Passive0aCondition",PalData_Header,0)),INDEX(PalData,MATCH($B79,PalNames,0)+1,MATCH("Passive0aCondition",PalData_Header,0)) &amp; IF(ISBLANK(INDEX(PalData,MATCH($B79,PalNames,0)+1,MATCH("Passive0aCondition",PalData_Header,0))),," ")&amp;IFERROR(INDEX(SkillData,MATCH(INDEX(PalData,MATCH($B79,PalNames,0)+1,MATCH("Passive0a",PalData_Header,0)),SkillDataCodeName,0)+1,MATCH("Conditions",SkillData_Header,0))))</f>
        <v>#N/A</v>
      </c>
      <c r="V79" s="48" t="str">
        <f aca="false">IFERROR(__xludf.dummyfunction("IFERROR(INDEX(SkillData,MATCH(Arrayformula(ARRAY_CONSTRAIN(FILTER(INDIRECT(""PalData!""&amp;ADDRESS(MATCH(B79,PalNames,0)+1,(MATCH(""Passive0a"",PalData_Header,0)))&amp;"":""&amp;ADDRESS(MATCH(B79,PalNames,0)+1,(MATCH(""Passive0a"",PalData_Header,0))+4)),LEN(INDIRECT"&amp;"(""PalData!""&amp;ADDRESS(MATCH(B79,PalNames,0)+1,(MATCH(""Passive0a"",PalData_Header,0)))&amp;"":""&amp;ADDRESS(MATCH(B79,PalNames,0)+1,(MATCH(""Passive0a"",PalData_Header,0))+4)))&gt;0),1,1)),SkillDataCodeName,0)+1,MATCH(""ValueType1"",SkillData_Header,0)))"),"")</f>
        <v/>
      </c>
      <c r="W79" s="48" t="n">
        <f aca="false">IFERROR(INDEX(SkillData,MATCH(INDEX(PalData,MATCH($B79,PalNames,0)+1,MATCH("Passive0a",PalData_Header,0)),SkillDataCodeName,0)+1,MATCH("EffectValue1",SkillData_Header,0)),)</f>
        <v>0</v>
      </c>
      <c r="X79" s="48" t="n">
        <f aca="false">IFERROR(INDEX(SkillData,MATCH(INDEX(PalData,MATCH($B79,PalNames,0)+1,MATCH("Passive1a",PalData_Header,0)),SkillDataCodeName,0)+1,MATCH("EffectValue1",SkillData_Header,0)),)</f>
        <v>0</v>
      </c>
      <c r="Y79" s="48" t="n">
        <f aca="false">IFERROR(INDEX(SkillData,MATCH(INDEX(PalData,MATCH($B79,PalNames,0)+1,MATCH("Passive2a",PalData_Header,0)),SkillDataCodeName,0)+1,MATCH("EffectValue1",SkillData_Header,0)),)</f>
        <v>0</v>
      </c>
      <c r="Z79" s="48" t="n">
        <f aca="false">IFERROR(INDEX(SkillData,MATCH(INDEX(PalData,MATCH($B79,PalNames,0)+1,MATCH("Passive3a",PalData_Header,0)),SkillDataCodeName,0)+1,MATCH("EffectValue1",SkillData_Header,0)),)</f>
        <v>0</v>
      </c>
      <c r="AA79" s="263" t="n">
        <f aca="false">IFERROR(INDEX(SkillData,MATCH(INDEX(PalData,MATCH($B79,PalNames,0)+1,MATCH("Passive4a",PalData_Header,0)),SkillDataCodeName,0)+1,MATCH("EffectValue1",SkillData_Header,0)),)</f>
        <v>0</v>
      </c>
      <c r="AB79" s="48" t="str">
        <f aca="false">IFERROR(__xludf.dummyfunction("IFERROR(INDEX(SkillData,MATCH(Arrayformula(ARRAY_CONSTRAIN(FILTER(INDIRECT(""PalData!""&amp;ADDRESS(MATCH(B79,PalNames,0)+1,(MATCH(""Passive0b"",PalData_Header,0)))&amp;"":""&amp;ADDRESS(MATCH(B79,PalNames,0)+1,(MATCH(""Passive0b"",PalData_Header,0))+4)),LEN(INDIRECT"&amp;"(""PalData!""&amp;ADDRESS(MATCH(B79,PalNames,0)+1,(MATCH(""Passive0b"",PalData_Header,0)))&amp;"":""&amp;ADDRESS(MATCH(B79,PalNames,0)+1,(MATCH(""Passive0b"",PalData_Header,0))+4)))&gt;0),1,1)),SkillDataCodeName,0)+1,MATCH(""EffectTypeCombined"",SkillData_Header,0)))"),"")</f>
        <v/>
      </c>
      <c r="AC79" s="48" t="str">
        <f aca="false">IFERROR(__xludf.dummyfunction("IFERROR(INDEX(SkillData,MATCH(Arrayformula(ARRAY_CONSTRAIN(FILTER(INDIRECT(""PalData!""&amp;ADDRESS(MATCH(B79,PalNames,0)+1,(MATCH(""Passive0b"",PalData_Header,0)))&amp;"":""&amp;ADDRESS(MATCH(B79,PalNames,0)+1,(MATCH(""Passive0b"",PalData_Header,0))+4)),LEN(INDIRECT"&amp;"(""PalData!""&amp;ADDRESS(MATCH(B79,PalNames,0)+1,(MATCH(""Passive0b"",PalData_Header,0)))&amp;"":""&amp;ADDRESS(MATCH(B79,PalNames,0)+1,(MATCH(""Passive0b"",PalData_Header,0))+4)))&gt;0),1,1)),SkillDataCodeName,0)+1,MATCH(""TargetType1"",SkillData_Header,0)))"),"")</f>
        <v/>
      </c>
      <c r="AD79" s="48" t="e">
        <f aca="false" t="array" ref="AD79:AD79">IF(INDEX(PalData,MATCH($B79,PalNames,0)+1,MATCH("Passive0bCondition",PalData_Header,0))=IFERROR(INDEX(SkillData,MATCH(INDEX(PalData,MATCH($B79,PalNames,0)+1,MATCH("Passive0b",PalData_Header,0)),SkillDataCodeName,0)+1,MATCH("Conditions",SkillData_Header,0))),INDEX(PalData,MATCH($B79,PalNames,0)+1,MATCH("Passive0bCondition",PalData_Header,0)),INDEX(PalData,MATCH($B79,PalNames,0)+1,MATCH("Passive0bCondition",PalData_Header,0)) &amp; IF(ISBLANK(INDEX(PalData,MATCH($B79,PalNames,0)+1,MATCH("Passive0bCondition",PalData_Header,0))),," ")&amp;IFERROR(INDEX(SkillData,MATCH(INDEX(PalData,MATCH($B79,PalNames,0)+1,MATCH("Passive0b",PalData_Header,0)),SkillDataCodeName,0)+1,MATCH("Conditions",SkillData_Header,0))))</f>
        <v>#N/A</v>
      </c>
      <c r="AE79" s="48" t="str">
        <f aca="false">IFERROR(__xludf.dummyfunction("IFERROR(INDEX(SkillData,MATCH(Arrayformula(ARRAY_CONSTRAIN(FILTER(INDIRECT(""PalData!""&amp;ADDRESS(MATCH(B79,PalNames,0)+1,(MATCH(""Passive0b"",PalData_Header,0)))&amp;"":""&amp;ADDRESS(MATCH(B79,PalNames,0)+1,(MATCH(""Passive0b"",PalData_Header,0))+4)),LEN(INDIRECT"&amp;"(""PalData!""&amp;ADDRESS(MATCH(B79,PalNames,0)+1,(MATCH(""Passive0b"",PalData_Header,0)))&amp;"":""&amp;ADDRESS(MATCH(B79,PalNames,0)+1,(MATCH(""Passive0b"",PalData_Header,0))+4)))&gt;0),1,1)),SkillDataCodeName,0)+1,MATCH(""ValueType1"",SkillData_Header,0)))"),"")</f>
        <v/>
      </c>
      <c r="AF79" s="48" t="n">
        <f aca="false">IFERROR(INDEX(SkillData,MATCH(INDEX(PalData,MATCH($B79,PalNames,0)+1,MATCH("Passive0b",PalData_Header,0)),SkillDataCodeName,0)+1,MATCH("EffectValue1",SkillData_Header,0)),)</f>
        <v>0</v>
      </c>
      <c r="AG79" s="48" t="n">
        <f aca="false">IFERROR(INDEX(SkillData,MATCH(INDEX(PalData,MATCH($B79,PalNames,0)+1,MATCH("Passive1b",PalData_Header,0)),SkillDataCodeName,0)+1,MATCH("EffectValue1",SkillData_Header,0)),)</f>
        <v>0</v>
      </c>
      <c r="AH79" s="48" t="n">
        <f aca="false">IFERROR(INDEX(SkillData,MATCH(INDEX(PalData,MATCH($B79,PalNames,0)+1,MATCH("Passive2b",PalData_Header,0)),SkillDataCodeName,0)+1,MATCH("EffectValue1",SkillData_Header,0)),)</f>
        <v>0</v>
      </c>
      <c r="AI79" s="48" t="n">
        <f aca="false">IFERROR(INDEX(SkillData,MATCH(INDEX(PalData,MATCH($B79,PalNames,0)+1,MATCH("Passive3b",PalData_Header,0)),SkillDataCodeName,0)+1,MATCH("EffectValue1",SkillData_Header,0)),)</f>
        <v>0</v>
      </c>
      <c r="AJ79" s="263" t="n">
        <f aca="false">IFERROR(INDEX(SkillData,MATCH(INDEX(PalData,MATCH($B79,PalNames,0)+1,MATCH("Passive4b",PalData_Header,0)),SkillDataCodeName,0)+1,MATCH("EffectValue1",SkillData_Header,0)),)</f>
        <v>0</v>
      </c>
      <c r="AK79" s="305" t="s">
        <v>343</v>
      </c>
    </row>
    <row r="80" customFormat="false" ht="15.75" hidden="false" customHeight="false" outlineLevel="0" collapsed="false">
      <c r="A80" s="299" t="n">
        <v>65</v>
      </c>
      <c r="B80" s="300" t="s">
        <v>133</v>
      </c>
      <c r="C80" s="45" t="str">
        <f aca="false" t="array" ref="C80:C80">IF(ISBLANK(INDEX(PalData,MATCH($B80,PalNames,0)+1,MATCH("ActiveSkill",PalData_Header,0))),INDEX(PalData,MATCH($B80,PalNames,0)+1,MATCH("SkillUnlock_",PalData_Header,0)),INDEX(PalData,MATCH($B80,PalNames,0)+1,MATCH("ActiveSkill",PalData_Header,0)))</f>
        <v>Saddle</v>
      </c>
      <c r="D80" s="45"/>
      <c r="E80" s="45" t="n">
        <f aca="false">INDEX(PalData,MATCH($B80,PalNames,0)+1,MATCH("ActiveSkillBonus0",PalData_Header,0))</f>
        <v>0</v>
      </c>
      <c r="F80" s="45" t="n">
        <f aca="false">INDEX(PalData,MATCH($B80,PalNames,0)+1,MATCH("ActiveSkillBonus1",PalData_Header,0))</f>
        <v>0</v>
      </c>
      <c r="G80" s="45" t="n">
        <f aca="false">INDEX(PalData,MATCH($B80,PalNames,0)+1,MATCH("ActiveSkillBonus2",PalData_Header,0))</f>
        <v>0</v>
      </c>
      <c r="H80" s="45" t="n">
        <f aca="false">INDEX(PalData,MATCH($B80,PalNames,0)+1,MATCH("ActiveSkillBonus3",PalData_Header,0))</f>
        <v>0</v>
      </c>
      <c r="I80" s="260" t="n">
        <f aca="false">INDEX(PalData,MATCH($B80,PalNames,0)+1,MATCH("ActiveSkillBonus4",PalData_Header,0))</f>
        <v>0</v>
      </c>
      <c r="J80" s="45" t="str">
        <f aca="false">IFERROR(__xludf.dummyfunction("IFERROR(INDEX(SkillData,MATCH(Arrayformula(ARRAY_CONSTRAIN(FILTER(INDIRECT(""PalData!""&amp;ADDRESS(MATCH(B80,PalNames,0)+1,(MATCH(""Passive0c"",PalData_Header,0)))&amp;"":""&amp;ADDRESS(MATCH(B80,PalNames,0)+1,(MATCH(""Passive0c"",PalData_Header,0))+4)),LEN(INDIRECT"&amp;"(""PalData!""&amp;ADDRESS(MATCH(B80,PalNames,0)+1,(MATCH(""Passive0c"",PalData_Header,0)))&amp;"":""&amp;ADDRESS(MATCH(B80,PalNames,0)+1,(MATCH(""Passive0c"",PalData_Header,0))+4)))&gt;0),1,1)),SkillDataCodeName,0)+1,MATCH(""EffectTypeCombined"",SkillData_Header,0)))"),"MoveSpeed")</f>
        <v>MoveSpeed</v>
      </c>
      <c r="K80" s="45" t="str">
        <f aca="false">IFERROR(__xludf.dummyfunction("IFERROR(INDEX(SkillData,MATCH(Arrayformula(ARRAY_CONSTRAIN(FILTER(INDIRECT(""PalData!""&amp;ADDRESS(MATCH(B80,PalNames,0)+1,(MATCH(""Passive0c"",PalData_Header,0)))&amp;"":""&amp;ADDRESS(MATCH(B80,PalNames,0)+1,(MATCH(""Passive0c"",PalData_Header,0))+4)),LEN(INDIRECT"&amp;"(""PalData!""&amp;ADDRESS(MATCH(B80,PalNames,0)+1,(MATCH(""Passive0c"",PalData_Header,0)))&amp;"":""&amp;ADDRESS(MATCH(B80,PalNames,0)+1,(MATCH(""Passive0c"",PalData_Header,0))+4)))&gt;0),1,1)),SkillDataCodeName,0)+1,MATCH(""TargetType1"",SkillData_Header,0)))"),"SelfAndTrainer")</f>
        <v>SelfAndTrainer</v>
      </c>
      <c r="L80" s="45" t="e">
        <f aca="false" t="array" ref="L80:L80">IF(INDEX(PalData,MATCH($B80,PalNames,0)+1,MATCH("Passive0cCondition",PalData_Header,0))=IFERROR(INDEX(SkillData,MATCH(INDEX(PalData,MATCH($B80,PalNames,0)+1,MATCH("Passive0c",PalData_Header,0)),SkillDataCodeName,0)+1,MATCH("Conditions",SkillData_Header,0))),INDEX(PalData,MATCH($B80,PalNames,0)+1,MATCH("Passive0cCondition",PalData_Header,0)),INDEX(PalData,MATCH($B80,PalNames,0)+1,MATCH("Passive0cCondition",PalData_Header,0)) &amp; IF(ISBLANK(INDEX(PalData,MATCH($B80,PalNames,0)+1,MATCH("Passive0cCondition",PalData_Header,0))),," ")&amp;IFERROR(INDEX(SkillData,MATCH(INDEX(PalData,MATCH($B80,PalNames,0)+1,MATCH("Passive0c",PalData_Header,0)),SkillDataCodeName,0)+1,MATCH("Conditions",SkillData_Header,0))))</f>
        <v>#N/A</v>
      </c>
      <c r="M80" s="45" t="str">
        <f aca="false">IFERROR(__xludf.dummyfunction("IFERROR(INDEX(SkillData,MATCH(Arrayformula(ARRAY_CONSTRAIN(FILTER(INDIRECT(""PalData!""&amp;ADDRESS(MATCH(B80,PalNames,0)+1,(MATCH(""Passive0c"",PalData_Header,0)))&amp;"":""&amp;ADDRESS(MATCH(B80,PalNames,0)+1,(MATCH(""Passive0c"",PalData_Header,0))+4)),LEN(INDIRECT"&amp;"(""PalData!""&amp;ADDRESS(MATCH(B80,PalNames,0)+1,(MATCH(""Passive0c"",PalData_Header,0)))&amp;"":""&amp;ADDRESS(MATCH(B80,PalNames,0)+1,(MATCH(""Passive0c"",PalData_Header,0))+4)))&gt;0),1,1)),SkillDataCodeName,0)+1,MATCH(""ValueType1"",SkillData_Header,0)))"),"%")</f>
        <v>%</v>
      </c>
      <c r="N80" s="45" t="e">
        <f aca="false" t="array" ref="N80:N80">IFERROR(INDEX(SkillData,MATCH(INDEX(PalData,MATCH($B80,PalNames,0)+1,MATCH("Passive0c",PalData_Header,0)),SkillDataCodeName,0)+1,MATCH("EffectValue1",SkillData_Header,0)))</f>
        <v>#VALUE!</v>
      </c>
      <c r="O80" s="62" t="e">
        <f aca="false" t="array" ref="O80:O80">IFERROR(INDEX(SkillData,MATCH(INDEX(PalData,MATCH($B80,PalNames,0)+1,MATCH("Passive1c",PalData_Header,0)),SkillDataCodeName,0)+1,MATCH("EffectValue1",SkillData_Header,0)))</f>
        <v>#VALUE!</v>
      </c>
      <c r="P80" s="62" t="e">
        <f aca="false" t="array" ref="P80:P80">IFERROR(INDEX(SkillData,MATCH(INDEX(PalData,MATCH($B80,PalNames,0)+1,MATCH("Passive2c",PalData_Header,0)),SkillDataCodeName,0)+1,MATCH("EffectValue1",SkillData_Header,0)))</f>
        <v>#VALUE!</v>
      </c>
      <c r="Q80" s="62" t="e">
        <f aca="false" t="array" ref="Q80:Q80">IFERROR(INDEX(SkillData,MATCH(INDEX(PalData,MATCH($B80,PalNames,0)+1,MATCH("Passive3c",PalData_Header,0)),SkillDataCodeName,0)+1,MATCH("EffectValue1",SkillData_Header,0)))</f>
        <v>#VALUE!</v>
      </c>
      <c r="R80" s="306" t="e">
        <f aca="false" t="array" ref="R80:R80">IFERROR(INDEX(SkillData,MATCH(INDEX(PalData,MATCH($B80,PalNames,0)+1,MATCH("Passive4c",PalData_Header,0)),SkillDataCodeName,0)+1,MATCH("EffectValue1",SkillData_Header,0)))</f>
        <v>#VALUE!</v>
      </c>
      <c r="S80" s="45" t="str">
        <f aca="false">IFERROR(__xludf.dummyfunction("IFERROR(INDEX(SkillData,MATCH(Arrayformula(ARRAY_CONSTRAIN(FILTER(INDIRECT(""PalData!""&amp;ADDRESS(MATCH(B80,PalNames,0)+1,(MATCH(""Passive0a"",PalData_Header,0)))&amp;"":""&amp;ADDRESS(MATCH(B80,PalNames,0)+1,(MATCH(""Passive0a"",PalData_Header,0))+4)),LEN(INDIRECT"&amp;"(""PalData!""&amp;ADDRESS(MATCH(B80,PalNames,0)+1,(MATCH(""Passive0a"",PalData_Header,0)))&amp;"":""&amp;ADDRESS(MATCH(B80,PalNames,0)+1,(MATCH(""Passive0a"",PalData_Header,0))+4)))&gt;0),1,1)),SkillDataCodeName,0)+1,MATCH(""EffectTypeCombined"",SkillData_Header,0)))"),"")</f>
        <v/>
      </c>
      <c r="T80" s="45" t="str">
        <f aca="false">IFERROR(__xludf.dummyfunction("IFERROR(INDEX(SkillData,MATCH(Arrayformula(ARRAY_CONSTRAIN(FILTER(INDIRECT(""PalData!""&amp;ADDRESS(MATCH(B80,PalNames,0)+1,(MATCH(""Passive0a"",PalData_Header,0)))&amp;"":""&amp;ADDRESS(MATCH(B80,PalNames,0)+1,(MATCH(""Passive0a"",PalData_Header,0))+4)),LEN(INDIRECT"&amp;"(""PalData!""&amp;ADDRESS(MATCH(B80,PalNames,0)+1,(MATCH(""Passive0a"",PalData_Header,0)))&amp;"":""&amp;ADDRESS(MATCH(B80,PalNames,0)+1,(MATCH(""Passive0a"",PalData_Header,0))+4)))&gt;0),1,1)),SkillDataCodeName,0)+1,MATCH(""TargetType1"",SkillData_Header,0)))"),"")</f>
        <v/>
      </c>
      <c r="U80" s="45" t="e">
        <f aca="false" t="array" ref="U80:U80">IF(INDEX(PalData,MATCH($B80,PalNames,0)+1,MATCH("Passive0aCondition",PalData_Header,0))=IFERROR(INDEX(SkillData,MATCH(INDEX(PalData,MATCH($B80,PalNames,0)+1,MATCH("Passive0a",PalData_Header,0)),SkillDataCodeName,0)+1,MATCH("Conditions",SkillData_Header,0))),INDEX(PalData,MATCH($B80,PalNames,0)+1,MATCH("Passive0aCondition",PalData_Header,0)),INDEX(PalData,MATCH($B80,PalNames,0)+1,MATCH("Passive0aCondition",PalData_Header,0)) &amp; IF(ISBLANK(INDEX(PalData,MATCH($B80,PalNames,0)+1,MATCH("Passive0aCondition",PalData_Header,0))),," ")&amp;IFERROR(INDEX(SkillData,MATCH(INDEX(PalData,MATCH($B80,PalNames,0)+1,MATCH("Passive0a",PalData_Header,0)),SkillDataCodeName,0)+1,MATCH("Conditions",SkillData_Header,0))))</f>
        <v>#N/A</v>
      </c>
      <c r="V80" s="45" t="str">
        <f aca="false">IFERROR(__xludf.dummyfunction("IFERROR(INDEX(SkillData,MATCH(Arrayformula(ARRAY_CONSTRAIN(FILTER(INDIRECT(""PalData!""&amp;ADDRESS(MATCH(B80,PalNames,0)+1,(MATCH(""Passive0a"",PalData_Header,0)))&amp;"":""&amp;ADDRESS(MATCH(B80,PalNames,0)+1,(MATCH(""Passive0a"",PalData_Header,0))+4)),LEN(INDIRECT"&amp;"(""PalData!""&amp;ADDRESS(MATCH(B80,PalNames,0)+1,(MATCH(""Passive0a"",PalData_Header,0)))&amp;"":""&amp;ADDRESS(MATCH(B80,PalNames,0)+1,(MATCH(""Passive0a"",PalData_Header,0))+4)))&gt;0),1,1)),SkillDataCodeName,0)+1,MATCH(""ValueType1"",SkillData_Header,0)))"),"")</f>
        <v/>
      </c>
      <c r="W80" s="45" t="n">
        <f aca="false">IFERROR(INDEX(SkillData,MATCH(INDEX(PalData,MATCH($B80,PalNames,0)+1,MATCH("Passive0a",PalData_Header,0)),SkillDataCodeName,0)+1,MATCH("EffectValue1",SkillData_Header,0)),)</f>
        <v>0</v>
      </c>
      <c r="X80" s="45" t="n">
        <f aca="false">IFERROR(INDEX(SkillData,MATCH(INDEX(PalData,MATCH($B80,PalNames,0)+1,MATCH("Passive1a",PalData_Header,0)),SkillDataCodeName,0)+1,MATCH("EffectValue1",SkillData_Header,0)),)</f>
        <v>0</v>
      </c>
      <c r="Y80" s="45" t="n">
        <f aca="false">IFERROR(INDEX(SkillData,MATCH(INDEX(PalData,MATCH($B80,PalNames,0)+1,MATCH("Passive2a",PalData_Header,0)),SkillDataCodeName,0)+1,MATCH("EffectValue1",SkillData_Header,0)),)</f>
        <v>0</v>
      </c>
      <c r="Z80" s="45" t="n">
        <f aca="false">IFERROR(INDEX(SkillData,MATCH(INDEX(PalData,MATCH($B80,PalNames,0)+1,MATCH("Passive3a",PalData_Header,0)),SkillDataCodeName,0)+1,MATCH("EffectValue1",SkillData_Header,0)),)</f>
        <v>0</v>
      </c>
      <c r="AA80" s="260" t="n">
        <f aca="false">IFERROR(INDEX(SkillData,MATCH(INDEX(PalData,MATCH($B80,PalNames,0)+1,MATCH("Passive4a",PalData_Header,0)),SkillDataCodeName,0)+1,MATCH("EffectValue1",SkillData_Header,0)),)</f>
        <v>0</v>
      </c>
      <c r="AB80" s="45" t="str">
        <f aca="false">IFERROR(__xludf.dummyfunction("IFERROR(INDEX(SkillData,MATCH(Arrayformula(ARRAY_CONSTRAIN(FILTER(INDIRECT(""PalData!""&amp;ADDRESS(MATCH(B80,PalNames,0)+1,(MATCH(""Passive0b"",PalData_Header,0)))&amp;"":""&amp;ADDRESS(MATCH(B80,PalNames,0)+1,(MATCH(""Passive0b"",PalData_Header,0))+4)),LEN(INDIRECT"&amp;"(""PalData!""&amp;ADDRESS(MATCH(B80,PalNames,0)+1,(MATCH(""Passive0b"",PalData_Header,0)))&amp;"":""&amp;ADDRESS(MATCH(B80,PalNames,0)+1,(MATCH(""Passive0b"",PalData_Header,0))+4)))&gt;0),1,1)),SkillDataCodeName,0)+1,MATCH(""EffectTypeCombined"",SkillData_Header,0)))"),"")</f>
        <v/>
      </c>
      <c r="AC80" s="45" t="str">
        <f aca="false">IFERROR(__xludf.dummyfunction("IFERROR(INDEX(SkillData,MATCH(Arrayformula(ARRAY_CONSTRAIN(FILTER(INDIRECT(""PalData!""&amp;ADDRESS(MATCH(B80,PalNames,0)+1,(MATCH(""Passive0b"",PalData_Header,0)))&amp;"":""&amp;ADDRESS(MATCH(B80,PalNames,0)+1,(MATCH(""Passive0b"",PalData_Header,0))+4)),LEN(INDIRECT"&amp;"(""PalData!""&amp;ADDRESS(MATCH(B80,PalNames,0)+1,(MATCH(""Passive0b"",PalData_Header,0)))&amp;"":""&amp;ADDRESS(MATCH(B80,PalNames,0)+1,(MATCH(""Passive0b"",PalData_Header,0))+4)))&gt;0),1,1)),SkillDataCodeName,0)+1,MATCH(""TargetType1"",SkillData_Header,0)))"),"")</f>
        <v/>
      </c>
      <c r="AD80" s="45" t="e">
        <f aca="false" t="array" ref="AD80:AD80">IF(INDEX(PalData,MATCH($B80,PalNames,0)+1,MATCH("Passive0bCondition",PalData_Header,0))=IFERROR(INDEX(SkillData,MATCH(INDEX(PalData,MATCH($B80,PalNames,0)+1,MATCH("Passive0b",PalData_Header,0)),SkillDataCodeName,0)+1,MATCH("Conditions",SkillData_Header,0))),INDEX(PalData,MATCH($B80,PalNames,0)+1,MATCH("Passive0bCondition",PalData_Header,0)),INDEX(PalData,MATCH($B80,PalNames,0)+1,MATCH("Passive0bCondition",PalData_Header,0)) &amp; IF(ISBLANK(INDEX(PalData,MATCH($B80,PalNames,0)+1,MATCH("Passive0bCondition",PalData_Header,0))),," ")&amp;IFERROR(INDEX(SkillData,MATCH(INDEX(PalData,MATCH($B80,PalNames,0)+1,MATCH("Passive0b",PalData_Header,0)),SkillDataCodeName,0)+1,MATCH("Conditions",SkillData_Header,0))))</f>
        <v>#N/A</v>
      </c>
      <c r="AE80" s="45" t="str">
        <f aca="false">IFERROR(__xludf.dummyfunction("IFERROR(INDEX(SkillData,MATCH(Arrayformula(ARRAY_CONSTRAIN(FILTER(INDIRECT(""PalData!""&amp;ADDRESS(MATCH(B80,PalNames,0)+1,(MATCH(""Passive0b"",PalData_Header,0)))&amp;"":""&amp;ADDRESS(MATCH(B80,PalNames,0)+1,(MATCH(""Passive0b"",PalData_Header,0))+4)),LEN(INDIRECT"&amp;"(""PalData!""&amp;ADDRESS(MATCH(B80,PalNames,0)+1,(MATCH(""Passive0b"",PalData_Header,0)))&amp;"":""&amp;ADDRESS(MATCH(B80,PalNames,0)+1,(MATCH(""Passive0b"",PalData_Header,0))+4)))&gt;0),1,1)),SkillDataCodeName,0)+1,MATCH(""ValueType1"",SkillData_Header,0)))"),"")</f>
        <v/>
      </c>
      <c r="AF80" s="45" t="n">
        <f aca="false">IFERROR(INDEX(SkillData,MATCH(INDEX(PalData,MATCH($B80,PalNames,0)+1,MATCH("Passive0b",PalData_Header,0)),SkillDataCodeName,0)+1,MATCH("EffectValue1",SkillData_Header,0)),)</f>
        <v>0</v>
      </c>
      <c r="AG80" s="45" t="n">
        <f aca="false">IFERROR(INDEX(SkillData,MATCH(INDEX(PalData,MATCH($B80,PalNames,0)+1,MATCH("Passive1b",PalData_Header,0)),SkillDataCodeName,0)+1,MATCH("EffectValue1",SkillData_Header,0)),)</f>
        <v>0</v>
      </c>
      <c r="AH80" s="45" t="n">
        <f aca="false">IFERROR(INDEX(SkillData,MATCH(INDEX(PalData,MATCH($B80,PalNames,0)+1,MATCH("Passive2b",PalData_Header,0)),SkillDataCodeName,0)+1,MATCH("EffectValue1",SkillData_Header,0)),)</f>
        <v>0</v>
      </c>
      <c r="AI80" s="45" t="n">
        <f aca="false">IFERROR(INDEX(SkillData,MATCH(INDEX(PalData,MATCH($B80,PalNames,0)+1,MATCH("Passive3b",PalData_Header,0)),SkillDataCodeName,0)+1,MATCH("EffectValue1",SkillData_Header,0)),)</f>
        <v>0</v>
      </c>
      <c r="AJ80" s="260" t="n">
        <f aca="false">IFERROR(INDEX(SkillData,MATCH(INDEX(PalData,MATCH($B80,PalNames,0)+1,MATCH("Passive4b",PalData_Header,0)),SkillDataCodeName,0)+1,MATCH("EffectValue1",SkillData_Header,0)),)</f>
        <v>0</v>
      </c>
      <c r="AK80" s="301" t="s">
        <v>344</v>
      </c>
    </row>
    <row r="81" customFormat="false" ht="15.75" hidden="false" customHeight="false" outlineLevel="0" collapsed="false">
      <c r="A81" s="302" t="n">
        <v>65</v>
      </c>
      <c r="B81" s="303" t="s">
        <v>134</v>
      </c>
      <c r="C81" s="48" t="str">
        <f aca="false" t="array" ref="C81:C81">IF(ISBLANK(INDEX(PalData,MATCH($B81,PalNames,0)+1,MATCH("ActiveSkill",PalData_Header,0))),INDEX(PalData,MATCH($B81,PalNames,0)+1,MATCH("SkillUnlock_",PalData_Header,0)),INDEX(PalData,MATCH($B81,PalNames,0)+1,MATCH("ActiveSkill",PalData_Header,0)))</f>
        <v>Saddle</v>
      </c>
      <c r="D81" s="48"/>
      <c r="E81" s="48" t="n">
        <f aca="false">INDEX(PalData,MATCH($B81,PalNames,0)+1,MATCH("ActiveSkillBonus0",PalData_Header,0))</f>
        <v>0</v>
      </c>
      <c r="F81" s="48" t="n">
        <f aca="false">INDEX(PalData,MATCH($B81,PalNames,0)+1,MATCH("ActiveSkillBonus1",PalData_Header,0))</f>
        <v>0</v>
      </c>
      <c r="G81" s="48" t="n">
        <f aca="false">INDEX(PalData,MATCH($B81,PalNames,0)+1,MATCH("ActiveSkillBonus2",PalData_Header,0))</f>
        <v>0</v>
      </c>
      <c r="H81" s="48" t="n">
        <f aca="false">INDEX(PalData,MATCH($B81,PalNames,0)+1,MATCH("ActiveSkillBonus3",PalData_Header,0))</f>
        <v>0</v>
      </c>
      <c r="I81" s="263" t="n">
        <f aca="false">INDEX(PalData,MATCH($B81,PalNames,0)+1,MATCH("ActiveSkillBonus4",PalData_Header,0))</f>
        <v>0</v>
      </c>
      <c r="J81" s="48" t="str">
        <f aca="false">IFERROR(__xludf.dummyfunction("IFERROR(INDEX(SkillData,MATCH(Arrayformula(ARRAY_CONSTRAIN(FILTER(INDIRECT(""PalData!""&amp;ADDRESS(MATCH(B81,PalNames,0)+1,(MATCH(""Passive0c"",PalData_Header,0)))&amp;"":""&amp;ADDRESS(MATCH(B81,PalNames,0)+1,(MATCH(""Passive0c"",PalData_Header,0))+4)),LEN(INDIRECT"&amp;"(""PalData!""&amp;ADDRESS(MATCH(B81,PalNames,0)+1,(MATCH(""Passive0c"",PalData_Header,0)))&amp;"":""&amp;ADDRESS(MATCH(B81,PalNames,0)+1,(MATCH(""Passive0c"",PalData_Header,0))+4)))&gt;0),1,1)),SkillDataCodeName,0)+1,MATCH(""EffectTypeCombined"",SkillData_Header,0)))"),"MoveSpeed")</f>
        <v>MoveSpeed</v>
      </c>
      <c r="K81" s="48" t="str">
        <f aca="false">IFERROR(__xludf.dummyfunction("IFERROR(INDEX(SkillData,MATCH(Arrayformula(ARRAY_CONSTRAIN(FILTER(INDIRECT(""PalData!""&amp;ADDRESS(MATCH(B81,PalNames,0)+1,(MATCH(""Passive0c"",PalData_Header,0)))&amp;"":""&amp;ADDRESS(MATCH(B81,PalNames,0)+1,(MATCH(""Passive0c"",PalData_Header,0))+4)),LEN(INDIRECT"&amp;"(""PalData!""&amp;ADDRESS(MATCH(B81,PalNames,0)+1,(MATCH(""Passive0c"",PalData_Header,0)))&amp;"":""&amp;ADDRESS(MATCH(B81,PalNames,0)+1,(MATCH(""Passive0c"",PalData_Header,0))+4)))&gt;0),1,1)),SkillDataCodeName,0)+1,MATCH(""TargetType1"",SkillData_Header,0)))"),"SelfAndTrainer")</f>
        <v>SelfAndTrainer</v>
      </c>
      <c r="L81" s="48" t="e">
        <f aca="false" t="array" ref="L81:L81">IF(INDEX(PalData,MATCH($B81,PalNames,0)+1,MATCH("Passive0cCondition",PalData_Header,0))=IFERROR(INDEX(SkillData,MATCH(INDEX(PalData,MATCH($B81,PalNames,0)+1,MATCH("Passive0c",PalData_Header,0)),SkillDataCodeName,0)+1,MATCH("Conditions",SkillData_Header,0))),INDEX(PalData,MATCH($B81,PalNames,0)+1,MATCH("Passive0cCondition",PalData_Header,0)),INDEX(PalData,MATCH($B81,PalNames,0)+1,MATCH("Passive0cCondition",PalData_Header,0)) &amp; IF(ISBLANK(INDEX(PalData,MATCH($B81,PalNames,0)+1,MATCH("Passive0cCondition",PalData_Header,0))),," ")&amp;IFERROR(INDEX(SkillData,MATCH(INDEX(PalData,MATCH($B81,PalNames,0)+1,MATCH("Passive0c",PalData_Header,0)),SkillDataCodeName,0)+1,MATCH("Conditions",SkillData_Header,0))))</f>
        <v>#N/A</v>
      </c>
      <c r="M81" s="48" t="str">
        <f aca="false">IFERROR(__xludf.dummyfunction("IFERROR(INDEX(SkillData,MATCH(Arrayformula(ARRAY_CONSTRAIN(FILTER(INDIRECT(""PalData!""&amp;ADDRESS(MATCH(B81,PalNames,0)+1,(MATCH(""Passive0c"",PalData_Header,0)))&amp;"":""&amp;ADDRESS(MATCH(B81,PalNames,0)+1,(MATCH(""Passive0c"",PalData_Header,0))+4)),LEN(INDIRECT"&amp;"(""PalData!""&amp;ADDRESS(MATCH(B81,PalNames,0)+1,(MATCH(""Passive0c"",PalData_Header,0)))&amp;"":""&amp;ADDRESS(MATCH(B81,PalNames,0)+1,(MATCH(""Passive0c"",PalData_Header,0))+4)))&gt;0),1,1)),SkillDataCodeName,0)+1,MATCH(""ValueType1"",SkillData_Header,0)))"),"%")</f>
        <v>%</v>
      </c>
      <c r="N81" s="48" t="e">
        <f aca="false" t="array" ref="N81:N81">IFERROR(INDEX(SkillData,MATCH(INDEX(PalData,MATCH($B81,PalNames,0)+1,MATCH("Passive0c",PalData_Header,0)),SkillDataCodeName,0)+1,MATCH("EffectValue1",SkillData_Header,0)))</f>
        <v>#VALUE!</v>
      </c>
      <c r="O81" s="61" t="e">
        <f aca="false" t="array" ref="O81:O81">IFERROR(INDEX(SkillData,MATCH(INDEX(PalData,MATCH($B81,PalNames,0)+1,MATCH("Passive1c",PalData_Header,0)),SkillDataCodeName,0)+1,MATCH("EffectValue1",SkillData_Header,0)))</f>
        <v>#VALUE!</v>
      </c>
      <c r="P81" s="61" t="e">
        <f aca="false" t="array" ref="P81:P81">IFERROR(INDEX(SkillData,MATCH(INDEX(PalData,MATCH($B81,PalNames,0)+1,MATCH("Passive2c",PalData_Header,0)),SkillDataCodeName,0)+1,MATCH("EffectValue1",SkillData_Header,0)))</f>
        <v>#VALUE!</v>
      </c>
      <c r="Q81" s="61" t="e">
        <f aca="false" t="array" ref="Q81:Q81">IFERROR(INDEX(SkillData,MATCH(INDEX(PalData,MATCH($B81,PalNames,0)+1,MATCH("Passive3c",PalData_Header,0)),SkillDataCodeName,0)+1,MATCH("EffectValue1",SkillData_Header,0)))</f>
        <v>#VALUE!</v>
      </c>
      <c r="R81" s="304" t="e">
        <f aca="false" t="array" ref="R81:R81">IFERROR(INDEX(SkillData,MATCH(INDEX(PalData,MATCH($B81,PalNames,0)+1,MATCH("Passive4c",PalData_Header,0)),SkillDataCodeName,0)+1,MATCH("EffectValue1",SkillData_Header,0)))</f>
        <v>#VALUE!</v>
      </c>
      <c r="S81" s="48" t="str">
        <f aca="false">IFERROR(__xludf.dummyfunction("IFERROR(INDEX(SkillData,MATCH(Arrayformula(ARRAY_CONSTRAIN(FILTER(INDIRECT(""PalData!""&amp;ADDRESS(MATCH(B81,PalNames,0)+1,(MATCH(""Passive0a"",PalData_Header,0)))&amp;"":""&amp;ADDRESS(MATCH(B81,PalNames,0)+1,(MATCH(""Passive0a"",PalData_Header,0))+4)),LEN(INDIRECT"&amp;"(""PalData!""&amp;ADDRESS(MATCH(B81,PalNames,0)+1,(MATCH(""Passive0a"",PalData_Header,0)))&amp;"":""&amp;ADDRESS(MATCH(B81,PalNames,0)+1,(MATCH(""Passive0a"",PalData_Header,0))+4)))&gt;0),1,1)),SkillDataCodeName,0)+1,MATCH(""EffectTypeCombined"",SkillData_Header,0)))"),"")</f>
        <v/>
      </c>
      <c r="T81" s="48" t="str">
        <f aca="false">IFERROR(__xludf.dummyfunction("IFERROR(INDEX(SkillData,MATCH(Arrayformula(ARRAY_CONSTRAIN(FILTER(INDIRECT(""PalData!""&amp;ADDRESS(MATCH(B81,PalNames,0)+1,(MATCH(""Passive0a"",PalData_Header,0)))&amp;"":""&amp;ADDRESS(MATCH(B81,PalNames,0)+1,(MATCH(""Passive0a"",PalData_Header,0))+4)),LEN(INDIRECT"&amp;"(""PalData!""&amp;ADDRESS(MATCH(B81,PalNames,0)+1,(MATCH(""Passive0a"",PalData_Header,0)))&amp;"":""&amp;ADDRESS(MATCH(B81,PalNames,0)+1,(MATCH(""Passive0a"",PalData_Header,0))+4)))&gt;0),1,1)),SkillDataCodeName,0)+1,MATCH(""TargetType1"",SkillData_Header,0)))"),"")</f>
        <v/>
      </c>
      <c r="U81" s="48" t="e">
        <f aca="false" t="array" ref="U81:U81">IF(INDEX(PalData,MATCH($B81,PalNames,0)+1,MATCH("Passive0aCondition",PalData_Header,0))=IFERROR(INDEX(SkillData,MATCH(INDEX(PalData,MATCH($B81,PalNames,0)+1,MATCH("Passive0a",PalData_Header,0)),SkillDataCodeName,0)+1,MATCH("Conditions",SkillData_Header,0))),INDEX(PalData,MATCH($B81,PalNames,0)+1,MATCH("Passive0aCondition",PalData_Header,0)),INDEX(PalData,MATCH($B81,PalNames,0)+1,MATCH("Passive0aCondition",PalData_Header,0)) &amp; IF(ISBLANK(INDEX(PalData,MATCH($B81,PalNames,0)+1,MATCH("Passive0aCondition",PalData_Header,0))),," ")&amp;IFERROR(INDEX(SkillData,MATCH(INDEX(PalData,MATCH($B81,PalNames,0)+1,MATCH("Passive0a",PalData_Header,0)),SkillDataCodeName,0)+1,MATCH("Conditions",SkillData_Header,0))))</f>
        <v>#N/A</v>
      </c>
      <c r="V81" s="48" t="str">
        <f aca="false">IFERROR(__xludf.dummyfunction("IFERROR(INDEX(SkillData,MATCH(Arrayformula(ARRAY_CONSTRAIN(FILTER(INDIRECT(""PalData!""&amp;ADDRESS(MATCH(B81,PalNames,0)+1,(MATCH(""Passive0a"",PalData_Header,0)))&amp;"":""&amp;ADDRESS(MATCH(B81,PalNames,0)+1,(MATCH(""Passive0a"",PalData_Header,0))+4)),LEN(INDIRECT"&amp;"(""PalData!""&amp;ADDRESS(MATCH(B81,PalNames,0)+1,(MATCH(""Passive0a"",PalData_Header,0)))&amp;"":""&amp;ADDRESS(MATCH(B81,PalNames,0)+1,(MATCH(""Passive0a"",PalData_Header,0))+4)))&gt;0),1,1)),SkillDataCodeName,0)+1,MATCH(""ValueType1"",SkillData_Header,0)))"),"")</f>
        <v/>
      </c>
      <c r="W81" s="48" t="n">
        <f aca="false">IFERROR(INDEX(SkillData,MATCH(INDEX(PalData,MATCH($B81,PalNames,0)+1,MATCH("Passive0a",PalData_Header,0)),SkillDataCodeName,0)+1,MATCH("EffectValue1",SkillData_Header,0)),)</f>
        <v>0</v>
      </c>
      <c r="X81" s="48" t="n">
        <f aca="false">IFERROR(INDEX(SkillData,MATCH(INDEX(PalData,MATCH($B81,PalNames,0)+1,MATCH("Passive1a",PalData_Header,0)),SkillDataCodeName,0)+1,MATCH("EffectValue1",SkillData_Header,0)),)</f>
        <v>0</v>
      </c>
      <c r="Y81" s="48" t="n">
        <f aca="false">IFERROR(INDEX(SkillData,MATCH(INDEX(PalData,MATCH($B81,PalNames,0)+1,MATCH("Passive2a",PalData_Header,0)),SkillDataCodeName,0)+1,MATCH("EffectValue1",SkillData_Header,0)),)</f>
        <v>0</v>
      </c>
      <c r="Z81" s="48" t="n">
        <f aca="false">IFERROR(INDEX(SkillData,MATCH(INDEX(PalData,MATCH($B81,PalNames,0)+1,MATCH("Passive3a",PalData_Header,0)),SkillDataCodeName,0)+1,MATCH("EffectValue1",SkillData_Header,0)),)</f>
        <v>0</v>
      </c>
      <c r="AA81" s="263" t="n">
        <f aca="false">IFERROR(INDEX(SkillData,MATCH(INDEX(PalData,MATCH($B81,PalNames,0)+1,MATCH("Passive4a",PalData_Header,0)),SkillDataCodeName,0)+1,MATCH("EffectValue1",SkillData_Header,0)),)</f>
        <v>0</v>
      </c>
      <c r="AB81" s="48" t="str">
        <f aca="false">IFERROR(__xludf.dummyfunction("IFERROR(INDEX(SkillData,MATCH(Arrayformula(ARRAY_CONSTRAIN(FILTER(INDIRECT(""PalData!""&amp;ADDRESS(MATCH(B81,PalNames,0)+1,(MATCH(""Passive0b"",PalData_Header,0)))&amp;"":""&amp;ADDRESS(MATCH(B81,PalNames,0)+1,(MATCH(""Passive0b"",PalData_Header,0))+4)),LEN(INDIRECT"&amp;"(""PalData!""&amp;ADDRESS(MATCH(B81,PalNames,0)+1,(MATCH(""Passive0b"",PalData_Header,0)))&amp;"":""&amp;ADDRESS(MATCH(B81,PalNames,0)+1,(MATCH(""Passive0b"",PalData_Header,0))+4)))&gt;0),1,1)),SkillDataCodeName,0)+1,MATCH(""EffectTypeCombined"",SkillData_Header,0)))"),"")</f>
        <v/>
      </c>
      <c r="AC81" s="48" t="str">
        <f aca="false">IFERROR(__xludf.dummyfunction("IFERROR(INDEX(SkillData,MATCH(Arrayformula(ARRAY_CONSTRAIN(FILTER(INDIRECT(""PalData!""&amp;ADDRESS(MATCH(B81,PalNames,0)+1,(MATCH(""Passive0b"",PalData_Header,0)))&amp;"":""&amp;ADDRESS(MATCH(B81,PalNames,0)+1,(MATCH(""Passive0b"",PalData_Header,0))+4)),LEN(INDIRECT"&amp;"(""PalData!""&amp;ADDRESS(MATCH(B81,PalNames,0)+1,(MATCH(""Passive0b"",PalData_Header,0)))&amp;"":""&amp;ADDRESS(MATCH(B81,PalNames,0)+1,(MATCH(""Passive0b"",PalData_Header,0))+4)))&gt;0),1,1)),SkillDataCodeName,0)+1,MATCH(""TargetType1"",SkillData_Header,0)))"),"")</f>
        <v/>
      </c>
      <c r="AD81" s="48" t="e">
        <f aca="false" t="array" ref="AD81:AD81">IF(INDEX(PalData,MATCH($B81,PalNames,0)+1,MATCH("Passive0bCondition",PalData_Header,0))=IFERROR(INDEX(SkillData,MATCH(INDEX(PalData,MATCH($B81,PalNames,0)+1,MATCH("Passive0b",PalData_Header,0)),SkillDataCodeName,0)+1,MATCH("Conditions",SkillData_Header,0))),INDEX(PalData,MATCH($B81,PalNames,0)+1,MATCH("Passive0bCondition",PalData_Header,0)),INDEX(PalData,MATCH($B81,PalNames,0)+1,MATCH("Passive0bCondition",PalData_Header,0)) &amp; IF(ISBLANK(INDEX(PalData,MATCH($B81,PalNames,0)+1,MATCH("Passive0bCondition",PalData_Header,0))),," ")&amp;IFERROR(INDEX(SkillData,MATCH(INDEX(PalData,MATCH($B81,PalNames,0)+1,MATCH("Passive0b",PalData_Header,0)),SkillDataCodeName,0)+1,MATCH("Conditions",SkillData_Header,0))))</f>
        <v>#N/A</v>
      </c>
      <c r="AE81" s="48" t="str">
        <f aca="false">IFERROR(__xludf.dummyfunction("IFERROR(INDEX(SkillData,MATCH(Arrayformula(ARRAY_CONSTRAIN(FILTER(INDIRECT(""PalData!""&amp;ADDRESS(MATCH(B81,PalNames,0)+1,(MATCH(""Passive0b"",PalData_Header,0)))&amp;"":""&amp;ADDRESS(MATCH(B81,PalNames,0)+1,(MATCH(""Passive0b"",PalData_Header,0))+4)),LEN(INDIRECT"&amp;"(""PalData!""&amp;ADDRESS(MATCH(B81,PalNames,0)+1,(MATCH(""Passive0b"",PalData_Header,0)))&amp;"":""&amp;ADDRESS(MATCH(B81,PalNames,0)+1,(MATCH(""Passive0b"",PalData_Header,0))+4)))&gt;0),1,1)),SkillDataCodeName,0)+1,MATCH(""ValueType1"",SkillData_Header,0)))"),"")</f>
        <v/>
      </c>
      <c r="AF81" s="48" t="n">
        <f aca="false">IFERROR(INDEX(SkillData,MATCH(INDEX(PalData,MATCH($B81,PalNames,0)+1,MATCH("Passive0b",PalData_Header,0)),SkillDataCodeName,0)+1,MATCH("EffectValue1",SkillData_Header,0)),)</f>
        <v>0</v>
      </c>
      <c r="AG81" s="48" t="n">
        <f aca="false">IFERROR(INDEX(SkillData,MATCH(INDEX(PalData,MATCH($B81,PalNames,0)+1,MATCH("Passive1b",PalData_Header,0)),SkillDataCodeName,0)+1,MATCH("EffectValue1",SkillData_Header,0)),)</f>
        <v>0</v>
      </c>
      <c r="AH81" s="48" t="n">
        <f aca="false">IFERROR(INDEX(SkillData,MATCH(INDEX(PalData,MATCH($B81,PalNames,0)+1,MATCH("Passive2b",PalData_Header,0)),SkillDataCodeName,0)+1,MATCH("EffectValue1",SkillData_Header,0)),)</f>
        <v>0</v>
      </c>
      <c r="AI81" s="48" t="n">
        <f aca="false">IFERROR(INDEX(SkillData,MATCH(INDEX(PalData,MATCH($B81,PalNames,0)+1,MATCH("Passive3b",PalData_Header,0)),SkillDataCodeName,0)+1,MATCH("EffectValue1",SkillData_Header,0)),)</f>
        <v>0</v>
      </c>
      <c r="AJ81" s="263" t="n">
        <f aca="false">IFERROR(INDEX(SkillData,MATCH(INDEX(PalData,MATCH($B81,PalNames,0)+1,MATCH("Passive4b",PalData_Header,0)),SkillDataCodeName,0)+1,MATCH("EffectValue1",SkillData_Header,0)),)</f>
        <v>0</v>
      </c>
      <c r="AK81" s="305" t="s">
        <v>345</v>
      </c>
    </row>
    <row r="82" customFormat="false" ht="15.75" hidden="false" customHeight="false" outlineLevel="0" collapsed="false">
      <c r="A82" s="299" t="n">
        <v>66</v>
      </c>
      <c r="B82" s="300" t="s">
        <v>101</v>
      </c>
      <c r="C82" s="45" t="str">
        <f aca="false" t="array" ref="C82:C82">IF(ISBLANK(INDEX(PalData,MATCH($B82,PalNames,0)+1,MATCH("ActiveSkill",PalData_Header,0))),INDEX(PalData,MATCH($B82,PalNames,0)+1,MATCH("SkillUnlock_",PalData_Header,0)),INDEX(PalData,MATCH($B82,PalNames,0)+1,MATCH("ActiveSkill",PalData_Header,0)))</f>
        <v>Saddle</v>
      </c>
      <c r="D82" s="45"/>
      <c r="E82" s="45" t="n">
        <f aca="false">INDEX(PalData,MATCH($B82,PalNames,0)+1,MATCH("ActiveSkillBonus0",PalData_Header,0))</f>
        <v>0</v>
      </c>
      <c r="F82" s="45" t="n">
        <f aca="false">INDEX(PalData,MATCH($B82,PalNames,0)+1,MATCH("ActiveSkillBonus1",PalData_Header,0))</f>
        <v>0</v>
      </c>
      <c r="G82" s="45" t="n">
        <f aca="false">INDEX(PalData,MATCH($B82,PalNames,0)+1,MATCH("ActiveSkillBonus2",PalData_Header,0))</f>
        <v>0</v>
      </c>
      <c r="H82" s="45" t="n">
        <f aca="false">INDEX(PalData,MATCH($B82,PalNames,0)+1,MATCH("ActiveSkillBonus3",PalData_Header,0))</f>
        <v>0</v>
      </c>
      <c r="I82" s="260" t="n">
        <f aca="false">INDEX(PalData,MATCH($B82,PalNames,0)+1,MATCH("ActiveSkillBonus4",PalData_Header,0))</f>
        <v>0</v>
      </c>
      <c r="J82" s="45" t="str">
        <f aca="false">IFERROR(__xludf.dummyfunction("IFERROR(INDEX(SkillData,MATCH(Arrayformula(ARRAY_CONSTRAIN(FILTER(INDIRECT(""PalData!""&amp;ADDRESS(MATCH(B82,PalNames,0)+1,(MATCH(""Passive0c"",PalData_Header,0)))&amp;"":""&amp;ADDRESS(MATCH(B82,PalNames,0)+1,(MATCH(""Passive0c"",PalData_Header,0))+4)),LEN(INDIRECT"&amp;"(""PalData!""&amp;ADDRESS(MATCH(B82,PalNames,0)+1,(MATCH(""Passive0c"",PalData_Header,0)))&amp;"":""&amp;ADDRESS(MATCH(B82,PalNames,0)+1,(MATCH(""Passive0c"",PalData_Header,0))+4)))&gt;0),1,1)),SkillDataCodeName,0)+1,MATCH(""EffectTypeCombined"",SkillData_Header,0)))"),"ShotAttack")</f>
        <v>ShotAttack</v>
      </c>
      <c r="K82" s="45" t="str">
        <f aca="false">IFERROR(__xludf.dummyfunction("IFERROR(INDEX(SkillData,MATCH(Arrayformula(ARRAY_CONSTRAIN(FILTER(INDIRECT(""PalData!""&amp;ADDRESS(MATCH(B82,PalNames,0)+1,(MATCH(""Passive0c"",PalData_Header,0)))&amp;"":""&amp;ADDRESS(MATCH(B82,PalNames,0)+1,(MATCH(""Passive0c"",PalData_Header,0))+4)),LEN(INDIRECT"&amp;"(""PalData!""&amp;ADDRESS(MATCH(B82,PalNames,0)+1,(MATCH(""Passive0c"",PalData_Header,0)))&amp;"":""&amp;ADDRESS(MATCH(B82,PalNames,0)+1,(MATCH(""Passive0c"",PalData_Header,0))+4)))&gt;0),1,1)),SkillDataCodeName,0)+1,MATCH(""TargetType1"",SkillData_Header,0)))"),"Trainer")</f>
        <v>Trainer</v>
      </c>
      <c r="L82" s="45" t="e">
        <f aca="false" t="array" ref="L82:L82">IF(INDEX(PalData,MATCH($B82,PalNames,0)+1,MATCH("Passive0cCondition",PalData_Header,0))=IFERROR(INDEX(SkillData,MATCH(INDEX(PalData,MATCH($B82,PalNames,0)+1,MATCH("Passive0c",PalData_Header,0)),SkillDataCodeName,0)+1,MATCH("Conditions",SkillData_Header,0))),INDEX(PalData,MATCH($B82,PalNames,0)+1,MATCH("Passive0cCondition",PalData_Header,0)),INDEX(PalData,MATCH($B82,PalNames,0)+1,MATCH("Passive0cCondition",PalData_Header,0)) &amp; IF(ISBLANK(INDEX(PalData,MATCH($B82,PalNames,0)+1,MATCH("Passive0cCondition",PalData_Header,0))),," ")&amp;IFERROR(INDEX(SkillData,MATCH(INDEX(PalData,MATCH($B82,PalNames,0)+1,MATCH("Passive0c",PalData_Header,0)),SkillDataCodeName,0)+1,MATCH("Conditions",SkillData_Header,0))))</f>
        <v>#VALUE!</v>
      </c>
      <c r="M82" s="45" t="str">
        <f aca="false">IFERROR(__xludf.dummyfunction("IFERROR(INDEX(SkillData,MATCH(Arrayformula(ARRAY_CONSTRAIN(FILTER(INDIRECT(""PalData!""&amp;ADDRESS(MATCH(B82,PalNames,0)+1,(MATCH(""Passive0c"",PalData_Header,0)))&amp;"":""&amp;ADDRESS(MATCH(B82,PalNames,0)+1,(MATCH(""Passive0c"",PalData_Header,0))+4)),LEN(INDIRECT"&amp;"(""PalData!""&amp;ADDRESS(MATCH(B82,PalNames,0)+1,(MATCH(""Passive0c"",PalData_Header,0)))&amp;"":""&amp;ADDRESS(MATCH(B82,PalNames,0)+1,(MATCH(""Passive0c"",PalData_Header,0))+4)))&gt;0),1,1)),SkillDataCodeName,0)+1,MATCH(""ValueType1"",SkillData_Header,0)))"),"%")</f>
        <v>%</v>
      </c>
      <c r="N82" s="62" t="e">
        <f aca="false" t="array" ref="N82:N82">IFERROR(INDEX(SkillData,MATCH(INDEX(PalData,MATCH($B82,PalNames,0)+1,MATCH("Passive0c",PalData_Header,0)),SkillDataCodeName,0)+1,MATCH("EffectValue1",SkillData_Header,0)))</f>
        <v>#VALUE!</v>
      </c>
      <c r="O82" s="62" t="e">
        <f aca="false" t="array" ref="O82:O82">IFERROR(INDEX(SkillData,MATCH(INDEX(PalData,MATCH($B82,PalNames,0)+1,MATCH("Passive1c",PalData_Header,0)),SkillDataCodeName,0)+1,MATCH("EffectValue1",SkillData_Header,0)))</f>
        <v>#VALUE!</v>
      </c>
      <c r="P82" s="62" t="e">
        <f aca="false" t="array" ref="P82:P82">IFERROR(INDEX(SkillData,MATCH(INDEX(PalData,MATCH($B82,PalNames,0)+1,MATCH("Passive2c",PalData_Header,0)),SkillDataCodeName,0)+1,MATCH("EffectValue1",SkillData_Header,0)))</f>
        <v>#VALUE!</v>
      </c>
      <c r="Q82" s="62" t="e">
        <f aca="false" t="array" ref="Q82:Q82">IFERROR(INDEX(SkillData,MATCH(INDEX(PalData,MATCH($B82,PalNames,0)+1,MATCH("Passive3c",PalData_Header,0)),SkillDataCodeName,0)+1,MATCH("EffectValue1",SkillData_Header,0)))</f>
        <v>#VALUE!</v>
      </c>
      <c r="R82" s="306" t="e">
        <f aca="false" t="array" ref="R82:R82">IFERROR(INDEX(SkillData,MATCH(INDEX(PalData,MATCH($B82,PalNames,0)+1,MATCH("Passive4c",PalData_Header,0)),SkillDataCodeName,0)+1,MATCH("EffectValue1",SkillData_Header,0)))</f>
        <v>#VALUE!</v>
      </c>
      <c r="S82" s="45" t="str">
        <f aca="false">IFERROR(__xludf.dummyfunction("IFERROR(INDEX(SkillData,MATCH(Arrayformula(ARRAY_CONSTRAIN(FILTER(INDIRECT(""PalData!""&amp;ADDRESS(MATCH(B82,PalNames,0)+1,(MATCH(""Passive0a"",PalData_Header,0)))&amp;"":""&amp;ADDRESS(MATCH(B82,PalNames,0)+1,(MATCH(""Passive0a"",PalData_Header,0))+4)),LEN(INDIRECT"&amp;"(""PalData!""&amp;ADDRESS(MATCH(B82,PalNames,0)+1,(MATCH(""Passive0a"",PalData_Header,0)))&amp;"":""&amp;ADDRESS(MATCH(B82,PalNames,0)+1,(MATCH(""Passive0a"",PalData_Header,0))+4)))&gt;0),1,1)),SkillDataCodeName,0)+1,MATCH(""EffectTypeCombined"",SkillData_Header,0)))"),"ElementDark")</f>
        <v>ElementDark</v>
      </c>
      <c r="T82" s="45" t="str">
        <f aca="false">IFERROR(__xludf.dummyfunction("IFERROR(INDEX(SkillData,MATCH(Arrayformula(ARRAY_CONSTRAIN(FILTER(INDIRECT(""PalData!""&amp;ADDRESS(MATCH(B82,PalNames,0)+1,(MATCH(""Passive0a"",PalData_Header,0)))&amp;"":""&amp;ADDRESS(MATCH(B82,PalNames,0)+1,(MATCH(""Passive0a"",PalData_Header,0))+4)),LEN(INDIRECT"&amp;"(""PalData!""&amp;ADDRESS(MATCH(B82,PalNames,0)+1,(MATCH(""Passive0a"",PalData_Header,0)))&amp;"":""&amp;ADDRESS(MATCH(B82,PalNames,0)+1,(MATCH(""Passive0a"",PalData_Header,0))+4)))&gt;0),1,1)),SkillDataCodeName,0)+1,MATCH(""TargetType1"",SkillData_Header,0)))"),"Trainer")</f>
        <v>Trainer</v>
      </c>
      <c r="U82" s="45" t="e">
        <f aca="false" t="array" ref="U82:U82">IF(INDEX(PalData,MATCH($B82,PalNames,0)+1,MATCH("Passive0aCondition",PalData_Header,0))=IFERROR(INDEX(SkillData,MATCH(INDEX(PalData,MATCH($B82,PalNames,0)+1,MATCH("Passive0a",PalData_Header,0)),SkillDataCodeName,0)+1,MATCH("Conditions",SkillData_Header,0))),INDEX(PalData,MATCH($B82,PalNames,0)+1,MATCH("Passive0aCondition",PalData_Header,0)),INDEX(PalData,MATCH($B82,PalNames,0)+1,MATCH("Passive0aCondition",PalData_Header,0)) &amp; IF(ISBLANK(INDEX(PalData,MATCH($B82,PalNames,0)+1,MATCH("Passive0aCondition",PalData_Header,0))),," ")&amp;IFERROR(INDEX(SkillData,MATCH(INDEX(PalData,MATCH($B82,PalNames,0)+1,MATCH("Passive0a",PalData_Header,0)),SkillDataCodeName,0)+1,MATCH("Conditions",SkillData_Header,0))))</f>
        <v>#VALUE!</v>
      </c>
      <c r="V82" s="45" t="str">
        <f aca="false">IFERROR(__xludf.dummyfunction("IFERROR(INDEX(SkillData,MATCH(Arrayformula(ARRAY_CONSTRAIN(FILTER(INDIRECT(""PalData!""&amp;ADDRESS(MATCH(B82,PalNames,0)+1,(MATCH(""Passive0a"",PalData_Header,0)))&amp;"":""&amp;ADDRESS(MATCH(B82,PalNames,0)+1,(MATCH(""Passive0a"",PalData_Header,0))+4)),LEN(INDIRECT"&amp;"(""PalData!""&amp;ADDRESS(MATCH(B82,PalNames,0)+1,(MATCH(""Passive0a"",PalData_Header,0)))&amp;"":""&amp;ADDRESS(MATCH(B82,PalNames,0)+1,(MATCH(""Passive0a"",PalData_Header,0))+4)))&gt;0),1,1)),SkillDataCodeName,0)+1,MATCH(""ValueType1"",SkillData_Header,0)))"),"bool")</f>
        <v>bool</v>
      </c>
      <c r="W82" s="62" t="n">
        <f aca="false" t="array" ref="W82:W82">IFERROR(INDEX(SkillData,MATCH(INDEX(PalData,MATCH($B82,PalNames,0)+1,MATCH("Passive0a",PalData_Header,0)),SkillDataCodeName,0)+1,MATCH("EffectValue1",SkillData_Header,0)),)</f>
        <v>1</v>
      </c>
      <c r="X82" s="62" t="n">
        <f aca="false" t="array" ref="X82:X82">IFERROR(INDEX(SkillData,MATCH(INDEX(PalData,MATCH($B82,PalNames,0)+1,MATCH("Passive1a",PalData_Header,0)),SkillDataCodeName,0)+1,MATCH("EffectValue1",SkillData_Header,0)),)</f>
        <v>1</v>
      </c>
      <c r="Y82" s="62" t="n">
        <f aca="false" t="array" ref="Y82:Y82">IFERROR(INDEX(SkillData,MATCH(INDEX(PalData,MATCH($B82,PalNames,0)+1,MATCH("Passive2a",PalData_Header,0)),SkillDataCodeName,0)+1,MATCH("EffectValue1",SkillData_Header,0)),)</f>
        <v>1</v>
      </c>
      <c r="Z82" s="62" t="n">
        <f aca="false" t="array" ref="Z82:Z82">IFERROR(INDEX(SkillData,MATCH(INDEX(PalData,MATCH($B82,PalNames,0)+1,MATCH("Passive3a",PalData_Header,0)),SkillDataCodeName,0)+1,MATCH("EffectValue1",SkillData_Header,0)),)</f>
        <v>1</v>
      </c>
      <c r="AA82" s="306" t="n">
        <f aca="false" t="array" ref="AA82:AA82">IFERROR(INDEX(SkillData,MATCH(INDEX(PalData,MATCH($B82,PalNames,0)+1,MATCH("Passive4a",PalData_Header,0)),SkillDataCodeName,0)+1,MATCH("EffectValue1",SkillData_Header,0)),)</f>
        <v>1</v>
      </c>
      <c r="AB82" s="45" t="str">
        <f aca="false">IFERROR(__xludf.dummyfunction("IFERROR(INDEX(SkillData,MATCH(Arrayformula(ARRAY_CONSTRAIN(FILTER(INDIRECT(""PalData!""&amp;ADDRESS(MATCH(B82,PalNames,0)+1,(MATCH(""Passive0b"",PalData_Header,0)))&amp;"":""&amp;ADDRESS(MATCH(B82,PalNames,0)+1,(MATCH(""Passive0b"",PalData_Header,0))+4)),LEN(INDIRECT"&amp;"(""PalData!""&amp;ADDRESS(MATCH(B82,PalNames,0)+1,(MATCH(""Passive0b"",PalData_Header,0)))&amp;"":""&amp;ADDRESS(MATCH(B82,PalNames,0)+1,(MATCH(""Passive0b"",PalData_Header,0))+4)))&gt;0),1,1)),SkillDataCodeName,0)+1,MATCH(""EffectTypeCombined"",SkillData_Header,0)))"),"")</f>
        <v/>
      </c>
      <c r="AC82" s="45" t="str">
        <f aca="false">IFERROR(__xludf.dummyfunction("IFERROR(INDEX(SkillData,MATCH(Arrayformula(ARRAY_CONSTRAIN(FILTER(INDIRECT(""PalData!""&amp;ADDRESS(MATCH(B82,PalNames,0)+1,(MATCH(""Passive0b"",PalData_Header,0)))&amp;"":""&amp;ADDRESS(MATCH(B82,PalNames,0)+1,(MATCH(""Passive0b"",PalData_Header,0))+4)),LEN(INDIRECT"&amp;"(""PalData!""&amp;ADDRESS(MATCH(B82,PalNames,0)+1,(MATCH(""Passive0b"",PalData_Header,0)))&amp;"":""&amp;ADDRESS(MATCH(B82,PalNames,0)+1,(MATCH(""Passive0b"",PalData_Header,0))+4)))&gt;0),1,1)),SkillDataCodeName,0)+1,MATCH(""TargetType1"",SkillData_Header,0)))"),"")</f>
        <v/>
      </c>
      <c r="AD82" s="45" t="e">
        <f aca="false" t="array" ref="AD82:AD82">IF(INDEX(PalData,MATCH($B82,PalNames,0)+1,MATCH("Passive0bCondition",PalData_Header,0))=IFERROR(INDEX(SkillData,MATCH(INDEX(PalData,MATCH($B82,PalNames,0)+1,MATCH("Passive0b",PalData_Header,0)),SkillDataCodeName,0)+1,MATCH("Conditions",SkillData_Header,0))),INDEX(PalData,MATCH($B82,PalNames,0)+1,MATCH("Passive0bCondition",PalData_Header,0)),INDEX(PalData,MATCH($B82,PalNames,0)+1,MATCH("Passive0bCondition",PalData_Header,0)) &amp; IF(ISBLANK(INDEX(PalData,MATCH($B82,PalNames,0)+1,MATCH("Passive0bCondition",PalData_Header,0))),," ")&amp;IFERROR(INDEX(SkillData,MATCH(INDEX(PalData,MATCH($B82,PalNames,0)+1,MATCH("Passive0b",PalData_Header,0)),SkillDataCodeName,0)+1,MATCH("Conditions",SkillData_Header,0))))</f>
        <v>#N/A</v>
      </c>
      <c r="AE82" s="45" t="str">
        <f aca="false">IFERROR(__xludf.dummyfunction("IFERROR(INDEX(SkillData,MATCH(Arrayformula(ARRAY_CONSTRAIN(FILTER(INDIRECT(""PalData!""&amp;ADDRESS(MATCH(B82,PalNames,0)+1,(MATCH(""Passive0b"",PalData_Header,0)))&amp;"":""&amp;ADDRESS(MATCH(B82,PalNames,0)+1,(MATCH(""Passive0b"",PalData_Header,0))+4)),LEN(INDIRECT"&amp;"(""PalData!""&amp;ADDRESS(MATCH(B82,PalNames,0)+1,(MATCH(""Passive0b"",PalData_Header,0)))&amp;"":""&amp;ADDRESS(MATCH(B82,PalNames,0)+1,(MATCH(""Passive0b"",PalData_Header,0))+4)))&gt;0),1,1)),SkillDataCodeName,0)+1,MATCH(""ValueType1"",SkillData_Header,0)))"),"")</f>
        <v/>
      </c>
      <c r="AF82" s="45" t="n">
        <f aca="false">IFERROR(INDEX(SkillData,MATCH(INDEX(PalData,MATCH($B82,PalNames,0)+1,MATCH("Passive0b",PalData_Header,0)),SkillDataCodeName,0)+1,MATCH("EffectValue1",SkillData_Header,0)),)</f>
        <v>0</v>
      </c>
      <c r="AG82" s="45" t="n">
        <f aca="false">IFERROR(INDEX(SkillData,MATCH(INDEX(PalData,MATCH($B82,PalNames,0)+1,MATCH("Passive1b",PalData_Header,0)),SkillDataCodeName,0)+1,MATCH("EffectValue1",SkillData_Header,0)),)</f>
        <v>0</v>
      </c>
      <c r="AH82" s="45" t="n">
        <f aca="false">IFERROR(INDEX(SkillData,MATCH(INDEX(PalData,MATCH($B82,PalNames,0)+1,MATCH("Passive2b",PalData_Header,0)),SkillDataCodeName,0)+1,MATCH("EffectValue1",SkillData_Header,0)),)</f>
        <v>0</v>
      </c>
      <c r="AI82" s="45" t="n">
        <f aca="false">IFERROR(INDEX(SkillData,MATCH(INDEX(PalData,MATCH($B82,PalNames,0)+1,MATCH("Passive3b",PalData_Header,0)),SkillDataCodeName,0)+1,MATCH("EffectValue1",SkillData_Header,0)),)</f>
        <v>0</v>
      </c>
      <c r="AJ82" s="260" t="n">
        <f aca="false">IFERROR(INDEX(SkillData,MATCH(INDEX(PalData,MATCH($B82,PalNames,0)+1,MATCH("Passive4b",PalData_Header,0)),SkillDataCodeName,0)+1,MATCH("EffectValue1",SkillData_Header,0)),)</f>
        <v>0</v>
      </c>
      <c r="AK82" s="301" t="s">
        <v>346</v>
      </c>
    </row>
    <row r="83" customFormat="false" ht="15.75" hidden="false" customHeight="false" outlineLevel="0" collapsed="false">
      <c r="A83" s="302" t="n">
        <v>67</v>
      </c>
      <c r="B83" s="303" t="s">
        <v>43</v>
      </c>
      <c r="C83" s="48" t="str">
        <f aca="false" t="array" ref="C83:C83">IF(ISBLANK(INDEX(PalData,MATCH($B83,PalNames,0)+1,MATCH("ActiveSkill",PalData_Header,0))),INDEX(PalData,MATCH($B83,PalNames,0)+1,MATCH("SkillUnlock_",PalData_Header,0)),INDEX(PalData,MATCH($B83,PalNames,0)+1,MATCH("ActiveSkill",PalData_Header,0)))</f>
        <v>SpinningShell</v>
      </c>
      <c r="D83" s="48" t="s">
        <v>269</v>
      </c>
      <c r="E83" s="61" t="n">
        <f aca="false" t="array" ref="E83:E83">INDEX(PalData,MATCH($B83,PalNames,0)+1,MATCH("ActiveSkillBonus0",PalData_Header,0))</f>
        <v>1.1</v>
      </c>
      <c r="F83" s="61" t="n">
        <f aca="false" t="array" ref="F83:F83">INDEX(PalData,MATCH($B83,PalNames,0)+1,MATCH("ActiveSkillBonus1",PalData_Header,0))</f>
        <v>1.3</v>
      </c>
      <c r="G83" s="61" t="n">
        <f aca="false" t="array" ref="G83:G83">INDEX(PalData,MATCH($B83,PalNames,0)+1,MATCH("ActiveSkillBonus2",PalData_Header,0))</f>
        <v>1.6</v>
      </c>
      <c r="H83" s="61" t="n">
        <f aca="false" t="array" ref="H83:H83">INDEX(PalData,MATCH($B83,PalNames,0)+1,MATCH("ActiveSkillBonus3",PalData_Header,0))</f>
        <v>2</v>
      </c>
      <c r="I83" s="304" t="n">
        <f aca="false" t="array" ref="I83:I83">INDEX(PalData,MATCH($B83,PalNames,0)+1,MATCH("ActiveSkillBonus4",PalData_Header,0))</f>
        <v>2.5</v>
      </c>
      <c r="J83" s="48" t="str">
        <f aca="false">IFERROR(__xludf.dummyfunction("IFERROR(INDEX(SkillData,MATCH(Arrayformula(ARRAY_CONSTRAIN(FILTER(INDIRECT(""PalData!""&amp;ADDRESS(MATCH(B83,PalNames,0)+1,(MATCH(""Passive0c"",PalData_Header,0)))&amp;"":""&amp;ADDRESS(MATCH(B83,PalNames,0)+1,(MATCH(""Passive0c"",PalData_Header,0))+4)),LEN(INDIRECT"&amp;"(""PalData!""&amp;ADDRESS(MATCH(B83,PalNames,0)+1,(MATCH(""Passive0c"",PalData_Header,0)))&amp;"":""&amp;ADDRESS(MATCH(B83,PalNames,0)+1,(MATCH(""Passive0c"",PalData_Header,0))+4)))&gt;0),1,1)),SkillDataCodeName,0)+1,MATCH(""EffectTypeCombined"",SkillData_Header,0)))"),"Mining")</f>
        <v>Mining</v>
      </c>
      <c r="K83" s="48" t="str">
        <f aca="false">IFERROR(__xludf.dummyfunction("IFERROR(INDEX(SkillData,MATCH(Arrayformula(ARRAY_CONSTRAIN(FILTER(INDIRECT(""PalData!""&amp;ADDRESS(MATCH(B83,PalNames,0)+1,(MATCH(""Passive0c"",PalData_Header,0)))&amp;"":""&amp;ADDRESS(MATCH(B83,PalNames,0)+1,(MATCH(""Passive0c"",PalData_Header,0))+4)),LEN(INDIRECT"&amp;"(""PalData!""&amp;ADDRESS(MATCH(B83,PalNames,0)+1,(MATCH(""Passive0c"",PalData_Header,0)))&amp;"":""&amp;ADDRESS(MATCH(B83,PalNames,0)+1,(MATCH(""Passive0c"",PalData_Header,0))+4)))&gt;0),1,1)),SkillDataCodeName,0)+1,MATCH(""TargetType1"",SkillData_Header,0)))"),"Self")</f>
        <v>Self</v>
      </c>
      <c r="L83" s="48" t="e">
        <f aca="false" t="array" ref="L83:L83">IF(INDEX(PalData,MATCH($B83,PalNames,0)+1,MATCH("Passive0cCondition",PalData_Header,0))=IFERROR(INDEX(SkillData,MATCH(INDEX(PalData,MATCH($B83,PalNames,0)+1,MATCH("Passive0c",PalData_Header,0)),SkillDataCodeName,0)+1,MATCH("Conditions",SkillData_Header,0))),INDEX(PalData,MATCH($B83,PalNames,0)+1,MATCH("Passive0cCondition",PalData_Header,0)),INDEX(PalData,MATCH($B83,PalNames,0)+1,MATCH("Passive0cCondition",PalData_Header,0)) &amp; IF(ISBLANK(INDEX(PalData,MATCH($B83,PalNames,0)+1,MATCH("Passive0cCondition",PalData_Header,0))),," ")&amp;IFERROR(INDEX(SkillData,MATCH(INDEX(PalData,MATCH($B83,PalNames,0)+1,MATCH("Passive0c",PalData_Header,0)),SkillDataCodeName,0)+1,MATCH("Conditions",SkillData_Header,0))))</f>
        <v>#VALUE!</v>
      </c>
      <c r="M83" s="48" t="str">
        <f aca="false">IFERROR(__xludf.dummyfunction("IFERROR(INDEX(SkillData,MATCH(Arrayformula(ARRAY_CONSTRAIN(FILTER(INDIRECT(""PalData!""&amp;ADDRESS(MATCH(B83,PalNames,0)+1,(MATCH(""Passive0c"",PalData_Header,0)))&amp;"":""&amp;ADDRESS(MATCH(B83,PalNames,0)+1,(MATCH(""Passive0c"",PalData_Header,0))+4)),LEN(INDIRECT"&amp;"(""PalData!""&amp;ADDRESS(MATCH(B83,PalNames,0)+1,(MATCH(""Passive0c"",PalData_Header,0)))&amp;"":""&amp;ADDRESS(MATCH(B83,PalNames,0)+1,(MATCH(""Passive0c"",PalData_Header,0))+4)))&gt;0),1,1)),SkillDataCodeName,0)+1,MATCH(""ValueType1"",SkillData_Header,0)))"),"+")</f>
        <v>+</v>
      </c>
      <c r="N83" s="61" t="e">
        <f aca="false" t="array" ref="N83:N83">IFERROR(INDEX(SkillData,MATCH(INDEX(PalData,MATCH($B83,PalNames,0)+1,MATCH("Passive0c",PalData_Header,0)),SkillDataCodeName,0)+1,MATCH("EffectValue1",SkillData_Header,0)))</f>
        <v>#VALUE!</v>
      </c>
      <c r="O83" s="61" t="e">
        <f aca="false" t="array" ref="O83:O83">IFERROR(INDEX(SkillData,MATCH(INDEX(PalData,MATCH($B83,PalNames,0)+1,MATCH("Passive1c",PalData_Header,0)),SkillDataCodeName,0)+1,MATCH("EffectValue1",SkillData_Header,0)))</f>
        <v>#VALUE!</v>
      </c>
      <c r="P83" s="61" t="e">
        <f aca="false" t="array" ref="P83:P83">IFERROR(INDEX(SkillData,MATCH(INDEX(PalData,MATCH($B83,PalNames,0)+1,MATCH("Passive2c",PalData_Header,0)),SkillDataCodeName,0)+1,MATCH("EffectValue1",SkillData_Header,0)))</f>
        <v>#VALUE!</v>
      </c>
      <c r="Q83" s="61" t="e">
        <f aca="false" t="array" ref="Q83:Q83">IFERROR(INDEX(SkillData,MATCH(INDEX(PalData,MATCH($B83,PalNames,0)+1,MATCH("Passive3c",PalData_Header,0)),SkillDataCodeName,0)+1,MATCH("EffectValue1",SkillData_Header,0)))</f>
        <v>#VALUE!</v>
      </c>
      <c r="R83" s="304" t="e">
        <f aca="false" t="array" ref="R83:R83">IFERROR(INDEX(SkillData,MATCH(INDEX(PalData,MATCH($B83,PalNames,0)+1,MATCH("Passive4c",PalData_Header,0)),SkillDataCodeName,0)+1,MATCH("EffectValue1",SkillData_Header,0)))</f>
        <v>#VALUE!</v>
      </c>
      <c r="S83" s="48" t="str">
        <f aca="false">IFERROR(__xludf.dummyfunction("IFERROR(INDEX(SkillData,MATCH(Arrayformula(ARRAY_CONSTRAIN(FILTER(INDIRECT(""PalData!""&amp;ADDRESS(MATCH(B83,PalNames,0)+1,(MATCH(""Passive0a"",PalData_Header,0)))&amp;"":""&amp;ADDRESS(MATCH(B83,PalNames,0)+1,(MATCH(""Passive0a"",PalData_Header,0))+4)),LEN(INDIRECT"&amp;"(""PalData!""&amp;ADDRESS(MATCH(B83,PalNames,0)+1,(MATCH(""Passive0a"",PalData_Header,0)))&amp;"":""&amp;ADDRESS(MATCH(B83,PalNames,0)+1,(MATCH(""Passive0a"",PalData_Header,0))+4)))&gt;0),1,1)),SkillDataCodeName,0)+1,MATCH(""EffectTypeCombined"",SkillData_Header,0)))"),"")</f>
        <v/>
      </c>
      <c r="T83" s="48" t="str">
        <f aca="false">IFERROR(__xludf.dummyfunction("IFERROR(INDEX(SkillData,MATCH(Arrayformula(ARRAY_CONSTRAIN(FILTER(INDIRECT(""PalData!""&amp;ADDRESS(MATCH(B83,PalNames,0)+1,(MATCH(""Passive0a"",PalData_Header,0)))&amp;"":""&amp;ADDRESS(MATCH(B83,PalNames,0)+1,(MATCH(""Passive0a"",PalData_Header,0))+4)),LEN(INDIRECT"&amp;"(""PalData!""&amp;ADDRESS(MATCH(B83,PalNames,0)+1,(MATCH(""Passive0a"",PalData_Header,0)))&amp;"":""&amp;ADDRESS(MATCH(B83,PalNames,0)+1,(MATCH(""Passive0a"",PalData_Header,0))+4)))&gt;0),1,1)),SkillDataCodeName,0)+1,MATCH(""TargetType1"",SkillData_Header,0)))"),"")</f>
        <v/>
      </c>
      <c r="U83" s="48" t="e">
        <f aca="false" t="array" ref="U83:U83">IF(INDEX(PalData,MATCH($B83,PalNames,0)+1,MATCH("Passive0aCondition",PalData_Header,0))=IFERROR(INDEX(SkillData,MATCH(INDEX(PalData,MATCH($B83,PalNames,0)+1,MATCH("Passive0a",PalData_Header,0)),SkillDataCodeName,0)+1,MATCH("Conditions",SkillData_Header,0))),INDEX(PalData,MATCH($B83,PalNames,0)+1,MATCH("Passive0aCondition",PalData_Header,0)),INDEX(PalData,MATCH($B83,PalNames,0)+1,MATCH("Passive0aCondition",PalData_Header,0)) &amp; IF(ISBLANK(INDEX(PalData,MATCH($B83,PalNames,0)+1,MATCH("Passive0aCondition",PalData_Header,0))),," ")&amp;IFERROR(INDEX(SkillData,MATCH(INDEX(PalData,MATCH($B83,PalNames,0)+1,MATCH("Passive0a",PalData_Header,0)),SkillDataCodeName,0)+1,MATCH("Conditions",SkillData_Header,0))))</f>
        <v>#N/A</v>
      </c>
      <c r="V83" s="48" t="str">
        <f aca="false">IFERROR(__xludf.dummyfunction("IFERROR(INDEX(SkillData,MATCH(Arrayformula(ARRAY_CONSTRAIN(FILTER(INDIRECT(""PalData!""&amp;ADDRESS(MATCH(B83,PalNames,0)+1,(MATCH(""Passive0a"",PalData_Header,0)))&amp;"":""&amp;ADDRESS(MATCH(B83,PalNames,0)+1,(MATCH(""Passive0a"",PalData_Header,0))+4)),LEN(INDIRECT"&amp;"(""PalData!""&amp;ADDRESS(MATCH(B83,PalNames,0)+1,(MATCH(""Passive0a"",PalData_Header,0)))&amp;"":""&amp;ADDRESS(MATCH(B83,PalNames,0)+1,(MATCH(""Passive0a"",PalData_Header,0))+4)))&gt;0),1,1)),SkillDataCodeName,0)+1,MATCH(""ValueType1"",SkillData_Header,0)))"),"")</f>
        <v/>
      </c>
      <c r="W83" s="48" t="n">
        <f aca="false">IFERROR(INDEX(SkillData,MATCH(INDEX(PalData,MATCH($B83,PalNames,0)+1,MATCH("Passive0a",PalData_Header,0)),SkillDataCodeName,0)+1,MATCH("EffectValue1",SkillData_Header,0)),)</f>
        <v>0</v>
      </c>
      <c r="X83" s="48" t="n">
        <f aca="false">IFERROR(INDEX(SkillData,MATCH(INDEX(PalData,MATCH($B83,PalNames,0)+1,MATCH("Passive1a",PalData_Header,0)),SkillDataCodeName,0)+1,MATCH("EffectValue1",SkillData_Header,0)),)</f>
        <v>0</v>
      </c>
      <c r="Y83" s="48" t="n">
        <f aca="false">IFERROR(INDEX(SkillData,MATCH(INDEX(PalData,MATCH($B83,PalNames,0)+1,MATCH("Passive2a",PalData_Header,0)),SkillDataCodeName,0)+1,MATCH("EffectValue1",SkillData_Header,0)),)</f>
        <v>0</v>
      </c>
      <c r="Z83" s="48" t="n">
        <f aca="false">IFERROR(INDEX(SkillData,MATCH(INDEX(PalData,MATCH($B83,PalNames,0)+1,MATCH("Passive3a",PalData_Header,0)),SkillDataCodeName,0)+1,MATCH("EffectValue1",SkillData_Header,0)),)</f>
        <v>0</v>
      </c>
      <c r="AA83" s="263" t="n">
        <f aca="false">IFERROR(INDEX(SkillData,MATCH(INDEX(PalData,MATCH($B83,PalNames,0)+1,MATCH("Passive4a",PalData_Header,0)),SkillDataCodeName,0)+1,MATCH("EffectValue1",SkillData_Header,0)),)</f>
        <v>0</v>
      </c>
      <c r="AB83" s="48" t="str">
        <f aca="false">IFERROR(__xludf.dummyfunction("IFERROR(INDEX(SkillData,MATCH(Arrayformula(ARRAY_CONSTRAIN(FILTER(INDIRECT(""PalData!""&amp;ADDRESS(MATCH(B83,PalNames,0)+1,(MATCH(""Passive0b"",PalData_Header,0)))&amp;"":""&amp;ADDRESS(MATCH(B83,PalNames,0)+1,(MATCH(""Passive0b"",PalData_Header,0))+4)),LEN(INDIRECT"&amp;"(""PalData!""&amp;ADDRESS(MATCH(B83,PalNames,0)+1,(MATCH(""Passive0b"",PalData_Header,0)))&amp;"":""&amp;ADDRESS(MATCH(B83,PalNames,0)+1,(MATCH(""Passive0b"",PalData_Header,0))+4)))&gt;0),1,1)),SkillDataCodeName,0)+1,MATCH(""EffectTypeCombined"",SkillData_Header,0)))"),"")</f>
        <v/>
      </c>
      <c r="AC83" s="48" t="str">
        <f aca="false">IFERROR(__xludf.dummyfunction("IFERROR(INDEX(SkillData,MATCH(Arrayformula(ARRAY_CONSTRAIN(FILTER(INDIRECT(""PalData!""&amp;ADDRESS(MATCH(B83,PalNames,0)+1,(MATCH(""Passive0b"",PalData_Header,0)))&amp;"":""&amp;ADDRESS(MATCH(B83,PalNames,0)+1,(MATCH(""Passive0b"",PalData_Header,0))+4)),LEN(INDIRECT"&amp;"(""PalData!""&amp;ADDRESS(MATCH(B83,PalNames,0)+1,(MATCH(""Passive0b"",PalData_Header,0)))&amp;"":""&amp;ADDRESS(MATCH(B83,PalNames,0)+1,(MATCH(""Passive0b"",PalData_Header,0))+4)))&gt;0),1,1)),SkillDataCodeName,0)+1,MATCH(""TargetType1"",SkillData_Header,0)))"),"")</f>
        <v/>
      </c>
      <c r="AD83" s="48" t="e">
        <f aca="false" t="array" ref="AD83:AD83">IF(INDEX(PalData,MATCH($B83,PalNames,0)+1,MATCH("Passive0bCondition",PalData_Header,0))=IFERROR(INDEX(SkillData,MATCH(INDEX(PalData,MATCH($B83,PalNames,0)+1,MATCH("Passive0b",PalData_Header,0)),SkillDataCodeName,0)+1,MATCH("Conditions",SkillData_Header,0))),INDEX(PalData,MATCH($B83,PalNames,0)+1,MATCH("Passive0bCondition",PalData_Header,0)),INDEX(PalData,MATCH($B83,PalNames,0)+1,MATCH("Passive0bCondition",PalData_Header,0)) &amp; IF(ISBLANK(INDEX(PalData,MATCH($B83,PalNames,0)+1,MATCH("Passive0bCondition",PalData_Header,0))),," ")&amp;IFERROR(INDEX(SkillData,MATCH(INDEX(PalData,MATCH($B83,PalNames,0)+1,MATCH("Passive0b",PalData_Header,0)),SkillDataCodeName,0)+1,MATCH("Conditions",SkillData_Header,0))))</f>
        <v>#N/A</v>
      </c>
      <c r="AE83" s="48" t="str">
        <f aca="false">IFERROR(__xludf.dummyfunction("IFERROR(INDEX(SkillData,MATCH(Arrayformula(ARRAY_CONSTRAIN(FILTER(INDIRECT(""PalData!""&amp;ADDRESS(MATCH(B83,PalNames,0)+1,(MATCH(""Passive0b"",PalData_Header,0)))&amp;"":""&amp;ADDRESS(MATCH(B83,PalNames,0)+1,(MATCH(""Passive0b"",PalData_Header,0))+4)),LEN(INDIRECT"&amp;"(""PalData!""&amp;ADDRESS(MATCH(B83,PalNames,0)+1,(MATCH(""Passive0b"",PalData_Header,0)))&amp;"":""&amp;ADDRESS(MATCH(B83,PalNames,0)+1,(MATCH(""Passive0b"",PalData_Header,0))+4)))&gt;0),1,1)),SkillDataCodeName,0)+1,MATCH(""ValueType1"",SkillData_Header,0)))"),"")</f>
        <v/>
      </c>
      <c r="AF83" s="48" t="n">
        <f aca="false">IFERROR(INDEX(SkillData,MATCH(INDEX(PalData,MATCH($B83,PalNames,0)+1,MATCH("Passive0b",PalData_Header,0)),SkillDataCodeName,0)+1,MATCH("EffectValue1",SkillData_Header,0)),)</f>
        <v>0</v>
      </c>
      <c r="AG83" s="48" t="n">
        <f aca="false">IFERROR(INDEX(SkillData,MATCH(INDEX(PalData,MATCH($B83,PalNames,0)+1,MATCH("Passive1b",PalData_Header,0)),SkillDataCodeName,0)+1,MATCH("EffectValue1",SkillData_Header,0)),)</f>
        <v>0</v>
      </c>
      <c r="AH83" s="48" t="n">
        <f aca="false">IFERROR(INDEX(SkillData,MATCH(INDEX(PalData,MATCH($B83,PalNames,0)+1,MATCH("Passive2b",PalData_Header,0)),SkillDataCodeName,0)+1,MATCH("EffectValue1",SkillData_Header,0)),)</f>
        <v>0</v>
      </c>
      <c r="AI83" s="48" t="n">
        <f aca="false">IFERROR(INDEX(SkillData,MATCH(INDEX(PalData,MATCH($B83,PalNames,0)+1,MATCH("Passive3b",PalData_Header,0)),SkillDataCodeName,0)+1,MATCH("EffectValue1",SkillData_Header,0)),)</f>
        <v>0</v>
      </c>
      <c r="AJ83" s="263" t="n">
        <f aca="false">IFERROR(INDEX(SkillData,MATCH(INDEX(PalData,MATCH($B83,PalNames,0)+1,MATCH("Passive4b",PalData_Header,0)),SkillDataCodeName,0)+1,MATCH("EffectValue1",SkillData_Header,0)),)</f>
        <v>0</v>
      </c>
      <c r="AK83" s="305" t="s">
        <v>347</v>
      </c>
    </row>
    <row r="84" customFormat="false" ht="15.75" hidden="false" customHeight="false" outlineLevel="0" collapsed="false">
      <c r="A84" s="299" t="n">
        <v>68</v>
      </c>
      <c r="B84" s="300" t="s">
        <v>142</v>
      </c>
      <c r="C84" s="45" t="str">
        <f aca="false" t="array" ref="C84:C84">IF(ISBLANK(INDEX(PalData,MATCH($B84,PalNames,0)+1,MATCH("ActiveSkill",PalData_Header,0))),INDEX(PalData,MATCH($B84,PalNames,0)+1,MATCH("SkillUnlock_",PalData_Header,0)),INDEX(PalData,MATCH($B84,PalNames,0)+1,MATCH("ActiveSkill",PalData_Header,0)))</f>
        <v>SearchPal</v>
      </c>
      <c r="D84" s="45" t="s">
        <v>290</v>
      </c>
      <c r="E84" s="62" t="n">
        <f aca="false" t="array" ref="E84:E84">INDEX(PalData,MATCH($B84,PalNames,0)+1,MATCH("ActiveSkillBonus0",PalData_Header,0))</f>
        <v>10000</v>
      </c>
      <c r="F84" s="62" t="n">
        <f aca="false" t="array" ref="F84:F84">INDEX(PalData,MATCH($B84,PalNames,0)+1,MATCH("ActiveSkillBonus1",PalData_Header,0))</f>
        <v>11000</v>
      </c>
      <c r="G84" s="62" t="n">
        <f aca="false" t="array" ref="G84:G84">INDEX(PalData,MATCH($B84,PalNames,0)+1,MATCH("ActiveSkillBonus2",PalData_Header,0))</f>
        <v>13000</v>
      </c>
      <c r="H84" s="62" t="n">
        <f aca="false" t="array" ref="H84:H84">INDEX(PalData,MATCH($B84,PalNames,0)+1,MATCH("ActiveSkillBonus3",PalData_Header,0))</f>
        <v>16000</v>
      </c>
      <c r="I84" s="306" t="n">
        <f aca="false" t="array" ref="I84:I84">INDEX(PalData,MATCH($B84,PalNames,0)+1,MATCH("ActiveSkillBonus4",PalData_Header,0))</f>
        <v>20000</v>
      </c>
      <c r="J84" s="45" t="str">
        <f aca="false">IFERROR(__xludf.dummyfunction("IFERROR(INDEX(SkillData,MATCH(Arrayformula(ARRAY_CONSTRAIN(FILTER(INDIRECT(""PalData!""&amp;ADDRESS(MATCH(B84,PalNames,0)+1,(MATCH(""Passive0c"",PalData_Header,0)))&amp;"":""&amp;ADDRESS(MATCH(B84,PalNames,0)+1,(MATCH(""Passive0c"",PalData_Header,0))+4)),LEN(INDIRECT"&amp;"(""PalData!""&amp;ADDRESS(MATCH(B84,PalNames,0)+1,(MATCH(""Passive0c"",PalData_Header,0)))&amp;"":""&amp;ADDRESS(MATCH(B84,PalNames,0)+1,(MATCH(""Passive0c"",PalData_Header,0))+4)))&gt;0),1,1)),SkillDataCodeName,0)+1,MATCH(""EffectTypeCombined"",SkillData_Header,0)))"),"")</f>
        <v/>
      </c>
      <c r="K84" s="45" t="str">
        <f aca="false">IFERROR(__xludf.dummyfunction("IFERROR(INDEX(SkillData,MATCH(Arrayformula(ARRAY_CONSTRAIN(FILTER(INDIRECT(""PalData!""&amp;ADDRESS(MATCH(B84,PalNames,0)+1,(MATCH(""Passive0c"",PalData_Header,0)))&amp;"":""&amp;ADDRESS(MATCH(B84,PalNames,0)+1,(MATCH(""Passive0c"",PalData_Header,0))+4)),LEN(INDIRECT"&amp;"(""PalData!""&amp;ADDRESS(MATCH(B84,PalNames,0)+1,(MATCH(""Passive0c"",PalData_Header,0)))&amp;"":""&amp;ADDRESS(MATCH(B84,PalNames,0)+1,(MATCH(""Passive0c"",PalData_Header,0))+4)))&gt;0),1,1)),SkillDataCodeName,0)+1,MATCH(""TargetType1"",SkillData_Header,0)))"),"")</f>
        <v/>
      </c>
      <c r="L84" s="45" t="e">
        <f aca="false" t="array" ref="L84:L84">IF(INDEX(PalData,MATCH($B84,PalNames,0)+1,MATCH("Passive0cCondition",PalData_Header,0))=IFERROR(INDEX(SkillData,MATCH(INDEX(PalData,MATCH($B84,PalNames,0)+1,MATCH("Passive0c",PalData_Header,0)),SkillDataCodeName,0)+1,MATCH("Conditions",SkillData_Header,0))),INDEX(PalData,MATCH($B84,PalNames,0)+1,MATCH("Passive0cCondition",PalData_Header,0)),INDEX(PalData,MATCH($B84,PalNames,0)+1,MATCH("Passive0cCondition",PalData_Header,0)) &amp; IF(ISBLANK(INDEX(PalData,MATCH($B84,PalNames,0)+1,MATCH("Passive0cCondition",PalData_Header,0))),," ")&amp;IFERROR(INDEX(SkillData,MATCH(INDEX(PalData,MATCH($B84,PalNames,0)+1,MATCH("Passive0c",PalData_Header,0)),SkillDataCodeName,0)+1,MATCH("Conditions",SkillData_Header,0))))</f>
        <v>#N/A</v>
      </c>
      <c r="M84" s="45" t="str">
        <f aca="false">IFERROR(__xludf.dummyfunction("IFERROR(INDEX(SkillData,MATCH(Arrayformula(ARRAY_CONSTRAIN(FILTER(INDIRECT(""PalData!""&amp;ADDRESS(MATCH(B84,PalNames,0)+1,(MATCH(""Passive0c"",PalData_Header,0)))&amp;"":""&amp;ADDRESS(MATCH(B84,PalNames,0)+1,(MATCH(""Passive0c"",PalData_Header,0))+4)),LEN(INDIRECT"&amp;"(""PalData!""&amp;ADDRESS(MATCH(B84,PalNames,0)+1,(MATCH(""Passive0c"",PalData_Header,0)))&amp;"":""&amp;ADDRESS(MATCH(B84,PalNames,0)+1,(MATCH(""Passive0c"",PalData_Header,0))+4)))&gt;0),1,1)),SkillDataCodeName,0)+1,MATCH(""ValueType1"",SkillData_Header,0)))"),"")</f>
        <v/>
      </c>
      <c r="N84" s="45" t="e">
        <f aca="false" t="array" ref="N84:N84">IFERROR(INDEX(SkillData,MATCH(INDEX(PalData,MATCH($B84,PalNames,0)+1,MATCH("Passive0c",PalData_Header,0)),SkillDataCodeName,0)+1,MATCH("EffectValue1",SkillData_Header,0)))</f>
        <v>#VALUE!</v>
      </c>
      <c r="O84" s="45" t="e">
        <f aca="false" t="array" ref="O84:O84">IFERROR(INDEX(SkillData,MATCH(INDEX(PalData,MATCH($B84,PalNames,0)+1,MATCH("Passive1c",PalData_Header,0)),SkillDataCodeName,0)+1,MATCH("EffectValue1",SkillData_Header,0)))</f>
        <v>#VALUE!</v>
      </c>
      <c r="P84" s="45" t="e">
        <f aca="false" t="array" ref="P84:P84">IFERROR(INDEX(SkillData,MATCH(INDEX(PalData,MATCH($B84,PalNames,0)+1,MATCH("Passive2c",PalData_Header,0)),SkillDataCodeName,0)+1,MATCH("EffectValue1",SkillData_Header,0)))</f>
        <v>#VALUE!</v>
      </c>
      <c r="Q84" s="45" t="e">
        <f aca="false" t="array" ref="Q84:Q84">IFERROR(INDEX(SkillData,MATCH(INDEX(PalData,MATCH($B84,PalNames,0)+1,MATCH("Passive3c",PalData_Header,0)),SkillDataCodeName,0)+1,MATCH("EffectValue1",SkillData_Header,0)))</f>
        <v>#VALUE!</v>
      </c>
      <c r="R84" s="260" t="e">
        <f aca="false" t="array" ref="R84:R84">IFERROR(INDEX(SkillData,MATCH(INDEX(PalData,MATCH($B84,PalNames,0)+1,MATCH("Passive4c",PalData_Header,0)),SkillDataCodeName,0)+1,MATCH("EffectValue1",SkillData_Header,0)))</f>
        <v>#VALUE!</v>
      </c>
      <c r="S84" s="45" t="str">
        <f aca="false">IFERROR(__xludf.dummyfunction("IFERROR(INDEX(SkillData,MATCH(Arrayformula(ARRAY_CONSTRAIN(FILTER(INDIRECT(""PalData!""&amp;ADDRESS(MATCH(B84,PalNames,0)+1,(MATCH(""Passive0a"",PalData_Header,0)))&amp;"":""&amp;ADDRESS(MATCH(B84,PalNames,0)+1,(MATCH(""Passive0a"",PalData_Header,0))+4)),LEN(INDIRECT"&amp;"(""PalData!""&amp;ADDRESS(MATCH(B84,PalNames,0)+1,(MATCH(""Passive0a"",PalData_Header,0)))&amp;"":""&amp;ADDRESS(MATCH(B84,PalNames,0)+1,(MATCH(""Passive0a"",PalData_Header,0))+4)))&gt;0),1,1)),SkillDataCodeName,0)+1,MATCH(""EffectTypeCombined"",SkillData_Header,0)))"),"")</f>
        <v/>
      </c>
      <c r="T84" s="45" t="str">
        <f aca="false">IFERROR(__xludf.dummyfunction("IFERROR(INDEX(SkillData,MATCH(Arrayformula(ARRAY_CONSTRAIN(FILTER(INDIRECT(""PalData!""&amp;ADDRESS(MATCH(B84,PalNames,0)+1,(MATCH(""Passive0a"",PalData_Header,0)))&amp;"":""&amp;ADDRESS(MATCH(B84,PalNames,0)+1,(MATCH(""Passive0a"",PalData_Header,0))+4)),LEN(INDIRECT"&amp;"(""PalData!""&amp;ADDRESS(MATCH(B84,PalNames,0)+1,(MATCH(""Passive0a"",PalData_Header,0)))&amp;"":""&amp;ADDRESS(MATCH(B84,PalNames,0)+1,(MATCH(""Passive0a"",PalData_Header,0))+4)))&gt;0),1,1)),SkillDataCodeName,0)+1,MATCH(""TargetType1"",SkillData_Header,0)))"),"")</f>
        <v/>
      </c>
      <c r="U84" s="45" t="e">
        <f aca="false" t="array" ref="U84:U84">IF(INDEX(PalData,MATCH($B84,PalNames,0)+1,MATCH("Passive0aCondition",PalData_Header,0))=IFERROR(INDEX(SkillData,MATCH(INDEX(PalData,MATCH($B84,PalNames,0)+1,MATCH("Passive0a",PalData_Header,0)),SkillDataCodeName,0)+1,MATCH("Conditions",SkillData_Header,0))),INDEX(PalData,MATCH($B84,PalNames,0)+1,MATCH("Passive0aCondition",PalData_Header,0)),INDEX(PalData,MATCH($B84,PalNames,0)+1,MATCH("Passive0aCondition",PalData_Header,0)) &amp; IF(ISBLANK(INDEX(PalData,MATCH($B84,PalNames,0)+1,MATCH("Passive0aCondition",PalData_Header,0))),," ")&amp;IFERROR(INDEX(SkillData,MATCH(INDEX(PalData,MATCH($B84,PalNames,0)+1,MATCH("Passive0a",PalData_Header,0)),SkillDataCodeName,0)+1,MATCH("Conditions",SkillData_Header,0))))</f>
        <v>#N/A</v>
      </c>
      <c r="V84" s="45" t="str">
        <f aca="false">IFERROR(__xludf.dummyfunction("IFERROR(INDEX(SkillData,MATCH(Arrayformula(ARRAY_CONSTRAIN(FILTER(INDIRECT(""PalData!""&amp;ADDRESS(MATCH(B84,PalNames,0)+1,(MATCH(""Passive0a"",PalData_Header,0)))&amp;"":""&amp;ADDRESS(MATCH(B84,PalNames,0)+1,(MATCH(""Passive0a"",PalData_Header,0))+4)),LEN(INDIRECT"&amp;"(""PalData!""&amp;ADDRESS(MATCH(B84,PalNames,0)+1,(MATCH(""Passive0a"",PalData_Header,0)))&amp;"":""&amp;ADDRESS(MATCH(B84,PalNames,0)+1,(MATCH(""Passive0a"",PalData_Header,0))+4)))&gt;0),1,1)),SkillDataCodeName,0)+1,MATCH(""ValueType1"",SkillData_Header,0)))"),"")</f>
        <v/>
      </c>
      <c r="W84" s="45" t="n">
        <f aca="false">IFERROR(INDEX(SkillData,MATCH(INDEX(PalData,MATCH($B84,PalNames,0)+1,MATCH("Passive0a",PalData_Header,0)),SkillDataCodeName,0)+1,MATCH("EffectValue1",SkillData_Header,0)),)</f>
        <v>0</v>
      </c>
      <c r="X84" s="45" t="n">
        <f aca="false">IFERROR(INDEX(SkillData,MATCH(INDEX(PalData,MATCH($B84,PalNames,0)+1,MATCH("Passive1a",PalData_Header,0)),SkillDataCodeName,0)+1,MATCH("EffectValue1",SkillData_Header,0)),)</f>
        <v>0</v>
      </c>
      <c r="Y84" s="45" t="n">
        <f aca="false">IFERROR(INDEX(SkillData,MATCH(INDEX(PalData,MATCH($B84,PalNames,0)+1,MATCH("Passive2a",PalData_Header,0)),SkillDataCodeName,0)+1,MATCH("EffectValue1",SkillData_Header,0)),)</f>
        <v>0</v>
      </c>
      <c r="Z84" s="45" t="n">
        <f aca="false">IFERROR(INDEX(SkillData,MATCH(INDEX(PalData,MATCH($B84,PalNames,0)+1,MATCH("Passive3a",PalData_Header,0)),SkillDataCodeName,0)+1,MATCH("EffectValue1",SkillData_Header,0)),)</f>
        <v>0</v>
      </c>
      <c r="AA84" s="260" t="n">
        <f aca="false">IFERROR(INDEX(SkillData,MATCH(INDEX(PalData,MATCH($B84,PalNames,0)+1,MATCH("Passive4a",PalData_Header,0)),SkillDataCodeName,0)+1,MATCH("EffectValue1",SkillData_Header,0)),)</f>
        <v>0</v>
      </c>
      <c r="AB84" s="45" t="str">
        <f aca="false">IFERROR(__xludf.dummyfunction("IFERROR(INDEX(SkillData,MATCH(Arrayformula(ARRAY_CONSTRAIN(FILTER(INDIRECT(""PalData!""&amp;ADDRESS(MATCH(B84,PalNames,0)+1,(MATCH(""Passive0b"",PalData_Header,0)))&amp;"":""&amp;ADDRESS(MATCH(B84,PalNames,0)+1,(MATCH(""Passive0b"",PalData_Header,0))+4)),LEN(INDIRECT"&amp;"(""PalData!""&amp;ADDRESS(MATCH(B84,PalNames,0)+1,(MATCH(""Passive0b"",PalData_Header,0)))&amp;"":""&amp;ADDRESS(MATCH(B84,PalNames,0)+1,(MATCH(""Passive0b"",PalData_Header,0))+4)))&gt;0),1,1)),SkillDataCodeName,0)+1,MATCH(""EffectTypeCombined"",SkillData_Header,0)))"),"")</f>
        <v/>
      </c>
      <c r="AC84" s="45" t="str">
        <f aca="false">IFERROR(__xludf.dummyfunction("IFERROR(INDEX(SkillData,MATCH(Arrayformula(ARRAY_CONSTRAIN(FILTER(INDIRECT(""PalData!""&amp;ADDRESS(MATCH(B84,PalNames,0)+1,(MATCH(""Passive0b"",PalData_Header,0)))&amp;"":""&amp;ADDRESS(MATCH(B84,PalNames,0)+1,(MATCH(""Passive0b"",PalData_Header,0))+4)),LEN(INDIRECT"&amp;"(""PalData!""&amp;ADDRESS(MATCH(B84,PalNames,0)+1,(MATCH(""Passive0b"",PalData_Header,0)))&amp;"":""&amp;ADDRESS(MATCH(B84,PalNames,0)+1,(MATCH(""Passive0b"",PalData_Header,0))+4)))&gt;0),1,1)),SkillDataCodeName,0)+1,MATCH(""TargetType1"",SkillData_Header,0)))"),"")</f>
        <v/>
      </c>
      <c r="AD84" s="45" t="e">
        <f aca="false" t="array" ref="AD84:AD84">IF(INDEX(PalData,MATCH($B84,PalNames,0)+1,MATCH("Passive0bCondition",PalData_Header,0))=IFERROR(INDEX(SkillData,MATCH(INDEX(PalData,MATCH($B84,PalNames,0)+1,MATCH("Passive0b",PalData_Header,0)),SkillDataCodeName,0)+1,MATCH("Conditions",SkillData_Header,0))),INDEX(PalData,MATCH($B84,PalNames,0)+1,MATCH("Passive0bCondition",PalData_Header,0)),INDEX(PalData,MATCH($B84,PalNames,0)+1,MATCH("Passive0bCondition",PalData_Header,0)) &amp; IF(ISBLANK(INDEX(PalData,MATCH($B84,PalNames,0)+1,MATCH("Passive0bCondition",PalData_Header,0))),," ")&amp;IFERROR(INDEX(SkillData,MATCH(INDEX(PalData,MATCH($B84,PalNames,0)+1,MATCH("Passive0b",PalData_Header,0)),SkillDataCodeName,0)+1,MATCH("Conditions",SkillData_Header,0))))</f>
        <v>#N/A</v>
      </c>
      <c r="AE84" s="45" t="str">
        <f aca="false">IFERROR(__xludf.dummyfunction("IFERROR(INDEX(SkillData,MATCH(Arrayformula(ARRAY_CONSTRAIN(FILTER(INDIRECT(""PalData!""&amp;ADDRESS(MATCH(B84,PalNames,0)+1,(MATCH(""Passive0b"",PalData_Header,0)))&amp;"":""&amp;ADDRESS(MATCH(B84,PalNames,0)+1,(MATCH(""Passive0b"",PalData_Header,0))+4)),LEN(INDIRECT"&amp;"(""PalData!""&amp;ADDRESS(MATCH(B84,PalNames,0)+1,(MATCH(""Passive0b"",PalData_Header,0)))&amp;"":""&amp;ADDRESS(MATCH(B84,PalNames,0)+1,(MATCH(""Passive0b"",PalData_Header,0))+4)))&gt;0),1,1)),SkillDataCodeName,0)+1,MATCH(""ValueType1"",SkillData_Header,0)))"),"")</f>
        <v/>
      </c>
      <c r="AF84" s="45" t="n">
        <f aca="false">IFERROR(INDEX(SkillData,MATCH(INDEX(PalData,MATCH($B84,PalNames,0)+1,MATCH("Passive0b",PalData_Header,0)),SkillDataCodeName,0)+1,MATCH("EffectValue1",SkillData_Header,0)),)</f>
        <v>0</v>
      </c>
      <c r="AG84" s="45" t="n">
        <f aca="false">IFERROR(INDEX(SkillData,MATCH(INDEX(PalData,MATCH($B84,PalNames,0)+1,MATCH("Passive1b",PalData_Header,0)),SkillDataCodeName,0)+1,MATCH("EffectValue1",SkillData_Header,0)),)</f>
        <v>0</v>
      </c>
      <c r="AH84" s="45" t="n">
        <f aca="false">IFERROR(INDEX(SkillData,MATCH(INDEX(PalData,MATCH($B84,PalNames,0)+1,MATCH("Passive2b",PalData_Header,0)),SkillDataCodeName,0)+1,MATCH("EffectValue1",SkillData_Header,0)),)</f>
        <v>0</v>
      </c>
      <c r="AI84" s="45" t="n">
        <f aca="false">IFERROR(INDEX(SkillData,MATCH(INDEX(PalData,MATCH($B84,PalNames,0)+1,MATCH("Passive3b",PalData_Header,0)),SkillDataCodeName,0)+1,MATCH("EffectValue1",SkillData_Header,0)),)</f>
        <v>0</v>
      </c>
      <c r="AJ84" s="260" t="n">
        <f aca="false">IFERROR(INDEX(SkillData,MATCH(INDEX(PalData,MATCH($B84,PalNames,0)+1,MATCH("Passive4b",PalData_Header,0)),SkillDataCodeName,0)+1,MATCH("EffectValue1",SkillData_Header,0)),)</f>
        <v>0</v>
      </c>
      <c r="AK84" s="301" t="s">
        <v>348</v>
      </c>
    </row>
    <row r="85" customFormat="false" ht="15.75" hidden="false" customHeight="false" outlineLevel="0" collapsed="false">
      <c r="A85" s="302" t="n">
        <v>69</v>
      </c>
      <c r="B85" s="303" t="s">
        <v>95</v>
      </c>
      <c r="C85" s="48" t="n">
        <f aca="false">IF(ISBLANK(INDEX(PalData,MATCH($B85,PalNames,0)+1,MATCH("ActiveSkill",PalData_Header,0))),INDEX(PalData,MATCH($B85,PalNames,0)+1,MATCH("SkillUnlock_",PalData_Header,0)),INDEX(PalData,MATCH($B85,PalNames,0)+1,MATCH("ActiveSkill",PalData_Header,0)))</f>
        <v>0</v>
      </c>
      <c r="D85" s="48"/>
      <c r="E85" s="48" t="n">
        <f aca="false">INDEX(PalData,MATCH($B85,PalNames,0)+1,MATCH("ActiveSkillBonus0",PalData_Header,0))</f>
        <v>0</v>
      </c>
      <c r="F85" s="48" t="n">
        <f aca="false">INDEX(PalData,MATCH($B85,PalNames,0)+1,MATCH("ActiveSkillBonus1",PalData_Header,0))</f>
        <v>0</v>
      </c>
      <c r="G85" s="48" t="n">
        <f aca="false">INDEX(PalData,MATCH($B85,PalNames,0)+1,MATCH("ActiveSkillBonus2",PalData_Header,0))</f>
        <v>0</v>
      </c>
      <c r="H85" s="48" t="n">
        <f aca="false">INDEX(PalData,MATCH($B85,PalNames,0)+1,MATCH("ActiveSkillBonus3",PalData_Header,0))</f>
        <v>0</v>
      </c>
      <c r="I85" s="263" t="n">
        <f aca="false">INDEX(PalData,MATCH($B85,PalNames,0)+1,MATCH("ActiveSkillBonus4",PalData_Header,0))</f>
        <v>0</v>
      </c>
      <c r="J85" s="48" t="str">
        <f aca="false">IFERROR(__xludf.dummyfunction("IFERROR(INDEX(SkillData,MATCH(Arrayformula(ARRAY_CONSTRAIN(FILTER(INDIRECT(""PalData!""&amp;ADDRESS(MATCH(B85,PalNames,0)+1,(MATCH(""Passive0c"",PalData_Header,0)))&amp;"":""&amp;ADDRESS(MATCH(B85,PalNames,0)+1,(MATCH(""Passive0c"",PalData_Header,0))+4)),LEN(INDIRECT"&amp;"(""PalData!""&amp;ADDRESS(MATCH(B85,PalNames,0)+1,(MATCH(""Passive0c"",PalData_Header,0)))&amp;"":""&amp;ADDRESS(MATCH(B85,PalNames,0)+1,(MATCH(""Passive0c"",PalData_Header,0))+4)))&gt;0),1,1)),SkillDataCodeName,0)+1,MATCH(""EffectTypeCombined"",SkillData_Header,0)))"),"LifeSteal")</f>
        <v>LifeSteal</v>
      </c>
      <c r="K85" s="48" t="str">
        <f aca="false">IFERROR(__xludf.dummyfunction("IFERROR(INDEX(SkillData,MATCH(Arrayformula(ARRAY_CONSTRAIN(FILTER(INDIRECT(""PalData!""&amp;ADDRESS(MATCH(B85,PalNames,0)+1,(MATCH(""Passive0c"",PalData_Header,0)))&amp;"":""&amp;ADDRESS(MATCH(B85,PalNames,0)+1,(MATCH(""Passive0c"",PalData_Header,0))+4)),LEN(INDIRECT"&amp;"(""PalData!""&amp;ADDRESS(MATCH(B85,PalNames,0)+1,(MATCH(""Passive0c"",PalData_Header,0)))&amp;"":""&amp;ADDRESS(MATCH(B85,PalNames,0)+1,(MATCH(""Passive0c"",PalData_Header,0))+4)))&gt;0),1,1)),SkillDataCodeName,0)+1,MATCH(""TargetType1"",SkillData_Header,0)))"),"SelfAndTrainer")</f>
        <v>SelfAndTrainer</v>
      </c>
      <c r="L85" s="48" t="e">
        <f aca="false" t="array" ref="L85:L85">IF(INDEX(PalData,MATCH($B85,PalNames,0)+1,MATCH("Passive0cCondition",PalData_Header,0))=IFERROR(INDEX(SkillData,MATCH(INDEX(PalData,MATCH($B85,PalNames,0)+1,MATCH("Passive0c",PalData_Header,0)),SkillDataCodeName,0)+1,MATCH("Conditions",SkillData_Header,0))),INDEX(PalData,MATCH($B85,PalNames,0)+1,MATCH("Passive0cCondition",PalData_Header,0)),INDEX(PalData,MATCH($B85,PalNames,0)+1,MATCH("Passive0cCondition",PalData_Header,0)) &amp; IF(ISBLANK(INDEX(PalData,MATCH($B85,PalNames,0)+1,MATCH("Passive0cCondition",PalData_Header,0))),," ")&amp;IFERROR(INDEX(SkillData,MATCH(INDEX(PalData,MATCH($B85,PalNames,0)+1,MATCH("Passive0c",PalData_Header,0)),SkillDataCodeName,0)+1,MATCH("Conditions",SkillData_Header,0))))</f>
        <v>#VALUE!</v>
      </c>
      <c r="M85" s="48" t="str">
        <f aca="false">IFERROR(__xludf.dummyfunction("IFERROR(INDEX(SkillData,MATCH(Arrayformula(ARRAY_CONSTRAIN(FILTER(INDIRECT(""PalData!""&amp;ADDRESS(MATCH(B85,PalNames,0)+1,(MATCH(""Passive0c"",PalData_Header,0)))&amp;"":""&amp;ADDRESS(MATCH(B85,PalNames,0)+1,(MATCH(""Passive0c"",PalData_Header,0))+4)),LEN(INDIRECT"&amp;"(""PalData!""&amp;ADDRESS(MATCH(B85,PalNames,0)+1,(MATCH(""Passive0c"",PalData_Header,0)))&amp;"":""&amp;ADDRESS(MATCH(B85,PalNames,0)+1,(MATCH(""Passive0c"",PalData_Header,0))+4)))&gt;0),1,1)),SkillDataCodeName,0)+1,MATCH(""ValueType1"",SkillData_Header,0)))"),"%")</f>
        <v>%</v>
      </c>
      <c r="N85" s="61" t="e">
        <f aca="false" t="array" ref="N85:N85">IFERROR(INDEX(SkillData,MATCH(INDEX(PalData,MATCH($B85,PalNames,0)+1,MATCH("Passive0c",PalData_Header,0)),SkillDataCodeName,0)+1,MATCH("EffectValue1",SkillData_Header,0)))</f>
        <v>#VALUE!</v>
      </c>
      <c r="O85" s="61" t="e">
        <f aca="false" t="array" ref="O85:O85">IFERROR(INDEX(SkillData,MATCH(INDEX(PalData,MATCH($B85,PalNames,0)+1,MATCH("Passive1c",PalData_Header,0)),SkillDataCodeName,0)+1,MATCH("EffectValue1",SkillData_Header,0)))</f>
        <v>#VALUE!</v>
      </c>
      <c r="P85" s="61" t="e">
        <f aca="false" t="array" ref="P85:P85">IFERROR(INDEX(SkillData,MATCH(INDEX(PalData,MATCH($B85,PalNames,0)+1,MATCH("Passive2c",PalData_Header,0)),SkillDataCodeName,0)+1,MATCH("EffectValue1",SkillData_Header,0)))</f>
        <v>#VALUE!</v>
      </c>
      <c r="Q85" s="61" t="e">
        <f aca="false" t="array" ref="Q85:Q85">IFERROR(INDEX(SkillData,MATCH(INDEX(PalData,MATCH($B85,PalNames,0)+1,MATCH("Passive3c",PalData_Header,0)),SkillDataCodeName,0)+1,MATCH("EffectValue1",SkillData_Header,0)))</f>
        <v>#VALUE!</v>
      </c>
      <c r="R85" s="304" t="e">
        <f aca="false" t="array" ref="R85:R85">IFERROR(INDEX(SkillData,MATCH(INDEX(PalData,MATCH($B85,PalNames,0)+1,MATCH("Passive4c",PalData_Header,0)),SkillDataCodeName,0)+1,MATCH("EffectValue1",SkillData_Header,0)))</f>
        <v>#VALUE!</v>
      </c>
      <c r="S85" s="48" t="str">
        <f aca="false">IFERROR(__xludf.dummyfunction("IFERROR(INDEX(SkillData,MATCH(Arrayformula(ARRAY_CONSTRAIN(FILTER(INDIRECT(""PalData!""&amp;ADDRESS(MATCH(B85,PalNames,0)+1,(MATCH(""Passive0a"",PalData_Header,0)))&amp;"":""&amp;ADDRESS(MATCH(B85,PalNames,0)+1,(MATCH(""Passive0a"",PalData_Header,0))+4)),LEN(INDIRECT"&amp;"(""PalData!""&amp;ADDRESS(MATCH(B85,PalNames,0)+1,(MATCH(""Passive0a"",PalData_Header,0)))&amp;"":""&amp;ADDRESS(MATCH(B85,PalNames,0)+1,(MATCH(""Passive0a"",PalData_Header,0))+4)))&gt;0),1,1)),SkillDataCodeName,0)+1,MATCH(""EffectTypeCombined"",SkillData_Header,0)))"),"")</f>
        <v/>
      </c>
      <c r="T85" s="48" t="str">
        <f aca="false">IFERROR(__xludf.dummyfunction("IFERROR(INDEX(SkillData,MATCH(Arrayformula(ARRAY_CONSTRAIN(FILTER(INDIRECT(""PalData!""&amp;ADDRESS(MATCH(B85,PalNames,0)+1,(MATCH(""Passive0a"",PalData_Header,0)))&amp;"":""&amp;ADDRESS(MATCH(B85,PalNames,0)+1,(MATCH(""Passive0a"",PalData_Header,0))+4)),LEN(INDIRECT"&amp;"(""PalData!""&amp;ADDRESS(MATCH(B85,PalNames,0)+1,(MATCH(""Passive0a"",PalData_Header,0)))&amp;"":""&amp;ADDRESS(MATCH(B85,PalNames,0)+1,(MATCH(""Passive0a"",PalData_Header,0))+4)))&gt;0),1,1)),SkillDataCodeName,0)+1,MATCH(""TargetType1"",SkillData_Header,0)))"),"")</f>
        <v/>
      </c>
      <c r="U85" s="48" t="e">
        <f aca="false" t="array" ref="U85:U85">IF(INDEX(PalData,MATCH($B85,PalNames,0)+1,MATCH("Passive0aCondition",PalData_Header,0))=IFERROR(INDEX(SkillData,MATCH(INDEX(PalData,MATCH($B85,PalNames,0)+1,MATCH("Passive0a",PalData_Header,0)),SkillDataCodeName,0)+1,MATCH("Conditions",SkillData_Header,0))),INDEX(PalData,MATCH($B85,PalNames,0)+1,MATCH("Passive0aCondition",PalData_Header,0)),INDEX(PalData,MATCH($B85,PalNames,0)+1,MATCH("Passive0aCondition",PalData_Header,0)) &amp; IF(ISBLANK(INDEX(PalData,MATCH($B85,PalNames,0)+1,MATCH("Passive0aCondition",PalData_Header,0))),," ")&amp;IFERROR(INDEX(SkillData,MATCH(INDEX(PalData,MATCH($B85,PalNames,0)+1,MATCH("Passive0a",PalData_Header,0)),SkillDataCodeName,0)+1,MATCH("Conditions",SkillData_Header,0))))</f>
        <v>#N/A</v>
      </c>
      <c r="V85" s="48" t="str">
        <f aca="false">IFERROR(__xludf.dummyfunction("IFERROR(INDEX(SkillData,MATCH(Arrayformula(ARRAY_CONSTRAIN(FILTER(INDIRECT(""PalData!""&amp;ADDRESS(MATCH(B85,PalNames,0)+1,(MATCH(""Passive0a"",PalData_Header,0)))&amp;"":""&amp;ADDRESS(MATCH(B85,PalNames,0)+1,(MATCH(""Passive0a"",PalData_Header,0))+4)),LEN(INDIRECT"&amp;"(""PalData!""&amp;ADDRESS(MATCH(B85,PalNames,0)+1,(MATCH(""Passive0a"",PalData_Header,0)))&amp;"":""&amp;ADDRESS(MATCH(B85,PalNames,0)+1,(MATCH(""Passive0a"",PalData_Header,0))+4)))&gt;0),1,1)),SkillDataCodeName,0)+1,MATCH(""ValueType1"",SkillData_Header,0)))"),"")</f>
        <v/>
      </c>
      <c r="W85" s="48" t="n">
        <f aca="false">IFERROR(INDEX(SkillData,MATCH(INDEX(PalData,MATCH($B85,PalNames,0)+1,MATCH("Passive0a",PalData_Header,0)),SkillDataCodeName,0)+1,MATCH("EffectValue1",SkillData_Header,0)),)</f>
        <v>0</v>
      </c>
      <c r="X85" s="48" t="n">
        <f aca="false">IFERROR(INDEX(SkillData,MATCH(INDEX(PalData,MATCH($B85,PalNames,0)+1,MATCH("Passive1a",PalData_Header,0)),SkillDataCodeName,0)+1,MATCH("EffectValue1",SkillData_Header,0)),)</f>
        <v>0</v>
      </c>
      <c r="Y85" s="48" t="n">
        <f aca="false">IFERROR(INDEX(SkillData,MATCH(INDEX(PalData,MATCH($B85,PalNames,0)+1,MATCH("Passive2a",PalData_Header,0)),SkillDataCodeName,0)+1,MATCH("EffectValue1",SkillData_Header,0)),)</f>
        <v>0</v>
      </c>
      <c r="Z85" s="48" t="n">
        <f aca="false">IFERROR(INDEX(SkillData,MATCH(INDEX(PalData,MATCH($B85,PalNames,0)+1,MATCH("Passive3a",PalData_Header,0)),SkillDataCodeName,0)+1,MATCH("EffectValue1",SkillData_Header,0)),)</f>
        <v>0</v>
      </c>
      <c r="AA85" s="263" t="n">
        <f aca="false">IFERROR(INDEX(SkillData,MATCH(INDEX(PalData,MATCH($B85,PalNames,0)+1,MATCH("Passive4a",PalData_Header,0)),SkillDataCodeName,0)+1,MATCH("EffectValue1",SkillData_Header,0)),)</f>
        <v>0</v>
      </c>
      <c r="AB85" s="48" t="str">
        <f aca="false">IFERROR(__xludf.dummyfunction("IFERROR(INDEX(SkillData,MATCH(Arrayformula(ARRAY_CONSTRAIN(FILTER(INDIRECT(""PalData!""&amp;ADDRESS(MATCH(B85,PalNames,0)+1,(MATCH(""Passive0b"",PalData_Header,0)))&amp;"":""&amp;ADDRESS(MATCH(B85,PalNames,0)+1,(MATCH(""Passive0b"",PalData_Header,0))+4)),LEN(INDIRECT"&amp;"(""PalData!""&amp;ADDRESS(MATCH(B85,PalNames,0)+1,(MATCH(""Passive0b"",PalData_Header,0)))&amp;"":""&amp;ADDRESS(MATCH(B85,PalNames,0)+1,(MATCH(""Passive0b"",PalData_Header,0))+4)))&gt;0),1,1)),SkillDataCodeName,0)+1,MATCH(""EffectTypeCombined"",SkillData_Header,0)))"),"")</f>
        <v/>
      </c>
      <c r="AC85" s="48" t="str">
        <f aca="false">IFERROR(__xludf.dummyfunction("IFERROR(INDEX(SkillData,MATCH(Arrayformula(ARRAY_CONSTRAIN(FILTER(INDIRECT(""PalData!""&amp;ADDRESS(MATCH(B85,PalNames,0)+1,(MATCH(""Passive0b"",PalData_Header,0)))&amp;"":""&amp;ADDRESS(MATCH(B85,PalNames,0)+1,(MATCH(""Passive0b"",PalData_Header,0))+4)),LEN(INDIRECT"&amp;"(""PalData!""&amp;ADDRESS(MATCH(B85,PalNames,0)+1,(MATCH(""Passive0b"",PalData_Header,0)))&amp;"":""&amp;ADDRESS(MATCH(B85,PalNames,0)+1,(MATCH(""Passive0b"",PalData_Header,0))+4)))&gt;0),1,1)),SkillDataCodeName,0)+1,MATCH(""TargetType1"",SkillData_Header,0)))"),"")</f>
        <v/>
      </c>
      <c r="AD85" s="48" t="e">
        <f aca="false" t="array" ref="AD85:AD85">IF(INDEX(PalData,MATCH($B85,PalNames,0)+1,MATCH("Passive0bCondition",PalData_Header,0))=IFERROR(INDEX(SkillData,MATCH(INDEX(PalData,MATCH($B85,PalNames,0)+1,MATCH("Passive0b",PalData_Header,0)),SkillDataCodeName,0)+1,MATCH("Conditions",SkillData_Header,0))),INDEX(PalData,MATCH($B85,PalNames,0)+1,MATCH("Passive0bCondition",PalData_Header,0)),INDEX(PalData,MATCH($B85,PalNames,0)+1,MATCH("Passive0bCondition",PalData_Header,0)) &amp; IF(ISBLANK(INDEX(PalData,MATCH($B85,PalNames,0)+1,MATCH("Passive0bCondition",PalData_Header,0))),," ")&amp;IFERROR(INDEX(SkillData,MATCH(INDEX(PalData,MATCH($B85,PalNames,0)+1,MATCH("Passive0b",PalData_Header,0)),SkillDataCodeName,0)+1,MATCH("Conditions",SkillData_Header,0))))</f>
        <v>#N/A</v>
      </c>
      <c r="AE85" s="48" t="str">
        <f aca="false">IFERROR(__xludf.dummyfunction("IFERROR(INDEX(SkillData,MATCH(Arrayformula(ARRAY_CONSTRAIN(FILTER(INDIRECT(""PalData!""&amp;ADDRESS(MATCH(B85,PalNames,0)+1,(MATCH(""Passive0b"",PalData_Header,0)))&amp;"":""&amp;ADDRESS(MATCH(B85,PalNames,0)+1,(MATCH(""Passive0b"",PalData_Header,0))+4)),LEN(INDIRECT"&amp;"(""PalData!""&amp;ADDRESS(MATCH(B85,PalNames,0)+1,(MATCH(""Passive0b"",PalData_Header,0)))&amp;"":""&amp;ADDRESS(MATCH(B85,PalNames,0)+1,(MATCH(""Passive0b"",PalData_Header,0))+4)))&gt;0),1,1)),SkillDataCodeName,0)+1,MATCH(""ValueType1"",SkillData_Header,0)))"),"")</f>
        <v/>
      </c>
      <c r="AF85" s="48" t="n">
        <f aca="false">IFERROR(INDEX(SkillData,MATCH(INDEX(PalData,MATCH($B85,PalNames,0)+1,MATCH("Passive0b",PalData_Header,0)),SkillDataCodeName,0)+1,MATCH("EffectValue1",SkillData_Header,0)),)</f>
        <v>0</v>
      </c>
      <c r="AG85" s="48" t="n">
        <f aca="false">IFERROR(INDEX(SkillData,MATCH(INDEX(PalData,MATCH($B85,PalNames,0)+1,MATCH("Passive1b",PalData_Header,0)),SkillDataCodeName,0)+1,MATCH("EffectValue1",SkillData_Header,0)),)</f>
        <v>0</v>
      </c>
      <c r="AH85" s="48" t="n">
        <f aca="false">IFERROR(INDEX(SkillData,MATCH(INDEX(PalData,MATCH($B85,PalNames,0)+1,MATCH("Passive2b",PalData_Header,0)),SkillDataCodeName,0)+1,MATCH("EffectValue1",SkillData_Header,0)),)</f>
        <v>0</v>
      </c>
      <c r="AI85" s="48" t="n">
        <f aca="false">IFERROR(INDEX(SkillData,MATCH(INDEX(PalData,MATCH($B85,PalNames,0)+1,MATCH("Passive3b",PalData_Header,0)),SkillDataCodeName,0)+1,MATCH("EffectValue1",SkillData_Header,0)),)</f>
        <v>0</v>
      </c>
      <c r="AJ85" s="263" t="n">
        <f aca="false">IFERROR(INDEX(SkillData,MATCH(INDEX(PalData,MATCH($B85,PalNames,0)+1,MATCH("Passive4b",PalData_Header,0)),SkillDataCodeName,0)+1,MATCH("EffectValue1",SkillData_Header,0)),)</f>
        <v>0</v>
      </c>
      <c r="AK85" s="305" t="s">
        <v>349</v>
      </c>
    </row>
    <row r="86" customFormat="false" ht="15.75" hidden="false" customHeight="false" outlineLevel="0" collapsed="false">
      <c r="A86" s="299" t="n">
        <v>70</v>
      </c>
      <c r="B86" s="300" t="s">
        <v>56</v>
      </c>
      <c r="C86" s="45" t="n">
        <f aca="false">IF(ISBLANK(INDEX(PalData,MATCH($B86,PalNames,0)+1,MATCH("ActiveSkill",PalData_Header,0))),INDEX(PalData,MATCH($B86,PalNames,0)+1,MATCH("SkillUnlock_",PalData_Header,0)),INDEX(PalData,MATCH($B86,PalNames,0)+1,MATCH("ActiveSkill",PalData_Header,0)))</f>
        <v>0</v>
      </c>
      <c r="D86" s="45"/>
      <c r="E86" s="45" t="n">
        <f aca="false">INDEX(PalData,MATCH($B86,PalNames,0)+1,MATCH("ActiveSkillBonus0",PalData_Header,0))</f>
        <v>0</v>
      </c>
      <c r="F86" s="45" t="n">
        <f aca="false">INDEX(PalData,MATCH($B86,PalNames,0)+1,MATCH("ActiveSkillBonus1",PalData_Header,0))</f>
        <v>0</v>
      </c>
      <c r="G86" s="45" t="n">
        <f aca="false">INDEX(PalData,MATCH($B86,PalNames,0)+1,MATCH("ActiveSkillBonus2",PalData_Header,0))</f>
        <v>0</v>
      </c>
      <c r="H86" s="45" t="n">
        <f aca="false">INDEX(PalData,MATCH($B86,PalNames,0)+1,MATCH("ActiveSkillBonus3",PalData_Header,0))</f>
        <v>0</v>
      </c>
      <c r="I86" s="260" t="n">
        <f aca="false">INDEX(PalData,MATCH($B86,PalNames,0)+1,MATCH("ActiveSkillBonus4",PalData_Header,0))</f>
        <v>0</v>
      </c>
      <c r="J86" s="45" t="str">
        <f aca="false">IFERROR(__xludf.dummyfunction("IFERROR(INDEX(SkillData,MATCH(Arrayformula(ARRAY_CONSTRAIN(FILTER(INDIRECT(""PalData!""&amp;ADDRESS(MATCH(B86,PalNames,0)+1,(MATCH(""Passive0c"",PalData_Header,0)))&amp;"":""&amp;ADDRESS(MATCH(B86,PalNames,0)+1,(MATCH(""Passive0c"",PalData_Header,0))+4)),LEN(INDIRECT"&amp;"(""PalData!""&amp;ADDRESS(MATCH(B86,PalNames,0)+1,(MATCH(""Passive0c"",PalData_Header,0)))&amp;"":""&amp;ADDRESS(MATCH(B86,PalNames,0)+1,(MATCH(""Passive0c"",PalData_Header,0))+4)))&gt;0),1,1)),SkillDataCodeName,0)+1,MATCH(""EffectTypeCombined"",SkillData_Header,0)))"),"FindFireOrgan")</f>
        <v>FindFireOrgan</v>
      </c>
      <c r="K86" s="45" t="str">
        <f aca="false">IFERROR(__xludf.dummyfunction("IFERROR(INDEX(SkillData,MATCH(Arrayformula(ARRAY_CONSTRAIN(FILTER(INDIRECT(""PalData!""&amp;ADDRESS(MATCH(B86,PalNames,0)+1,(MATCH(""Passive0c"",PalData_Header,0)))&amp;"":""&amp;ADDRESS(MATCH(B86,PalNames,0)+1,(MATCH(""Passive0c"",PalData_Header,0))+4)),LEN(INDIRECT"&amp;"(""PalData!""&amp;ADDRESS(MATCH(B86,PalNames,0)+1,(MATCH(""Passive0c"",PalData_Header,0)))&amp;"":""&amp;ADDRESS(MATCH(B86,PalNames,0)+1,(MATCH(""Passive0c"",PalData_Header,0))+4)))&gt;0),1,1)),SkillDataCodeName,0)+1,MATCH(""TargetType1"",SkillData_Header,0)))"),"")</f>
        <v/>
      </c>
      <c r="L86" s="45" t="e">
        <f aca="false" t="array" ref="L86:L86">IF(INDEX(PalData,MATCH($B86,PalNames,0)+1,MATCH("Passive0cCondition",PalData_Header,0))=IFERROR(INDEX(SkillData,MATCH(INDEX(PalData,MATCH($B86,PalNames,0)+1,MATCH("Passive0c",PalData_Header,0)),SkillDataCodeName,0)+1,MATCH("Conditions",SkillData_Header,0))),INDEX(PalData,MATCH($B86,PalNames,0)+1,MATCH("Passive0cCondition",PalData_Header,0)),INDEX(PalData,MATCH($B86,PalNames,0)+1,MATCH("Passive0cCondition",PalData_Header,0)) &amp; IF(ISBLANK(INDEX(PalData,MATCH($B86,PalNames,0)+1,MATCH("Passive0cCondition",PalData_Header,0))),," ")&amp;IFERROR(INDEX(SkillData,MATCH(INDEX(PalData,MATCH($B86,PalNames,0)+1,MATCH("Passive0c",PalData_Header,0)),SkillDataCodeName,0)+1,MATCH("Conditions",SkillData_Header,0))))</f>
        <v>#VALUE!</v>
      </c>
      <c r="M86" s="45" t="str">
        <f aca="false">IFERROR(__xludf.dummyfunction("IFERROR(INDEX(SkillData,MATCH(Arrayformula(ARRAY_CONSTRAIN(FILTER(INDIRECT(""PalData!""&amp;ADDRESS(MATCH(B86,PalNames,0)+1,(MATCH(""Passive0c"",PalData_Header,0)))&amp;"":""&amp;ADDRESS(MATCH(B86,PalNames,0)+1,(MATCH(""Passive0c"",PalData_Header,0))+4)),LEN(INDIRECT"&amp;"(""PalData!""&amp;ADDRESS(MATCH(B86,PalNames,0)+1,(MATCH(""Passive0c"",PalData_Header,0)))&amp;"":""&amp;ADDRESS(MATCH(B86,PalNames,0)+1,(MATCH(""Passive0c"",PalData_Header,0))+4)))&gt;0),1,1)),SkillDataCodeName,0)+1,MATCH(""ValueType1"",SkillData_Header,0)))"),"(min,max)")</f>
        <v>(min,max)</v>
      </c>
      <c r="N86" s="45" t="e">
        <f aca="false" t="array" ref="N86:N86">IFERROR(INDEX(SkillData,MATCH(INDEX(PalData,MATCH($B86,PalNames,0)+1,MATCH("Passive0c",PalData_Header,0)),SkillDataCodeName,0)+1,MATCH("EffectValue1",SkillData_Header,0)))</f>
        <v>#VALUE!</v>
      </c>
      <c r="O86" s="45" t="e">
        <f aca="false" t="array" ref="O86:O86">IFERROR(INDEX(SkillData,MATCH(INDEX(PalData,MATCH($B86,PalNames,0)+1,MATCH("Passive1c",PalData_Header,0)),SkillDataCodeName,0)+1,MATCH("EffectValue1",SkillData_Header,0)))</f>
        <v>#VALUE!</v>
      </c>
      <c r="P86" s="45" t="e">
        <f aca="false" t="array" ref="P86:P86">IFERROR(INDEX(SkillData,MATCH(INDEX(PalData,MATCH($B86,PalNames,0)+1,MATCH("Passive2c",PalData_Header,0)),SkillDataCodeName,0)+1,MATCH("EffectValue1",SkillData_Header,0)))</f>
        <v>#VALUE!</v>
      </c>
      <c r="Q86" s="45" t="e">
        <f aca="false" t="array" ref="Q86:Q86">IFERROR(INDEX(SkillData,MATCH(INDEX(PalData,MATCH($B86,PalNames,0)+1,MATCH("Passive3c",PalData_Header,0)),SkillDataCodeName,0)+1,MATCH("EffectValue1",SkillData_Header,0)))</f>
        <v>#VALUE!</v>
      </c>
      <c r="R86" s="260" t="e">
        <f aca="false" t="array" ref="R86:R86">IFERROR(INDEX(SkillData,MATCH(INDEX(PalData,MATCH($B86,PalNames,0)+1,MATCH("Passive4c",PalData_Header,0)),SkillDataCodeName,0)+1,MATCH("EffectValue1",SkillData_Header,0)))</f>
        <v>#VALUE!</v>
      </c>
      <c r="S86" s="45" t="str">
        <f aca="false">IFERROR(__xludf.dummyfunction("IFERROR(INDEX(SkillData,MATCH(Arrayformula(ARRAY_CONSTRAIN(FILTER(INDIRECT(""PalData!""&amp;ADDRESS(MATCH(B86,PalNames,0)+1,(MATCH(""Passive0a"",PalData_Header,0)))&amp;"":""&amp;ADDRESS(MATCH(B86,PalNames,0)+1,(MATCH(""Passive0a"",PalData_Header,0))+4)),LEN(INDIRECT"&amp;"(""PalData!""&amp;ADDRESS(MATCH(B86,PalNames,0)+1,(MATCH(""Passive0a"",PalData_Header,0)))&amp;"":""&amp;ADDRESS(MATCH(B86,PalNames,0)+1,(MATCH(""Passive0a"",PalData_Header,0))+4)))&gt;0),1,1)),SkillDataCodeName,0)+1,MATCH(""EffectTypeCombined"",SkillData_Header,0)))"),"")</f>
        <v/>
      </c>
      <c r="T86" s="45" t="str">
        <f aca="false">IFERROR(__xludf.dummyfunction("IFERROR(INDEX(SkillData,MATCH(Arrayformula(ARRAY_CONSTRAIN(FILTER(INDIRECT(""PalData!""&amp;ADDRESS(MATCH(B86,PalNames,0)+1,(MATCH(""Passive0a"",PalData_Header,0)))&amp;"":""&amp;ADDRESS(MATCH(B86,PalNames,0)+1,(MATCH(""Passive0a"",PalData_Header,0))+4)),LEN(INDIRECT"&amp;"(""PalData!""&amp;ADDRESS(MATCH(B86,PalNames,0)+1,(MATCH(""Passive0a"",PalData_Header,0)))&amp;"":""&amp;ADDRESS(MATCH(B86,PalNames,0)+1,(MATCH(""Passive0a"",PalData_Header,0))+4)))&gt;0),1,1)),SkillDataCodeName,0)+1,MATCH(""TargetType1"",SkillData_Header,0)))"),"")</f>
        <v/>
      </c>
      <c r="U86" s="45" t="e">
        <f aca="false" t="array" ref="U86:U86">IF(INDEX(PalData,MATCH($B86,PalNames,0)+1,MATCH("Passive0aCondition",PalData_Header,0))=IFERROR(INDEX(SkillData,MATCH(INDEX(PalData,MATCH($B86,PalNames,0)+1,MATCH("Passive0a",PalData_Header,0)),SkillDataCodeName,0)+1,MATCH("Conditions",SkillData_Header,0))),INDEX(PalData,MATCH($B86,PalNames,0)+1,MATCH("Passive0aCondition",PalData_Header,0)),INDEX(PalData,MATCH($B86,PalNames,0)+1,MATCH("Passive0aCondition",PalData_Header,0)) &amp; IF(ISBLANK(INDEX(PalData,MATCH($B86,PalNames,0)+1,MATCH("Passive0aCondition",PalData_Header,0))),," ")&amp;IFERROR(INDEX(SkillData,MATCH(INDEX(PalData,MATCH($B86,PalNames,0)+1,MATCH("Passive0a",PalData_Header,0)),SkillDataCodeName,0)+1,MATCH("Conditions",SkillData_Header,0))))</f>
        <v>#N/A</v>
      </c>
      <c r="V86" s="45" t="str">
        <f aca="false">IFERROR(__xludf.dummyfunction("IFERROR(INDEX(SkillData,MATCH(Arrayformula(ARRAY_CONSTRAIN(FILTER(INDIRECT(""PalData!""&amp;ADDRESS(MATCH(B86,PalNames,0)+1,(MATCH(""Passive0a"",PalData_Header,0)))&amp;"":""&amp;ADDRESS(MATCH(B86,PalNames,0)+1,(MATCH(""Passive0a"",PalData_Header,0))+4)),LEN(INDIRECT"&amp;"(""PalData!""&amp;ADDRESS(MATCH(B86,PalNames,0)+1,(MATCH(""Passive0a"",PalData_Header,0)))&amp;"":""&amp;ADDRESS(MATCH(B86,PalNames,0)+1,(MATCH(""Passive0a"",PalData_Header,0))+4)))&gt;0),1,1)),SkillDataCodeName,0)+1,MATCH(""ValueType1"",SkillData_Header,0)))"),"")</f>
        <v/>
      </c>
      <c r="W86" s="45" t="n">
        <f aca="false">IFERROR(INDEX(SkillData,MATCH(INDEX(PalData,MATCH($B86,PalNames,0)+1,MATCH("Passive0a",PalData_Header,0)),SkillDataCodeName,0)+1,MATCH("EffectValue1",SkillData_Header,0)),)</f>
        <v>0</v>
      </c>
      <c r="X86" s="45" t="n">
        <f aca="false">IFERROR(INDEX(SkillData,MATCH(INDEX(PalData,MATCH($B86,PalNames,0)+1,MATCH("Passive1a",PalData_Header,0)),SkillDataCodeName,0)+1,MATCH("EffectValue1",SkillData_Header,0)),)</f>
        <v>0</v>
      </c>
      <c r="Y86" s="45" t="n">
        <f aca="false">IFERROR(INDEX(SkillData,MATCH(INDEX(PalData,MATCH($B86,PalNames,0)+1,MATCH("Passive2a",PalData_Header,0)),SkillDataCodeName,0)+1,MATCH("EffectValue1",SkillData_Header,0)),)</f>
        <v>0</v>
      </c>
      <c r="Z86" s="45" t="n">
        <f aca="false">IFERROR(INDEX(SkillData,MATCH(INDEX(PalData,MATCH($B86,PalNames,0)+1,MATCH("Passive3a",PalData_Header,0)),SkillDataCodeName,0)+1,MATCH("EffectValue1",SkillData_Header,0)),)</f>
        <v>0</v>
      </c>
      <c r="AA86" s="260" t="n">
        <f aca="false">IFERROR(INDEX(SkillData,MATCH(INDEX(PalData,MATCH($B86,PalNames,0)+1,MATCH("Passive4a",PalData_Header,0)),SkillDataCodeName,0)+1,MATCH("EffectValue1",SkillData_Header,0)),)</f>
        <v>0</v>
      </c>
      <c r="AB86" s="45" t="str">
        <f aca="false">IFERROR(__xludf.dummyfunction("IFERROR(INDEX(SkillData,MATCH(Arrayformula(ARRAY_CONSTRAIN(FILTER(INDIRECT(""PalData!""&amp;ADDRESS(MATCH(B86,PalNames,0)+1,(MATCH(""Passive0b"",PalData_Header,0)))&amp;"":""&amp;ADDRESS(MATCH(B86,PalNames,0)+1,(MATCH(""Passive0b"",PalData_Header,0))+4)),LEN(INDIRECT"&amp;"(""PalData!""&amp;ADDRESS(MATCH(B86,PalNames,0)+1,(MATCH(""Passive0b"",PalData_Header,0)))&amp;"":""&amp;ADDRESS(MATCH(B86,PalNames,0)+1,(MATCH(""Passive0b"",PalData_Header,0))+4)))&gt;0),1,1)),SkillDataCodeName,0)+1,MATCH(""EffectTypeCombined"",SkillData_Header,0)))"),"")</f>
        <v/>
      </c>
      <c r="AC86" s="45" t="str">
        <f aca="false">IFERROR(__xludf.dummyfunction("IFERROR(INDEX(SkillData,MATCH(Arrayformula(ARRAY_CONSTRAIN(FILTER(INDIRECT(""PalData!""&amp;ADDRESS(MATCH(B86,PalNames,0)+1,(MATCH(""Passive0b"",PalData_Header,0)))&amp;"":""&amp;ADDRESS(MATCH(B86,PalNames,0)+1,(MATCH(""Passive0b"",PalData_Header,0))+4)),LEN(INDIRECT"&amp;"(""PalData!""&amp;ADDRESS(MATCH(B86,PalNames,0)+1,(MATCH(""Passive0b"",PalData_Header,0)))&amp;"":""&amp;ADDRESS(MATCH(B86,PalNames,0)+1,(MATCH(""Passive0b"",PalData_Header,0))+4)))&gt;0),1,1)),SkillDataCodeName,0)+1,MATCH(""TargetType1"",SkillData_Header,0)))"),"")</f>
        <v/>
      </c>
      <c r="AD86" s="45" t="e">
        <f aca="false" t="array" ref="AD86:AD86">IF(INDEX(PalData,MATCH($B86,PalNames,0)+1,MATCH("Passive0bCondition",PalData_Header,0))=IFERROR(INDEX(SkillData,MATCH(INDEX(PalData,MATCH($B86,PalNames,0)+1,MATCH("Passive0b",PalData_Header,0)),SkillDataCodeName,0)+1,MATCH("Conditions",SkillData_Header,0))),INDEX(PalData,MATCH($B86,PalNames,0)+1,MATCH("Passive0bCondition",PalData_Header,0)),INDEX(PalData,MATCH($B86,PalNames,0)+1,MATCH("Passive0bCondition",PalData_Header,0)) &amp; IF(ISBLANK(INDEX(PalData,MATCH($B86,PalNames,0)+1,MATCH("Passive0bCondition",PalData_Header,0))),," ")&amp;IFERROR(INDEX(SkillData,MATCH(INDEX(PalData,MATCH($B86,PalNames,0)+1,MATCH("Passive0b",PalData_Header,0)),SkillDataCodeName,0)+1,MATCH("Conditions",SkillData_Header,0))))</f>
        <v>#N/A</v>
      </c>
      <c r="AE86" s="45" t="str">
        <f aca="false">IFERROR(__xludf.dummyfunction("IFERROR(INDEX(SkillData,MATCH(Arrayformula(ARRAY_CONSTRAIN(FILTER(INDIRECT(""PalData!""&amp;ADDRESS(MATCH(B86,PalNames,0)+1,(MATCH(""Passive0b"",PalData_Header,0)))&amp;"":""&amp;ADDRESS(MATCH(B86,PalNames,0)+1,(MATCH(""Passive0b"",PalData_Header,0))+4)),LEN(INDIRECT"&amp;"(""PalData!""&amp;ADDRESS(MATCH(B86,PalNames,0)+1,(MATCH(""Passive0b"",PalData_Header,0)))&amp;"":""&amp;ADDRESS(MATCH(B86,PalNames,0)+1,(MATCH(""Passive0b"",PalData_Header,0))+4)))&gt;0),1,1)),SkillDataCodeName,0)+1,MATCH(""ValueType1"",SkillData_Header,0)))"),"")</f>
        <v/>
      </c>
      <c r="AF86" s="45" t="n">
        <f aca="false">IFERROR(INDEX(SkillData,MATCH(INDEX(PalData,MATCH($B86,PalNames,0)+1,MATCH("Passive0b",PalData_Header,0)),SkillDataCodeName,0)+1,MATCH("EffectValue1",SkillData_Header,0)),)</f>
        <v>0</v>
      </c>
      <c r="AG86" s="45" t="n">
        <f aca="false">IFERROR(INDEX(SkillData,MATCH(INDEX(PalData,MATCH($B86,PalNames,0)+1,MATCH("Passive1b",PalData_Header,0)),SkillDataCodeName,0)+1,MATCH("EffectValue1",SkillData_Header,0)),)</f>
        <v>0</v>
      </c>
      <c r="AH86" s="45" t="n">
        <f aca="false">IFERROR(INDEX(SkillData,MATCH(INDEX(PalData,MATCH($B86,PalNames,0)+1,MATCH("Passive2b",PalData_Header,0)),SkillDataCodeName,0)+1,MATCH("EffectValue1",SkillData_Header,0)),)</f>
        <v>0</v>
      </c>
      <c r="AI86" s="45" t="n">
        <f aca="false">IFERROR(INDEX(SkillData,MATCH(INDEX(PalData,MATCH($B86,PalNames,0)+1,MATCH("Passive3b",PalData_Header,0)),SkillDataCodeName,0)+1,MATCH("EffectValue1",SkillData_Header,0)),)</f>
        <v>0</v>
      </c>
      <c r="AJ86" s="260" t="n">
        <f aca="false">IFERROR(INDEX(SkillData,MATCH(INDEX(PalData,MATCH($B86,PalNames,0)+1,MATCH("Passive4b",PalData_Header,0)),SkillDataCodeName,0)+1,MATCH("EffectValue1",SkillData_Header,0)),)</f>
        <v>0</v>
      </c>
      <c r="AK86" s="301" t="s">
        <v>350</v>
      </c>
    </row>
    <row r="87" customFormat="false" ht="15.75" hidden="false" customHeight="false" outlineLevel="0" collapsed="false">
      <c r="A87" s="302" t="n">
        <v>71</v>
      </c>
      <c r="B87" s="303" t="s">
        <v>145</v>
      </c>
      <c r="C87" s="48" t="str">
        <f aca="false" t="array" ref="C87:C87">IF(ISBLANK(INDEX(PalData,MATCH($B87,PalNames,0)+1,MATCH("ActiveSkill",PalData_Header,0))),INDEX(PalData,MATCH($B87,PalNames,0)+1,MATCH("SkillUnlock_",PalData_Header,0)),INDEX(PalData,MATCH($B87,PalNames,0)+1,MATCH("ActiveSkill",PalData_Header,0)))</f>
        <v>Saddle</v>
      </c>
      <c r="D87" s="48"/>
      <c r="E87" s="48" t="n">
        <f aca="false">INDEX(PalData,MATCH($B87,PalNames,0)+1,MATCH("ActiveSkillBonus0",PalData_Header,0))</f>
        <v>0</v>
      </c>
      <c r="F87" s="48" t="n">
        <f aca="false">INDEX(PalData,MATCH($B87,PalNames,0)+1,MATCH("ActiveSkillBonus1",PalData_Header,0))</f>
        <v>0</v>
      </c>
      <c r="G87" s="48" t="n">
        <f aca="false">INDEX(PalData,MATCH($B87,PalNames,0)+1,MATCH("ActiveSkillBonus2",PalData_Header,0))</f>
        <v>0</v>
      </c>
      <c r="H87" s="48" t="n">
        <f aca="false">INDEX(PalData,MATCH($B87,PalNames,0)+1,MATCH("ActiveSkillBonus3",PalData_Header,0))</f>
        <v>0</v>
      </c>
      <c r="I87" s="263" t="n">
        <f aca="false">INDEX(PalData,MATCH($B87,PalNames,0)+1,MATCH("ActiveSkillBonus4",PalData_Header,0))</f>
        <v>0</v>
      </c>
      <c r="J87" s="48" t="str">
        <f aca="false">IFERROR(__xludf.dummyfunction("IFERROR(INDEX(SkillData,MATCH(Arrayformula(ARRAY_CONSTRAIN(FILTER(INDIRECT(""PalData!""&amp;ADDRESS(MATCH(B87,PalNames,0)+1,(MATCH(""Passive0c"",PalData_Header,0)))&amp;"":""&amp;ADDRESS(MATCH(B87,PalNames,0)+1,(MATCH(""Passive0c"",PalData_Header,0))+4)),LEN(INDIRECT"&amp;"(""PalData!""&amp;ADDRESS(MATCH(B87,PalNames,0)+1,(MATCH(""Passive0c"",PalData_Header,0)))&amp;"":""&amp;ADDRESS(MATCH(B87,PalNames,0)+1,(MATCH(""Passive0c"",PalData_Header,0))+4)))&gt;0),1,1)),SkillDataCodeName,0)+1,MATCH(""EffectTypeCombined"",SkillData_Header,0)))"),"BodyPartsWeakDamage")</f>
        <v>BodyPartsWeakDamage</v>
      </c>
      <c r="K87" s="48" t="str">
        <f aca="false">IFERROR(__xludf.dummyfunction("IFERROR(INDEX(SkillData,MATCH(Arrayformula(ARRAY_CONSTRAIN(FILTER(INDIRECT(""PalData!""&amp;ADDRESS(MATCH(B87,PalNames,0)+1,(MATCH(""Passive0c"",PalData_Header,0)))&amp;"":""&amp;ADDRESS(MATCH(B87,PalNames,0)+1,(MATCH(""Passive0c"",PalData_Header,0))+4)),LEN(INDIRECT"&amp;"(""PalData!""&amp;ADDRESS(MATCH(B87,PalNames,0)+1,(MATCH(""Passive0c"",PalData_Header,0)))&amp;"":""&amp;ADDRESS(MATCH(B87,PalNames,0)+1,(MATCH(""Passive0c"",PalData_Header,0))+4)))&gt;0),1,1)),SkillDataCodeName,0)+1,MATCH(""TargetType1"",SkillData_Header,0)))"),"Trainer")</f>
        <v>Trainer</v>
      </c>
      <c r="L87" s="48" t="e">
        <f aca="false" t="array" ref="L87:L87">IF(INDEX(PalData,MATCH($B87,PalNames,0)+1,MATCH("Passive0cCondition",PalData_Header,0))=IFERROR(INDEX(SkillData,MATCH(INDEX(PalData,MATCH($B87,PalNames,0)+1,MATCH("Passive0c",PalData_Header,0)),SkillDataCodeName,0)+1,MATCH("Conditions",SkillData_Header,0))),INDEX(PalData,MATCH($B87,PalNames,0)+1,MATCH("Passive0cCondition",PalData_Header,0)),INDEX(PalData,MATCH($B87,PalNames,0)+1,MATCH("Passive0cCondition",PalData_Header,0)) &amp; IF(ISBLANK(INDEX(PalData,MATCH($B87,PalNames,0)+1,MATCH("Passive0cCondition",PalData_Header,0))),," ")&amp;IFERROR(INDEX(SkillData,MATCH(INDEX(PalData,MATCH($B87,PalNames,0)+1,MATCH("Passive0c",PalData_Header,0)),SkillDataCodeName,0)+1,MATCH("Conditions",SkillData_Header,0))))</f>
        <v>#VALUE!</v>
      </c>
      <c r="M87" s="48" t="str">
        <f aca="false">IFERROR(__xludf.dummyfunction("IFERROR(INDEX(SkillData,MATCH(Arrayformula(ARRAY_CONSTRAIN(FILTER(INDIRECT(""PalData!""&amp;ADDRESS(MATCH(B87,PalNames,0)+1,(MATCH(""Passive0c"",PalData_Header,0)))&amp;"":""&amp;ADDRESS(MATCH(B87,PalNames,0)+1,(MATCH(""Passive0c"",PalData_Header,0))+4)),LEN(INDIRECT"&amp;"(""PalData!""&amp;ADDRESS(MATCH(B87,PalNames,0)+1,(MATCH(""Passive0c"",PalData_Header,0)))&amp;"":""&amp;ADDRESS(MATCH(B87,PalNames,0)+1,(MATCH(""Passive0c"",PalData_Header,0))+4)))&gt;0),1,1)),SkillDataCodeName,0)+1,MATCH(""ValueType1"",SkillData_Header,0)))"),"%")</f>
        <v>%</v>
      </c>
      <c r="N87" s="61" t="e">
        <f aca="false" t="array" ref="N87:N87">IFERROR(INDEX(SkillData,MATCH(INDEX(PalData,MATCH($B87,PalNames,0)+1,MATCH("Passive0c",PalData_Header,0)),SkillDataCodeName,0)+1,MATCH("EffectValue1",SkillData_Header,0)))</f>
        <v>#VALUE!</v>
      </c>
      <c r="O87" s="61" t="e">
        <f aca="false" t="array" ref="O87:O87">IFERROR(INDEX(SkillData,MATCH(INDEX(PalData,MATCH($B87,PalNames,0)+1,MATCH("Passive1c",PalData_Header,0)),SkillDataCodeName,0)+1,MATCH("EffectValue1",SkillData_Header,0)))</f>
        <v>#VALUE!</v>
      </c>
      <c r="P87" s="61" t="e">
        <f aca="false" t="array" ref="P87:P87">IFERROR(INDEX(SkillData,MATCH(INDEX(PalData,MATCH($B87,PalNames,0)+1,MATCH("Passive2c",PalData_Header,0)),SkillDataCodeName,0)+1,MATCH("EffectValue1",SkillData_Header,0)))</f>
        <v>#VALUE!</v>
      </c>
      <c r="Q87" s="61" t="e">
        <f aca="false" t="array" ref="Q87:Q87">IFERROR(INDEX(SkillData,MATCH(INDEX(PalData,MATCH($B87,PalNames,0)+1,MATCH("Passive3c",PalData_Header,0)),SkillDataCodeName,0)+1,MATCH("EffectValue1",SkillData_Header,0)))</f>
        <v>#VALUE!</v>
      </c>
      <c r="R87" s="304" t="e">
        <f aca="false" t="array" ref="R87:R87">IFERROR(INDEX(SkillData,MATCH(INDEX(PalData,MATCH($B87,PalNames,0)+1,MATCH("Passive4c",PalData_Header,0)),SkillDataCodeName,0)+1,MATCH("EffectValue1",SkillData_Header,0)))</f>
        <v>#VALUE!</v>
      </c>
      <c r="S87" s="48" t="str">
        <f aca="false">IFERROR(__xludf.dummyfunction("IFERROR(INDEX(SkillData,MATCH(Arrayformula(ARRAY_CONSTRAIN(FILTER(INDIRECT(""PalData!""&amp;ADDRESS(MATCH(B87,PalNames,0)+1,(MATCH(""Passive0a"",PalData_Header,0)))&amp;"":""&amp;ADDRESS(MATCH(B87,PalNames,0)+1,(MATCH(""Passive0a"",PalData_Header,0))+4)),LEN(INDIRECT"&amp;"(""PalData!""&amp;ADDRESS(MATCH(B87,PalNames,0)+1,(MATCH(""Passive0a"",PalData_Header,0)))&amp;"":""&amp;ADDRESS(MATCH(B87,PalNames,0)+1,(MATCH(""Passive0a"",PalData_Header,0))+4)))&gt;0),1,1)),SkillDataCodeName,0)+1,MATCH(""EffectTypeCombined"",SkillData_Header,0)))"),"")</f>
        <v/>
      </c>
      <c r="T87" s="48" t="str">
        <f aca="false">IFERROR(__xludf.dummyfunction("IFERROR(INDEX(SkillData,MATCH(Arrayformula(ARRAY_CONSTRAIN(FILTER(INDIRECT(""PalData!""&amp;ADDRESS(MATCH(B87,PalNames,0)+1,(MATCH(""Passive0a"",PalData_Header,0)))&amp;"":""&amp;ADDRESS(MATCH(B87,PalNames,0)+1,(MATCH(""Passive0a"",PalData_Header,0))+4)),LEN(INDIRECT"&amp;"(""PalData!""&amp;ADDRESS(MATCH(B87,PalNames,0)+1,(MATCH(""Passive0a"",PalData_Header,0)))&amp;"":""&amp;ADDRESS(MATCH(B87,PalNames,0)+1,(MATCH(""Passive0a"",PalData_Header,0))+4)))&gt;0),1,1)),SkillDataCodeName,0)+1,MATCH(""TargetType1"",SkillData_Header,0)))"),"")</f>
        <v/>
      </c>
      <c r="U87" s="48" t="e">
        <f aca="false" t="array" ref="U87:U87">IF(INDEX(PalData,MATCH($B87,PalNames,0)+1,MATCH("Passive0aCondition",PalData_Header,0))=IFERROR(INDEX(SkillData,MATCH(INDEX(PalData,MATCH($B87,PalNames,0)+1,MATCH("Passive0a",PalData_Header,0)),SkillDataCodeName,0)+1,MATCH("Conditions",SkillData_Header,0))),INDEX(PalData,MATCH($B87,PalNames,0)+1,MATCH("Passive0aCondition",PalData_Header,0)),INDEX(PalData,MATCH($B87,PalNames,0)+1,MATCH("Passive0aCondition",PalData_Header,0)) &amp; IF(ISBLANK(INDEX(PalData,MATCH($B87,PalNames,0)+1,MATCH("Passive0aCondition",PalData_Header,0))),," ")&amp;IFERROR(INDEX(SkillData,MATCH(INDEX(PalData,MATCH($B87,PalNames,0)+1,MATCH("Passive0a",PalData_Header,0)),SkillDataCodeName,0)+1,MATCH("Conditions",SkillData_Header,0))))</f>
        <v>#N/A</v>
      </c>
      <c r="V87" s="48" t="str">
        <f aca="false">IFERROR(__xludf.dummyfunction("IFERROR(INDEX(SkillData,MATCH(Arrayformula(ARRAY_CONSTRAIN(FILTER(INDIRECT(""PalData!""&amp;ADDRESS(MATCH(B87,PalNames,0)+1,(MATCH(""Passive0a"",PalData_Header,0)))&amp;"":""&amp;ADDRESS(MATCH(B87,PalNames,0)+1,(MATCH(""Passive0a"",PalData_Header,0))+4)),LEN(INDIRECT"&amp;"(""PalData!""&amp;ADDRESS(MATCH(B87,PalNames,0)+1,(MATCH(""Passive0a"",PalData_Header,0)))&amp;"":""&amp;ADDRESS(MATCH(B87,PalNames,0)+1,(MATCH(""Passive0a"",PalData_Header,0))+4)))&gt;0),1,1)),SkillDataCodeName,0)+1,MATCH(""ValueType1"",SkillData_Header,0)))"),"")</f>
        <v/>
      </c>
      <c r="W87" s="48" t="n">
        <f aca="false">IFERROR(INDEX(SkillData,MATCH(INDEX(PalData,MATCH($B87,PalNames,0)+1,MATCH("Passive0a",PalData_Header,0)),SkillDataCodeName,0)+1,MATCH("EffectValue1",SkillData_Header,0)),)</f>
        <v>0</v>
      </c>
      <c r="X87" s="48" t="n">
        <f aca="false">IFERROR(INDEX(SkillData,MATCH(INDEX(PalData,MATCH($B87,PalNames,0)+1,MATCH("Passive1a",PalData_Header,0)),SkillDataCodeName,0)+1,MATCH("EffectValue1",SkillData_Header,0)),)</f>
        <v>0</v>
      </c>
      <c r="Y87" s="48" t="n">
        <f aca="false">IFERROR(INDEX(SkillData,MATCH(INDEX(PalData,MATCH($B87,PalNames,0)+1,MATCH("Passive2a",PalData_Header,0)),SkillDataCodeName,0)+1,MATCH("EffectValue1",SkillData_Header,0)),)</f>
        <v>0</v>
      </c>
      <c r="Z87" s="48" t="n">
        <f aca="false">IFERROR(INDEX(SkillData,MATCH(INDEX(PalData,MATCH($B87,PalNames,0)+1,MATCH("Passive3a",PalData_Header,0)),SkillDataCodeName,0)+1,MATCH("EffectValue1",SkillData_Header,0)),)</f>
        <v>0</v>
      </c>
      <c r="AA87" s="263" t="n">
        <f aca="false">IFERROR(INDEX(SkillData,MATCH(INDEX(PalData,MATCH($B87,PalNames,0)+1,MATCH("Passive4a",PalData_Header,0)),SkillDataCodeName,0)+1,MATCH("EffectValue1",SkillData_Header,0)),)</f>
        <v>0</v>
      </c>
      <c r="AB87" s="48" t="str">
        <f aca="false">IFERROR(__xludf.dummyfunction("IFERROR(INDEX(SkillData,MATCH(Arrayformula(ARRAY_CONSTRAIN(FILTER(INDIRECT(""PalData!""&amp;ADDRESS(MATCH(B87,PalNames,0)+1,(MATCH(""Passive0b"",PalData_Header,0)))&amp;"":""&amp;ADDRESS(MATCH(B87,PalNames,0)+1,(MATCH(""Passive0b"",PalData_Header,0))+4)),LEN(INDIRECT"&amp;"(""PalData!""&amp;ADDRESS(MATCH(B87,PalNames,0)+1,(MATCH(""Passive0b"",PalData_Header,0)))&amp;"":""&amp;ADDRESS(MATCH(B87,PalNames,0)+1,(MATCH(""Passive0b"",PalData_Header,0))+4)))&gt;0),1,1)),SkillDataCodeName,0)+1,MATCH(""EffectTypeCombined"",SkillData_Header,0)))"),"")</f>
        <v/>
      </c>
      <c r="AC87" s="48" t="str">
        <f aca="false">IFERROR(__xludf.dummyfunction("IFERROR(INDEX(SkillData,MATCH(Arrayformula(ARRAY_CONSTRAIN(FILTER(INDIRECT(""PalData!""&amp;ADDRESS(MATCH(B87,PalNames,0)+1,(MATCH(""Passive0b"",PalData_Header,0)))&amp;"":""&amp;ADDRESS(MATCH(B87,PalNames,0)+1,(MATCH(""Passive0b"",PalData_Header,0))+4)),LEN(INDIRECT"&amp;"(""PalData!""&amp;ADDRESS(MATCH(B87,PalNames,0)+1,(MATCH(""Passive0b"",PalData_Header,0)))&amp;"":""&amp;ADDRESS(MATCH(B87,PalNames,0)+1,(MATCH(""Passive0b"",PalData_Header,0))+4)))&gt;0),1,1)),SkillDataCodeName,0)+1,MATCH(""TargetType1"",SkillData_Header,0)))"),"")</f>
        <v/>
      </c>
      <c r="AD87" s="48" t="e">
        <f aca="false" t="array" ref="AD87:AD87">IF(INDEX(PalData,MATCH($B87,PalNames,0)+1,MATCH("Passive0bCondition",PalData_Header,0))=IFERROR(INDEX(SkillData,MATCH(INDEX(PalData,MATCH($B87,PalNames,0)+1,MATCH("Passive0b",PalData_Header,0)),SkillDataCodeName,0)+1,MATCH("Conditions",SkillData_Header,0))),INDEX(PalData,MATCH($B87,PalNames,0)+1,MATCH("Passive0bCondition",PalData_Header,0)),INDEX(PalData,MATCH($B87,PalNames,0)+1,MATCH("Passive0bCondition",PalData_Header,0)) &amp; IF(ISBLANK(INDEX(PalData,MATCH($B87,PalNames,0)+1,MATCH("Passive0bCondition",PalData_Header,0))),," ")&amp;IFERROR(INDEX(SkillData,MATCH(INDEX(PalData,MATCH($B87,PalNames,0)+1,MATCH("Passive0b",PalData_Header,0)),SkillDataCodeName,0)+1,MATCH("Conditions",SkillData_Header,0))))</f>
        <v>#N/A</v>
      </c>
      <c r="AE87" s="48" t="str">
        <f aca="false">IFERROR(__xludf.dummyfunction("IFERROR(INDEX(SkillData,MATCH(Arrayformula(ARRAY_CONSTRAIN(FILTER(INDIRECT(""PalData!""&amp;ADDRESS(MATCH(B87,PalNames,0)+1,(MATCH(""Passive0b"",PalData_Header,0)))&amp;"":""&amp;ADDRESS(MATCH(B87,PalNames,0)+1,(MATCH(""Passive0b"",PalData_Header,0))+4)),LEN(INDIRECT"&amp;"(""PalData!""&amp;ADDRESS(MATCH(B87,PalNames,0)+1,(MATCH(""Passive0b"",PalData_Header,0)))&amp;"":""&amp;ADDRESS(MATCH(B87,PalNames,0)+1,(MATCH(""Passive0b"",PalData_Header,0))+4)))&gt;0),1,1)),SkillDataCodeName,0)+1,MATCH(""ValueType1"",SkillData_Header,0)))"),"")</f>
        <v/>
      </c>
      <c r="AF87" s="48" t="n">
        <f aca="false">IFERROR(INDEX(SkillData,MATCH(INDEX(PalData,MATCH($B87,PalNames,0)+1,MATCH("Passive0b",PalData_Header,0)),SkillDataCodeName,0)+1,MATCH("EffectValue1",SkillData_Header,0)),)</f>
        <v>0</v>
      </c>
      <c r="AG87" s="48" t="n">
        <f aca="false">IFERROR(INDEX(SkillData,MATCH(INDEX(PalData,MATCH($B87,PalNames,0)+1,MATCH("Passive1b",PalData_Header,0)),SkillDataCodeName,0)+1,MATCH("EffectValue1",SkillData_Header,0)),)</f>
        <v>0</v>
      </c>
      <c r="AH87" s="48" t="n">
        <f aca="false">IFERROR(INDEX(SkillData,MATCH(INDEX(PalData,MATCH($B87,PalNames,0)+1,MATCH("Passive2b",PalData_Header,0)),SkillDataCodeName,0)+1,MATCH("EffectValue1",SkillData_Header,0)),)</f>
        <v>0</v>
      </c>
      <c r="AI87" s="48" t="n">
        <f aca="false">IFERROR(INDEX(SkillData,MATCH(INDEX(PalData,MATCH($B87,PalNames,0)+1,MATCH("Passive3b",PalData_Header,0)),SkillDataCodeName,0)+1,MATCH("EffectValue1",SkillData_Header,0)),)</f>
        <v>0</v>
      </c>
      <c r="AJ87" s="263" t="n">
        <f aca="false">IFERROR(INDEX(SkillData,MATCH(INDEX(PalData,MATCH($B87,PalNames,0)+1,MATCH("Passive4b",PalData_Header,0)),SkillDataCodeName,0)+1,MATCH("EffectValue1",SkillData_Header,0)),)</f>
        <v>0</v>
      </c>
      <c r="AK87" s="305" t="s">
        <v>351</v>
      </c>
    </row>
    <row r="88" customFormat="false" ht="15.75" hidden="false" customHeight="false" outlineLevel="0" collapsed="false">
      <c r="A88" s="299" t="n">
        <v>71</v>
      </c>
      <c r="B88" s="300" t="s">
        <v>146</v>
      </c>
      <c r="C88" s="45" t="str">
        <f aca="false" t="array" ref="C88:C88">IF(ISBLANK(INDEX(PalData,MATCH($B88,PalNames,0)+1,MATCH("ActiveSkill",PalData_Header,0))),INDEX(PalData,MATCH($B88,PalNames,0)+1,MATCH("SkillUnlock_",PalData_Header,0)),INDEX(PalData,MATCH($B88,PalNames,0)+1,MATCH("ActiveSkill",PalData_Header,0)))</f>
        <v>Saddle</v>
      </c>
      <c r="D88" s="45"/>
      <c r="E88" s="45" t="n">
        <f aca="false">INDEX(PalData,MATCH($B88,PalNames,0)+1,MATCH("ActiveSkillBonus0",PalData_Header,0))</f>
        <v>0</v>
      </c>
      <c r="F88" s="45" t="n">
        <f aca="false">INDEX(PalData,MATCH($B88,PalNames,0)+1,MATCH("ActiveSkillBonus1",PalData_Header,0))</f>
        <v>0</v>
      </c>
      <c r="G88" s="45" t="n">
        <f aca="false">INDEX(PalData,MATCH($B88,PalNames,0)+1,MATCH("ActiveSkillBonus2",PalData_Header,0))</f>
        <v>0</v>
      </c>
      <c r="H88" s="45" t="n">
        <f aca="false">INDEX(PalData,MATCH($B88,PalNames,0)+1,MATCH("ActiveSkillBonus3",PalData_Header,0))</f>
        <v>0</v>
      </c>
      <c r="I88" s="260" t="n">
        <f aca="false">INDEX(PalData,MATCH($B88,PalNames,0)+1,MATCH("ActiveSkillBonus4",PalData_Header,0))</f>
        <v>0</v>
      </c>
      <c r="J88" s="45" t="str">
        <f aca="false">IFERROR(__xludf.dummyfunction("IFERROR(INDEX(SkillData,MATCH(Arrayformula(ARRAY_CONSTRAIN(FILTER(INDIRECT(""PalData!""&amp;ADDRESS(MATCH(B88,PalNames,0)+1,(MATCH(""Passive0c"",PalData_Header,0)))&amp;"":""&amp;ADDRESS(MATCH(B88,PalNames,0)+1,(MATCH(""Passive0c"",PalData_Header,0))+4)),LEN(INDIRECT"&amp;"(""PalData!""&amp;ADDRESS(MATCH(B88,PalNames,0)+1,(MATCH(""Passive0c"",PalData_Header,0)))&amp;"":""&amp;ADDRESS(MATCH(B88,PalNames,0)+1,(MATCH(""Passive0c"",PalData_Header,0))+4)))&gt;0),1,1)),SkillDataCodeName,0)+1,MATCH(""EffectTypeCombined"",SkillData_Header,0)))"),"BodyPartsWeakDamage")</f>
        <v>BodyPartsWeakDamage</v>
      </c>
      <c r="K88" s="45" t="str">
        <f aca="false">IFERROR(__xludf.dummyfunction("IFERROR(INDEX(SkillData,MATCH(Arrayformula(ARRAY_CONSTRAIN(FILTER(INDIRECT(""PalData!""&amp;ADDRESS(MATCH(B88,PalNames,0)+1,(MATCH(""Passive0c"",PalData_Header,0)))&amp;"":""&amp;ADDRESS(MATCH(B88,PalNames,0)+1,(MATCH(""Passive0c"",PalData_Header,0))+4)),LEN(INDIRECT"&amp;"(""PalData!""&amp;ADDRESS(MATCH(B88,PalNames,0)+1,(MATCH(""Passive0c"",PalData_Header,0)))&amp;"":""&amp;ADDRESS(MATCH(B88,PalNames,0)+1,(MATCH(""Passive0c"",PalData_Header,0))+4)))&gt;0),1,1)),SkillDataCodeName,0)+1,MATCH(""TargetType1"",SkillData_Header,0)))"),"Trainer")</f>
        <v>Trainer</v>
      </c>
      <c r="L88" s="45" t="e">
        <f aca="false" t="array" ref="L88:L88">IF(INDEX(PalData,MATCH($B88,PalNames,0)+1,MATCH("Passive0cCondition",PalData_Header,0))=IFERROR(INDEX(SkillData,MATCH(INDEX(PalData,MATCH($B88,PalNames,0)+1,MATCH("Passive0c",PalData_Header,0)),SkillDataCodeName,0)+1,MATCH("Conditions",SkillData_Header,0))),INDEX(PalData,MATCH($B88,PalNames,0)+1,MATCH("Passive0cCondition",PalData_Header,0)),INDEX(PalData,MATCH($B88,PalNames,0)+1,MATCH("Passive0cCondition",PalData_Header,0)) &amp; IF(ISBLANK(INDEX(PalData,MATCH($B88,PalNames,0)+1,MATCH("Passive0cCondition",PalData_Header,0))),," ")&amp;IFERROR(INDEX(SkillData,MATCH(INDEX(PalData,MATCH($B88,PalNames,0)+1,MATCH("Passive0c",PalData_Header,0)),SkillDataCodeName,0)+1,MATCH("Conditions",SkillData_Header,0))))</f>
        <v>#VALUE!</v>
      </c>
      <c r="M88" s="45" t="str">
        <f aca="false">IFERROR(__xludf.dummyfunction("IFERROR(INDEX(SkillData,MATCH(Arrayformula(ARRAY_CONSTRAIN(FILTER(INDIRECT(""PalData!""&amp;ADDRESS(MATCH(B88,PalNames,0)+1,(MATCH(""Passive0c"",PalData_Header,0)))&amp;"":""&amp;ADDRESS(MATCH(B88,PalNames,0)+1,(MATCH(""Passive0c"",PalData_Header,0))+4)),LEN(INDIRECT"&amp;"(""PalData!""&amp;ADDRESS(MATCH(B88,PalNames,0)+1,(MATCH(""Passive0c"",PalData_Header,0)))&amp;"":""&amp;ADDRESS(MATCH(B88,PalNames,0)+1,(MATCH(""Passive0c"",PalData_Header,0))+4)))&gt;0),1,1)),SkillDataCodeName,0)+1,MATCH(""ValueType1"",SkillData_Header,0)))"),"%")</f>
        <v>%</v>
      </c>
      <c r="N88" s="62" t="e">
        <f aca="false" t="array" ref="N88:N88">IFERROR(INDEX(SkillData,MATCH(INDEX(PalData,MATCH($B88,PalNames,0)+1,MATCH("Passive0c",PalData_Header,0)),SkillDataCodeName,0)+1,MATCH("EffectValue1",SkillData_Header,0)))</f>
        <v>#VALUE!</v>
      </c>
      <c r="O88" s="62" t="e">
        <f aca="false" t="array" ref="O88:O88">IFERROR(INDEX(SkillData,MATCH(INDEX(PalData,MATCH($B88,PalNames,0)+1,MATCH("Passive1c",PalData_Header,0)),SkillDataCodeName,0)+1,MATCH("EffectValue1",SkillData_Header,0)))</f>
        <v>#VALUE!</v>
      </c>
      <c r="P88" s="62" t="e">
        <f aca="false" t="array" ref="P88:P88">IFERROR(INDEX(SkillData,MATCH(INDEX(PalData,MATCH($B88,PalNames,0)+1,MATCH("Passive2c",PalData_Header,0)),SkillDataCodeName,0)+1,MATCH("EffectValue1",SkillData_Header,0)))</f>
        <v>#VALUE!</v>
      </c>
      <c r="Q88" s="62" t="e">
        <f aca="false" t="array" ref="Q88:Q88">IFERROR(INDEX(SkillData,MATCH(INDEX(PalData,MATCH($B88,PalNames,0)+1,MATCH("Passive3c",PalData_Header,0)),SkillDataCodeName,0)+1,MATCH("EffectValue1",SkillData_Header,0)))</f>
        <v>#VALUE!</v>
      </c>
      <c r="R88" s="306" t="e">
        <f aca="false" t="array" ref="R88:R88">IFERROR(INDEX(SkillData,MATCH(INDEX(PalData,MATCH($B88,PalNames,0)+1,MATCH("Passive4c",PalData_Header,0)),SkillDataCodeName,0)+1,MATCH("EffectValue1",SkillData_Header,0)))</f>
        <v>#VALUE!</v>
      </c>
      <c r="S88" s="45" t="str">
        <f aca="false">IFERROR(__xludf.dummyfunction("IFERROR(INDEX(SkillData,MATCH(Arrayformula(ARRAY_CONSTRAIN(FILTER(INDIRECT(""PalData!""&amp;ADDRESS(MATCH(B88,PalNames,0)+1,(MATCH(""Passive0a"",PalData_Header,0)))&amp;"":""&amp;ADDRESS(MATCH(B88,PalNames,0)+1,(MATCH(""Passive0a"",PalData_Header,0))+4)),LEN(INDIRECT"&amp;"(""PalData!""&amp;ADDRESS(MATCH(B88,PalNames,0)+1,(MATCH(""Passive0a"",PalData_Header,0)))&amp;"":""&amp;ADDRESS(MATCH(B88,PalNames,0)+1,(MATCH(""Passive0a"",PalData_Header,0))+4)))&gt;0),1,1)),SkillDataCodeName,0)+1,MATCH(""EffectTypeCombined"",SkillData_Header,0)))"),"")</f>
        <v/>
      </c>
      <c r="T88" s="45" t="str">
        <f aca="false">IFERROR(__xludf.dummyfunction("IFERROR(INDEX(SkillData,MATCH(Arrayformula(ARRAY_CONSTRAIN(FILTER(INDIRECT(""PalData!""&amp;ADDRESS(MATCH(B88,PalNames,0)+1,(MATCH(""Passive0a"",PalData_Header,0)))&amp;"":""&amp;ADDRESS(MATCH(B88,PalNames,0)+1,(MATCH(""Passive0a"",PalData_Header,0))+4)),LEN(INDIRECT"&amp;"(""PalData!""&amp;ADDRESS(MATCH(B88,PalNames,0)+1,(MATCH(""Passive0a"",PalData_Header,0)))&amp;"":""&amp;ADDRESS(MATCH(B88,PalNames,0)+1,(MATCH(""Passive0a"",PalData_Header,0))+4)))&gt;0),1,1)),SkillDataCodeName,0)+1,MATCH(""TargetType1"",SkillData_Header,0)))"),"")</f>
        <v/>
      </c>
      <c r="U88" s="45" t="e">
        <f aca="false" t="array" ref="U88:U88">IF(INDEX(PalData,MATCH($B88,PalNames,0)+1,MATCH("Passive0aCondition",PalData_Header,0))=IFERROR(INDEX(SkillData,MATCH(INDEX(PalData,MATCH($B88,PalNames,0)+1,MATCH("Passive0a",PalData_Header,0)),SkillDataCodeName,0)+1,MATCH("Conditions",SkillData_Header,0))),INDEX(PalData,MATCH($B88,PalNames,0)+1,MATCH("Passive0aCondition",PalData_Header,0)),INDEX(PalData,MATCH($B88,PalNames,0)+1,MATCH("Passive0aCondition",PalData_Header,0)) &amp; IF(ISBLANK(INDEX(PalData,MATCH($B88,PalNames,0)+1,MATCH("Passive0aCondition",PalData_Header,0))),," ")&amp;IFERROR(INDEX(SkillData,MATCH(INDEX(PalData,MATCH($B88,PalNames,0)+1,MATCH("Passive0a",PalData_Header,0)),SkillDataCodeName,0)+1,MATCH("Conditions",SkillData_Header,0))))</f>
        <v>#N/A</v>
      </c>
      <c r="V88" s="45" t="str">
        <f aca="false">IFERROR(__xludf.dummyfunction("IFERROR(INDEX(SkillData,MATCH(Arrayformula(ARRAY_CONSTRAIN(FILTER(INDIRECT(""PalData!""&amp;ADDRESS(MATCH(B88,PalNames,0)+1,(MATCH(""Passive0a"",PalData_Header,0)))&amp;"":""&amp;ADDRESS(MATCH(B88,PalNames,0)+1,(MATCH(""Passive0a"",PalData_Header,0))+4)),LEN(INDIRECT"&amp;"(""PalData!""&amp;ADDRESS(MATCH(B88,PalNames,0)+1,(MATCH(""Passive0a"",PalData_Header,0)))&amp;"":""&amp;ADDRESS(MATCH(B88,PalNames,0)+1,(MATCH(""Passive0a"",PalData_Header,0))+4)))&gt;0),1,1)),SkillDataCodeName,0)+1,MATCH(""ValueType1"",SkillData_Header,0)))"),"")</f>
        <v/>
      </c>
      <c r="W88" s="45" t="n">
        <f aca="false">IFERROR(INDEX(SkillData,MATCH(INDEX(PalData,MATCH($B88,PalNames,0)+1,MATCH("Passive0a",PalData_Header,0)),SkillDataCodeName,0)+1,MATCH("EffectValue1",SkillData_Header,0)),)</f>
        <v>0</v>
      </c>
      <c r="X88" s="45" t="n">
        <f aca="false">IFERROR(INDEX(SkillData,MATCH(INDEX(PalData,MATCH($B88,PalNames,0)+1,MATCH("Passive1a",PalData_Header,0)),SkillDataCodeName,0)+1,MATCH("EffectValue1",SkillData_Header,0)),)</f>
        <v>0</v>
      </c>
      <c r="Y88" s="45" t="n">
        <f aca="false">IFERROR(INDEX(SkillData,MATCH(INDEX(PalData,MATCH($B88,PalNames,0)+1,MATCH("Passive2a",PalData_Header,0)),SkillDataCodeName,0)+1,MATCH("EffectValue1",SkillData_Header,0)),)</f>
        <v>0</v>
      </c>
      <c r="Z88" s="45" t="n">
        <f aca="false">IFERROR(INDEX(SkillData,MATCH(INDEX(PalData,MATCH($B88,PalNames,0)+1,MATCH("Passive3a",PalData_Header,0)),SkillDataCodeName,0)+1,MATCH("EffectValue1",SkillData_Header,0)),)</f>
        <v>0</v>
      </c>
      <c r="AA88" s="260" t="n">
        <f aca="false">IFERROR(INDEX(SkillData,MATCH(INDEX(PalData,MATCH($B88,PalNames,0)+1,MATCH("Passive4a",PalData_Header,0)),SkillDataCodeName,0)+1,MATCH("EffectValue1",SkillData_Header,0)),)</f>
        <v>0</v>
      </c>
      <c r="AB88" s="45" t="str">
        <f aca="false">IFERROR(__xludf.dummyfunction("IFERROR(INDEX(SkillData,MATCH(Arrayformula(ARRAY_CONSTRAIN(FILTER(INDIRECT(""PalData!""&amp;ADDRESS(MATCH(B88,PalNames,0)+1,(MATCH(""Passive0b"",PalData_Header,0)))&amp;"":""&amp;ADDRESS(MATCH(B88,PalNames,0)+1,(MATCH(""Passive0b"",PalData_Header,0))+4)),LEN(INDIRECT"&amp;"(""PalData!""&amp;ADDRESS(MATCH(B88,PalNames,0)+1,(MATCH(""Passive0b"",PalData_Header,0)))&amp;"":""&amp;ADDRESS(MATCH(B88,PalNames,0)+1,(MATCH(""Passive0b"",PalData_Header,0))+4)))&gt;0),1,1)),SkillDataCodeName,0)+1,MATCH(""EffectTypeCombined"",SkillData_Header,0)))"),"")</f>
        <v/>
      </c>
      <c r="AC88" s="45" t="str">
        <f aca="false">IFERROR(__xludf.dummyfunction("IFERROR(INDEX(SkillData,MATCH(Arrayformula(ARRAY_CONSTRAIN(FILTER(INDIRECT(""PalData!""&amp;ADDRESS(MATCH(B88,PalNames,0)+1,(MATCH(""Passive0b"",PalData_Header,0)))&amp;"":""&amp;ADDRESS(MATCH(B88,PalNames,0)+1,(MATCH(""Passive0b"",PalData_Header,0))+4)),LEN(INDIRECT"&amp;"(""PalData!""&amp;ADDRESS(MATCH(B88,PalNames,0)+1,(MATCH(""Passive0b"",PalData_Header,0)))&amp;"":""&amp;ADDRESS(MATCH(B88,PalNames,0)+1,(MATCH(""Passive0b"",PalData_Header,0))+4)))&gt;0),1,1)),SkillDataCodeName,0)+1,MATCH(""TargetType1"",SkillData_Header,0)))"),"")</f>
        <v/>
      </c>
      <c r="AD88" s="45" t="e">
        <f aca="false" t="array" ref="AD88:AD88">IF(INDEX(PalData,MATCH($B88,PalNames,0)+1,MATCH("Passive0bCondition",PalData_Header,0))=IFERROR(INDEX(SkillData,MATCH(INDEX(PalData,MATCH($B88,PalNames,0)+1,MATCH("Passive0b",PalData_Header,0)),SkillDataCodeName,0)+1,MATCH("Conditions",SkillData_Header,0))),INDEX(PalData,MATCH($B88,PalNames,0)+1,MATCH("Passive0bCondition",PalData_Header,0)),INDEX(PalData,MATCH($B88,PalNames,0)+1,MATCH("Passive0bCondition",PalData_Header,0)) &amp; IF(ISBLANK(INDEX(PalData,MATCH($B88,PalNames,0)+1,MATCH("Passive0bCondition",PalData_Header,0))),," ")&amp;IFERROR(INDEX(SkillData,MATCH(INDEX(PalData,MATCH($B88,PalNames,0)+1,MATCH("Passive0b",PalData_Header,0)),SkillDataCodeName,0)+1,MATCH("Conditions",SkillData_Header,0))))</f>
        <v>#N/A</v>
      </c>
      <c r="AE88" s="45" t="str">
        <f aca="false">IFERROR(__xludf.dummyfunction("IFERROR(INDEX(SkillData,MATCH(Arrayformula(ARRAY_CONSTRAIN(FILTER(INDIRECT(""PalData!""&amp;ADDRESS(MATCH(B88,PalNames,0)+1,(MATCH(""Passive0b"",PalData_Header,0)))&amp;"":""&amp;ADDRESS(MATCH(B88,PalNames,0)+1,(MATCH(""Passive0b"",PalData_Header,0))+4)),LEN(INDIRECT"&amp;"(""PalData!""&amp;ADDRESS(MATCH(B88,PalNames,0)+1,(MATCH(""Passive0b"",PalData_Header,0)))&amp;"":""&amp;ADDRESS(MATCH(B88,PalNames,0)+1,(MATCH(""Passive0b"",PalData_Header,0))+4)))&gt;0),1,1)),SkillDataCodeName,0)+1,MATCH(""ValueType1"",SkillData_Header,0)))"),"")</f>
        <v/>
      </c>
      <c r="AF88" s="45" t="n">
        <f aca="false">IFERROR(INDEX(SkillData,MATCH(INDEX(PalData,MATCH($B88,PalNames,0)+1,MATCH("Passive0b",PalData_Header,0)),SkillDataCodeName,0)+1,MATCH("EffectValue1",SkillData_Header,0)),)</f>
        <v>0</v>
      </c>
      <c r="AG88" s="45" t="n">
        <f aca="false">IFERROR(INDEX(SkillData,MATCH(INDEX(PalData,MATCH($B88,PalNames,0)+1,MATCH("Passive1b",PalData_Header,0)),SkillDataCodeName,0)+1,MATCH("EffectValue1",SkillData_Header,0)),)</f>
        <v>0</v>
      </c>
      <c r="AH88" s="45" t="n">
        <f aca="false">IFERROR(INDEX(SkillData,MATCH(INDEX(PalData,MATCH($B88,PalNames,0)+1,MATCH("Passive2b",PalData_Header,0)),SkillDataCodeName,0)+1,MATCH("EffectValue1",SkillData_Header,0)),)</f>
        <v>0</v>
      </c>
      <c r="AI88" s="45" t="n">
        <f aca="false">IFERROR(INDEX(SkillData,MATCH(INDEX(PalData,MATCH($B88,PalNames,0)+1,MATCH("Passive3b",PalData_Header,0)),SkillDataCodeName,0)+1,MATCH("EffectValue1",SkillData_Header,0)),)</f>
        <v>0</v>
      </c>
      <c r="AJ88" s="260" t="n">
        <f aca="false">IFERROR(INDEX(SkillData,MATCH(INDEX(PalData,MATCH($B88,PalNames,0)+1,MATCH("Passive4b",PalData_Header,0)),SkillDataCodeName,0)+1,MATCH("EffectValue1",SkillData_Header,0)),)</f>
        <v>0</v>
      </c>
      <c r="AK88" s="301" t="s">
        <v>352</v>
      </c>
    </row>
    <row r="89" customFormat="false" ht="15.75" hidden="false" customHeight="false" outlineLevel="0" collapsed="false">
      <c r="A89" s="302" t="n">
        <v>72</v>
      </c>
      <c r="B89" s="303" t="s">
        <v>26</v>
      </c>
      <c r="C89" s="48" t="str">
        <f aca="false" t="array" ref="C89:C89">IF(ISBLANK(INDEX(PalData,MATCH($B89,PalNames,0)+1,MATCH("ActiveSkill",PalData_Header,0))),INDEX(PalData,MATCH($B89,PalNames,0)+1,MATCH("SkillUnlock_",PalData_Header,0)),INDEX(PalData,MATCH($B89,PalNames,0)+1,MATCH("ActiveSkill",PalData_Header,0)))</f>
        <v>Unique_Ronin_Iai</v>
      </c>
      <c r="D89" s="48" t="s">
        <v>269</v>
      </c>
      <c r="E89" s="61" t="n">
        <f aca="false" t="array" ref="E89:E89">INDEX(PalData,MATCH($B89,PalNames,0)+1,MATCH("ActiveSkillBonus0",PalData_Header,0))</f>
        <v>1.1</v>
      </c>
      <c r="F89" s="61" t="n">
        <f aca="false" t="array" ref="F89:F89">INDEX(PalData,MATCH($B89,PalNames,0)+1,MATCH("ActiveSkillBonus1",PalData_Header,0))</f>
        <v>1.3</v>
      </c>
      <c r="G89" s="61" t="n">
        <f aca="false" t="array" ref="G89:G89">INDEX(PalData,MATCH($B89,PalNames,0)+1,MATCH("ActiveSkillBonus2",PalData_Header,0))</f>
        <v>1.6</v>
      </c>
      <c r="H89" s="61" t="n">
        <f aca="false" t="array" ref="H89:H89">INDEX(PalData,MATCH($B89,PalNames,0)+1,MATCH("ActiveSkillBonus3",PalData_Header,0))</f>
        <v>2</v>
      </c>
      <c r="I89" s="304" t="n">
        <f aca="false" t="array" ref="I89:I89">INDEX(PalData,MATCH($B89,PalNames,0)+1,MATCH("ActiveSkillBonus4",PalData_Header,0))</f>
        <v>2.5</v>
      </c>
      <c r="J89" s="48" t="str">
        <f aca="false">IFERROR(__xludf.dummyfunction("IFERROR(INDEX(SkillData,MATCH(Arrayformula(ARRAY_CONSTRAIN(FILTER(INDIRECT(""PalData!""&amp;ADDRESS(MATCH(B89,PalNames,0)+1,(MATCH(""Passive0c"",PalData_Header,0)))&amp;"":""&amp;ADDRESS(MATCH(B89,PalNames,0)+1,(MATCH(""Passive0c"",PalData_Header,0))+4)),LEN(INDIRECT"&amp;"(""PalData!""&amp;ADDRESS(MATCH(B89,PalNames,0)+1,(MATCH(""Passive0c"",PalData_Header,0)))&amp;"":""&amp;ADDRESS(MATCH(B89,PalNames,0)+1,(MATCH(""Passive0c"",PalData_Header,0))+4)))&gt;0),1,1)),SkillDataCodeName,0)+1,MATCH(""EffectTypeCombined"",SkillData_Header,0)))"),"")</f>
        <v/>
      </c>
      <c r="K89" s="48" t="str">
        <f aca="false">IFERROR(__xludf.dummyfunction("IFERROR(INDEX(SkillData,MATCH(Arrayformula(ARRAY_CONSTRAIN(FILTER(INDIRECT(""PalData!""&amp;ADDRESS(MATCH(B89,PalNames,0)+1,(MATCH(""Passive0c"",PalData_Header,0)))&amp;"":""&amp;ADDRESS(MATCH(B89,PalNames,0)+1,(MATCH(""Passive0c"",PalData_Header,0))+4)),LEN(INDIRECT"&amp;"(""PalData!""&amp;ADDRESS(MATCH(B89,PalNames,0)+1,(MATCH(""Passive0c"",PalData_Header,0)))&amp;"":""&amp;ADDRESS(MATCH(B89,PalNames,0)+1,(MATCH(""Passive0c"",PalData_Header,0))+4)))&gt;0),1,1)),SkillDataCodeName,0)+1,MATCH(""TargetType1"",SkillData_Header,0)))"),"")</f>
        <v/>
      </c>
      <c r="L89" s="48" t="e">
        <f aca="false" t="array" ref="L89:L89">IF(INDEX(PalData,MATCH($B89,PalNames,0)+1,MATCH("Passive0cCondition",PalData_Header,0))=IFERROR(INDEX(SkillData,MATCH(INDEX(PalData,MATCH($B89,PalNames,0)+1,MATCH("Passive0c",PalData_Header,0)),SkillDataCodeName,0)+1,MATCH("Conditions",SkillData_Header,0))),INDEX(PalData,MATCH($B89,PalNames,0)+1,MATCH("Passive0cCondition",PalData_Header,0)),INDEX(PalData,MATCH($B89,PalNames,0)+1,MATCH("Passive0cCondition",PalData_Header,0)) &amp; IF(ISBLANK(INDEX(PalData,MATCH($B89,PalNames,0)+1,MATCH("Passive0cCondition",PalData_Header,0))),," ")&amp;IFERROR(INDEX(SkillData,MATCH(INDEX(PalData,MATCH($B89,PalNames,0)+1,MATCH("Passive0c",PalData_Header,0)),SkillDataCodeName,0)+1,MATCH("Conditions",SkillData_Header,0))))</f>
        <v>#N/A</v>
      </c>
      <c r="M89" s="48" t="str">
        <f aca="false">IFERROR(__xludf.dummyfunction("IFERROR(INDEX(SkillData,MATCH(Arrayformula(ARRAY_CONSTRAIN(FILTER(INDIRECT(""PalData!""&amp;ADDRESS(MATCH(B89,PalNames,0)+1,(MATCH(""Passive0c"",PalData_Header,0)))&amp;"":""&amp;ADDRESS(MATCH(B89,PalNames,0)+1,(MATCH(""Passive0c"",PalData_Header,0))+4)),LEN(INDIRECT"&amp;"(""PalData!""&amp;ADDRESS(MATCH(B89,PalNames,0)+1,(MATCH(""Passive0c"",PalData_Header,0)))&amp;"":""&amp;ADDRESS(MATCH(B89,PalNames,0)+1,(MATCH(""Passive0c"",PalData_Header,0))+4)))&gt;0),1,1)),SkillDataCodeName,0)+1,MATCH(""ValueType1"",SkillData_Header,0)))"),"")</f>
        <v/>
      </c>
      <c r="N89" s="48" t="e">
        <f aca="false" t="array" ref="N89:N89">IFERROR(INDEX(SkillData,MATCH(INDEX(PalData,MATCH($B89,PalNames,0)+1,MATCH("Passive0c",PalData_Header,0)),SkillDataCodeName,0)+1,MATCH("EffectValue1",SkillData_Header,0)))</f>
        <v>#VALUE!</v>
      </c>
      <c r="O89" s="48" t="e">
        <f aca="false" t="array" ref="O89:O89">IFERROR(INDEX(SkillData,MATCH(INDEX(PalData,MATCH($B89,PalNames,0)+1,MATCH("Passive1c",PalData_Header,0)),SkillDataCodeName,0)+1,MATCH("EffectValue1",SkillData_Header,0)))</f>
        <v>#VALUE!</v>
      </c>
      <c r="P89" s="48" t="e">
        <f aca="false" t="array" ref="P89:P89">IFERROR(INDEX(SkillData,MATCH(INDEX(PalData,MATCH($B89,PalNames,0)+1,MATCH("Passive2c",PalData_Header,0)),SkillDataCodeName,0)+1,MATCH("EffectValue1",SkillData_Header,0)))</f>
        <v>#VALUE!</v>
      </c>
      <c r="Q89" s="48" t="e">
        <f aca="false" t="array" ref="Q89:Q89">IFERROR(INDEX(SkillData,MATCH(INDEX(PalData,MATCH($B89,PalNames,0)+1,MATCH("Passive3c",PalData_Header,0)),SkillDataCodeName,0)+1,MATCH("EffectValue1",SkillData_Header,0)))</f>
        <v>#VALUE!</v>
      </c>
      <c r="R89" s="263" t="e">
        <f aca="false" t="array" ref="R89:R89">IFERROR(INDEX(SkillData,MATCH(INDEX(PalData,MATCH($B89,PalNames,0)+1,MATCH("Passive4c",PalData_Header,0)),SkillDataCodeName,0)+1,MATCH("EffectValue1",SkillData_Header,0)))</f>
        <v>#VALUE!</v>
      </c>
      <c r="S89" s="48" t="str">
        <f aca="false">IFERROR(__xludf.dummyfunction("IFERROR(INDEX(SkillData,MATCH(Arrayformula(ARRAY_CONSTRAIN(FILTER(INDIRECT(""PalData!""&amp;ADDRESS(MATCH(B89,PalNames,0)+1,(MATCH(""Passive0a"",PalData_Header,0)))&amp;"":""&amp;ADDRESS(MATCH(B89,PalNames,0)+1,(MATCH(""Passive0a"",PalData_Header,0))+4)),LEN(INDIRECT"&amp;"(""PalData!""&amp;ADDRESS(MATCH(B89,PalNames,0)+1,(MATCH(""Passive0a"",PalData_Header,0)))&amp;"":""&amp;ADDRESS(MATCH(B89,PalNames,0)+1,(MATCH(""Passive0a"",PalData_Header,0))+4)))&gt;0),1,1)),SkillDataCodeName,0)+1,MATCH(""EffectTypeCombined"",SkillData_Header,0)))"),"")</f>
        <v/>
      </c>
      <c r="T89" s="48" t="str">
        <f aca="false">IFERROR(__xludf.dummyfunction("IFERROR(INDEX(SkillData,MATCH(Arrayformula(ARRAY_CONSTRAIN(FILTER(INDIRECT(""PalData!""&amp;ADDRESS(MATCH(B89,PalNames,0)+1,(MATCH(""Passive0a"",PalData_Header,0)))&amp;"":""&amp;ADDRESS(MATCH(B89,PalNames,0)+1,(MATCH(""Passive0a"",PalData_Header,0))+4)),LEN(INDIRECT"&amp;"(""PalData!""&amp;ADDRESS(MATCH(B89,PalNames,0)+1,(MATCH(""Passive0a"",PalData_Header,0)))&amp;"":""&amp;ADDRESS(MATCH(B89,PalNames,0)+1,(MATCH(""Passive0a"",PalData_Header,0))+4)))&gt;0),1,1)),SkillDataCodeName,0)+1,MATCH(""TargetType1"",SkillData_Header,0)))"),"")</f>
        <v/>
      </c>
      <c r="U89" s="48" t="e">
        <f aca="false" t="array" ref="U89:U89">IF(INDEX(PalData,MATCH($B89,PalNames,0)+1,MATCH("Passive0aCondition",PalData_Header,0))=IFERROR(INDEX(SkillData,MATCH(INDEX(PalData,MATCH($B89,PalNames,0)+1,MATCH("Passive0a",PalData_Header,0)),SkillDataCodeName,0)+1,MATCH("Conditions",SkillData_Header,0))),INDEX(PalData,MATCH($B89,PalNames,0)+1,MATCH("Passive0aCondition",PalData_Header,0)),INDEX(PalData,MATCH($B89,PalNames,0)+1,MATCH("Passive0aCondition",PalData_Header,0)) &amp; IF(ISBLANK(INDEX(PalData,MATCH($B89,PalNames,0)+1,MATCH("Passive0aCondition",PalData_Header,0))),," ")&amp;IFERROR(INDEX(SkillData,MATCH(INDEX(PalData,MATCH($B89,PalNames,0)+1,MATCH("Passive0a",PalData_Header,0)),SkillDataCodeName,0)+1,MATCH("Conditions",SkillData_Header,0))))</f>
        <v>#N/A</v>
      </c>
      <c r="V89" s="48" t="str">
        <f aca="false">IFERROR(__xludf.dummyfunction("IFERROR(INDEX(SkillData,MATCH(Arrayformula(ARRAY_CONSTRAIN(FILTER(INDIRECT(""PalData!""&amp;ADDRESS(MATCH(B89,PalNames,0)+1,(MATCH(""Passive0a"",PalData_Header,0)))&amp;"":""&amp;ADDRESS(MATCH(B89,PalNames,0)+1,(MATCH(""Passive0a"",PalData_Header,0))+4)),LEN(INDIRECT"&amp;"(""PalData!""&amp;ADDRESS(MATCH(B89,PalNames,0)+1,(MATCH(""Passive0a"",PalData_Header,0)))&amp;"":""&amp;ADDRESS(MATCH(B89,PalNames,0)+1,(MATCH(""Passive0a"",PalData_Header,0))+4)))&gt;0),1,1)),SkillDataCodeName,0)+1,MATCH(""ValueType1"",SkillData_Header,0)))"),"")</f>
        <v/>
      </c>
      <c r="W89" s="48" t="n">
        <f aca="false">IFERROR(INDEX(SkillData,MATCH(INDEX(PalData,MATCH($B89,PalNames,0)+1,MATCH("Passive0a",PalData_Header,0)),SkillDataCodeName,0)+1,MATCH("EffectValue1",SkillData_Header,0)),)</f>
        <v>0</v>
      </c>
      <c r="X89" s="48" t="n">
        <f aca="false">IFERROR(INDEX(SkillData,MATCH(INDEX(PalData,MATCH($B89,PalNames,0)+1,MATCH("Passive1a",PalData_Header,0)),SkillDataCodeName,0)+1,MATCH("EffectValue1",SkillData_Header,0)),)</f>
        <v>0</v>
      </c>
      <c r="Y89" s="48" t="n">
        <f aca="false">IFERROR(INDEX(SkillData,MATCH(INDEX(PalData,MATCH($B89,PalNames,0)+1,MATCH("Passive2a",PalData_Header,0)),SkillDataCodeName,0)+1,MATCH("EffectValue1",SkillData_Header,0)),)</f>
        <v>0</v>
      </c>
      <c r="Z89" s="48" t="n">
        <f aca="false">IFERROR(INDEX(SkillData,MATCH(INDEX(PalData,MATCH($B89,PalNames,0)+1,MATCH("Passive3a",PalData_Header,0)),SkillDataCodeName,0)+1,MATCH("EffectValue1",SkillData_Header,0)),)</f>
        <v>0</v>
      </c>
      <c r="AA89" s="263" t="n">
        <f aca="false">IFERROR(INDEX(SkillData,MATCH(INDEX(PalData,MATCH($B89,PalNames,0)+1,MATCH("Passive4a",PalData_Header,0)),SkillDataCodeName,0)+1,MATCH("EffectValue1",SkillData_Header,0)),)</f>
        <v>0</v>
      </c>
      <c r="AB89" s="48" t="str">
        <f aca="false">IFERROR(__xludf.dummyfunction("IFERROR(INDEX(SkillData,MATCH(Arrayformula(ARRAY_CONSTRAIN(FILTER(INDIRECT(""PalData!""&amp;ADDRESS(MATCH(B89,PalNames,0)+1,(MATCH(""Passive0b"",PalData_Header,0)))&amp;"":""&amp;ADDRESS(MATCH(B89,PalNames,0)+1,(MATCH(""Passive0b"",PalData_Header,0))+4)),LEN(INDIRECT"&amp;"(""PalData!""&amp;ADDRESS(MATCH(B89,PalNames,0)+1,(MATCH(""Passive0b"",PalData_Header,0)))&amp;"":""&amp;ADDRESS(MATCH(B89,PalNames,0)+1,(MATCH(""Passive0b"",PalData_Header,0))+4)))&gt;0),1,1)),SkillDataCodeName,0)+1,MATCH(""EffectTypeCombined"",SkillData_Header,0)))"),"")</f>
        <v/>
      </c>
      <c r="AC89" s="48" t="str">
        <f aca="false">IFERROR(__xludf.dummyfunction("IFERROR(INDEX(SkillData,MATCH(Arrayformula(ARRAY_CONSTRAIN(FILTER(INDIRECT(""PalData!""&amp;ADDRESS(MATCH(B89,PalNames,0)+1,(MATCH(""Passive0b"",PalData_Header,0)))&amp;"":""&amp;ADDRESS(MATCH(B89,PalNames,0)+1,(MATCH(""Passive0b"",PalData_Header,0))+4)),LEN(INDIRECT"&amp;"(""PalData!""&amp;ADDRESS(MATCH(B89,PalNames,0)+1,(MATCH(""Passive0b"",PalData_Header,0)))&amp;"":""&amp;ADDRESS(MATCH(B89,PalNames,0)+1,(MATCH(""Passive0b"",PalData_Header,0))+4)))&gt;0),1,1)),SkillDataCodeName,0)+1,MATCH(""TargetType1"",SkillData_Header,0)))"),"")</f>
        <v/>
      </c>
      <c r="AD89" s="48" t="e">
        <f aca="false" t="array" ref="AD89:AD89">IF(INDEX(PalData,MATCH($B89,PalNames,0)+1,MATCH("Passive0bCondition",PalData_Header,0))=IFERROR(INDEX(SkillData,MATCH(INDEX(PalData,MATCH($B89,PalNames,0)+1,MATCH("Passive0b",PalData_Header,0)),SkillDataCodeName,0)+1,MATCH("Conditions",SkillData_Header,0))),INDEX(PalData,MATCH($B89,PalNames,0)+1,MATCH("Passive0bCondition",PalData_Header,0)),INDEX(PalData,MATCH($B89,PalNames,0)+1,MATCH("Passive0bCondition",PalData_Header,0)) &amp; IF(ISBLANK(INDEX(PalData,MATCH($B89,PalNames,0)+1,MATCH("Passive0bCondition",PalData_Header,0))),," ")&amp;IFERROR(INDEX(SkillData,MATCH(INDEX(PalData,MATCH($B89,PalNames,0)+1,MATCH("Passive0b",PalData_Header,0)),SkillDataCodeName,0)+1,MATCH("Conditions",SkillData_Header,0))))</f>
        <v>#N/A</v>
      </c>
      <c r="AE89" s="48" t="str">
        <f aca="false">IFERROR(__xludf.dummyfunction("IFERROR(INDEX(SkillData,MATCH(Arrayformula(ARRAY_CONSTRAIN(FILTER(INDIRECT(""PalData!""&amp;ADDRESS(MATCH(B89,PalNames,0)+1,(MATCH(""Passive0b"",PalData_Header,0)))&amp;"":""&amp;ADDRESS(MATCH(B89,PalNames,0)+1,(MATCH(""Passive0b"",PalData_Header,0))+4)),LEN(INDIRECT"&amp;"(""PalData!""&amp;ADDRESS(MATCH(B89,PalNames,0)+1,(MATCH(""Passive0b"",PalData_Header,0)))&amp;"":""&amp;ADDRESS(MATCH(B89,PalNames,0)+1,(MATCH(""Passive0b"",PalData_Header,0))+4)))&gt;0),1,1)),SkillDataCodeName,0)+1,MATCH(""ValueType1"",SkillData_Header,0)))"),"")</f>
        <v/>
      </c>
      <c r="AF89" s="48" t="n">
        <f aca="false">IFERROR(INDEX(SkillData,MATCH(INDEX(PalData,MATCH($B89,PalNames,0)+1,MATCH("Passive0b",PalData_Header,0)),SkillDataCodeName,0)+1,MATCH("EffectValue1",SkillData_Header,0)),)</f>
        <v>0</v>
      </c>
      <c r="AG89" s="48" t="n">
        <f aca="false">IFERROR(INDEX(SkillData,MATCH(INDEX(PalData,MATCH($B89,PalNames,0)+1,MATCH("Passive1b",PalData_Header,0)),SkillDataCodeName,0)+1,MATCH("EffectValue1",SkillData_Header,0)),)</f>
        <v>0</v>
      </c>
      <c r="AH89" s="48" t="n">
        <f aca="false">IFERROR(INDEX(SkillData,MATCH(INDEX(PalData,MATCH($B89,PalNames,0)+1,MATCH("Passive2b",PalData_Header,0)),SkillDataCodeName,0)+1,MATCH("EffectValue1",SkillData_Header,0)),)</f>
        <v>0</v>
      </c>
      <c r="AI89" s="48" t="n">
        <f aca="false">IFERROR(INDEX(SkillData,MATCH(INDEX(PalData,MATCH($B89,PalNames,0)+1,MATCH("Passive3b",PalData_Header,0)),SkillDataCodeName,0)+1,MATCH("EffectValue1",SkillData_Header,0)),)</f>
        <v>0</v>
      </c>
      <c r="AJ89" s="263" t="n">
        <f aca="false">IFERROR(INDEX(SkillData,MATCH(INDEX(PalData,MATCH($B89,PalNames,0)+1,MATCH("Passive4b",PalData_Header,0)),SkillDataCodeName,0)+1,MATCH("EffectValue1",SkillData_Header,0)),)</f>
        <v>0</v>
      </c>
      <c r="AK89" s="305" t="s">
        <v>353</v>
      </c>
    </row>
    <row r="90" customFormat="false" ht="15.75" hidden="false" customHeight="false" outlineLevel="0" collapsed="false">
      <c r="A90" s="299" t="n">
        <v>73</v>
      </c>
      <c r="B90" s="300" t="s">
        <v>20</v>
      </c>
      <c r="C90" s="45" t="str">
        <f aca="false" t="array" ref="C90:C90">IF(ISBLANK(INDEX(PalData,MATCH($B90,PalNames,0)+1,MATCH("ActiveSkill",PalData_Header,0))),INDEX(PalData,MATCH($B90,PalNames,0)+1,MATCH("SkillUnlock_",PalData_Header,0)),INDEX(PalData,MATCH($B90,PalNames,0)+1,MATCH("ActiveSkill",PalData_Header,0)))</f>
        <v>Saddle</v>
      </c>
      <c r="D90" s="45"/>
      <c r="E90" s="45" t="n">
        <f aca="false">INDEX(PalData,MATCH($B90,PalNames,0)+1,MATCH("ActiveSkillBonus0",PalData_Header,0))</f>
        <v>0</v>
      </c>
      <c r="F90" s="45" t="n">
        <f aca="false">INDEX(PalData,MATCH($B90,PalNames,0)+1,MATCH("ActiveSkillBonus1",PalData_Header,0))</f>
        <v>0</v>
      </c>
      <c r="G90" s="45" t="n">
        <f aca="false">INDEX(PalData,MATCH($B90,PalNames,0)+1,MATCH("ActiveSkillBonus2",PalData_Header,0))</f>
        <v>0</v>
      </c>
      <c r="H90" s="45" t="n">
        <f aca="false">INDEX(PalData,MATCH($B90,PalNames,0)+1,MATCH("ActiveSkillBonus3",PalData_Header,0))</f>
        <v>0</v>
      </c>
      <c r="I90" s="260" t="n">
        <f aca="false">INDEX(PalData,MATCH($B90,PalNames,0)+1,MATCH("ActiveSkillBonus4",PalData_Header,0))</f>
        <v>0</v>
      </c>
      <c r="J90" s="45" t="str">
        <f aca="false">IFERROR(__xludf.dummyfunction("IFERROR(INDEX(SkillData,MATCH(Arrayformula(ARRAY_CONSTRAIN(FILTER(INDIRECT(""PalData!""&amp;ADDRESS(MATCH(B90,PalNames,0)+1,(MATCH(""Passive0c"",PalData_Header,0)))&amp;"":""&amp;ADDRESS(MATCH(B90,PalNames,0)+1,(MATCH(""Passive0c"",PalData_Header,0))+4)),LEN(INDIRECT"&amp;"(""PalData!""&amp;ADDRESS(MATCH(B90,PalNames,0)+1,(MATCH(""Passive0c"",PalData_Header,0)))&amp;"":""&amp;ADDRESS(MATCH(B90,PalNames,0)+1,(MATCH(""Passive0c"",PalData_Header,0))+4)))&gt;0),1,1)),SkillDataCodeName,0)+1,MATCH(""EffectTypeCombined"",SkillData_Header,0)))"),"ShotAttack")</f>
        <v>ShotAttack</v>
      </c>
      <c r="K90" s="45" t="str">
        <f aca="false">IFERROR(__xludf.dummyfunction("IFERROR(INDEX(SkillData,MATCH(Arrayformula(ARRAY_CONSTRAIN(FILTER(INDIRECT(""PalData!""&amp;ADDRESS(MATCH(B90,PalNames,0)+1,(MATCH(""Passive0c"",PalData_Header,0)))&amp;"":""&amp;ADDRESS(MATCH(B90,PalNames,0)+1,(MATCH(""Passive0c"",PalData_Header,0))+4)),LEN(INDIRECT"&amp;"(""PalData!""&amp;ADDRESS(MATCH(B90,PalNames,0)+1,(MATCH(""Passive0c"",PalData_Header,0)))&amp;"":""&amp;ADDRESS(MATCH(B90,PalNames,0)+1,(MATCH(""Passive0c"",PalData_Header,0))+4)))&gt;0),1,1)),SkillDataCodeName,0)+1,MATCH(""TargetType1"",SkillData_Header,0)))"),"Trainer")</f>
        <v>Trainer</v>
      </c>
      <c r="L90" s="45" t="e">
        <f aca="false" t="array" ref="L90:L90">IF(INDEX(PalData,MATCH($B90,PalNames,0)+1,MATCH("Passive0cCondition",PalData_Header,0))=IFERROR(INDEX(SkillData,MATCH(INDEX(PalData,MATCH($B90,PalNames,0)+1,MATCH("Passive0c",PalData_Header,0)),SkillDataCodeName,0)+1,MATCH("Conditions",SkillData_Header,0))),INDEX(PalData,MATCH($B90,PalNames,0)+1,MATCH("Passive0cCondition",PalData_Header,0)),INDEX(PalData,MATCH($B90,PalNames,0)+1,MATCH("Passive0cCondition",PalData_Header,0)) &amp; IF(ISBLANK(INDEX(PalData,MATCH($B90,PalNames,0)+1,MATCH("Passive0cCondition",PalData_Header,0))),," ")&amp;IFERROR(INDEX(SkillData,MATCH(INDEX(PalData,MATCH($B90,PalNames,0)+1,MATCH("Passive0c",PalData_Header,0)),SkillDataCodeName,0)+1,MATCH("Conditions",SkillData_Header,0))))</f>
        <v>#VALUE!</v>
      </c>
      <c r="M90" s="45" t="str">
        <f aca="false">IFERROR(__xludf.dummyfunction("IFERROR(INDEX(SkillData,MATCH(Arrayformula(ARRAY_CONSTRAIN(FILTER(INDIRECT(""PalData!""&amp;ADDRESS(MATCH(B90,PalNames,0)+1,(MATCH(""Passive0c"",PalData_Header,0)))&amp;"":""&amp;ADDRESS(MATCH(B90,PalNames,0)+1,(MATCH(""Passive0c"",PalData_Header,0))+4)),LEN(INDIRECT"&amp;"(""PalData!""&amp;ADDRESS(MATCH(B90,PalNames,0)+1,(MATCH(""Passive0c"",PalData_Header,0)))&amp;"":""&amp;ADDRESS(MATCH(B90,PalNames,0)+1,(MATCH(""Passive0c"",PalData_Header,0))+4)))&gt;0),1,1)),SkillDataCodeName,0)+1,MATCH(""ValueType1"",SkillData_Header,0)))"),"%")</f>
        <v>%</v>
      </c>
      <c r="N90" s="62" t="e">
        <f aca="false" t="array" ref="N90:N90">IFERROR(INDEX(SkillData,MATCH(INDEX(PalData,MATCH($B90,PalNames,0)+1,MATCH("Passive0c",PalData_Header,0)),SkillDataCodeName,0)+1,MATCH("EffectValue1",SkillData_Header,0)))</f>
        <v>#VALUE!</v>
      </c>
      <c r="O90" s="62" t="e">
        <f aca="false" t="array" ref="O90:O90">IFERROR(INDEX(SkillData,MATCH(INDEX(PalData,MATCH($B90,PalNames,0)+1,MATCH("Passive1c",PalData_Header,0)),SkillDataCodeName,0)+1,MATCH("EffectValue1",SkillData_Header,0)))</f>
        <v>#VALUE!</v>
      </c>
      <c r="P90" s="62" t="e">
        <f aca="false" t="array" ref="P90:P90">IFERROR(INDEX(SkillData,MATCH(INDEX(PalData,MATCH($B90,PalNames,0)+1,MATCH("Passive2c",PalData_Header,0)),SkillDataCodeName,0)+1,MATCH("EffectValue1",SkillData_Header,0)))</f>
        <v>#VALUE!</v>
      </c>
      <c r="Q90" s="62" t="e">
        <f aca="false" t="array" ref="Q90:Q90">IFERROR(INDEX(SkillData,MATCH(INDEX(PalData,MATCH($B90,PalNames,0)+1,MATCH("Passive3c",PalData_Header,0)),SkillDataCodeName,0)+1,MATCH("EffectValue1",SkillData_Header,0)))</f>
        <v>#VALUE!</v>
      </c>
      <c r="R90" s="306" t="e">
        <f aca="false" t="array" ref="R90:R90">IFERROR(INDEX(SkillData,MATCH(INDEX(PalData,MATCH($B90,PalNames,0)+1,MATCH("Passive4c",PalData_Header,0)),SkillDataCodeName,0)+1,MATCH("EffectValue1",SkillData_Header,0)))</f>
        <v>#VALUE!</v>
      </c>
      <c r="S90" s="45" t="str">
        <f aca="false">IFERROR(__xludf.dummyfunction("IFERROR(INDEX(SkillData,MATCH(Arrayformula(ARRAY_CONSTRAIN(FILTER(INDIRECT(""PalData!""&amp;ADDRESS(MATCH(B90,PalNames,0)+1,(MATCH(""Passive0a"",PalData_Header,0)))&amp;"":""&amp;ADDRESS(MATCH(B90,PalNames,0)+1,(MATCH(""Passive0a"",PalData_Header,0))+4)),LEN(INDIRECT"&amp;"(""PalData!""&amp;ADDRESS(MATCH(B90,PalNames,0)+1,(MATCH(""Passive0a"",PalData_Header,0)))&amp;"":""&amp;ADDRESS(MATCH(B90,PalNames,0)+1,(MATCH(""Passive0a"",PalData_Header,0))+4)))&gt;0),1,1)),SkillDataCodeName,0)+1,MATCH(""EffectTypeCombined"",SkillData_Header,0)))"),"ElementElectricity")</f>
        <v>ElementElectricity</v>
      </c>
      <c r="T90" s="45" t="str">
        <f aca="false">IFERROR(__xludf.dummyfunction("IFERROR(INDEX(SkillData,MATCH(Arrayformula(ARRAY_CONSTRAIN(FILTER(INDIRECT(""PalData!""&amp;ADDRESS(MATCH(B90,PalNames,0)+1,(MATCH(""Passive0a"",PalData_Header,0)))&amp;"":""&amp;ADDRESS(MATCH(B90,PalNames,0)+1,(MATCH(""Passive0a"",PalData_Header,0))+4)),LEN(INDIRECT"&amp;"(""PalData!""&amp;ADDRESS(MATCH(B90,PalNames,0)+1,(MATCH(""Passive0a"",PalData_Header,0)))&amp;"":""&amp;ADDRESS(MATCH(B90,PalNames,0)+1,(MATCH(""Passive0a"",PalData_Header,0))+4)))&gt;0),1,1)),SkillDataCodeName,0)+1,MATCH(""TargetType1"",SkillData_Header,0)))"),"Trainer")</f>
        <v>Trainer</v>
      </c>
      <c r="U90" s="45" t="e">
        <f aca="false" t="array" ref="U90:U90">IF(INDEX(PalData,MATCH($B90,PalNames,0)+1,MATCH("Passive0aCondition",PalData_Header,0))=IFERROR(INDEX(SkillData,MATCH(INDEX(PalData,MATCH($B90,PalNames,0)+1,MATCH("Passive0a",PalData_Header,0)),SkillDataCodeName,0)+1,MATCH("Conditions",SkillData_Header,0))),INDEX(PalData,MATCH($B90,PalNames,0)+1,MATCH("Passive0aCondition",PalData_Header,0)),INDEX(PalData,MATCH($B90,PalNames,0)+1,MATCH("Passive0aCondition",PalData_Header,0)) &amp; IF(ISBLANK(INDEX(PalData,MATCH($B90,PalNames,0)+1,MATCH("Passive0aCondition",PalData_Header,0))),," ")&amp;IFERROR(INDEX(SkillData,MATCH(INDEX(PalData,MATCH($B90,PalNames,0)+1,MATCH("Passive0a",PalData_Header,0)),SkillDataCodeName,0)+1,MATCH("Conditions",SkillData_Header,0))))</f>
        <v>#VALUE!</v>
      </c>
      <c r="V90" s="45" t="str">
        <f aca="false">IFERROR(__xludf.dummyfunction("IFERROR(INDEX(SkillData,MATCH(Arrayformula(ARRAY_CONSTRAIN(FILTER(INDIRECT(""PalData!""&amp;ADDRESS(MATCH(B90,PalNames,0)+1,(MATCH(""Passive0a"",PalData_Header,0)))&amp;"":""&amp;ADDRESS(MATCH(B90,PalNames,0)+1,(MATCH(""Passive0a"",PalData_Header,0))+4)),LEN(INDIRECT"&amp;"(""PalData!""&amp;ADDRESS(MATCH(B90,PalNames,0)+1,(MATCH(""Passive0a"",PalData_Header,0)))&amp;"":""&amp;ADDRESS(MATCH(B90,PalNames,0)+1,(MATCH(""Passive0a"",PalData_Header,0))+4)))&gt;0),1,1)),SkillDataCodeName,0)+1,MATCH(""ValueType1"",SkillData_Header,0)))"),"bool")</f>
        <v>bool</v>
      </c>
      <c r="W90" s="62" t="n">
        <f aca="false" t="array" ref="W90:W90">IFERROR(INDEX(SkillData,MATCH(INDEX(PalData,MATCH($B90,PalNames,0)+1,MATCH("Passive0a",PalData_Header,0)),SkillDataCodeName,0)+1,MATCH("EffectValue1",SkillData_Header,0)),)</f>
        <v>1</v>
      </c>
      <c r="X90" s="62" t="n">
        <f aca="false" t="array" ref="X90:X90">IFERROR(INDEX(SkillData,MATCH(INDEX(PalData,MATCH($B90,PalNames,0)+1,MATCH("Passive1a",PalData_Header,0)),SkillDataCodeName,0)+1,MATCH("EffectValue1",SkillData_Header,0)),)</f>
        <v>1</v>
      </c>
      <c r="Y90" s="62" t="n">
        <f aca="false" t="array" ref="Y90:Y90">IFERROR(INDEX(SkillData,MATCH(INDEX(PalData,MATCH($B90,PalNames,0)+1,MATCH("Passive2a",PalData_Header,0)),SkillDataCodeName,0)+1,MATCH("EffectValue1",SkillData_Header,0)),)</f>
        <v>1</v>
      </c>
      <c r="Z90" s="62" t="n">
        <f aca="false" t="array" ref="Z90:Z90">IFERROR(INDEX(SkillData,MATCH(INDEX(PalData,MATCH($B90,PalNames,0)+1,MATCH("Passive3a",PalData_Header,0)),SkillDataCodeName,0)+1,MATCH("EffectValue1",SkillData_Header,0)),)</f>
        <v>1</v>
      </c>
      <c r="AA90" s="306" t="n">
        <f aca="false" t="array" ref="AA90:AA90">IFERROR(INDEX(SkillData,MATCH(INDEX(PalData,MATCH($B90,PalNames,0)+1,MATCH("Passive4a",PalData_Header,0)),SkillDataCodeName,0)+1,MATCH("EffectValue1",SkillData_Header,0)),)</f>
        <v>1</v>
      </c>
      <c r="AB90" s="45" t="str">
        <f aca="false">IFERROR(__xludf.dummyfunction("IFERROR(INDEX(SkillData,MATCH(Arrayformula(ARRAY_CONSTRAIN(FILTER(INDIRECT(""PalData!""&amp;ADDRESS(MATCH(B90,PalNames,0)+1,(MATCH(""Passive0b"",PalData_Header,0)))&amp;"":""&amp;ADDRESS(MATCH(B90,PalNames,0)+1,(MATCH(""Passive0b"",PalData_Header,0))+4)),LEN(INDIRECT"&amp;"(""PalData!""&amp;ADDRESS(MATCH(B90,PalNames,0)+1,(MATCH(""Passive0b"",PalData_Header,0)))&amp;"":""&amp;ADDRESS(MATCH(B90,PalNames,0)+1,(MATCH(""Passive0b"",PalData_Header,0))+4)))&gt;0),1,1)),SkillDataCodeName,0)+1,MATCH(""EffectTypeCombined"",SkillData_Header,0)))"),"")</f>
        <v/>
      </c>
      <c r="AC90" s="45" t="str">
        <f aca="false">IFERROR(__xludf.dummyfunction("IFERROR(INDEX(SkillData,MATCH(Arrayformula(ARRAY_CONSTRAIN(FILTER(INDIRECT(""PalData!""&amp;ADDRESS(MATCH(B90,PalNames,0)+1,(MATCH(""Passive0b"",PalData_Header,0)))&amp;"":""&amp;ADDRESS(MATCH(B90,PalNames,0)+1,(MATCH(""Passive0b"",PalData_Header,0))+4)),LEN(INDIRECT"&amp;"(""PalData!""&amp;ADDRESS(MATCH(B90,PalNames,0)+1,(MATCH(""Passive0b"",PalData_Header,0)))&amp;"":""&amp;ADDRESS(MATCH(B90,PalNames,0)+1,(MATCH(""Passive0b"",PalData_Header,0))+4)))&gt;0),1,1)),SkillDataCodeName,0)+1,MATCH(""TargetType1"",SkillData_Header,0)))"),"")</f>
        <v/>
      </c>
      <c r="AD90" s="45" t="e">
        <f aca="false" t="array" ref="AD90:AD90">IF(INDEX(PalData,MATCH($B90,PalNames,0)+1,MATCH("Passive0bCondition",PalData_Header,0))=IFERROR(INDEX(SkillData,MATCH(INDEX(PalData,MATCH($B90,PalNames,0)+1,MATCH("Passive0b",PalData_Header,0)),SkillDataCodeName,0)+1,MATCH("Conditions",SkillData_Header,0))),INDEX(PalData,MATCH($B90,PalNames,0)+1,MATCH("Passive0bCondition",PalData_Header,0)),INDEX(PalData,MATCH($B90,PalNames,0)+1,MATCH("Passive0bCondition",PalData_Header,0)) &amp; IF(ISBLANK(INDEX(PalData,MATCH($B90,PalNames,0)+1,MATCH("Passive0bCondition",PalData_Header,0))),," ")&amp;IFERROR(INDEX(SkillData,MATCH(INDEX(PalData,MATCH($B90,PalNames,0)+1,MATCH("Passive0b",PalData_Header,0)),SkillDataCodeName,0)+1,MATCH("Conditions",SkillData_Header,0))))</f>
        <v>#N/A</v>
      </c>
      <c r="AE90" s="45" t="str">
        <f aca="false">IFERROR(__xludf.dummyfunction("IFERROR(INDEX(SkillData,MATCH(Arrayformula(ARRAY_CONSTRAIN(FILTER(INDIRECT(""PalData!""&amp;ADDRESS(MATCH(B90,PalNames,0)+1,(MATCH(""Passive0b"",PalData_Header,0)))&amp;"":""&amp;ADDRESS(MATCH(B90,PalNames,0)+1,(MATCH(""Passive0b"",PalData_Header,0))+4)),LEN(INDIRECT"&amp;"(""PalData!""&amp;ADDRESS(MATCH(B90,PalNames,0)+1,(MATCH(""Passive0b"",PalData_Header,0)))&amp;"":""&amp;ADDRESS(MATCH(B90,PalNames,0)+1,(MATCH(""Passive0b"",PalData_Header,0))+4)))&gt;0),1,1)),SkillDataCodeName,0)+1,MATCH(""ValueType1"",SkillData_Header,0)))"),"")</f>
        <v/>
      </c>
      <c r="AF90" s="45" t="n">
        <f aca="false">IFERROR(INDEX(SkillData,MATCH(INDEX(PalData,MATCH($B90,PalNames,0)+1,MATCH("Passive0b",PalData_Header,0)),SkillDataCodeName,0)+1,MATCH("EffectValue1",SkillData_Header,0)),)</f>
        <v>0</v>
      </c>
      <c r="AG90" s="45" t="n">
        <f aca="false">IFERROR(INDEX(SkillData,MATCH(INDEX(PalData,MATCH($B90,PalNames,0)+1,MATCH("Passive1b",PalData_Header,0)),SkillDataCodeName,0)+1,MATCH("EffectValue1",SkillData_Header,0)),)</f>
        <v>0</v>
      </c>
      <c r="AH90" s="45" t="n">
        <f aca="false">IFERROR(INDEX(SkillData,MATCH(INDEX(PalData,MATCH($B90,PalNames,0)+1,MATCH("Passive2b",PalData_Header,0)),SkillDataCodeName,0)+1,MATCH("EffectValue1",SkillData_Header,0)),)</f>
        <v>0</v>
      </c>
      <c r="AI90" s="45" t="n">
        <f aca="false">IFERROR(INDEX(SkillData,MATCH(INDEX(PalData,MATCH($B90,PalNames,0)+1,MATCH("Passive3b",PalData_Header,0)),SkillDataCodeName,0)+1,MATCH("EffectValue1",SkillData_Header,0)),)</f>
        <v>0</v>
      </c>
      <c r="AJ90" s="260" t="n">
        <f aca="false">IFERROR(INDEX(SkillData,MATCH(INDEX(PalData,MATCH($B90,PalNames,0)+1,MATCH("Passive4b",PalData_Header,0)),SkillDataCodeName,0)+1,MATCH("EffectValue1",SkillData_Header,0)),)</f>
        <v>0</v>
      </c>
      <c r="AK90" s="301" t="s">
        <v>354</v>
      </c>
    </row>
    <row r="91" customFormat="false" ht="15.75" hidden="false" customHeight="false" outlineLevel="0" collapsed="false">
      <c r="A91" s="302" t="n">
        <v>74</v>
      </c>
      <c r="B91" s="303" t="s">
        <v>14</v>
      </c>
      <c r="C91" s="48" t="str">
        <f aca="false" t="array" ref="C91:C91">IF(ISBLANK(INDEX(PalData,MATCH($B91,PalNames,0)+1,MATCH("ActiveSkill",PalData_Header,0))),INDEX(PalData,MATCH($B91,PalNames,0)+1,MATCH("SkillUnlock_",PalData_Header,0)),INDEX(PalData,MATCH($B91,PalNames,0)+1,MATCH("ActiveSkill",PalData_Header,0)))</f>
        <v>Saddle</v>
      </c>
      <c r="D91" s="48"/>
      <c r="E91" s="48" t="n">
        <f aca="false">INDEX(PalData,MATCH($B91,PalNames,0)+1,MATCH("ActiveSkillBonus0",PalData_Header,0))</f>
        <v>0</v>
      </c>
      <c r="F91" s="48" t="n">
        <f aca="false">INDEX(PalData,MATCH($B91,PalNames,0)+1,MATCH("ActiveSkillBonus1",PalData_Header,0))</f>
        <v>0</v>
      </c>
      <c r="G91" s="48" t="n">
        <f aca="false">INDEX(PalData,MATCH($B91,PalNames,0)+1,MATCH("ActiveSkillBonus2",PalData_Header,0))</f>
        <v>0</v>
      </c>
      <c r="H91" s="48" t="n">
        <f aca="false">INDEX(PalData,MATCH($B91,PalNames,0)+1,MATCH("ActiveSkillBonus3",PalData_Header,0))</f>
        <v>0</v>
      </c>
      <c r="I91" s="263" t="n">
        <f aca="false">INDEX(PalData,MATCH($B91,PalNames,0)+1,MATCH("ActiveSkillBonus4",PalData_Header,0))</f>
        <v>0</v>
      </c>
      <c r="J91" s="48" t="str">
        <f aca="false">IFERROR(__xludf.dummyfunction("IFERROR(INDEX(SkillData,MATCH(Arrayformula(ARRAY_CONSTRAIN(FILTER(INDIRECT(""PalData!""&amp;ADDRESS(MATCH(B91,PalNames,0)+1,(MATCH(""Passive0c"",PalData_Header,0)))&amp;"":""&amp;ADDRESS(MATCH(B91,PalNames,0)+1,(MATCH(""Passive0c"",PalData_Header,0))+4)),LEN(INDIRECT"&amp;"(""PalData!""&amp;ADDRESS(MATCH(B91,PalNames,0)+1,(MATCH(""Passive0c"",PalData_Header,0)))&amp;"":""&amp;ADDRESS(MATCH(B91,PalNames,0)+1,(MATCH(""Passive0c"",PalData_Header,0))+4)))&gt;0),1,1)),SkillDataCodeName,0)+1,MATCH(""EffectTypeCombined"",SkillData_Header,0)))"),"ShotAttack")</f>
        <v>ShotAttack</v>
      </c>
      <c r="K91" s="48" t="str">
        <f aca="false">IFERROR(__xludf.dummyfunction("IFERROR(INDEX(SkillData,MATCH(Arrayformula(ARRAY_CONSTRAIN(FILTER(INDIRECT(""PalData!""&amp;ADDRESS(MATCH(B91,PalNames,0)+1,(MATCH(""Passive0c"",PalData_Header,0)))&amp;"":""&amp;ADDRESS(MATCH(B91,PalNames,0)+1,(MATCH(""Passive0c"",PalData_Header,0))+4)),LEN(INDIRECT"&amp;"(""PalData!""&amp;ADDRESS(MATCH(B91,PalNames,0)+1,(MATCH(""Passive0c"",PalData_Header,0)))&amp;"":""&amp;ADDRESS(MATCH(B91,PalNames,0)+1,(MATCH(""Passive0c"",PalData_Header,0))+4)))&gt;0),1,1)),SkillDataCodeName,0)+1,MATCH(""TargetType1"",SkillData_Header,0)))"),"Trainer")</f>
        <v>Trainer</v>
      </c>
      <c r="L91" s="48" t="e">
        <f aca="false" t="array" ref="L91:L91">IF(INDEX(PalData,MATCH($B91,PalNames,0)+1,MATCH("Passive0cCondition",PalData_Header,0))=IFERROR(INDEX(SkillData,MATCH(INDEX(PalData,MATCH($B91,PalNames,0)+1,MATCH("Passive0c",PalData_Header,0)),SkillDataCodeName,0)+1,MATCH("Conditions",SkillData_Header,0))),INDEX(PalData,MATCH($B91,PalNames,0)+1,MATCH("Passive0cCondition",PalData_Header,0)),INDEX(PalData,MATCH($B91,PalNames,0)+1,MATCH("Passive0cCondition",PalData_Header,0)) &amp; IF(ISBLANK(INDEX(PalData,MATCH($B91,PalNames,0)+1,MATCH("Passive0cCondition",PalData_Header,0))),," ")&amp;IFERROR(INDEX(SkillData,MATCH(INDEX(PalData,MATCH($B91,PalNames,0)+1,MATCH("Passive0c",PalData_Header,0)),SkillDataCodeName,0)+1,MATCH("Conditions",SkillData_Header,0))))</f>
        <v>#VALUE!</v>
      </c>
      <c r="M91" s="48" t="str">
        <f aca="false">IFERROR(__xludf.dummyfunction("IFERROR(INDEX(SkillData,MATCH(Arrayformula(ARRAY_CONSTRAIN(FILTER(INDIRECT(""PalData!""&amp;ADDRESS(MATCH(B91,PalNames,0)+1,(MATCH(""Passive0c"",PalData_Header,0)))&amp;"":""&amp;ADDRESS(MATCH(B91,PalNames,0)+1,(MATCH(""Passive0c"",PalData_Header,0))+4)),LEN(INDIRECT"&amp;"(""PalData!""&amp;ADDRESS(MATCH(B91,PalNames,0)+1,(MATCH(""Passive0c"",PalData_Header,0)))&amp;"":""&amp;ADDRESS(MATCH(B91,PalNames,0)+1,(MATCH(""Passive0c"",PalData_Header,0))+4)))&gt;0),1,1)),SkillDataCodeName,0)+1,MATCH(""ValueType1"",SkillData_Header,0)))"),"%")</f>
        <v>%</v>
      </c>
      <c r="N91" s="61" t="e">
        <f aca="false" t="array" ref="N91:N91">IFERROR(INDEX(SkillData,MATCH(INDEX(PalData,MATCH($B91,PalNames,0)+1,MATCH("Passive0c",PalData_Header,0)),SkillDataCodeName,0)+1,MATCH("EffectValue1",SkillData_Header,0)))</f>
        <v>#VALUE!</v>
      </c>
      <c r="O91" s="61" t="e">
        <f aca="false" t="array" ref="O91:O91">IFERROR(INDEX(SkillData,MATCH(INDEX(PalData,MATCH($B91,PalNames,0)+1,MATCH("Passive1c",PalData_Header,0)),SkillDataCodeName,0)+1,MATCH("EffectValue1",SkillData_Header,0)))</f>
        <v>#VALUE!</v>
      </c>
      <c r="P91" s="61" t="e">
        <f aca="false" t="array" ref="P91:P91">IFERROR(INDEX(SkillData,MATCH(INDEX(PalData,MATCH($B91,PalNames,0)+1,MATCH("Passive2c",PalData_Header,0)),SkillDataCodeName,0)+1,MATCH("EffectValue1",SkillData_Header,0)))</f>
        <v>#VALUE!</v>
      </c>
      <c r="Q91" s="61" t="e">
        <f aca="false" t="array" ref="Q91:Q91">IFERROR(INDEX(SkillData,MATCH(INDEX(PalData,MATCH($B91,PalNames,0)+1,MATCH("Passive3c",PalData_Header,0)),SkillDataCodeName,0)+1,MATCH("EffectValue1",SkillData_Header,0)))</f>
        <v>#VALUE!</v>
      </c>
      <c r="R91" s="304" t="e">
        <f aca="false" t="array" ref="R91:R91">IFERROR(INDEX(SkillData,MATCH(INDEX(PalData,MATCH($B91,PalNames,0)+1,MATCH("Passive4c",PalData_Header,0)),SkillDataCodeName,0)+1,MATCH("EffectValue1",SkillData_Header,0)))</f>
        <v>#VALUE!</v>
      </c>
      <c r="S91" s="48" t="str">
        <f aca="false">IFERROR(__xludf.dummyfunction("IFERROR(INDEX(SkillData,MATCH(Arrayformula(ARRAY_CONSTRAIN(FILTER(INDIRECT(""PalData!""&amp;ADDRESS(MATCH(B91,PalNames,0)+1,(MATCH(""Passive0a"",PalData_Header,0)))&amp;"":""&amp;ADDRESS(MATCH(B91,PalNames,0)+1,(MATCH(""Passive0a"",PalData_Header,0))+4)),LEN(INDIRECT"&amp;"(""PalData!""&amp;ADDRESS(MATCH(B91,PalNames,0)+1,(MATCH(""Passive0a"",PalData_Header,0)))&amp;"":""&amp;ADDRESS(MATCH(B91,PalNames,0)+1,(MATCH(""Passive0a"",PalData_Header,0))+4)))&gt;0),1,1)),SkillDataCodeName,0)+1,MATCH(""EffectTypeCombined"",SkillData_Header,0)))"),"ElementFire")</f>
        <v>ElementFire</v>
      </c>
      <c r="T91" s="48" t="str">
        <f aca="false">IFERROR(__xludf.dummyfunction("IFERROR(INDEX(SkillData,MATCH(Arrayformula(ARRAY_CONSTRAIN(FILTER(INDIRECT(""PalData!""&amp;ADDRESS(MATCH(B91,PalNames,0)+1,(MATCH(""Passive0a"",PalData_Header,0)))&amp;"":""&amp;ADDRESS(MATCH(B91,PalNames,0)+1,(MATCH(""Passive0a"",PalData_Header,0))+4)),LEN(INDIRECT"&amp;"(""PalData!""&amp;ADDRESS(MATCH(B91,PalNames,0)+1,(MATCH(""Passive0a"",PalData_Header,0)))&amp;"":""&amp;ADDRESS(MATCH(B91,PalNames,0)+1,(MATCH(""Passive0a"",PalData_Header,0))+4)))&gt;0),1,1)),SkillDataCodeName,0)+1,MATCH(""TargetType1"",SkillData_Header,0)))"),"Trainer")</f>
        <v>Trainer</v>
      </c>
      <c r="U91" s="48" t="e">
        <f aca="false" t="array" ref="U91:U91">IF(INDEX(PalData,MATCH($B91,PalNames,0)+1,MATCH("Passive0aCondition",PalData_Header,0))=IFERROR(INDEX(SkillData,MATCH(INDEX(PalData,MATCH($B91,PalNames,0)+1,MATCH("Passive0a",PalData_Header,0)),SkillDataCodeName,0)+1,MATCH("Conditions",SkillData_Header,0))),INDEX(PalData,MATCH($B91,PalNames,0)+1,MATCH("Passive0aCondition",PalData_Header,0)),INDEX(PalData,MATCH($B91,PalNames,0)+1,MATCH("Passive0aCondition",PalData_Header,0)) &amp; IF(ISBLANK(INDEX(PalData,MATCH($B91,PalNames,0)+1,MATCH("Passive0aCondition",PalData_Header,0))),," ")&amp;IFERROR(INDEX(SkillData,MATCH(INDEX(PalData,MATCH($B91,PalNames,0)+1,MATCH("Passive0a",PalData_Header,0)),SkillDataCodeName,0)+1,MATCH("Conditions",SkillData_Header,0))))</f>
        <v>#VALUE!</v>
      </c>
      <c r="V91" s="48" t="str">
        <f aca="false">IFERROR(__xludf.dummyfunction("IFERROR(INDEX(SkillData,MATCH(Arrayformula(ARRAY_CONSTRAIN(FILTER(INDIRECT(""PalData!""&amp;ADDRESS(MATCH(B91,PalNames,0)+1,(MATCH(""Passive0a"",PalData_Header,0)))&amp;"":""&amp;ADDRESS(MATCH(B91,PalNames,0)+1,(MATCH(""Passive0a"",PalData_Header,0))+4)),LEN(INDIRECT"&amp;"(""PalData!""&amp;ADDRESS(MATCH(B91,PalNames,0)+1,(MATCH(""Passive0a"",PalData_Header,0)))&amp;"":""&amp;ADDRESS(MATCH(B91,PalNames,0)+1,(MATCH(""Passive0a"",PalData_Header,0))+4)))&gt;0),1,1)),SkillDataCodeName,0)+1,MATCH(""ValueType1"",SkillData_Header,0)))"),"bool")</f>
        <v>bool</v>
      </c>
      <c r="W91" s="61" t="n">
        <f aca="false" t="array" ref="W91:W91">IFERROR(INDEX(SkillData,MATCH(INDEX(PalData,MATCH($B91,PalNames,0)+1,MATCH("Passive0a",PalData_Header,0)),SkillDataCodeName,0)+1,MATCH("EffectValue1",SkillData_Header,0)),)</f>
        <v>1</v>
      </c>
      <c r="X91" s="61" t="n">
        <f aca="false" t="array" ref="X91:X91">IFERROR(INDEX(SkillData,MATCH(INDEX(PalData,MATCH($B91,PalNames,0)+1,MATCH("Passive1a",PalData_Header,0)),SkillDataCodeName,0)+1,MATCH("EffectValue1",SkillData_Header,0)),)</f>
        <v>1</v>
      </c>
      <c r="Y91" s="61" t="n">
        <f aca="false" t="array" ref="Y91:Y91">IFERROR(INDEX(SkillData,MATCH(INDEX(PalData,MATCH($B91,PalNames,0)+1,MATCH("Passive2a",PalData_Header,0)),SkillDataCodeName,0)+1,MATCH("EffectValue1",SkillData_Header,0)),)</f>
        <v>1</v>
      </c>
      <c r="Z91" s="61" t="n">
        <f aca="false" t="array" ref="Z91:Z91">IFERROR(INDEX(SkillData,MATCH(INDEX(PalData,MATCH($B91,PalNames,0)+1,MATCH("Passive3a",PalData_Header,0)),SkillDataCodeName,0)+1,MATCH("EffectValue1",SkillData_Header,0)),)</f>
        <v>1</v>
      </c>
      <c r="AA91" s="304" t="n">
        <f aca="false" t="array" ref="AA91:AA91">IFERROR(INDEX(SkillData,MATCH(INDEX(PalData,MATCH($B91,PalNames,0)+1,MATCH("Passive4a",PalData_Header,0)),SkillDataCodeName,0)+1,MATCH("EffectValue1",SkillData_Header,0)),)</f>
        <v>1</v>
      </c>
      <c r="AB91" s="48" t="str">
        <f aca="false">IFERROR(__xludf.dummyfunction("IFERROR(INDEX(SkillData,MATCH(Arrayformula(ARRAY_CONSTRAIN(FILTER(INDIRECT(""PalData!""&amp;ADDRESS(MATCH(B91,PalNames,0)+1,(MATCH(""Passive0b"",PalData_Header,0)))&amp;"":""&amp;ADDRESS(MATCH(B91,PalNames,0)+1,(MATCH(""Passive0b"",PalData_Header,0))+4)),LEN(INDIRECT"&amp;"(""PalData!""&amp;ADDRESS(MATCH(B91,PalNames,0)+1,(MATCH(""Passive0b"",PalData_Header,0)))&amp;"":""&amp;ADDRESS(MATCH(B91,PalNames,0)+1,(MATCH(""Passive0b"",PalData_Header,0))+4)))&gt;0),1,1)),SkillDataCodeName,0)+1,MATCH(""EffectTypeCombined"",SkillData_Header,0)))"),"")</f>
        <v/>
      </c>
      <c r="AC91" s="48" t="str">
        <f aca="false">IFERROR(__xludf.dummyfunction("IFERROR(INDEX(SkillData,MATCH(Arrayformula(ARRAY_CONSTRAIN(FILTER(INDIRECT(""PalData!""&amp;ADDRESS(MATCH(B91,PalNames,0)+1,(MATCH(""Passive0b"",PalData_Header,0)))&amp;"":""&amp;ADDRESS(MATCH(B91,PalNames,0)+1,(MATCH(""Passive0b"",PalData_Header,0))+4)),LEN(INDIRECT"&amp;"(""PalData!""&amp;ADDRESS(MATCH(B91,PalNames,0)+1,(MATCH(""Passive0b"",PalData_Header,0)))&amp;"":""&amp;ADDRESS(MATCH(B91,PalNames,0)+1,(MATCH(""Passive0b"",PalData_Header,0))+4)))&gt;0),1,1)),SkillDataCodeName,0)+1,MATCH(""TargetType1"",SkillData_Header,0)))"),"")</f>
        <v/>
      </c>
      <c r="AD91" s="48" t="e">
        <f aca="false" t="array" ref="AD91:AD91">IF(INDEX(PalData,MATCH($B91,PalNames,0)+1,MATCH("Passive0bCondition",PalData_Header,0))=IFERROR(INDEX(SkillData,MATCH(INDEX(PalData,MATCH($B91,PalNames,0)+1,MATCH("Passive0b",PalData_Header,0)),SkillDataCodeName,0)+1,MATCH("Conditions",SkillData_Header,0))),INDEX(PalData,MATCH($B91,PalNames,0)+1,MATCH("Passive0bCondition",PalData_Header,0)),INDEX(PalData,MATCH($B91,PalNames,0)+1,MATCH("Passive0bCondition",PalData_Header,0)) &amp; IF(ISBLANK(INDEX(PalData,MATCH($B91,PalNames,0)+1,MATCH("Passive0bCondition",PalData_Header,0))),," ")&amp;IFERROR(INDEX(SkillData,MATCH(INDEX(PalData,MATCH($B91,PalNames,0)+1,MATCH("Passive0b",PalData_Header,0)),SkillDataCodeName,0)+1,MATCH("Conditions",SkillData_Header,0))))</f>
        <v>#N/A</v>
      </c>
      <c r="AE91" s="48" t="str">
        <f aca="false">IFERROR(__xludf.dummyfunction("IFERROR(INDEX(SkillData,MATCH(Arrayformula(ARRAY_CONSTRAIN(FILTER(INDIRECT(""PalData!""&amp;ADDRESS(MATCH(B91,PalNames,0)+1,(MATCH(""Passive0b"",PalData_Header,0)))&amp;"":""&amp;ADDRESS(MATCH(B91,PalNames,0)+1,(MATCH(""Passive0b"",PalData_Header,0))+4)),LEN(INDIRECT"&amp;"(""PalData!""&amp;ADDRESS(MATCH(B91,PalNames,0)+1,(MATCH(""Passive0b"",PalData_Header,0)))&amp;"":""&amp;ADDRESS(MATCH(B91,PalNames,0)+1,(MATCH(""Passive0b"",PalData_Header,0))+4)))&gt;0),1,1)),SkillDataCodeName,0)+1,MATCH(""ValueType1"",SkillData_Header,0)))"),"")</f>
        <v/>
      </c>
      <c r="AF91" s="48" t="n">
        <f aca="false">IFERROR(INDEX(SkillData,MATCH(INDEX(PalData,MATCH($B91,PalNames,0)+1,MATCH("Passive0b",PalData_Header,0)),SkillDataCodeName,0)+1,MATCH("EffectValue1",SkillData_Header,0)),)</f>
        <v>0</v>
      </c>
      <c r="AG91" s="48" t="n">
        <f aca="false">IFERROR(INDEX(SkillData,MATCH(INDEX(PalData,MATCH($B91,PalNames,0)+1,MATCH("Passive1b",PalData_Header,0)),SkillDataCodeName,0)+1,MATCH("EffectValue1",SkillData_Header,0)),)</f>
        <v>0</v>
      </c>
      <c r="AH91" s="48" t="n">
        <f aca="false">IFERROR(INDEX(SkillData,MATCH(INDEX(PalData,MATCH($B91,PalNames,0)+1,MATCH("Passive2b",PalData_Header,0)),SkillDataCodeName,0)+1,MATCH("EffectValue1",SkillData_Header,0)),)</f>
        <v>0</v>
      </c>
      <c r="AI91" s="48" t="n">
        <f aca="false">IFERROR(INDEX(SkillData,MATCH(INDEX(PalData,MATCH($B91,PalNames,0)+1,MATCH("Passive3b",PalData_Header,0)),SkillDataCodeName,0)+1,MATCH("EffectValue1",SkillData_Header,0)),)</f>
        <v>0</v>
      </c>
      <c r="AJ91" s="263" t="n">
        <f aca="false">IFERROR(INDEX(SkillData,MATCH(INDEX(PalData,MATCH($B91,PalNames,0)+1,MATCH("Passive4b",PalData_Header,0)),SkillDataCodeName,0)+1,MATCH("EffectValue1",SkillData_Header,0)),)</f>
        <v>0</v>
      </c>
      <c r="AK91" s="305" t="s">
        <v>355</v>
      </c>
    </row>
    <row r="92" customFormat="false" ht="15.75" hidden="false" customHeight="false" outlineLevel="0" collapsed="false">
      <c r="A92" s="299" t="n">
        <v>75</v>
      </c>
      <c r="B92" s="300" t="s">
        <v>84</v>
      </c>
      <c r="C92" s="45" t="n">
        <f aca="false">IF(ISBLANK(INDEX(PalData,MATCH($B92,PalNames,0)+1,MATCH("ActiveSkill",PalData_Header,0))),INDEX(PalData,MATCH($B92,PalNames,0)+1,MATCH("SkillUnlock_",PalData_Header,0)),INDEX(PalData,MATCH($B92,PalNames,0)+1,MATCH("ActiveSkill",PalData_Header,0)))</f>
        <v>0</v>
      </c>
      <c r="D92" s="45"/>
      <c r="E92" s="45" t="n">
        <f aca="false">INDEX(PalData,MATCH($B92,PalNames,0)+1,MATCH("ActiveSkillBonus0",PalData_Header,0))</f>
        <v>0</v>
      </c>
      <c r="F92" s="45" t="n">
        <f aca="false">INDEX(PalData,MATCH($B92,PalNames,0)+1,MATCH("ActiveSkillBonus1",PalData_Header,0))</f>
        <v>0</v>
      </c>
      <c r="G92" s="45" t="n">
        <f aca="false">INDEX(PalData,MATCH($B92,PalNames,0)+1,MATCH("ActiveSkillBonus2",PalData_Header,0))</f>
        <v>0</v>
      </c>
      <c r="H92" s="45" t="n">
        <f aca="false">INDEX(PalData,MATCH($B92,PalNames,0)+1,MATCH("ActiveSkillBonus3",PalData_Header,0))</f>
        <v>0</v>
      </c>
      <c r="I92" s="260" t="n">
        <f aca="false">INDEX(PalData,MATCH($B92,PalNames,0)+1,MATCH("ActiveSkillBonus4",PalData_Header,0))</f>
        <v>0</v>
      </c>
      <c r="J92" s="45" t="str">
        <f aca="false">IFERROR(__xludf.dummyfunction("IFERROR(INDEX(SkillData,MATCH(Arrayformula(ARRAY_CONSTRAIN(FILTER(INDIRECT(""PalData!""&amp;ADDRESS(MATCH(B92,PalNames,0)+1,(MATCH(""Passive0c"",PalData_Header,0)))&amp;"":""&amp;ADDRESS(MATCH(B92,PalNames,0)+1,(MATCH(""Passive0c"",PalData_Header,0))+4)),LEN(INDIRECT"&amp;"(""PalData!""&amp;ADDRESS(MATCH(B92,PalNames,0)+1,(MATCH(""Passive0c"",PalData_Header,0)))&amp;"":""&amp;ADDRESS(MATCH(B92,PalNames,0)+1,(MATCH(""Passive0c"",PalData_Header,0))+4)))&gt;0),1,1)),SkillDataCodeName,0)+1,MATCH(""EffectTypeCombined"",SkillData_Header,0)))"),"ElementAddItemDrop_Normal")</f>
        <v>ElementAddItemDrop_Normal</v>
      </c>
      <c r="K92" s="45" t="str">
        <f aca="false">IFERROR(__xludf.dummyfunction("IFERROR(INDEX(SkillData,MATCH(Arrayformula(ARRAY_CONSTRAIN(FILTER(INDIRECT(""PalData!""&amp;ADDRESS(MATCH(B92,PalNames,0)+1,(MATCH(""Passive0c"",PalData_Header,0)))&amp;"":""&amp;ADDRESS(MATCH(B92,PalNames,0)+1,(MATCH(""Passive0c"",PalData_Header,0))+4)),LEN(INDIRECT"&amp;"(""PalData!""&amp;ADDRESS(MATCH(B92,PalNames,0)+1,(MATCH(""Passive0c"",PalData_Header,0)))&amp;"":""&amp;ADDRESS(MATCH(B92,PalNames,0)+1,(MATCH(""Passive0c"",PalData_Header,0))+4)))&gt;0),1,1)),SkillDataCodeName,0)+1,MATCH(""TargetType1"",SkillData_Header,0)))"),"SelfAndTrainer")</f>
        <v>SelfAndTrainer</v>
      </c>
      <c r="L92" s="45" t="e">
        <f aca="false" t="array" ref="L92:L92">IF(INDEX(PalData,MATCH($B92,PalNames,0)+1,MATCH("Passive0cCondition",PalData_Header,0))=IFERROR(INDEX(SkillData,MATCH(INDEX(PalData,MATCH($B92,PalNames,0)+1,MATCH("Passive0c",PalData_Header,0)),SkillDataCodeName,0)+1,MATCH("Conditions",SkillData_Header,0))),INDEX(PalData,MATCH($B92,PalNames,0)+1,MATCH("Passive0cCondition",PalData_Header,0)),INDEX(PalData,MATCH($B92,PalNames,0)+1,MATCH("Passive0cCondition",PalData_Header,0)) &amp; IF(ISBLANK(INDEX(PalData,MATCH($B92,PalNames,0)+1,MATCH("Passive0cCondition",PalData_Header,0))),," ")&amp;IFERROR(INDEX(SkillData,MATCH(INDEX(PalData,MATCH($B92,PalNames,0)+1,MATCH("Passive0c",PalData_Header,0)),SkillDataCodeName,0)+1,MATCH("Conditions",SkillData_Header,0))))</f>
        <v>#VALUE!</v>
      </c>
      <c r="M92" s="45" t="str">
        <f aca="false">IFERROR(__xludf.dummyfunction("IFERROR(INDEX(SkillData,MATCH(Arrayformula(ARRAY_CONSTRAIN(FILTER(INDIRECT(""PalData!""&amp;ADDRESS(MATCH(B92,PalNames,0)+1,(MATCH(""Passive0c"",PalData_Header,0)))&amp;"":""&amp;ADDRESS(MATCH(B92,PalNames,0)+1,(MATCH(""Passive0c"",PalData_Header,0))+4)),LEN(INDIRECT"&amp;"(""PalData!""&amp;ADDRESS(MATCH(B92,PalNames,0)+1,(MATCH(""Passive0c"",PalData_Header,0)))&amp;"":""&amp;ADDRESS(MATCH(B92,PalNames,0)+1,(MATCH(""Passive0c"",PalData_Header,0))+4)))&gt;0),1,1)),SkillDataCodeName,0)+1,MATCH(""ValueType1"",SkillData_Header,0)))"),"%")</f>
        <v>%</v>
      </c>
      <c r="N92" s="62" t="e">
        <f aca="false" t="array" ref="N92:N92">IFERROR(INDEX(SkillData,MATCH(INDEX(PalData,MATCH($B92,PalNames,0)+1,MATCH("Passive0c",PalData_Header,0)),SkillDataCodeName,0)+1,MATCH("EffectValue1",SkillData_Header,0)))</f>
        <v>#VALUE!</v>
      </c>
      <c r="O92" s="62" t="e">
        <f aca="false" t="array" ref="O92:O92">IFERROR(INDEX(SkillData,MATCH(INDEX(PalData,MATCH($B92,PalNames,0)+1,MATCH("Passive1c",PalData_Header,0)),SkillDataCodeName,0)+1,MATCH("EffectValue1",SkillData_Header,0)))</f>
        <v>#VALUE!</v>
      </c>
      <c r="P92" s="62" t="e">
        <f aca="false" t="array" ref="P92:P92">IFERROR(INDEX(SkillData,MATCH(INDEX(PalData,MATCH($B92,PalNames,0)+1,MATCH("Passive2c",PalData_Header,0)),SkillDataCodeName,0)+1,MATCH("EffectValue1",SkillData_Header,0)))</f>
        <v>#VALUE!</v>
      </c>
      <c r="Q92" s="62" t="e">
        <f aca="false" t="array" ref="Q92:Q92">IFERROR(INDEX(SkillData,MATCH(INDEX(PalData,MATCH($B92,PalNames,0)+1,MATCH("Passive3c",PalData_Header,0)),SkillDataCodeName,0)+1,MATCH("EffectValue1",SkillData_Header,0)))</f>
        <v>#VALUE!</v>
      </c>
      <c r="R92" s="306" t="e">
        <f aca="false" t="array" ref="R92:R92">IFERROR(INDEX(SkillData,MATCH(INDEX(PalData,MATCH($B92,PalNames,0)+1,MATCH("Passive4c",PalData_Header,0)),SkillDataCodeName,0)+1,MATCH("EffectValue1",SkillData_Header,0)))</f>
        <v>#VALUE!</v>
      </c>
      <c r="S92" s="45" t="str">
        <f aca="false">IFERROR(__xludf.dummyfunction("IFERROR(INDEX(SkillData,MATCH(Arrayformula(ARRAY_CONSTRAIN(FILTER(INDIRECT(""PalData!""&amp;ADDRESS(MATCH(B92,PalNames,0)+1,(MATCH(""Passive0a"",PalData_Header,0)))&amp;"":""&amp;ADDRESS(MATCH(B92,PalNames,0)+1,(MATCH(""Passive0a"",PalData_Header,0))+4)),LEN(INDIRECT"&amp;"(""PalData!""&amp;ADDRESS(MATCH(B92,PalNames,0)+1,(MATCH(""Passive0a"",PalData_Header,0)))&amp;"":""&amp;ADDRESS(MATCH(B92,PalNames,0)+1,(MATCH(""Passive0a"",PalData_Header,0))+4)))&gt;0),1,1)),SkillDataCodeName,0)+1,MATCH(""EffectTypeCombined"",SkillData_Header,0)))"),"")</f>
        <v/>
      </c>
      <c r="T92" s="45" t="str">
        <f aca="false">IFERROR(__xludf.dummyfunction("IFERROR(INDEX(SkillData,MATCH(Arrayformula(ARRAY_CONSTRAIN(FILTER(INDIRECT(""PalData!""&amp;ADDRESS(MATCH(B92,PalNames,0)+1,(MATCH(""Passive0a"",PalData_Header,0)))&amp;"":""&amp;ADDRESS(MATCH(B92,PalNames,0)+1,(MATCH(""Passive0a"",PalData_Header,0))+4)),LEN(INDIRECT"&amp;"(""PalData!""&amp;ADDRESS(MATCH(B92,PalNames,0)+1,(MATCH(""Passive0a"",PalData_Header,0)))&amp;"":""&amp;ADDRESS(MATCH(B92,PalNames,0)+1,(MATCH(""Passive0a"",PalData_Header,0))+4)))&gt;0),1,1)),SkillDataCodeName,0)+1,MATCH(""TargetType1"",SkillData_Header,0)))"),"")</f>
        <v/>
      </c>
      <c r="U92" s="45" t="e">
        <f aca="false" t="array" ref="U92:U92">IF(INDEX(PalData,MATCH($B92,PalNames,0)+1,MATCH("Passive0aCondition",PalData_Header,0))=IFERROR(INDEX(SkillData,MATCH(INDEX(PalData,MATCH($B92,PalNames,0)+1,MATCH("Passive0a",PalData_Header,0)),SkillDataCodeName,0)+1,MATCH("Conditions",SkillData_Header,0))),INDEX(PalData,MATCH($B92,PalNames,0)+1,MATCH("Passive0aCondition",PalData_Header,0)),INDEX(PalData,MATCH($B92,PalNames,0)+1,MATCH("Passive0aCondition",PalData_Header,0)) &amp; IF(ISBLANK(INDEX(PalData,MATCH($B92,PalNames,0)+1,MATCH("Passive0aCondition",PalData_Header,0))),," ")&amp;IFERROR(INDEX(SkillData,MATCH(INDEX(PalData,MATCH($B92,PalNames,0)+1,MATCH("Passive0a",PalData_Header,0)),SkillDataCodeName,0)+1,MATCH("Conditions",SkillData_Header,0))))</f>
        <v>#N/A</v>
      </c>
      <c r="V92" s="45" t="str">
        <f aca="false">IFERROR(__xludf.dummyfunction("IFERROR(INDEX(SkillData,MATCH(Arrayformula(ARRAY_CONSTRAIN(FILTER(INDIRECT(""PalData!""&amp;ADDRESS(MATCH(B92,PalNames,0)+1,(MATCH(""Passive0a"",PalData_Header,0)))&amp;"":""&amp;ADDRESS(MATCH(B92,PalNames,0)+1,(MATCH(""Passive0a"",PalData_Header,0))+4)),LEN(INDIRECT"&amp;"(""PalData!""&amp;ADDRESS(MATCH(B92,PalNames,0)+1,(MATCH(""Passive0a"",PalData_Header,0)))&amp;"":""&amp;ADDRESS(MATCH(B92,PalNames,0)+1,(MATCH(""Passive0a"",PalData_Header,0))+4)))&gt;0),1,1)),SkillDataCodeName,0)+1,MATCH(""ValueType1"",SkillData_Header,0)))"),"")</f>
        <v/>
      </c>
      <c r="W92" s="45" t="n">
        <f aca="false">IFERROR(INDEX(SkillData,MATCH(INDEX(PalData,MATCH($B92,PalNames,0)+1,MATCH("Passive0a",PalData_Header,0)),SkillDataCodeName,0)+1,MATCH("EffectValue1",SkillData_Header,0)),)</f>
        <v>0</v>
      </c>
      <c r="X92" s="45" t="n">
        <f aca="false">IFERROR(INDEX(SkillData,MATCH(INDEX(PalData,MATCH($B92,PalNames,0)+1,MATCH("Passive1a",PalData_Header,0)),SkillDataCodeName,0)+1,MATCH("EffectValue1",SkillData_Header,0)),)</f>
        <v>0</v>
      </c>
      <c r="Y92" s="45" t="n">
        <f aca="false">IFERROR(INDEX(SkillData,MATCH(INDEX(PalData,MATCH($B92,PalNames,0)+1,MATCH("Passive2a",PalData_Header,0)),SkillDataCodeName,0)+1,MATCH("EffectValue1",SkillData_Header,0)),)</f>
        <v>0</v>
      </c>
      <c r="Z92" s="45" t="n">
        <f aca="false">IFERROR(INDEX(SkillData,MATCH(INDEX(PalData,MATCH($B92,PalNames,0)+1,MATCH("Passive3a",PalData_Header,0)),SkillDataCodeName,0)+1,MATCH("EffectValue1",SkillData_Header,0)),)</f>
        <v>0</v>
      </c>
      <c r="AA92" s="260" t="n">
        <f aca="false">IFERROR(INDEX(SkillData,MATCH(INDEX(PalData,MATCH($B92,PalNames,0)+1,MATCH("Passive4a",PalData_Header,0)),SkillDataCodeName,0)+1,MATCH("EffectValue1",SkillData_Header,0)),)</f>
        <v>0</v>
      </c>
      <c r="AB92" s="45" t="str">
        <f aca="false">IFERROR(__xludf.dummyfunction("IFERROR(INDEX(SkillData,MATCH(Arrayformula(ARRAY_CONSTRAIN(FILTER(INDIRECT(""PalData!""&amp;ADDRESS(MATCH(B92,PalNames,0)+1,(MATCH(""Passive0b"",PalData_Header,0)))&amp;"":""&amp;ADDRESS(MATCH(B92,PalNames,0)+1,(MATCH(""Passive0b"",PalData_Header,0))+4)),LEN(INDIRECT"&amp;"(""PalData!""&amp;ADDRESS(MATCH(B92,PalNames,0)+1,(MATCH(""Passive0b"",PalData_Header,0)))&amp;"":""&amp;ADDRESS(MATCH(B92,PalNames,0)+1,(MATCH(""Passive0b"",PalData_Header,0))+4)))&gt;0),1,1)),SkillDataCodeName,0)+1,MATCH(""EffectTypeCombined"",SkillData_Header,0)))"),"")</f>
        <v/>
      </c>
      <c r="AC92" s="45" t="str">
        <f aca="false">IFERROR(__xludf.dummyfunction("IFERROR(INDEX(SkillData,MATCH(Arrayformula(ARRAY_CONSTRAIN(FILTER(INDIRECT(""PalData!""&amp;ADDRESS(MATCH(B92,PalNames,0)+1,(MATCH(""Passive0b"",PalData_Header,0)))&amp;"":""&amp;ADDRESS(MATCH(B92,PalNames,0)+1,(MATCH(""Passive0b"",PalData_Header,0))+4)),LEN(INDIRECT"&amp;"(""PalData!""&amp;ADDRESS(MATCH(B92,PalNames,0)+1,(MATCH(""Passive0b"",PalData_Header,0)))&amp;"":""&amp;ADDRESS(MATCH(B92,PalNames,0)+1,(MATCH(""Passive0b"",PalData_Header,0))+4)))&gt;0),1,1)),SkillDataCodeName,0)+1,MATCH(""TargetType1"",SkillData_Header,0)))"),"")</f>
        <v/>
      </c>
      <c r="AD92" s="45" t="e">
        <f aca="false" t="array" ref="AD92:AD92">IF(INDEX(PalData,MATCH($B92,PalNames,0)+1,MATCH("Passive0bCondition",PalData_Header,0))=IFERROR(INDEX(SkillData,MATCH(INDEX(PalData,MATCH($B92,PalNames,0)+1,MATCH("Passive0b",PalData_Header,0)),SkillDataCodeName,0)+1,MATCH("Conditions",SkillData_Header,0))),INDEX(PalData,MATCH($B92,PalNames,0)+1,MATCH("Passive0bCondition",PalData_Header,0)),INDEX(PalData,MATCH($B92,PalNames,0)+1,MATCH("Passive0bCondition",PalData_Header,0)) &amp; IF(ISBLANK(INDEX(PalData,MATCH($B92,PalNames,0)+1,MATCH("Passive0bCondition",PalData_Header,0))),," ")&amp;IFERROR(INDEX(SkillData,MATCH(INDEX(PalData,MATCH($B92,PalNames,0)+1,MATCH("Passive0b",PalData_Header,0)),SkillDataCodeName,0)+1,MATCH("Conditions",SkillData_Header,0))))</f>
        <v>#N/A</v>
      </c>
      <c r="AE92" s="45" t="str">
        <f aca="false">IFERROR(__xludf.dummyfunction("IFERROR(INDEX(SkillData,MATCH(Arrayformula(ARRAY_CONSTRAIN(FILTER(INDIRECT(""PalData!""&amp;ADDRESS(MATCH(B92,PalNames,0)+1,(MATCH(""Passive0b"",PalData_Header,0)))&amp;"":""&amp;ADDRESS(MATCH(B92,PalNames,0)+1,(MATCH(""Passive0b"",PalData_Header,0))+4)),LEN(INDIRECT"&amp;"(""PalData!""&amp;ADDRESS(MATCH(B92,PalNames,0)+1,(MATCH(""Passive0b"",PalData_Header,0)))&amp;"":""&amp;ADDRESS(MATCH(B92,PalNames,0)+1,(MATCH(""Passive0b"",PalData_Header,0))+4)))&gt;0),1,1)),SkillDataCodeName,0)+1,MATCH(""ValueType1"",SkillData_Header,0)))"),"")</f>
        <v/>
      </c>
      <c r="AF92" s="45" t="n">
        <f aca="false">IFERROR(INDEX(SkillData,MATCH(INDEX(PalData,MATCH($B92,PalNames,0)+1,MATCH("Passive0b",PalData_Header,0)),SkillDataCodeName,0)+1,MATCH("EffectValue1",SkillData_Header,0)),)</f>
        <v>0</v>
      </c>
      <c r="AG92" s="45" t="n">
        <f aca="false">IFERROR(INDEX(SkillData,MATCH(INDEX(PalData,MATCH($B92,PalNames,0)+1,MATCH("Passive1b",PalData_Header,0)),SkillDataCodeName,0)+1,MATCH("EffectValue1",SkillData_Header,0)),)</f>
        <v>0</v>
      </c>
      <c r="AH92" s="45" t="n">
        <f aca="false">IFERROR(INDEX(SkillData,MATCH(INDEX(PalData,MATCH($B92,PalNames,0)+1,MATCH("Passive2b",PalData_Header,0)),SkillDataCodeName,0)+1,MATCH("EffectValue1",SkillData_Header,0)),)</f>
        <v>0</v>
      </c>
      <c r="AI92" s="45" t="n">
        <f aca="false">IFERROR(INDEX(SkillData,MATCH(INDEX(PalData,MATCH($B92,PalNames,0)+1,MATCH("Passive3b",PalData_Header,0)),SkillDataCodeName,0)+1,MATCH("EffectValue1",SkillData_Header,0)),)</f>
        <v>0</v>
      </c>
      <c r="AJ92" s="260" t="n">
        <f aca="false">IFERROR(INDEX(SkillData,MATCH(INDEX(PalData,MATCH($B92,PalNames,0)+1,MATCH("Passive4b",PalData_Header,0)),SkillDataCodeName,0)+1,MATCH("EffectValue1",SkillData_Header,0)),)</f>
        <v>0</v>
      </c>
      <c r="AK92" s="301" t="s">
        <v>356</v>
      </c>
    </row>
    <row r="93" customFormat="false" ht="15.75" hidden="false" customHeight="false" outlineLevel="0" collapsed="false">
      <c r="A93" s="302" t="n">
        <v>76</v>
      </c>
      <c r="B93" s="303" t="s">
        <v>150</v>
      </c>
      <c r="C93" s="48" t="n">
        <f aca="false">IF(ISBLANK(INDEX(PalData,MATCH($B93,PalNames,0)+1,MATCH("ActiveSkill",PalData_Header,0))),INDEX(PalData,MATCH($B93,PalNames,0)+1,MATCH("SkillUnlock_",PalData_Header,0)),INDEX(PalData,MATCH($B93,PalNames,0)+1,MATCH("ActiveSkill",PalData_Header,0)))</f>
        <v>0</v>
      </c>
      <c r="D93" s="48"/>
      <c r="E93" s="48" t="n">
        <f aca="false">INDEX(PalData,MATCH($B93,PalNames,0)+1,MATCH("ActiveSkillBonus0",PalData_Header,0))</f>
        <v>0</v>
      </c>
      <c r="F93" s="48" t="n">
        <f aca="false">INDEX(PalData,MATCH($B93,PalNames,0)+1,MATCH("ActiveSkillBonus1",PalData_Header,0))</f>
        <v>0</v>
      </c>
      <c r="G93" s="48" t="n">
        <f aca="false">INDEX(PalData,MATCH($B93,PalNames,0)+1,MATCH("ActiveSkillBonus2",PalData_Header,0))</f>
        <v>0</v>
      </c>
      <c r="H93" s="48" t="n">
        <f aca="false">INDEX(PalData,MATCH($B93,PalNames,0)+1,MATCH("ActiveSkillBonus3",PalData_Header,0))</f>
        <v>0</v>
      </c>
      <c r="I93" s="263" t="n">
        <f aca="false">INDEX(PalData,MATCH($B93,PalNames,0)+1,MATCH("ActiveSkillBonus4",PalData_Header,0))</f>
        <v>0</v>
      </c>
      <c r="J93" s="48" t="str">
        <f aca="false">IFERROR(__xludf.dummyfunction("IFERROR(INDEX(SkillData,MATCH(Arrayformula(ARRAY_CONSTRAIN(FILTER(INDIRECT(""PalData!""&amp;ADDRESS(MATCH(B93,PalNames,0)+1,(MATCH(""Passive0c"",PalData_Header,0)))&amp;"":""&amp;ADDRESS(MATCH(B93,PalNames,0)+1,(MATCH(""Passive0c"",PalData_Header,0))+4)),LEN(INDIRECT"&amp;"(""PalData!""&amp;ADDRESS(MATCH(B93,PalNames,0)+1,(MATCH(""Passive0c"",PalData_Header,0)))&amp;"":""&amp;ADDRESS(MATCH(B93,PalNames,0)+1,(MATCH(""Passive0c"",PalData_Header,0))+4)))&gt;0),1,1)),SkillDataCodeName,0)+1,MATCH(""EffectTypeCombined"",SkillData_Header,0)))"),"ShotAttack")</f>
        <v>ShotAttack</v>
      </c>
      <c r="K93" s="48" t="str">
        <f aca="false">IFERROR(__xludf.dummyfunction("IFERROR(INDEX(SkillData,MATCH(Arrayformula(ARRAY_CONSTRAIN(FILTER(INDIRECT(""PalData!""&amp;ADDRESS(MATCH(B93,PalNames,0)+1,(MATCH(""Passive0c"",PalData_Header,0)))&amp;"":""&amp;ADDRESS(MATCH(B93,PalNames,0)+1,(MATCH(""Passive0c"",PalData_Header,0))+4)),LEN(INDIRECT"&amp;"(""PalData!""&amp;ADDRESS(MATCH(B93,PalNames,0)+1,(MATCH(""Passive0c"",PalData_Header,0)))&amp;"":""&amp;ADDRESS(MATCH(B93,PalNames,0)+1,(MATCH(""Passive0c"",PalData_Header,0))+4)))&gt;0),1,1)),SkillDataCodeName,0)+1,MATCH(""TargetType1"",SkillData_Header,0)))"),"Trainer")</f>
        <v>Trainer</v>
      </c>
      <c r="L93" s="48" t="e">
        <f aca="false" t="array" ref="L93:L93">IF(INDEX(PalData,MATCH($B93,PalNames,0)+1,MATCH("Passive0cCondition",PalData_Header,0))=IFERROR(INDEX(SkillData,MATCH(INDEX(PalData,MATCH($B93,PalNames,0)+1,MATCH("Passive0c",PalData_Header,0)),SkillDataCodeName,0)+1,MATCH("Conditions",SkillData_Header,0))),INDEX(PalData,MATCH($B93,PalNames,0)+1,MATCH("Passive0cCondition",PalData_Header,0)),INDEX(PalData,MATCH($B93,PalNames,0)+1,MATCH("Passive0cCondition",PalData_Header,0)) &amp; IF(ISBLANK(INDEX(PalData,MATCH($B93,PalNames,0)+1,MATCH("Passive0cCondition",PalData_Header,0))),," ")&amp;IFERROR(INDEX(SkillData,MATCH(INDEX(PalData,MATCH($B93,PalNames,0)+1,MATCH("Passive0c",PalData_Header,0)),SkillDataCodeName,0)+1,MATCH("Conditions",SkillData_Header,0))))</f>
        <v>#VALUE!</v>
      </c>
      <c r="M93" s="48" t="str">
        <f aca="false">IFERROR(__xludf.dummyfunction("IFERROR(INDEX(SkillData,MATCH(Arrayformula(ARRAY_CONSTRAIN(FILTER(INDIRECT(""PalData!""&amp;ADDRESS(MATCH(B93,PalNames,0)+1,(MATCH(""Passive0c"",PalData_Header,0)))&amp;"":""&amp;ADDRESS(MATCH(B93,PalNames,0)+1,(MATCH(""Passive0c"",PalData_Header,0))+4)),LEN(INDIRECT"&amp;"(""PalData!""&amp;ADDRESS(MATCH(B93,PalNames,0)+1,(MATCH(""Passive0c"",PalData_Header,0)))&amp;"":""&amp;ADDRESS(MATCH(B93,PalNames,0)+1,(MATCH(""Passive0c"",PalData_Header,0))+4)))&gt;0),1,1)),SkillDataCodeName,0)+1,MATCH(""ValueType1"",SkillData_Header,0)))"),"%")</f>
        <v>%</v>
      </c>
      <c r="N93" s="61" t="e">
        <f aca="false" t="array" ref="N93:N93">IFERROR(INDEX(SkillData,MATCH(INDEX(PalData,MATCH($B93,PalNames,0)+1,MATCH("Passive0c",PalData_Header,0)),SkillDataCodeName,0)+1,MATCH("EffectValue1",SkillData_Header,0)))</f>
        <v>#VALUE!</v>
      </c>
      <c r="O93" s="61" t="e">
        <f aca="false" t="array" ref="O93:O93">IFERROR(INDEX(SkillData,MATCH(INDEX(PalData,MATCH($B93,PalNames,0)+1,MATCH("Passive1c",PalData_Header,0)),SkillDataCodeName,0)+1,MATCH("EffectValue1",SkillData_Header,0)))</f>
        <v>#VALUE!</v>
      </c>
      <c r="P93" s="61" t="e">
        <f aca="false" t="array" ref="P93:P93">IFERROR(INDEX(SkillData,MATCH(INDEX(PalData,MATCH($B93,PalNames,0)+1,MATCH("Passive2c",PalData_Header,0)),SkillDataCodeName,0)+1,MATCH("EffectValue1",SkillData_Header,0)))</f>
        <v>#VALUE!</v>
      </c>
      <c r="Q93" s="61" t="e">
        <f aca="false" t="array" ref="Q93:Q93">IFERROR(INDEX(SkillData,MATCH(INDEX(PalData,MATCH($B93,PalNames,0)+1,MATCH("Passive3c",PalData_Header,0)),SkillDataCodeName,0)+1,MATCH("EffectValue1",SkillData_Header,0)))</f>
        <v>#VALUE!</v>
      </c>
      <c r="R93" s="304" t="e">
        <f aca="false" t="array" ref="R93:R93">IFERROR(INDEX(SkillData,MATCH(INDEX(PalData,MATCH($B93,PalNames,0)+1,MATCH("Passive4c",PalData_Header,0)),SkillDataCodeName,0)+1,MATCH("EffectValue1",SkillData_Header,0)))</f>
        <v>#VALUE!</v>
      </c>
      <c r="S93" s="48" t="str">
        <f aca="false">IFERROR(__xludf.dummyfunction("IFERROR(INDEX(SkillData,MATCH(Arrayformula(ARRAY_CONSTRAIN(FILTER(INDIRECT(""PalData!""&amp;ADDRESS(MATCH(B93,PalNames,0)+1,(MATCH(""Passive0a"",PalData_Header,0)))&amp;"":""&amp;ADDRESS(MATCH(B93,PalNames,0)+1,(MATCH(""Passive0a"",PalData_Header,0))+4)),LEN(INDIRECT"&amp;"(""PalData!""&amp;ADDRESS(MATCH(B93,PalNames,0)+1,(MATCH(""Passive0a"",PalData_Header,0)))&amp;"":""&amp;ADDRESS(MATCH(B93,PalNames,0)+1,(MATCH(""Passive0a"",PalData_Header,0))+4)))&gt;0),1,1)),SkillDataCodeName,0)+1,MATCH(""EffectTypeCombined"",SkillData_Header,0)))"),"ElementFire")</f>
        <v>ElementFire</v>
      </c>
      <c r="T93" s="48" t="str">
        <f aca="false">IFERROR(__xludf.dummyfunction("IFERROR(INDEX(SkillData,MATCH(Arrayformula(ARRAY_CONSTRAIN(FILTER(INDIRECT(""PalData!""&amp;ADDRESS(MATCH(B93,PalNames,0)+1,(MATCH(""Passive0a"",PalData_Header,0)))&amp;"":""&amp;ADDRESS(MATCH(B93,PalNames,0)+1,(MATCH(""Passive0a"",PalData_Header,0))+4)),LEN(INDIRECT"&amp;"(""PalData!""&amp;ADDRESS(MATCH(B93,PalNames,0)+1,(MATCH(""Passive0a"",PalData_Header,0)))&amp;"":""&amp;ADDRESS(MATCH(B93,PalNames,0)+1,(MATCH(""Passive0a"",PalData_Header,0))+4)))&gt;0),1,1)),SkillDataCodeName,0)+1,MATCH(""TargetType1"",SkillData_Header,0)))"),"Trainer")</f>
        <v>Trainer</v>
      </c>
      <c r="U93" s="48" t="e">
        <f aca="false" t="array" ref="U93:U93">IF(INDEX(PalData,MATCH($B93,PalNames,0)+1,MATCH("Passive0aCondition",PalData_Header,0))=IFERROR(INDEX(SkillData,MATCH(INDEX(PalData,MATCH($B93,PalNames,0)+1,MATCH("Passive0a",PalData_Header,0)),SkillDataCodeName,0)+1,MATCH("Conditions",SkillData_Header,0))),INDEX(PalData,MATCH($B93,PalNames,0)+1,MATCH("Passive0aCondition",PalData_Header,0)),INDEX(PalData,MATCH($B93,PalNames,0)+1,MATCH("Passive0aCondition",PalData_Header,0)) &amp; IF(ISBLANK(INDEX(PalData,MATCH($B93,PalNames,0)+1,MATCH("Passive0aCondition",PalData_Header,0))),," ")&amp;IFERROR(INDEX(SkillData,MATCH(INDEX(PalData,MATCH($B93,PalNames,0)+1,MATCH("Passive0a",PalData_Header,0)),SkillDataCodeName,0)+1,MATCH("Conditions",SkillData_Header,0))))</f>
        <v>#VALUE!</v>
      </c>
      <c r="V93" s="48" t="str">
        <f aca="false">IFERROR(__xludf.dummyfunction("IFERROR(INDEX(SkillData,MATCH(Arrayformula(ARRAY_CONSTRAIN(FILTER(INDIRECT(""PalData!""&amp;ADDRESS(MATCH(B93,PalNames,0)+1,(MATCH(""Passive0a"",PalData_Header,0)))&amp;"":""&amp;ADDRESS(MATCH(B93,PalNames,0)+1,(MATCH(""Passive0a"",PalData_Header,0))+4)),LEN(INDIRECT"&amp;"(""PalData!""&amp;ADDRESS(MATCH(B93,PalNames,0)+1,(MATCH(""Passive0a"",PalData_Header,0)))&amp;"":""&amp;ADDRESS(MATCH(B93,PalNames,0)+1,(MATCH(""Passive0a"",PalData_Header,0))+4)))&gt;0),1,1)),SkillDataCodeName,0)+1,MATCH(""ValueType1"",SkillData_Header,0)))"),"bool")</f>
        <v>bool</v>
      </c>
      <c r="W93" s="61" t="n">
        <f aca="false" t="array" ref="W93:W93">IFERROR(INDEX(SkillData,MATCH(INDEX(PalData,MATCH($B93,PalNames,0)+1,MATCH("Passive0a",PalData_Header,0)),SkillDataCodeName,0)+1,MATCH("EffectValue1",SkillData_Header,0)),)</f>
        <v>1</v>
      </c>
      <c r="X93" s="61" t="n">
        <f aca="false" t="array" ref="X93:X93">IFERROR(INDEX(SkillData,MATCH(INDEX(PalData,MATCH($B93,PalNames,0)+1,MATCH("Passive1a",PalData_Header,0)),SkillDataCodeName,0)+1,MATCH("EffectValue1",SkillData_Header,0)),)</f>
        <v>1</v>
      </c>
      <c r="Y93" s="61" t="n">
        <f aca="false" t="array" ref="Y93:Y93">IFERROR(INDEX(SkillData,MATCH(INDEX(PalData,MATCH($B93,PalNames,0)+1,MATCH("Passive2a",PalData_Header,0)),SkillDataCodeName,0)+1,MATCH("EffectValue1",SkillData_Header,0)),)</f>
        <v>1</v>
      </c>
      <c r="Z93" s="61" t="n">
        <f aca="false" t="array" ref="Z93:Z93">IFERROR(INDEX(SkillData,MATCH(INDEX(PalData,MATCH($B93,PalNames,0)+1,MATCH("Passive3a",PalData_Header,0)),SkillDataCodeName,0)+1,MATCH("EffectValue1",SkillData_Header,0)),)</f>
        <v>1</v>
      </c>
      <c r="AA93" s="304" t="n">
        <f aca="false" t="array" ref="AA93:AA93">IFERROR(INDEX(SkillData,MATCH(INDEX(PalData,MATCH($B93,PalNames,0)+1,MATCH("Passive4a",PalData_Header,0)),SkillDataCodeName,0)+1,MATCH("EffectValue1",SkillData_Header,0)),)</f>
        <v>1</v>
      </c>
      <c r="AB93" s="48" t="str">
        <f aca="false">IFERROR(__xludf.dummyfunction("IFERROR(INDEX(SkillData,MATCH(Arrayformula(ARRAY_CONSTRAIN(FILTER(INDIRECT(""PalData!""&amp;ADDRESS(MATCH(B93,PalNames,0)+1,(MATCH(""Passive0b"",PalData_Header,0)))&amp;"":""&amp;ADDRESS(MATCH(B93,PalNames,0)+1,(MATCH(""Passive0b"",PalData_Header,0))+4)),LEN(INDIRECT"&amp;"(""PalData!""&amp;ADDRESS(MATCH(B93,PalNames,0)+1,(MATCH(""Passive0b"",PalData_Header,0)))&amp;"":""&amp;ADDRESS(MATCH(B93,PalNames,0)+1,(MATCH(""Passive0b"",PalData_Header,0))+4)))&gt;0),1,1)),SkillDataCodeName,0)+1,MATCH(""EffectTypeCombined"",SkillData_Header,0)))"),"")</f>
        <v/>
      </c>
      <c r="AC93" s="48" t="str">
        <f aca="false">IFERROR(__xludf.dummyfunction("IFERROR(INDEX(SkillData,MATCH(Arrayformula(ARRAY_CONSTRAIN(FILTER(INDIRECT(""PalData!""&amp;ADDRESS(MATCH(B93,PalNames,0)+1,(MATCH(""Passive0b"",PalData_Header,0)))&amp;"":""&amp;ADDRESS(MATCH(B93,PalNames,0)+1,(MATCH(""Passive0b"",PalData_Header,0))+4)),LEN(INDIRECT"&amp;"(""PalData!""&amp;ADDRESS(MATCH(B93,PalNames,0)+1,(MATCH(""Passive0b"",PalData_Header,0)))&amp;"":""&amp;ADDRESS(MATCH(B93,PalNames,0)+1,(MATCH(""Passive0b"",PalData_Header,0))+4)))&gt;0),1,1)),SkillDataCodeName,0)+1,MATCH(""TargetType1"",SkillData_Header,0)))"),"")</f>
        <v/>
      </c>
      <c r="AD93" s="48" t="e">
        <f aca="false" t="array" ref="AD93:AD93">IF(INDEX(PalData,MATCH($B93,PalNames,0)+1,MATCH("Passive0bCondition",PalData_Header,0))=IFERROR(INDEX(SkillData,MATCH(INDEX(PalData,MATCH($B93,PalNames,0)+1,MATCH("Passive0b",PalData_Header,0)),SkillDataCodeName,0)+1,MATCH("Conditions",SkillData_Header,0))),INDEX(PalData,MATCH($B93,PalNames,0)+1,MATCH("Passive0bCondition",PalData_Header,0)),INDEX(PalData,MATCH($B93,PalNames,0)+1,MATCH("Passive0bCondition",PalData_Header,0)) &amp; IF(ISBLANK(INDEX(PalData,MATCH($B93,PalNames,0)+1,MATCH("Passive0bCondition",PalData_Header,0))),," ")&amp;IFERROR(INDEX(SkillData,MATCH(INDEX(PalData,MATCH($B93,PalNames,0)+1,MATCH("Passive0b",PalData_Header,0)),SkillDataCodeName,0)+1,MATCH("Conditions",SkillData_Header,0))))</f>
        <v>#N/A</v>
      </c>
      <c r="AE93" s="48" t="str">
        <f aca="false">IFERROR(__xludf.dummyfunction("IFERROR(INDEX(SkillData,MATCH(Arrayformula(ARRAY_CONSTRAIN(FILTER(INDIRECT(""PalData!""&amp;ADDRESS(MATCH(B93,PalNames,0)+1,(MATCH(""Passive0b"",PalData_Header,0)))&amp;"":""&amp;ADDRESS(MATCH(B93,PalNames,0)+1,(MATCH(""Passive0b"",PalData_Header,0))+4)),LEN(INDIRECT"&amp;"(""PalData!""&amp;ADDRESS(MATCH(B93,PalNames,0)+1,(MATCH(""Passive0b"",PalData_Header,0)))&amp;"":""&amp;ADDRESS(MATCH(B93,PalNames,0)+1,(MATCH(""Passive0b"",PalData_Header,0))+4)))&gt;0),1,1)),SkillDataCodeName,0)+1,MATCH(""ValueType1"",SkillData_Header,0)))"),"")</f>
        <v/>
      </c>
      <c r="AF93" s="48" t="n">
        <f aca="false">IFERROR(INDEX(SkillData,MATCH(INDEX(PalData,MATCH($B93,PalNames,0)+1,MATCH("Passive0b",PalData_Header,0)),SkillDataCodeName,0)+1,MATCH("EffectValue1",SkillData_Header,0)),)</f>
        <v>0</v>
      </c>
      <c r="AG93" s="48" t="n">
        <f aca="false">IFERROR(INDEX(SkillData,MATCH(INDEX(PalData,MATCH($B93,PalNames,0)+1,MATCH("Passive1b",PalData_Header,0)),SkillDataCodeName,0)+1,MATCH("EffectValue1",SkillData_Header,0)),)</f>
        <v>0</v>
      </c>
      <c r="AH93" s="48" t="n">
        <f aca="false">IFERROR(INDEX(SkillData,MATCH(INDEX(PalData,MATCH($B93,PalNames,0)+1,MATCH("Passive2b",PalData_Header,0)),SkillDataCodeName,0)+1,MATCH("EffectValue1",SkillData_Header,0)),)</f>
        <v>0</v>
      </c>
      <c r="AI93" s="48" t="n">
        <f aca="false">IFERROR(INDEX(SkillData,MATCH(INDEX(PalData,MATCH($B93,PalNames,0)+1,MATCH("Passive3b",PalData_Header,0)),SkillDataCodeName,0)+1,MATCH("EffectValue1",SkillData_Header,0)),)</f>
        <v>0</v>
      </c>
      <c r="AJ93" s="263" t="n">
        <f aca="false">IFERROR(INDEX(SkillData,MATCH(INDEX(PalData,MATCH($B93,PalNames,0)+1,MATCH("Passive4b",PalData_Header,0)),SkillDataCodeName,0)+1,MATCH("EffectValue1",SkillData_Header,0)),)</f>
        <v>0</v>
      </c>
      <c r="AK93" s="305" t="s">
        <v>357</v>
      </c>
    </row>
    <row r="94" customFormat="false" ht="15.75" hidden="false" customHeight="false" outlineLevel="0" collapsed="false">
      <c r="A94" s="299" t="n">
        <v>77</v>
      </c>
      <c r="B94" s="300" t="s">
        <v>147</v>
      </c>
      <c r="C94" s="45" t="n">
        <f aca="false">IF(ISBLANK(INDEX(PalData,MATCH($B94,PalNames,0)+1,MATCH("ActiveSkill",PalData_Header,0))),INDEX(PalData,MATCH($B94,PalNames,0)+1,MATCH("SkillUnlock_",PalData_Header,0)),INDEX(PalData,MATCH($B94,PalNames,0)+1,MATCH("ActiveSkill",PalData_Header,0)))</f>
        <v>0</v>
      </c>
      <c r="D94" s="45"/>
      <c r="E94" s="45" t="n">
        <f aca="false">INDEX(PalData,MATCH($B94,PalNames,0)+1,MATCH("ActiveSkillBonus0",PalData_Header,0))</f>
        <v>0</v>
      </c>
      <c r="F94" s="45" t="n">
        <f aca="false">INDEX(PalData,MATCH($B94,PalNames,0)+1,MATCH("ActiveSkillBonus1",PalData_Header,0))</f>
        <v>0</v>
      </c>
      <c r="G94" s="45" t="n">
        <f aca="false">INDEX(PalData,MATCH($B94,PalNames,0)+1,MATCH("ActiveSkillBonus2",PalData_Header,0))</f>
        <v>0</v>
      </c>
      <c r="H94" s="45" t="n">
        <f aca="false">INDEX(PalData,MATCH($B94,PalNames,0)+1,MATCH("ActiveSkillBonus3",PalData_Header,0))</f>
        <v>0</v>
      </c>
      <c r="I94" s="260" t="n">
        <f aca="false">INDEX(PalData,MATCH($B94,PalNames,0)+1,MATCH("ActiveSkillBonus4",PalData_Header,0))</f>
        <v>0</v>
      </c>
      <c r="J94" s="45" t="str">
        <f aca="false">IFERROR(__xludf.dummyfunction("IFERROR(INDEX(SkillData,MATCH(Arrayformula(ARRAY_CONSTRAIN(FILTER(INDIRECT(""PalData!""&amp;ADDRESS(MATCH(B94,PalNames,0)+1,(MATCH(""Passive0c"",PalData_Header,0)))&amp;"":""&amp;ADDRESS(MATCH(B94,PalNames,0)+1,(MATCH(""Passive0c"",PalData_Header,0))+4)),LEN(INDIRECT"&amp;"(""PalData!""&amp;ADDRESS(MATCH(B94,PalNames,0)+1,(MATCH(""Passive0c"",PalData_Header,0)))&amp;"":""&amp;ADDRESS(MATCH(B94,PalNames,0)+1,(MATCH(""Passive0c"",PalData_Header,0))+4)))&gt;0),1,1)),SkillDataCodeName,0)+1,MATCH(""EffectTypeCombined"",SkillData_Header,0)))"),"MoveSpeed")</f>
        <v>MoveSpeed</v>
      </c>
      <c r="K94" s="45" t="str">
        <f aca="false">IFERROR(__xludf.dummyfunction("IFERROR(INDEX(SkillData,MATCH(Arrayformula(ARRAY_CONSTRAIN(FILTER(INDIRECT(""PalData!""&amp;ADDRESS(MATCH(B94,PalNames,0)+1,(MATCH(""Passive0c"",PalData_Header,0)))&amp;"":""&amp;ADDRESS(MATCH(B94,PalNames,0)+1,(MATCH(""Passive0c"",PalData_Header,0))+4)),LEN(INDIRECT"&amp;"(""PalData!""&amp;ADDRESS(MATCH(B94,PalNames,0)+1,(MATCH(""Passive0c"",PalData_Header,0)))&amp;"":""&amp;ADDRESS(MATCH(B94,PalNames,0)+1,(MATCH(""Passive0c"",PalData_Header,0))+4)))&gt;0),1,1)),SkillDataCodeName,0)+1,MATCH(""TargetType1"",SkillData_Header,0)))"),"SelfAndTrainer")</f>
        <v>SelfAndTrainer</v>
      </c>
      <c r="L94" s="45" t="e">
        <f aca="false" t="array" ref="L94:L94">IF(INDEX(PalData,MATCH($B94,PalNames,0)+1,MATCH("Passive0cCondition",PalData_Header,0))=IFERROR(INDEX(SkillData,MATCH(INDEX(PalData,MATCH($B94,PalNames,0)+1,MATCH("Passive0c",PalData_Header,0)),SkillDataCodeName,0)+1,MATCH("Conditions",SkillData_Header,0))),INDEX(PalData,MATCH($B94,PalNames,0)+1,MATCH("Passive0cCondition",PalData_Header,0)),INDEX(PalData,MATCH($B94,PalNames,0)+1,MATCH("Passive0cCondition",PalData_Header,0)) &amp; IF(ISBLANK(INDEX(PalData,MATCH($B94,PalNames,0)+1,MATCH("Passive0cCondition",PalData_Header,0))),," ")&amp;IFERROR(INDEX(SkillData,MATCH(INDEX(PalData,MATCH($B94,PalNames,0)+1,MATCH("Passive0c",PalData_Header,0)),SkillDataCodeName,0)+1,MATCH("Conditions",SkillData_Header,0))))</f>
        <v>#VALUE!</v>
      </c>
      <c r="M94" s="45" t="str">
        <f aca="false">IFERROR(__xludf.dummyfunction("IFERROR(INDEX(SkillData,MATCH(Arrayformula(ARRAY_CONSTRAIN(FILTER(INDIRECT(""PalData!""&amp;ADDRESS(MATCH(B94,PalNames,0)+1,(MATCH(""Passive0c"",PalData_Header,0)))&amp;"":""&amp;ADDRESS(MATCH(B94,PalNames,0)+1,(MATCH(""Passive0c"",PalData_Header,0))+4)),LEN(INDIRECT"&amp;"(""PalData!""&amp;ADDRESS(MATCH(B94,PalNames,0)+1,(MATCH(""Passive0c"",PalData_Header,0)))&amp;"":""&amp;ADDRESS(MATCH(B94,PalNames,0)+1,(MATCH(""Passive0c"",PalData_Header,0))+4)))&gt;0),1,1)),SkillDataCodeName,0)+1,MATCH(""ValueType1"",SkillData_Header,0)))"),"%")</f>
        <v>%</v>
      </c>
      <c r="N94" s="62" t="e">
        <f aca="false" t="array" ref="N94:N94">IFERROR(INDEX(SkillData,MATCH(INDEX(PalData,MATCH($B94,PalNames,0)+1,MATCH("Passive0c",PalData_Header,0)),SkillDataCodeName,0)+1,MATCH("EffectValue1",SkillData_Header,0)))</f>
        <v>#VALUE!</v>
      </c>
      <c r="O94" s="62" t="e">
        <f aca="false" t="array" ref="O94:O94">IFERROR(INDEX(SkillData,MATCH(INDEX(PalData,MATCH($B94,PalNames,0)+1,MATCH("Passive1c",PalData_Header,0)),SkillDataCodeName,0)+1,MATCH("EffectValue1",SkillData_Header,0)))</f>
        <v>#VALUE!</v>
      </c>
      <c r="P94" s="62" t="e">
        <f aca="false" t="array" ref="P94:P94">IFERROR(INDEX(SkillData,MATCH(INDEX(PalData,MATCH($B94,PalNames,0)+1,MATCH("Passive2c",PalData_Header,0)),SkillDataCodeName,0)+1,MATCH("EffectValue1",SkillData_Header,0)))</f>
        <v>#VALUE!</v>
      </c>
      <c r="Q94" s="62" t="e">
        <f aca="false" t="array" ref="Q94:Q94">IFERROR(INDEX(SkillData,MATCH(INDEX(PalData,MATCH($B94,PalNames,0)+1,MATCH("Passive3c",PalData_Header,0)),SkillDataCodeName,0)+1,MATCH("EffectValue1",SkillData_Header,0)))</f>
        <v>#VALUE!</v>
      </c>
      <c r="R94" s="306" t="e">
        <f aca="false" t="array" ref="R94:R94">IFERROR(INDEX(SkillData,MATCH(INDEX(PalData,MATCH($B94,PalNames,0)+1,MATCH("Passive4c",PalData_Header,0)),SkillDataCodeName,0)+1,MATCH("EffectValue1",SkillData_Header,0)))</f>
        <v>#VALUE!</v>
      </c>
      <c r="S94" s="45" t="str">
        <f aca="false">IFERROR(__xludf.dummyfunction("IFERROR(INDEX(SkillData,MATCH(Arrayformula(ARRAY_CONSTRAIN(FILTER(INDIRECT(""PalData!""&amp;ADDRESS(MATCH(B94,PalNames,0)+1,(MATCH(""Passive0a"",PalData_Header,0)))&amp;"":""&amp;ADDRESS(MATCH(B94,PalNames,0)+1,(MATCH(""Passive0a"",PalData_Header,0))+4)),LEN(INDIRECT"&amp;"(""PalData!""&amp;ADDRESS(MATCH(B94,PalNames,0)+1,(MATCH(""Passive0a"",PalData_Header,0)))&amp;"":""&amp;ADDRESS(MATCH(B94,PalNames,0)+1,(MATCH(""Passive0a"",PalData_Header,0))+4)))&gt;0),1,1)),SkillDataCodeName,0)+1,MATCH(""EffectTypeCombined"",SkillData_Header,0)))"),"ElementLeaf")</f>
        <v>ElementLeaf</v>
      </c>
      <c r="T94" s="45" t="str">
        <f aca="false">IFERROR(__xludf.dummyfunction("IFERROR(INDEX(SkillData,MATCH(Arrayformula(ARRAY_CONSTRAIN(FILTER(INDIRECT(""PalData!""&amp;ADDRESS(MATCH(B94,PalNames,0)+1,(MATCH(""Passive0a"",PalData_Header,0)))&amp;"":""&amp;ADDRESS(MATCH(B94,PalNames,0)+1,(MATCH(""Passive0a"",PalData_Header,0))+4)),LEN(INDIRECT"&amp;"(""PalData!""&amp;ADDRESS(MATCH(B94,PalNames,0)+1,(MATCH(""Passive0a"",PalData_Header,0)))&amp;"":""&amp;ADDRESS(MATCH(B94,PalNames,0)+1,(MATCH(""Passive0a"",PalData_Header,0))+4)))&gt;0),1,1)),SkillDataCodeName,0)+1,MATCH(""TargetType1"",SkillData_Header,0)))"),"Trainer")</f>
        <v>Trainer</v>
      </c>
      <c r="U94" s="45" t="e">
        <f aca="false" t="array" ref="U94:U94">IF(INDEX(PalData,MATCH($B94,PalNames,0)+1,MATCH("Passive0aCondition",PalData_Header,0))=IFERROR(INDEX(SkillData,MATCH(INDEX(PalData,MATCH($B94,PalNames,0)+1,MATCH("Passive0a",PalData_Header,0)),SkillDataCodeName,0)+1,MATCH("Conditions",SkillData_Header,0))),INDEX(PalData,MATCH($B94,PalNames,0)+1,MATCH("Passive0aCondition",PalData_Header,0)),INDEX(PalData,MATCH($B94,PalNames,0)+1,MATCH("Passive0aCondition",PalData_Header,0)) &amp; IF(ISBLANK(INDEX(PalData,MATCH($B94,PalNames,0)+1,MATCH("Passive0aCondition",PalData_Header,0))),," ")&amp;IFERROR(INDEX(SkillData,MATCH(INDEX(PalData,MATCH($B94,PalNames,0)+1,MATCH("Passive0a",PalData_Header,0)),SkillDataCodeName,0)+1,MATCH("Conditions",SkillData_Header,0))))</f>
        <v>#VALUE!</v>
      </c>
      <c r="V94" s="45" t="str">
        <f aca="false">IFERROR(__xludf.dummyfunction("IFERROR(INDEX(SkillData,MATCH(Arrayformula(ARRAY_CONSTRAIN(FILTER(INDIRECT(""PalData!""&amp;ADDRESS(MATCH(B94,PalNames,0)+1,(MATCH(""Passive0a"",PalData_Header,0)))&amp;"":""&amp;ADDRESS(MATCH(B94,PalNames,0)+1,(MATCH(""Passive0a"",PalData_Header,0))+4)),LEN(INDIRECT"&amp;"(""PalData!""&amp;ADDRESS(MATCH(B94,PalNames,0)+1,(MATCH(""Passive0a"",PalData_Header,0)))&amp;"":""&amp;ADDRESS(MATCH(B94,PalNames,0)+1,(MATCH(""Passive0a"",PalData_Header,0))+4)))&gt;0),1,1)),SkillDataCodeName,0)+1,MATCH(""ValueType1"",SkillData_Header,0)))"),"bool")</f>
        <v>bool</v>
      </c>
      <c r="W94" s="62" t="n">
        <f aca="false" t="array" ref="W94:W94">IFERROR(INDEX(SkillData,MATCH(INDEX(PalData,MATCH($B94,PalNames,0)+1,MATCH("Passive0a",PalData_Header,0)),SkillDataCodeName,0)+1,MATCH("EffectValue1",SkillData_Header,0)),)</f>
        <v>1</v>
      </c>
      <c r="X94" s="62" t="n">
        <f aca="false" t="array" ref="X94:X94">IFERROR(INDEX(SkillData,MATCH(INDEX(PalData,MATCH($B94,PalNames,0)+1,MATCH("Passive1a",PalData_Header,0)),SkillDataCodeName,0)+1,MATCH("EffectValue1",SkillData_Header,0)),)</f>
        <v>1</v>
      </c>
      <c r="Y94" s="62" t="n">
        <f aca="false" t="array" ref="Y94:Y94">IFERROR(INDEX(SkillData,MATCH(INDEX(PalData,MATCH($B94,PalNames,0)+1,MATCH("Passive2a",PalData_Header,0)),SkillDataCodeName,0)+1,MATCH("EffectValue1",SkillData_Header,0)),)</f>
        <v>1</v>
      </c>
      <c r="Z94" s="62" t="n">
        <f aca="false" t="array" ref="Z94:Z94">IFERROR(INDEX(SkillData,MATCH(INDEX(PalData,MATCH($B94,PalNames,0)+1,MATCH("Passive3a",PalData_Header,0)),SkillDataCodeName,0)+1,MATCH("EffectValue1",SkillData_Header,0)),)</f>
        <v>1</v>
      </c>
      <c r="AA94" s="306" t="n">
        <f aca="false" t="array" ref="AA94:AA94">IFERROR(INDEX(SkillData,MATCH(INDEX(PalData,MATCH($B94,PalNames,0)+1,MATCH("Passive4a",PalData_Header,0)),SkillDataCodeName,0)+1,MATCH("EffectValue1",SkillData_Header,0)),)</f>
        <v>1</v>
      </c>
      <c r="AB94" s="45" t="str">
        <f aca="false">IFERROR(__xludf.dummyfunction("IFERROR(INDEX(SkillData,MATCH(Arrayformula(ARRAY_CONSTRAIN(FILTER(INDIRECT(""PalData!""&amp;ADDRESS(MATCH(B94,PalNames,0)+1,(MATCH(""Passive0b"",PalData_Header,0)))&amp;"":""&amp;ADDRESS(MATCH(B94,PalNames,0)+1,(MATCH(""Passive0b"",PalData_Header,0))+4)),LEN(INDIRECT"&amp;"(""PalData!""&amp;ADDRESS(MATCH(B94,PalNames,0)+1,(MATCH(""Passive0b"",PalData_Header,0)))&amp;"":""&amp;ADDRESS(MATCH(B94,PalNames,0)+1,(MATCH(""Passive0b"",PalData_Header,0))+4)))&gt;0),1,1)),SkillDataCodeName,0)+1,MATCH(""EffectTypeCombined"",SkillData_Header,0)))"),"")</f>
        <v/>
      </c>
      <c r="AC94" s="45" t="str">
        <f aca="false">IFERROR(__xludf.dummyfunction("IFERROR(INDEX(SkillData,MATCH(Arrayformula(ARRAY_CONSTRAIN(FILTER(INDIRECT(""PalData!""&amp;ADDRESS(MATCH(B94,PalNames,0)+1,(MATCH(""Passive0b"",PalData_Header,0)))&amp;"":""&amp;ADDRESS(MATCH(B94,PalNames,0)+1,(MATCH(""Passive0b"",PalData_Header,0))+4)),LEN(INDIRECT"&amp;"(""PalData!""&amp;ADDRESS(MATCH(B94,PalNames,0)+1,(MATCH(""Passive0b"",PalData_Header,0)))&amp;"":""&amp;ADDRESS(MATCH(B94,PalNames,0)+1,(MATCH(""Passive0b"",PalData_Header,0))+4)))&gt;0),1,1)),SkillDataCodeName,0)+1,MATCH(""TargetType1"",SkillData_Header,0)))"),"")</f>
        <v/>
      </c>
      <c r="AD94" s="45" t="e">
        <f aca="false" t="array" ref="AD94:AD94">IF(INDEX(PalData,MATCH($B94,PalNames,0)+1,MATCH("Passive0bCondition",PalData_Header,0))=IFERROR(INDEX(SkillData,MATCH(INDEX(PalData,MATCH($B94,PalNames,0)+1,MATCH("Passive0b",PalData_Header,0)),SkillDataCodeName,0)+1,MATCH("Conditions",SkillData_Header,0))),INDEX(PalData,MATCH($B94,PalNames,0)+1,MATCH("Passive0bCondition",PalData_Header,0)),INDEX(PalData,MATCH($B94,PalNames,0)+1,MATCH("Passive0bCondition",PalData_Header,0)) &amp; IF(ISBLANK(INDEX(PalData,MATCH($B94,PalNames,0)+1,MATCH("Passive0bCondition",PalData_Header,0))),," ")&amp;IFERROR(INDEX(SkillData,MATCH(INDEX(PalData,MATCH($B94,PalNames,0)+1,MATCH("Passive0b",PalData_Header,0)),SkillDataCodeName,0)+1,MATCH("Conditions",SkillData_Header,0))))</f>
        <v>#N/A</v>
      </c>
      <c r="AE94" s="45" t="str">
        <f aca="false">IFERROR(__xludf.dummyfunction("IFERROR(INDEX(SkillData,MATCH(Arrayformula(ARRAY_CONSTRAIN(FILTER(INDIRECT(""PalData!""&amp;ADDRESS(MATCH(B94,PalNames,0)+1,(MATCH(""Passive0b"",PalData_Header,0)))&amp;"":""&amp;ADDRESS(MATCH(B94,PalNames,0)+1,(MATCH(""Passive0b"",PalData_Header,0))+4)),LEN(INDIRECT"&amp;"(""PalData!""&amp;ADDRESS(MATCH(B94,PalNames,0)+1,(MATCH(""Passive0b"",PalData_Header,0)))&amp;"":""&amp;ADDRESS(MATCH(B94,PalNames,0)+1,(MATCH(""Passive0b"",PalData_Header,0))+4)))&gt;0),1,1)),SkillDataCodeName,0)+1,MATCH(""ValueType1"",SkillData_Header,0)))"),"")</f>
        <v/>
      </c>
      <c r="AF94" s="45" t="n">
        <f aca="false">IFERROR(INDEX(SkillData,MATCH(INDEX(PalData,MATCH($B94,PalNames,0)+1,MATCH("Passive0b",PalData_Header,0)),SkillDataCodeName,0)+1,MATCH("EffectValue1",SkillData_Header,0)),)</f>
        <v>0</v>
      </c>
      <c r="AG94" s="45" t="n">
        <f aca="false">IFERROR(INDEX(SkillData,MATCH(INDEX(PalData,MATCH($B94,PalNames,0)+1,MATCH("Passive1b",PalData_Header,0)),SkillDataCodeName,0)+1,MATCH("EffectValue1",SkillData_Header,0)),)</f>
        <v>0</v>
      </c>
      <c r="AH94" s="45" t="n">
        <f aca="false">IFERROR(INDEX(SkillData,MATCH(INDEX(PalData,MATCH($B94,PalNames,0)+1,MATCH("Passive2b",PalData_Header,0)),SkillDataCodeName,0)+1,MATCH("EffectValue1",SkillData_Header,0)),)</f>
        <v>0</v>
      </c>
      <c r="AI94" s="45" t="n">
        <f aca="false">IFERROR(INDEX(SkillData,MATCH(INDEX(PalData,MATCH($B94,PalNames,0)+1,MATCH("Passive3b",PalData_Header,0)),SkillDataCodeName,0)+1,MATCH("EffectValue1",SkillData_Header,0)),)</f>
        <v>0</v>
      </c>
      <c r="AJ94" s="260" t="n">
        <f aca="false">IFERROR(INDEX(SkillData,MATCH(INDEX(PalData,MATCH($B94,PalNames,0)+1,MATCH("Passive4b",PalData_Header,0)),SkillDataCodeName,0)+1,MATCH("EffectValue1",SkillData_Header,0)),)</f>
        <v>0</v>
      </c>
      <c r="AK94" s="301" t="s">
        <v>358</v>
      </c>
    </row>
    <row r="95" customFormat="false" ht="15.75" hidden="false" customHeight="false" outlineLevel="0" collapsed="false">
      <c r="A95" s="302" t="n">
        <v>78</v>
      </c>
      <c r="B95" s="303" t="s">
        <v>144</v>
      </c>
      <c r="C95" s="48" t="n">
        <f aca="false">IF(ISBLANK(INDEX(PalData,MATCH($B95,PalNames,0)+1,MATCH("ActiveSkill",PalData_Header,0))),INDEX(PalData,MATCH($B95,PalNames,0)+1,MATCH("SkillUnlock_",PalData_Header,0)),INDEX(PalData,MATCH($B95,PalNames,0)+1,MATCH("ActiveSkill",PalData_Header,0)))</f>
        <v>0</v>
      </c>
      <c r="D95" s="48"/>
      <c r="E95" s="48" t="n">
        <f aca="false">INDEX(PalData,MATCH($B95,PalNames,0)+1,MATCH("ActiveSkillBonus0",PalData_Header,0))</f>
        <v>0</v>
      </c>
      <c r="F95" s="48" t="n">
        <f aca="false">INDEX(PalData,MATCH($B95,PalNames,0)+1,MATCH("ActiveSkillBonus1",PalData_Header,0))</f>
        <v>0</v>
      </c>
      <c r="G95" s="48" t="n">
        <f aca="false">INDEX(PalData,MATCH($B95,PalNames,0)+1,MATCH("ActiveSkillBonus2",PalData_Header,0))</f>
        <v>0</v>
      </c>
      <c r="H95" s="48" t="n">
        <f aca="false">INDEX(PalData,MATCH($B95,PalNames,0)+1,MATCH("ActiveSkillBonus3",PalData_Header,0))</f>
        <v>0</v>
      </c>
      <c r="I95" s="263" t="n">
        <f aca="false">INDEX(PalData,MATCH($B95,PalNames,0)+1,MATCH("ActiveSkillBonus4",PalData_Header,0))</f>
        <v>0</v>
      </c>
      <c r="J95" s="48" t="str">
        <f aca="false">IFERROR(__xludf.dummyfunction("IFERROR(INDEX(SkillData,MATCH(Arrayformula(ARRAY_CONSTRAIN(FILTER(INDIRECT(""PalData!""&amp;ADDRESS(MATCH(B95,PalNames,0)+1,(MATCH(""Passive0c"",PalData_Header,0)))&amp;"":""&amp;ADDRESS(MATCH(B95,PalNames,0)+1,(MATCH(""Passive0c"",PalData_Header,0))+4)),LEN(INDIRECT"&amp;"(""PalData!""&amp;ADDRESS(MATCH(B95,PalNames,0)+1,(MATCH(""Passive0c"",PalData_Header,0)))&amp;"":""&amp;ADDRESS(MATCH(B95,PalNames,0)+1,(MATCH(""Passive0c"",PalData_Header,0))+4)))&gt;0),1,1)),SkillDataCodeName,0)+1,MATCH(""EffectTypeCombined"",SkillData_Header,0)))"),"ElementAddItemDrop_Earth")</f>
        <v>ElementAddItemDrop_Earth</v>
      </c>
      <c r="K95" s="48" t="str">
        <f aca="false">IFERROR(__xludf.dummyfunction("IFERROR(INDEX(SkillData,MATCH(Arrayformula(ARRAY_CONSTRAIN(FILTER(INDIRECT(""PalData!""&amp;ADDRESS(MATCH(B95,PalNames,0)+1,(MATCH(""Passive0c"",PalData_Header,0)))&amp;"":""&amp;ADDRESS(MATCH(B95,PalNames,0)+1,(MATCH(""Passive0c"",PalData_Header,0))+4)),LEN(INDIRECT"&amp;"(""PalData!""&amp;ADDRESS(MATCH(B95,PalNames,0)+1,(MATCH(""Passive0c"",PalData_Header,0)))&amp;"":""&amp;ADDRESS(MATCH(B95,PalNames,0)+1,(MATCH(""Passive0c"",PalData_Header,0))+4)))&gt;0),1,1)),SkillDataCodeName,0)+1,MATCH(""TargetType1"",SkillData_Header,0)))"),"SelfAndTrainer")</f>
        <v>SelfAndTrainer</v>
      </c>
      <c r="L95" s="48" t="e">
        <f aca="false" t="array" ref="L95:L95">IF(INDEX(PalData,MATCH($B95,PalNames,0)+1,MATCH("Passive0cCondition",PalData_Header,0))=IFERROR(INDEX(SkillData,MATCH(INDEX(PalData,MATCH($B95,PalNames,0)+1,MATCH("Passive0c",PalData_Header,0)),SkillDataCodeName,0)+1,MATCH("Conditions",SkillData_Header,0))),INDEX(PalData,MATCH($B95,PalNames,0)+1,MATCH("Passive0cCondition",PalData_Header,0)),INDEX(PalData,MATCH($B95,PalNames,0)+1,MATCH("Passive0cCondition",PalData_Header,0)) &amp; IF(ISBLANK(INDEX(PalData,MATCH($B95,PalNames,0)+1,MATCH("Passive0cCondition",PalData_Header,0))),," ")&amp;IFERROR(INDEX(SkillData,MATCH(INDEX(PalData,MATCH($B95,PalNames,0)+1,MATCH("Passive0c",PalData_Header,0)),SkillDataCodeName,0)+1,MATCH("Conditions",SkillData_Header,0))))</f>
        <v>#VALUE!</v>
      </c>
      <c r="M95" s="48" t="str">
        <f aca="false">IFERROR(__xludf.dummyfunction("IFERROR(INDEX(SkillData,MATCH(Arrayformula(ARRAY_CONSTRAIN(FILTER(INDIRECT(""PalData!""&amp;ADDRESS(MATCH(B95,PalNames,0)+1,(MATCH(""Passive0c"",PalData_Header,0)))&amp;"":""&amp;ADDRESS(MATCH(B95,PalNames,0)+1,(MATCH(""Passive0c"",PalData_Header,0))+4)),LEN(INDIRECT"&amp;"(""PalData!""&amp;ADDRESS(MATCH(B95,PalNames,0)+1,(MATCH(""Passive0c"",PalData_Header,0)))&amp;"":""&amp;ADDRESS(MATCH(B95,PalNames,0)+1,(MATCH(""Passive0c"",PalData_Header,0))+4)))&gt;0),1,1)),SkillDataCodeName,0)+1,MATCH(""ValueType1"",SkillData_Header,0)))"),"%")</f>
        <v>%</v>
      </c>
      <c r="N95" s="61" t="e">
        <f aca="false" t="array" ref="N95:N95">IFERROR(INDEX(SkillData,MATCH(INDEX(PalData,MATCH($B95,PalNames,0)+1,MATCH("Passive0c",PalData_Header,0)),SkillDataCodeName,0)+1,MATCH("EffectValue1",SkillData_Header,0)))</f>
        <v>#VALUE!</v>
      </c>
      <c r="O95" s="61" t="e">
        <f aca="false" t="array" ref="O95:O95">IFERROR(INDEX(SkillData,MATCH(INDEX(PalData,MATCH($B95,PalNames,0)+1,MATCH("Passive1c",PalData_Header,0)),SkillDataCodeName,0)+1,MATCH("EffectValue1",SkillData_Header,0)))</f>
        <v>#VALUE!</v>
      </c>
      <c r="P95" s="61" t="e">
        <f aca="false" t="array" ref="P95:P95">IFERROR(INDEX(SkillData,MATCH(INDEX(PalData,MATCH($B95,PalNames,0)+1,MATCH("Passive2c",PalData_Header,0)),SkillDataCodeName,0)+1,MATCH("EffectValue1",SkillData_Header,0)))</f>
        <v>#VALUE!</v>
      </c>
      <c r="Q95" s="61" t="e">
        <f aca="false" t="array" ref="Q95:Q95">IFERROR(INDEX(SkillData,MATCH(INDEX(PalData,MATCH($B95,PalNames,0)+1,MATCH("Passive3c",PalData_Header,0)),SkillDataCodeName,0)+1,MATCH("EffectValue1",SkillData_Header,0)))</f>
        <v>#VALUE!</v>
      </c>
      <c r="R95" s="304" t="e">
        <f aca="false" t="array" ref="R95:R95">IFERROR(INDEX(SkillData,MATCH(INDEX(PalData,MATCH($B95,PalNames,0)+1,MATCH("Passive4c",PalData_Header,0)),SkillDataCodeName,0)+1,MATCH("EffectValue1",SkillData_Header,0)))</f>
        <v>#VALUE!</v>
      </c>
      <c r="S95" s="48" t="str">
        <f aca="false">IFERROR(__xludf.dummyfunction("IFERROR(INDEX(SkillData,MATCH(Arrayformula(ARRAY_CONSTRAIN(FILTER(INDIRECT(""PalData!""&amp;ADDRESS(MATCH(B95,PalNames,0)+1,(MATCH(""Passive0a"",PalData_Header,0)))&amp;"":""&amp;ADDRESS(MATCH(B95,PalNames,0)+1,(MATCH(""Passive0a"",PalData_Header,0))+4)),LEN(INDIRECT"&amp;"(""PalData!""&amp;ADDRESS(MATCH(B95,PalNames,0)+1,(MATCH(""Passive0a"",PalData_Header,0)))&amp;"":""&amp;ADDRESS(MATCH(B95,PalNames,0)+1,(MATCH(""Passive0a"",PalData_Header,0))+4)))&gt;0),1,1)),SkillDataCodeName,0)+1,MATCH(""EffectTypeCombined"",SkillData_Header,0)))"),"")</f>
        <v/>
      </c>
      <c r="T95" s="48" t="str">
        <f aca="false">IFERROR(__xludf.dummyfunction("IFERROR(INDEX(SkillData,MATCH(Arrayformula(ARRAY_CONSTRAIN(FILTER(INDIRECT(""PalData!""&amp;ADDRESS(MATCH(B95,PalNames,0)+1,(MATCH(""Passive0a"",PalData_Header,0)))&amp;"":""&amp;ADDRESS(MATCH(B95,PalNames,0)+1,(MATCH(""Passive0a"",PalData_Header,0))+4)),LEN(INDIRECT"&amp;"(""PalData!""&amp;ADDRESS(MATCH(B95,PalNames,0)+1,(MATCH(""Passive0a"",PalData_Header,0)))&amp;"":""&amp;ADDRESS(MATCH(B95,PalNames,0)+1,(MATCH(""Passive0a"",PalData_Header,0))+4)))&gt;0),1,1)),SkillDataCodeName,0)+1,MATCH(""TargetType1"",SkillData_Header,0)))"),"")</f>
        <v/>
      </c>
      <c r="U95" s="48" t="e">
        <f aca="false" t="array" ref="U95:U95">IF(INDEX(PalData,MATCH($B95,PalNames,0)+1,MATCH("Passive0aCondition",PalData_Header,0))=IFERROR(INDEX(SkillData,MATCH(INDEX(PalData,MATCH($B95,PalNames,0)+1,MATCH("Passive0a",PalData_Header,0)),SkillDataCodeName,0)+1,MATCH("Conditions",SkillData_Header,0))),INDEX(PalData,MATCH($B95,PalNames,0)+1,MATCH("Passive0aCondition",PalData_Header,0)),INDEX(PalData,MATCH($B95,PalNames,0)+1,MATCH("Passive0aCondition",PalData_Header,0)) &amp; IF(ISBLANK(INDEX(PalData,MATCH($B95,PalNames,0)+1,MATCH("Passive0aCondition",PalData_Header,0))),," ")&amp;IFERROR(INDEX(SkillData,MATCH(INDEX(PalData,MATCH($B95,PalNames,0)+1,MATCH("Passive0a",PalData_Header,0)),SkillDataCodeName,0)+1,MATCH("Conditions",SkillData_Header,0))))</f>
        <v>#N/A</v>
      </c>
      <c r="V95" s="48" t="str">
        <f aca="false">IFERROR(__xludf.dummyfunction("IFERROR(INDEX(SkillData,MATCH(Arrayformula(ARRAY_CONSTRAIN(FILTER(INDIRECT(""PalData!""&amp;ADDRESS(MATCH(B95,PalNames,0)+1,(MATCH(""Passive0a"",PalData_Header,0)))&amp;"":""&amp;ADDRESS(MATCH(B95,PalNames,0)+1,(MATCH(""Passive0a"",PalData_Header,0))+4)),LEN(INDIRECT"&amp;"(""PalData!""&amp;ADDRESS(MATCH(B95,PalNames,0)+1,(MATCH(""Passive0a"",PalData_Header,0)))&amp;"":""&amp;ADDRESS(MATCH(B95,PalNames,0)+1,(MATCH(""Passive0a"",PalData_Header,0))+4)))&gt;0),1,1)),SkillDataCodeName,0)+1,MATCH(""ValueType1"",SkillData_Header,0)))"),"")</f>
        <v/>
      </c>
      <c r="W95" s="48" t="n">
        <f aca="false">IFERROR(INDEX(SkillData,MATCH(INDEX(PalData,MATCH($B95,PalNames,0)+1,MATCH("Passive0a",PalData_Header,0)),SkillDataCodeName,0)+1,MATCH("EffectValue1",SkillData_Header,0)),)</f>
        <v>0</v>
      </c>
      <c r="X95" s="48" t="n">
        <f aca="false">IFERROR(INDEX(SkillData,MATCH(INDEX(PalData,MATCH($B95,PalNames,0)+1,MATCH("Passive1a",PalData_Header,0)),SkillDataCodeName,0)+1,MATCH("EffectValue1",SkillData_Header,0)),)</f>
        <v>0</v>
      </c>
      <c r="Y95" s="48" t="n">
        <f aca="false">IFERROR(INDEX(SkillData,MATCH(INDEX(PalData,MATCH($B95,PalNames,0)+1,MATCH("Passive2a",PalData_Header,0)),SkillDataCodeName,0)+1,MATCH("EffectValue1",SkillData_Header,0)),)</f>
        <v>0</v>
      </c>
      <c r="Z95" s="48" t="n">
        <f aca="false">IFERROR(INDEX(SkillData,MATCH(INDEX(PalData,MATCH($B95,PalNames,0)+1,MATCH("Passive3a",PalData_Header,0)),SkillDataCodeName,0)+1,MATCH("EffectValue1",SkillData_Header,0)),)</f>
        <v>0</v>
      </c>
      <c r="AA95" s="263" t="n">
        <f aca="false">IFERROR(INDEX(SkillData,MATCH(INDEX(PalData,MATCH($B95,PalNames,0)+1,MATCH("Passive4a",PalData_Header,0)),SkillDataCodeName,0)+1,MATCH("EffectValue1",SkillData_Header,0)),)</f>
        <v>0</v>
      </c>
      <c r="AB95" s="48" t="str">
        <f aca="false">IFERROR(__xludf.dummyfunction("IFERROR(INDEX(SkillData,MATCH(Arrayformula(ARRAY_CONSTRAIN(FILTER(INDIRECT(""PalData!""&amp;ADDRESS(MATCH(B95,PalNames,0)+1,(MATCH(""Passive0b"",PalData_Header,0)))&amp;"":""&amp;ADDRESS(MATCH(B95,PalNames,0)+1,(MATCH(""Passive0b"",PalData_Header,0))+4)),LEN(INDIRECT"&amp;"(""PalData!""&amp;ADDRESS(MATCH(B95,PalNames,0)+1,(MATCH(""Passive0b"",PalData_Header,0)))&amp;"":""&amp;ADDRESS(MATCH(B95,PalNames,0)+1,(MATCH(""Passive0b"",PalData_Header,0))+4)))&gt;0),1,1)),SkillDataCodeName,0)+1,MATCH(""EffectTypeCombined"",SkillData_Header,0)))"),"")</f>
        <v/>
      </c>
      <c r="AC95" s="48" t="str">
        <f aca="false">IFERROR(__xludf.dummyfunction("IFERROR(INDEX(SkillData,MATCH(Arrayformula(ARRAY_CONSTRAIN(FILTER(INDIRECT(""PalData!""&amp;ADDRESS(MATCH(B95,PalNames,0)+1,(MATCH(""Passive0b"",PalData_Header,0)))&amp;"":""&amp;ADDRESS(MATCH(B95,PalNames,0)+1,(MATCH(""Passive0b"",PalData_Header,0))+4)),LEN(INDIRECT"&amp;"(""PalData!""&amp;ADDRESS(MATCH(B95,PalNames,0)+1,(MATCH(""Passive0b"",PalData_Header,0)))&amp;"":""&amp;ADDRESS(MATCH(B95,PalNames,0)+1,(MATCH(""Passive0b"",PalData_Header,0))+4)))&gt;0),1,1)),SkillDataCodeName,0)+1,MATCH(""TargetType1"",SkillData_Header,0)))"),"")</f>
        <v/>
      </c>
      <c r="AD95" s="48" t="e">
        <f aca="false" t="array" ref="AD95:AD95">IF(INDEX(PalData,MATCH($B95,PalNames,0)+1,MATCH("Passive0bCondition",PalData_Header,0))=IFERROR(INDEX(SkillData,MATCH(INDEX(PalData,MATCH($B95,PalNames,0)+1,MATCH("Passive0b",PalData_Header,0)),SkillDataCodeName,0)+1,MATCH("Conditions",SkillData_Header,0))),INDEX(PalData,MATCH($B95,PalNames,0)+1,MATCH("Passive0bCondition",PalData_Header,0)),INDEX(PalData,MATCH($B95,PalNames,0)+1,MATCH("Passive0bCondition",PalData_Header,0)) &amp; IF(ISBLANK(INDEX(PalData,MATCH($B95,PalNames,0)+1,MATCH("Passive0bCondition",PalData_Header,0))),," ")&amp;IFERROR(INDEX(SkillData,MATCH(INDEX(PalData,MATCH($B95,PalNames,0)+1,MATCH("Passive0b",PalData_Header,0)),SkillDataCodeName,0)+1,MATCH("Conditions",SkillData_Header,0))))</f>
        <v>#N/A</v>
      </c>
      <c r="AE95" s="48" t="str">
        <f aca="false">IFERROR(__xludf.dummyfunction("IFERROR(INDEX(SkillData,MATCH(Arrayformula(ARRAY_CONSTRAIN(FILTER(INDIRECT(""PalData!""&amp;ADDRESS(MATCH(B95,PalNames,0)+1,(MATCH(""Passive0b"",PalData_Header,0)))&amp;"":""&amp;ADDRESS(MATCH(B95,PalNames,0)+1,(MATCH(""Passive0b"",PalData_Header,0))+4)),LEN(INDIRECT"&amp;"(""PalData!""&amp;ADDRESS(MATCH(B95,PalNames,0)+1,(MATCH(""Passive0b"",PalData_Header,0)))&amp;"":""&amp;ADDRESS(MATCH(B95,PalNames,0)+1,(MATCH(""Passive0b"",PalData_Header,0))+4)))&gt;0),1,1)),SkillDataCodeName,0)+1,MATCH(""ValueType1"",SkillData_Header,0)))"),"")</f>
        <v/>
      </c>
      <c r="AF95" s="48" t="n">
        <f aca="false">IFERROR(INDEX(SkillData,MATCH(INDEX(PalData,MATCH($B95,PalNames,0)+1,MATCH("Passive0b",PalData_Header,0)),SkillDataCodeName,0)+1,MATCH("EffectValue1",SkillData_Header,0)),)</f>
        <v>0</v>
      </c>
      <c r="AG95" s="48" t="n">
        <f aca="false">IFERROR(INDEX(SkillData,MATCH(INDEX(PalData,MATCH($B95,PalNames,0)+1,MATCH("Passive1b",PalData_Header,0)),SkillDataCodeName,0)+1,MATCH("EffectValue1",SkillData_Header,0)),)</f>
        <v>0</v>
      </c>
      <c r="AH95" s="48" t="n">
        <f aca="false">IFERROR(INDEX(SkillData,MATCH(INDEX(PalData,MATCH($B95,PalNames,0)+1,MATCH("Passive2b",PalData_Header,0)),SkillDataCodeName,0)+1,MATCH("EffectValue1",SkillData_Header,0)),)</f>
        <v>0</v>
      </c>
      <c r="AI95" s="48" t="n">
        <f aca="false">IFERROR(INDEX(SkillData,MATCH(INDEX(PalData,MATCH($B95,PalNames,0)+1,MATCH("Passive3b",PalData_Header,0)),SkillDataCodeName,0)+1,MATCH("EffectValue1",SkillData_Header,0)),)</f>
        <v>0</v>
      </c>
      <c r="AJ95" s="263" t="n">
        <f aca="false">IFERROR(INDEX(SkillData,MATCH(INDEX(PalData,MATCH($B95,PalNames,0)+1,MATCH("Passive4b",PalData_Header,0)),SkillDataCodeName,0)+1,MATCH("EffectValue1",SkillData_Header,0)),)</f>
        <v>0</v>
      </c>
      <c r="AK95" s="305" t="s">
        <v>359</v>
      </c>
    </row>
    <row r="96" customFormat="false" ht="15.75" hidden="false" customHeight="false" outlineLevel="0" collapsed="false">
      <c r="A96" s="299" t="n">
        <v>79</v>
      </c>
      <c r="B96" s="300" t="s">
        <v>131</v>
      </c>
      <c r="C96" s="45" t="str">
        <f aca="false" t="array" ref="C96:C96">IF(ISBLANK(INDEX(PalData,MATCH($B96,PalNames,0)+1,MATCH("ActiveSkill",PalData_Header,0))),INDEX(PalData,MATCH($B96,PalNames,0)+1,MATCH("SkillUnlock_",PalData_Header,0)),INDEX(PalData,MATCH($B96,PalNames,0)+1,MATCH("ActiveSkill",PalData_Header,0)))</f>
        <v>IcicleThrow</v>
      </c>
      <c r="D96" s="45" t="s">
        <v>269</v>
      </c>
      <c r="E96" s="62" t="n">
        <f aca="false" t="array" ref="E96:E96">INDEX(PalData,MATCH($B96,PalNames,0)+1,MATCH("ActiveSkillBonus0",PalData_Header,0))</f>
        <v>1.1</v>
      </c>
      <c r="F96" s="62" t="n">
        <f aca="false" t="array" ref="F96:F96">INDEX(PalData,MATCH($B96,PalNames,0)+1,MATCH("ActiveSkillBonus1",PalData_Header,0))</f>
        <v>1.3</v>
      </c>
      <c r="G96" s="62" t="n">
        <f aca="false" t="array" ref="G96:G96">INDEX(PalData,MATCH($B96,PalNames,0)+1,MATCH("ActiveSkillBonus2",PalData_Header,0))</f>
        <v>1.6</v>
      </c>
      <c r="H96" s="62" t="n">
        <f aca="false" t="array" ref="H96:H96">INDEX(PalData,MATCH($B96,PalNames,0)+1,MATCH("ActiveSkillBonus3",PalData_Header,0))</f>
        <v>2</v>
      </c>
      <c r="I96" s="306" t="n">
        <f aca="false" t="array" ref="I96:I96">INDEX(PalData,MATCH($B96,PalNames,0)+1,MATCH("ActiveSkillBonus4",PalData_Header,0))</f>
        <v>2.5</v>
      </c>
      <c r="J96" s="45" t="str">
        <f aca="false">IFERROR(__xludf.dummyfunction("IFERROR(INDEX(SkillData,MATCH(Arrayformula(ARRAY_CONSTRAIN(FILTER(INDIRECT(""PalData!""&amp;ADDRESS(MATCH(B96,PalNames,0)+1,(MATCH(""Passive0c"",PalData_Header,0)))&amp;"":""&amp;ADDRESS(MATCH(B96,PalNames,0)+1,(MATCH(""Passive0c"",PalData_Header,0))+4)),LEN(INDIRECT"&amp;"(""PalData!""&amp;ADDRESS(MATCH(B96,PalNames,0)+1,(MATCH(""Passive0c"",PalData_Header,0)))&amp;"":""&amp;ADDRESS(MATCH(B96,PalNames,0)+1,(MATCH(""Passive0c"",PalData_Header,0))+4)))&gt;0),1,1)),SkillDataCodeName,0)+1,MATCH(""EffectTypeCombined"",SkillData_Header,0)))"),"FindCloth")</f>
        <v>FindCloth</v>
      </c>
      <c r="K96" s="45" t="str">
        <f aca="false">IFERROR(__xludf.dummyfunction("IFERROR(INDEX(SkillData,MATCH(Arrayformula(ARRAY_CONSTRAIN(FILTER(INDIRECT(""PalData!""&amp;ADDRESS(MATCH(B96,PalNames,0)+1,(MATCH(""Passive0c"",PalData_Header,0)))&amp;"":""&amp;ADDRESS(MATCH(B96,PalNames,0)+1,(MATCH(""Passive0c"",PalData_Header,0))+4)),LEN(INDIRECT"&amp;"(""PalData!""&amp;ADDRESS(MATCH(B96,PalNames,0)+1,(MATCH(""Passive0c"",PalData_Header,0)))&amp;"":""&amp;ADDRESS(MATCH(B96,PalNames,0)+1,(MATCH(""Passive0c"",PalData_Header,0))+4)))&gt;0),1,1)),SkillDataCodeName,0)+1,MATCH(""TargetType1"",SkillData_Header,0)))"),"")</f>
        <v/>
      </c>
      <c r="L96" s="45" t="e">
        <f aca="false" t="array" ref="L96:L96">IF(INDEX(PalData,MATCH($B96,PalNames,0)+1,MATCH("Passive0cCondition",PalData_Header,0))=IFERROR(INDEX(SkillData,MATCH(INDEX(PalData,MATCH($B96,PalNames,0)+1,MATCH("Passive0c",PalData_Header,0)),SkillDataCodeName,0)+1,MATCH("Conditions",SkillData_Header,0))),INDEX(PalData,MATCH($B96,PalNames,0)+1,MATCH("Passive0cCondition",PalData_Header,0)),INDEX(PalData,MATCH($B96,PalNames,0)+1,MATCH("Passive0cCondition",PalData_Header,0)) &amp; IF(ISBLANK(INDEX(PalData,MATCH($B96,PalNames,0)+1,MATCH("Passive0cCondition",PalData_Header,0))),," ")&amp;IFERROR(INDEX(SkillData,MATCH(INDEX(PalData,MATCH($B96,PalNames,0)+1,MATCH("Passive0c",PalData_Header,0)),SkillDataCodeName,0)+1,MATCH("Conditions",SkillData_Header,0))))</f>
        <v>#VALUE!</v>
      </c>
      <c r="M96" s="45" t="str">
        <f aca="false">IFERROR(__xludf.dummyfunction("IFERROR(INDEX(SkillData,MATCH(Arrayformula(ARRAY_CONSTRAIN(FILTER(INDIRECT(""PalData!""&amp;ADDRESS(MATCH(B96,PalNames,0)+1,(MATCH(""Passive0c"",PalData_Header,0)))&amp;"":""&amp;ADDRESS(MATCH(B96,PalNames,0)+1,(MATCH(""Passive0c"",PalData_Header,0))+4)),LEN(INDIRECT"&amp;"(""PalData!""&amp;ADDRESS(MATCH(B96,PalNames,0)+1,(MATCH(""Passive0c"",PalData_Header,0)))&amp;"":""&amp;ADDRESS(MATCH(B96,PalNames,0)+1,(MATCH(""Passive0c"",PalData_Header,0))+4)))&gt;0),1,1)),SkillDataCodeName,0)+1,MATCH(""ValueType1"",SkillData_Header,0)))"),"(min,max)")</f>
        <v>(min,max)</v>
      </c>
      <c r="N96" s="45" t="e">
        <f aca="false" t="array" ref="N96:N96">IFERROR(INDEX(SkillData,MATCH(INDEX(PalData,MATCH($B96,PalNames,0)+1,MATCH("Passive0c",PalData_Header,0)),SkillDataCodeName,0)+1,MATCH("EffectValue1",SkillData_Header,0)))</f>
        <v>#VALUE!</v>
      </c>
      <c r="O96" s="45" t="e">
        <f aca="false" t="array" ref="O96:O96">IFERROR(INDEX(SkillData,MATCH(INDEX(PalData,MATCH($B96,PalNames,0)+1,MATCH("Passive1c",PalData_Header,0)),SkillDataCodeName,0)+1,MATCH("EffectValue1",SkillData_Header,0)))</f>
        <v>#VALUE!</v>
      </c>
      <c r="P96" s="45" t="e">
        <f aca="false" t="array" ref="P96:P96">IFERROR(INDEX(SkillData,MATCH(INDEX(PalData,MATCH($B96,PalNames,0)+1,MATCH("Passive2c",PalData_Header,0)),SkillDataCodeName,0)+1,MATCH("EffectValue1",SkillData_Header,0)))</f>
        <v>#VALUE!</v>
      </c>
      <c r="Q96" s="45" t="e">
        <f aca="false" t="array" ref="Q96:Q96">IFERROR(INDEX(SkillData,MATCH(INDEX(PalData,MATCH($B96,PalNames,0)+1,MATCH("Passive3c",PalData_Header,0)),SkillDataCodeName,0)+1,MATCH("EffectValue1",SkillData_Header,0)))</f>
        <v>#VALUE!</v>
      </c>
      <c r="R96" s="260" t="e">
        <f aca="false" t="array" ref="R96:R96">IFERROR(INDEX(SkillData,MATCH(INDEX(PalData,MATCH($B96,PalNames,0)+1,MATCH("Passive4c",PalData_Header,0)),SkillDataCodeName,0)+1,MATCH("EffectValue1",SkillData_Header,0)))</f>
        <v>#VALUE!</v>
      </c>
      <c r="S96" s="45" t="str">
        <f aca="false">IFERROR(__xludf.dummyfunction("IFERROR(INDEX(SkillData,MATCH(Arrayformula(ARRAY_CONSTRAIN(FILTER(INDIRECT(""PalData!""&amp;ADDRESS(MATCH(B96,PalNames,0)+1,(MATCH(""Passive0a"",PalData_Header,0)))&amp;"":""&amp;ADDRESS(MATCH(B96,PalNames,0)+1,(MATCH(""Passive0a"",PalData_Header,0))+4)),LEN(INDIRECT"&amp;"(""PalData!""&amp;ADDRESS(MATCH(B96,PalNames,0)+1,(MATCH(""Passive0a"",PalData_Header,0)))&amp;"":""&amp;ADDRESS(MATCH(B96,PalNames,0)+1,(MATCH(""Passive0a"",PalData_Header,0))+4)))&gt;0),1,1)),SkillDataCodeName,0)+1,MATCH(""EffectTypeCombined"",SkillData_Header,0)))"),"")</f>
        <v/>
      </c>
      <c r="T96" s="45" t="str">
        <f aca="false">IFERROR(__xludf.dummyfunction("IFERROR(INDEX(SkillData,MATCH(Arrayformula(ARRAY_CONSTRAIN(FILTER(INDIRECT(""PalData!""&amp;ADDRESS(MATCH(B96,PalNames,0)+1,(MATCH(""Passive0a"",PalData_Header,0)))&amp;"":""&amp;ADDRESS(MATCH(B96,PalNames,0)+1,(MATCH(""Passive0a"",PalData_Header,0))+4)),LEN(INDIRECT"&amp;"(""PalData!""&amp;ADDRESS(MATCH(B96,PalNames,0)+1,(MATCH(""Passive0a"",PalData_Header,0)))&amp;"":""&amp;ADDRESS(MATCH(B96,PalNames,0)+1,(MATCH(""Passive0a"",PalData_Header,0))+4)))&gt;0),1,1)),SkillDataCodeName,0)+1,MATCH(""TargetType1"",SkillData_Header,0)))"),"")</f>
        <v/>
      </c>
      <c r="U96" s="45" t="e">
        <f aca="false" t="array" ref="U96:U96">IF(INDEX(PalData,MATCH($B96,PalNames,0)+1,MATCH("Passive0aCondition",PalData_Header,0))=IFERROR(INDEX(SkillData,MATCH(INDEX(PalData,MATCH($B96,PalNames,0)+1,MATCH("Passive0a",PalData_Header,0)),SkillDataCodeName,0)+1,MATCH("Conditions",SkillData_Header,0))),INDEX(PalData,MATCH($B96,PalNames,0)+1,MATCH("Passive0aCondition",PalData_Header,0)),INDEX(PalData,MATCH($B96,PalNames,0)+1,MATCH("Passive0aCondition",PalData_Header,0)) &amp; IF(ISBLANK(INDEX(PalData,MATCH($B96,PalNames,0)+1,MATCH("Passive0aCondition",PalData_Header,0))),," ")&amp;IFERROR(INDEX(SkillData,MATCH(INDEX(PalData,MATCH($B96,PalNames,0)+1,MATCH("Passive0a",PalData_Header,0)),SkillDataCodeName,0)+1,MATCH("Conditions",SkillData_Header,0))))</f>
        <v>#N/A</v>
      </c>
      <c r="V96" s="45" t="str">
        <f aca="false">IFERROR(__xludf.dummyfunction("IFERROR(INDEX(SkillData,MATCH(Arrayformula(ARRAY_CONSTRAIN(FILTER(INDIRECT(""PalData!""&amp;ADDRESS(MATCH(B96,PalNames,0)+1,(MATCH(""Passive0a"",PalData_Header,0)))&amp;"":""&amp;ADDRESS(MATCH(B96,PalNames,0)+1,(MATCH(""Passive0a"",PalData_Header,0))+4)),LEN(INDIRECT"&amp;"(""PalData!""&amp;ADDRESS(MATCH(B96,PalNames,0)+1,(MATCH(""Passive0a"",PalData_Header,0)))&amp;"":""&amp;ADDRESS(MATCH(B96,PalNames,0)+1,(MATCH(""Passive0a"",PalData_Header,0))+4)))&gt;0),1,1)),SkillDataCodeName,0)+1,MATCH(""ValueType1"",SkillData_Header,0)))"),"")</f>
        <v/>
      </c>
      <c r="W96" s="45" t="n">
        <f aca="false">IFERROR(INDEX(SkillData,MATCH(INDEX(PalData,MATCH($B96,PalNames,0)+1,MATCH("Passive0a",PalData_Header,0)),SkillDataCodeName,0)+1,MATCH("EffectValue1",SkillData_Header,0)),)</f>
        <v>0</v>
      </c>
      <c r="X96" s="45" t="n">
        <f aca="false">IFERROR(INDEX(SkillData,MATCH(INDEX(PalData,MATCH($B96,PalNames,0)+1,MATCH("Passive1a",PalData_Header,0)),SkillDataCodeName,0)+1,MATCH("EffectValue1",SkillData_Header,0)),)</f>
        <v>0</v>
      </c>
      <c r="Y96" s="45" t="n">
        <f aca="false">IFERROR(INDEX(SkillData,MATCH(INDEX(PalData,MATCH($B96,PalNames,0)+1,MATCH("Passive2a",PalData_Header,0)),SkillDataCodeName,0)+1,MATCH("EffectValue1",SkillData_Header,0)),)</f>
        <v>0</v>
      </c>
      <c r="Z96" s="45" t="n">
        <f aca="false">IFERROR(INDEX(SkillData,MATCH(INDEX(PalData,MATCH($B96,PalNames,0)+1,MATCH("Passive3a",PalData_Header,0)),SkillDataCodeName,0)+1,MATCH("EffectValue1",SkillData_Header,0)),)</f>
        <v>0</v>
      </c>
      <c r="AA96" s="260" t="n">
        <f aca="false">IFERROR(INDEX(SkillData,MATCH(INDEX(PalData,MATCH($B96,PalNames,0)+1,MATCH("Passive4a",PalData_Header,0)),SkillDataCodeName,0)+1,MATCH("EffectValue1",SkillData_Header,0)),)</f>
        <v>0</v>
      </c>
      <c r="AB96" s="45" t="str">
        <f aca="false">IFERROR(__xludf.dummyfunction("IFERROR(INDEX(SkillData,MATCH(Arrayformula(ARRAY_CONSTRAIN(FILTER(INDIRECT(""PalData!""&amp;ADDRESS(MATCH(B96,PalNames,0)+1,(MATCH(""Passive0b"",PalData_Header,0)))&amp;"":""&amp;ADDRESS(MATCH(B96,PalNames,0)+1,(MATCH(""Passive0b"",PalData_Header,0))+4)),LEN(INDIRECT"&amp;"(""PalData!""&amp;ADDRESS(MATCH(B96,PalNames,0)+1,(MATCH(""Passive0b"",PalData_Header,0)))&amp;"":""&amp;ADDRESS(MATCH(B96,PalNames,0)+1,(MATCH(""Passive0b"",PalData_Header,0))+4)))&gt;0),1,1)),SkillDataCodeName,0)+1,MATCH(""EffectTypeCombined"",SkillData_Header,0)))"),"")</f>
        <v/>
      </c>
      <c r="AC96" s="45" t="str">
        <f aca="false">IFERROR(__xludf.dummyfunction("IFERROR(INDEX(SkillData,MATCH(Arrayformula(ARRAY_CONSTRAIN(FILTER(INDIRECT(""PalData!""&amp;ADDRESS(MATCH(B96,PalNames,0)+1,(MATCH(""Passive0b"",PalData_Header,0)))&amp;"":""&amp;ADDRESS(MATCH(B96,PalNames,0)+1,(MATCH(""Passive0b"",PalData_Header,0))+4)),LEN(INDIRECT"&amp;"(""PalData!""&amp;ADDRESS(MATCH(B96,PalNames,0)+1,(MATCH(""Passive0b"",PalData_Header,0)))&amp;"":""&amp;ADDRESS(MATCH(B96,PalNames,0)+1,(MATCH(""Passive0b"",PalData_Header,0))+4)))&gt;0),1,1)),SkillDataCodeName,0)+1,MATCH(""TargetType1"",SkillData_Header,0)))"),"")</f>
        <v/>
      </c>
      <c r="AD96" s="45" t="e">
        <f aca="false" t="array" ref="AD96:AD96">IF(INDEX(PalData,MATCH($B96,PalNames,0)+1,MATCH("Passive0bCondition",PalData_Header,0))=IFERROR(INDEX(SkillData,MATCH(INDEX(PalData,MATCH($B96,PalNames,0)+1,MATCH("Passive0b",PalData_Header,0)),SkillDataCodeName,0)+1,MATCH("Conditions",SkillData_Header,0))),INDEX(PalData,MATCH($B96,PalNames,0)+1,MATCH("Passive0bCondition",PalData_Header,0)),INDEX(PalData,MATCH($B96,PalNames,0)+1,MATCH("Passive0bCondition",PalData_Header,0)) &amp; IF(ISBLANK(INDEX(PalData,MATCH($B96,PalNames,0)+1,MATCH("Passive0bCondition",PalData_Header,0))),," ")&amp;IFERROR(INDEX(SkillData,MATCH(INDEX(PalData,MATCH($B96,PalNames,0)+1,MATCH("Passive0b",PalData_Header,0)),SkillDataCodeName,0)+1,MATCH("Conditions",SkillData_Header,0))))</f>
        <v>#N/A</v>
      </c>
      <c r="AE96" s="45" t="str">
        <f aca="false">IFERROR(__xludf.dummyfunction("IFERROR(INDEX(SkillData,MATCH(Arrayformula(ARRAY_CONSTRAIN(FILTER(INDIRECT(""PalData!""&amp;ADDRESS(MATCH(B96,PalNames,0)+1,(MATCH(""Passive0b"",PalData_Header,0)))&amp;"":""&amp;ADDRESS(MATCH(B96,PalNames,0)+1,(MATCH(""Passive0b"",PalData_Header,0))+4)),LEN(INDIRECT"&amp;"(""PalData!""&amp;ADDRESS(MATCH(B96,PalNames,0)+1,(MATCH(""Passive0b"",PalData_Header,0)))&amp;"":""&amp;ADDRESS(MATCH(B96,PalNames,0)+1,(MATCH(""Passive0b"",PalData_Header,0))+4)))&gt;0),1,1)),SkillDataCodeName,0)+1,MATCH(""ValueType1"",SkillData_Header,0)))"),"")</f>
        <v/>
      </c>
      <c r="AF96" s="45" t="n">
        <f aca="false">IFERROR(INDEX(SkillData,MATCH(INDEX(PalData,MATCH($B96,PalNames,0)+1,MATCH("Passive0b",PalData_Header,0)),SkillDataCodeName,0)+1,MATCH("EffectValue1",SkillData_Header,0)),)</f>
        <v>0</v>
      </c>
      <c r="AG96" s="45" t="n">
        <f aca="false">IFERROR(INDEX(SkillData,MATCH(INDEX(PalData,MATCH($B96,PalNames,0)+1,MATCH("Passive1b",PalData_Header,0)),SkillDataCodeName,0)+1,MATCH("EffectValue1",SkillData_Header,0)),)</f>
        <v>0</v>
      </c>
      <c r="AH96" s="45" t="n">
        <f aca="false">IFERROR(INDEX(SkillData,MATCH(INDEX(PalData,MATCH($B96,PalNames,0)+1,MATCH("Passive2b",PalData_Header,0)),SkillDataCodeName,0)+1,MATCH("EffectValue1",SkillData_Header,0)),)</f>
        <v>0</v>
      </c>
      <c r="AI96" s="45" t="n">
        <f aca="false">IFERROR(INDEX(SkillData,MATCH(INDEX(PalData,MATCH($B96,PalNames,0)+1,MATCH("Passive3b",PalData_Header,0)),SkillDataCodeName,0)+1,MATCH("EffectValue1",SkillData_Header,0)),)</f>
        <v>0</v>
      </c>
      <c r="AJ96" s="260" t="n">
        <f aca="false">IFERROR(INDEX(SkillData,MATCH(INDEX(PalData,MATCH($B96,PalNames,0)+1,MATCH("Passive4b",PalData_Header,0)),SkillDataCodeName,0)+1,MATCH("EffectValue1",SkillData_Header,0)),)</f>
        <v>0</v>
      </c>
      <c r="AK96" s="301" t="s">
        <v>360</v>
      </c>
    </row>
    <row r="97" customFormat="false" ht="15.75" hidden="false" customHeight="false" outlineLevel="0" collapsed="false">
      <c r="A97" s="302" t="n">
        <v>80</v>
      </c>
      <c r="B97" s="303" t="s">
        <v>51</v>
      </c>
      <c r="C97" s="48" t="str">
        <f aca="false" t="array" ref="C97:C97">IF(ISBLANK(INDEX(PalData,MATCH($B97,PalNames,0)+1,MATCH("ActiveSkill",PalData_Header,0))),INDEX(PalData,MATCH($B97,PalNames,0)+1,MATCH("SkillUnlock_",PalData_Header,0)),INDEX(PalData,MATCH($B97,PalNames,0)+1,MATCH("ActiveSkill",PalData_Header,0)))</f>
        <v>Saddle</v>
      </c>
      <c r="D97" s="48"/>
      <c r="E97" s="48" t="n">
        <f aca="false">INDEX(PalData,MATCH($B97,PalNames,0)+1,MATCH("ActiveSkillBonus0",PalData_Header,0))</f>
        <v>0</v>
      </c>
      <c r="F97" s="48" t="n">
        <f aca="false">INDEX(PalData,MATCH($B97,PalNames,0)+1,MATCH("ActiveSkillBonus1",PalData_Header,0))</f>
        <v>0</v>
      </c>
      <c r="G97" s="48" t="n">
        <f aca="false">INDEX(PalData,MATCH($B97,PalNames,0)+1,MATCH("ActiveSkillBonus2",PalData_Header,0))</f>
        <v>0</v>
      </c>
      <c r="H97" s="48" t="n">
        <f aca="false">INDEX(PalData,MATCH($B97,PalNames,0)+1,MATCH("ActiveSkillBonus3",PalData_Header,0))</f>
        <v>0</v>
      </c>
      <c r="I97" s="263" t="n">
        <f aca="false">INDEX(PalData,MATCH($B97,PalNames,0)+1,MATCH("ActiveSkillBonus4",PalData_Header,0))</f>
        <v>0</v>
      </c>
      <c r="J97" s="48" t="str">
        <f aca="false">IFERROR(__xludf.dummyfunction("IFERROR(INDEX(SkillData,MATCH(Arrayformula(ARRAY_CONSTRAIN(FILTER(INDIRECT(""PalData!""&amp;ADDRESS(MATCH(B97,PalNames,0)+1,(MATCH(""Passive0c"",PalData_Header,0)))&amp;"":""&amp;ADDRESS(MATCH(B97,PalNames,0)+1,(MATCH(""Passive0c"",PalData_Header,0))+4)),LEN(INDIRECT"&amp;"(""PalData!""&amp;ADDRESS(MATCH(B97,PalNames,0)+1,(MATCH(""Passive0c"",PalData_Header,0)))&amp;"":""&amp;ADDRESS(MATCH(B97,PalNames,0)+1,(MATCH(""Passive0c"",PalData_Header,0))+4)))&gt;0),1,1)),SkillDataCodeName,0)+1,MATCH(""EffectTypeCombined"",SkillData_Header,0)))"),"ElementAddItemDrop_Dark")</f>
        <v>ElementAddItemDrop_Dark</v>
      </c>
      <c r="K97" s="48" t="str">
        <f aca="false">IFERROR(__xludf.dummyfunction("IFERROR(INDEX(SkillData,MATCH(Arrayformula(ARRAY_CONSTRAIN(FILTER(INDIRECT(""PalData!""&amp;ADDRESS(MATCH(B97,PalNames,0)+1,(MATCH(""Passive0c"",PalData_Header,0)))&amp;"":""&amp;ADDRESS(MATCH(B97,PalNames,0)+1,(MATCH(""Passive0c"",PalData_Header,0))+4)),LEN(INDIRECT"&amp;"(""PalData!""&amp;ADDRESS(MATCH(B97,PalNames,0)+1,(MATCH(""Passive0c"",PalData_Header,0)))&amp;"":""&amp;ADDRESS(MATCH(B97,PalNames,0)+1,(MATCH(""Passive0c"",PalData_Header,0))+4)))&gt;0),1,1)),SkillDataCodeName,0)+1,MATCH(""TargetType1"",SkillData_Header,0)))"),"SelfAndTrainer")</f>
        <v>SelfAndTrainer</v>
      </c>
      <c r="L97" s="48" t="e">
        <f aca="false" t="array" ref="L97:L97">IF(INDEX(PalData,MATCH($B97,PalNames,0)+1,MATCH("Passive0cCondition",PalData_Header,0))=IFERROR(INDEX(SkillData,MATCH(INDEX(PalData,MATCH($B97,PalNames,0)+1,MATCH("Passive0c",PalData_Header,0)),SkillDataCodeName,0)+1,MATCH("Conditions",SkillData_Header,0))),INDEX(PalData,MATCH($B97,PalNames,0)+1,MATCH("Passive0cCondition",PalData_Header,0)),INDEX(PalData,MATCH($B97,PalNames,0)+1,MATCH("Passive0cCondition",PalData_Header,0)) &amp; IF(ISBLANK(INDEX(PalData,MATCH($B97,PalNames,0)+1,MATCH("Passive0cCondition",PalData_Header,0))),," ")&amp;IFERROR(INDEX(SkillData,MATCH(INDEX(PalData,MATCH($B97,PalNames,0)+1,MATCH("Passive0c",PalData_Header,0)),SkillDataCodeName,0)+1,MATCH("Conditions",SkillData_Header,0))))</f>
        <v>#VALUE!</v>
      </c>
      <c r="M97" s="48" t="str">
        <f aca="false">IFERROR(__xludf.dummyfunction("IFERROR(INDEX(SkillData,MATCH(Arrayformula(ARRAY_CONSTRAIN(FILTER(INDIRECT(""PalData!""&amp;ADDRESS(MATCH(B97,PalNames,0)+1,(MATCH(""Passive0c"",PalData_Header,0)))&amp;"":""&amp;ADDRESS(MATCH(B97,PalNames,0)+1,(MATCH(""Passive0c"",PalData_Header,0))+4)),LEN(INDIRECT"&amp;"(""PalData!""&amp;ADDRESS(MATCH(B97,PalNames,0)+1,(MATCH(""Passive0c"",PalData_Header,0)))&amp;"":""&amp;ADDRESS(MATCH(B97,PalNames,0)+1,(MATCH(""Passive0c"",PalData_Header,0))+4)))&gt;0),1,1)),SkillDataCodeName,0)+1,MATCH(""ValueType1"",SkillData_Header,0)))"),"%")</f>
        <v>%</v>
      </c>
      <c r="N97" s="61" t="e">
        <f aca="false" t="array" ref="N97:N97">IFERROR(INDEX(SkillData,MATCH(INDEX(PalData,MATCH($B97,PalNames,0)+1,MATCH("Passive0c",PalData_Header,0)),SkillDataCodeName,0)+1,MATCH("EffectValue1",SkillData_Header,0)))</f>
        <v>#VALUE!</v>
      </c>
      <c r="O97" s="61" t="e">
        <f aca="false" t="array" ref="O97:O97">IFERROR(INDEX(SkillData,MATCH(INDEX(PalData,MATCH($B97,PalNames,0)+1,MATCH("Passive1c",PalData_Header,0)),SkillDataCodeName,0)+1,MATCH("EffectValue1",SkillData_Header,0)))</f>
        <v>#VALUE!</v>
      </c>
      <c r="P97" s="61" t="e">
        <f aca="false" t="array" ref="P97:P97">IFERROR(INDEX(SkillData,MATCH(INDEX(PalData,MATCH($B97,PalNames,0)+1,MATCH("Passive2c",PalData_Header,0)),SkillDataCodeName,0)+1,MATCH("EffectValue1",SkillData_Header,0)))</f>
        <v>#VALUE!</v>
      </c>
      <c r="Q97" s="61" t="e">
        <f aca="false" t="array" ref="Q97:Q97">IFERROR(INDEX(SkillData,MATCH(INDEX(PalData,MATCH($B97,PalNames,0)+1,MATCH("Passive3c",PalData_Header,0)),SkillDataCodeName,0)+1,MATCH("EffectValue1",SkillData_Header,0)))</f>
        <v>#VALUE!</v>
      </c>
      <c r="R97" s="304" t="e">
        <f aca="false" t="array" ref="R97:R97">IFERROR(INDEX(SkillData,MATCH(INDEX(PalData,MATCH($B97,PalNames,0)+1,MATCH("Passive4c",PalData_Header,0)),SkillDataCodeName,0)+1,MATCH("EffectValue1",SkillData_Header,0)))</f>
        <v>#VALUE!</v>
      </c>
      <c r="S97" s="48" t="str">
        <f aca="false">IFERROR(__xludf.dummyfunction("IFERROR(INDEX(SkillData,MATCH(Arrayformula(ARRAY_CONSTRAIN(FILTER(INDIRECT(""PalData!""&amp;ADDRESS(MATCH(B97,PalNames,0)+1,(MATCH(""Passive0a"",PalData_Header,0)))&amp;"":""&amp;ADDRESS(MATCH(B97,PalNames,0)+1,(MATCH(""Passive0a"",PalData_Header,0))+4)),LEN(INDIRECT"&amp;"(""PalData!""&amp;ADDRESS(MATCH(B97,PalNames,0)+1,(MATCH(""Passive0a"",PalData_Header,0)))&amp;"":""&amp;ADDRESS(MATCH(B97,PalNames,0)+1,(MATCH(""Passive0a"",PalData_Header,0))+4)))&gt;0),1,1)),SkillDataCodeName,0)+1,MATCH(""EffectTypeCombined"",SkillData_Header,0)))"),"")</f>
        <v/>
      </c>
      <c r="T97" s="48" t="str">
        <f aca="false">IFERROR(__xludf.dummyfunction("IFERROR(INDEX(SkillData,MATCH(Arrayformula(ARRAY_CONSTRAIN(FILTER(INDIRECT(""PalData!""&amp;ADDRESS(MATCH(B97,PalNames,0)+1,(MATCH(""Passive0a"",PalData_Header,0)))&amp;"":""&amp;ADDRESS(MATCH(B97,PalNames,0)+1,(MATCH(""Passive0a"",PalData_Header,0))+4)),LEN(INDIRECT"&amp;"(""PalData!""&amp;ADDRESS(MATCH(B97,PalNames,0)+1,(MATCH(""Passive0a"",PalData_Header,0)))&amp;"":""&amp;ADDRESS(MATCH(B97,PalNames,0)+1,(MATCH(""Passive0a"",PalData_Header,0))+4)))&gt;0),1,1)),SkillDataCodeName,0)+1,MATCH(""TargetType1"",SkillData_Header,0)))"),"")</f>
        <v/>
      </c>
      <c r="U97" s="48" t="e">
        <f aca="false" t="array" ref="U97:U97">IF(INDEX(PalData,MATCH($B97,PalNames,0)+1,MATCH("Passive0aCondition",PalData_Header,0))=IFERROR(INDEX(SkillData,MATCH(INDEX(PalData,MATCH($B97,PalNames,0)+1,MATCH("Passive0a",PalData_Header,0)),SkillDataCodeName,0)+1,MATCH("Conditions",SkillData_Header,0))),INDEX(PalData,MATCH($B97,PalNames,0)+1,MATCH("Passive0aCondition",PalData_Header,0)),INDEX(PalData,MATCH($B97,PalNames,0)+1,MATCH("Passive0aCondition",PalData_Header,0)) &amp; IF(ISBLANK(INDEX(PalData,MATCH($B97,PalNames,0)+1,MATCH("Passive0aCondition",PalData_Header,0))),," ")&amp;IFERROR(INDEX(SkillData,MATCH(INDEX(PalData,MATCH($B97,PalNames,0)+1,MATCH("Passive0a",PalData_Header,0)),SkillDataCodeName,0)+1,MATCH("Conditions",SkillData_Header,0))))</f>
        <v>#N/A</v>
      </c>
      <c r="V97" s="48" t="str">
        <f aca="false">IFERROR(__xludf.dummyfunction("IFERROR(INDEX(SkillData,MATCH(Arrayformula(ARRAY_CONSTRAIN(FILTER(INDIRECT(""PalData!""&amp;ADDRESS(MATCH(B97,PalNames,0)+1,(MATCH(""Passive0a"",PalData_Header,0)))&amp;"":""&amp;ADDRESS(MATCH(B97,PalNames,0)+1,(MATCH(""Passive0a"",PalData_Header,0))+4)),LEN(INDIRECT"&amp;"(""PalData!""&amp;ADDRESS(MATCH(B97,PalNames,0)+1,(MATCH(""Passive0a"",PalData_Header,0)))&amp;"":""&amp;ADDRESS(MATCH(B97,PalNames,0)+1,(MATCH(""Passive0a"",PalData_Header,0))+4)))&gt;0),1,1)),SkillDataCodeName,0)+1,MATCH(""ValueType1"",SkillData_Header,0)))"),"")</f>
        <v/>
      </c>
      <c r="W97" s="48" t="n">
        <f aca="false">IFERROR(INDEX(SkillData,MATCH(INDEX(PalData,MATCH($B97,PalNames,0)+1,MATCH("Passive0a",PalData_Header,0)),SkillDataCodeName,0)+1,MATCH("EffectValue1",SkillData_Header,0)),)</f>
        <v>0</v>
      </c>
      <c r="X97" s="48" t="n">
        <f aca="false">IFERROR(INDEX(SkillData,MATCH(INDEX(PalData,MATCH($B97,PalNames,0)+1,MATCH("Passive1a",PalData_Header,0)),SkillDataCodeName,0)+1,MATCH("EffectValue1",SkillData_Header,0)),)</f>
        <v>0</v>
      </c>
      <c r="Y97" s="48" t="n">
        <f aca="false">IFERROR(INDEX(SkillData,MATCH(INDEX(PalData,MATCH($B97,PalNames,0)+1,MATCH("Passive2a",PalData_Header,0)),SkillDataCodeName,0)+1,MATCH("EffectValue1",SkillData_Header,0)),)</f>
        <v>0</v>
      </c>
      <c r="Z97" s="48" t="n">
        <f aca="false">IFERROR(INDEX(SkillData,MATCH(INDEX(PalData,MATCH($B97,PalNames,0)+1,MATCH("Passive3a",PalData_Header,0)),SkillDataCodeName,0)+1,MATCH("EffectValue1",SkillData_Header,0)),)</f>
        <v>0</v>
      </c>
      <c r="AA97" s="263" t="n">
        <f aca="false">IFERROR(INDEX(SkillData,MATCH(INDEX(PalData,MATCH($B97,PalNames,0)+1,MATCH("Passive4a",PalData_Header,0)),SkillDataCodeName,0)+1,MATCH("EffectValue1",SkillData_Header,0)),)</f>
        <v>0</v>
      </c>
      <c r="AB97" s="48" t="str">
        <f aca="false">IFERROR(__xludf.dummyfunction("IFERROR(INDEX(SkillData,MATCH(Arrayformula(ARRAY_CONSTRAIN(FILTER(INDIRECT(""PalData!""&amp;ADDRESS(MATCH(B97,PalNames,0)+1,(MATCH(""Passive0b"",PalData_Header,0)))&amp;"":""&amp;ADDRESS(MATCH(B97,PalNames,0)+1,(MATCH(""Passive0b"",PalData_Header,0))+4)),LEN(INDIRECT"&amp;"(""PalData!""&amp;ADDRESS(MATCH(B97,PalNames,0)+1,(MATCH(""Passive0b"",PalData_Header,0)))&amp;"":""&amp;ADDRESS(MATCH(B97,PalNames,0)+1,(MATCH(""Passive0b"",PalData_Header,0))+4)))&gt;0),1,1)),SkillDataCodeName,0)+1,MATCH(""EffectTypeCombined"",SkillData_Header,0)))"),"")</f>
        <v/>
      </c>
      <c r="AC97" s="48" t="str">
        <f aca="false">IFERROR(__xludf.dummyfunction("IFERROR(INDEX(SkillData,MATCH(Arrayformula(ARRAY_CONSTRAIN(FILTER(INDIRECT(""PalData!""&amp;ADDRESS(MATCH(B97,PalNames,0)+1,(MATCH(""Passive0b"",PalData_Header,0)))&amp;"":""&amp;ADDRESS(MATCH(B97,PalNames,0)+1,(MATCH(""Passive0b"",PalData_Header,0))+4)),LEN(INDIRECT"&amp;"(""PalData!""&amp;ADDRESS(MATCH(B97,PalNames,0)+1,(MATCH(""Passive0b"",PalData_Header,0)))&amp;"":""&amp;ADDRESS(MATCH(B97,PalNames,0)+1,(MATCH(""Passive0b"",PalData_Header,0))+4)))&gt;0),1,1)),SkillDataCodeName,0)+1,MATCH(""TargetType1"",SkillData_Header,0)))"),"")</f>
        <v/>
      </c>
      <c r="AD97" s="48" t="e">
        <f aca="false" t="array" ref="AD97:AD97">IF(INDEX(PalData,MATCH($B97,PalNames,0)+1,MATCH("Passive0bCondition",PalData_Header,0))=IFERROR(INDEX(SkillData,MATCH(INDEX(PalData,MATCH($B97,PalNames,0)+1,MATCH("Passive0b",PalData_Header,0)),SkillDataCodeName,0)+1,MATCH("Conditions",SkillData_Header,0))),INDEX(PalData,MATCH($B97,PalNames,0)+1,MATCH("Passive0bCondition",PalData_Header,0)),INDEX(PalData,MATCH($B97,PalNames,0)+1,MATCH("Passive0bCondition",PalData_Header,0)) &amp; IF(ISBLANK(INDEX(PalData,MATCH($B97,PalNames,0)+1,MATCH("Passive0bCondition",PalData_Header,0))),," ")&amp;IFERROR(INDEX(SkillData,MATCH(INDEX(PalData,MATCH($B97,PalNames,0)+1,MATCH("Passive0b",PalData_Header,0)),SkillDataCodeName,0)+1,MATCH("Conditions",SkillData_Header,0))))</f>
        <v>#N/A</v>
      </c>
      <c r="AE97" s="48" t="str">
        <f aca="false">IFERROR(__xludf.dummyfunction("IFERROR(INDEX(SkillData,MATCH(Arrayformula(ARRAY_CONSTRAIN(FILTER(INDIRECT(""PalData!""&amp;ADDRESS(MATCH(B97,PalNames,0)+1,(MATCH(""Passive0b"",PalData_Header,0)))&amp;"":""&amp;ADDRESS(MATCH(B97,PalNames,0)+1,(MATCH(""Passive0b"",PalData_Header,0))+4)),LEN(INDIRECT"&amp;"(""PalData!""&amp;ADDRESS(MATCH(B97,PalNames,0)+1,(MATCH(""Passive0b"",PalData_Header,0)))&amp;"":""&amp;ADDRESS(MATCH(B97,PalNames,0)+1,(MATCH(""Passive0b"",PalData_Header,0))+4)))&gt;0),1,1)),SkillDataCodeName,0)+1,MATCH(""ValueType1"",SkillData_Header,0)))"),"")</f>
        <v/>
      </c>
      <c r="AF97" s="48" t="n">
        <f aca="false">IFERROR(INDEX(SkillData,MATCH(INDEX(PalData,MATCH($B97,PalNames,0)+1,MATCH("Passive0b",PalData_Header,0)),SkillDataCodeName,0)+1,MATCH("EffectValue1",SkillData_Header,0)),)</f>
        <v>0</v>
      </c>
      <c r="AG97" s="48" t="n">
        <f aca="false">IFERROR(INDEX(SkillData,MATCH(INDEX(PalData,MATCH($B97,PalNames,0)+1,MATCH("Passive1b",PalData_Header,0)),SkillDataCodeName,0)+1,MATCH("EffectValue1",SkillData_Header,0)),)</f>
        <v>0</v>
      </c>
      <c r="AH97" s="48" t="n">
        <f aca="false">IFERROR(INDEX(SkillData,MATCH(INDEX(PalData,MATCH($B97,PalNames,0)+1,MATCH("Passive2b",PalData_Header,0)),SkillDataCodeName,0)+1,MATCH("EffectValue1",SkillData_Header,0)),)</f>
        <v>0</v>
      </c>
      <c r="AI97" s="48" t="n">
        <f aca="false">IFERROR(INDEX(SkillData,MATCH(INDEX(PalData,MATCH($B97,PalNames,0)+1,MATCH("Passive3b",PalData_Header,0)),SkillDataCodeName,0)+1,MATCH("EffectValue1",SkillData_Header,0)),)</f>
        <v>0</v>
      </c>
      <c r="AJ97" s="263" t="n">
        <f aca="false">IFERROR(INDEX(SkillData,MATCH(INDEX(PalData,MATCH($B97,PalNames,0)+1,MATCH("Passive4b",PalData_Header,0)),SkillDataCodeName,0)+1,MATCH("EffectValue1",SkillData_Header,0)),)</f>
        <v>0</v>
      </c>
      <c r="AK97" s="305" t="s">
        <v>361</v>
      </c>
    </row>
    <row r="98" customFormat="false" ht="15.75" hidden="false" customHeight="false" outlineLevel="0" collapsed="false">
      <c r="A98" s="299" t="n">
        <v>80</v>
      </c>
      <c r="B98" s="300" t="s">
        <v>52</v>
      </c>
      <c r="C98" s="45" t="str">
        <f aca="false" t="array" ref="C98:C98">IF(ISBLANK(INDEX(PalData,MATCH($B98,PalNames,0)+1,MATCH("ActiveSkill",PalData_Header,0))),INDEX(PalData,MATCH($B98,PalNames,0)+1,MATCH("SkillUnlock_",PalData_Header,0)),INDEX(PalData,MATCH($B98,PalNames,0)+1,MATCH("ActiveSkill",PalData_Header,0)))</f>
        <v>Saddle</v>
      </c>
      <c r="D98" s="45"/>
      <c r="E98" s="45" t="n">
        <f aca="false">INDEX(PalData,MATCH($B98,PalNames,0)+1,MATCH("ActiveSkillBonus0",PalData_Header,0))</f>
        <v>0</v>
      </c>
      <c r="F98" s="45" t="n">
        <f aca="false">INDEX(PalData,MATCH($B98,PalNames,0)+1,MATCH("ActiveSkillBonus1",PalData_Header,0))</f>
        <v>0</v>
      </c>
      <c r="G98" s="45" t="n">
        <f aca="false">INDEX(PalData,MATCH($B98,PalNames,0)+1,MATCH("ActiveSkillBonus2",PalData_Header,0))</f>
        <v>0</v>
      </c>
      <c r="H98" s="45" t="n">
        <f aca="false">INDEX(PalData,MATCH($B98,PalNames,0)+1,MATCH("ActiveSkillBonus3",PalData_Header,0))</f>
        <v>0</v>
      </c>
      <c r="I98" s="260" t="n">
        <f aca="false">INDEX(PalData,MATCH($B98,PalNames,0)+1,MATCH("ActiveSkillBonus4",PalData_Header,0))</f>
        <v>0</v>
      </c>
      <c r="J98" s="45" t="str">
        <f aca="false">IFERROR(__xludf.dummyfunction("IFERROR(INDEX(SkillData,MATCH(Arrayformula(ARRAY_CONSTRAIN(FILTER(INDIRECT(""PalData!""&amp;ADDRESS(MATCH(B98,PalNames,0)+1,(MATCH(""Passive0c"",PalData_Header,0)))&amp;"":""&amp;ADDRESS(MATCH(B98,PalNames,0)+1,(MATCH(""Passive0c"",PalData_Header,0))+4)),LEN(INDIRECT"&amp;"(""PalData!""&amp;ADDRESS(MATCH(B98,PalNames,0)+1,(MATCH(""Passive0c"",PalData_Header,0)))&amp;"":""&amp;ADDRESS(MATCH(B98,PalNames,0)+1,(MATCH(""Passive0c"",PalData_Header,0))+4)))&gt;0),1,1)),SkillDataCodeName,0)+1,MATCH(""EffectTypeCombined"",SkillData_Header,0)))"),"ElementAddItemDrop_Fire")</f>
        <v>ElementAddItemDrop_Fire</v>
      </c>
      <c r="K98" s="45" t="str">
        <f aca="false">IFERROR(__xludf.dummyfunction("IFERROR(INDEX(SkillData,MATCH(Arrayformula(ARRAY_CONSTRAIN(FILTER(INDIRECT(""PalData!""&amp;ADDRESS(MATCH(B98,PalNames,0)+1,(MATCH(""Passive0c"",PalData_Header,0)))&amp;"":""&amp;ADDRESS(MATCH(B98,PalNames,0)+1,(MATCH(""Passive0c"",PalData_Header,0))+4)),LEN(INDIRECT"&amp;"(""PalData!""&amp;ADDRESS(MATCH(B98,PalNames,0)+1,(MATCH(""Passive0c"",PalData_Header,0)))&amp;"":""&amp;ADDRESS(MATCH(B98,PalNames,0)+1,(MATCH(""Passive0c"",PalData_Header,0))+4)))&gt;0),1,1)),SkillDataCodeName,0)+1,MATCH(""TargetType1"",SkillData_Header,0)))"),"SelfAndTrainer")</f>
        <v>SelfAndTrainer</v>
      </c>
      <c r="L98" s="45" t="e">
        <f aca="false" t="array" ref="L98:L98">IF(INDEX(PalData,MATCH($B98,PalNames,0)+1,MATCH("Passive0cCondition",PalData_Header,0))=IFERROR(INDEX(SkillData,MATCH(INDEX(PalData,MATCH($B98,PalNames,0)+1,MATCH("Passive0c",PalData_Header,0)),SkillDataCodeName,0)+1,MATCH("Conditions",SkillData_Header,0))),INDEX(PalData,MATCH($B98,PalNames,0)+1,MATCH("Passive0cCondition",PalData_Header,0)),INDEX(PalData,MATCH($B98,PalNames,0)+1,MATCH("Passive0cCondition",PalData_Header,0)) &amp; IF(ISBLANK(INDEX(PalData,MATCH($B98,PalNames,0)+1,MATCH("Passive0cCondition",PalData_Header,0))),," ")&amp;IFERROR(INDEX(SkillData,MATCH(INDEX(PalData,MATCH($B98,PalNames,0)+1,MATCH("Passive0c",PalData_Header,0)),SkillDataCodeName,0)+1,MATCH("Conditions",SkillData_Header,0))))</f>
        <v>#VALUE!</v>
      </c>
      <c r="M98" s="45" t="str">
        <f aca="false">IFERROR(__xludf.dummyfunction("IFERROR(INDEX(SkillData,MATCH(Arrayformula(ARRAY_CONSTRAIN(FILTER(INDIRECT(""PalData!""&amp;ADDRESS(MATCH(B98,PalNames,0)+1,(MATCH(""Passive0c"",PalData_Header,0)))&amp;"":""&amp;ADDRESS(MATCH(B98,PalNames,0)+1,(MATCH(""Passive0c"",PalData_Header,0))+4)),LEN(INDIRECT"&amp;"(""PalData!""&amp;ADDRESS(MATCH(B98,PalNames,0)+1,(MATCH(""Passive0c"",PalData_Header,0)))&amp;"":""&amp;ADDRESS(MATCH(B98,PalNames,0)+1,(MATCH(""Passive0c"",PalData_Header,0))+4)))&gt;0),1,1)),SkillDataCodeName,0)+1,MATCH(""ValueType1"",SkillData_Header,0)))"),"%")</f>
        <v>%</v>
      </c>
      <c r="N98" s="62" t="e">
        <f aca="false" t="array" ref="N98:N98">IFERROR(INDEX(SkillData,MATCH(INDEX(PalData,MATCH($B98,PalNames,0)+1,MATCH("Passive0c",PalData_Header,0)),SkillDataCodeName,0)+1,MATCH("EffectValue1",SkillData_Header,0)))</f>
        <v>#VALUE!</v>
      </c>
      <c r="O98" s="62" t="e">
        <f aca="false" t="array" ref="O98:O98">IFERROR(INDEX(SkillData,MATCH(INDEX(PalData,MATCH($B98,PalNames,0)+1,MATCH("Passive1c",PalData_Header,0)),SkillDataCodeName,0)+1,MATCH("EffectValue1",SkillData_Header,0)))</f>
        <v>#VALUE!</v>
      </c>
      <c r="P98" s="62" t="e">
        <f aca="false" t="array" ref="P98:P98">IFERROR(INDEX(SkillData,MATCH(INDEX(PalData,MATCH($B98,PalNames,0)+1,MATCH("Passive2c",PalData_Header,0)),SkillDataCodeName,0)+1,MATCH("EffectValue1",SkillData_Header,0)))</f>
        <v>#VALUE!</v>
      </c>
      <c r="Q98" s="62" t="e">
        <f aca="false" t="array" ref="Q98:Q98">IFERROR(INDEX(SkillData,MATCH(INDEX(PalData,MATCH($B98,PalNames,0)+1,MATCH("Passive3c",PalData_Header,0)),SkillDataCodeName,0)+1,MATCH("EffectValue1",SkillData_Header,0)))</f>
        <v>#VALUE!</v>
      </c>
      <c r="R98" s="306" t="e">
        <f aca="false" t="array" ref="R98:R98">IFERROR(INDEX(SkillData,MATCH(INDEX(PalData,MATCH($B98,PalNames,0)+1,MATCH("Passive4c",PalData_Header,0)),SkillDataCodeName,0)+1,MATCH("EffectValue1",SkillData_Header,0)))</f>
        <v>#VALUE!</v>
      </c>
      <c r="S98" s="45" t="str">
        <f aca="false">IFERROR(__xludf.dummyfunction("IFERROR(INDEX(SkillData,MATCH(Arrayformula(ARRAY_CONSTRAIN(FILTER(INDIRECT(""PalData!""&amp;ADDRESS(MATCH(B98,PalNames,0)+1,(MATCH(""Passive0a"",PalData_Header,0)))&amp;"":""&amp;ADDRESS(MATCH(B98,PalNames,0)+1,(MATCH(""Passive0a"",PalData_Header,0))+4)),LEN(INDIRECT"&amp;"(""PalData!""&amp;ADDRESS(MATCH(B98,PalNames,0)+1,(MATCH(""Passive0a"",PalData_Header,0)))&amp;"":""&amp;ADDRESS(MATCH(B98,PalNames,0)+1,(MATCH(""Passive0a"",PalData_Header,0))+4)))&gt;0),1,1)),SkillDataCodeName,0)+1,MATCH(""EffectTypeCombined"",SkillData_Header,0)))"),"")</f>
        <v/>
      </c>
      <c r="T98" s="45" t="str">
        <f aca="false">IFERROR(__xludf.dummyfunction("IFERROR(INDEX(SkillData,MATCH(Arrayformula(ARRAY_CONSTRAIN(FILTER(INDIRECT(""PalData!""&amp;ADDRESS(MATCH(B98,PalNames,0)+1,(MATCH(""Passive0a"",PalData_Header,0)))&amp;"":""&amp;ADDRESS(MATCH(B98,PalNames,0)+1,(MATCH(""Passive0a"",PalData_Header,0))+4)),LEN(INDIRECT"&amp;"(""PalData!""&amp;ADDRESS(MATCH(B98,PalNames,0)+1,(MATCH(""Passive0a"",PalData_Header,0)))&amp;"":""&amp;ADDRESS(MATCH(B98,PalNames,0)+1,(MATCH(""Passive0a"",PalData_Header,0))+4)))&gt;0),1,1)),SkillDataCodeName,0)+1,MATCH(""TargetType1"",SkillData_Header,0)))"),"")</f>
        <v/>
      </c>
      <c r="U98" s="45" t="e">
        <f aca="false" t="array" ref="U98:U98">IF(INDEX(PalData,MATCH($B98,PalNames,0)+1,MATCH("Passive0aCondition",PalData_Header,0))=IFERROR(INDEX(SkillData,MATCH(INDEX(PalData,MATCH($B98,PalNames,0)+1,MATCH("Passive0a",PalData_Header,0)),SkillDataCodeName,0)+1,MATCH("Conditions",SkillData_Header,0))),INDEX(PalData,MATCH($B98,PalNames,0)+1,MATCH("Passive0aCondition",PalData_Header,0)),INDEX(PalData,MATCH($B98,PalNames,0)+1,MATCH("Passive0aCondition",PalData_Header,0)) &amp; IF(ISBLANK(INDEX(PalData,MATCH($B98,PalNames,0)+1,MATCH("Passive0aCondition",PalData_Header,0))),," ")&amp;IFERROR(INDEX(SkillData,MATCH(INDEX(PalData,MATCH($B98,PalNames,0)+1,MATCH("Passive0a",PalData_Header,0)),SkillDataCodeName,0)+1,MATCH("Conditions",SkillData_Header,0))))</f>
        <v>#N/A</v>
      </c>
      <c r="V98" s="45" t="str">
        <f aca="false">IFERROR(__xludf.dummyfunction("IFERROR(INDEX(SkillData,MATCH(Arrayformula(ARRAY_CONSTRAIN(FILTER(INDIRECT(""PalData!""&amp;ADDRESS(MATCH(B98,PalNames,0)+1,(MATCH(""Passive0a"",PalData_Header,0)))&amp;"":""&amp;ADDRESS(MATCH(B98,PalNames,0)+1,(MATCH(""Passive0a"",PalData_Header,0))+4)),LEN(INDIRECT"&amp;"(""PalData!""&amp;ADDRESS(MATCH(B98,PalNames,0)+1,(MATCH(""Passive0a"",PalData_Header,0)))&amp;"":""&amp;ADDRESS(MATCH(B98,PalNames,0)+1,(MATCH(""Passive0a"",PalData_Header,0))+4)))&gt;0),1,1)),SkillDataCodeName,0)+1,MATCH(""ValueType1"",SkillData_Header,0)))"),"")</f>
        <v/>
      </c>
      <c r="W98" s="45" t="n">
        <f aca="false">IFERROR(INDEX(SkillData,MATCH(INDEX(PalData,MATCH($B98,PalNames,0)+1,MATCH("Passive0a",PalData_Header,0)),SkillDataCodeName,0)+1,MATCH("EffectValue1",SkillData_Header,0)),)</f>
        <v>0</v>
      </c>
      <c r="X98" s="45" t="n">
        <f aca="false">IFERROR(INDEX(SkillData,MATCH(INDEX(PalData,MATCH($B98,PalNames,0)+1,MATCH("Passive1a",PalData_Header,0)),SkillDataCodeName,0)+1,MATCH("EffectValue1",SkillData_Header,0)),)</f>
        <v>0</v>
      </c>
      <c r="Y98" s="45" t="n">
        <f aca="false">IFERROR(INDEX(SkillData,MATCH(INDEX(PalData,MATCH($B98,PalNames,0)+1,MATCH("Passive2a",PalData_Header,0)),SkillDataCodeName,0)+1,MATCH("EffectValue1",SkillData_Header,0)),)</f>
        <v>0</v>
      </c>
      <c r="Z98" s="45" t="n">
        <f aca="false">IFERROR(INDEX(SkillData,MATCH(INDEX(PalData,MATCH($B98,PalNames,0)+1,MATCH("Passive3a",PalData_Header,0)),SkillDataCodeName,0)+1,MATCH("EffectValue1",SkillData_Header,0)),)</f>
        <v>0</v>
      </c>
      <c r="AA98" s="260" t="n">
        <f aca="false">IFERROR(INDEX(SkillData,MATCH(INDEX(PalData,MATCH($B98,PalNames,0)+1,MATCH("Passive4a",PalData_Header,0)),SkillDataCodeName,0)+1,MATCH("EffectValue1",SkillData_Header,0)),)</f>
        <v>0</v>
      </c>
      <c r="AB98" s="45" t="str">
        <f aca="false">IFERROR(__xludf.dummyfunction("IFERROR(INDEX(SkillData,MATCH(Arrayformula(ARRAY_CONSTRAIN(FILTER(INDIRECT(""PalData!""&amp;ADDRESS(MATCH(B98,PalNames,0)+1,(MATCH(""Passive0b"",PalData_Header,0)))&amp;"":""&amp;ADDRESS(MATCH(B98,PalNames,0)+1,(MATCH(""Passive0b"",PalData_Header,0))+4)),LEN(INDIRECT"&amp;"(""PalData!""&amp;ADDRESS(MATCH(B98,PalNames,0)+1,(MATCH(""Passive0b"",PalData_Header,0)))&amp;"":""&amp;ADDRESS(MATCH(B98,PalNames,0)+1,(MATCH(""Passive0b"",PalData_Header,0))+4)))&gt;0),1,1)),SkillDataCodeName,0)+1,MATCH(""EffectTypeCombined"",SkillData_Header,0)))"),"")</f>
        <v/>
      </c>
      <c r="AC98" s="45" t="str">
        <f aca="false">IFERROR(__xludf.dummyfunction("IFERROR(INDEX(SkillData,MATCH(Arrayformula(ARRAY_CONSTRAIN(FILTER(INDIRECT(""PalData!""&amp;ADDRESS(MATCH(B98,PalNames,0)+1,(MATCH(""Passive0b"",PalData_Header,0)))&amp;"":""&amp;ADDRESS(MATCH(B98,PalNames,0)+1,(MATCH(""Passive0b"",PalData_Header,0))+4)),LEN(INDIRECT"&amp;"(""PalData!""&amp;ADDRESS(MATCH(B98,PalNames,0)+1,(MATCH(""Passive0b"",PalData_Header,0)))&amp;"":""&amp;ADDRESS(MATCH(B98,PalNames,0)+1,(MATCH(""Passive0b"",PalData_Header,0))+4)))&gt;0),1,1)),SkillDataCodeName,0)+1,MATCH(""TargetType1"",SkillData_Header,0)))"),"")</f>
        <v/>
      </c>
      <c r="AD98" s="45" t="e">
        <f aca="false" t="array" ref="AD98:AD98">IF(INDEX(PalData,MATCH($B98,PalNames,0)+1,MATCH("Passive0bCondition",PalData_Header,0))=IFERROR(INDEX(SkillData,MATCH(INDEX(PalData,MATCH($B98,PalNames,0)+1,MATCH("Passive0b",PalData_Header,0)),SkillDataCodeName,0)+1,MATCH("Conditions",SkillData_Header,0))),INDEX(PalData,MATCH($B98,PalNames,0)+1,MATCH("Passive0bCondition",PalData_Header,0)),INDEX(PalData,MATCH($B98,PalNames,0)+1,MATCH("Passive0bCondition",PalData_Header,0)) &amp; IF(ISBLANK(INDEX(PalData,MATCH($B98,PalNames,0)+1,MATCH("Passive0bCondition",PalData_Header,0))),," ")&amp;IFERROR(INDEX(SkillData,MATCH(INDEX(PalData,MATCH($B98,PalNames,0)+1,MATCH("Passive0b",PalData_Header,0)),SkillDataCodeName,0)+1,MATCH("Conditions",SkillData_Header,0))))</f>
        <v>#N/A</v>
      </c>
      <c r="AE98" s="45" t="str">
        <f aca="false">IFERROR(__xludf.dummyfunction("IFERROR(INDEX(SkillData,MATCH(Arrayformula(ARRAY_CONSTRAIN(FILTER(INDIRECT(""PalData!""&amp;ADDRESS(MATCH(B98,PalNames,0)+1,(MATCH(""Passive0b"",PalData_Header,0)))&amp;"":""&amp;ADDRESS(MATCH(B98,PalNames,0)+1,(MATCH(""Passive0b"",PalData_Header,0))+4)),LEN(INDIRECT"&amp;"(""PalData!""&amp;ADDRESS(MATCH(B98,PalNames,0)+1,(MATCH(""Passive0b"",PalData_Header,0)))&amp;"":""&amp;ADDRESS(MATCH(B98,PalNames,0)+1,(MATCH(""Passive0b"",PalData_Header,0))+4)))&gt;0),1,1)),SkillDataCodeName,0)+1,MATCH(""ValueType1"",SkillData_Header,0)))"),"")</f>
        <v/>
      </c>
      <c r="AF98" s="45" t="n">
        <f aca="false">IFERROR(INDEX(SkillData,MATCH(INDEX(PalData,MATCH($B98,PalNames,0)+1,MATCH("Passive0b",PalData_Header,0)),SkillDataCodeName,0)+1,MATCH("EffectValue1",SkillData_Header,0)),)</f>
        <v>0</v>
      </c>
      <c r="AG98" s="45" t="n">
        <f aca="false">IFERROR(INDEX(SkillData,MATCH(INDEX(PalData,MATCH($B98,PalNames,0)+1,MATCH("Passive1b",PalData_Header,0)),SkillDataCodeName,0)+1,MATCH("EffectValue1",SkillData_Header,0)),)</f>
        <v>0</v>
      </c>
      <c r="AH98" s="45" t="n">
        <f aca="false">IFERROR(INDEX(SkillData,MATCH(INDEX(PalData,MATCH($B98,PalNames,0)+1,MATCH("Passive2b",PalData_Header,0)),SkillDataCodeName,0)+1,MATCH("EffectValue1",SkillData_Header,0)),)</f>
        <v>0</v>
      </c>
      <c r="AI98" s="45" t="n">
        <f aca="false">IFERROR(INDEX(SkillData,MATCH(INDEX(PalData,MATCH($B98,PalNames,0)+1,MATCH("Passive3b",PalData_Header,0)),SkillDataCodeName,0)+1,MATCH("EffectValue1",SkillData_Header,0)),)</f>
        <v>0</v>
      </c>
      <c r="AJ98" s="260" t="n">
        <f aca="false">IFERROR(INDEX(SkillData,MATCH(INDEX(PalData,MATCH($B98,PalNames,0)+1,MATCH("Passive4b",PalData_Header,0)),SkillDataCodeName,0)+1,MATCH("EffectValue1",SkillData_Header,0)),)</f>
        <v>0</v>
      </c>
      <c r="AK98" s="301" t="s">
        <v>362</v>
      </c>
    </row>
    <row r="99" customFormat="false" ht="15.75" hidden="false" customHeight="false" outlineLevel="0" collapsed="false">
      <c r="A99" s="302" t="n">
        <v>81</v>
      </c>
      <c r="B99" s="303" t="s">
        <v>85</v>
      </c>
      <c r="C99" s="48" t="n">
        <f aca="false">IF(ISBLANK(INDEX(PalData,MATCH($B99,PalNames,0)+1,MATCH("ActiveSkill",PalData_Header,0))),INDEX(PalData,MATCH($B99,PalNames,0)+1,MATCH("SkillUnlock_",PalData_Header,0)),INDEX(PalData,MATCH($B99,PalNames,0)+1,MATCH("ActiveSkill",PalData_Header,0)))</f>
        <v>0</v>
      </c>
      <c r="D99" s="48"/>
      <c r="E99" s="48" t="n">
        <f aca="false">INDEX(PalData,MATCH($B99,PalNames,0)+1,MATCH("ActiveSkillBonus0",PalData_Header,0))</f>
        <v>0</v>
      </c>
      <c r="F99" s="48" t="n">
        <f aca="false">INDEX(PalData,MATCH($B99,PalNames,0)+1,MATCH("ActiveSkillBonus1",PalData_Header,0))</f>
        <v>0</v>
      </c>
      <c r="G99" s="48" t="n">
        <f aca="false">INDEX(PalData,MATCH($B99,PalNames,0)+1,MATCH("ActiveSkillBonus2",PalData_Header,0))</f>
        <v>0</v>
      </c>
      <c r="H99" s="48" t="n">
        <f aca="false">INDEX(PalData,MATCH($B99,PalNames,0)+1,MATCH("ActiveSkillBonus3",PalData_Header,0))</f>
        <v>0</v>
      </c>
      <c r="I99" s="263" t="n">
        <f aca="false">INDEX(PalData,MATCH($B99,PalNames,0)+1,MATCH("ActiveSkillBonus4",PalData_Header,0))</f>
        <v>0</v>
      </c>
      <c r="J99" s="48" t="str">
        <f aca="false">IFERROR(__xludf.dummyfunction("IFERROR(INDEX(SkillData,MATCH(Arrayformula(ARRAY_CONSTRAIN(FILTER(INDIRECT(""PalData!""&amp;ADDRESS(MATCH(B99,PalNames,0)+1,(MATCH(""Passive0c"",PalData_Header,0)))&amp;"":""&amp;ADDRESS(MATCH(B99,PalNames,0)+1,(MATCH(""Passive0c"",PalData_Header,0))+4)),LEN(INDIRECT"&amp;"(""PalData!""&amp;ADDRESS(MATCH(B99,PalNames,0)+1,(MATCH(""Passive0c"",PalData_Header,0)))&amp;"":""&amp;ADDRESS(MATCH(B99,PalNames,0)+1,(MATCH(""Passive0c"",PalData_Header,0))+4)))&gt;0),1,1)),SkillDataCodeName,0)+1,MATCH(""EffectTypeCombined"",SkillData_Header,0)))"),"ShotAttack")</f>
        <v>ShotAttack</v>
      </c>
      <c r="K99" s="48" t="str">
        <f aca="false">IFERROR(__xludf.dummyfunction("IFERROR(INDEX(SkillData,MATCH(Arrayformula(ARRAY_CONSTRAIN(FILTER(INDIRECT(""PalData!""&amp;ADDRESS(MATCH(B99,PalNames,0)+1,(MATCH(""Passive0c"",PalData_Header,0)))&amp;"":""&amp;ADDRESS(MATCH(B99,PalNames,0)+1,(MATCH(""Passive0c"",PalData_Header,0))+4)),LEN(INDIRECT"&amp;"(""PalData!""&amp;ADDRESS(MATCH(B99,PalNames,0)+1,(MATCH(""Passive0c"",PalData_Header,0)))&amp;"":""&amp;ADDRESS(MATCH(B99,PalNames,0)+1,(MATCH(""Passive0c"",PalData_Header,0))+4)))&gt;0),1,1)),SkillDataCodeName,0)+1,MATCH(""TargetType1"",SkillData_Header,0)))"),"Self")</f>
        <v>Self</v>
      </c>
      <c r="L99" s="48" t="e">
        <f aca="false" t="array" ref="L99:L99">IF(INDEX(PalData,MATCH($B99,PalNames,0)+1,MATCH("Passive0cCondition",PalData_Header,0))=IFERROR(INDEX(SkillData,MATCH(INDEX(PalData,MATCH($B99,PalNames,0)+1,MATCH("Passive0c",PalData_Header,0)),SkillDataCodeName,0)+1,MATCH("Conditions",SkillData_Header,0))),INDEX(PalData,MATCH($B99,PalNames,0)+1,MATCH("Passive0cCondition",PalData_Header,0)),INDEX(PalData,MATCH($B99,PalNames,0)+1,MATCH("Passive0cCondition",PalData_Header,0)) &amp; IF(ISBLANK(INDEX(PalData,MATCH($B99,PalNames,0)+1,MATCH("Passive0cCondition",PalData_Header,0))),," ")&amp;IFERROR(INDEX(SkillData,MATCH(INDEX(PalData,MATCH($B99,PalNames,0)+1,MATCH("Passive0c",PalData_Header,0)),SkillDataCodeName,0)+1,MATCH("Conditions",SkillData_Header,0))))</f>
        <v>#VALUE!</v>
      </c>
      <c r="M99" s="48" t="str">
        <f aca="false">IFERROR(__xludf.dummyfunction("IFERROR(INDEX(SkillData,MATCH(Arrayformula(ARRAY_CONSTRAIN(FILTER(INDIRECT(""PalData!""&amp;ADDRESS(MATCH(B99,PalNames,0)+1,(MATCH(""Passive0c"",PalData_Header,0)))&amp;"":""&amp;ADDRESS(MATCH(B99,PalNames,0)+1,(MATCH(""Passive0c"",PalData_Header,0))+4)),LEN(INDIRECT"&amp;"(""PalData!""&amp;ADDRESS(MATCH(B99,PalNames,0)+1,(MATCH(""Passive0c"",PalData_Header,0)))&amp;"":""&amp;ADDRESS(MATCH(B99,PalNames,0)+1,(MATCH(""Passive0c"",PalData_Header,0))+4)))&gt;0),1,1)),SkillDataCodeName,0)+1,MATCH(""ValueType1"",SkillData_Header,0)))"),"%")</f>
        <v>%</v>
      </c>
      <c r="N99" s="61" t="e">
        <f aca="false" t="array" ref="N99:N99">IFERROR(INDEX(SkillData,MATCH(INDEX(PalData,MATCH($B99,PalNames,0)+1,MATCH("Passive0c",PalData_Header,0)),SkillDataCodeName,0)+1,MATCH("EffectValue1",SkillData_Header,0)))</f>
        <v>#VALUE!</v>
      </c>
      <c r="O99" s="61" t="e">
        <f aca="false" t="array" ref="O99:O99">IFERROR(INDEX(SkillData,MATCH(INDEX(PalData,MATCH($B99,PalNames,0)+1,MATCH("Passive1c",PalData_Header,0)),SkillDataCodeName,0)+1,MATCH("EffectValue1",SkillData_Header,0)))</f>
        <v>#VALUE!</v>
      </c>
      <c r="P99" s="61" t="e">
        <f aca="false" t="array" ref="P99:P99">IFERROR(INDEX(SkillData,MATCH(INDEX(PalData,MATCH($B99,PalNames,0)+1,MATCH("Passive2c",PalData_Header,0)),SkillDataCodeName,0)+1,MATCH("EffectValue1",SkillData_Header,0)))</f>
        <v>#VALUE!</v>
      </c>
      <c r="Q99" s="61" t="e">
        <f aca="false" t="array" ref="Q99:Q99">IFERROR(INDEX(SkillData,MATCH(INDEX(PalData,MATCH($B99,PalNames,0)+1,MATCH("Passive3c",PalData_Header,0)),SkillDataCodeName,0)+1,MATCH("EffectValue1",SkillData_Header,0)))</f>
        <v>#VALUE!</v>
      </c>
      <c r="R99" s="304" t="e">
        <f aca="false" t="array" ref="R99:R99">IFERROR(INDEX(SkillData,MATCH(INDEX(PalData,MATCH($B99,PalNames,0)+1,MATCH("Passive4c",PalData_Header,0)),SkillDataCodeName,0)+1,MATCH("EffectValue1",SkillData_Header,0)))</f>
        <v>#VALUE!</v>
      </c>
      <c r="S99" s="48" t="str">
        <f aca="false">IFERROR(__xludf.dummyfunction("IFERROR(INDEX(SkillData,MATCH(Arrayformula(ARRAY_CONSTRAIN(FILTER(INDIRECT(""PalData!""&amp;ADDRESS(MATCH(B99,PalNames,0)+1,(MATCH(""Passive0a"",PalData_Header,0)))&amp;"":""&amp;ADDRESS(MATCH(B99,PalNames,0)+1,(MATCH(""Passive0a"",PalData_Header,0))+4)),LEN(INDIRECT"&amp;"(""PalData!""&amp;ADDRESS(MATCH(B99,PalNames,0)+1,(MATCH(""Passive0a"",PalData_Header,0)))&amp;"":""&amp;ADDRESS(MATCH(B99,PalNames,0)+1,(MATCH(""Passive0a"",PalData_Header,0))+4)))&gt;0),1,1)),SkillDataCodeName,0)+1,MATCH(""EffectTypeCombined"",SkillData_Header,0)))"),"")</f>
        <v/>
      </c>
      <c r="T99" s="48" t="str">
        <f aca="false">IFERROR(__xludf.dummyfunction("IFERROR(INDEX(SkillData,MATCH(Arrayformula(ARRAY_CONSTRAIN(FILTER(INDIRECT(""PalData!""&amp;ADDRESS(MATCH(B99,PalNames,0)+1,(MATCH(""Passive0a"",PalData_Header,0)))&amp;"":""&amp;ADDRESS(MATCH(B99,PalNames,0)+1,(MATCH(""Passive0a"",PalData_Header,0))+4)),LEN(INDIRECT"&amp;"(""PalData!""&amp;ADDRESS(MATCH(B99,PalNames,0)+1,(MATCH(""Passive0a"",PalData_Header,0)))&amp;"":""&amp;ADDRESS(MATCH(B99,PalNames,0)+1,(MATCH(""Passive0a"",PalData_Header,0))+4)))&gt;0),1,1)),SkillDataCodeName,0)+1,MATCH(""TargetType1"",SkillData_Header,0)))"),"")</f>
        <v/>
      </c>
      <c r="U99" s="48" t="e">
        <f aca="false" t="array" ref="U99:U99">IF(INDEX(PalData,MATCH($B99,PalNames,0)+1,MATCH("Passive0aCondition",PalData_Header,0))=IFERROR(INDEX(SkillData,MATCH(INDEX(PalData,MATCH($B99,PalNames,0)+1,MATCH("Passive0a",PalData_Header,0)),SkillDataCodeName,0)+1,MATCH("Conditions",SkillData_Header,0))),INDEX(PalData,MATCH($B99,PalNames,0)+1,MATCH("Passive0aCondition",PalData_Header,0)),INDEX(PalData,MATCH($B99,PalNames,0)+1,MATCH("Passive0aCondition",PalData_Header,0)) &amp; IF(ISBLANK(INDEX(PalData,MATCH($B99,PalNames,0)+1,MATCH("Passive0aCondition",PalData_Header,0))),," ")&amp;IFERROR(INDEX(SkillData,MATCH(INDEX(PalData,MATCH($B99,PalNames,0)+1,MATCH("Passive0a",PalData_Header,0)),SkillDataCodeName,0)+1,MATCH("Conditions",SkillData_Header,0))))</f>
        <v>#N/A</v>
      </c>
      <c r="V99" s="48" t="str">
        <f aca="false">IFERROR(__xludf.dummyfunction("IFERROR(INDEX(SkillData,MATCH(Arrayformula(ARRAY_CONSTRAIN(FILTER(INDIRECT(""PalData!""&amp;ADDRESS(MATCH(B99,PalNames,0)+1,(MATCH(""Passive0a"",PalData_Header,0)))&amp;"":""&amp;ADDRESS(MATCH(B99,PalNames,0)+1,(MATCH(""Passive0a"",PalData_Header,0))+4)),LEN(INDIRECT"&amp;"(""PalData!""&amp;ADDRESS(MATCH(B99,PalNames,0)+1,(MATCH(""Passive0a"",PalData_Header,0)))&amp;"":""&amp;ADDRESS(MATCH(B99,PalNames,0)+1,(MATCH(""Passive0a"",PalData_Header,0))+4)))&gt;0),1,1)),SkillDataCodeName,0)+1,MATCH(""ValueType1"",SkillData_Header,0)))"),"")</f>
        <v/>
      </c>
      <c r="W99" s="48" t="n">
        <f aca="false">IFERROR(INDEX(SkillData,MATCH(INDEX(PalData,MATCH($B99,PalNames,0)+1,MATCH("Passive0a",PalData_Header,0)),SkillDataCodeName,0)+1,MATCH("EffectValue1",SkillData_Header,0)),)</f>
        <v>0</v>
      </c>
      <c r="X99" s="48" t="n">
        <f aca="false">IFERROR(INDEX(SkillData,MATCH(INDEX(PalData,MATCH($B99,PalNames,0)+1,MATCH("Passive1a",PalData_Header,0)),SkillDataCodeName,0)+1,MATCH("EffectValue1",SkillData_Header,0)),)</f>
        <v>0</v>
      </c>
      <c r="Y99" s="48" t="n">
        <f aca="false">IFERROR(INDEX(SkillData,MATCH(INDEX(PalData,MATCH($B99,PalNames,0)+1,MATCH("Passive2a",PalData_Header,0)),SkillDataCodeName,0)+1,MATCH("EffectValue1",SkillData_Header,0)),)</f>
        <v>0</v>
      </c>
      <c r="Z99" s="48" t="n">
        <f aca="false">IFERROR(INDEX(SkillData,MATCH(INDEX(PalData,MATCH($B99,PalNames,0)+1,MATCH("Passive3a",PalData_Header,0)),SkillDataCodeName,0)+1,MATCH("EffectValue1",SkillData_Header,0)),)</f>
        <v>0</v>
      </c>
      <c r="AA99" s="263" t="n">
        <f aca="false">IFERROR(INDEX(SkillData,MATCH(INDEX(PalData,MATCH($B99,PalNames,0)+1,MATCH("Passive4a",PalData_Header,0)),SkillDataCodeName,0)+1,MATCH("EffectValue1",SkillData_Header,0)),)</f>
        <v>0</v>
      </c>
      <c r="AB99" s="48" t="str">
        <f aca="false">IFERROR(__xludf.dummyfunction("IFERROR(INDEX(SkillData,MATCH(Arrayformula(ARRAY_CONSTRAIN(FILTER(INDIRECT(""PalData!""&amp;ADDRESS(MATCH(B99,PalNames,0)+1,(MATCH(""Passive0b"",PalData_Header,0)))&amp;"":""&amp;ADDRESS(MATCH(B99,PalNames,0)+1,(MATCH(""Passive0b"",PalData_Header,0))+4)),LEN(INDIRECT"&amp;"(""PalData!""&amp;ADDRESS(MATCH(B99,PalNames,0)+1,(MATCH(""Passive0b"",PalData_Header,0)))&amp;"":""&amp;ADDRESS(MATCH(B99,PalNames,0)+1,(MATCH(""Passive0b"",PalData_Header,0))+4)))&gt;0),1,1)),SkillDataCodeName,0)+1,MATCH(""EffectTypeCombined"",SkillData_Header,0)))"),"")</f>
        <v/>
      </c>
      <c r="AC99" s="48" t="str">
        <f aca="false">IFERROR(__xludf.dummyfunction("IFERROR(INDEX(SkillData,MATCH(Arrayformula(ARRAY_CONSTRAIN(FILTER(INDIRECT(""PalData!""&amp;ADDRESS(MATCH(B99,PalNames,0)+1,(MATCH(""Passive0b"",PalData_Header,0)))&amp;"":""&amp;ADDRESS(MATCH(B99,PalNames,0)+1,(MATCH(""Passive0b"",PalData_Header,0))+4)),LEN(INDIRECT"&amp;"(""PalData!""&amp;ADDRESS(MATCH(B99,PalNames,0)+1,(MATCH(""Passive0b"",PalData_Header,0)))&amp;"":""&amp;ADDRESS(MATCH(B99,PalNames,0)+1,(MATCH(""Passive0b"",PalData_Header,0))+4)))&gt;0),1,1)),SkillDataCodeName,0)+1,MATCH(""TargetType1"",SkillData_Header,0)))"),"")</f>
        <v/>
      </c>
      <c r="AD99" s="48" t="e">
        <f aca="false" t="array" ref="AD99:AD99">IF(INDEX(PalData,MATCH($B99,PalNames,0)+1,MATCH("Passive0bCondition",PalData_Header,0))=IFERROR(INDEX(SkillData,MATCH(INDEX(PalData,MATCH($B99,PalNames,0)+1,MATCH("Passive0b",PalData_Header,0)),SkillDataCodeName,0)+1,MATCH("Conditions",SkillData_Header,0))),INDEX(PalData,MATCH($B99,PalNames,0)+1,MATCH("Passive0bCondition",PalData_Header,0)),INDEX(PalData,MATCH($B99,PalNames,0)+1,MATCH("Passive0bCondition",PalData_Header,0)) &amp; IF(ISBLANK(INDEX(PalData,MATCH($B99,PalNames,0)+1,MATCH("Passive0bCondition",PalData_Header,0))),," ")&amp;IFERROR(INDEX(SkillData,MATCH(INDEX(PalData,MATCH($B99,PalNames,0)+1,MATCH("Passive0b",PalData_Header,0)),SkillDataCodeName,0)+1,MATCH("Conditions",SkillData_Header,0))))</f>
        <v>#N/A</v>
      </c>
      <c r="AE99" s="48" t="str">
        <f aca="false">IFERROR(__xludf.dummyfunction("IFERROR(INDEX(SkillData,MATCH(Arrayformula(ARRAY_CONSTRAIN(FILTER(INDIRECT(""PalData!""&amp;ADDRESS(MATCH(B99,PalNames,0)+1,(MATCH(""Passive0b"",PalData_Header,0)))&amp;"":""&amp;ADDRESS(MATCH(B99,PalNames,0)+1,(MATCH(""Passive0b"",PalData_Header,0))+4)),LEN(INDIRECT"&amp;"(""PalData!""&amp;ADDRESS(MATCH(B99,PalNames,0)+1,(MATCH(""Passive0b"",PalData_Header,0)))&amp;"":""&amp;ADDRESS(MATCH(B99,PalNames,0)+1,(MATCH(""Passive0b"",PalData_Header,0))+4)))&gt;0),1,1)),SkillDataCodeName,0)+1,MATCH(""ValueType1"",SkillData_Header,0)))"),"")</f>
        <v/>
      </c>
      <c r="AF99" s="48" t="n">
        <f aca="false">IFERROR(INDEX(SkillData,MATCH(INDEX(PalData,MATCH($B99,PalNames,0)+1,MATCH("Passive0b",PalData_Header,0)),SkillDataCodeName,0)+1,MATCH("EffectValue1",SkillData_Header,0)),)</f>
        <v>0</v>
      </c>
      <c r="AG99" s="48" t="n">
        <f aca="false">IFERROR(INDEX(SkillData,MATCH(INDEX(PalData,MATCH($B99,PalNames,0)+1,MATCH("Passive1b",PalData_Header,0)),SkillDataCodeName,0)+1,MATCH("EffectValue1",SkillData_Header,0)),)</f>
        <v>0</v>
      </c>
      <c r="AH99" s="48" t="n">
        <f aca="false">IFERROR(INDEX(SkillData,MATCH(INDEX(PalData,MATCH($B99,PalNames,0)+1,MATCH("Passive2b",PalData_Header,0)),SkillDataCodeName,0)+1,MATCH("EffectValue1",SkillData_Header,0)),)</f>
        <v>0</v>
      </c>
      <c r="AI99" s="48" t="n">
        <f aca="false">IFERROR(INDEX(SkillData,MATCH(INDEX(PalData,MATCH($B99,PalNames,0)+1,MATCH("Passive3b",PalData_Header,0)),SkillDataCodeName,0)+1,MATCH("EffectValue1",SkillData_Header,0)),)</f>
        <v>0</v>
      </c>
      <c r="AJ99" s="263" t="n">
        <f aca="false">IFERROR(INDEX(SkillData,MATCH(INDEX(PalData,MATCH($B99,PalNames,0)+1,MATCH("Passive4b",PalData_Header,0)),SkillDataCodeName,0)+1,MATCH("EffectValue1",SkillData_Header,0)),)</f>
        <v>0</v>
      </c>
      <c r="AK99" s="305" t="s">
        <v>363</v>
      </c>
    </row>
    <row r="100" customFormat="false" ht="15.75" hidden="false" customHeight="false" outlineLevel="0" collapsed="false">
      <c r="A100" s="299" t="n">
        <v>81</v>
      </c>
      <c r="B100" s="300" t="s">
        <v>86</v>
      </c>
      <c r="C100" s="45" t="n">
        <f aca="false">IF(ISBLANK(INDEX(PalData,MATCH($B100,PalNames,0)+1,MATCH("ActiveSkill",PalData_Header,0))),INDEX(PalData,MATCH($B100,PalNames,0)+1,MATCH("SkillUnlock_",PalData_Header,0)),INDEX(PalData,MATCH($B100,PalNames,0)+1,MATCH("ActiveSkill",PalData_Header,0)))</f>
        <v>0</v>
      </c>
      <c r="D100" s="45"/>
      <c r="E100" s="45" t="n">
        <f aca="false">INDEX(PalData,MATCH($B100,PalNames,0)+1,MATCH("ActiveSkillBonus0",PalData_Header,0))</f>
        <v>0</v>
      </c>
      <c r="F100" s="45" t="n">
        <f aca="false">INDEX(PalData,MATCH($B100,PalNames,0)+1,MATCH("ActiveSkillBonus1",PalData_Header,0))</f>
        <v>0</v>
      </c>
      <c r="G100" s="45" t="n">
        <f aca="false">INDEX(PalData,MATCH($B100,PalNames,0)+1,MATCH("ActiveSkillBonus2",PalData_Header,0))</f>
        <v>0</v>
      </c>
      <c r="H100" s="45" t="n">
        <f aca="false">INDEX(PalData,MATCH($B100,PalNames,0)+1,MATCH("ActiveSkillBonus3",PalData_Header,0))</f>
        <v>0</v>
      </c>
      <c r="I100" s="260" t="n">
        <f aca="false">INDEX(PalData,MATCH($B100,PalNames,0)+1,MATCH("ActiveSkillBonus4",PalData_Header,0))</f>
        <v>0</v>
      </c>
      <c r="J100" s="45" t="str">
        <f aca="false">IFERROR(__xludf.dummyfunction("IFERROR(INDEX(SkillData,MATCH(Arrayformula(ARRAY_CONSTRAIN(FILTER(INDIRECT(""PalData!""&amp;ADDRESS(MATCH(B100,PalNames,0)+1,(MATCH(""Passive0c"",PalData_Header,0)))&amp;"":""&amp;ADDRESS(MATCH(B100,PalNames,0)+1,(MATCH(""Passive0c"",PalData_Header,0))+4)),LEN(INDIRE"&amp;"CT(""PalData!""&amp;ADDRESS(MATCH(B100,PalNames,0)+1,(MATCH(""Passive0c"",PalData_Header,0)))&amp;"":""&amp;ADDRESS(MATCH(B100,PalNames,0)+1,(MATCH(""Passive0c"",PalData_Header,0))+4)))&gt;0),1,1)),SkillDataCodeName,0)+1,MATCH(""EffectTypeCombined"",SkillData_Header,0))"&amp;")"),"ShotAttack")</f>
        <v>ShotAttack</v>
      </c>
      <c r="K100" s="45" t="str">
        <f aca="false">IFERROR(__xludf.dummyfunction("IFERROR(INDEX(SkillData,MATCH(Arrayformula(ARRAY_CONSTRAIN(FILTER(INDIRECT(""PalData!""&amp;ADDRESS(MATCH(B100,PalNames,0)+1,(MATCH(""Passive0c"",PalData_Header,0)))&amp;"":""&amp;ADDRESS(MATCH(B100,PalNames,0)+1,(MATCH(""Passive0c"",PalData_Header,0))+4)),LEN(INDIRE"&amp;"CT(""PalData!""&amp;ADDRESS(MATCH(B100,PalNames,0)+1,(MATCH(""Passive0c"",PalData_Header,0)))&amp;"":""&amp;ADDRESS(MATCH(B100,PalNames,0)+1,(MATCH(""Passive0c"",PalData_Header,0))+4)))&gt;0),1,1)),SkillDataCodeName,0)+1,MATCH(""TargetType1"",SkillData_Header,0)))"),"Self")</f>
        <v>Self</v>
      </c>
      <c r="L100" s="45" t="e">
        <f aca="false" t="array" ref="L100:L100">IF(INDEX(PalData,MATCH($B100,PalNames,0)+1,MATCH("Passive0cCondition",PalData_Header,0))=IFERROR(INDEX(SkillData,MATCH(INDEX(PalData,MATCH($B100,PalNames,0)+1,MATCH("Passive0c",PalData_Header,0)),SkillDataCodeName,0)+1,MATCH("Conditions",SkillData_Header,0))),INDEX(PalData,MATCH($B100,PalNames,0)+1,MATCH("Passive0cCondition",PalData_Header,0)),INDEX(PalData,MATCH($B100,PalNames,0)+1,MATCH("Passive0cCondition",PalData_Header,0)) &amp; IF(ISBLANK(INDEX(PalData,MATCH($B100,PalNames,0)+1,MATCH("Passive0cCondition",PalData_Header,0))),," ")&amp;IFERROR(INDEX(SkillData,MATCH(INDEX(PalData,MATCH($B100,PalNames,0)+1,MATCH("Passive0c",PalData_Header,0)),SkillDataCodeName,0)+1,MATCH("Conditions",SkillData_Header,0))))</f>
        <v>#VALUE!</v>
      </c>
      <c r="M100" s="45" t="str">
        <f aca="false">IFERROR(__xludf.dummyfunction("IFERROR(INDEX(SkillData,MATCH(Arrayformula(ARRAY_CONSTRAIN(FILTER(INDIRECT(""PalData!""&amp;ADDRESS(MATCH(B100,PalNames,0)+1,(MATCH(""Passive0c"",PalData_Header,0)))&amp;"":""&amp;ADDRESS(MATCH(B100,PalNames,0)+1,(MATCH(""Passive0c"",PalData_Header,0))+4)),LEN(INDIRE"&amp;"CT(""PalData!""&amp;ADDRESS(MATCH(B100,PalNames,0)+1,(MATCH(""Passive0c"",PalData_Header,0)))&amp;"":""&amp;ADDRESS(MATCH(B100,PalNames,0)+1,(MATCH(""Passive0c"",PalData_Header,0))+4)))&gt;0),1,1)),SkillDataCodeName,0)+1,MATCH(""ValueType1"",SkillData_Header,0)))"),"%")</f>
        <v>%</v>
      </c>
      <c r="N100" s="62" t="e">
        <f aca="false" t="array" ref="N100:N100">IFERROR(INDEX(SkillData,MATCH(INDEX(PalData,MATCH($B100,PalNames,0)+1,MATCH("Passive0c",PalData_Header,0)),SkillDataCodeName,0)+1,MATCH("EffectValue1",SkillData_Header,0)))</f>
        <v>#VALUE!</v>
      </c>
      <c r="O100" s="62" t="e">
        <f aca="false" t="array" ref="O100:O100">IFERROR(INDEX(SkillData,MATCH(INDEX(PalData,MATCH($B100,PalNames,0)+1,MATCH("Passive1c",PalData_Header,0)),SkillDataCodeName,0)+1,MATCH("EffectValue1",SkillData_Header,0)))</f>
        <v>#VALUE!</v>
      </c>
      <c r="P100" s="62" t="e">
        <f aca="false" t="array" ref="P100:P100">IFERROR(INDEX(SkillData,MATCH(INDEX(PalData,MATCH($B100,PalNames,0)+1,MATCH("Passive2c",PalData_Header,0)),SkillDataCodeName,0)+1,MATCH("EffectValue1",SkillData_Header,0)))</f>
        <v>#VALUE!</v>
      </c>
      <c r="Q100" s="62" t="e">
        <f aca="false" t="array" ref="Q100:Q100">IFERROR(INDEX(SkillData,MATCH(INDEX(PalData,MATCH($B100,PalNames,0)+1,MATCH("Passive3c",PalData_Header,0)),SkillDataCodeName,0)+1,MATCH("EffectValue1",SkillData_Header,0)))</f>
        <v>#VALUE!</v>
      </c>
      <c r="R100" s="306" t="e">
        <f aca="false" t="array" ref="R100:R100">IFERROR(INDEX(SkillData,MATCH(INDEX(PalData,MATCH($B100,PalNames,0)+1,MATCH("Passive4c",PalData_Header,0)),SkillDataCodeName,0)+1,MATCH("EffectValue1",SkillData_Header,0)))</f>
        <v>#VALUE!</v>
      </c>
      <c r="S100" s="45" t="str">
        <f aca="false">IFERROR(__xludf.dummyfunction("IFERROR(INDEX(SkillData,MATCH(Arrayformula(ARRAY_CONSTRAIN(FILTER(INDIRECT(""PalData!""&amp;ADDRESS(MATCH(B100,PalNames,0)+1,(MATCH(""Passive0a"",PalData_Header,0)))&amp;"":""&amp;ADDRESS(MATCH(B100,PalNames,0)+1,(MATCH(""Passive0a"",PalData_Header,0))+4)),LEN(INDIRE"&amp;"CT(""PalData!""&amp;ADDRESS(MATCH(B100,PalNames,0)+1,(MATCH(""Passive0a"",PalData_Header,0)))&amp;"":""&amp;ADDRESS(MATCH(B100,PalNames,0)+1,(MATCH(""Passive0a"",PalData_Header,0))+4)))&gt;0),1,1)),SkillDataCodeName,0)+1,MATCH(""EffectTypeCombined"",SkillData_Header,0))"&amp;")"),"")</f>
        <v/>
      </c>
      <c r="T100" s="45" t="str">
        <f aca="false">IFERROR(__xludf.dummyfunction("IFERROR(INDEX(SkillData,MATCH(Arrayformula(ARRAY_CONSTRAIN(FILTER(INDIRECT(""PalData!""&amp;ADDRESS(MATCH(B100,PalNames,0)+1,(MATCH(""Passive0a"",PalData_Header,0)))&amp;"":""&amp;ADDRESS(MATCH(B100,PalNames,0)+1,(MATCH(""Passive0a"",PalData_Header,0))+4)),LEN(INDIRE"&amp;"CT(""PalData!""&amp;ADDRESS(MATCH(B100,PalNames,0)+1,(MATCH(""Passive0a"",PalData_Header,0)))&amp;"":""&amp;ADDRESS(MATCH(B100,PalNames,0)+1,(MATCH(""Passive0a"",PalData_Header,0))+4)))&gt;0),1,1)),SkillDataCodeName,0)+1,MATCH(""TargetType1"",SkillData_Header,0)))"),"")</f>
        <v/>
      </c>
      <c r="U100" s="45" t="e">
        <f aca="false" t="array" ref="U100:U100">IF(INDEX(PalData,MATCH($B100,PalNames,0)+1,MATCH("Passive0aCondition",PalData_Header,0))=IFERROR(INDEX(SkillData,MATCH(INDEX(PalData,MATCH($B100,PalNames,0)+1,MATCH("Passive0a",PalData_Header,0)),SkillDataCodeName,0)+1,MATCH("Conditions",SkillData_Header,0))),INDEX(PalData,MATCH($B100,PalNames,0)+1,MATCH("Passive0aCondition",PalData_Header,0)),INDEX(PalData,MATCH($B100,PalNames,0)+1,MATCH("Passive0aCondition",PalData_Header,0)) &amp; IF(ISBLANK(INDEX(PalData,MATCH($B100,PalNames,0)+1,MATCH("Passive0aCondition",PalData_Header,0))),," ")&amp;IFERROR(INDEX(SkillData,MATCH(INDEX(PalData,MATCH($B100,PalNames,0)+1,MATCH("Passive0a",PalData_Header,0)),SkillDataCodeName,0)+1,MATCH("Conditions",SkillData_Header,0))))</f>
        <v>#N/A</v>
      </c>
      <c r="V100" s="45" t="str">
        <f aca="false">IFERROR(__xludf.dummyfunction("IFERROR(INDEX(SkillData,MATCH(Arrayformula(ARRAY_CONSTRAIN(FILTER(INDIRECT(""PalData!""&amp;ADDRESS(MATCH(B100,PalNames,0)+1,(MATCH(""Passive0a"",PalData_Header,0)))&amp;"":""&amp;ADDRESS(MATCH(B100,PalNames,0)+1,(MATCH(""Passive0a"",PalData_Header,0))+4)),LEN(INDIRE"&amp;"CT(""PalData!""&amp;ADDRESS(MATCH(B100,PalNames,0)+1,(MATCH(""Passive0a"",PalData_Header,0)))&amp;"":""&amp;ADDRESS(MATCH(B100,PalNames,0)+1,(MATCH(""Passive0a"",PalData_Header,0))+4)))&gt;0),1,1)),SkillDataCodeName,0)+1,MATCH(""ValueType1"",SkillData_Header,0)))"),"")</f>
        <v/>
      </c>
      <c r="W100" s="45" t="n">
        <f aca="false">IFERROR(INDEX(SkillData,MATCH(INDEX(PalData,MATCH($B100,PalNames,0)+1,MATCH("Passive0a",PalData_Header,0)),SkillDataCodeName,0)+1,MATCH("EffectValue1",SkillData_Header,0)),)</f>
        <v>0</v>
      </c>
      <c r="X100" s="45" t="n">
        <f aca="false">IFERROR(INDEX(SkillData,MATCH(INDEX(PalData,MATCH($B100,PalNames,0)+1,MATCH("Passive1a",PalData_Header,0)),SkillDataCodeName,0)+1,MATCH("EffectValue1",SkillData_Header,0)),)</f>
        <v>0</v>
      </c>
      <c r="Y100" s="45" t="n">
        <f aca="false">IFERROR(INDEX(SkillData,MATCH(INDEX(PalData,MATCH($B100,PalNames,0)+1,MATCH("Passive2a",PalData_Header,0)),SkillDataCodeName,0)+1,MATCH("EffectValue1",SkillData_Header,0)),)</f>
        <v>0</v>
      </c>
      <c r="Z100" s="45" t="n">
        <f aca="false">IFERROR(INDEX(SkillData,MATCH(INDEX(PalData,MATCH($B100,PalNames,0)+1,MATCH("Passive3a",PalData_Header,0)),SkillDataCodeName,0)+1,MATCH("EffectValue1",SkillData_Header,0)),)</f>
        <v>0</v>
      </c>
      <c r="AA100" s="260" t="n">
        <f aca="false">IFERROR(INDEX(SkillData,MATCH(INDEX(PalData,MATCH($B100,PalNames,0)+1,MATCH("Passive4a",PalData_Header,0)),SkillDataCodeName,0)+1,MATCH("EffectValue1",SkillData_Header,0)),)</f>
        <v>0</v>
      </c>
      <c r="AB100" s="45" t="str">
        <f aca="false">IFERROR(__xludf.dummyfunction("IFERROR(INDEX(SkillData,MATCH(Arrayformula(ARRAY_CONSTRAIN(FILTER(INDIRECT(""PalData!""&amp;ADDRESS(MATCH(B100,PalNames,0)+1,(MATCH(""Passive0b"",PalData_Header,0)))&amp;"":""&amp;ADDRESS(MATCH(B100,PalNames,0)+1,(MATCH(""Passive0b"",PalData_Header,0))+4)),LEN(INDIRE"&amp;"CT(""PalData!""&amp;ADDRESS(MATCH(B100,PalNames,0)+1,(MATCH(""Passive0b"",PalData_Header,0)))&amp;"":""&amp;ADDRESS(MATCH(B100,PalNames,0)+1,(MATCH(""Passive0b"",PalData_Header,0))+4)))&gt;0),1,1)),SkillDataCodeName,0)+1,MATCH(""EffectTypeCombined"",SkillData_Header,0))"&amp;")"),"")</f>
        <v/>
      </c>
      <c r="AC100" s="45" t="str">
        <f aca="false">IFERROR(__xludf.dummyfunction("IFERROR(INDEX(SkillData,MATCH(Arrayformula(ARRAY_CONSTRAIN(FILTER(INDIRECT(""PalData!""&amp;ADDRESS(MATCH(B100,PalNames,0)+1,(MATCH(""Passive0b"",PalData_Header,0)))&amp;"":""&amp;ADDRESS(MATCH(B100,PalNames,0)+1,(MATCH(""Passive0b"",PalData_Header,0))+4)),LEN(INDIRE"&amp;"CT(""PalData!""&amp;ADDRESS(MATCH(B100,PalNames,0)+1,(MATCH(""Passive0b"",PalData_Header,0)))&amp;"":""&amp;ADDRESS(MATCH(B100,PalNames,0)+1,(MATCH(""Passive0b"",PalData_Header,0))+4)))&gt;0),1,1)),SkillDataCodeName,0)+1,MATCH(""TargetType1"",SkillData_Header,0)))"),"")</f>
        <v/>
      </c>
      <c r="AD100" s="45" t="e">
        <f aca="false" t="array" ref="AD100:AD100">IF(INDEX(PalData,MATCH($B100,PalNames,0)+1,MATCH("Passive0bCondition",PalData_Header,0))=IFERROR(INDEX(SkillData,MATCH(INDEX(PalData,MATCH($B100,PalNames,0)+1,MATCH("Passive0b",PalData_Header,0)),SkillDataCodeName,0)+1,MATCH("Conditions",SkillData_Header,0))),INDEX(PalData,MATCH($B100,PalNames,0)+1,MATCH("Passive0bCondition",PalData_Header,0)),INDEX(PalData,MATCH($B100,PalNames,0)+1,MATCH("Passive0bCondition",PalData_Header,0)) &amp; IF(ISBLANK(INDEX(PalData,MATCH($B100,PalNames,0)+1,MATCH("Passive0bCondition",PalData_Header,0))),," ")&amp;IFERROR(INDEX(SkillData,MATCH(INDEX(PalData,MATCH($B100,PalNames,0)+1,MATCH("Passive0b",PalData_Header,0)),SkillDataCodeName,0)+1,MATCH("Conditions",SkillData_Header,0))))</f>
        <v>#N/A</v>
      </c>
      <c r="AE100" s="45" t="str">
        <f aca="false">IFERROR(__xludf.dummyfunction("IFERROR(INDEX(SkillData,MATCH(Arrayformula(ARRAY_CONSTRAIN(FILTER(INDIRECT(""PalData!""&amp;ADDRESS(MATCH(B100,PalNames,0)+1,(MATCH(""Passive0b"",PalData_Header,0)))&amp;"":""&amp;ADDRESS(MATCH(B100,PalNames,0)+1,(MATCH(""Passive0b"",PalData_Header,0))+4)),LEN(INDIRE"&amp;"CT(""PalData!""&amp;ADDRESS(MATCH(B100,PalNames,0)+1,(MATCH(""Passive0b"",PalData_Header,0)))&amp;"":""&amp;ADDRESS(MATCH(B100,PalNames,0)+1,(MATCH(""Passive0b"",PalData_Header,0))+4)))&gt;0),1,1)),SkillDataCodeName,0)+1,MATCH(""ValueType1"",SkillData_Header,0)))"),"")</f>
        <v/>
      </c>
      <c r="AF100" s="45" t="n">
        <f aca="false">IFERROR(INDEX(SkillData,MATCH(INDEX(PalData,MATCH($B100,PalNames,0)+1,MATCH("Passive0b",PalData_Header,0)),SkillDataCodeName,0)+1,MATCH("EffectValue1",SkillData_Header,0)),)</f>
        <v>0</v>
      </c>
      <c r="AG100" s="45" t="n">
        <f aca="false">IFERROR(INDEX(SkillData,MATCH(INDEX(PalData,MATCH($B100,PalNames,0)+1,MATCH("Passive1b",PalData_Header,0)),SkillDataCodeName,0)+1,MATCH("EffectValue1",SkillData_Header,0)),)</f>
        <v>0</v>
      </c>
      <c r="AH100" s="45" t="n">
        <f aca="false">IFERROR(INDEX(SkillData,MATCH(INDEX(PalData,MATCH($B100,PalNames,0)+1,MATCH("Passive2b",PalData_Header,0)),SkillDataCodeName,0)+1,MATCH("EffectValue1",SkillData_Header,0)),)</f>
        <v>0</v>
      </c>
      <c r="AI100" s="45" t="n">
        <f aca="false">IFERROR(INDEX(SkillData,MATCH(INDEX(PalData,MATCH($B100,PalNames,0)+1,MATCH("Passive3b",PalData_Header,0)),SkillDataCodeName,0)+1,MATCH("EffectValue1",SkillData_Header,0)),)</f>
        <v>0</v>
      </c>
      <c r="AJ100" s="260" t="n">
        <f aca="false">IFERROR(INDEX(SkillData,MATCH(INDEX(PalData,MATCH($B100,PalNames,0)+1,MATCH("Passive4b",PalData_Header,0)),SkillDataCodeName,0)+1,MATCH("EffectValue1",SkillData_Header,0)),)</f>
        <v>0</v>
      </c>
      <c r="AK100" s="301" t="s">
        <v>364</v>
      </c>
    </row>
    <row r="101" customFormat="false" ht="15.75" hidden="false" customHeight="false" outlineLevel="0" collapsed="false">
      <c r="A101" s="302" t="n">
        <v>82</v>
      </c>
      <c r="B101" s="303" t="s">
        <v>18</v>
      </c>
      <c r="C101" s="48" t="str">
        <f aca="false" t="array" ref="C101:C101">IF(ISBLANK(INDEX(PalData,MATCH($B101,PalNames,0)+1,MATCH("ActiveSkill",PalData_Header,0))),INDEX(PalData,MATCH($B101,PalNames,0)+1,MATCH("SkillUnlock_",PalData_Header,0)),INDEX(PalData,MATCH($B101,PalNames,0)+1,MATCH("ActiveSkill",PalData_Header,0)))</f>
        <v>Saddle</v>
      </c>
      <c r="D101" s="48"/>
      <c r="E101" s="48" t="n">
        <f aca="false">INDEX(PalData,MATCH($B101,PalNames,0)+1,MATCH("ActiveSkillBonus0",PalData_Header,0))</f>
        <v>0</v>
      </c>
      <c r="F101" s="48" t="n">
        <f aca="false">INDEX(PalData,MATCH($B101,PalNames,0)+1,MATCH("ActiveSkillBonus1",PalData_Header,0))</f>
        <v>0</v>
      </c>
      <c r="G101" s="48" t="n">
        <f aca="false">INDEX(PalData,MATCH($B101,PalNames,0)+1,MATCH("ActiveSkillBonus2",PalData_Header,0))</f>
        <v>0</v>
      </c>
      <c r="H101" s="48" t="n">
        <f aca="false">INDEX(PalData,MATCH($B101,PalNames,0)+1,MATCH("ActiveSkillBonus3",PalData_Header,0))</f>
        <v>0</v>
      </c>
      <c r="I101" s="263" t="n">
        <f aca="false">INDEX(PalData,MATCH($B101,PalNames,0)+1,MATCH("ActiveSkillBonus4",PalData_Header,0))</f>
        <v>0</v>
      </c>
      <c r="J101" s="48" t="str">
        <f aca="false">IFERROR(__xludf.dummyfunction("IFERROR(INDEX(SkillData,MATCH(Arrayformula(ARRAY_CONSTRAIN(FILTER(INDIRECT(""PalData!""&amp;ADDRESS(MATCH(B101,PalNames,0)+1,(MATCH(""Passive0c"",PalData_Header,0)))&amp;"":""&amp;ADDRESS(MATCH(B101,PalNames,0)+1,(MATCH(""Passive0c"",PalData_Header,0))+4)),LEN(INDIRE"&amp;"CT(""PalData!""&amp;ADDRESS(MATCH(B101,PalNames,0)+1,(MATCH(""Passive0c"",PalData_Header,0)))&amp;"":""&amp;ADDRESS(MATCH(B101,PalNames,0)+1,(MATCH(""Passive0c"",PalData_Header,0))+4)))&gt;0),1,1)),SkillDataCodeName,0)+1,MATCH(""EffectTypeCombined"",SkillData_Header,0))"&amp;")"),"ShotAttack")</f>
        <v>ShotAttack</v>
      </c>
      <c r="K101" s="48" t="str">
        <f aca="false">IFERROR(__xludf.dummyfunction("IFERROR(INDEX(SkillData,MATCH(Arrayformula(ARRAY_CONSTRAIN(FILTER(INDIRECT(""PalData!""&amp;ADDRESS(MATCH(B101,PalNames,0)+1,(MATCH(""Passive0c"",PalData_Header,0)))&amp;"":""&amp;ADDRESS(MATCH(B101,PalNames,0)+1,(MATCH(""Passive0c"",PalData_Header,0))+4)),LEN(INDIRE"&amp;"CT(""PalData!""&amp;ADDRESS(MATCH(B101,PalNames,0)+1,(MATCH(""Passive0c"",PalData_Header,0)))&amp;"":""&amp;ADDRESS(MATCH(B101,PalNames,0)+1,(MATCH(""Passive0c"",PalData_Header,0))+4)))&gt;0),1,1)),SkillDataCodeName,0)+1,MATCH(""TargetType1"",SkillData_Header,0)))"),"Trainer")</f>
        <v>Trainer</v>
      </c>
      <c r="L101" s="48" t="e">
        <f aca="false" t="array" ref="L101:L101">IF(INDEX(PalData,MATCH($B101,PalNames,0)+1,MATCH("Passive0cCondition",PalData_Header,0))=IFERROR(INDEX(SkillData,MATCH(INDEX(PalData,MATCH($B101,PalNames,0)+1,MATCH("Passive0c",PalData_Header,0)),SkillDataCodeName,0)+1,MATCH("Conditions",SkillData_Header,0))),INDEX(PalData,MATCH($B101,PalNames,0)+1,MATCH("Passive0cCondition",PalData_Header,0)),INDEX(PalData,MATCH($B101,PalNames,0)+1,MATCH("Passive0cCondition",PalData_Header,0)) &amp; IF(ISBLANK(INDEX(PalData,MATCH($B101,PalNames,0)+1,MATCH("Passive0cCondition",PalData_Header,0))),," ")&amp;IFERROR(INDEX(SkillData,MATCH(INDEX(PalData,MATCH($B101,PalNames,0)+1,MATCH("Passive0c",PalData_Header,0)),SkillDataCodeName,0)+1,MATCH("Conditions",SkillData_Header,0))))</f>
        <v>#VALUE!</v>
      </c>
      <c r="M101" s="48" t="str">
        <f aca="false">IFERROR(__xludf.dummyfunction("IFERROR(INDEX(SkillData,MATCH(Arrayformula(ARRAY_CONSTRAIN(FILTER(INDIRECT(""PalData!""&amp;ADDRESS(MATCH(B101,PalNames,0)+1,(MATCH(""Passive0c"",PalData_Header,0)))&amp;"":""&amp;ADDRESS(MATCH(B101,PalNames,0)+1,(MATCH(""Passive0c"",PalData_Header,0))+4)),LEN(INDIRE"&amp;"CT(""PalData!""&amp;ADDRESS(MATCH(B101,PalNames,0)+1,(MATCH(""Passive0c"",PalData_Header,0)))&amp;"":""&amp;ADDRESS(MATCH(B101,PalNames,0)+1,(MATCH(""Passive0c"",PalData_Header,0))+4)))&gt;0),1,1)),SkillDataCodeName,0)+1,MATCH(""ValueType1"",SkillData_Header,0)))"),"%")</f>
        <v>%</v>
      </c>
      <c r="N101" s="61" t="e">
        <f aca="false" t="array" ref="N101:N101">IFERROR(INDEX(SkillData,MATCH(INDEX(PalData,MATCH($B101,PalNames,0)+1,MATCH("Passive0c",PalData_Header,0)),SkillDataCodeName,0)+1,MATCH("EffectValue1",SkillData_Header,0)))</f>
        <v>#VALUE!</v>
      </c>
      <c r="O101" s="61" t="e">
        <f aca="false" t="array" ref="O101:O101">IFERROR(INDEX(SkillData,MATCH(INDEX(PalData,MATCH($B101,PalNames,0)+1,MATCH("Passive1c",PalData_Header,0)),SkillDataCodeName,0)+1,MATCH("EffectValue1",SkillData_Header,0)))</f>
        <v>#VALUE!</v>
      </c>
      <c r="P101" s="61" t="e">
        <f aca="false" t="array" ref="P101:P101">IFERROR(INDEX(SkillData,MATCH(INDEX(PalData,MATCH($B101,PalNames,0)+1,MATCH("Passive2c",PalData_Header,0)),SkillDataCodeName,0)+1,MATCH("EffectValue1",SkillData_Header,0)))</f>
        <v>#VALUE!</v>
      </c>
      <c r="Q101" s="61" t="e">
        <f aca="false" t="array" ref="Q101:Q101">IFERROR(INDEX(SkillData,MATCH(INDEX(PalData,MATCH($B101,PalNames,0)+1,MATCH("Passive3c",PalData_Header,0)),SkillDataCodeName,0)+1,MATCH("EffectValue1",SkillData_Header,0)))</f>
        <v>#VALUE!</v>
      </c>
      <c r="R101" s="304" t="e">
        <f aca="false" t="array" ref="R101:R101">IFERROR(INDEX(SkillData,MATCH(INDEX(PalData,MATCH($B101,PalNames,0)+1,MATCH("Passive4c",PalData_Header,0)),SkillDataCodeName,0)+1,MATCH("EffectValue1",SkillData_Header,0)))</f>
        <v>#VALUE!</v>
      </c>
      <c r="S101" s="48" t="str">
        <f aca="false">IFERROR(__xludf.dummyfunction("IFERROR(INDEX(SkillData,MATCH(Arrayformula(ARRAY_CONSTRAIN(FILTER(INDIRECT(""PalData!""&amp;ADDRESS(MATCH(B101,PalNames,0)+1,(MATCH(""Passive0a"",PalData_Header,0)))&amp;"":""&amp;ADDRESS(MATCH(B101,PalNames,0)+1,(MATCH(""Passive0a"",PalData_Header,0))+4)),LEN(INDIRE"&amp;"CT(""PalData!""&amp;ADDRESS(MATCH(B101,PalNames,0)+1,(MATCH(""Passive0a"",PalData_Header,0)))&amp;"":""&amp;ADDRESS(MATCH(B101,PalNames,0)+1,(MATCH(""Passive0a"",PalData_Header,0))+4)))&gt;0),1,1)),SkillDataCodeName,0)+1,MATCH(""EffectTypeCombined"",SkillData_Header,0))"&amp;")"),"ElementWater")</f>
        <v>ElementWater</v>
      </c>
      <c r="T101" s="48" t="str">
        <f aca="false">IFERROR(__xludf.dummyfunction("IFERROR(INDEX(SkillData,MATCH(Arrayformula(ARRAY_CONSTRAIN(FILTER(INDIRECT(""PalData!""&amp;ADDRESS(MATCH(B101,PalNames,0)+1,(MATCH(""Passive0a"",PalData_Header,0)))&amp;"":""&amp;ADDRESS(MATCH(B101,PalNames,0)+1,(MATCH(""Passive0a"",PalData_Header,0))+4)),LEN(INDIRE"&amp;"CT(""PalData!""&amp;ADDRESS(MATCH(B101,PalNames,0)+1,(MATCH(""Passive0a"",PalData_Header,0)))&amp;"":""&amp;ADDRESS(MATCH(B101,PalNames,0)+1,(MATCH(""Passive0a"",PalData_Header,0))+4)))&gt;0),1,1)),SkillDataCodeName,0)+1,MATCH(""TargetType1"",SkillData_Header,0)))"),"Trainer")</f>
        <v>Trainer</v>
      </c>
      <c r="U101" s="48" t="e">
        <f aca="false" t="array" ref="U101:U101">IF(INDEX(PalData,MATCH($B101,PalNames,0)+1,MATCH("Passive0aCondition",PalData_Header,0))=IFERROR(INDEX(SkillData,MATCH(INDEX(PalData,MATCH($B101,PalNames,0)+1,MATCH("Passive0a",PalData_Header,0)),SkillDataCodeName,0)+1,MATCH("Conditions",SkillData_Header,0))),INDEX(PalData,MATCH($B101,PalNames,0)+1,MATCH("Passive0aCondition",PalData_Header,0)),INDEX(PalData,MATCH($B101,PalNames,0)+1,MATCH("Passive0aCondition",PalData_Header,0)) &amp; IF(ISBLANK(INDEX(PalData,MATCH($B101,PalNames,0)+1,MATCH("Passive0aCondition",PalData_Header,0))),," ")&amp;IFERROR(INDEX(SkillData,MATCH(INDEX(PalData,MATCH($B101,PalNames,0)+1,MATCH("Passive0a",PalData_Header,0)),SkillDataCodeName,0)+1,MATCH("Conditions",SkillData_Header,0))))</f>
        <v>#VALUE!</v>
      </c>
      <c r="V101" s="48" t="str">
        <f aca="false">IFERROR(__xludf.dummyfunction("IFERROR(INDEX(SkillData,MATCH(Arrayformula(ARRAY_CONSTRAIN(FILTER(INDIRECT(""PalData!""&amp;ADDRESS(MATCH(B101,PalNames,0)+1,(MATCH(""Passive0a"",PalData_Header,0)))&amp;"":""&amp;ADDRESS(MATCH(B101,PalNames,0)+1,(MATCH(""Passive0a"",PalData_Header,0))+4)),LEN(INDIRE"&amp;"CT(""PalData!""&amp;ADDRESS(MATCH(B101,PalNames,0)+1,(MATCH(""Passive0a"",PalData_Header,0)))&amp;"":""&amp;ADDRESS(MATCH(B101,PalNames,0)+1,(MATCH(""Passive0a"",PalData_Header,0))+4)))&gt;0),1,1)),SkillDataCodeName,0)+1,MATCH(""ValueType1"",SkillData_Header,0)))"),"bool")</f>
        <v>bool</v>
      </c>
      <c r="W101" s="61" t="n">
        <f aca="false" t="array" ref="W101:W101">IFERROR(INDEX(SkillData,MATCH(INDEX(PalData,MATCH($B101,PalNames,0)+1,MATCH("Passive0a",PalData_Header,0)),SkillDataCodeName,0)+1,MATCH("EffectValue1",SkillData_Header,0)),)</f>
        <v>1</v>
      </c>
      <c r="X101" s="61" t="n">
        <f aca="false" t="array" ref="X101:X101">IFERROR(INDEX(SkillData,MATCH(INDEX(PalData,MATCH($B101,PalNames,0)+1,MATCH("Passive1a",PalData_Header,0)),SkillDataCodeName,0)+1,MATCH("EffectValue1",SkillData_Header,0)),)</f>
        <v>1</v>
      </c>
      <c r="Y101" s="61" t="n">
        <f aca="false" t="array" ref="Y101:Y101">IFERROR(INDEX(SkillData,MATCH(INDEX(PalData,MATCH($B101,PalNames,0)+1,MATCH("Passive2a",PalData_Header,0)),SkillDataCodeName,0)+1,MATCH("EffectValue1",SkillData_Header,0)),)</f>
        <v>1</v>
      </c>
      <c r="Z101" s="61" t="n">
        <f aca="false" t="array" ref="Z101:Z101">IFERROR(INDEX(SkillData,MATCH(INDEX(PalData,MATCH($B101,PalNames,0)+1,MATCH("Passive3a",PalData_Header,0)),SkillDataCodeName,0)+1,MATCH("EffectValue1",SkillData_Header,0)),)</f>
        <v>1</v>
      </c>
      <c r="AA101" s="304" t="n">
        <f aca="false" t="array" ref="AA101:AA101">IFERROR(INDEX(SkillData,MATCH(INDEX(PalData,MATCH($B101,PalNames,0)+1,MATCH("Passive4a",PalData_Header,0)),SkillDataCodeName,0)+1,MATCH("EffectValue1",SkillData_Header,0)),)</f>
        <v>1</v>
      </c>
      <c r="AB101" s="48" t="str">
        <f aca="false">IFERROR(__xludf.dummyfunction("IFERROR(INDEX(SkillData,MATCH(Arrayformula(ARRAY_CONSTRAIN(FILTER(INDIRECT(""PalData!""&amp;ADDRESS(MATCH(B101,PalNames,0)+1,(MATCH(""Passive0b"",PalData_Header,0)))&amp;"":""&amp;ADDRESS(MATCH(B101,PalNames,0)+1,(MATCH(""Passive0b"",PalData_Header,0))+4)),LEN(INDIRE"&amp;"CT(""PalData!""&amp;ADDRESS(MATCH(B101,PalNames,0)+1,(MATCH(""Passive0b"",PalData_Header,0)))&amp;"":""&amp;ADDRESS(MATCH(B101,PalNames,0)+1,(MATCH(""Passive0b"",PalData_Header,0))+4)))&gt;0),1,1)),SkillDataCodeName,0)+1,MATCH(""EffectTypeCombined"",SkillData_Header,0))"&amp;")"),"")</f>
        <v/>
      </c>
      <c r="AC101" s="48" t="str">
        <f aca="false">IFERROR(__xludf.dummyfunction("IFERROR(INDEX(SkillData,MATCH(Arrayformula(ARRAY_CONSTRAIN(FILTER(INDIRECT(""PalData!""&amp;ADDRESS(MATCH(B101,PalNames,0)+1,(MATCH(""Passive0b"",PalData_Header,0)))&amp;"":""&amp;ADDRESS(MATCH(B101,PalNames,0)+1,(MATCH(""Passive0b"",PalData_Header,0))+4)),LEN(INDIRE"&amp;"CT(""PalData!""&amp;ADDRESS(MATCH(B101,PalNames,0)+1,(MATCH(""Passive0b"",PalData_Header,0)))&amp;"":""&amp;ADDRESS(MATCH(B101,PalNames,0)+1,(MATCH(""Passive0b"",PalData_Header,0))+4)))&gt;0),1,1)),SkillDataCodeName,0)+1,MATCH(""TargetType1"",SkillData_Header,0)))"),"")</f>
        <v/>
      </c>
      <c r="AD101" s="48" t="e">
        <f aca="false" t="array" ref="AD101:AD101">IF(INDEX(PalData,MATCH($B101,PalNames,0)+1,MATCH("Passive0bCondition",PalData_Header,0))=IFERROR(INDEX(SkillData,MATCH(INDEX(PalData,MATCH($B101,PalNames,0)+1,MATCH("Passive0b",PalData_Header,0)),SkillDataCodeName,0)+1,MATCH("Conditions",SkillData_Header,0))),INDEX(PalData,MATCH($B101,PalNames,0)+1,MATCH("Passive0bCondition",PalData_Header,0)),INDEX(PalData,MATCH($B101,PalNames,0)+1,MATCH("Passive0bCondition",PalData_Header,0)) &amp; IF(ISBLANK(INDEX(PalData,MATCH($B101,PalNames,0)+1,MATCH("Passive0bCondition",PalData_Header,0))),," ")&amp;IFERROR(INDEX(SkillData,MATCH(INDEX(PalData,MATCH($B101,PalNames,0)+1,MATCH("Passive0b",PalData_Header,0)),SkillDataCodeName,0)+1,MATCH("Conditions",SkillData_Header,0))))</f>
        <v>#N/A</v>
      </c>
      <c r="AE101" s="48" t="str">
        <f aca="false">IFERROR(__xludf.dummyfunction("IFERROR(INDEX(SkillData,MATCH(Arrayformula(ARRAY_CONSTRAIN(FILTER(INDIRECT(""PalData!""&amp;ADDRESS(MATCH(B101,PalNames,0)+1,(MATCH(""Passive0b"",PalData_Header,0)))&amp;"":""&amp;ADDRESS(MATCH(B101,PalNames,0)+1,(MATCH(""Passive0b"",PalData_Header,0))+4)),LEN(INDIRE"&amp;"CT(""PalData!""&amp;ADDRESS(MATCH(B101,PalNames,0)+1,(MATCH(""Passive0b"",PalData_Header,0)))&amp;"":""&amp;ADDRESS(MATCH(B101,PalNames,0)+1,(MATCH(""Passive0b"",PalData_Header,0))+4)))&gt;0),1,1)),SkillDataCodeName,0)+1,MATCH(""ValueType1"",SkillData_Header,0)))"),"")</f>
        <v/>
      </c>
      <c r="AF101" s="48" t="n">
        <f aca="false">IFERROR(INDEX(SkillData,MATCH(INDEX(PalData,MATCH($B101,PalNames,0)+1,MATCH("Passive0b",PalData_Header,0)),SkillDataCodeName,0)+1,MATCH("EffectValue1",SkillData_Header,0)),)</f>
        <v>0</v>
      </c>
      <c r="AG101" s="48" t="n">
        <f aca="false">IFERROR(INDEX(SkillData,MATCH(INDEX(PalData,MATCH($B101,PalNames,0)+1,MATCH("Passive1b",PalData_Header,0)),SkillDataCodeName,0)+1,MATCH("EffectValue1",SkillData_Header,0)),)</f>
        <v>0</v>
      </c>
      <c r="AH101" s="48" t="n">
        <f aca="false">IFERROR(INDEX(SkillData,MATCH(INDEX(PalData,MATCH($B101,PalNames,0)+1,MATCH("Passive2b",PalData_Header,0)),SkillDataCodeName,0)+1,MATCH("EffectValue1",SkillData_Header,0)),)</f>
        <v>0</v>
      </c>
      <c r="AI101" s="48" t="n">
        <f aca="false">IFERROR(INDEX(SkillData,MATCH(INDEX(PalData,MATCH($B101,PalNames,0)+1,MATCH("Passive3b",PalData_Header,0)),SkillDataCodeName,0)+1,MATCH("EffectValue1",SkillData_Header,0)),)</f>
        <v>0</v>
      </c>
      <c r="AJ101" s="263" t="n">
        <f aca="false">IFERROR(INDEX(SkillData,MATCH(INDEX(PalData,MATCH($B101,PalNames,0)+1,MATCH("Passive4b",PalData_Header,0)),SkillDataCodeName,0)+1,MATCH("EffectValue1",SkillData_Header,0)),)</f>
        <v>0</v>
      </c>
      <c r="AK101" s="305" t="s">
        <v>365</v>
      </c>
    </row>
    <row r="102" customFormat="false" ht="15.75" hidden="false" customHeight="false" outlineLevel="0" collapsed="false">
      <c r="A102" s="299" t="n">
        <v>83</v>
      </c>
      <c r="B102" s="300" t="s">
        <v>39</v>
      </c>
      <c r="C102" s="45" t="n">
        <f aca="false">IF(ISBLANK(INDEX(PalData,MATCH($B102,PalNames,0)+1,MATCH("ActiveSkill",PalData_Header,0))),INDEX(PalData,MATCH($B102,PalNames,0)+1,MATCH("SkillUnlock_",PalData_Header,0)),INDEX(PalData,MATCH($B102,PalNames,0)+1,MATCH("ActiveSkill",PalData_Header,0)))</f>
        <v>0</v>
      </c>
      <c r="D102" s="45"/>
      <c r="E102" s="45" t="n">
        <f aca="false">INDEX(PalData,MATCH($B102,PalNames,0)+1,MATCH("ActiveSkillBonus0",PalData_Header,0))</f>
        <v>0</v>
      </c>
      <c r="F102" s="45" t="n">
        <f aca="false">INDEX(PalData,MATCH($B102,PalNames,0)+1,MATCH("ActiveSkillBonus1",PalData_Header,0))</f>
        <v>0</v>
      </c>
      <c r="G102" s="45" t="n">
        <f aca="false">INDEX(PalData,MATCH($B102,PalNames,0)+1,MATCH("ActiveSkillBonus2",PalData_Header,0))</f>
        <v>0</v>
      </c>
      <c r="H102" s="45" t="n">
        <f aca="false">INDEX(PalData,MATCH($B102,PalNames,0)+1,MATCH("ActiveSkillBonus3",PalData_Header,0))</f>
        <v>0</v>
      </c>
      <c r="I102" s="260" t="n">
        <f aca="false">INDEX(PalData,MATCH($B102,PalNames,0)+1,MATCH("ActiveSkillBonus4",PalData_Header,0))</f>
        <v>0</v>
      </c>
      <c r="J102" s="45" t="str">
        <f aca="false">IFERROR(__xludf.dummyfunction("IFERROR(INDEX(SkillData,MATCH(Arrayformula(ARRAY_CONSTRAIN(FILTER(INDIRECT(""PalData!""&amp;ADDRESS(MATCH(B102,PalNames,0)+1,(MATCH(""Passive0c"",PalData_Header,0)))&amp;"":""&amp;ADDRESS(MATCH(B102,PalNames,0)+1,(MATCH(""Passive0c"",PalData_Header,0))+4)),LEN(INDIRE"&amp;"CT(""PalData!""&amp;ADDRESS(MATCH(B102,PalNames,0)+1,(MATCH(""Passive0c"",PalData_Header,0)))&amp;"":""&amp;ADDRESS(MATCH(B102,PalNames,0)+1,(MATCH(""Passive0c"",PalData_Header,0))+4)))&gt;0),1,1)),SkillDataCodeName,0)+1,MATCH(""EffectTypeCombined"",SkillData_Header,0))"&amp;")"),"ElementAddItemDrop_Dragon")</f>
        <v>ElementAddItemDrop_Dragon</v>
      </c>
      <c r="K102" s="45" t="str">
        <f aca="false">IFERROR(__xludf.dummyfunction("IFERROR(INDEX(SkillData,MATCH(Arrayformula(ARRAY_CONSTRAIN(FILTER(INDIRECT(""PalData!""&amp;ADDRESS(MATCH(B102,PalNames,0)+1,(MATCH(""Passive0c"",PalData_Header,0)))&amp;"":""&amp;ADDRESS(MATCH(B102,PalNames,0)+1,(MATCH(""Passive0c"",PalData_Header,0))+4)),LEN(INDIRE"&amp;"CT(""PalData!""&amp;ADDRESS(MATCH(B102,PalNames,0)+1,(MATCH(""Passive0c"",PalData_Header,0)))&amp;"":""&amp;ADDRESS(MATCH(B102,PalNames,0)+1,(MATCH(""Passive0c"",PalData_Header,0))+4)))&gt;0),1,1)),SkillDataCodeName,0)+1,MATCH(""TargetType1"",SkillData_Header,0)))"),"SelfAndTrainer")</f>
        <v>SelfAndTrainer</v>
      </c>
      <c r="L102" s="45" t="e">
        <f aca="false" t="array" ref="L102:L102">IF(INDEX(PalData,MATCH($B102,PalNames,0)+1,MATCH("Passive0cCondition",PalData_Header,0))=IFERROR(INDEX(SkillData,MATCH(INDEX(PalData,MATCH($B102,PalNames,0)+1,MATCH("Passive0c",PalData_Header,0)),SkillDataCodeName,0)+1,MATCH("Conditions",SkillData_Header,0))),INDEX(PalData,MATCH($B102,PalNames,0)+1,MATCH("Passive0cCondition",PalData_Header,0)),INDEX(PalData,MATCH($B102,PalNames,0)+1,MATCH("Passive0cCondition",PalData_Header,0)) &amp; IF(ISBLANK(INDEX(PalData,MATCH($B102,PalNames,0)+1,MATCH("Passive0cCondition",PalData_Header,0))),," ")&amp;IFERROR(INDEX(SkillData,MATCH(INDEX(PalData,MATCH($B102,PalNames,0)+1,MATCH("Passive0c",PalData_Header,0)),SkillDataCodeName,0)+1,MATCH("Conditions",SkillData_Header,0))))</f>
        <v>#VALUE!</v>
      </c>
      <c r="M102" s="45" t="str">
        <f aca="false">IFERROR(__xludf.dummyfunction("IFERROR(INDEX(SkillData,MATCH(Arrayformula(ARRAY_CONSTRAIN(FILTER(INDIRECT(""PalData!""&amp;ADDRESS(MATCH(B102,PalNames,0)+1,(MATCH(""Passive0c"",PalData_Header,0)))&amp;"":""&amp;ADDRESS(MATCH(B102,PalNames,0)+1,(MATCH(""Passive0c"",PalData_Header,0))+4)),LEN(INDIRE"&amp;"CT(""PalData!""&amp;ADDRESS(MATCH(B102,PalNames,0)+1,(MATCH(""Passive0c"",PalData_Header,0)))&amp;"":""&amp;ADDRESS(MATCH(B102,PalNames,0)+1,(MATCH(""Passive0c"",PalData_Header,0))+4)))&gt;0),1,1)),SkillDataCodeName,0)+1,MATCH(""ValueType1"",SkillData_Header,0)))"),"%")</f>
        <v>%</v>
      </c>
      <c r="N102" s="62" t="e">
        <f aca="false" t="array" ref="N102:N102">IFERROR(INDEX(SkillData,MATCH(INDEX(PalData,MATCH($B102,PalNames,0)+1,MATCH("Passive0c",PalData_Header,0)),SkillDataCodeName,0)+1,MATCH("EffectValue1",SkillData_Header,0)))</f>
        <v>#VALUE!</v>
      </c>
      <c r="O102" s="62" t="e">
        <f aca="false" t="array" ref="O102:O102">IFERROR(INDEX(SkillData,MATCH(INDEX(PalData,MATCH($B102,PalNames,0)+1,MATCH("Passive1c",PalData_Header,0)),SkillDataCodeName,0)+1,MATCH("EffectValue1",SkillData_Header,0)))</f>
        <v>#VALUE!</v>
      </c>
      <c r="P102" s="62" t="e">
        <f aca="false" t="array" ref="P102:P102">IFERROR(INDEX(SkillData,MATCH(INDEX(PalData,MATCH($B102,PalNames,0)+1,MATCH("Passive2c",PalData_Header,0)),SkillDataCodeName,0)+1,MATCH("EffectValue1",SkillData_Header,0)))</f>
        <v>#VALUE!</v>
      </c>
      <c r="Q102" s="62" t="e">
        <f aca="false" t="array" ref="Q102:Q102">IFERROR(INDEX(SkillData,MATCH(INDEX(PalData,MATCH($B102,PalNames,0)+1,MATCH("Passive3c",PalData_Header,0)),SkillDataCodeName,0)+1,MATCH("EffectValue1",SkillData_Header,0)))</f>
        <v>#VALUE!</v>
      </c>
      <c r="R102" s="306" t="e">
        <f aca="false" t="array" ref="R102:R102">IFERROR(INDEX(SkillData,MATCH(INDEX(PalData,MATCH($B102,PalNames,0)+1,MATCH("Passive4c",PalData_Header,0)),SkillDataCodeName,0)+1,MATCH("EffectValue1",SkillData_Header,0)))</f>
        <v>#VALUE!</v>
      </c>
      <c r="S102" s="45" t="str">
        <f aca="false">IFERROR(__xludf.dummyfunction("IFERROR(INDEX(SkillData,MATCH(Arrayformula(ARRAY_CONSTRAIN(FILTER(INDIRECT(""PalData!""&amp;ADDRESS(MATCH(B102,PalNames,0)+1,(MATCH(""Passive0a"",PalData_Header,0)))&amp;"":""&amp;ADDRESS(MATCH(B102,PalNames,0)+1,(MATCH(""Passive0a"",PalData_Header,0))+4)),LEN(INDIRE"&amp;"CT(""PalData!""&amp;ADDRESS(MATCH(B102,PalNames,0)+1,(MATCH(""Passive0a"",PalData_Header,0)))&amp;"":""&amp;ADDRESS(MATCH(B102,PalNames,0)+1,(MATCH(""Passive0a"",PalData_Header,0))+4)))&gt;0),1,1)),SkillDataCodeName,0)+1,MATCH(""EffectTypeCombined"",SkillData_Header,0))"&amp;")"),"")</f>
        <v/>
      </c>
      <c r="T102" s="45" t="str">
        <f aca="false">IFERROR(__xludf.dummyfunction("IFERROR(INDEX(SkillData,MATCH(Arrayformula(ARRAY_CONSTRAIN(FILTER(INDIRECT(""PalData!""&amp;ADDRESS(MATCH(B102,PalNames,0)+1,(MATCH(""Passive0a"",PalData_Header,0)))&amp;"":""&amp;ADDRESS(MATCH(B102,PalNames,0)+1,(MATCH(""Passive0a"",PalData_Header,0))+4)),LEN(INDIRE"&amp;"CT(""PalData!""&amp;ADDRESS(MATCH(B102,PalNames,0)+1,(MATCH(""Passive0a"",PalData_Header,0)))&amp;"":""&amp;ADDRESS(MATCH(B102,PalNames,0)+1,(MATCH(""Passive0a"",PalData_Header,0))+4)))&gt;0),1,1)),SkillDataCodeName,0)+1,MATCH(""TargetType1"",SkillData_Header,0)))"),"")</f>
        <v/>
      </c>
      <c r="U102" s="45" t="e">
        <f aca="false" t="array" ref="U102:U102">IF(INDEX(PalData,MATCH($B102,PalNames,0)+1,MATCH("Passive0aCondition",PalData_Header,0))=IFERROR(INDEX(SkillData,MATCH(INDEX(PalData,MATCH($B102,PalNames,0)+1,MATCH("Passive0a",PalData_Header,0)),SkillDataCodeName,0)+1,MATCH("Conditions",SkillData_Header,0))),INDEX(PalData,MATCH($B102,PalNames,0)+1,MATCH("Passive0aCondition",PalData_Header,0)),INDEX(PalData,MATCH($B102,PalNames,0)+1,MATCH("Passive0aCondition",PalData_Header,0)) &amp; IF(ISBLANK(INDEX(PalData,MATCH($B102,PalNames,0)+1,MATCH("Passive0aCondition",PalData_Header,0))),," ")&amp;IFERROR(INDEX(SkillData,MATCH(INDEX(PalData,MATCH($B102,PalNames,0)+1,MATCH("Passive0a",PalData_Header,0)),SkillDataCodeName,0)+1,MATCH("Conditions",SkillData_Header,0))))</f>
        <v>#N/A</v>
      </c>
      <c r="V102" s="45" t="str">
        <f aca="false">IFERROR(__xludf.dummyfunction("IFERROR(INDEX(SkillData,MATCH(Arrayformula(ARRAY_CONSTRAIN(FILTER(INDIRECT(""PalData!""&amp;ADDRESS(MATCH(B102,PalNames,0)+1,(MATCH(""Passive0a"",PalData_Header,0)))&amp;"":""&amp;ADDRESS(MATCH(B102,PalNames,0)+1,(MATCH(""Passive0a"",PalData_Header,0))+4)),LEN(INDIRE"&amp;"CT(""PalData!""&amp;ADDRESS(MATCH(B102,PalNames,0)+1,(MATCH(""Passive0a"",PalData_Header,0)))&amp;"":""&amp;ADDRESS(MATCH(B102,PalNames,0)+1,(MATCH(""Passive0a"",PalData_Header,0))+4)))&gt;0),1,1)),SkillDataCodeName,0)+1,MATCH(""ValueType1"",SkillData_Header,0)))"),"")</f>
        <v/>
      </c>
      <c r="W102" s="45" t="n">
        <f aca="false">IFERROR(INDEX(SkillData,MATCH(INDEX(PalData,MATCH($B102,PalNames,0)+1,MATCH("Passive0a",PalData_Header,0)),SkillDataCodeName,0)+1,MATCH("EffectValue1",SkillData_Header,0)),)</f>
        <v>0</v>
      </c>
      <c r="X102" s="45" t="n">
        <f aca="false">IFERROR(INDEX(SkillData,MATCH(INDEX(PalData,MATCH($B102,PalNames,0)+1,MATCH("Passive1a",PalData_Header,0)),SkillDataCodeName,0)+1,MATCH("EffectValue1",SkillData_Header,0)),)</f>
        <v>0</v>
      </c>
      <c r="Y102" s="45" t="n">
        <f aca="false">IFERROR(INDEX(SkillData,MATCH(INDEX(PalData,MATCH($B102,PalNames,0)+1,MATCH("Passive2a",PalData_Header,0)),SkillDataCodeName,0)+1,MATCH("EffectValue1",SkillData_Header,0)),)</f>
        <v>0</v>
      </c>
      <c r="Z102" s="45" t="n">
        <f aca="false">IFERROR(INDEX(SkillData,MATCH(INDEX(PalData,MATCH($B102,PalNames,0)+1,MATCH("Passive3a",PalData_Header,0)),SkillDataCodeName,0)+1,MATCH("EffectValue1",SkillData_Header,0)),)</f>
        <v>0</v>
      </c>
      <c r="AA102" s="260" t="n">
        <f aca="false">IFERROR(INDEX(SkillData,MATCH(INDEX(PalData,MATCH($B102,PalNames,0)+1,MATCH("Passive4a",PalData_Header,0)),SkillDataCodeName,0)+1,MATCH("EffectValue1",SkillData_Header,0)),)</f>
        <v>0</v>
      </c>
      <c r="AB102" s="45" t="str">
        <f aca="false">IFERROR(__xludf.dummyfunction("IFERROR(INDEX(SkillData,MATCH(Arrayformula(ARRAY_CONSTRAIN(FILTER(INDIRECT(""PalData!""&amp;ADDRESS(MATCH(B102,PalNames,0)+1,(MATCH(""Passive0b"",PalData_Header,0)))&amp;"":""&amp;ADDRESS(MATCH(B102,PalNames,0)+1,(MATCH(""Passive0b"",PalData_Header,0))+4)),LEN(INDIRE"&amp;"CT(""PalData!""&amp;ADDRESS(MATCH(B102,PalNames,0)+1,(MATCH(""Passive0b"",PalData_Header,0)))&amp;"":""&amp;ADDRESS(MATCH(B102,PalNames,0)+1,(MATCH(""Passive0b"",PalData_Header,0))+4)))&gt;0),1,1)),SkillDataCodeName,0)+1,MATCH(""EffectTypeCombined"",SkillData_Header,0))"&amp;")"),"")</f>
        <v/>
      </c>
      <c r="AC102" s="45" t="str">
        <f aca="false">IFERROR(__xludf.dummyfunction("IFERROR(INDEX(SkillData,MATCH(Arrayformula(ARRAY_CONSTRAIN(FILTER(INDIRECT(""PalData!""&amp;ADDRESS(MATCH(B102,PalNames,0)+1,(MATCH(""Passive0b"",PalData_Header,0)))&amp;"":""&amp;ADDRESS(MATCH(B102,PalNames,0)+1,(MATCH(""Passive0b"",PalData_Header,0))+4)),LEN(INDIRE"&amp;"CT(""PalData!""&amp;ADDRESS(MATCH(B102,PalNames,0)+1,(MATCH(""Passive0b"",PalData_Header,0)))&amp;"":""&amp;ADDRESS(MATCH(B102,PalNames,0)+1,(MATCH(""Passive0b"",PalData_Header,0))+4)))&gt;0),1,1)),SkillDataCodeName,0)+1,MATCH(""TargetType1"",SkillData_Header,0)))"),"")</f>
        <v/>
      </c>
      <c r="AD102" s="45" t="e">
        <f aca="false" t="array" ref="AD102:AD102">IF(INDEX(PalData,MATCH($B102,PalNames,0)+1,MATCH("Passive0bCondition",PalData_Header,0))=IFERROR(INDEX(SkillData,MATCH(INDEX(PalData,MATCH($B102,PalNames,0)+1,MATCH("Passive0b",PalData_Header,0)),SkillDataCodeName,0)+1,MATCH("Conditions",SkillData_Header,0))),INDEX(PalData,MATCH($B102,PalNames,0)+1,MATCH("Passive0bCondition",PalData_Header,0)),INDEX(PalData,MATCH($B102,PalNames,0)+1,MATCH("Passive0bCondition",PalData_Header,0)) &amp; IF(ISBLANK(INDEX(PalData,MATCH($B102,PalNames,0)+1,MATCH("Passive0bCondition",PalData_Header,0))),," ")&amp;IFERROR(INDEX(SkillData,MATCH(INDEX(PalData,MATCH($B102,PalNames,0)+1,MATCH("Passive0b",PalData_Header,0)),SkillDataCodeName,0)+1,MATCH("Conditions",SkillData_Header,0))))</f>
        <v>#N/A</v>
      </c>
      <c r="AE102" s="45" t="str">
        <f aca="false">IFERROR(__xludf.dummyfunction("IFERROR(INDEX(SkillData,MATCH(Arrayformula(ARRAY_CONSTRAIN(FILTER(INDIRECT(""PalData!""&amp;ADDRESS(MATCH(B102,PalNames,0)+1,(MATCH(""Passive0b"",PalData_Header,0)))&amp;"":""&amp;ADDRESS(MATCH(B102,PalNames,0)+1,(MATCH(""Passive0b"",PalData_Header,0))+4)),LEN(INDIRE"&amp;"CT(""PalData!""&amp;ADDRESS(MATCH(B102,PalNames,0)+1,(MATCH(""Passive0b"",PalData_Header,0)))&amp;"":""&amp;ADDRESS(MATCH(B102,PalNames,0)+1,(MATCH(""Passive0b"",PalData_Header,0))+4)))&gt;0),1,1)),SkillDataCodeName,0)+1,MATCH(""ValueType1"",SkillData_Header,0)))"),"")</f>
        <v/>
      </c>
      <c r="AF102" s="45" t="n">
        <f aca="false">IFERROR(INDEX(SkillData,MATCH(INDEX(PalData,MATCH($B102,PalNames,0)+1,MATCH("Passive0b",PalData_Header,0)),SkillDataCodeName,0)+1,MATCH("EffectValue1",SkillData_Header,0)),)</f>
        <v>0</v>
      </c>
      <c r="AG102" s="45" t="n">
        <f aca="false">IFERROR(INDEX(SkillData,MATCH(INDEX(PalData,MATCH($B102,PalNames,0)+1,MATCH("Passive1b",PalData_Header,0)),SkillDataCodeName,0)+1,MATCH("EffectValue1",SkillData_Header,0)),)</f>
        <v>0</v>
      </c>
      <c r="AH102" s="45" t="n">
        <f aca="false">IFERROR(INDEX(SkillData,MATCH(INDEX(PalData,MATCH($B102,PalNames,0)+1,MATCH("Passive2b",PalData_Header,0)),SkillDataCodeName,0)+1,MATCH("EffectValue1",SkillData_Header,0)),)</f>
        <v>0</v>
      </c>
      <c r="AI102" s="45" t="n">
        <f aca="false">IFERROR(INDEX(SkillData,MATCH(INDEX(PalData,MATCH($B102,PalNames,0)+1,MATCH("Passive3b",PalData_Header,0)),SkillDataCodeName,0)+1,MATCH("EffectValue1",SkillData_Header,0)),)</f>
        <v>0</v>
      </c>
      <c r="AJ102" s="260" t="n">
        <f aca="false">IFERROR(INDEX(SkillData,MATCH(INDEX(PalData,MATCH($B102,PalNames,0)+1,MATCH("Passive4b",PalData_Header,0)),SkillDataCodeName,0)+1,MATCH("EffectValue1",SkillData_Header,0)),)</f>
        <v>0</v>
      </c>
      <c r="AK102" s="301" t="s">
        <v>366</v>
      </c>
    </row>
    <row r="103" customFormat="false" ht="15.75" hidden="false" customHeight="false" outlineLevel="0" collapsed="false">
      <c r="A103" s="302" t="n">
        <v>84</v>
      </c>
      <c r="B103" s="303" t="s">
        <v>25</v>
      </c>
      <c r="C103" s="48" t="str">
        <f aca="false" t="array" ref="C103:C103">IF(ISBLANK(INDEX(PalData,MATCH($B103,PalNames,0)+1,MATCH("ActiveSkill",PalData_Header,0))),INDEX(PalData,MATCH($B103,PalNames,0)+1,MATCH("SkillUnlock_",PalData_Header,0)),INDEX(PalData,MATCH($B103,PalNames,0)+1,MATCH("ActiveSkill",PalData_Header,0)))</f>
        <v>Saddle</v>
      </c>
      <c r="D103" s="48"/>
      <c r="E103" s="48" t="n">
        <f aca="false">INDEX(PalData,MATCH($B103,PalNames,0)+1,MATCH("ActiveSkillBonus0",PalData_Header,0))</f>
        <v>0</v>
      </c>
      <c r="F103" s="48" t="n">
        <f aca="false">INDEX(PalData,MATCH($B103,PalNames,0)+1,MATCH("ActiveSkillBonus1",PalData_Header,0))</f>
        <v>0</v>
      </c>
      <c r="G103" s="48" t="n">
        <f aca="false">INDEX(PalData,MATCH($B103,PalNames,0)+1,MATCH("ActiveSkillBonus2",PalData_Header,0))</f>
        <v>0</v>
      </c>
      <c r="H103" s="48" t="n">
        <f aca="false">INDEX(PalData,MATCH($B103,PalNames,0)+1,MATCH("ActiveSkillBonus3",PalData_Header,0))</f>
        <v>0</v>
      </c>
      <c r="I103" s="263" t="n">
        <f aca="false">INDEX(PalData,MATCH($B103,PalNames,0)+1,MATCH("ActiveSkillBonus4",PalData_Header,0))</f>
        <v>0</v>
      </c>
      <c r="J103" s="48" t="str">
        <f aca="false">IFERROR(__xludf.dummyfunction("IFERROR(INDEX(SkillData,MATCH(Arrayformula(ARRAY_CONSTRAIN(FILTER(INDIRECT(""PalData!""&amp;ADDRESS(MATCH(B103,PalNames,0)+1,(MATCH(""Passive0c"",PalData_Header,0)))&amp;"":""&amp;ADDRESS(MATCH(B103,PalNames,0)+1,(MATCH(""Passive0c"",PalData_Header,0))+4)),LEN(INDIRE"&amp;"CT(""PalData!""&amp;ADDRESS(MATCH(B103,PalNames,0)+1,(MATCH(""Passive0c"",PalData_Header,0)))&amp;"":""&amp;ADDRESS(MATCH(B103,PalNames,0)+1,(MATCH(""Passive0c"",PalData_Header,0))+4)))&gt;0),1,1)),SkillDataCodeName,0)+1,MATCH(""EffectTypeCombined"",SkillData_Header,0))"&amp;")"),"ElementAddItemDrop_Leaf")</f>
        <v>ElementAddItemDrop_Leaf</v>
      </c>
      <c r="K103" s="48" t="str">
        <f aca="false">IFERROR(__xludf.dummyfunction("IFERROR(INDEX(SkillData,MATCH(Arrayformula(ARRAY_CONSTRAIN(FILTER(INDIRECT(""PalData!""&amp;ADDRESS(MATCH(B103,PalNames,0)+1,(MATCH(""Passive0c"",PalData_Header,0)))&amp;"":""&amp;ADDRESS(MATCH(B103,PalNames,0)+1,(MATCH(""Passive0c"",PalData_Header,0))+4)),LEN(INDIRE"&amp;"CT(""PalData!""&amp;ADDRESS(MATCH(B103,PalNames,0)+1,(MATCH(""Passive0c"",PalData_Header,0)))&amp;"":""&amp;ADDRESS(MATCH(B103,PalNames,0)+1,(MATCH(""Passive0c"",PalData_Header,0))+4)))&gt;0),1,1)),SkillDataCodeName,0)+1,MATCH(""TargetType1"",SkillData_Header,0)))"),"SelfAndTrainer")</f>
        <v>SelfAndTrainer</v>
      </c>
      <c r="L103" s="48" t="e">
        <f aca="false" t="array" ref="L103:L103">IF(INDEX(PalData,MATCH($B103,PalNames,0)+1,MATCH("Passive0cCondition",PalData_Header,0))=IFERROR(INDEX(SkillData,MATCH(INDEX(PalData,MATCH($B103,PalNames,0)+1,MATCH("Passive0c",PalData_Header,0)),SkillDataCodeName,0)+1,MATCH("Conditions",SkillData_Header,0))),INDEX(PalData,MATCH($B103,PalNames,0)+1,MATCH("Passive0cCondition",PalData_Header,0)),INDEX(PalData,MATCH($B103,PalNames,0)+1,MATCH("Passive0cCondition",PalData_Header,0)) &amp; IF(ISBLANK(INDEX(PalData,MATCH($B103,PalNames,0)+1,MATCH("Passive0cCondition",PalData_Header,0))),," ")&amp;IFERROR(INDEX(SkillData,MATCH(INDEX(PalData,MATCH($B103,PalNames,0)+1,MATCH("Passive0c",PalData_Header,0)),SkillDataCodeName,0)+1,MATCH("Conditions",SkillData_Header,0))))</f>
        <v>#VALUE!</v>
      </c>
      <c r="M103" s="48" t="str">
        <f aca="false">IFERROR(__xludf.dummyfunction("IFERROR(INDEX(SkillData,MATCH(Arrayformula(ARRAY_CONSTRAIN(FILTER(INDIRECT(""PalData!""&amp;ADDRESS(MATCH(B103,PalNames,0)+1,(MATCH(""Passive0c"",PalData_Header,0)))&amp;"":""&amp;ADDRESS(MATCH(B103,PalNames,0)+1,(MATCH(""Passive0c"",PalData_Header,0))+4)),LEN(INDIRE"&amp;"CT(""PalData!""&amp;ADDRESS(MATCH(B103,PalNames,0)+1,(MATCH(""Passive0c"",PalData_Header,0)))&amp;"":""&amp;ADDRESS(MATCH(B103,PalNames,0)+1,(MATCH(""Passive0c"",PalData_Header,0))+4)))&gt;0),1,1)),SkillDataCodeName,0)+1,MATCH(""ValueType1"",SkillData_Header,0)))"),"%")</f>
        <v>%</v>
      </c>
      <c r="N103" s="61" t="e">
        <f aca="false" t="array" ref="N103:N103">IFERROR(INDEX(SkillData,MATCH(INDEX(PalData,MATCH($B103,PalNames,0)+1,MATCH("Passive0c",PalData_Header,0)),SkillDataCodeName,0)+1,MATCH("EffectValue1",SkillData_Header,0)))</f>
        <v>#VALUE!</v>
      </c>
      <c r="O103" s="61" t="e">
        <f aca="false" t="array" ref="O103:O103">IFERROR(INDEX(SkillData,MATCH(INDEX(PalData,MATCH($B103,PalNames,0)+1,MATCH("Passive1c",PalData_Header,0)),SkillDataCodeName,0)+1,MATCH("EffectValue1",SkillData_Header,0)))</f>
        <v>#VALUE!</v>
      </c>
      <c r="P103" s="61" t="e">
        <f aca="false" t="array" ref="P103:P103">IFERROR(INDEX(SkillData,MATCH(INDEX(PalData,MATCH($B103,PalNames,0)+1,MATCH("Passive2c",PalData_Header,0)),SkillDataCodeName,0)+1,MATCH("EffectValue1",SkillData_Header,0)))</f>
        <v>#VALUE!</v>
      </c>
      <c r="Q103" s="61" t="e">
        <f aca="false" t="array" ref="Q103:Q103">IFERROR(INDEX(SkillData,MATCH(INDEX(PalData,MATCH($B103,PalNames,0)+1,MATCH("Passive3c",PalData_Header,0)),SkillDataCodeName,0)+1,MATCH("EffectValue1",SkillData_Header,0)))</f>
        <v>#VALUE!</v>
      </c>
      <c r="R103" s="304" t="e">
        <f aca="false" t="array" ref="R103:R103">IFERROR(INDEX(SkillData,MATCH(INDEX(PalData,MATCH($B103,PalNames,0)+1,MATCH("Passive4c",PalData_Header,0)),SkillDataCodeName,0)+1,MATCH("EffectValue1",SkillData_Header,0)))</f>
        <v>#VALUE!</v>
      </c>
      <c r="S103" s="48" t="str">
        <f aca="false">IFERROR(__xludf.dummyfunction("IFERROR(INDEX(SkillData,MATCH(Arrayformula(ARRAY_CONSTRAIN(FILTER(INDIRECT(""PalData!""&amp;ADDRESS(MATCH(B103,PalNames,0)+1,(MATCH(""Passive0a"",PalData_Header,0)))&amp;"":""&amp;ADDRESS(MATCH(B103,PalNames,0)+1,(MATCH(""Passive0a"",PalData_Header,0))+4)),LEN(INDIRE"&amp;"CT(""PalData!""&amp;ADDRESS(MATCH(B103,PalNames,0)+1,(MATCH(""Passive0a"",PalData_Header,0)))&amp;"":""&amp;ADDRESS(MATCH(B103,PalNames,0)+1,(MATCH(""Passive0a"",PalData_Header,0))+4)))&gt;0),1,1)),SkillDataCodeName,0)+1,MATCH(""EffectTypeCombined"",SkillData_Header,0))"&amp;")"),"")</f>
        <v/>
      </c>
      <c r="T103" s="48" t="str">
        <f aca="false">IFERROR(__xludf.dummyfunction("IFERROR(INDEX(SkillData,MATCH(Arrayformula(ARRAY_CONSTRAIN(FILTER(INDIRECT(""PalData!""&amp;ADDRESS(MATCH(B103,PalNames,0)+1,(MATCH(""Passive0a"",PalData_Header,0)))&amp;"":""&amp;ADDRESS(MATCH(B103,PalNames,0)+1,(MATCH(""Passive0a"",PalData_Header,0))+4)),LEN(INDIRE"&amp;"CT(""PalData!""&amp;ADDRESS(MATCH(B103,PalNames,0)+1,(MATCH(""Passive0a"",PalData_Header,0)))&amp;"":""&amp;ADDRESS(MATCH(B103,PalNames,0)+1,(MATCH(""Passive0a"",PalData_Header,0))+4)))&gt;0),1,1)),SkillDataCodeName,0)+1,MATCH(""TargetType1"",SkillData_Header,0)))"),"")</f>
        <v/>
      </c>
      <c r="U103" s="48" t="e">
        <f aca="false" t="array" ref="U103:U103">IF(INDEX(PalData,MATCH($B103,PalNames,0)+1,MATCH("Passive0aCondition",PalData_Header,0))=IFERROR(INDEX(SkillData,MATCH(INDEX(PalData,MATCH($B103,PalNames,0)+1,MATCH("Passive0a",PalData_Header,0)),SkillDataCodeName,0)+1,MATCH("Conditions",SkillData_Header,0))),INDEX(PalData,MATCH($B103,PalNames,0)+1,MATCH("Passive0aCondition",PalData_Header,0)),INDEX(PalData,MATCH($B103,PalNames,0)+1,MATCH("Passive0aCondition",PalData_Header,0)) &amp; IF(ISBLANK(INDEX(PalData,MATCH($B103,PalNames,0)+1,MATCH("Passive0aCondition",PalData_Header,0))),," ")&amp;IFERROR(INDEX(SkillData,MATCH(INDEX(PalData,MATCH($B103,PalNames,0)+1,MATCH("Passive0a",PalData_Header,0)),SkillDataCodeName,0)+1,MATCH("Conditions",SkillData_Header,0))))</f>
        <v>#N/A</v>
      </c>
      <c r="V103" s="48" t="str">
        <f aca="false">IFERROR(__xludf.dummyfunction("IFERROR(INDEX(SkillData,MATCH(Arrayformula(ARRAY_CONSTRAIN(FILTER(INDIRECT(""PalData!""&amp;ADDRESS(MATCH(B103,PalNames,0)+1,(MATCH(""Passive0a"",PalData_Header,0)))&amp;"":""&amp;ADDRESS(MATCH(B103,PalNames,0)+1,(MATCH(""Passive0a"",PalData_Header,0))+4)),LEN(INDIRE"&amp;"CT(""PalData!""&amp;ADDRESS(MATCH(B103,PalNames,0)+1,(MATCH(""Passive0a"",PalData_Header,0)))&amp;"":""&amp;ADDRESS(MATCH(B103,PalNames,0)+1,(MATCH(""Passive0a"",PalData_Header,0))+4)))&gt;0),1,1)),SkillDataCodeName,0)+1,MATCH(""ValueType1"",SkillData_Header,0)))"),"")</f>
        <v/>
      </c>
      <c r="W103" s="48" t="n">
        <f aca="false">IFERROR(INDEX(SkillData,MATCH(INDEX(PalData,MATCH($B103,PalNames,0)+1,MATCH("Passive0a",PalData_Header,0)),SkillDataCodeName,0)+1,MATCH("EffectValue1",SkillData_Header,0)),)</f>
        <v>0</v>
      </c>
      <c r="X103" s="48" t="n">
        <f aca="false">IFERROR(INDEX(SkillData,MATCH(INDEX(PalData,MATCH($B103,PalNames,0)+1,MATCH("Passive1a",PalData_Header,0)),SkillDataCodeName,0)+1,MATCH("EffectValue1",SkillData_Header,0)),)</f>
        <v>0</v>
      </c>
      <c r="Y103" s="48" t="n">
        <f aca="false">IFERROR(INDEX(SkillData,MATCH(INDEX(PalData,MATCH($B103,PalNames,0)+1,MATCH("Passive2a",PalData_Header,0)),SkillDataCodeName,0)+1,MATCH("EffectValue1",SkillData_Header,0)),)</f>
        <v>0</v>
      </c>
      <c r="Z103" s="48" t="n">
        <f aca="false">IFERROR(INDEX(SkillData,MATCH(INDEX(PalData,MATCH($B103,PalNames,0)+1,MATCH("Passive3a",PalData_Header,0)),SkillDataCodeName,0)+1,MATCH("EffectValue1",SkillData_Header,0)),)</f>
        <v>0</v>
      </c>
      <c r="AA103" s="263" t="n">
        <f aca="false">IFERROR(INDEX(SkillData,MATCH(INDEX(PalData,MATCH($B103,PalNames,0)+1,MATCH("Passive4a",PalData_Header,0)),SkillDataCodeName,0)+1,MATCH("EffectValue1",SkillData_Header,0)),)</f>
        <v>0</v>
      </c>
      <c r="AB103" s="48" t="str">
        <f aca="false">IFERROR(__xludf.dummyfunction("IFERROR(INDEX(SkillData,MATCH(Arrayformula(ARRAY_CONSTRAIN(FILTER(INDIRECT(""PalData!""&amp;ADDRESS(MATCH(B103,PalNames,0)+1,(MATCH(""Passive0b"",PalData_Header,0)))&amp;"":""&amp;ADDRESS(MATCH(B103,PalNames,0)+1,(MATCH(""Passive0b"",PalData_Header,0))+4)),LEN(INDIRE"&amp;"CT(""PalData!""&amp;ADDRESS(MATCH(B103,PalNames,0)+1,(MATCH(""Passive0b"",PalData_Header,0)))&amp;"":""&amp;ADDRESS(MATCH(B103,PalNames,0)+1,(MATCH(""Passive0b"",PalData_Header,0))+4)))&gt;0),1,1)),SkillDataCodeName,0)+1,MATCH(""EffectTypeCombined"",SkillData_Header,0))"&amp;")"),"")</f>
        <v/>
      </c>
      <c r="AC103" s="48" t="str">
        <f aca="false">IFERROR(__xludf.dummyfunction("IFERROR(INDEX(SkillData,MATCH(Arrayformula(ARRAY_CONSTRAIN(FILTER(INDIRECT(""PalData!""&amp;ADDRESS(MATCH(B103,PalNames,0)+1,(MATCH(""Passive0b"",PalData_Header,0)))&amp;"":""&amp;ADDRESS(MATCH(B103,PalNames,0)+1,(MATCH(""Passive0b"",PalData_Header,0))+4)),LEN(INDIRE"&amp;"CT(""PalData!""&amp;ADDRESS(MATCH(B103,PalNames,0)+1,(MATCH(""Passive0b"",PalData_Header,0)))&amp;"":""&amp;ADDRESS(MATCH(B103,PalNames,0)+1,(MATCH(""Passive0b"",PalData_Header,0))+4)))&gt;0),1,1)),SkillDataCodeName,0)+1,MATCH(""TargetType1"",SkillData_Header,0)))"),"")</f>
        <v/>
      </c>
      <c r="AD103" s="48" t="e">
        <f aca="false" t="array" ref="AD103:AD103">IF(INDEX(PalData,MATCH($B103,PalNames,0)+1,MATCH("Passive0bCondition",PalData_Header,0))=IFERROR(INDEX(SkillData,MATCH(INDEX(PalData,MATCH($B103,PalNames,0)+1,MATCH("Passive0b",PalData_Header,0)),SkillDataCodeName,0)+1,MATCH("Conditions",SkillData_Header,0))),INDEX(PalData,MATCH($B103,PalNames,0)+1,MATCH("Passive0bCondition",PalData_Header,0)),INDEX(PalData,MATCH($B103,PalNames,0)+1,MATCH("Passive0bCondition",PalData_Header,0)) &amp; IF(ISBLANK(INDEX(PalData,MATCH($B103,PalNames,0)+1,MATCH("Passive0bCondition",PalData_Header,0))),," ")&amp;IFERROR(INDEX(SkillData,MATCH(INDEX(PalData,MATCH($B103,PalNames,0)+1,MATCH("Passive0b",PalData_Header,0)),SkillDataCodeName,0)+1,MATCH("Conditions",SkillData_Header,0))))</f>
        <v>#N/A</v>
      </c>
      <c r="AE103" s="48" t="str">
        <f aca="false">IFERROR(__xludf.dummyfunction("IFERROR(INDEX(SkillData,MATCH(Arrayformula(ARRAY_CONSTRAIN(FILTER(INDIRECT(""PalData!""&amp;ADDRESS(MATCH(B103,PalNames,0)+1,(MATCH(""Passive0b"",PalData_Header,0)))&amp;"":""&amp;ADDRESS(MATCH(B103,PalNames,0)+1,(MATCH(""Passive0b"",PalData_Header,0))+4)),LEN(INDIRE"&amp;"CT(""PalData!""&amp;ADDRESS(MATCH(B103,PalNames,0)+1,(MATCH(""Passive0b"",PalData_Header,0)))&amp;"":""&amp;ADDRESS(MATCH(B103,PalNames,0)+1,(MATCH(""Passive0b"",PalData_Header,0))+4)))&gt;0),1,1)),SkillDataCodeName,0)+1,MATCH(""ValueType1"",SkillData_Header,0)))"),"")</f>
        <v/>
      </c>
      <c r="AF103" s="48" t="n">
        <f aca="false">IFERROR(INDEX(SkillData,MATCH(INDEX(PalData,MATCH($B103,PalNames,0)+1,MATCH("Passive0b",PalData_Header,0)),SkillDataCodeName,0)+1,MATCH("EffectValue1",SkillData_Header,0)),)</f>
        <v>0</v>
      </c>
      <c r="AG103" s="48" t="n">
        <f aca="false">IFERROR(INDEX(SkillData,MATCH(INDEX(PalData,MATCH($B103,PalNames,0)+1,MATCH("Passive1b",PalData_Header,0)),SkillDataCodeName,0)+1,MATCH("EffectValue1",SkillData_Header,0)),)</f>
        <v>0</v>
      </c>
      <c r="AH103" s="48" t="n">
        <f aca="false">IFERROR(INDEX(SkillData,MATCH(INDEX(PalData,MATCH($B103,PalNames,0)+1,MATCH("Passive2b",PalData_Header,0)),SkillDataCodeName,0)+1,MATCH("EffectValue1",SkillData_Header,0)),)</f>
        <v>0</v>
      </c>
      <c r="AI103" s="48" t="n">
        <f aca="false">IFERROR(INDEX(SkillData,MATCH(INDEX(PalData,MATCH($B103,PalNames,0)+1,MATCH("Passive3b",PalData_Header,0)),SkillDataCodeName,0)+1,MATCH("EffectValue1",SkillData_Header,0)),)</f>
        <v>0</v>
      </c>
      <c r="AJ103" s="263" t="n">
        <f aca="false">IFERROR(INDEX(SkillData,MATCH(INDEX(PalData,MATCH($B103,PalNames,0)+1,MATCH("Passive4b",PalData_Header,0)),SkillDataCodeName,0)+1,MATCH("EffectValue1",SkillData_Header,0)),)</f>
        <v>0</v>
      </c>
      <c r="AK103" s="305" t="s">
        <v>367</v>
      </c>
    </row>
    <row r="104" customFormat="false" ht="15.75" hidden="false" customHeight="false" outlineLevel="0" collapsed="false">
      <c r="A104" s="299" t="n">
        <v>84</v>
      </c>
      <c r="B104" s="300" t="s">
        <v>27</v>
      </c>
      <c r="C104" s="45" t="str">
        <f aca="false" t="array" ref="C104:C104">IF(ISBLANK(INDEX(PalData,MATCH($B104,PalNames,0)+1,MATCH("ActiveSkill",PalData_Header,0))),INDEX(PalData,MATCH($B104,PalNames,0)+1,MATCH("SkillUnlock_",PalData_Header,0)),INDEX(PalData,MATCH($B104,PalNames,0)+1,MATCH("ActiveSkill",PalData_Header,0)))</f>
        <v>Saddle</v>
      </c>
      <c r="D104" s="45"/>
      <c r="E104" s="45" t="n">
        <f aca="false">INDEX(PalData,MATCH($B104,PalNames,0)+1,MATCH("ActiveSkillBonus0",PalData_Header,0))</f>
        <v>0</v>
      </c>
      <c r="F104" s="45" t="n">
        <f aca="false">INDEX(PalData,MATCH($B104,PalNames,0)+1,MATCH("ActiveSkillBonus1",PalData_Header,0))</f>
        <v>0</v>
      </c>
      <c r="G104" s="45" t="n">
        <f aca="false">INDEX(PalData,MATCH($B104,PalNames,0)+1,MATCH("ActiveSkillBonus2",PalData_Header,0))</f>
        <v>0</v>
      </c>
      <c r="H104" s="45" t="n">
        <f aca="false">INDEX(PalData,MATCH($B104,PalNames,0)+1,MATCH("ActiveSkillBonus3",PalData_Header,0))</f>
        <v>0</v>
      </c>
      <c r="I104" s="260" t="n">
        <f aca="false">INDEX(PalData,MATCH($B104,PalNames,0)+1,MATCH("ActiveSkillBonus4",PalData_Header,0))</f>
        <v>0</v>
      </c>
      <c r="J104" s="45" t="str">
        <f aca="false">IFERROR(__xludf.dummyfunction("IFERROR(INDEX(SkillData,MATCH(Arrayformula(ARRAY_CONSTRAIN(FILTER(INDIRECT(""PalData!""&amp;ADDRESS(MATCH(B104,PalNames,0)+1,(MATCH(""Passive0c"",PalData_Header,0)))&amp;"":""&amp;ADDRESS(MATCH(B104,PalNames,0)+1,(MATCH(""Passive0c"",PalData_Header,0))+4)),LEN(INDIRE"&amp;"CT(""PalData!""&amp;ADDRESS(MATCH(B104,PalNames,0)+1,(MATCH(""Passive0c"",PalData_Header,0)))&amp;"":""&amp;ADDRESS(MATCH(B104,PalNames,0)+1,(MATCH(""Passive0c"",PalData_Header,0))+4)))&gt;0),1,1)),SkillDataCodeName,0)+1,MATCH(""EffectTypeCombined"",SkillData_Header,0))"&amp;")"),"ElementAddItemDrop_Normal")</f>
        <v>ElementAddItemDrop_Normal</v>
      </c>
      <c r="K104" s="45" t="str">
        <f aca="false">IFERROR(__xludf.dummyfunction("IFERROR(INDEX(SkillData,MATCH(Arrayformula(ARRAY_CONSTRAIN(FILTER(INDIRECT(""PalData!""&amp;ADDRESS(MATCH(B104,PalNames,0)+1,(MATCH(""Passive0c"",PalData_Header,0)))&amp;"":""&amp;ADDRESS(MATCH(B104,PalNames,0)+1,(MATCH(""Passive0c"",PalData_Header,0))+4)),LEN(INDIRE"&amp;"CT(""PalData!""&amp;ADDRESS(MATCH(B104,PalNames,0)+1,(MATCH(""Passive0c"",PalData_Header,0)))&amp;"":""&amp;ADDRESS(MATCH(B104,PalNames,0)+1,(MATCH(""Passive0c"",PalData_Header,0))+4)))&gt;0),1,1)),SkillDataCodeName,0)+1,MATCH(""TargetType1"",SkillData_Header,0)))"),"SelfAndTrainer")</f>
        <v>SelfAndTrainer</v>
      </c>
      <c r="L104" s="45" t="e">
        <f aca="false" t="array" ref="L104:L104">IF(INDEX(PalData,MATCH($B104,PalNames,0)+1,MATCH("Passive0cCondition",PalData_Header,0))=IFERROR(INDEX(SkillData,MATCH(INDEX(PalData,MATCH($B104,PalNames,0)+1,MATCH("Passive0c",PalData_Header,0)),SkillDataCodeName,0)+1,MATCH("Conditions",SkillData_Header,0))),INDEX(PalData,MATCH($B104,PalNames,0)+1,MATCH("Passive0cCondition",PalData_Header,0)),INDEX(PalData,MATCH($B104,PalNames,0)+1,MATCH("Passive0cCondition",PalData_Header,0)) &amp; IF(ISBLANK(INDEX(PalData,MATCH($B104,PalNames,0)+1,MATCH("Passive0cCondition",PalData_Header,0))),," ")&amp;IFERROR(INDEX(SkillData,MATCH(INDEX(PalData,MATCH($B104,PalNames,0)+1,MATCH("Passive0c",PalData_Header,0)),SkillDataCodeName,0)+1,MATCH("Conditions",SkillData_Header,0))))</f>
        <v>#VALUE!</v>
      </c>
      <c r="M104" s="45" t="str">
        <f aca="false">IFERROR(__xludf.dummyfunction("IFERROR(INDEX(SkillData,MATCH(Arrayformula(ARRAY_CONSTRAIN(FILTER(INDIRECT(""PalData!""&amp;ADDRESS(MATCH(B104,PalNames,0)+1,(MATCH(""Passive0c"",PalData_Header,0)))&amp;"":""&amp;ADDRESS(MATCH(B104,PalNames,0)+1,(MATCH(""Passive0c"",PalData_Header,0))+4)),LEN(INDIRE"&amp;"CT(""PalData!""&amp;ADDRESS(MATCH(B104,PalNames,0)+1,(MATCH(""Passive0c"",PalData_Header,0)))&amp;"":""&amp;ADDRESS(MATCH(B104,PalNames,0)+1,(MATCH(""Passive0c"",PalData_Header,0))+4)))&gt;0),1,1)),SkillDataCodeName,0)+1,MATCH(""ValueType1"",SkillData_Header,0)))"),"%")</f>
        <v>%</v>
      </c>
      <c r="N104" s="62" t="e">
        <f aca="false" t="array" ref="N104:N104">IFERROR(INDEX(SkillData,MATCH(INDEX(PalData,MATCH($B104,PalNames,0)+1,MATCH("Passive0c",PalData_Header,0)),SkillDataCodeName,0)+1,MATCH("EffectValue1",SkillData_Header,0)))</f>
        <v>#VALUE!</v>
      </c>
      <c r="O104" s="62" t="e">
        <f aca="false" t="array" ref="O104:O104">IFERROR(INDEX(SkillData,MATCH(INDEX(PalData,MATCH($B104,PalNames,0)+1,MATCH("Passive1c",PalData_Header,0)),SkillDataCodeName,0)+1,MATCH("EffectValue1",SkillData_Header,0)))</f>
        <v>#VALUE!</v>
      </c>
      <c r="P104" s="62" t="e">
        <f aca="false" t="array" ref="P104:P104">IFERROR(INDEX(SkillData,MATCH(INDEX(PalData,MATCH($B104,PalNames,0)+1,MATCH("Passive2c",PalData_Header,0)),SkillDataCodeName,0)+1,MATCH("EffectValue1",SkillData_Header,0)))</f>
        <v>#VALUE!</v>
      </c>
      <c r="Q104" s="62" t="e">
        <f aca="false" t="array" ref="Q104:Q104">IFERROR(INDEX(SkillData,MATCH(INDEX(PalData,MATCH($B104,PalNames,0)+1,MATCH("Passive3c",PalData_Header,0)),SkillDataCodeName,0)+1,MATCH("EffectValue1",SkillData_Header,0)))</f>
        <v>#VALUE!</v>
      </c>
      <c r="R104" s="306" t="e">
        <f aca="false" t="array" ref="R104:R104">IFERROR(INDEX(SkillData,MATCH(INDEX(PalData,MATCH($B104,PalNames,0)+1,MATCH("Passive4c",PalData_Header,0)),SkillDataCodeName,0)+1,MATCH("EffectValue1",SkillData_Header,0)))</f>
        <v>#VALUE!</v>
      </c>
      <c r="S104" s="45" t="str">
        <f aca="false">IFERROR(__xludf.dummyfunction("IFERROR(INDEX(SkillData,MATCH(Arrayformula(ARRAY_CONSTRAIN(FILTER(INDIRECT(""PalData!""&amp;ADDRESS(MATCH(B104,PalNames,0)+1,(MATCH(""Passive0a"",PalData_Header,0)))&amp;"":""&amp;ADDRESS(MATCH(B104,PalNames,0)+1,(MATCH(""Passive0a"",PalData_Header,0))+4)),LEN(INDIRE"&amp;"CT(""PalData!""&amp;ADDRESS(MATCH(B104,PalNames,0)+1,(MATCH(""Passive0a"",PalData_Header,0)))&amp;"":""&amp;ADDRESS(MATCH(B104,PalNames,0)+1,(MATCH(""Passive0a"",PalData_Header,0))+4)))&gt;0),1,1)),SkillDataCodeName,0)+1,MATCH(""EffectTypeCombined"",SkillData_Header,0))"&amp;")"),"")</f>
        <v/>
      </c>
      <c r="T104" s="45" t="str">
        <f aca="false">IFERROR(__xludf.dummyfunction("IFERROR(INDEX(SkillData,MATCH(Arrayformula(ARRAY_CONSTRAIN(FILTER(INDIRECT(""PalData!""&amp;ADDRESS(MATCH(B104,PalNames,0)+1,(MATCH(""Passive0a"",PalData_Header,0)))&amp;"":""&amp;ADDRESS(MATCH(B104,PalNames,0)+1,(MATCH(""Passive0a"",PalData_Header,0))+4)),LEN(INDIRE"&amp;"CT(""PalData!""&amp;ADDRESS(MATCH(B104,PalNames,0)+1,(MATCH(""Passive0a"",PalData_Header,0)))&amp;"":""&amp;ADDRESS(MATCH(B104,PalNames,0)+1,(MATCH(""Passive0a"",PalData_Header,0))+4)))&gt;0),1,1)),SkillDataCodeName,0)+1,MATCH(""TargetType1"",SkillData_Header,0)))"),"")</f>
        <v/>
      </c>
      <c r="U104" s="45" t="e">
        <f aca="false" t="array" ref="U104:U104">IF(INDEX(PalData,MATCH($B104,PalNames,0)+1,MATCH("Passive0aCondition",PalData_Header,0))=IFERROR(INDEX(SkillData,MATCH(INDEX(PalData,MATCH($B104,PalNames,0)+1,MATCH("Passive0a",PalData_Header,0)),SkillDataCodeName,0)+1,MATCH("Conditions",SkillData_Header,0))),INDEX(PalData,MATCH($B104,PalNames,0)+1,MATCH("Passive0aCondition",PalData_Header,0)),INDEX(PalData,MATCH($B104,PalNames,0)+1,MATCH("Passive0aCondition",PalData_Header,0)) &amp; IF(ISBLANK(INDEX(PalData,MATCH($B104,PalNames,0)+1,MATCH("Passive0aCondition",PalData_Header,0))),," ")&amp;IFERROR(INDEX(SkillData,MATCH(INDEX(PalData,MATCH($B104,PalNames,0)+1,MATCH("Passive0a",PalData_Header,0)),SkillDataCodeName,0)+1,MATCH("Conditions",SkillData_Header,0))))</f>
        <v>#N/A</v>
      </c>
      <c r="V104" s="45" t="str">
        <f aca="false">IFERROR(__xludf.dummyfunction("IFERROR(INDEX(SkillData,MATCH(Arrayformula(ARRAY_CONSTRAIN(FILTER(INDIRECT(""PalData!""&amp;ADDRESS(MATCH(B104,PalNames,0)+1,(MATCH(""Passive0a"",PalData_Header,0)))&amp;"":""&amp;ADDRESS(MATCH(B104,PalNames,0)+1,(MATCH(""Passive0a"",PalData_Header,0))+4)),LEN(INDIRE"&amp;"CT(""PalData!""&amp;ADDRESS(MATCH(B104,PalNames,0)+1,(MATCH(""Passive0a"",PalData_Header,0)))&amp;"":""&amp;ADDRESS(MATCH(B104,PalNames,0)+1,(MATCH(""Passive0a"",PalData_Header,0))+4)))&gt;0),1,1)),SkillDataCodeName,0)+1,MATCH(""ValueType1"",SkillData_Header,0)))"),"")</f>
        <v/>
      </c>
      <c r="W104" s="45" t="n">
        <f aca="false">IFERROR(INDEX(SkillData,MATCH(INDEX(PalData,MATCH($B104,PalNames,0)+1,MATCH("Passive0a",PalData_Header,0)),SkillDataCodeName,0)+1,MATCH("EffectValue1",SkillData_Header,0)),)</f>
        <v>0</v>
      </c>
      <c r="X104" s="45" t="n">
        <f aca="false">IFERROR(INDEX(SkillData,MATCH(INDEX(PalData,MATCH($B104,PalNames,0)+1,MATCH("Passive1a",PalData_Header,0)),SkillDataCodeName,0)+1,MATCH("EffectValue1",SkillData_Header,0)),)</f>
        <v>0</v>
      </c>
      <c r="Y104" s="45" t="n">
        <f aca="false">IFERROR(INDEX(SkillData,MATCH(INDEX(PalData,MATCH($B104,PalNames,0)+1,MATCH("Passive2a",PalData_Header,0)),SkillDataCodeName,0)+1,MATCH("EffectValue1",SkillData_Header,0)),)</f>
        <v>0</v>
      </c>
      <c r="Z104" s="45" t="n">
        <f aca="false">IFERROR(INDEX(SkillData,MATCH(INDEX(PalData,MATCH($B104,PalNames,0)+1,MATCH("Passive3a",PalData_Header,0)),SkillDataCodeName,0)+1,MATCH("EffectValue1",SkillData_Header,0)),)</f>
        <v>0</v>
      </c>
      <c r="AA104" s="260" t="n">
        <f aca="false">IFERROR(INDEX(SkillData,MATCH(INDEX(PalData,MATCH($B104,PalNames,0)+1,MATCH("Passive4a",PalData_Header,0)),SkillDataCodeName,0)+1,MATCH("EffectValue1",SkillData_Header,0)),)</f>
        <v>0</v>
      </c>
      <c r="AB104" s="45" t="str">
        <f aca="false">IFERROR(__xludf.dummyfunction("IFERROR(INDEX(SkillData,MATCH(Arrayformula(ARRAY_CONSTRAIN(FILTER(INDIRECT(""PalData!""&amp;ADDRESS(MATCH(B104,PalNames,0)+1,(MATCH(""Passive0b"",PalData_Header,0)))&amp;"":""&amp;ADDRESS(MATCH(B104,PalNames,0)+1,(MATCH(""Passive0b"",PalData_Header,0))+4)),LEN(INDIRE"&amp;"CT(""PalData!""&amp;ADDRESS(MATCH(B104,PalNames,0)+1,(MATCH(""Passive0b"",PalData_Header,0)))&amp;"":""&amp;ADDRESS(MATCH(B104,PalNames,0)+1,(MATCH(""Passive0b"",PalData_Header,0))+4)))&gt;0),1,1)),SkillDataCodeName,0)+1,MATCH(""EffectTypeCombined"",SkillData_Header,0))"&amp;")"),"")</f>
        <v/>
      </c>
      <c r="AC104" s="45" t="str">
        <f aca="false">IFERROR(__xludf.dummyfunction("IFERROR(INDEX(SkillData,MATCH(Arrayformula(ARRAY_CONSTRAIN(FILTER(INDIRECT(""PalData!""&amp;ADDRESS(MATCH(B104,PalNames,0)+1,(MATCH(""Passive0b"",PalData_Header,0)))&amp;"":""&amp;ADDRESS(MATCH(B104,PalNames,0)+1,(MATCH(""Passive0b"",PalData_Header,0))+4)),LEN(INDIRE"&amp;"CT(""PalData!""&amp;ADDRESS(MATCH(B104,PalNames,0)+1,(MATCH(""Passive0b"",PalData_Header,0)))&amp;"":""&amp;ADDRESS(MATCH(B104,PalNames,0)+1,(MATCH(""Passive0b"",PalData_Header,0))+4)))&gt;0),1,1)),SkillDataCodeName,0)+1,MATCH(""TargetType1"",SkillData_Header,0)))"),"")</f>
        <v/>
      </c>
      <c r="AD104" s="45" t="e">
        <f aca="false" t="array" ref="AD104:AD104">IF(INDEX(PalData,MATCH($B104,PalNames,0)+1,MATCH("Passive0bCondition",PalData_Header,0))=IFERROR(INDEX(SkillData,MATCH(INDEX(PalData,MATCH($B104,PalNames,0)+1,MATCH("Passive0b",PalData_Header,0)),SkillDataCodeName,0)+1,MATCH("Conditions",SkillData_Header,0))),INDEX(PalData,MATCH($B104,PalNames,0)+1,MATCH("Passive0bCondition",PalData_Header,0)),INDEX(PalData,MATCH($B104,PalNames,0)+1,MATCH("Passive0bCondition",PalData_Header,0)) &amp; IF(ISBLANK(INDEX(PalData,MATCH($B104,PalNames,0)+1,MATCH("Passive0bCondition",PalData_Header,0))),," ")&amp;IFERROR(INDEX(SkillData,MATCH(INDEX(PalData,MATCH($B104,PalNames,0)+1,MATCH("Passive0b",PalData_Header,0)),SkillDataCodeName,0)+1,MATCH("Conditions",SkillData_Header,0))))</f>
        <v>#N/A</v>
      </c>
      <c r="AE104" s="45" t="str">
        <f aca="false">IFERROR(__xludf.dummyfunction("IFERROR(INDEX(SkillData,MATCH(Arrayformula(ARRAY_CONSTRAIN(FILTER(INDIRECT(""PalData!""&amp;ADDRESS(MATCH(B104,PalNames,0)+1,(MATCH(""Passive0b"",PalData_Header,0)))&amp;"":""&amp;ADDRESS(MATCH(B104,PalNames,0)+1,(MATCH(""Passive0b"",PalData_Header,0))+4)),LEN(INDIRE"&amp;"CT(""PalData!""&amp;ADDRESS(MATCH(B104,PalNames,0)+1,(MATCH(""Passive0b"",PalData_Header,0)))&amp;"":""&amp;ADDRESS(MATCH(B104,PalNames,0)+1,(MATCH(""Passive0b"",PalData_Header,0))+4)))&gt;0),1,1)),SkillDataCodeName,0)+1,MATCH(""ValueType1"",SkillData_Header,0)))"),"")</f>
        <v/>
      </c>
      <c r="AF104" s="45" t="n">
        <f aca="false">IFERROR(INDEX(SkillData,MATCH(INDEX(PalData,MATCH($B104,PalNames,0)+1,MATCH("Passive0b",PalData_Header,0)),SkillDataCodeName,0)+1,MATCH("EffectValue1",SkillData_Header,0)),)</f>
        <v>0</v>
      </c>
      <c r="AG104" s="45" t="n">
        <f aca="false">IFERROR(INDEX(SkillData,MATCH(INDEX(PalData,MATCH($B104,PalNames,0)+1,MATCH("Passive1b",PalData_Header,0)),SkillDataCodeName,0)+1,MATCH("EffectValue1",SkillData_Header,0)),)</f>
        <v>0</v>
      </c>
      <c r="AH104" s="45" t="n">
        <f aca="false">IFERROR(INDEX(SkillData,MATCH(INDEX(PalData,MATCH($B104,PalNames,0)+1,MATCH("Passive2b",PalData_Header,0)),SkillDataCodeName,0)+1,MATCH("EffectValue1",SkillData_Header,0)),)</f>
        <v>0</v>
      </c>
      <c r="AI104" s="45" t="n">
        <f aca="false">IFERROR(INDEX(SkillData,MATCH(INDEX(PalData,MATCH($B104,PalNames,0)+1,MATCH("Passive3b",PalData_Header,0)),SkillDataCodeName,0)+1,MATCH("EffectValue1",SkillData_Header,0)),)</f>
        <v>0</v>
      </c>
      <c r="AJ104" s="260" t="n">
        <f aca="false">IFERROR(INDEX(SkillData,MATCH(INDEX(PalData,MATCH($B104,PalNames,0)+1,MATCH("Passive4b",PalData_Header,0)),SkillDataCodeName,0)+1,MATCH("EffectValue1",SkillData_Header,0)),)</f>
        <v>0</v>
      </c>
      <c r="AK104" s="301" t="s">
        <v>368</v>
      </c>
    </row>
    <row r="105" customFormat="false" ht="15.75" hidden="false" customHeight="false" outlineLevel="0" collapsed="false">
      <c r="A105" s="302" t="n">
        <v>85</v>
      </c>
      <c r="B105" s="303" t="s">
        <v>122</v>
      </c>
      <c r="C105" s="48" t="str">
        <f aca="false" t="array" ref="C105:C105">IF(ISBLANK(INDEX(PalData,MATCH($B105,PalNames,0)+1,MATCH("ActiveSkill",PalData_Header,0))),INDEX(PalData,MATCH($B105,PalNames,0)+1,MATCH("SkillUnlock_",PalData_Header,0)),INDEX(PalData,MATCH($B105,PalNames,0)+1,MATCH("ActiveSkill",PalData_Header,0)))</f>
        <v>UniqueRideShooting_MultiMissile</v>
      </c>
      <c r="D105" s="48" t="s">
        <v>266</v>
      </c>
      <c r="E105" s="61" t="n">
        <f aca="false" t="array" ref="E105:E105">INDEX(PalData,MATCH($B105,PalNames,0)+1,MATCH("ActiveSkillBonus0",PalData_Header,0))</f>
        <v>10</v>
      </c>
      <c r="F105" s="61" t="n">
        <f aca="false" t="array" ref="F105:F105">INDEX(PalData,MATCH($B105,PalNames,0)+1,MATCH("ActiveSkillBonus1",PalData_Header,0))</f>
        <v>11</v>
      </c>
      <c r="G105" s="61" t="n">
        <f aca="false" t="array" ref="G105:G105">INDEX(PalData,MATCH($B105,PalNames,0)+1,MATCH("ActiveSkillBonus2",PalData_Header,0))</f>
        <v>13</v>
      </c>
      <c r="H105" s="61" t="n">
        <f aca="false" t="array" ref="H105:H105">INDEX(PalData,MATCH($B105,PalNames,0)+1,MATCH("ActiveSkillBonus3",PalData_Header,0))</f>
        <v>16</v>
      </c>
      <c r="I105" s="304" t="n">
        <f aca="false" t="array" ref="I105:I105">INDEX(PalData,MATCH($B105,PalNames,0)+1,MATCH("ActiveSkillBonus4",PalData_Header,0))</f>
        <v>20</v>
      </c>
      <c r="J105" s="48" t="str">
        <f aca="false">IFERROR(__xludf.dummyfunction("IFERROR(INDEX(SkillData,MATCH(Arrayformula(ARRAY_CONSTRAIN(FILTER(INDIRECT(""PalData!""&amp;ADDRESS(MATCH(B105,PalNames,0)+1,(MATCH(""Passive0c"",PalData_Header,0)))&amp;"":""&amp;ADDRESS(MATCH(B105,PalNames,0)+1,(MATCH(""Passive0c"",PalData_Header,0))+4)),LEN(INDIRE"&amp;"CT(""PalData!""&amp;ADDRESS(MATCH(B105,PalNames,0)+1,(MATCH(""Passive0c"",PalData_Header,0)))&amp;"":""&amp;ADDRESS(MATCH(B105,PalNames,0)+1,(MATCH(""Passive0c"",PalData_Header,0))+4)))&gt;0),1,1)),SkillDataCodeName,0)+1,MATCH(""EffectTypeCombined"",SkillData_Header,0))"&amp;")"),"")</f>
        <v/>
      </c>
      <c r="K105" s="48" t="str">
        <f aca="false">IFERROR(__xludf.dummyfunction("IFERROR(INDEX(SkillData,MATCH(Arrayformula(ARRAY_CONSTRAIN(FILTER(INDIRECT(""PalData!""&amp;ADDRESS(MATCH(B105,PalNames,0)+1,(MATCH(""Passive0c"",PalData_Header,0)))&amp;"":""&amp;ADDRESS(MATCH(B105,PalNames,0)+1,(MATCH(""Passive0c"",PalData_Header,0))+4)),LEN(INDIRE"&amp;"CT(""PalData!""&amp;ADDRESS(MATCH(B105,PalNames,0)+1,(MATCH(""Passive0c"",PalData_Header,0)))&amp;"":""&amp;ADDRESS(MATCH(B105,PalNames,0)+1,(MATCH(""Passive0c"",PalData_Header,0))+4)))&gt;0),1,1)),SkillDataCodeName,0)+1,MATCH(""TargetType1"",SkillData_Header,0)))"),"")</f>
        <v/>
      </c>
      <c r="L105" s="48" t="e">
        <f aca="false" t="array" ref="L105:L105">IF(INDEX(PalData,MATCH($B105,PalNames,0)+1,MATCH("Passive0cCondition",PalData_Header,0))=IFERROR(INDEX(SkillData,MATCH(INDEX(PalData,MATCH($B105,PalNames,0)+1,MATCH("Passive0c",PalData_Header,0)),SkillDataCodeName,0)+1,MATCH("Conditions",SkillData_Header,0))),INDEX(PalData,MATCH($B105,PalNames,0)+1,MATCH("Passive0cCondition",PalData_Header,0)),INDEX(PalData,MATCH($B105,PalNames,0)+1,MATCH("Passive0cCondition",PalData_Header,0)) &amp; IF(ISBLANK(INDEX(PalData,MATCH($B105,PalNames,0)+1,MATCH("Passive0cCondition",PalData_Header,0))),," ")&amp;IFERROR(INDEX(SkillData,MATCH(INDEX(PalData,MATCH($B105,PalNames,0)+1,MATCH("Passive0c",PalData_Header,0)),SkillDataCodeName,0)+1,MATCH("Conditions",SkillData_Header,0))))</f>
        <v>#N/A</v>
      </c>
      <c r="M105" s="48" t="str">
        <f aca="false">IFERROR(__xludf.dummyfunction("IFERROR(INDEX(SkillData,MATCH(Arrayformula(ARRAY_CONSTRAIN(FILTER(INDIRECT(""PalData!""&amp;ADDRESS(MATCH(B105,PalNames,0)+1,(MATCH(""Passive0c"",PalData_Header,0)))&amp;"":""&amp;ADDRESS(MATCH(B105,PalNames,0)+1,(MATCH(""Passive0c"",PalData_Header,0))+4)),LEN(INDIRE"&amp;"CT(""PalData!""&amp;ADDRESS(MATCH(B105,PalNames,0)+1,(MATCH(""Passive0c"",PalData_Header,0)))&amp;"":""&amp;ADDRESS(MATCH(B105,PalNames,0)+1,(MATCH(""Passive0c"",PalData_Header,0))+4)))&gt;0),1,1)),SkillDataCodeName,0)+1,MATCH(""ValueType1"",SkillData_Header,0)))"),"")</f>
        <v/>
      </c>
      <c r="N105" s="48" t="e">
        <f aca="false" t="array" ref="N105:N105">IFERROR(INDEX(SkillData,MATCH(INDEX(PalData,MATCH($B105,PalNames,0)+1,MATCH("Passive0c",PalData_Header,0)),SkillDataCodeName,0)+1,MATCH("EffectValue1",SkillData_Header,0)))</f>
        <v>#VALUE!</v>
      </c>
      <c r="O105" s="48" t="e">
        <f aca="false" t="array" ref="O105:O105">IFERROR(INDEX(SkillData,MATCH(INDEX(PalData,MATCH($B105,PalNames,0)+1,MATCH("Passive1c",PalData_Header,0)),SkillDataCodeName,0)+1,MATCH("EffectValue1",SkillData_Header,0)))</f>
        <v>#VALUE!</v>
      </c>
      <c r="P105" s="48" t="e">
        <f aca="false" t="array" ref="P105:P105">IFERROR(INDEX(SkillData,MATCH(INDEX(PalData,MATCH($B105,PalNames,0)+1,MATCH("Passive2c",PalData_Header,0)),SkillDataCodeName,0)+1,MATCH("EffectValue1",SkillData_Header,0)))</f>
        <v>#VALUE!</v>
      </c>
      <c r="Q105" s="48" t="e">
        <f aca="false" t="array" ref="Q105:Q105">IFERROR(INDEX(SkillData,MATCH(INDEX(PalData,MATCH($B105,PalNames,0)+1,MATCH("Passive3c",PalData_Header,0)),SkillDataCodeName,0)+1,MATCH("EffectValue1",SkillData_Header,0)))</f>
        <v>#VALUE!</v>
      </c>
      <c r="R105" s="263" t="e">
        <f aca="false" t="array" ref="R105:R105">IFERROR(INDEX(SkillData,MATCH(INDEX(PalData,MATCH($B105,PalNames,0)+1,MATCH("Passive4c",PalData_Header,0)),SkillDataCodeName,0)+1,MATCH("EffectValue1",SkillData_Header,0)))</f>
        <v>#VALUE!</v>
      </c>
      <c r="S105" s="48" t="str">
        <f aca="false">IFERROR(__xludf.dummyfunction("IFERROR(INDEX(SkillData,MATCH(Arrayformula(ARRAY_CONSTRAIN(FILTER(INDIRECT(""PalData!""&amp;ADDRESS(MATCH(B105,PalNames,0)+1,(MATCH(""Passive0a"",PalData_Header,0)))&amp;"":""&amp;ADDRESS(MATCH(B105,PalNames,0)+1,(MATCH(""Passive0a"",PalData_Header,0))+4)),LEN(INDIRE"&amp;"CT(""PalData!""&amp;ADDRESS(MATCH(B105,PalNames,0)+1,(MATCH(""Passive0a"",PalData_Header,0)))&amp;"":""&amp;ADDRESS(MATCH(B105,PalNames,0)+1,(MATCH(""Passive0a"",PalData_Header,0))+4)))&gt;0),1,1)),SkillDataCodeName,0)+1,MATCH(""EffectTypeCombined"",SkillData_Header,0))"&amp;")"),"")</f>
        <v/>
      </c>
      <c r="T105" s="48" t="str">
        <f aca="false">IFERROR(__xludf.dummyfunction("IFERROR(INDEX(SkillData,MATCH(Arrayformula(ARRAY_CONSTRAIN(FILTER(INDIRECT(""PalData!""&amp;ADDRESS(MATCH(B105,PalNames,0)+1,(MATCH(""Passive0a"",PalData_Header,0)))&amp;"":""&amp;ADDRESS(MATCH(B105,PalNames,0)+1,(MATCH(""Passive0a"",PalData_Header,0))+4)),LEN(INDIRE"&amp;"CT(""PalData!""&amp;ADDRESS(MATCH(B105,PalNames,0)+1,(MATCH(""Passive0a"",PalData_Header,0)))&amp;"":""&amp;ADDRESS(MATCH(B105,PalNames,0)+1,(MATCH(""Passive0a"",PalData_Header,0))+4)))&gt;0),1,1)),SkillDataCodeName,0)+1,MATCH(""TargetType1"",SkillData_Header,0)))"),"")</f>
        <v/>
      </c>
      <c r="U105" s="48" t="e">
        <f aca="false" t="array" ref="U105:U105">IF(INDEX(PalData,MATCH($B105,PalNames,0)+1,MATCH("Passive0aCondition",PalData_Header,0))=IFERROR(INDEX(SkillData,MATCH(INDEX(PalData,MATCH($B105,PalNames,0)+1,MATCH("Passive0a",PalData_Header,0)),SkillDataCodeName,0)+1,MATCH("Conditions",SkillData_Header,0))),INDEX(PalData,MATCH($B105,PalNames,0)+1,MATCH("Passive0aCondition",PalData_Header,0)),INDEX(PalData,MATCH($B105,PalNames,0)+1,MATCH("Passive0aCondition",PalData_Header,0)) &amp; IF(ISBLANK(INDEX(PalData,MATCH($B105,PalNames,0)+1,MATCH("Passive0aCondition",PalData_Header,0))),," ")&amp;IFERROR(INDEX(SkillData,MATCH(INDEX(PalData,MATCH($B105,PalNames,0)+1,MATCH("Passive0a",PalData_Header,0)),SkillDataCodeName,0)+1,MATCH("Conditions",SkillData_Header,0))))</f>
        <v>#N/A</v>
      </c>
      <c r="V105" s="48" t="str">
        <f aca="false">IFERROR(__xludf.dummyfunction("IFERROR(INDEX(SkillData,MATCH(Arrayformula(ARRAY_CONSTRAIN(FILTER(INDIRECT(""PalData!""&amp;ADDRESS(MATCH(B105,PalNames,0)+1,(MATCH(""Passive0a"",PalData_Header,0)))&amp;"":""&amp;ADDRESS(MATCH(B105,PalNames,0)+1,(MATCH(""Passive0a"",PalData_Header,0))+4)),LEN(INDIRE"&amp;"CT(""PalData!""&amp;ADDRESS(MATCH(B105,PalNames,0)+1,(MATCH(""Passive0a"",PalData_Header,0)))&amp;"":""&amp;ADDRESS(MATCH(B105,PalNames,0)+1,(MATCH(""Passive0a"",PalData_Header,0))+4)))&gt;0),1,1)),SkillDataCodeName,0)+1,MATCH(""ValueType1"",SkillData_Header,0)))"),"")</f>
        <v/>
      </c>
      <c r="W105" s="48" t="n">
        <f aca="false">IFERROR(INDEX(SkillData,MATCH(INDEX(PalData,MATCH($B105,PalNames,0)+1,MATCH("Passive0a",PalData_Header,0)),SkillDataCodeName,0)+1,MATCH("EffectValue1",SkillData_Header,0)),)</f>
        <v>0</v>
      </c>
      <c r="X105" s="48" t="n">
        <f aca="false">IFERROR(INDEX(SkillData,MATCH(INDEX(PalData,MATCH($B105,PalNames,0)+1,MATCH("Passive1a",PalData_Header,0)),SkillDataCodeName,0)+1,MATCH("EffectValue1",SkillData_Header,0)),)</f>
        <v>0</v>
      </c>
      <c r="Y105" s="48" t="n">
        <f aca="false">IFERROR(INDEX(SkillData,MATCH(INDEX(PalData,MATCH($B105,PalNames,0)+1,MATCH("Passive2a",PalData_Header,0)),SkillDataCodeName,0)+1,MATCH("EffectValue1",SkillData_Header,0)),)</f>
        <v>0</v>
      </c>
      <c r="Z105" s="48" t="n">
        <f aca="false">IFERROR(INDEX(SkillData,MATCH(INDEX(PalData,MATCH($B105,PalNames,0)+1,MATCH("Passive3a",PalData_Header,0)),SkillDataCodeName,0)+1,MATCH("EffectValue1",SkillData_Header,0)),)</f>
        <v>0</v>
      </c>
      <c r="AA105" s="263" t="n">
        <f aca="false">IFERROR(INDEX(SkillData,MATCH(INDEX(PalData,MATCH($B105,PalNames,0)+1,MATCH("Passive4a",PalData_Header,0)),SkillDataCodeName,0)+1,MATCH("EffectValue1",SkillData_Header,0)),)</f>
        <v>0</v>
      </c>
      <c r="AB105" s="48" t="str">
        <f aca="false">IFERROR(__xludf.dummyfunction("IFERROR(INDEX(SkillData,MATCH(Arrayformula(ARRAY_CONSTRAIN(FILTER(INDIRECT(""PalData!""&amp;ADDRESS(MATCH(B105,PalNames,0)+1,(MATCH(""Passive0b"",PalData_Header,0)))&amp;"":""&amp;ADDRESS(MATCH(B105,PalNames,0)+1,(MATCH(""Passive0b"",PalData_Header,0))+4)),LEN(INDIRE"&amp;"CT(""PalData!""&amp;ADDRESS(MATCH(B105,PalNames,0)+1,(MATCH(""Passive0b"",PalData_Header,0)))&amp;"":""&amp;ADDRESS(MATCH(B105,PalNames,0)+1,(MATCH(""Passive0b"",PalData_Header,0))+4)))&gt;0),1,1)),SkillDataCodeName,0)+1,MATCH(""EffectTypeCombined"",SkillData_Header,0))"&amp;")"),"")</f>
        <v/>
      </c>
      <c r="AC105" s="48" t="str">
        <f aca="false">IFERROR(__xludf.dummyfunction("IFERROR(INDEX(SkillData,MATCH(Arrayformula(ARRAY_CONSTRAIN(FILTER(INDIRECT(""PalData!""&amp;ADDRESS(MATCH(B105,PalNames,0)+1,(MATCH(""Passive0b"",PalData_Header,0)))&amp;"":""&amp;ADDRESS(MATCH(B105,PalNames,0)+1,(MATCH(""Passive0b"",PalData_Header,0))+4)),LEN(INDIRE"&amp;"CT(""PalData!""&amp;ADDRESS(MATCH(B105,PalNames,0)+1,(MATCH(""Passive0b"",PalData_Header,0)))&amp;"":""&amp;ADDRESS(MATCH(B105,PalNames,0)+1,(MATCH(""Passive0b"",PalData_Header,0))+4)))&gt;0),1,1)),SkillDataCodeName,0)+1,MATCH(""TargetType1"",SkillData_Header,0)))"),"")</f>
        <v/>
      </c>
      <c r="AD105" s="48" t="e">
        <f aca="false" t="array" ref="AD105:AD105">IF(INDEX(PalData,MATCH($B105,PalNames,0)+1,MATCH("Passive0bCondition",PalData_Header,0))=IFERROR(INDEX(SkillData,MATCH(INDEX(PalData,MATCH($B105,PalNames,0)+1,MATCH("Passive0b",PalData_Header,0)),SkillDataCodeName,0)+1,MATCH("Conditions",SkillData_Header,0))),INDEX(PalData,MATCH($B105,PalNames,0)+1,MATCH("Passive0bCondition",PalData_Header,0)),INDEX(PalData,MATCH($B105,PalNames,0)+1,MATCH("Passive0bCondition",PalData_Header,0)) &amp; IF(ISBLANK(INDEX(PalData,MATCH($B105,PalNames,0)+1,MATCH("Passive0bCondition",PalData_Header,0))),," ")&amp;IFERROR(INDEX(SkillData,MATCH(INDEX(PalData,MATCH($B105,PalNames,0)+1,MATCH("Passive0b",PalData_Header,0)),SkillDataCodeName,0)+1,MATCH("Conditions",SkillData_Header,0))))</f>
        <v>#N/A</v>
      </c>
      <c r="AE105" s="48" t="str">
        <f aca="false">IFERROR(__xludf.dummyfunction("IFERROR(INDEX(SkillData,MATCH(Arrayformula(ARRAY_CONSTRAIN(FILTER(INDIRECT(""PalData!""&amp;ADDRESS(MATCH(B105,PalNames,0)+1,(MATCH(""Passive0b"",PalData_Header,0)))&amp;"":""&amp;ADDRESS(MATCH(B105,PalNames,0)+1,(MATCH(""Passive0b"",PalData_Header,0))+4)),LEN(INDIRE"&amp;"CT(""PalData!""&amp;ADDRESS(MATCH(B105,PalNames,0)+1,(MATCH(""Passive0b"",PalData_Header,0)))&amp;"":""&amp;ADDRESS(MATCH(B105,PalNames,0)+1,(MATCH(""Passive0b"",PalData_Header,0))+4)))&gt;0),1,1)),SkillDataCodeName,0)+1,MATCH(""ValueType1"",SkillData_Header,0)))"),"")</f>
        <v/>
      </c>
      <c r="AF105" s="48" t="n">
        <f aca="false">IFERROR(INDEX(SkillData,MATCH(INDEX(PalData,MATCH($B105,PalNames,0)+1,MATCH("Passive0b",PalData_Header,0)),SkillDataCodeName,0)+1,MATCH("EffectValue1",SkillData_Header,0)),)</f>
        <v>0</v>
      </c>
      <c r="AG105" s="48" t="n">
        <f aca="false">IFERROR(INDEX(SkillData,MATCH(INDEX(PalData,MATCH($B105,PalNames,0)+1,MATCH("Passive1b",PalData_Header,0)),SkillDataCodeName,0)+1,MATCH("EffectValue1",SkillData_Header,0)),)</f>
        <v>0</v>
      </c>
      <c r="AH105" s="48" t="n">
        <f aca="false">IFERROR(INDEX(SkillData,MATCH(INDEX(PalData,MATCH($B105,PalNames,0)+1,MATCH("Passive2b",PalData_Header,0)),SkillDataCodeName,0)+1,MATCH("EffectValue1",SkillData_Header,0)),)</f>
        <v>0</v>
      </c>
      <c r="AI105" s="48" t="n">
        <f aca="false">IFERROR(INDEX(SkillData,MATCH(INDEX(PalData,MATCH($B105,PalNames,0)+1,MATCH("Passive3b",PalData_Header,0)),SkillDataCodeName,0)+1,MATCH("EffectValue1",SkillData_Header,0)),)</f>
        <v>0</v>
      </c>
      <c r="AJ105" s="263" t="n">
        <f aca="false">IFERROR(INDEX(SkillData,MATCH(INDEX(PalData,MATCH($B105,PalNames,0)+1,MATCH("Passive4b",PalData_Header,0)),SkillDataCodeName,0)+1,MATCH("EffectValue1",SkillData_Header,0)),)</f>
        <v>0</v>
      </c>
      <c r="AK105" s="305" t="s">
        <v>369</v>
      </c>
    </row>
    <row r="106" customFormat="false" ht="15.75" hidden="false" customHeight="false" outlineLevel="0" collapsed="false">
      <c r="A106" s="299" t="n">
        <v>85</v>
      </c>
      <c r="B106" s="300" t="s">
        <v>123</v>
      </c>
      <c r="C106" s="45" t="str">
        <f aca="false" t="array" ref="C106:C106">IF(ISBLANK(INDEX(PalData,MATCH($B106,PalNames,0)+1,MATCH("ActiveSkill",PalData_Header,0))),INDEX(PalData,MATCH($B106,PalNames,0)+1,MATCH("SkillUnlock_",PalData_Header,0)),INDEX(PalData,MATCH($B106,PalNames,0)+1,MATCH("ActiveSkill",PalData_Header,0)))</f>
        <v>UniqueRideShooting_MultiMissile</v>
      </c>
      <c r="D106" s="45" t="s">
        <v>266</v>
      </c>
      <c r="E106" s="62" t="n">
        <f aca="false" t="array" ref="E106:E106">INDEX(PalData,MATCH($B106,PalNames,0)+1,MATCH("ActiveSkillBonus0",PalData_Header,0))</f>
        <v>10</v>
      </c>
      <c r="F106" s="62" t="n">
        <f aca="false" t="array" ref="F106:F106">INDEX(PalData,MATCH($B106,PalNames,0)+1,MATCH("ActiveSkillBonus1",PalData_Header,0))</f>
        <v>11</v>
      </c>
      <c r="G106" s="62" t="n">
        <f aca="false" t="array" ref="G106:G106">INDEX(PalData,MATCH($B106,PalNames,0)+1,MATCH("ActiveSkillBonus2",PalData_Header,0))</f>
        <v>13</v>
      </c>
      <c r="H106" s="62" t="n">
        <f aca="false" t="array" ref="H106:H106">INDEX(PalData,MATCH($B106,PalNames,0)+1,MATCH("ActiveSkillBonus3",PalData_Header,0))</f>
        <v>16</v>
      </c>
      <c r="I106" s="306" t="n">
        <f aca="false" t="array" ref="I106:I106">INDEX(PalData,MATCH($B106,PalNames,0)+1,MATCH("ActiveSkillBonus4",PalData_Header,0))</f>
        <v>20</v>
      </c>
      <c r="J106" s="45" t="str">
        <f aca="false">IFERROR(__xludf.dummyfunction("IFERROR(INDEX(SkillData,MATCH(Arrayformula(ARRAY_CONSTRAIN(FILTER(INDIRECT(""PalData!""&amp;ADDRESS(MATCH(B106,PalNames,0)+1,(MATCH(""Passive0c"",PalData_Header,0)))&amp;"":""&amp;ADDRESS(MATCH(B106,PalNames,0)+1,(MATCH(""Passive0c"",PalData_Header,0))+4)),LEN(INDIRE"&amp;"CT(""PalData!""&amp;ADDRESS(MATCH(B106,PalNames,0)+1,(MATCH(""Passive0c"",PalData_Header,0)))&amp;"":""&amp;ADDRESS(MATCH(B106,PalNames,0)+1,(MATCH(""Passive0c"",PalData_Header,0))+4)))&gt;0),1,1)),SkillDataCodeName,0)+1,MATCH(""EffectTypeCombined"",SkillData_Header,0))"&amp;")"),"")</f>
        <v/>
      </c>
      <c r="K106" s="45" t="str">
        <f aca="false">IFERROR(__xludf.dummyfunction("IFERROR(INDEX(SkillData,MATCH(Arrayformula(ARRAY_CONSTRAIN(FILTER(INDIRECT(""PalData!""&amp;ADDRESS(MATCH(B106,PalNames,0)+1,(MATCH(""Passive0c"",PalData_Header,0)))&amp;"":""&amp;ADDRESS(MATCH(B106,PalNames,0)+1,(MATCH(""Passive0c"",PalData_Header,0))+4)),LEN(INDIRE"&amp;"CT(""PalData!""&amp;ADDRESS(MATCH(B106,PalNames,0)+1,(MATCH(""Passive0c"",PalData_Header,0)))&amp;"":""&amp;ADDRESS(MATCH(B106,PalNames,0)+1,(MATCH(""Passive0c"",PalData_Header,0))+4)))&gt;0),1,1)),SkillDataCodeName,0)+1,MATCH(""TargetType1"",SkillData_Header,0)))"),"")</f>
        <v/>
      </c>
      <c r="L106" s="45" t="e">
        <f aca="false" t="array" ref="L106:L106">IF(INDEX(PalData,MATCH($B106,PalNames,0)+1,MATCH("Passive0cCondition",PalData_Header,0))=IFERROR(INDEX(SkillData,MATCH(INDEX(PalData,MATCH($B106,PalNames,0)+1,MATCH("Passive0c",PalData_Header,0)),SkillDataCodeName,0)+1,MATCH("Conditions",SkillData_Header,0))),INDEX(PalData,MATCH($B106,PalNames,0)+1,MATCH("Passive0cCondition",PalData_Header,0)),INDEX(PalData,MATCH($B106,PalNames,0)+1,MATCH("Passive0cCondition",PalData_Header,0)) &amp; IF(ISBLANK(INDEX(PalData,MATCH($B106,PalNames,0)+1,MATCH("Passive0cCondition",PalData_Header,0))),," ")&amp;IFERROR(INDEX(SkillData,MATCH(INDEX(PalData,MATCH($B106,PalNames,0)+1,MATCH("Passive0c",PalData_Header,0)),SkillDataCodeName,0)+1,MATCH("Conditions",SkillData_Header,0))))</f>
        <v>#N/A</v>
      </c>
      <c r="M106" s="45" t="str">
        <f aca="false">IFERROR(__xludf.dummyfunction("IFERROR(INDEX(SkillData,MATCH(Arrayformula(ARRAY_CONSTRAIN(FILTER(INDIRECT(""PalData!""&amp;ADDRESS(MATCH(B106,PalNames,0)+1,(MATCH(""Passive0c"",PalData_Header,0)))&amp;"":""&amp;ADDRESS(MATCH(B106,PalNames,0)+1,(MATCH(""Passive0c"",PalData_Header,0))+4)),LEN(INDIRE"&amp;"CT(""PalData!""&amp;ADDRESS(MATCH(B106,PalNames,0)+1,(MATCH(""Passive0c"",PalData_Header,0)))&amp;"":""&amp;ADDRESS(MATCH(B106,PalNames,0)+1,(MATCH(""Passive0c"",PalData_Header,0))+4)))&gt;0),1,1)),SkillDataCodeName,0)+1,MATCH(""ValueType1"",SkillData_Header,0)))"),"")</f>
        <v/>
      </c>
      <c r="N106" s="45" t="e">
        <f aca="false" t="array" ref="N106:N106">IFERROR(INDEX(SkillData,MATCH(INDEX(PalData,MATCH($B106,PalNames,0)+1,MATCH("Passive0c",PalData_Header,0)),SkillDataCodeName,0)+1,MATCH("EffectValue1",SkillData_Header,0)))</f>
        <v>#VALUE!</v>
      </c>
      <c r="O106" s="45" t="e">
        <f aca="false" t="array" ref="O106:O106">IFERROR(INDEX(SkillData,MATCH(INDEX(PalData,MATCH($B106,PalNames,0)+1,MATCH("Passive1c",PalData_Header,0)),SkillDataCodeName,0)+1,MATCH("EffectValue1",SkillData_Header,0)))</f>
        <v>#VALUE!</v>
      </c>
      <c r="P106" s="45" t="e">
        <f aca="false" t="array" ref="P106:P106">IFERROR(INDEX(SkillData,MATCH(INDEX(PalData,MATCH($B106,PalNames,0)+1,MATCH("Passive2c",PalData_Header,0)),SkillDataCodeName,0)+1,MATCH("EffectValue1",SkillData_Header,0)))</f>
        <v>#VALUE!</v>
      </c>
      <c r="Q106" s="45" t="e">
        <f aca="false" t="array" ref="Q106:Q106">IFERROR(INDEX(SkillData,MATCH(INDEX(PalData,MATCH($B106,PalNames,0)+1,MATCH("Passive3c",PalData_Header,0)),SkillDataCodeName,0)+1,MATCH("EffectValue1",SkillData_Header,0)))</f>
        <v>#VALUE!</v>
      </c>
      <c r="R106" s="260" t="e">
        <f aca="false" t="array" ref="R106:R106">IFERROR(INDEX(SkillData,MATCH(INDEX(PalData,MATCH($B106,PalNames,0)+1,MATCH("Passive4c",PalData_Header,0)),SkillDataCodeName,0)+1,MATCH("EffectValue1",SkillData_Header,0)))</f>
        <v>#VALUE!</v>
      </c>
      <c r="S106" s="45" t="str">
        <f aca="false">IFERROR(__xludf.dummyfunction("IFERROR(INDEX(SkillData,MATCH(Arrayformula(ARRAY_CONSTRAIN(FILTER(INDIRECT(""PalData!""&amp;ADDRESS(MATCH(B106,PalNames,0)+1,(MATCH(""Passive0a"",PalData_Header,0)))&amp;"":""&amp;ADDRESS(MATCH(B106,PalNames,0)+1,(MATCH(""Passive0a"",PalData_Header,0))+4)),LEN(INDIRE"&amp;"CT(""PalData!""&amp;ADDRESS(MATCH(B106,PalNames,0)+1,(MATCH(""Passive0a"",PalData_Header,0)))&amp;"":""&amp;ADDRESS(MATCH(B106,PalNames,0)+1,(MATCH(""Passive0a"",PalData_Header,0))+4)))&gt;0),1,1)),SkillDataCodeName,0)+1,MATCH(""EffectTypeCombined"",SkillData_Header,0))"&amp;")"),"")</f>
        <v/>
      </c>
      <c r="T106" s="45" t="str">
        <f aca="false">IFERROR(__xludf.dummyfunction("IFERROR(INDEX(SkillData,MATCH(Arrayformula(ARRAY_CONSTRAIN(FILTER(INDIRECT(""PalData!""&amp;ADDRESS(MATCH(B106,PalNames,0)+1,(MATCH(""Passive0a"",PalData_Header,0)))&amp;"":""&amp;ADDRESS(MATCH(B106,PalNames,0)+1,(MATCH(""Passive0a"",PalData_Header,0))+4)),LEN(INDIRE"&amp;"CT(""PalData!""&amp;ADDRESS(MATCH(B106,PalNames,0)+1,(MATCH(""Passive0a"",PalData_Header,0)))&amp;"":""&amp;ADDRESS(MATCH(B106,PalNames,0)+1,(MATCH(""Passive0a"",PalData_Header,0))+4)))&gt;0),1,1)),SkillDataCodeName,0)+1,MATCH(""TargetType1"",SkillData_Header,0)))"),"")</f>
        <v/>
      </c>
      <c r="U106" s="45" t="e">
        <f aca="false" t="array" ref="U106:U106">IF(INDEX(PalData,MATCH($B106,PalNames,0)+1,MATCH("Passive0aCondition",PalData_Header,0))=IFERROR(INDEX(SkillData,MATCH(INDEX(PalData,MATCH($B106,PalNames,0)+1,MATCH("Passive0a",PalData_Header,0)),SkillDataCodeName,0)+1,MATCH("Conditions",SkillData_Header,0))),INDEX(PalData,MATCH($B106,PalNames,0)+1,MATCH("Passive0aCondition",PalData_Header,0)),INDEX(PalData,MATCH($B106,PalNames,0)+1,MATCH("Passive0aCondition",PalData_Header,0)) &amp; IF(ISBLANK(INDEX(PalData,MATCH($B106,PalNames,0)+1,MATCH("Passive0aCondition",PalData_Header,0))),," ")&amp;IFERROR(INDEX(SkillData,MATCH(INDEX(PalData,MATCH($B106,PalNames,0)+1,MATCH("Passive0a",PalData_Header,0)),SkillDataCodeName,0)+1,MATCH("Conditions",SkillData_Header,0))))</f>
        <v>#N/A</v>
      </c>
      <c r="V106" s="45" t="str">
        <f aca="false">IFERROR(__xludf.dummyfunction("IFERROR(INDEX(SkillData,MATCH(Arrayformula(ARRAY_CONSTRAIN(FILTER(INDIRECT(""PalData!""&amp;ADDRESS(MATCH(B106,PalNames,0)+1,(MATCH(""Passive0a"",PalData_Header,0)))&amp;"":""&amp;ADDRESS(MATCH(B106,PalNames,0)+1,(MATCH(""Passive0a"",PalData_Header,0))+4)),LEN(INDIRE"&amp;"CT(""PalData!""&amp;ADDRESS(MATCH(B106,PalNames,0)+1,(MATCH(""Passive0a"",PalData_Header,0)))&amp;"":""&amp;ADDRESS(MATCH(B106,PalNames,0)+1,(MATCH(""Passive0a"",PalData_Header,0))+4)))&gt;0),1,1)),SkillDataCodeName,0)+1,MATCH(""ValueType1"",SkillData_Header,0)))"),"")</f>
        <v/>
      </c>
      <c r="W106" s="45" t="n">
        <f aca="false">IFERROR(INDEX(SkillData,MATCH(INDEX(PalData,MATCH($B106,PalNames,0)+1,MATCH("Passive0a",PalData_Header,0)),SkillDataCodeName,0)+1,MATCH("EffectValue1",SkillData_Header,0)),)</f>
        <v>0</v>
      </c>
      <c r="X106" s="45" t="n">
        <f aca="false">IFERROR(INDEX(SkillData,MATCH(INDEX(PalData,MATCH($B106,PalNames,0)+1,MATCH("Passive1a",PalData_Header,0)),SkillDataCodeName,0)+1,MATCH("EffectValue1",SkillData_Header,0)),)</f>
        <v>0</v>
      </c>
      <c r="Y106" s="45" t="n">
        <f aca="false">IFERROR(INDEX(SkillData,MATCH(INDEX(PalData,MATCH($B106,PalNames,0)+1,MATCH("Passive2a",PalData_Header,0)),SkillDataCodeName,0)+1,MATCH("EffectValue1",SkillData_Header,0)),)</f>
        <v>0</v>
      </c>
      <c r="Z106" s="45" t="n">
        <f aca="false">IFERROR(INDEX(SkillData,MATCH(INDEX(PalData,MATCH($B106,PalNames,0)+1,MATCH("Passive3a",PalData_Header,0)),SkillDataCodeName,0)+1,MATCH("EffectValue1",SkillData_Header,0)),)</f>
        <v>0</v>
      </c>
      <c r="AA106" s="260" t="n">
        <f aca="false">IFERROR(INDEX(SkillData,MATCH(INDEX(PalData,MATCH($B106,PalNames,0)+1,MATCH("Passive4a",PalData_Header,0)),SkillDataCodeName,0)+1,MATCH("EffectValue1",SkillData_Header,0)),)</f>
        <v>0</v>
      </c>
      <c r="AB106" s="45" t="str">
        <f aca="false">IFERROR(__xludf.dummyfunction("IFERROR(INDEX(SkillData,MATCH(Arrayformula(ARRAY_CONSTRAIN(FILTER(INDIRECT(""PalData!""&amp;ADDRESS(MATCH(B106,PalNames,0)+1,(MATCH(""Passive0b"",PalData_Header,0)))&amp;"":""&amp;ADDRESS(MATCH(B106,PalNames,0)+1,(MATCH(""Passive0b"",PalData_Header,0))+4)),LEN(INDIRE"&amp;"CT(""PalData!""&amp;ADDRESS(MATCH(B106,PalNames,0)+1,(MATCH(""Passive0b"",PalData_Header,0)))&amp;"":""&amp;ADDRESS(MATCH(B106,PalNames,0)+1,(MATCH(""Passive0b"",PalData_Header,0))+4)))&gt;0),1,1)),SkillDataCodeName,0)+1,MATCH(""EffectTypeCombined"",SkillData_Header,0))"&amp;")"),"")</f>
        <v/>
      </c>
      <c r="AC106" s="45" t="str">
        <f aca="false">IFERROR(__xludf.dummyfunction("IFERROR(INDEX(SkillData,MATCH(Arrayformula(ARRAY_CONSTRAIN(FILTER(INDIRECT(""PalData!""&amp;ADDRESS(MATCH(B106,PalNames,0)+1,(MATCH(""Passive0b"",PalData_Header,0)))&amp;"":""&amp;ADDRESS(MATCH(B106,PalNames,0)+1,(MATCH(""Passive0b"",PalData_Header,0))+4)),LEN(INDIRE"&amp;"CT(""PalData!""&amp;ADDRESS(MATCH(B106,PalNames,0)+1,(MATCH(""Passive0b"",PalData_Header,0)))&amp;"":""&amp;ADDRESS(MATCH(B106,PalNames,0)+1,(MATCH(""Passive0b"",PalData_Header,0))+4)))&gt;0),1,1)),SkillDataCodeName,0)+1,MATCH(""TargetType1"",SkillData_Header,0)))"),"")</f>
        <v/>
      </c>
      <c r="AD106" s="45" t="e">
        <f aca="false" t="array" ref="AD106:AD106">IF(INDEX(PalData,MATCH($B106,PalNames,0)+1,MATCH("Passive0bCondition",PalData_Header,0))=IFERROR(INDEX(SkillData,MATCH(INDEX(PalData,MATCH($B106,PalNames,0)+1,MATCH("Passive0b",PalData_Header,0)),SkillDataCodeName,0)+1,MATCH("Conditions",SkillData_Header,0))),INDEX(PalData,MATCH($B106,PalNames,0)+1,MATCH("Passive0bCondition",PalData_Header,0)),INDEX(PalData,MATCH($B106,PalNames,0)+1,MATCH("Passive0bCondition",PalData_Header,0)) &amp; IF(ISBLANK(INDEX(PalData,MATCH($B106,PalNames,0)+1,MATCH("Passive0bCondition",PalData_Header,0))),," ")&amp;IFERROR(INDEX(SkillData,MATCH(INDEX(PalData,MATCH($B106,PalNames,0)+1,MATCH("Passive0b",PalData_Header,0)),SkillDataCodeName,0)+1,MATCH("Conditions",SkillData_Header,0))))</f>
        <v>#N/A</v>
      </c>
      <c r="AE106" s="45" t="str">
        <f aca="false">IFERROR(__xludf.dummyfunction("IFERROR(INDEX(SkillData,MATCH(Arrayformula(ARRAY_CONSTRAIN(FILTER(INDIRECT(""PalData!""&amp;ADDRESS(MATCH(B106,PalNames,0)+1,(MATCH(""Passive0b"",PalData_Header,0)))&amp;"":""&amp;ADDRESS(MATCH(B106,PalNames,0)+1,(MATCH(""Passive0b"",PalData_Header,0))+4)),LEN(INDIRE"&amp;"CT(""PalData!""&amp;ADDRESS(MATCH(B106,PalNames,0)+1,(MATCH(""Passive0b"",PalData_Header,0)))&amp;"":""&amp;ADDRESS(MATCH(B106,PalNames,0)+1,(MATCH(""Passive0b"",PalData_Header,0))+4)))&gt;0),1,1)),SkillDataCodeName,0)+1,MATCH(""ValueType1"",SkillData_Header,0)))"),"")</f>
        <v/>
      </c>
      <c r="AF106" s="45" t="n">
        <f aca="false">IFERROR(INDEX(SkillData,MATCH(INDEX(PalData,MATCH($B106,PalNames,0)+1,MATCH("Passive0b",PalData_Header,0)),SkillDataCodeName,0)+1,MATCH("EffectValue1",SkillData_Header,0)),)</f>
        <v>0</v>
      </c>
      <c r="AG106" s="45" t="n">
        <f aca="false">IFERROR(INDEX(SkillData,MATCH(INDEX(PalData,MATCH($B106,PalNames,0)+1,MATCH("Passive1b",PalData_Header,0)),SkillDataCodeName,0)+1,MATCH("EffectValue1",SkillData_Header,0)),)</f>
        <v>0</v>
      </c>
      <c r="AH106" s="45" t="n">
        <f aca="false">IFERROR(INDEX(SkillData,MATCH(INDEX(PalData,MATCH($B106,PalNames,0)+1,MATCH("Passive2b",PalData_Header,0)),SkillDataCodeName,0)+1,MATCH("EffectValue1",SkillData_Header,0)),)</f>
        <v>0</v>
      </c>
      <c r="AI106" s="45" t="n">
        <f aca="false">IFERROR(INDEX(SkillData,MATCH(INDEX(PalData,MATCH($B106,PalNames,0)+1,MATCH("Passive3b",PalData_Header,0)),SkillDataCodeName,0)+1,MATCH("EffectValue1",SkillData_Header,0)),)</f>
        <v>0</v>
      </c>
      <c r="AJ106" s="260" t="n">
        <f aca="false">IFERROR(INDEX(SkillData,MATCH(INDEX(PalData,MATCH($B106,PalNames,0)+1,MATCH("Passive4b",PalData_Header,0)),SkillDataCodeName,0)+1,MATCH("EffectValue1",SkillData_Header,0)),)</f>
        <v>0</v>
      </c>
      <c r="AK106" s="301" t="s">
        <v>370</v>
      </c>
    </row>
    <row r="107" customFormat="false" ht="15.75" hidden="false" customHeight="false" outlineLevel="0" collapsed="false">
      <c r="A107" s="302" t="n">
        <v>86</v>
      </c>
      <c r="B107" s="303" t="s">
        <v>29</v>
      </c>
      <c r="C107" s="48" t="str">
        <f aca="false" t="array" ref="C107:C107">IF(ISBLANK(INDEX(PalData,MATCH($B107,PalNames,0)+1,MATCH("ActiveSkill",PalData_Header,0))),INDEX(PalData,MATCH($B107,PalNames,0)+1,MATCH("SkillUnlock_",PalData_Header,0)),INDEX(PalData,MATCH($B107,PalNames,0)+1,MATCH("ActiveSkill",PalData_Header,0)))</f>
        <v>Saddle</v>
      </c>
      <c r="D107" s="48"/>
      <c r="E107" s="48" t="n">
        <f aca="false">INDEX(PalData,MATCH($B107,PalNames,0)+1,MATCH("ActiveSkillBonus0",PalData_Header,0))</f>
        <v>0</v>
      </c>
      <c r="F107" s="48" t="n">
        <f aca="false">INDEX(PalData,MATCH($B107,PalNames,0)+1,MATCH("ActiveSkillBonus1",PalData_Header,0))</f>
        <v>0</v>
      </c>
      <c r="G107" s="48" t="n">
        <f aca="false">INDEX(PalData,MATCH($B107,PalNames,0)+1,MATCH("ActiveSkillBonus2",PalData_Header,0))</f>
        <v>0</v>
      </c>
      <c r="H107" s="48" t="n">
        <f aca="false">INDEX(PalData,MATCH($B107,PalNames,0)+1,MATCH("ActiveSkillBonus3",PalData_Header,0))</f>
        <v>0</v>
      </c>
      <c r="I107" s="263" t="n">
        <f aca="false">INDEX(PalData,MATCH($B107,PalNames,0)+1,MATCH("ActiveSkillBonus4",PalData_Header,0))</f>
        <v>0</v>
      </c>
      <c r="J107" s="48" t="str">
        <f aca="false">IFERROR(__xludf.dummyfunction("IFERROR(INDEX(SkillData,MATCH(Arrayformula(ARRAY_CONSTRAIN(FILTER(INDIRECT(""PalData!""&amp;ADDRESS(MATCH(B107,PalNames,0)+1,(MATCH(""Passive0c"",PalData_Header,0)))&amp;"":""&amp;ADDRESS(MATCH(B107,PalNames,0)+1,(MATCH(""Passive0c"",PalData_Header,0))+4)),LEN(INDIRE"&amp;"CT(""PalData!""&amp;ADDRESS(MATCH(B107,PalNames,0)+1,(MATCH(""Passive0c"",PalData_Header,0)))&amp;"":""&amp;ADDRESS(MATCH(B107,PalNames,0)+1,(MATCH(""Passive0c"",PalData_Header,0))+4)))&gt;0),1,1)),SkillDataCodeName,0)+1,MATCH(""EffectTypeCombined"",SkillData_Header,0))"&amp;")"),"MaxInventoryWeight")</f>
        <v>MaxInventoryWeight</v>
      </c>
      <c r="K107" s="48" t="str">
        <f aca="false">IFERROR(__xludf.dummyfunction("IFERROR(INDEX(SkillData,MATCH(Arrayformula(ARRAY_CONSTRAIN(FILTER(INDIRECT(""PalData!""&amp;ADDRESS(MATCH(B107,PalNames,0)+1,(MATCH(""Passive0c"",PalData_Header,0)))&amp;"":""&amp;ADDRESS(MATCH(B107,PalNames,0)+1,(MATCH(""Passive0c"",PalData_Header,0))+4)),LEN(INDIRE"&amp;"CT(""PalData!""&amp;ADDRESS(MATCH(B107,PalNames,0)+1,(MATCH(""Passive0c"",PalData_Header,0)))&amp;"":""&amp;ADDRESS(MATCH(B107,PalNames,0)+1,(MATCH(""Passive0c"",PalData_Header,0))+4)))&gt;0),1,1)),SkillDataCodeName,0)+1,MATCH(""TargetType1"",SkillData_Header,0)))"),"Trainer")</f>
        <v>Trainer</v>
      </c>
      <c r="L107" s="48" t="e">
        <f aca="false" t="array" ref="L107:L107">IF(INDEX(PalData,MATCH($B107,PalNames,0)+1,MATCH("Passive0cCondition",PalData_Header,0))=IFERROR(INDEX(SkillData,MATCH(INDEX(PalData,MATCH($B107,PalNames,0)+1,MATCH("Passive0c",PalData_Header,0)),SkillDataCodeName,0)+1,MATCH("Conditions",SkillData_Header,0))),INDEX(PalData,MATCH($B107,PalNames,0)+1,MATCH("Passive0cCondition",PalData_Header,0)),INDEX(PalData,MATCH($B107,PalNames,0)+1,MATCH("Passive0cCondition",PalData_Header,0)) &amp; IF(ISBLANK(INDEX(PalData,MATCH($B107,PalNames,0)+1,MATCH("Passive0cCondition",PalData_Header,0))),," ")&amp;IFERROR(INDEX(SkillData,MATCH(INDEX(PalData,MATCH($B107,PalNames,0)+1,MATCH("Passive0c",PalData_Header,0)),SkillDataCodeName,0)+1,MATCH("Conditions",SkillData_Header,0))))</f>
        <v>#VALUE!</v>
      </c>
      <c r="M107" s="48" t="str">
        <f aca="false">IFERROR(__xludf.dummyfunction("IFERROR(INDEX(SkillData,MATCH(Arrayformula(ARRAY_CONSTRAIN(FILTER(INDIRECT(""PalData!""&amp;ADDRESS(MATCH(B107,PalNames,0)+1,(MATCH(""Passive0c"",PalData_Header,0)))&amp;"":""&amp;ADDRESS(MATCH(B107,PalNames,0)+1,(MATCH(""Passive0c"",PalData_Header,0))+4)),LEN(INDIRE"&amp;"CT(""PalData!""&amp;ADDRESS(MATCH(B107,PalNames,0)+1,(MATCH(""Passive0c"",PalData_Header,0)))&amp;"":""&amp;ADDRESS(MATCH(B107,PalNames,0)+1,(MATCH(""Passive0c"",PalData_Header,0))+4)))&gt;0),1,1)),SkillDataCodeName,0)+1,MATCH(""ValueType1"",SkillData_Header,0)))"),"+")</f>
        <v>+</v>
      </c>
      <c r="N107" s="61" t="e">
        <f aca="false" t="array" ref="N107:N107">IFERROR(INDEX(SkillData,MATCH(INDEX(PalData,MATCH($B107,PalNames,0)+1,MATCH("Passive0c",PalData_Header,0)),SkillDataCodeName,0)+1,MATCH("EffectValue1",SkillData_Header,0)))</f>
        <v>#VALUE!</v>
      </c>
      <c r="O107" s="61" t="e">
        <f aca="false" t="array" ref="O107:O107">IFERROR(INDEX(SkillData,MATCH(INDEX(PalData,MATCH($B107,PalNames,0)+1,MATCH("Passive1c",PalData_Header,0)),SkillDataCodeName,0)+1,MATCH("EffectValue1",SkillData_Header,0)))</f>
        <v>#VALUE!</v>
      </c>
      <c r="P107" s="61" t="e">
        <f aca="false" t="array" ref="P107:P107">IFERROR(INDEX(SkillData,MATCH(INDEX(PalData,MATCH($B107,PalNames,0)+1,MATCH("Passive2c",PalData_Header,0)),SkillDataCodeName,0)+1,MATCH("EffectValue1",SkillData_Header,0)))</f>
        <v>#VALUE!</v>
      </c>
      <c r="Q107" s="61" t="e">
        <f aca="false" t="array" ref="Q107:Q107">IFERROR(INDEX(SkillData,MATCH(INDEX(PalData,MATCH($B107,PalNames,0)+1,MATCH("Passive3c",PalData_Header,0)),SkillDataCodeName,0)+1,MATCH("EffectValue1",SkillData_Header,0)))</f>
        <v>#VALUE!</v>
      </c>
      <c r="R107" s="304" t="e">
        <f aca="false" t="array" ref="R107:R107">IFERROR(INDEX(SkillData,MATCH(INDEX(PalData,MATCH($B107,PalNames,0)+1,MATCH("Passive4c",PalData_Header,0)),SkillDataCodeName,0)+1,MATCH("EffectValue1",SkillData_Header,0)))</f>
        <v>#VALUE!</v>
      </c>
      <c r="S107" s="48" t="str">
        <f aca="false">IFERROR(__xludf.dummyfunction("IFERROR(INDEX(SkillData,MATCH(Arrayformula(ARRAY_CONSTRAIN(FILTER(INDIRECT(""PalData!""&amp;ADDRESS(MATCH(B107,PalNames,0)+1,(MATCH(""Passive0a"",PalData_Header,0)))&amp;"":""&amp;ADDRESS(MATCH(B107,PalNames,0)+1,(MATCH(""Passive0a"",PalData_Header,0))+4)),LEN(INDIRE"&amp;"CT(""PalData!""&amp;ADDRESS(MATCH(B107,PalNames,0)+1,(MATCH(""Passive0a"",PalData_Header,0)))&amp;"":""&amp;ADDRESS(MATCH(B107,PalNames,0)+1,(MATCH(""Passive0a"",PalData_Header,0))+4)))&gt;0),1,1)),SkillDataCodeName,0)+1,MATCH(""EffectTypeCombined"",SkillData_Header,0))"&amp;")"),"")</f>
        <v/>
      </c>
      <c r="T107" s="48" t="str">
        <f aca="false">IFERROR(__xludf.dummyfunction("IFERROR(INDEX(SkillData,MATCH(Arrayformula(ARRAY_CONSTRAIN(FILTER(INDIRECT(""PalData!""&amp;ADDRESS(MATCH(B107,PalNames,0)+1,(MATCH(""Passive0a"",PalData_Header,0)))&amp;"":""&amp;ADDRESS(MATCH(B107,PalNames,0)+1,(MATCH(""Passive0a"",PalData_Header,0))+4)),LEN(INDIRE"&amp;"CT(""PalData!""&amp;ADDRESS(MATCH(B107,PalNames,0)+1,(MATCH(""Passive0a"",PalData_Header,0)))&amp;"":""&amp;ADDRESS(MATCH(B107,PalNames,0)+1,(MATCH(""Passive0a"",PalData_Header,0))+4)))&gt;0),1,1)),SkillDataCodeName,0)+1,MATCH(""TargetType1"",SkillData_Header,0)))"),"")</f>
        <v/>
      </c>
      <c r="U107" s="48" t="e">
        <f aca="false" t="array" ref="U107:U107">IF(INDEX(PalData,MATCH($B107,PalNames,0)+1,MATCH("Passive0aCondition",PalData_Header,0))=IFERROR(INDEX(SkillData,MATCH(INDEX(PalData,MATCH($B107,PalNames,0)+1,MATCH("Passive0a",PalData_Header,0)),SkillDataCodeName,0)+1,MATCH("Conditions",SkillData_Header,0))),INDEX(PalData,MATCH($B107,PalNames,0)+1,MATCH("Passive0aCondition",PalData_Header,0)),INDEX(PalData,MATCH($B107,PalNames,0)+1,MATCH("Passive0aCondition",PalData_Header,0)) &amp; IF(ISBLANK(INDEX(PalData,MATCH($B107,PalNames,0)+1,MATCH("Passive0aCondition",PalData_Header,0))),," ")&amp;IFERROR(INDEX(SkillData,MATCH(INDEX(PalData,MATCH($B107,PalNames,0)+1,MATCH("Passive0a",PalData_Header,0)),SkillDataCodeName,0)+1,MATCH("Conditions",SkillData_Header,0))))</f>
        <v>#N/A</v>
      </c>
      <c r="V107" s="48" t="str">
        <f aca="false">IFERROR(__xludf.dummyfunction("IFERROR(INDEX(SkillData,MATCH(Arrayformula(ARRAY_CONSTRAIN(FILTER(INDIRECT(""PalData!""&amp;ADDRESS(MATCH(B107,PalNames,0)+1,(MATCH(""Passive0a"",PalData_Header,0)))&amp;"":""&amp;ADDRESS(MATCH(B107,PalNames,0)+1,(MATCH(""Passive0a"",PalData_Header,0))+4)),LEN(INDIRE"&amp;"CT(""PalData!""&amp;ADDRESS(MATCH(B107,PalNames,0)+1,(MATCH(""Passive0a"",PalData_Header,0)))&amp;"":""&amp;ADDRESS(MATCH(B107,PalNames,0)+1,(MATCH(""Passive0a"",PalData_Header,0))+4)))&gt;0),1,1)),SkillDataCodeName,0)+1,MATCH(""ValueType1"",SkillData_Header,0)))"),"")</f>
        <v/>
      </c>
      <c r="W107" s="48" t="n">
        <f aca="false">IFERROR(INDEX(SkillData,MATCH(INDEX(PalData,MATCH($B107,PalNames,0)+1,MATCH("Passive0a",PalData_Header,0)),SkillDataCodeName,0)+1,MATCH("EffectValue1",SkillData_Header,0)),)</f>
        <v>0</v>
      </c>
      <c r="X107" s="48" t="n">
        <f aca="false">IFERROR(INDEX(SkillData,MATCH(INDEX(PalData,MATCH($B107,PalNames,0)+1,MATCH("Passive1a",PalData_Header,0)),SkillDataCodeName,0)+1,MATCH("EffectValue1",SkillData_Header,0)),)</f>
        <v>0</v>
      </c>
      <c r="Y107" s="48" t="n">
        <f aca="false">IFERROR(INDEX(SkillData,MATCH(INDEX(PalData,MATCH($B107,PalNames,0)+1,MATCH("Passive2a",PalData_Header,0)),SkillDataCodeName,0)+1,MATCH("EffectValue1",SkillData_Header,0)),)</f>
        <v>0</v>
      </c>
      <c r="Z107" s="48" t="n">
        <f aca="false">IFERROR(INDEX(SkillData,MATCH(INDEX(PalData,MATCH($B107,PalNames,0)+1,MATCH("Passive3a",PalData_Header,0)),SkillDataCodeName,0)+1,MATCH("EffectValue1",SkillData_Header,0)),)</f>
        <v>0</v>
      </c>
      <c r="AA107" s="263" t="n">
        <f aca="false">IFERROR(INDEX(SkillData,MATCH(INDEX(PalData,MATCH($B107,PalNames,0)+1,MATCH("Passive4a",PalData_Header,0)),SkillDataCodeName,0)+1,MATCH("EffectValue1",SkillData_Header,0)),)</f>
        <v>0</v>
      </c>
      <c r="AB107" s="48" t="str">
        <f aca="false">IFERROR(__xludf.dummyfunction("IFERROR(INDEX(SkillData,MATCH(Arrayformula(ARRAY_CONSTRAIN(FILTER(INDIRECT(""PalData!""&amp;ADDRESS(MATCH(B107,PalNames,0)+1,(MATCH(""Passive0b"",PalData_Header,0)))&amp;"":""&amp;ADDRESS(MATCH(B107,PalNames,0)+1,(MATCH(""Passive0b"",PalData_Header,0))+4)),LEN(INDIRE"&amp;"CT(""PalData!""&amp;ADDRESS(MATCH(B107,PalNames,0)+1,(MATCH(""Passive0b"",PalData_Header,0)))&amp;"":""&amp;ADDRESS(MATCH(B107,PalNames,0)+1,(MATCH(""Passive0b"",PalData_Header,0))+4)))&gt;0),1,1)),SkillDataCodeName,0)+1,MATCH(""EffectTypeCombined"",SkillData_Header,0))"&amp;")"),"")</f>
        <v/>
      </c>
      <c r="AC107" s="48" t="str">
        <f aca="false">IFERROR(__xludf.dummyfunction("IFERROR(INDEX(SkillData,MATCH(Arrayformula(ARRAY_CONSTRAIN(FILTER(INDIRECT(""PalData!""&amp;ADDRESS(MATCH(B107,PalNames,0)+1,(MATCH(""Passive0b"",PalData_Header,0)))&amp;"":""&amp;ADDRESS(MATCH(B107,PalNames,0)+1,(MATCH(""Passive0b"",PalData_Header,0))+4)),LEN(INDIRE"&amp;"CT(""PalData!""&amp;ADDRESS(MATCH(B107,PalNames,0)+1,(MATCH(""Passive0b"",PalData_Header,0)))&amp;"":""&amp;ADDRESS(MATCH(B107,PalNames,0)+1,(MATCH(""Passive0b"",PalData_Header,0))+4)))&gt;0),1,1)),SkillDataCodeName,0)+1,MATCH(""TargetType1"",SkillData_Header,0)))"),"")</f>
        <v/>
      </c>
      <c r="AD107" s="48" t="e">
        <f aca="false" t="array" ref="AD107:AD107">IF(INDEX(PalData,MATCH($B107,PalNames,0)+1,MATCH("Passive0bCondition",PalData_Header,0))=IFERROR(INDEX(SkillData,MATCH(INDEX(PalData,MATCH($B107,PalNames,0)+1,MATCH("Passive0b",PalData_Header,0)),SkillDataCodeName,0)+1,MATCH("Conditions",SkillData_Header,0))),INDEX(PalData,MATCH($B107,PalNames,0)+1,MATCH("Passive0bCondition",PalData_Header,0)),INDEX(PalData,MATCH($B107,PalNames,0)+1,MATCH("Passive0bCondition",PalData_Header,0)) &amp; IF(ISBLANK(INDEX(PalData,MATCH($B107,PalNames,0)+1,MATCH("Passive0bCondition",PalData_Header,0))),," ")&amp;IFERROR(INDEX(SkillData,MATCH(INDEX(PalData,MATCH($B107,PalNames,0)+1,MATCH("Passive0b",PalData_Header,0)),SkillDataCodeName,0)+1,MATCH("Conditions",SkillData_Header,0))))</f>
        <v>#N/A</v>
      </c>
      <c r="AE107" s="48" t="str">
        <f aca="false">IFERROR(__xludf.dummyfunction("IFERROR(INDEX(SkillData,MATCH(Arrayformula(ARRAY_CONSTRAIN(FILTER(INDIRECT(""PalData!""&amp;ADDRESS(MATCH(B107,PalNames,0)+1,(MATCH(""Passive0b"",PalData_Header,0)))&amp;"":""&amp;ADDRESS(MATCH(B107,PalNames,0)+1,(MATCH(""Passive0b"",PalData_Header,0))+4)),LEN(INDIRE"&amp;"CT(""PalData!""&amp;ADDRESS(MATCH(B107,PalNames,0)+1,(MATCH(""Passive0b"",PalData_Header,0)))&amp;"":""&amp;ADDRESS(MATCH(B107,PalNames,0)+1,(MATCH(""Passive0b"",PalData_Header,0))+4)))&gt;0),1,1)),SkillDataCodeName,0)+1,MATCH(""ValueType1"",SkillData_Header,0)))"),"")</f>
        <v/>
      </c>
      <c r="AF107" s="48" t="n">
        <f aca="false">IFERROR(INDEX(SkillData,MATCH(INDEX(PalData,MATCH($B107,PalNames,0)+1,MATCH("Passive0b",PalData_Header,0)),SkillDataCodeName,0)+1,MATCH("EffectValue1",SkillData_Header,0)),)</f>
        <v>0</v>
      </c>
      <c r="AG107" s="48" t="n">
        <f aca="false">IFERROR(INDEX(SkillData,MATCH(INDEX(PalData,MATCH($B107,PalNames,0)+1,MATCH("Passive1b",PalData_Header,0)),SkillDataCodeName,0)+1,MATCH("EffectValue1",SkillData_Header,0)),)</f>
        <v>0</v>
      </c>
      <c r="AH107" s="48" t="n">
        <f aca="false">IFERROR(INDEX(SkillData,MATCH(INDEX(PalData,MATCH($B107,PalNames,0)+1,MATCH("Passive2b",PalData_Header,0)),SkillDataCodeName,0)+1,MATCH("EffectValue1",SkillData_Header,0)),)</f>
        <v>0</v>
      </c>
      <c r="AI107" s="48" t="n">
        <f aca="false">IFERROR(INDEX(SkillData,MATCH(INDEX(PalData,MATCH($B107,PalNames,0)+1,MATCH("Passive3b",PalData_Header,0)),SkillDataCodeName,0)+1,MATCH("EffectValue1",SkillData_Header,0)),)</f>
        <v>0</v>
      </c>
      <c r="AJ107" s="263" t="n">
        <f aca="false">IFERROR(INDEX(SkillData,MATCH(INDEX(PalData,MATCH($B107,PalNames,0)+1,MATCH("Passive4b",PalData_Header,0)),SkillDataCodeName,0)+1,MATCH("EffectValue1",SkillData_Header,0)),)</f>
        <v>0</v>
      </c>
      <c r="AK107" s="305" t="s">
        <v>371</v>
      </c>
    </row>
    <row r="108" customFormat="false" ht="15.75" hidden="false" customHeight="false" outlineLevel="0" collapsed="false">
      <c r="A108" s="299" t="n">
        <v>86</v>
      </c>
      <c r="B108" s="300" t="s">
        <v>30</v>
      </c>
      <c r="C108" s="45" t="str">
        <f aca="false" t="array" ref="C108:C108">IF(ISBLANK(INDEX(PalData,MATCH($B108,PalNames,0)+1,MATCH("ActiveSkill",PalData_Header,0))),INDEX(PalData,MATCH($B108,PalNames,0)+1,MATCH("SkillUnlock_",PalData_Header,0)),INDEX(PalData,MATCH($B108,PalNames,0)+1,MATCH("ActiveSkill",PalData_Header,0)))</f>
        <v>Saddle</v>
      </c>
      <c r="D108" s="45"/>
      <c r="E108" s="45" t="n">
        <f aca="false">INDEX(PalData,MATCH($B108,PalNames,0)+1,MATCH("ActiveSkillBonus0",PalData_Header,0))</f>
        <v>0</v>
      </c>
      <c r="F108" s="45" t="n">
        <f aca="false">INDEX(PalData,MATCH($B108,PalNames,0)+1,MATCH("ActiveSkillBonus1",PalData_Header,0))</f>
        <v>0</v>
      </c>
      <c r="G108" s="45" t="n">
        <f aca="false">INDEX(PalData,MATCH($B108,PalNames,0)+1,MATCH("ActiveSkillBonus2",PalData_Header,0))</f>
        <v>0</v>
      </c>
      <c r="H108" s="45" t="n">
        <f aca="false">INDEX(PalData,MATCH($B108,PalNames,0)+1,MATCH("ActiveSkillBonus3",PalData_Header,0))</f>
        <v>0</v>
      </c>
      <c r="I108" s="260" t="n">
        <f aca="false">INDEX(PalData,MATCH($B108,PalNames,0)+1,MATCH("ActiveSkillBonus4",PalData_Header,0))</f>
        <v>0</v>
      </c>
      <c r="J108" s="45" t="str">
        <f aca="false">IFERROR(__xludf.dummyfunction("IFERROR(INDEX(SkillData,MATCH(Arrayformula(ARRAY_CONSTRAIN(FILTER(INDIRECT(""PalData!""&amp;ADDRESS(MATCH(B108,PalNames,0)+1,(MATCH(""Passive0c"",PalData_Header,0)))&amp;"":""&amp;ADDRESS(MATCH(B108,PalNames,0)+1,(MATCH(""Passive0c"",PalData_Header,0))+4)),LEN(INDIRE"&amp;"CT(""PalData!""&amp;ADDRESS(MATCH(B108,PalNames,0)+1,(MATCH(""Passive0c"",PalData_Header,0)))&amp;"":""&amp;ADDRESS(MATCH(B108,PalNames,0)+1,(MATCH(""Passive0c"",PalData_Header,0))+4)))&gt;0),1,1)),SkillDataCodeName,0)+1,MATCH(""EffectTypeCombined"",SkillData_Header,0))"&amp;")"),"MaxInventoryWeight")</f>
        <v>MaxInventoryWeight</v>
      </c>
      <c r="K108" s="45" t="str">
        <f aca="false">IFERROR(__xludf.dummyfunction("IFERROR(INDEX(SkillData,MATCH(Arrayformula(ARRAY_CONSTRAIN(FILTER(INDIRECT(""PalData!""&amp;ADDRESS(MATCH(B108,PalNames,0)+1,(MATCH(""Passive0c"",PalData_Header,0)))&amp;"":""&amp;ADDRESS(MATCH(B108,PalNames,0)+1,(MATCH(""Passive0c"",PalData_Header,0))+4)),LEN(INDIRE"&amp;"CT(""PalData!""&amp;ADDRESS(MATCH(B108,PalNames,0)+1,(MATCH(""Passive0c"",PalData_Header,0)))&amp;"":""&amp;ADDRESS(MATCH(B108,PalNames,0)+1,(MATCH(""Passive0c"",PalData_Header,0))+4)))&gt;0),1,1)),SkillDataCodeName,0)+1,MATCH(""TargetType1"",SkillData_Header,0)))"),"Trainer")</f>
        <v>Trainer</v>
      </c>
      <c r="L108" s="45" t="e">
        <f aca="false" t="array" ref="L108:L108">IF(INDEX(PalData,MATCH($B108,PalNames,0)+1,MATCH("Passive0cCondition",PalData_Header,0))=IFERROR(INDEX(SkillData,MATCH(INDEX(PalData,MATCH($B108,PalNames,0)+1,MATCH("Passive0c",PalData_Header,0)),SkillDataCodeName,0)+1,MATCH("Conditions",SkillData_Header,0))),INDEX(PalData,MATCH($B108,PalNames,0)+1,MATCH("Passive0cCondition",PalData_Header,0)),INDEX(PalData,MATCH($B108,PalNames,0)+1,MATCH("Passive0cCondition",PalData_Header,0)) &amp; IF(ISBLANK(INDEX(PalData,MATCH($B108,PalNames,0)+1,MATCH("Passive0cCondition",PalData_Header,0))),," ")&amp;IFERROR(INDEX(SkillData,MATCH(INDEX(PalData,MATCH($B108,PalNames,0)+1,MATCH("Passive0c",PalData_Header,0)),SkillDataCodeName,0)+1,MATCH("Conditions",SkillData_Header,0))))</f>
        <v>#VALUE!</v>
      </c>
      <c r="M108" s="45" t="str">
        <f aca="false">IFERROR(__xludf.dummyfunction("IFERROR(INDEX(SkillData,MATCH(Arrayformula(ARRAY_CONSTRAIN(FILTER(INDIRECT(""PalData!""&amp;ADDRESS(MATCH(B108,PalNames,0)+1,(MATCH(""Passive0c"",PalData_Header,0)))&amp;"":""&amp;ADDRESS(MATCH(B108,PalNames,0)+1,(MATCH(""Passive0c"",PalData_Header,0))+4)),LEN(INDIRE"&amp;"CT(""PalData!""&amp;ADDRESS(MATCH(B108,PalNames,0)+1,(MATCH(""Passive0c"",PalData_Header,0)))&amp;"":""&amp;ADDRESS(MATCH(B108,PalNames,0)+1,(MATCH(""Passive0c"",PalData_Header,0))+4)))&gt;0),1,1)),SkillDataCodeName,0)+1,MATCH(""ValueType1"",SkillData_Header,0)))"),"+")</f>
        <v>+</v>
      </c>
      <c r="N108" s="62" t="e">
        <f aca="false" t="array" ref="N108:N108">IFERROR(INDEX(SkillData,MATCH(INDEX(PalData,MATCH($B108,PalNames,0)+1,MATCH("Passive0c",PalData_Header,0)),SkillDataCodeName,0)+1,MATCH("EffectValue1",SkillData_Header,0)))</f>
        <v>#VALUE!</v>
      </c>
      <c r="O108" s="62" t="e">
        <f aca="false" t="array" ref="O108:O108">IFERROR(INDEX(SkillData,MATCH(INDEX(PalData,MATCH($B108,PalNames,0)+1,MATCH("Passive1c",PalData_Header,0)),SkillDataCodeName,0)+1,MATCH("EffectValue1",SkillData_Header,0)))</f>
        <v>#VALUE!</v>
      </c>
      <c r="P108" s="62" t="e">
        <f aca="false" t="array" ref="P108:P108">IFERROR(INDEX(SkillData,MATCH(INDEX(PalData,MATCH($B108,PalNames,0)+1,MATCH("Passive2c",PalData_Header,0)),SkillDataCodeName,0)+1,MATCH("EffectValue1",SkillData_Header,0)))</f>
        <v>#VALUE!</v>
      </c>
      <c r="Q108" s="62" t="e">
        <f aca="false" t="array" ref="Q108:Q108">IFERROR(INDEX(SkillData,MATCH(INDEX(PalData,MATCH($B108,PalNames,0)+1,MATCH("Passive3c",PalData_Header,0)),SkillDataCodeName,0)+1,MATCH("EffectValue1",SkillData_Header,0)))</f>
        <v>#VALUE!</v>
      </c>
      <c r="R108" s="306" t="e">
        <f aca="false" t="array" ref="R108:R108">IFERROR(INDEX(SkillData,MATCH(INDEX(PalData,MATCH($B108,PalNames,0)+1,MATCH("Passive4c",PalData_Header,0)),SkillDataCodeName,0)+1,MATCH("EffectValue1",SkillData_Header,0)))</f>
        <v>#VALUE!</v>
      </c>
      <c r="S108" s="45" t="str">
        <f aca="false">IFERROR(__xludf.dummyfunction("IFERROR(INDEX(SkillData,MATCH(Arrayformula(ARRAY_CONSTRAIN(FILTER(INDIRECT(""PalData!""&amp;ADDRESS(MATCH(B108,PalNames,0)+1,(MATCH(""Passive0a"",PalData_Header,0)))&amp;"":""&amp;ADDRESS(MATCH(B108,PalNames,0)+1,(MATCH(""Passive0a"",PalData_Header,0))+4)),LEN(INDIRE"&amp;"CT(""PalData!""&amp;ADDRESS(MATCH(B108,PalNames,0)+1,(MATCH(""Passive0a"",PalData_Header,0)))&amp;"":""&amp;ADDRESS(MATCH(B108,PalNames,0)+1,(MATCH(""Passive0a"",PalData_Header,0))+4)))&gt;0),1,1)),SkillDataCodeName,0)+1,MATCH(""EffectTypeCombined"",SkillData_Header,0))"&amp;")"),"")</f>
        <v/>
      </c>
      <c r="T108" s="45" t="str">
        <f aca="false">IFERROR(__xludf.dummyfunction("IFERROR(INDEX(SkillData,MATCH(Arrayformula(ARRAY_CONSTRAIN(FILTER(INDIRECT(""PalData!""&amp;ADDRESS(MATCH(B108,PalNames,0)+1,(MATCH(""Passive0a"",PalData_Header,0)))&amp;"":""&amp;ADDRESS(MATCH(B108,PalNames,0)+1,(MATCH(""Passive0a"",PalData_Header,0))+4)),LEN(INDIRE"&amp;"CT(""PalData!""&amp;ADDRESS(MATCH(B108,PalNames,0)+1,(MATCH(""Passive0a"",PalData_Header,0)))&amp;"":""&amp;ADDRESS(MATCH(B108,PalNames,0)+1,(MATCH(""Passive0a"",PalData_Header,0))+4)))&gt;0),1,1)),SkillDataCodeName,0)+1,MATCH(""TargetType1"",SkillData_Header,0)))"),"")</f>
        <v/>
      </c>
      <c r="U108" s="45" t="e">
        <f aca="false" t="array" ref="U108:U108">IF(INDEX(PalData,MATCH($B108,PalNames,0)+1,MATCH("Passive0aCondition",PalData_Header,0))=IFERROR(INDEX(SkillData,MATCH(INDEX(PalData,MATCH($B108,PalNames,0)+1,MATCH("Passive0a",PalData_Header,0)),SkillDataCodeName,0)+1,MATCH("Conditions",SkillData_Header,0))),INDEX(PalData,MATCH($B108,PalNames,0)+1,MATCH("Passive0aCondition",PalData_Header,0)),INDEX(PalData,MATCH($B108,PalNames,0)+1,MATCH("Passive0aCondition",PalData_Header,0)) &amp; IF(ISBLANK(INDEX(PalData,MATCH($B108,PalNames,0)+1,MATCH("Passive0aCondition",PalData_Header,0))),," ")&amp;IFERROR(INDEX(SkillData,MATCH(INDEX(PalData,MATCH($B108,PalNames,0)+1,MATCH("Passive0a",PalData_Header,0)),SkillDataCodeName,0)+1,MATCH("Conditions",SkillData_Header,0))))</f>
        <v>#N/A</v>
      </c>
      <c r="V108" s="45" t="str">
        <f aca="false">IFERROR(__xludf.dummyfunction("IFERROR(INDEX(SkillData,MATCH(Arrayformula(ARRAY_CONSTRAIN(FILTER(INDIRECT(""PalData!""&amp;ADDRESS(MATCH(B108,PalNames,0)+1,(MATCH(""Passive0a"",PalData_Header,0)))&amp;"":""&amp;ADDRESS(MATCH(B108,PalNames,0)+1,(MATCH(""Passive0a"",PalData_Header,0))+4)),LEN(INDIRE"&amp;"CT(""PalData!""&amp;ADDRESS(MATCH(B108,PalNames,0)+1,(MATCH(""Passive0a"",PalData_Header,0)))&amp;"":""&amp;ADDRESS(MATCH(B108,PalNames,0)+1,(MATCH(""Passive0a"",PalData_Header,0))+4)))&gt;0),1,1)),SkillDataCodeName,0)+1,MATCH(""ValueType1"",SkillData_Header,0)))"),"")</f>
        <v/>
      </c>
      <c r="W108" s="45" t="n">
        <f aca="false">IFERROR(INDEX(SkillData,MATCH(INDEX(PalData,MATCH($B108,PalNames,0)+1,MATCH("Passive0a",PalData_Header,0)),SkillDataCodeName,0)+1,MATCH("EffectValue1",SkillData_Header,0)),)</f>
        <v>0</v>
      </c>
      <c r="X108" s="45" t="n">
        <f aca="false">IFERROR(INDEX(SkillData,MATCH(INDEX(PalData,MATCH($B108,PalNames,0)+1,MATCH("Passive1a",PalData_Header,0)),SkillDataCodeName,0)+1,MATCH("EffectValue1",SkillData_Header,0)),)</f>
        <v>0</v>
      </c>
      <c r="Y108" s="45" t="n">
        <f aca="false">IFERROR(INDEX(SkillData,MATCH(INDEX(PalData,MATCH($B108,PalNames,0)+1,MATCH("Passive2a",PalData_Header,0)),SkillDataCodeName,0)+1,MATCH("EffectValue1",SkillData_Header,0)),)</f>
        <v>0</v>
      </c>
      <c r="Z108" s="45" t="n">
        <f aca="false">IFERROR(INDEX(SkillData,MATCH(INDEX(PalData,MATCH($B108,PalNames,0)+1,MATCH("Passive3a",PalData_Header,0)),SkillDataCodeName,0)+1,MATCH("EffectValue1",SkillData_Header,0)),)</f>
        <v>0</v>
      </c>
      <c r="AA108" s="260" t="n">
        <f aca="false">IFERROR(INDEX(SkillData,MATCH(INDEX(PalData,MATCH($B108,PalNames,0)+1,MATCH("Passive4a",PalData_Header,0)),SkillDataCodeName,0)+1,MATCH("EffectValue1",SkillData_Header,0)),)</f>
        <v>0</v>
      </c>
      <c r="AB108" s="45" t="str">
        <f aca="false">IFERROR(__xludf.dummyfunction("IFERROR(INDEX(SkillData,MATCH(Arrayformula(ARRAY_CONSTRAIN(FILTER(INDIRECT(""PalData!""&amp;ADDRESS(MATCH(B108,PalNames,0)+1,(MATCH(""Passive0b"",PalData_Header,0)))&amp;"":""&amp;ADDRESS(MATCH(B108,PalNames,0)+1,(MATCH(""Passive0b"",PalData_Header,0))+4)),LEN(INDIRE"&amp;"CT(""PalData!""&amp;ADDRESS(MATCH(B108,PalNames,0)+1,(MATCH(""Passive0b"",PalData_Header,0)))&amp;"":""&amp;ADDRESS(MATCH(B108,PalNames,0)+1,(MATCH(""Passive0b"",PalData_Header,0))+4)))&gt;0),1,1)),SkillDataCodeName,0)+1,MATCH(""EffectTypeCombined"",SkillData_Header,0))"&amp;")"),"")</f>
        <v/>
      </c>
      <c r="AC108" s="45" t="str">
        <f aca="false">IFERROR(__xludf.dummyfunction("IFERROR(INDEX(SkillData,MATCH(Arrayformula(ARRAY_CONSTRAIN(FILTER(INDIRECT(""PalData!""&amp;ADDRESS(MATCH(B108,PalNames,0)+1,(MATCH(""Passive0b"",PalData_Header,0)))&amp;"":""&amp;ADDRESS(MATCH(B108,PalNames,0)+1,(MATCH(""Passive0b"",PalData_Header,0))+4)),LEN(INDIRE"&amp;"CT(""PalData!""&amp;ADDRESS(MATCH(B108,PalNames,0)+1,(MATCH(""Passive0b"",PalData_Header,0)))&amp;"":""&amp;ADDRESS(MATCH(B108,PalNames,0)+1,(MATCH(""Passive0b"",PalData_Header,0))+4)))&gt;0),1,1)),SkillDataCodeName,0)+1,MATCH(""TargetType1"",SkillData_Header,0)))"),"")</f>
        <v/>
      </c>
      <c r="AD108" s="45" t="e">
        <f aca="false" t="array" ref="AD108:AD108">IF(INDEX(PalData,MATCH($B108,PalNames,0)+1,MATCH("Passive0bCondition",PalData_Header,0))=IFERROR(INDEX(SkillData,MATCH(INDEX(PalData,MATCH($B108,PalNames,0)+1,MATCH("Passive0b",PalData_Header,0)),SkillDataCodeName,0)+1,MATCH("Conditions",SkillData_Header,0))),INDEX(PalData,MATCH($B108,PalNames,0)+1,MATCH("Passive0bCondition",PalData_Header,0)),INDEX(PalData,MATCH($B108,PalNames,0)+1,MATCH("Passive0bCondition",PalData_Header,0)) &amp; IF(ISBLANK(INDEX(PalData,MATCH($B108,PalNames,0)+1,MATCH("Passive0bCondition",PalData_Header,0))),," ")&amp;IFERROR(INDEX(SkillData,MATCH(INDEX(PalData,MATCH($B108,PalNames,0)+1,MATCH("Passive0b",PalData_Header,0)),SkillDataCodeName,0)+1,MATCH("Conditions",SkillData_Header,0))))</f>
        <v>#N/A</v>
      </c>
      <c r="AE108" s="45" t="str">
        <f aca="false">IFERROR(__xludf.dummyfunction("IFERROR(INDEX(SkillData,MATCH(Arrayformula(ARRAY_CONSTRAIN(FILTER(INDIRECT(""PalData!""&amp;ADDRESS(MATCH(B108,PalNames,0)+1,(MATCH(""Passive0b"",PalData_Header,0)))&amp;"":""&amp;ADDRESS(MATCH(B108,PalNames,0)+1,(MATCH(""Passive0b"",PalData_Header,0))+4)),LEN(INDIRE"&amp;"CT(""PalData!""&amp;ADDRESS(MATCH(B108,PalNames,0)+1,(MATCH(""Passive0b"",PalData_Header,0)))&amp;"":""&amp;ADDRESS(MATCH(B108,PalNames,0)+1,(MATCH(""Passive0b"",PalData_Header,0))+4)))&gt;0),1,1)),SkillDataCodeName,0)+1,MATCH(""ValueType1"",SkillData_Header,0)))"),"")</f>
        <v/>
      </c>
      <c r="AF108" s="45" t="n">
        <f aca="false">IFERROR(INDEX(SkillData,MATCH(INDEX(PalData,MATCH($B108,PalNames,0)+1,MATCH("Passive0b",PalData_Header,0)),SkillDataCodeName,0)+1,MATCH("EffectValue1",SkillData_Header,0)),)</f>
        <v>0</v>
      </c>
      <c r="AG108" s="45" t="n">
        <f aca="false">IFERROR(INDEX(SkillData,MATCH(INDEX(PalData,MATCH($B108,PalNames,0)+1,MATCH("Passive1b",PalData_Header,0)),SkillDataCodeName,0)+1,MATCH("EffectValue1",SkillData_Header,0)),)</f>
        <v>0</v>
      </c>
      <c r="AH108" s="45" t="n">
        <f aca="false">IFERROR(INDEX(SkillData,MATCH(INDEX(PalData,MATCH($B108,PalNames,0)+1,MATCH("Passive2b",PalData_Header,0)),SkillDataCodeName,0)+1,MATCH("EffectValue1",SkillData_Header,0)),)</f>
        <v>0</v>
      </c>
      <c r="AI108" s="45" t="n">
        <f aca="false">IFERROR(INDEX(SkillData,MATCH(INDEX(PalData,MATCH($B108,PalNames,0)+1,MATCH("Passive3b",PalData_Header,0)),SkillDataCodeName,0)+1,MATCH("EffectValue1",SkillData_Header,0)),)</f>
        <v>0</v>
      </c>
      <c r="AJ108" s="260" t="n">
        <f aca="false">IFERROR(INDEX(SkillData,MATCH(INDEX(PalData,MATCH($B108,PalNames,0)+1,MATCH("Passive4b",PalData_Header,0)),SkillDataCodeName,0)+1,MATCH("EffectValue1",SkillData_Header,0)),)</f>
        <v>0</v>
      </c>
      <c r="AK108" s="301" t="s">
        <v>372</v>
      </c>
    </row>
    <row r="109" customFormat="false" ht="15.75" hidden="false" customHeight="false" outlineLevel="0" collapsed="false">
      <c r="A109" s="302" t="n">
        <v>87</v>
      </c>
      <c r="B109" s="303" t="s">
        <v>116</v>
      </c>
      <c r="C109" s="48" t="str">
        <f aca="false" t="array" ref="C109:C109">IF(ISBLANK(INDEX(PalData,MATCH($B109,PalNames,0)+1,MATCH("ActiveSkill",PalData_Header,0))),INDEX(PalData,MATCH($B109,PalNames,0)+1,MATCH("SkillUnlock_",PalData_Header,0)),INDEX(PalData,MATCH($B109,PalNames,0)+1,MATCH("ActiveSkill",PalData_Header,0)))</f>
        <v>Heal_FlowerDoll</v>
      </c>
      <c r="D109" s="48" t="s">
        <v>282</v>
      </c>
      <c r="E109" s="61" t="n">
        <f aca="false" t="array" ref="E109:E109">INDEX(PalData,MATCH($B109,PalNames,0)+1,MATCH("ActiveSkillBonus0",PalData_Header,0))</f>
        <v>400</v>
      </c>
      <c r="F109" s="61" t="n">
        <f aca="false" t="array" ref="F109:F109">INDEX(PalData,MATCH($B109,PalNames,0)+1,MATCH("ActiveSkillBonus1",PalData_Header,0))</f>
        <v>440</v>
      </c>
      <c r="G109" s="61" t="n">
        <f aca="false" t="array" ref="G109:G109">INDEX(PalData,MATCH($B109,PalNames,0)+1,MATCH("ActiveSkillBonus2",PalData_Header,0))</f>
        <v>520</v>
      </c>
      <c r="H109" s="61" t="n">
        <f aca="false" t="array" ref="H109:H109">INDEX(PalData,MATCH($B109,PalNames,0)+1,MATCH("ActiveSkillBonus3",PalData_Header,0))</f>
        <v>640</v>
      </c>
      <c r="I109" s="304" t="n">
        <f aca="false" t="array" ref="I109:I109">INDEX(PalData,MATCH($B109,PalNames,0)+1,MATCH("ActiveSkillBonus4",PalData_Header,0))</f>
        <v>800</v>
      </c>
      <c r="J109" s="48" t="str">
        <f aca="false">IFERROR(__xludf.dummyfunction("IFERROR(INDEX(SkillData,MATCH(Arrayformula(ARRAY_CONSTRAIN(FILTER(INDIRECT(""PalData!""&amp;ADDRESS(MATCH(B109,PalNames,0)+1,(MATCH(""Passive0c"",PalData_Header,0)))&amp;"":""&amp;ADDRESS(MATCH(B109,PalNames,0)+1,(MATCH(""Passive0c"",PalData_Header,0))+4)),LEN(INDIRE"&amp;"CT(""PalData!""&amp;ADDRESS(MATCH(B109,PalNames,0)+1,(MATCH(""Passive0c"",PalData_Header,0)))&amp;"":""&amp;ADDRESS(MATCH(B109,PalNames,0)+1,(MATCH(""Passive0c"",PalData_Header,0))+4)))&gt;0),1,1)),SkillDataCodeName,0)+1,MATCH(""EffectTypeCombined"",SkillData_Header,0))"&amp;")"),"")</f>
        <v/>
      </c>
      <c r="K109" s="48" t="str">
        <f aca="false">IFERROR(__xludf.dummyfunction("IFERROR(INDEX(SkillData,MATCH(Arrayformula(ARRAY_CONSTRAIN(FILTER(INDIRECT(""PalData!""&amp;ADDRESS(MATCH(B109,PalNames,0)+1,(MATCH(""Passive0c"",PalData_Header,0)))&amp;"":""&amp;ADDRESS(MATCH(B109,PalNames,0)+1,(MATCH(""Passive0c"",PalData_Header,0))+4)),LEN(INDIRE"&amp;"CT(""PalData!""&amp;ADDRESS(MATCH(B109,PalNames,0)+1,(MATCH(""Passive0c"",PalData_Header,0)))&amp;"":""&amp;ADDRESS(MATCH(B109,PalNames,0)+1,(MATCH(""Passive0c"",PalData_Header,0))+4)))&gt;0),1,1)),SkillDataCodeName,0)+1,MATCH(""TargetType1"",SkillData_Header,0)))"),"")</f>
        <v/>
      </c>
      <c r="L109" s="48" t="e">
        <f aca="false" t="array" ref="L109:L109">IF(INDEX(PalData,MATCH($B109,PalNames,0)+1,MATCH("Passive0cCondition",PalData_Header,0))=IFERROR(INDEX(SkillData,MATCH(INDEX(PalData,MATCH($B109,PalNames,0)+1,MATCH("Passive0c",PalData_Header,0)),SkillDataCodeName,0)+1,MATCH("Conditions",SkillData_Header,0))),INDEX(PalData,MATCH($B109,PalNames,0)+1,MATCH("Passive0cCondition",PalData_Header,0)),INDEX(PalData,MATCH($B109,PalNames,0)+1,MATCH("Passive0cCondition",PalData_Header,0)) &amp; IF(ISBLANK(INDEX(PalData,MATCH($B109,PalNames,0)+1,MATCH("Passive0cCondition",PalData_Header,0))),," ")&amp;IFERROR(INDEX(SkillData,MATCH(INDEX(PalData,MATCH($B109,PalNames,0)+1,MATCH("Passive0c",PalData_Header,0)),SkillDataCodeName,0)+1,MATCH("Conditions",SkillData_Header,0))))</f>
        <v>#N/A</v>
      </c>
      <c r="M109" s="48" t="str">
        <f aca="false">IFERROR(__xludf.dummyfunction("IFERROR(INDEX(SkillData,MATCH(Arrayformula(ARRAY_CONSTRAIN(FILTER(INDIRECT(""PalData!""&amp;ADDRESS(MATCH(B109,PalNames,0)+1,(MATCH(""Passive0c"",PalData_Header,0)))&amp;"":""&amp;ADDRESS(MATCH(B109,PalNames,0)+1,(MATCH(""Passive0c"",PalData_Header,0))+4)),LEN(INDIRE"&amp;"CT(""PalData!""&amp;ADDRESS(MATCH(B109,PalNames,0)+1,(MATCH(""Passive0c"",PalData_Header,0)))&amp;"":""&amp;ADDRESS(MATCH(B109,PalNames,0)+1,(MATCH(""Passive0c"",PalData_Header,0))+4)))&gt;0),1,1)),SkillDataCodeName,0)+1,MATCH(""ValueType1"",SkillData_Header,0)))"),"")</f>
        <v/>
      </c>
      <c r="N109" s="48" t="e">
        <f aca="false" t="array" ref="N109:N109">IFERROR(INDEX(SkillData,MATCH(INDEX(PalData,MATCH($B109,PalNames,0)+1,MATCH("Passive0c",PalData_Header,0)),SkillDataCodeName,0)+1,MATCH("EffectValue1",SkillData_Header,0)))</f>
        <v>#VALUE!</v>
      </c>
      <c r="O109" s="48" t="e">
        <f aca="false" t="array" ref="O109:O109">IFERROR(INDEX(SkillData,MATCH(INDEX(PalData,MATCH($B109,PalNames,0)+1,MATCH("Passive1c",PalData_Header,0)),SkillDataCodeName,0)+1,MATCH("EffectValue1",SkillData_Header,0)))</f>
        <v>#VALUE!</v>
      </c>
      <c r="P109" s="48" t="e">
        <f aca="false" t="array" ref="P109:P109">IFERROR(INDEX(SkillData,MATCH(INDEX(PalData,MATCH($B109,PalNames,0)+1,MATCH("Passive2c",PalData_Header,0)),SkillDataCodeName,0)+1,MATCH("EffectValue1",SkillData_Header,0)))</f>
        <v>#VALUE!</v>
      </c>
      <c r="Q109" s="48" t="e">
        <f aca="false" t="array" ref="Q109:Q109">IFERROR(INDEX(SkillData,MATCH(INDEX(PalData,MATCH($B109,PalNames,0)+1,MATCH("Passive3c",PalData_Header,0)),SkillDataCodeName,0)+1,MATCH("EffectValue1",SkillData_Header,0)))</f>
        <v>#VALUE!</v>
      </c>
      <c r="R109" s="263" t="e">
        <f aca="false" t="array" ref="R109:R109">IFERROR(INDEX(SkillData,MATCH(INDEX(PalData,MATCH($B109,PalNames,0)+1,MATCH("Passive4c",PalData_Header,0)),SkillDataCodeName,0)+1,MATCH("EffectValue1",SkillData_Header,0)))</f>
        <v>#VALUE!</v>
      </c>
      <c r="S109" s="48" t="str">
        <f aca="false">IFERROR(__xludf.dummyfunction("IFERROR(INDEX(SkillData,MATCH(Arrayformula(ARRAY_CONSTRAIN(FILTER(INDIRECT(""PalData!""&amp;ADDRESS(MATCH(B109,PalNames,0)+1,(MATCH(""Passive0a"",PalData_Header,0)))&amp;"":""&amp;ADDRESS(MATCH(B109,PalNames,0)+1,(MATCH(""Passive0a"",PalData_Header,0))+4)),LEN(INDIRE"&amp;"CT(""PalData!""&amp;ADDRESS(MATCH(B109,PalNames,0)+1,(MATCH(""Passive0a"",PalData_Header,0)))&amp;"":""&amp;ADDRESS(MATCH(B109,PalNames,0)+1,(MATCH(""Passive0a"",PalData_Header,0))+4)))&gt;0),1,1)),SkillDataCodeName,0)+1,MATCH(""EffectTypeCombined"",SkillData_Header,0))"&amp;")"),"")</f>
        <v/>
      </c>
      <c r="T109" s="48" t="str">
        <f aca="false">IFERROR(__xludf.dummyfunction("IFERROR(INDEX(SkillData,MATCH(Arrayformula(ARRAY_CONSTRAIN(FILTER(INDIRECT(""PalData!""&amp;ADDRESS(MATCH(B109,PalNames,0)+1,(MATCH(""Passive0a"",PalData_Header,0)))&amp;"":""&amp;ADDRESS(MATCH(B109,PalNames,0)+1,(MATCH(""Passive0a"",PalData_Header,0))+4)),LEN(INDIRE"&amp;"CT(""PalData!""&amp;ADDRESS(MATCH(B109,PalNames,0)+1,(MATCH(""Passive0a"",PalData_Header,0)))&amp;"":""&amp;ADDRESS(MATCH(B109,PalNames,0)+1,(MATCH(""Passive0a"",PalData_Header,0))+4)))&gt;0),1,1)),SkillDataCodeName,0)+1,MATCH(""TargetType1"",SkillData_Header,0)))"),"")</f>
        <v/>
      </c>
      <c r="U109" s="48" t="e">
        <f aca="false" t="array" ref="U109:U109">IF(INDEX(PalData,MATCH($B109,PalNames,0)+1,MATCH("Passive0aCondition",PalData_Header,0))=IFERROR(INDEX(SkillData,MATCH(INDEX(PalData,MATCH($B109,PalNames,0)+1,MATCH("Passive0a",PalData_Header,0)),SkillDataCodeName,0)+1,MATCH("Conditions",SkillData_Header,0))),INDEX(PalData,MATCH($B109,PalNames,0)+1,MATCH("Passive0aCondition",PalData_Header,0)),INDEX(PalData,MATCH($B109,PalNames,0)+1,MATCH("Passive0aCondition",PalData_Header,0)) &amp; IF(ISBLANK(INDEX(PalData,MATCH($B109,PalNames,0)+1,MATCH("Passive0aCondition",PalData_Header,0))),," ")&amp;IFERROR(INDEX(SkillData,MATCH(INDEX(PalData,MATCH($B109,PalNames,0)+1,MATCH("Passive0a",PalData_Header,0)),SkillDataCodeName,0)+1,MATCH("Conditions",SkillData_Header,0))))</f>
        <v>#N/A</v>
      </c>
      <c r="V109" s="48" t="str">
        <f aca="false">IFERROR(__xludf.dummyfunction("IFERROR(INDEX(SkillData,MATCH(Arrayformula(ARRAY_CONSTRAIN(FILTER(INDIRECT(""PalData!""&amp;ADDRESS(MATCH(B109,PalNames,0)+1,(MATCH(""Passive0a"",PalData_Header,0)))&amp;"":""&amp;ADDRESS(MATCH(B109,PalNames,0)+1,(MATCH(""Passive0a"",PalData_Header,0))+4)),LEN(INDIRE"&amp;"CT(""PalData!""&amp;ADDRESS(MATCH(B109,PalNames,0)+1,(MATCH(""Passive0a"",PalData_Header,0)))&amp;"":""&amp;ADDRESS(MATCH(B109,PalNames,0)+1,(MATCH(""Passive0a"",PalData_Header,0))+4)))&gt;0),1,1)),SkillDataCodeName,0)+1,MATCH(""ValueType1"",SkillData_Header,0)))"),"")</f>
        <v/>
      </c>
      <c r="W109" s="48" t="n">
        <f aca="false">IFERROR(INDEX(SkillData,MATCH(INDEX(PalData,MATCH($B109,PalNames,0)+1,MATCH("Passive0a",PalData_Header,0)),SkillDataCodeName,0)+1,MATCH("EffectValue1",SkillData_Header,0)),)</f>
        <v>0</v>
      </c>
      <c r="X109" s="48" t="n">
        <f aca="false">IFERROR(INDEX(SkillData,MATCH(INDEX(PalData,MATCH($B109,PalNames,0)+1,MATCH("Passive1a",PalData_Header,0)),SkillDataCodeName,0)+1,MATCH("EffectValue1",SkillData_Header,0)),)</f>
        <v>0</v>
      </c>
      <c r="Y109" s="48" t="n">
        <f aca="false">IFERROR(INDEX(SkillData,MATCH(INDEX(PalData,MATCH($B109,PalNames,0)+1,MATCH("Passive2a",PalData_Header,0)),SkillDataCodeName,0)+1,MATCH("EffectValue1",SkillData_Header,0)),)</f>
        <v>0</v>
      </c>
      <c r="Z109" s="48" t="n">
        <f aca="false">IFERROR(INDEX(SkillData,MATCH(INDEX(PalData,MATCH($B109,PalNames,0)+1,MATCH("Passive3a",PalData_Header,0)),SkillDataCodeName,0)+1,MATCH("EffectValue1",SkillData_Header,0)),)</f>
        <v>0</v>
      </c>
      <c r="AA109" s="263" t="n">
        <f aca="false">IFERROR(INDEX(SkillData,MATCH(INDEX(PalData,MATCH($B109,PalNames,0)+1,MATCH("Passive4a",PalData_Header,0)),SkillDataCodeName,0)+1,MATCH("EffectValue1",SkillData_Header,0)),)</f>
        <v>0</v>
      </c>
      <c r="AB109" s="48" t="str">
        <f aca="false">IFERROR(__xludf.dummyfunction("IFERROR(INDEX(SkillData,MATCH(Arrayformula(ARRAY_CONSTRAIN(FILTER(INDIRECT(""PalData!""&amp;ADDRESS(MATCH(B109,PalNames,0)+1,(MATCH(""Passive0b"",PalData_Header,0)))&amp;"":""&amp;ADDRESS(MATCH(B109,PalNames,0)+1,(MATCH(""Passive0b"",PalData_Header,0))+4)),LEN(INDIRE"&amp;"CT(""PalData!""&amp;ADDRESS(MATCH(B109,PalNames,0)+1,(MATCH(""Passive0b"",PalData_Header,0)))&amp;"":""&amp;ADDRESS(MATCH(B109,PalNames,0)+1,(MATCH(""Passive0b"",PalData_Header,0))+4)))&gt;0),1,1)),SkillDataCodeName,0)+1,MATCH(""EffectTypeCombined"",SkillData_Header,0))"&amp;")"),"")</f>
        <v/>
      </c>
      <c r="AC109" s="48" t="str">
        <f aca="false">IFERROR(__xludf.dummyfunction("IFERROR(INDEX(SkillData,MATCH(Arrayformula(ARRAY_CONSTRAIN(FILTER(INDIRECT(""PalData!""&amp;ADDRESS(MATCH(B109,PalNames,0)+1,(MATCH(""Passive0b"",PalData_Header,0)))&amp;"":""&amp;ADDRESS(MATCH(B109,PalNames,0)+1,(MATCH(""Passive0b"",PalData_Header,0))+4)),LEN(INDIRE"&amp;"CT(""PalData!""&amp;ADDRESS(MATCH(B109,PalNames,0)+1,(MATCH(""Passive0b"",PalData_Header,0)))&amp;"":""&amp;ADDRESS(MATCH(B109,PalNames,0)+1,(MATCH(""Passive0b"",PalData_Header,0))+4)))&gt;0),1,1)),SkillDataCodeName,0)+1,MATCH(""TargetType1"",SkillData_Header,0)))"),"")</f>
        <v/>
      </c>
      <c r="AD109" s="48" t="e">
        <f aca="false" t="array" ref="AD109:AD109">IF(INDEX(PalData,MATCH($B109,PalNames,0)+1,MATCH("Passive0bCondition",PalData_Header,0))=IFERROR(INDEX(SkillData,MATCH(INDEX(PalData,MATCH($B109,PalNames,0)+1,MATCH("Passive0b",PalData_Header,0)),SkillDataCodeName,0)+1,MATCH("Conditions",SkillData_Header,0))),INDEX(PalData,MATCH($B109,PalNames,0)+1,MATCH("Passive0bCondition",PalData_Header,0)),INDEX(PalData,MATCH($B109,PalNames,0)+1,MATCH("Passive0bCondition",PalData_Header,0)) &amp; IF(ISBLANK(INDEX(PalData,MATCH($B109,PalNames,0)+1,MATCH("Passive0bCondition",PalData_Header,0))),," ")&amp;IFERROR(INDEX(SkillData,MATCH(INDEX(PalData,MATCH($B109,PalNames,0)+1,MATCH("Passive0b",PalData_Header,0)),SkillDataCodeName,0)+1,MATCH("Conditions",SkillData_Header,0))))</f>
        <v>#N/A</v>
      </c>
      <c r="AE109" s="48" t="str">
        <f aca="false">IFERROR(__xludf.dummyfunction("IFERROR(INDEX(SkillData,MATCH(Arrayformula(ARRAY_CONSTRAIN(FILTER(INDIRECT(""PalData!""&amp;ADDRESS(MATCH(B109,PalNames,0)+1,(MATCH(""Passive0b"",PalData_Header,0)))&amp;"":""&amp;ADDRESS(MATCH(B109,PalNames,0)+1,(MATCH(""Passive0b"",PalData_Header,0))+4)),LEN(INDIRE"&amp;"CT(""PalData!""&amp;ADDRESS(MATCH(B109,PalNames,0)+1,(MATCH(""Passive0b"",PalData_Header,0)))&amp;"":""&amp;ADDRESS(MATCH(B109,PalNames,0)+1,(MATCH(""Passive0b"",PalData_Header,0))+4)))&gt;0),1,1)),SkillDataCodeName,0)+1,MATCH(""ValueType1"",SkillData_Header,0)))"),"")</f>
        <v/>
      </c>
      <c r="AF109" s="48" t="n">
        <f aca="false">IFERROR(INDEX(SkillData,MATCH(INDEX(PalData,MATCH($B109,PalNames,0)+1,MATCH("Passive0b",PalData_Header,0)),SkillDataCodeName,0)+1,MATCH("EffectValue1",SkillData_Header,0)),)</f>
        <v>0</v>
      </c>
      <c r="AG109" s="48" t="n">
        <f aca="false">IFERROR(INDEX(SkillData,MATCH(INDEX(PalData,MATCH($B109,PalNames,0)+1,MATCH("Passive1b",PalData_Header,0)),SkillDataCodeName,0)+1,MATCH("EffectValue1",SkillData_Header,0)),)</f>
        <v>0</v>
      </c>
      <c r="AH109" s="48" t="n">
        <f aca="false">IFERROR(INDEX(SkillData,MATCH(INDEX(PalData,MATCH($B109,PalNames,0)+1,MATCH("Passive2b",PalData_Header,0)),SkillDataCodeName,0)+1,MATCH("EffectValue1",SkillData_Header,0)),)</f>
        <v>0</v>
      </c>
      <c r="AI109" s="48" t="n">
        <f aca="false">IFERROR(INDEX(SkillData,MATCH(INDEX(PalData,MATCH($B109,PalNames,0)+1,MATCH("Passive3b",PalData_Header,0)),SkillDataCodeName,0)+1,MATCH("EffectValue1",SkillData_Header,0)),)</f>
        <v>0</v>
      </c>
      <c r="AJ109" s="263" t="n">
        <f aca="false">IFERROR(INDEX(SkillData,MATCH(INDEX(PalData,MATCH($B109,PalNames,0)+1,MATCH("Passive4b",PalData_Header,0)),SkillDataCodeName,0)+1,MATCH("EffectValue1",SkillData_Header,0)),)</f>
        <v>0</v>
      </c>
      <c r="AK109" s="305" t="s">
        <v>373</v>
      </c>
    </row>
    <row r="110" customFormat="false" ht="15.75" hidden="false" customHeight="false" outlineLevel="0" collapsed="false">
      <c r="A110" s="299" t="n">
        <v>88</v>
      </c>
      <c r="B110" s="300" t="s">
        <v>124</v>
      </c>
      <c r="C110" s="45" t="str">
        <f aca="false" t="array" ref="C110:C110">IF(ISBLANK(INDEX(PalData,MATCH($B110,PalNames,0)+1,MATCH("ActiveSkill",PalData_Header,0))),INDEX(PalData,MATCH($B110,PalNames,0)+1,MATCH("SkillUnlock_",PalData_Header,0)),INDEX(PalData,MATCH($B110,PalNames,0)+1,MATCH("ActiveSkill",PalData_Header,0)))</f>
        <v>Saddle</v>
      </c>
      <c r="D110" s="45"/>
      <c r="E110" s="45" t="n">
        <f aca="false">INDEX(PalData,MATCH($B110,PalNames,0)+1,MATCH("ActiveSkillBonus0",PalData_Header,0))</f>
        <v>0</v>
      </c>
      <c r="F110" s="45" t="n">
        <f aca="false">INDEX(PalData,MATCH($B110,PalNames,0)+1,MATCH("ActiveSkillBonus1",PalData_Header,0))</f>
        <v>0</v>
      </c>
      <c r="G110" s="45" t="n">
        <f aca="false">INDEX(PalData,MATCH($B110,PalNames,0)+1,MATCH("ActiveSkillBonus2",PalData_Header,0))</f>
        <v>0</v>
      </c>
      <c r="H110" s="45" t="n">
        <f aca="false">INDEX(PalData,MATCH($B110,PalNames,0)+1,MATCH("ActiveSkillBonus3",PalData_Header,0))</f>
        <v>0</v>
      </c>
      <c r="I110" s="260" t="n">
        <f aca="false">INDEX(PalData,MATCH($B110,PalNames,0)+1,MATCH("ActiveSkillBonus4",PalData_Header,0))</f>
        <v>0</v>
      </c>
      <c r="J110" s="45" t="str">
        <f aca="false">IFERROR(__xludf.dummyfunction("IFERROR(INDEX(SkillData,MATCH(Arrayformula(ARRAY_CONSTRAIN(FILTER(INDIRECT(""PalData!""&amp;ADDRESS(MATCH(B110,PalNames,0)+1,(MATCH(""Passive0c"",PalData_Header,0)))&amp;"":""&amp;ADDRESS(MATCH(B110,PalNames,0)+1,(MATCH(""Passive0c"",PalData_Header,0))+4)),LEN(INDIRE"&amp;"CT(""PalData!""&amp;ADDRESS(MATCH(B110,PalNames,0)+1,(MATCH(""Passive0c"",PalData_Header,0)))&amp;"":""&amp;ADDRESS(MATCH(B110,PalNames,0)+1,(MATCH(""Passive0c"",PalData_Header,0))+4)))&gt;0),1,1)),SkillDataCodeName,0)+1,MATCH(""EffectTypeCombined"",SkillData_Header,0))"&amp;")"),"Mining")</f>
        <v>Mining</v>
      </c>
      <c r="K110" s="45" t="str">
        <f aca="false">IFERROR(__xludf.dummyfunction("IFERROR(INDEX(SkillData,MATCH(Arrayformula(ARRAY_CONSTRAIN(FILTER(INDIRECT(""PalData!""&amp;ADDRESS(MATCH(B110,PalNames,0)+1,(MATCH(""Passive0c"",PalData_Header,0)))&amp;"":""&amp;ADDRESS(MATCH(B110,PalNames,0)+1,(MATCH(""Passive0c"",PalData_Header,0))+4)),LEN(INDIRE"&amp;"CT(""PalData!""&amp;ADDRESS(MATCH(B110,PalNames,0)+1,(MATCH(""Passive0c"",PalData_Header,0)))&amp;"":""&amp;ADDRESS(MATCH(B110,PalNames,0)+1,(MATCH(""Passive0c"",PalData_Header,0))+4)))&gt;0),1,1)),SkillDataCodeName,0)+1,MATCH(""TargetType1"",SkillData_Header,0)))"),"Self")</f>
        <v>Self</v>
      </c>
      <c r="L110" s="45" t="e">
        <f aca="false" t="array" ref="L110:L110">IF(INDEX(PalData,MATCH($B110,PalNames,0)+1,MATCH("Passive0cCondition",PalData_Header,0))=IFERROR(INDEX(SkillData,MATCH(INDEX(PalData,MATCH($B110,PalNames,0)+1,MATCH("Passive0c",PalData_Header,0)),SkillDataCodeName,0)+1,MATCH("Conditions",SkillData_Header,0))),INDEX(PalData,MATCH($B110,PalNames,0)+1,MATCH("Passive0cCondition",PalData_Header,0)),INDEX(PalData,MATCH($B110,PalNames,0)+1,MATCH("Passive0cCondition",PalData_Header,0)) &amp; IF(ISBLANK(INDEX(PalData,MATCH($B110,PalNames,0)+1,MATCH("Passive0cCondition",PalData_Header,0))),," ")&amp;IFERROR(INDEX(SkillData,MATCH(INDEX(PalData,MATCH($B110,PalNames,0)+1,MATCH("Passive0c",PalData_Header,0)),SkillDataCodeName,0)+1,MATCH("Conditions",SkillData_Header,0))))</f>
        <v>#VALUE!</v>
      </c>
      <c r="M110" s="45" t="str">
        <f aca="false">IFERROR(__xludf.dummyfunction("IFERROR(INDEX(SkillData,MATCH(Arrayformula(ARRAY_CONSTRAIN(FILTER(INDIRECT(""PalData!""&amp;ADDRESS(MATCH(B110,PalNames,0)+1,(MATCH(""Passive0c"",PalData_Header,0)))&amp;"":""&amp;ADDRESS(MATCH(B110,PalNames,0)+1,(MATCH(""Passive0c"",PalData_Header,0))+4)),LEN(INDIRE"&amp;"CT(""PalData!""&amp;ADDRESS(MATCH(B110,PalNames,0)+1,(MATCH(""Passive0c"",PalData_Header,0)))&amp;"":""&amp;ADDRESS(MATCH(B110,PalNames,0)+1,(MATCH(""Passive0c"",PalData_Header,0))+4)))&gt;0),1,1)),SkillDataCodeName,0)+1,MATCH(""ValueType1"",SkillData_Header,0)))"),"+")</f>
        <v>+</v>
      </c>
      <c r="N110" s="62" t="e">
        <f aca="false" t="array" ref="N110:N110">IFERROR(INDEX(SkillData,MATCH(INDEX(PalData,MATCH($B110,PalNames,0)+1,MATCH("Passive0c",PalData_Header,0)),SkillDataCodeName,0)+1,MATCH("EffectValue1",SkillData_Header,0)))</f>
        <v>#VALUE!</v>
      </c>
      <c r="O110" s="62" t="e">
        <f aca="false" t="array" ref="O110:O110">IFERROR(INDEX(SkillData,MATCH(INDEX(PalData,MATCH($B110,PalNames,0)+1,MATCH("Passive1c",PalData_Header,0)),SkillDataCodeName,0)+1,MATCH("EffectValue1",SkillData_Header,0)))</f>
        <v>#VALUE!</v>
      </c>
      <c r="P110" s="62" t="e">
        <f aca="false" t="array" ref="P110:P110">IFERROR(INDEX(SkillData,MATCH(INDEX(PalData,MATCH($B110,PalNames,0)+1,MATCH("Passive2c",PalData_Header,0)),SkillDataCodeName,0)+1,MATCH("EffectValue1",SkillData_Header,0)))</f>
        <v>#VALUE!</v>
      </c>
      <c r="Q110" s="62" t="e">
        <f aca="false" t="array" ref="Q110:Q110">IFERROR(INDEX(SkillData,MATCH(INDEX(PalData,MATCH($B110,PalNames,0)+1,MATCH("Passive3c",PalData_Header,0)),SkillDataCodeName,0)+1,MATCH("EffectValue1",SkillData_Header,0)))</f>
        <v>#VALUE!</v>
      </c>
      <c r="R110" s="306" t="e">
        <f aca="false" t="array" ref="R110:R110">IFERROR(INDEX(SkillData,MATCH(INDEX(PalData,MATCH($B110,PalNames,0)+1,MATCH("Passive4c",PalData_Header,0)),SkillDataCodeName,0)+1,MATCH("EffectValue1",SkillData_Header,0)))</f>
        <v>#VALUE!</v>
      </c>
      <c r="S110" s="45" t="str">
        <f aca="false">IFERROR(__xludf.dummyfunction("IFERROR(INDEX(SkillData,MATCH(Arrayformula(ARRAY_CONSTRAIN(FILTER(INDIRECT(""PalData!""&amp;ADDRESS(MATCH(B110,PalNames,0)+1,(MATCH(""Passive0a"",PalData_Header,0)))&amp;"":""&amp;ADDRESS(MATCH(B110,PalNames,0)+1,(MATCH(""Passive0a"",PalData_Header,0))+4)),LEN(INDIRE"&amp;"CT(""PalData!""&amp;ADDRESS(MATCH(B110,PalNames,0)+1,(MATCH(""Passive0a"",PalData_Header,0)))&amp;"":""&amp;ADDRESS(MATCH(B110,PalNames,0)+1,(MATCH(""Passive0a"",PalData_Header,0))+4)))&gt;0),1,1)),SkillDataCodeName,0)+1,MATCH(""EffectTypeCombined"",SkillData_Header,0))"&amp;")"),"")</f>
        <v/>
      </c>
      <c r="T110" s="45" t="str">
        <f aca="false">IFERROR(__xludf.dummyfunction("IFERROR(INDEX(SkillData,MATCH(Arrayformula(ARRAY_CONSTRAIN(FILTER(INDIRECT(""PalData!""&amp;ADDRESS(MATCH(B110,PalNames,0)+1,(MATCH(""Passive0a"",PalData_Header,0)))&amp;"":""&amp;ADDRESS(MATCH(B110,PalNames,0)+1,(MATCH(""Passive0a"",PalData_Header,0))+4)),LEN(INDIRE"&amp;"CT(""PalData!""&amp;ADDRESS(MATCH(B110,PalNames,0)+1,(MATCH(""Passive0a"",PalData_Header,0)))&amp;"":""&amp;ADDRESS(MATCH(B110,PalNames,0)+1,(MATCH(""Passive0a"",PalData_Header,0))+4)))&gt;0),1,1)),SkillDataCodeName,0)+1,MATCH(""TargetType1"",SkillData_Header,0)))"),"")</f>
        <v/>
      </c>
      <c r="U110" s="45" t="e">
        <f aca="false" t="array" ref="U110:U110">IF(INDEX(PalData,MATCH($B110,PalNames,0)+1,MATCH("Passive0aCondition",PalData_Header,0))=IFERROR(INDEX(SkillData,MATCH(INDEX(PalData,MATCH($B110,PalNames,0)+1,MATCH("Passive0a",PalData_Header,0)),SkillDataCodeName,0)+1,MATCH("Conditions",SkillData_Header,0))),INDEX(PalData,MATCH($B110,PalNames,0)+1,MATCH("Passive0aCondition",PalData_Header,0)),INDEX(PalData,MATCH($B110,PalNames,0)+1,MATCH("Passive0aCondition",PalData_Header,0)) &amp; IF(ISBLANK(INDEX(PalData,MATCH($B110,PalNames,0)+1,MATCH("Passive0aCondition",PalData_Header,0))),," ")&amp;IFERROR(INDEX(SkillData,MATCH(INDEX(PalData,MATCH($B110,PalNames,0)+1,MATCH("Passive0a",PalData_Header,0)),SkillDataCodeName,0)+1,MATCH("Conditions",SkillData_Header,0))))</f>
        <v>#N/A</v>
      </c>
      <c r="V110" s="45" t="str">
        <f aca="false">IFERROR(__xludf.dummyfunction("IFERROR(INDEX(SkillData,MATCH(Arrayformula(ARRAY_CONSTRAIN(FILTER(INDIRECT(""PalData!""&amp;ADDRESS(MATCH(B110,PalNames,0)+1,(MATCH(""Passive0a"",PalData_Header,0)))&amp;"":""&amp;ADDRESS(MATCH(B110,PalNames,0)+1,(MATCH(""Passive0a"",PalData_Header,0))+4)),LEN(INDIRE"&amp;"CT(""PalData!""&amp;ADDRESS(MATCH(B110,PalNames,0)+1,(MATCH(""Passive0a"",PalData_Header,0)))&amp;"":""&amp;ADDRESS(MATCH(B110,PalNames,0)+1,(MATCH(""Passive0a"",PalData_Header,0))+4)))&gt;0),1,1)),SkillDataCodeName,0)+1,MATCH(""ValueType1"",SkillData_Header,0)))"),"")</f>
        <v/>
      </c>
      <c r="W110" s="45" t="n">
        <f aca="false">IFERROR(INDEX(SkillData,MATCH(INDEX(PalData,MATCH($B110,PalNames,0)+1,MATCH("Passive0a",PalData_Header,0)),SkillDataCodeName,0)+1,MATCH("EffectValue1",SkillData_Header,0)),)</f>
        <v>0</v>
      </c>
      <c r="X110" s="45" t="n">
        <f aca="false">IFERROR(INDEX(SkillData,MATCH(INDEX(PalData,MATCH($B110,PalNames,0)+1,MATCH("Passive1a",PalData_Header,0)),SkillDataCodeName,0)+1,MATCH("EffectValue1",SkillData_Header,0)),)</f>
        <v>0</v>
      </c>
      <c r="Y110" s="45" t="n">
        <f aca="false">IFERROR(INDEX(SkillData,MATCH(INDEX(PalData,MATCH($B110,PalNames,0)+1,MATCH("Passive2a",PalData_Header,0)),SkillDataCodeName,0)+1,MATCH("EffectValue1",SkillData_Header,0)),)</f>
        <v>0</v>
      </c>
      <c r="Z110" s="45" t="n">
        <f aca="false">IFERROR(INDEX(SkillData,MATCH(INDEX(PalData,MATCH($B110,PalNames,0)+1,MATCH("Passive3a",PalData_Header,0)),SkillDataCodeName,0)+1,MATCH("EffectValue1",SkillData_Header,0)),)</f>
        <v>0</v>
      </c>
      <c r="AA110" s="260" t="n">
        <f aca="false">IFERROR(INDEX(SkillData,MATCH(INDEX(PalData,MATCH($B110,PalNames,0)+1,MATCH("Passive4a",PalData_Header,0)),SkillDataCodeName,0)+1,MATCH("EffectValue1",SkillData_Header,0)),)</f>
        <v>0</v>
      </c>
      <c r="AB110" s="45" t="str">
        <f aca="false">IFERROR(__xludf.dummyfunction("IFERROR(INDEX(SkillData,MATCH(Arrayformula(ARRAY_CONSTRAIN(FILTER(INDIRECT(""PalData!""&amp;ADDRESS(MATCH(B110,PalNames,0)+1,(MATCH(""Passive0b"",PalData_Header,0)))&amp;"":""&amp;ADDRESS(MATCH(B110,PalNames,0)+1,(MATCH(""Passive0b"",PalData_Header,0))+4)),LEN(INDIRE"&amp;"CT(""PalData!""&amp;ADDRESS(MATCH(B110,PalNames,0)+1,(MATCH(""Passive0b"",PalData_Header,0)))&amp;"":""&amp;ADDRESS(MATCH(B110,PalNames,0)+1,(MATCH(""Passive0b"",PalData_Header,0))+4)))&gt;0),1,1)),SkillDataCodeName,0)+1,MATCH(""EffectTypeCombined"",SkillData_Header,0))"&amp;")"),"")</f>
        <v/>
      </c>
      <c r="AC110" s="45" t="str">
        <f aca="false">IFERROR(__xludf.dummyfunction("IFERROR(INDEX(SkillData,MATCH(Arrayformula(ARRAY_CONSTRAIN(FILTER(INDIRECT(""PalData!""&amp;ADDRESS(MATCH(B110,PalNames,0)+1,(MATCH(""Passive0b"",PalData_Header,0)))&amp;"":""&amp;ADDRESS(MATCH(B110,PalNames,0)+1,(MATCH(""Passive0b"",PalData_Header,0))+4)),LEN(INDIRE"&amp;"CT(""PalData!""&amp;ADDRESS(MATCH(B110,PalNames,0)+1,(MATCH(""Passive0b"",PalData_Header,0)))&amp;"":""&amp;ADDRESS(MATCH(B110,PalNames,0)+1,(MATCH(""Passive0b"",PalData_Header,0))+4)))&gt;0),1,1)),SkillDataCodeName,0)+1,MATCH(""TargetType1"",SkillData_Header,0)))"),"")</f>
        <v/>
      </c>
      <c r="AD110" s="45" t="e">
        <f aca="false" t="array" ref="AD110:AD110">IF(INDEX(PalData,MATCH($B110,PalNames,0)+1,MATCH("Passive0bCondition",PalData_Header,0))=IFERROR(INDEX(SkillData,MATCH(INDEX(PalData,MATCH($B110,PalNames,0)+1,MATCH("Passive0b",PalData_Header,0)),SkillDataCodeName,0)+1,MATCH("Conditions",SkillData_Header,0))),INDEX(PalData,MATCH($B110,PalNames,0)+1,MATCH("Passive0bCondition",PalData_Header,0)),INDEX(PalData,MATCH($B110,PalNames,0)+1,MATCH("Passive0bCondition",PalData_Header,0)) &amp; IF(ISBLANK(INDEX(PalData,MATCH($B110,PalNames,0)+1,MATCH("Passive0bCondition",PalData_Header,0))),," ")&amp;IFERROR(INDEX(SkillData,MATCH(INDEX(PalData,MATCH($B110,PalNames,0)+1,MATCH("Passive0b",PalData_Header,0)),SkillDataCodeName,0)+1,MATCH("Conditions",SkillData_Header,0))))</f>
        <v>#N/A</v>
      </c>
      <c r="AE110" s="45" t="str">
        <f aca="false">IFERROR(__xludf.dummyfunction("IFERROR(INDEX(SkillData,MATCH(Arrayformula(ARRAY_CONSTRAIN(FILTER(INDIRECT(""PalData!""&amp;ADDRESS(MATCH(B110,PalNames,0)+1,(MATCH(""Passive0b"",PalData_Header,0)))&amp;"":""&amp;ADDRESS(MATCH(B110,PalNames,0)+1,(MATCH(""Passive0b"",PalData_Header,0))+4)),LEN(INDIRE"&amp;"CT(""PalData!""&amp;ADDRESS(MATCH(B110,PalNames,0)+1,(MATCH(""Passive0b"",PalData_Header,0)))&amp;"":""&amp;ADDRESS(MATCH(B110,PalNames,0)+1,(MATCH(""Passive0b"",PalData_Header,0))+4)))&gt;0),1,1)),SkillDataCodeName,0)+1,MATCH(""ValueType1"",SkillData_Header,0)))"),"")</f>
        <v/>
      </c>
      <c r="AF110" s="45" t="n">
        <f aca="false">IFERROR(INDEX(SkillData,MATCH(INDEX(PalData,MATCH($B110,PalNames,0)+1,MATCH("Passive0b",PalData_Header,0)),SkillDataCodeName,0)+1,MATCH("EffectValue1",SkillData_Header,0)),)</f>
        <v>0</v>
      </c>
      <c r="AG110" s="45" t="n">
        <f aca="false">IFERROR(INDEX(SkillData,MATCH(INDEX(PalData,MATCH($B110,PalNames,0)+1,MATCH("Passive1b",PalData_Header,0)),SkillDataCodeName,0)+1,MATCH("EffectValue1",SkillData_Header,0)),)</f>
        <v>0</v>
      </c>
      <c r="AH110" s="45" t="n">
        <f aca="false">IFERROR(INDEX(SkillData,MATCH(INDEX(PalData,MATCH($B110,PalNames,0)+1,MATCH("Passive2b",PalData_Header,0)),SkillDataCodeName,0)+1,MATCH("EffectValue1",SkillData_Header,0)),)</f>
        <v>0</v>
      </c>
      <c r="AI110" s="45" t="n">
        <f aca="false">IFERROR(INDEX(SkillData,MATCH(INDEX(PalData,MATCH($B110,PalNames,0)+1,MATCH("Passive3b",PalData_Header,0)),SkillDataCodeName,0)+1,MATCH("EffectValue1",SkillData_Header,0)),)</f>
        <v>0</v>
      </c>
      <c r="AJ110" s="260" t="n">
        <f aca="false">IFERROR(INDEX(SkillData,MATCH(INDEX(PalData,MATCH($B110,PalNames,0)+1,MATCH("Passive4b",PalData_Header,0)),SkillDataCodeName,0)+1,MATCH("EffectValue1",SkillData_Header,0)),)</f>
        <v>0</v>
      </c>
      <c r="AK110" s="301" t="s">
        <v>374</v>
      </c>
    </row>
    <row r="111" customFormat="false" ht="15.75" hidden="false" customHeight="false" outlineLevel="0" collapsed="false">
      <c r="A111" s="302" t="n">
        <v>88</v>
      </c>
      <c r="B111" s="303" t="s">
        <v>76</v>
      </c>
      <c r="C111" s="48" t="str">
        <f aca="false" t="array" ref="C111:C111">IF(ISBLANK(INDEX(PalData,MATCH($B111,PalNames,0)+1,MATCH("ActiveSkill",PalData_Header,0))),INDEX(PalData,MATCH($B111,PalNames,0)+1,MATCH("SkillUnlock_",PalData_Header,0)),INDEX(PalData,MATCH($B111,PalNames,0)+1,MATCH("ActiveSkill",PalData_Header,0)))</f>
        <v>Saddle</v>
      </c>
      <c r="D111" s="48"/>
      <c r="E111" s="48" t="n">
        <f aca="false">INDEX(PalData,MATCH($B111,PalNames,0)+1,MATCH("ActiveSkillBonus0",PalData_Header,0))</f>
        <v>0</v>
      </c>
      <c r="F111" s="48" t="n">
        <f aca="false">INDEX(PalData,MATCH($B111,PalNames,0)+1,MATCH("ActiveSkillBonus1",PalData_Header,0))</f>
        <v>0</v>
      </c>
      <c r="G111" s="48" t="n">
        <f aca="false">INDEX(PalData,MATCH($B111,PalNames,0)+1,MATCH("ActiveSkillBonus2",PalData_Header,0))</f>
        <v>0</v>
      </c>
      <c r="H111" s="48" t="n">
        <f aca="false">INDEX(PalData,MATCH($B111,PalNames,0)+1,MATCH("ActiveSkillBonus3",PalData_Header,0))</f>
        <v>0</v>
      </c>
      <c r="I111" s="263" t="n">
        <f aca="false">INDEX(PalData,MATCH($B111,PalNames,0)+1,MATCH("ActiveSkillBonus4",PalData_Header,0))</f>
        <v>0</v>
      </c>
      <c r="J111" s="48" t="str">
        <f aca="false">IFERROR(__xludf.dummyfunction("IFERROR(INDEX(SkillData,MATCH(Arrayformula(ARRAY_CONSTRAIN(FILTER(INDIRECT(""PalData!""&amp;ADDRESS(MATCH(B111,PalNames,0)+1,(MATCH(""Passive0c"",PalData_Header,0)))&amp;"":""&amp;ADDRESS(MATCH(B111,PalNames,0)+1,(MATCH(""Passive0c"",PalData_Header,0))+4)),LEN(INDIRE"&amp;"CT(""PalData!""&amp;ADDRESS(MATCH(B111,PalNames,0)+1,(MATCH(""Passive0c"",PalData_Header,0)))&amp;"":""&amp;ADDRESS(MATCH(B111,PalNames,0)+1,(MATCH(""Passive0c"",PalData_Header,0))+4)))&gt;0),1,1)),SkillDataCodeName,0)+1,MATCH(""EffectTypeCombined"",SkillData_Header,0))"&amp;")"),"Mining")</f>
        <v>Mining</v>
      </c>
      <c r="K111" s="48" t="str">
        <f aca="false">IFERROR(__xludf.dummyfunction("IFERROR(INDEX(SkillData,MATCH(Arrayformula(ARRAY_CONSTRAIN(FILTER(INDIRECT(""PalData!""&amp;ADDRESS(MATCH(B111,PalNames,0)+1,(MATCH(""Passive0c"",PalData_Header,0)))&amp;"":""&amp;ADDRESS(MATCH(B111,PalNames,0)+1,(MATCH(""Passive0c"",PalData_Header,0))+4)),LEN(INDIRE"&amp;"CT(""PalData!""&amp;ADDRESS(MATCH(B111,PalNames,0)+1,(MATCH(""Passive0c"",PalData_Header,0)))&amp;"":""&amp;ADDRESS(MATCH(B111,PalNames,0)+1,(MATCH(""Passive0c"",PalData_Header,0))+4)))&gt;0),1,1)),SkillDataCodeName,0)+1,MATCH(""TargetType1"",SkillData_Header,0)))"),"Self")</f>
        <v>Self</v>
      </c>
      <c r="L111" s="48" t="e">
        <f aca="false" t="array" ref="L111:L111">IF(INDEX(PalData,MATCH($B111,PalNames,0)+1,MATCH("Passive0cCondition",PalData_Header,0))=IFERROR(INDEX(SkillData,MATCH(INDEX(PalData,MATCH($B111,PalNames,0)+1,MATCH("Passive0c",PalData_Header,0)),SkillDataCodeName,0)+1,MATCH("Conditions",SkillData_Header,0))),INDEX(PalData,MATCH($B111,PalNames,0)+1,MATCH("Passive0cCondition",PalData_Header,0)),INDEX(PalData,MATCH($B111,PalNames,0)+1,MATCH("Passive0cCondition",PalData_Header,0)) &amp; IF(ISBLANK(INDEX(PalData,MATCH($B111,PalNames,0)+1,MATCH("Passive0cCondition",PalData_Header,0))),," ")&amp;IFERROR(INDEX(SkillData,MATCH(INDEX(PalData,MATCH($B111,PalNames,0)+1,MATCH("Passive0c",PalData_Header,0)),SkillDataCodeName,0)+1,MATCH("Conditions",SkillData_Header,0))))</f>
        <v>#VALUE!</v>
      </c>
      <c r="M111" s="48" t="str">
        <f aca="false">IFERROR(__xludf.dummyfunction("IFERROR(INDEX(SkillData,MATCH(Arrayformula(ARRAY_CONSTRAIN(FILTER(INDIRECT(""PalData!""&amp;ADDRESS(MATCH(B111,PalNames,0)+1,(MATCH(""Passive0c"",PalData_Header,0)))&amp;"":""&amp;ADDRESS(MATCH(B111,PalNames,0)+1,(MATCH(""Passive0c"",PalData_Header,0))+4)),LEN(INDIRE"&amp;"CT(""PalData!""&amp;ADDRESS(MATCH(B111,PalNames,0)+1,(MATCH(""Passive0c"",PalData_Header,0)))&amp;"":""&amp;ADDRESS(MATCH(B111,PalNames,0)+1,(MATCH(""Passive0c"",PalData_Header,0))+4)))&gt;0),1,1)),SkillDataCodeName,0)+1,MATCH(""ValueType1"",SkillData_Header,0)))"),"+")</f>
        <v>+</v>
      </c>
      <c r="N111" s="61" t="e">
        <f aca="false" t="array" ref="N111:N111">IFERROR(INDEX(SkillData,MATCH(INDEX(PalData,MATCH($B111,PalNames,0)+1,MATCH("Passive0c",PalData_Header,0)),SkillDataCodeName,0)+1,MATCH("EffectValue1",SkillData_Header,0)))</f>
        <v>#VALUE!</v>
      </c>
      <c r="O111" s="61" t="e">
        <f aca="false" t="array" ref="O111:O111">IFERROR(INDEX(SkillData,MATCH(INDEX(PalData,MATCH($B111,PalNames,0)+1,MATCH("Passive1c",PalData_Header,0)),SkillDataCodeName,0)+1,MATCH("EffectValue1",SkillData_Header,0)))</f>
        <v>#VALUE!</v>
      </c>
      <c r="P111" s="61" t="e">
        <f aca="false" t="array" ref="P111:P111">IFERROR(INDEX(SkillData,MATCH(INDEX(PalData,MATCH($B111,PalNames,0)+1,MATCH("Passive2c",PalData_Header,0)),SkillDataCodeName,0)+1,MATCH("EffectValue1",SkillData_Header,0)))</f>
        <v>#VALUE!</v>
      </c>
      <c r="Q111" s="61" t="e">
        <f aca="false" t="array" ref="Q111:Q111">IFERROR(INDEX(SkillData,MATCH(INDEX(PalData,MATCH($B111,PalNames,0)+1,MATCH("Passive3c",PalData_Header,0)),SkillDataCodeName,0)+1,MATCH("EffectValue1",SkillData_Header,0)))</f>
        <v>#VALUE!</v>
      </c>
      <c r="R111" s="304" t="e">
        <f aca="false" t="array" ref="R111:R111">IFERROR(INDEX(SkillData,MATCH(INDEX(PalData,MATCH($B111,PalNames,0)+1,MATCH("Passive4c",PalData_Header,0)),SkillDataCodeName,0)+1,MATCH("EffectValue1",SkillData_Header,0)))</f>
        <v>#VALUE!</v>
      </c>
      <c r="S111" s="48" t="str">
        <f aca="false">IFERROR(__xludf.dummyfunction("IFERROR(INDEX(SkillData,MATCH(Arrayformula(ARRAY_CONSTRAIN(FILTER(INDIRECT(""PalData!""&amp;ADDRESS(MATCH(B111,PalNames,0)+1,(MATCH(""Passive0a"",PalData_Header,0)))&amp;"":""&amp;ADDRESS(MATCH(B111,PalNames,0)+1,(MATCH(""Passive0a"",PalData_Header,0))+4)),LEN(INDIRE"&amp;"CT(""PalData!""&amp;ADDRESS(MATCH(B111,PalNames,0)+1,(MATCH(""Passive0a"",PalData_Header,0)))&amp;"":""&amp;ADDRESS(MATCH(B111,PalNames,0)+1,(MATCH(""Passive0a"",PalData_Header,0))+4)))&gt;0),1,1)),SkillDataCodeName,0)+1,MATCH(""EffectTypeCombined"",SkillData_Header,0))"&amp;")"),"")</f>
        <v/>
      </c>
      <c r="T111" s="48" t="str">
        <f aca="false">IFERROR(__xludf.dummyfunction("IFERROR(INDEX(SkillData,MATCH(Arrayformula(ARRAY_CONSTRAIN(FILTER(INDIRECT(""PalData!""&amp;ADDRESS(MATCH(B111,PalNames,0)+1,(MATCH(""Passive0a"",PalData_Header,0)))&amp;"":""&amp;ADDRESS(MATCH(B111,PalNames,0)+1,(MATCH(""Passive0a"",PalData_Header,0))+4)),LEN(INDIRE"&amp;"CT(""PalData!""&amp;ADDRESS(MATCH(B111,PalNames,0)+1,(MATCH(""Passive0a"",PalData_Header,0)))&amp;"":""&amp;ADDRESS(MATCH(B111,PalNames,0)+1,(MATCH(""Passive0a"",PalData_Header,0))+4)))&gt;0),1,1)),SkillDataCodeName,0)+1,MATCH(""TargetType1"",SkillData_Header,0)))"),"")</f>
        <v/>
      </c>
      <c r="U111" s="48" t="e">
        <f aca="false" t="array" ref="U111:U111">IF(INDEX(PalData,MATCH($B111,PalNames,0)+1,MATCH("Passive0aCondition",PalData_Header,0))=IFERROR(INDEX(SkillData,MATCH(INDEX(PalData,MATCH($B111,PalNames,0)+1,MATCH("Passive0a",PalData_Header,0)),SkillDataCodeName,0)+1,MATCH("Conditions",SkillData_Header,0))),INDEX(PalData,MATCH($B111,PalNames,0)+1,MATCH("Passive0aCondition",PalData_Header,0)),INDEX(PalData,MATCH($B111,PalNames,0)+1,MATCH("Passive0aCondition",PalData_Header,0)) &amp; IF(ISBLANK(INDEX(PalData,MATCH($B111,PalNames,0)+1,MATCH("Passive0aCondition",PalData_Header,0))),," ")&amp;IFERROR(INDEX(SkillData,MATCH(INDEX(PalData,MATCH($B111,PalNames,0)+1,MATCH("Passive0a",PalData_Header,0)),SkillDataCodeName,0)+1,MATCH("Conditions",SkillData_Header,0))))</f>
        <v>#N/A</v>
      </c>
      <c r="V111" s="48" t="str">
        <f aca="false">IFERROR(__xludf.dummyfunction("IFERROR(INDEX(SkillData,MATCH(Arrayformula(ARRAY_CONSTRAIN(FILTER(INDIRECT(""PalData!""&amp;ADDRESS(MATCH(B111,PalNames,0)+1,(MATCH(""Passive0a"",PalData_Header,0)))&amp;"":""&amp;ADDRESS(MATCH(B111,PalNames,0)+1,(MATCH(""Passive0a"",PalData_Header,0))+4)),LEN(INDIRE"&amp;"CT(""PalData!""&amp;ADDRESS(MATCH(B111,PalNames,0)+1,(MATCH(""Passive0a"",PalData_Header,0)))&amp;"":""&amp;ADDRESS(MATCH(B111,PalNames,0)+1,(MATCH(""Passive0a"",PalData_Header,0))+4)))&gt;0),1,1)),SkillDataCodeName,0)+1,MATCH(""ValueType1"",SkillData_Header,0)))"),"")</f>
        <v/>
      </c>
      <c r="W111" s="48" t="n">
        <f aca="false">IFERROR(INDEX(SkillData,MATCH(INDEX(PalData,MATCH($B111,PalNames,0)+1,MATCH("Passive0a",PalData_Header,0)),SkillDataCodeName,0)+1,MATCH("EffectValue1",SkillData_Header,0)),)</f>
        <v>0</v>
      </c>
      <c r="X111" s="48" t="n">
        <f aca="false">IFERROR(INDEX(SkillData,MATCH(INDEX(PalData,MATCH($B111,PalNames,0)+1,MATCH("Passive1a",PalData_Header,0)),SkillDataCodeName,0)+1,MATCH("EffectValue1",SkillData_Header,0)),)</f>
        <v>0</v>
      </c>
      <c r="Y111" s="48" t="n">
        <f aca="false">IFERROR(INDEX(SkillData,MATCH(INDEX(PalData,MATCH($B111,PalNames,0)+1,MATCH("Passive2a",PalData_Header,0)),SkillDataCodeName,0)+1,MATCH("EffectValue1",SkillData_Header,0)),)</f>
        <v>0</v>
      </c>
      <c r="Z111" s="48" t="n">
        <f aca="false">IFERROR(INDEX(SkillData,MATCH(INDEX(PalData,MATCH($B111,PalNames,0)+1,MATCH("Passive3a",PalData_Header,0)),SkillDataCodeName,0)+1,MATCH("EffectValue1",SkillData_Header,0)),)</f>
        <v>0</v>
      </c>
      <c r="AA111" s="263" t="n">
        <f aca="false">IFERROR(INDEX(SkillData,MATCH(INDEX(PalData,MATCH($B111,PalNames,0)+1,MATCH("Passive4a",PalData_Header,0)),SkillDataCodeName,0)+1,MATCH("EffectValue1",SkillData_Header,0)),)</f>
        <v>0</v>
      </c>
      <c r="AB111" s="48" t="str">
        <f aca="false">IFERROR(__xludf.dummyfunction("IFERROR(INDEX(SkillData,MATCH(Arrayformula(ARRAY_CONSTRAIN(FILTER(INDIRECT(""PalData!""&amp;ADDRESS(MATCH(B111,PalNames,0)+1,(MATCH(""Passive0b"",PalData_Header,0)))&amp;"":""&amp;ADDRESS(MATCH(B111,PalNames,0)+1,(MATCH(""Passive0b"",PalData_Header,0))+4)),LEN(INDIRE"&amp;"CT(""PalData!""&amp;ADDRESS(MATCH(B111,PalNames,0)+1,(MATCH(""Passive0b"",PalData_Header,0)))&amp;"":""&amp;ADDRESS(MATCH(B111,PalNames,0)+1,(MATCH(""Passive0b"",PalData_Header,0))+4)))&gt;0),1,1)),SkillDataCodeName,0)+1,MATCH(""EffectTypeCombined"",SkillData_Header,0))"&amp;")"),"")</f>
        <v/>
      </c>
      <c r="AC111" s="48" t="str">
        <f aca="false">IFERROR(__xludf.dummyfunction("IFERROR(INDEX(SkillData,MATCH(Arrayformula(ARRAY_CONSTRAIN(FILTER(INDIRECT(""PalData!""&amp;ADDRESS(MATCH(B111,PalNames,0)+1,(MATCH(""Passive0b"",PalData_Header,0)))&amp;"":""&amp;ADDRESS(MATCH(B111,PalNames,0)+1,(MATCH(""Passive0b"",PalData_Header,0))+4)),LEN(INDIRE"&amp;"CT(""PalData!""&amp;ADDRESS(MATCH(B111,PalNames,0)+1,(MATCH(""Passive0b"",PalData_Header,0)))&amp;"":""&amp;ADDRESS(MATCH(B111,PalNames,0)+1,(MATCH(""Passive0b"",PalData_Header,0))+4)))&gt;0),1,1)),SkillDataCodeName,0)+1,MATCH(""TargetType1"",SkillData_Header,0)))"),"")</f>
        <v/>
      </c>
      <c r="AD111" s="48" t="e">
        <f aca="false" t="array" ref="AD111:AD111">IF(INDEX(PalData,MATCH($B111,PalNames,0)+1,MATCH("Passive0bCondition",PalData_Header,0))=IFERROR(INDEX(SkillData,MATCH(INDEX(PalData,MATCH($B111,PalNames,0)+1,MATCH("Passive0b",PalData_Header,0)),SkillDataCodeName,0)+1,MATCH("Conditions",SkillData_Header,0))),INDEX(PalData,MATCH($B111,PalNames,0)+1,MATCH("Passive0bCondition",PalData_Header,0)),INDEX(PalData,MATCH($B111,PalNames,0)+1,MATCH("Passive0bCondition",PalData_Header,0)) &amp; IF(ISBLANK(INDEX(PalData,MATCH($B111,PalNames,0)+1,MATCH("Passive0bCondition",PalData_Header,0))),," ")&amp;IFERROR(INDEX(SkillData,MATCH(INDEX(PalData,MATCH($B111,PalNames,0)+1,MATCH("Passive0b",PalData_Header,0)),SkillDataCodeName,0)+1,MATCH("Conditions",SkillData_Header,0))))</f>
        <v>#N/A</v>
      </c>
      <c r="AE111" s="48" t="str">
        <f aca="false">IFERROR(__xludf.dummyfunction("IFERROR(INDEX(SkillData,MATCH(Arrayformula(ARRAY_CONSTRAIN(FILTER(INDIRECT(""PalData!""&amp;ADDRESS(MATCH(B111,PalNames,0)+1,(MATCH(""Passive0b"",PalData_Header,0)))&amp;"":""&amp;ADDRESS(MATCH(B111,PalNames,0)+1,(MATCH(""Passive0b"",PalData_Header,0))+4)),LEN(INDIRE"&amp;"CT(""PalData!""&amp;ADDRESS(MATCH(B111,PalNames,0)+1,(MATCH(""Passive0b"",PalData_Header,0)))&amp;"":""&amp;ADDRESS(MATCH(B111,PalNames,0)+1,(MATCH(""Passive0b"",PalData_Header,0))+4)))&gt;0),1,1)),SkillDataCodeName,0)+1,MATCH(""ValueType1"",SkillData_Header,0)))"),"")</f>
        <v/>
      </c>
      <c r="AF111" s="48" t="n">
        <f aca="false">IFERROR(INDEX(SkillData,MATCH(INDEX(PalData,MATCH($B111,PalNames,0)+1,MATCH("Passive0b",PalData_Header,0)),SkillDataCodeName,0)+1,MATCH("EffectValue1",SkillData_Header,0)),)</f>
        <v>0</v>
      </c>
      <c r="AG111" s="48" t="n">
        <f aca="false">IFERROR(INDEX(SkillData,MATCH(INDEX(PalData,MATCH($B111,PalNames,0)+1,MATCH("Passive1b",PalData_Header,0)),SkillDataCodeName,0)+1,MATCH("EffectValue1",SkillData_Header,0)),)</f>
        <v>0</v>
      </c>
      <c r="AH111" s="48" t="n">
        <f aca="false">IFERROR(INDEX(SkillData,MATCH(INDEX(PalData,MATCH($B111,PalNames,0)+1,MATCH("Passive2b",PalData_Header,0)),SkillDataCodeName,0)+1,MATCH("EffectValue1",SkillData_Header,0)),)</f>
        <v>0</v>
      </c>
      <c r="AI111" s="48" t="n">
        <f aca="false">IFERROR(INDEX(SkillData,MATCH(INDEX(PalData,MATCH($B111,PalNames,0)+1,MATCH("Passive3b",PalData_Header,0)),SkillDataCodeName,0)+1,MATCH("EffectValue1",SkillData_Header,0)),)</f>
        <v>0</v>
      </c>
      <c r="AJ111" s="263" t="n">
        <f aca="false">IFERROR(INDEX(SkillData,MATCH(INDEX(PalData,MATCH($B111,PalNames,0)+1,MATCH("Passive4b",PalData_Header,0)),SkillDataCodeName,0)+1,MATCH("EffectValue1",SkillData_Header,0)),)</f>
        <v>0</v>
      </c>
      <c r="AK111" s="305" t="s">
        <v>375</v>
      </c>
    </row>
    <row r="112" customFormat="false" ht="15.75" hidden="false" customHeight="false" outlineLevel="0" collapsed="false">
      <c r="A112" s="299" t="n">
        <v>89</v>
      </c>
      <c r="B112" s="300" t="s">
        <v>88</v>
      </c>
      <c r="C112" s="45" t="str">
        <f aca="false" t="array" ref="C112:C112">IF(ISBLANK(INDEX(PalData,MATCH($B112,PalNames,0)+1,MATCH("ActiveSkill",PalData_Header,0))),INDEX(PalData,MATCH($B112,PalNames,0)+1,MATCH("SkillUnlock_",PalData_Header,0)),INDEX(PalData,MATCH($B112,PalNames,0)+1,MATCH("ActiveSkill",PalData_Header,0)))</f>
        <v>Saddle</v>
      </c>
      <c r="D112" s="45"/>
      <c r="E112" s="45" t="n">
        <f aca="false">INDEX(PalData,MATCH($B112,PalNames,0)+1,MATCH("ActiveSkillBonus0",PalData_Header,0))</f>
        <v>0</v>
      </c>
      <c r="F112" s="45" t="n">
        <f aca="false">INDEX(PalData,MATCH($B112,PalNames,0)+1,MATCH("ActiveSkillBonus1",PalData_Header,0))</f>
        <v>0</v>
      </c>
      <c r="G112" s="45" t="n">
        <f aca="false">INDEX(PalData,MATCH($B112,PalNames,0)+1,MATCH("ActiveSkillBonus2",PalData_Header,0))</f>
        <v>0</v>
      </c>
      <c r="H112" s="45" t="n">
        <f aca="false">INDEX(PalData,MATCH($B112,PalNames,0)+1,MATCH("ActiveSkillBonus3",PalData_Header,0))</f>
        <v>0</v>
      </c>
      <c r="I112" s="260" t="n">
        <f aca="false">INDEX(PalData,MATCH($B112,PalNames,0)+1,MATCH("ActiveSkillBonus4",PalData_Header,0))</f>
        <v>0</v>
      </c>
      <c r="J112" s="45" t="str">
        <f aca="false">IFERROR(__xludf.dummyfunction("IFERROR(INDEX(SkillData,MATCH(Arrayformula(ARRAY_CONSTRAIN(FILTER(INDIRECT(""PalData!""&amp;ADDRESS(MATCH(B112,PalNames,0)+1,(MATCH(""Passive0c"",PalData_Header,0)))&amp;"":""&amp;ADDRESS(MATCH(B112,PalNames,0)+1,(MATCH(""Passive0c"",PalData_Header,0))+4)),LEN(INDIRE"&amp;"CT(""PalData!""&amp;ADDRESS(MATCH(B112,PalNames,0)+1,(MATCH(""Passive0c"",PalData_Header,0)))&amp;"":""&amp;ADDRESS(MATCH(B112,PalNames,0)+1,(MATCH(""Passive0c"",PalData_Header,0))+4)))&gt;0),1,1)),SkillDataCodeName,0)+1,MATCH(""EffectTypeCombined"",SkillData_Header,0))"&amp;")"),"MaxInventoryWeight")</f>
        <v>MaxInventoryWeight</v>
      </c>
      <c r="K112" s="45" t="str">
        <f aca="false">IFERROR(__xludf.dummyfunction("IFERROR(INDEX(SkillData,MATCH(Arrayformula(ARRAY_CONSTRAIN(FILTER(INDIRECT(""PalData!""&amp;ADDRESS(MATCH(B112,PalNames,0)+1,(MATCH(""Passive0c"",PalData_Header,0)))&amp;"":""&amp;ADDRESS(MATCH(B112,PalNames,0)+1,(MATCH(""Passive0c"",PalData_Header,0))+4)),LEN(INDIRE"&amp;"CT(""PalData!""&amp;ADDRESS(MATCH(B112,PalNames,0)+1,(MATCH(""Passive0c"",PalData_Header,0)))&amp;"":""&amp;ADDRESS(MATCH(B112,PalNames,0)+1,(MATCH(""Passive0c"",PalData_Header,0))+4)))&gt;0),1,1)),SkillDataCodeName,0)+1,MATCH(""TargetType1"",SkillData_Header,0)))"),"Trainer")</f>
        <v>Trainer</v>
      </c>
      <c r="L112" s="45" t="e">
        <f aca="false" t="array" ref="L112:L112">IF(INDEX(PalData,MATCH($B112,PalNames,0)+1,MATCH("Passive0cCondition",PalData_Header,0))=IFERROR(INDEX(SkillData,MATCH(INDEX(PalData,MATCH($B112,PalNames,0)+1,MATCH("Passive0c",PalData_Header,0)),SkillDataCodeName,0)+1,MATCH("Conditions",SkillData_Header,0))),INDEX(PalData,MATCH($B112,PalNames,0)+1,MATCH("Passive0cCondition",PalData_Header,0)),INDEX(PalData,MATCH($B112,PalNames,0)+1,MATCH("Passive0cCondition",PalData_Header,0)) &amp; IF(ISBLANK(INDEX(PalData,MATCH($B112,PalNames,0)+1,MATCH("Passive0cCondition",PalData_Header,0))),," ")&amp;IFERROR(INDEX(SkillData,MATCH(INDEX(PalData,MATCH($B112,PalNames,0)+1,MATCH("Passive0c",PalData_Header,0)),SkillDataCodeName,0)+1,MATCH("Conditions",SkillData_Header,0))))</f>
        <v>#VALUE!</v>
      </c>
      <c r="M112" s="45" t="str">
        <f aca="false">IFERROR(__xludf.dummyfunction("IFERROR(INDEX(SkillData,MATCH(Arrayformula(ARRAY_CONSTRAIN(FILTER(INDIRECT(""PalData!""&amp;ADDRESS(MATCH(B112,PalNames,0)+1,(MATCH(""Passive0c"",PalData_Header,0)))&amp;"":""&amp;ADDRESS(MATCH(B112,PalNames,0)+1,(MATCH(""Passive0c"",PalData_Header,0))+4)),LEN(INDIRE"&amp;"CT(""PalData!""&amp;ADDRESS(MATCH(B112,PalNames,0)+1,(MATCH(""Passive0c"",PalData_Header,0)))&amp;"":""&amp;ADDRESS(MATCH(B112,PalNames,0)+1,(MATCH(""Passive0c"",PalData_Header,0))+4)))&gt;0),1,1)),SkillDataCodeName,0)+1,MATCH(""ValueType1"",SkillData_Header,0)))"),"+")</f>
        <v>+</v>
      </c>
      <c r="N112" s="62" t="e">
        <f aca="false" t="array" ref="N112:N112">IFERROR(INDEX(SkillData,MATCH(INDEX(PalData,MATCH($B112,PalNames,0)+1,MATCH("Passive0c",PalData_Header,0)),SkillDataCodeName,0)+1,MATCH("EffectValue1",SkillData_Header,0)))</f>
        <v>#VALUE!</v>
      </c>
      <c r="O112" s="62" t="e">
        <f aca="false" t="array" ref="O112:O112">IFERROR(INDEX(SkillData,MATCH(INDEX(PalData,MATCH($B112,PalNames,0)+1,MATCH("Passive1c",PalData_Header,0)),SkillDataCodeName,0)+1,MATCH("EffectValue1",SkillData_Header,0)))</f>
        <v>#VALUE!</v>
      </c>
      <c r="P112" s="62" t="e">
        <f aca="false" t="array" ref="P112:P112">IFERROR(INDEX(SkillData,MATCH(INDEX(PalData,MATCH($B112,PalNames,0)+1,MATCH("Passive2c",PalData_Header,0)),SkillDataCodeName,0)+1,MATCH("EffectValue1",SkillData_Header,0)))</f>
        <v>#VALUE!</v>
      </c>
      <c r="Q112" s="62" t="e">
        <f aca="false" t="array" ref="Q112:Q112">IFERROR(INDEX(SkillData,MATCH(INDEX(PalData,MATCH($B112,PalNames,0)+1,MATCH("Passive3c",PalData_Header,0)),SkillDataCodeName,0)+1,MATCH("EffectValue1",SkillData_Header,0)))</f>
        <v>#VALUE!</v>
      </c>
      <c r="R112" s="306" t="e">
        <f aca="false" t="array" ref="R112:R112">IFERROR(INDEX(SkillData,MATCH(INDEX(PalData,MATCH($B112,PalNames,0)+1,MATCH("Passive4c",PalData_Header,0)),SkillDataCodeName,0)+1,MATCH("EffectValue1",SkillData_Header,0)))</f>
        <v>#VALUE!</v>
      </c>
      <c r="S112" s="45" t="str">
        <f aca="false">IFERROR(__xludf.dummyfunction("IFERROR(INDEX(SkillData,MATCH(Arrayformula(ARRAY_CONSTRAIN(FILTER(INDIRECT(""PalData!""&amp;ADDRESS(MATCH(B112,PalNames,0)+1,(MATCH(""Passive0a"",PalData_Header,0)))&amp;"":""&amp;ADDRESS(MATCH(B112,PalNames,0)+1,(MATCH(""Passive0a"",PalData_Header,0))+4)),LEN(INDIRE"&amp;"CT(""PalData!""&amp;ADDRESS(MATCH(B112,PalNames,0)+1,(MATCH(""Passive0a"",PalData_Header,0)))&amp;"":""&amp;ADDRESS(MATCH(B112,PalNames,0)+1,(MATCH(""Passive0a"",PalData_Header,0))+4)))&gt;0),1,1)),SkillDataCodeName,0)+1,MATCH(""EffectTypeCombined"",SkillData_Header,0))"&amp;")"),"")</f>
        <v/>
      </c>
      <c r="T112" s="45" t="str">
        <f aca="false">IFERROR(__xludf.dummyfunction("IFERROR(INDEX(SkillData,MATCH(Arrayformula(ARRAY_CONSTRAIN(FILTER(INDIRECT(""PalData!""&amp;ADDRESS(MATCH(B112,PalNames,0)+1,(MATCH(""Passive0a"",PalData_Header,0)))&amp;"":""&amp;ADDRESS(MATCH(B112,PalNames,0)+1,(MATCH(""Passive0a"",PalData_Header,0))+4)),LEN(INDIRE"&amp;"CT(""PalData!""&amp;ADDRESS(MATCH(B112,PalNames,0)+1,(MATCH(""Passive0a"",PalData_Header,0)))&amp;"":""&amp;ADDRESS(MATCH(B112,PalNames,0)+1,(MATCH(""Passive0a"",PalData_Header,0))+4)))&gt;0),1,1)),SkillDataCodeName,0)+1,MATCH(""TargetType1"",SkillData_Header,0)))"),"")</f>
        <v/>
      </c>
      <c r="U112" s="45" t="e">
        <f aca="false" t="array" ref="U112:U112">IF(INDEX(PalData,MATCH($B112,PalNames,0)+1,MATCH("Passive0aCondition",PalData_Header,0))=IFERROR(INDEX(SkillData,MATCH(INDEX(PalData,MATCH($B112,PalNames,0)+1,MATCH("Passive0a",PalData_Header,0)),SkillDataCodeName,0)+1,MATCH("Conditions",SkillData_Header,0))),INDEX(PalData,MATCH($B112,PalNames,0)+1,MATCH("Passive0aCondition",PalData_Header,0)),INDEX(PalData,MATCH($B112,PalNames,0)+1,MATCH("Passive0aCondition",PalData_Header,0)) &amp; IF(ISBLANK(INDEX(PalData,MATCH($B112,PalNames,0)+1,MATCH("Passive0aCondition",PalData_Header,0))),," ")&amp;IFERROR(INDEX(SkillData,MATCH(INDEX(PalData,MATCH($B112,PalNames,0)+1,MATCH("Passive0a",PalData_Header,0)),SkillDataCodeName,0)+1,MATCH("Conditions",SkillData_Header,0))))</f>
        <v>#N/A</v>
      </c>
      <c r="V112" s="45" t="str">
        <f aca="false">IFERROR(__xludf.dummyfunction("IFERROR(INDEX(SkillData,MATCH(Arrayformula(ARRAY_CONSTRAIN(FILTER(INDIRECT(""PalData!""&amp;ADDRESS(MATCH(B112,PalNames,0)+1,(MATCH(""Passive0a"",PalData_Header,0)))&amp;"":""&amp;ADDRESS(MATCH(B112,PalNames,0)+1,(MATCH(""Passive0a"",PalData_Header,0))+4)),LEN(INDIRE"&amp;"CT(""PalData!""&amp;ADDRESS(MATCH(B112,PalNames,0)+1,(MATCH(""Passive0a"",PalData_Header,0)))&amp;"":""&amp;ADDRESS(MATCH(B112,PalNames,0)+1,(MATCH(""Passive0a"",PalData_Header,0))+4)))&gt;0),1,1)),SkillDataCodeName,0)+1,MATCH(""ValueType1"",SkillData_Header,0)))"),"")</f>
        <v/>
      </c>
      <c r="W112" s="45" t="n">
        <f aca="false">IFERROR(INDEX(SkillData,MATCH(INDEX(PalData,MATCH($B112,PalNames,0)+1,MATCH("Passive0a",PalData_Header,0)),SkillDataCodeName,0)+1,MATCH("EffectValue1",SkillData_Header,0)),)</f>
        <v>0</v>
      </c>
      <c r="X112" s="45" t="n">
        <f aca="false">IFERROR(INDEX(SkillData,MATCH(INDEX(PalData,MATCH($B112,PalNames,0)+1,MATCH("Passive1a",PalData_Header,0)),SkillDataCodeName,0)+1,MATCH("EffectValue1",SkillData_Header,0)),)</f>
        <v>0</v>
      </c>
      <c r="Y112" s="45" t="n">
        <f aca="false">IFERROR(INDEX(SkillData,MATCH(INDEX(PalData,MATCH($B112,PalNames,0)+1,MATCH("Passive2a",PalData_Header,0)),SkillDataCodeName,0)+1,MATCH("EffectValue1",SkillData_Header,0)),)</f>
        <v>0</v>
      </c>
      <c r="Z112" s="45" t="n">
        <f aca="false">IFERROR(INDEX(SkillData,MATCH(INDEX(PalData,MATCH($B112,PalNames,0)+1,MATCH("Passive3a",PalData_Header,0)),SkillDataCodeName,0)+1,MATCH("EffectValue1",SkillData_Header,0)),)</f>
        <v>0</v>
      </c>
      <c r="AA112" s="260" t="n">
        <f aca="false">IFERROR(INDEX(SkillData,MATCH(INDEX(PalData,MATCH($B112,PalNames,0)+1,MATCH("Passive4a",PalData_Header,0)),SkillDataCodeName,0)+1,MATCH("EffectValue1",SkillData_Header,0)),)</f>
        <v>0</v>
      </c>
      <c r="AB112" s="45" t="str">
        <f aca="false">IFERROR(__xludf.dummyfunction("IFERROR(INDEX(SkillData,MATCH(Arrayformula(ARRAY_CONSTRAIN(FILTER(INDIRECT(""PalData!""&amp;ADDRESS(MATCH(B112,PalNames,0)+1,(MATCH(""Passive0b"",PalData_Header,0)))&amp;"":""&amp;ADDRESS(MATCH(B112,PalNames,0)+1,(MATCH(""Passive0b"",PalData_Header,0))+4)),LEN(INDIRE"&amp;"CT(""PalData!""&amp;ADDRESS(MATCH(B112,PalNames,0)+1,(MATCH(""Passive0b"",PalData_Header,0)))&amp;"":""&amp;ADDRESS(MATCH(B112,PalNames,0)+1,(MATCH(""Passive0b"",PalData_Header,0))+4)))&gt;0),1,1)),SkillDataCodeName,0)+1,MATCH(""EffectTypeCombined"",SkillData_Header,0))"&amp;")"),"")</f>
        <v/>
      </c>
      <c r="AC112" s="45" t="str">
        <f aca="false">IFERROR(__xludf.dummyfunction("IFERROR(INDEX(SkillData,MATCH(Arrayformula(ARRAY_CONSTRAIN(FILTER(INDIRECT(""PalData!""&amp;ADDRESS(MATCH(B112,PalNames,0)+1,(MATCH(""Passive0b"",PalData_Header,0)))&amp;"":""&amp;ADDRESS(MATCH(B112,PalNames,0)+1,(MATCH(""Passive0b"",PalData_Header,0))+4)),LEN(INDIRE"&amp;"CT(""PalData!""&amp;ADDRESS(MATCH(B112,PalNames,0)+1,(MATCH(""Passive0b"",PalData_Header,0)))&amp;"":""&amp;ADDRESS(MATCH(B112,PalNames,0)+1,(MATCH(""Passive0b"",PalData_Header,0))+4)))&gt;0),1,1)),SkillDataCodeName,0)+1,MATCH(""TargetType1"",SkillData_Header,0)))"),"")</f>
        <v/>
      </c>
      <c r="AD112" s="45" t="e">
        <f aca="false" t="array" ref="AD112:AD112">IF(INDEX(PalData,MATCH($B112,PalNames,0)+1,MATCH("Passive0bCondition",PalData_Header,0))=IFERROR(INDEX(SkillData,MATCH(INDEX(PalData,MATCH($B112,PalNames,0)+1,MATCH("Passive0b",PalData_Header,0)),SkillDataCodeName,0)+1,MATCH("Conditions",SkillData_Header,0))),INDEX(PalData,MATCH($B112,PalNames,0)+1,MATCH("Passive0bCondition",PalData_Header,0)),INDEX(PalData,MATCH($B112,PalNames,0)+1,MATCH("Passive0bCondition",PalData_Header,0)) &amp; IF(ISBLANK(INDEX(PalData,MATCH($B112,PalNames,0)+1,MATCH("Passive0bCondition",PalData_Header,0))),," ")&amp;IFERROR(INDEX(SkillData,MATCH(INDEX(PalData,MATCH($B112,PalNames,0)+1,MATCH("Passive0b",PalData_Header,0)),SkillDataCodeName,0)+1,MATCH("Conditions",SkillData_Header,0))))</f>
        <v>#N/A</v>
      </c>
      <c r="AE112" s="45" t="str">
        <f aca="false">IFERROR(__xludf.dummyfunction("IFERROR(INDEX(SkillData,MATCH(Arrayformula(ARRAY_CONSTRAIN(FILTER(INDIRECT(""PalData!""&amp;ADDRESS(MATCH(B112,PalNames,0)+1,(MATCH(""Passive0b"",PalData_Header,0)))&amp;"":""&amp;ADDRESS(MATCH(B112,PalNames,0)+1,(MATCH(""Passive0b"",PalData_Header,0))+4)),LEN(INDIRE"&amp;"CT(""PalData!""&amp;ADDRESS(MATCH(B112,PalNames,0)+1,(MATCH(""Passive0b"",PalData_Header,0)))&amp;"":""&amp;ADDRESS(MATCH(B112,PalNames,0)+1,(MATCH(""Passive0b"",PalData_Header,0))+4)))&gt;0),1,1)),SkillDataCodeName,0)+1,MATCH(""ValueType1"",SkillData_Header,0)))"),"")</f>
        <v/>
      </c>
      <c r="AF112" s="45" t="n">
        <f aca="false">IFERROR(INDEX(SkillData,MATCH(INDEX(PalData,MATCH($B112,PalNames,0)+1,MATCH("Passive0b",PalData_Header,0)),SkillDataCodeName,0)+1,MATCH("EffectValue1",SkillData_Header,0)),)</f>
        <v>0</v>
      </c>
      <c r="AG112" s="45" t="n">
        <f aca="false">IFERROR(INDEX(SkillData,MATCH(INDEX(PalData,MATCH($B112,PalNames,0)+1,MATCH("Passive1b",PalData_Header,0)),SkillDataCodeName,0)+1,MATCH("EffectValue1",SkillData_Header,0)),)</f>
        <v>0</v>
      </c>
      <c r="AH112" s="45" t="n">
        <f aca="false">IFERROR(INDEX(SkillData,MATCH(INDEX(PalData,MATCH($B112,PalNames,0)+1,MATCH("Passive2b",PalData_Header,0)),SkillDataCodeName,0)+1,MATCH("EffectValue1",SkillData_Header,0)),)</f>
        <v>0</v>
      </c>
      <c r="AI112" s="45" t="n">
        <f aca="false">IFERROR(INDEX(SkillData,MATCH(INDEX(PalData,MATCH($B112,PalNames,0)+1,MATCH("Passive3b",PalData_Header,0)),SkillDataCodeName,0)+1,MATCH("EffectValue1",SkillData_Header,0)),)</f>
        <v>0</v>
      </c>
      <c r="AJ112" s="260" t="n">
        <f aca="false">IFERROR(INDEX(SkillData,MATCH(INDEX(PalData,MATCH($B112,PalNames,0)+1,MATCH("Passive4b",PalData_Header,0)),SkillDataCodeName,0)+1,MATCH("EffectValue1",SkillData_Header,0)),)</f>
        <v>0</v>
      </c>
      <c r="AK112" s="301" t="s">
        <v>376</v>
      </c>
    </row>
    <row r="113" customFormat="false" ht="15.75" hidden="false" customHeight="false" outlineLevel="0" collapsed="false">
      <c r="A113" s="302" t="n">
        <v>89</v>
      </c>
      <c r="B113" s="303" t="s">
        <v>75</v>
      </c>
      <c r="C113" s="48" t="str">
        <f aca="false" t="array" ref="C113:C113">IF(ISBLANK(INDEX(PalData,MATCH($B113,PalNames,0)+1,MATCH("ActiveSkill",PalData_Header,0))),INDEX(PalData,MATCH($B113,PalNames,0)+1,MATCH("SkillUnlock_",PalData_Header,0)),INDEX(PalData,MATCH($B113,PalNames,0)+1,MATCH("ActiveSkill",PalData_Header,0)))</f>
        <v>Saddle</v>
      </c>
      <c r="D113" s="48"/>
      <c r="E113" s="48" t="n">
        <f aca="false">INDEX(PalData,MATCH($B113,PalNames,0)+1,MATCH("ActiveSkillBonus0",PalData_Header,0))</f>
        <v>0</v>
      </c>
      <c r="F113" s="48" t="n">
        <f aca="false">INDEX(PalData,MATCH($B113,PalNames,0)+1,MATCH("ActiveSkillBonus1",PalData_Header,0))</f>
        <v>0</v>
      </c>
      <c r="G113" s="48" t="n">
        <f aca="false">INDEX(PalData,MATCH($B113,PalNames,0)+1,MATCH("ActiveSkillBonus2",PalData_Header,0))</f>
        <v>0</v>
      </c>
      <c r="H113" s="48" t="n">
        <f aca="false">INDEX(PalData,MATCH($B113,PalNames,0)+1,MATCH("ActiveSkillBonus3",PalData_Header,0))</f>
        <v>0</v>
      </c>
      <c r="I113" s="263" t="n">
        <f aca="false">INDEX(PalData,MATCH($B113,PalNames,0)+1,MATCH("ActiveSkillBonus4",PalData_Header,0))</f>
        <v>0</v>
      </c>
      <c r="J113" s="48" t="str">
        <f aca="false">IFERROR(__xludf.dummyfunction("IFERROR(INDEX(SkillData,MATCH(Arrayformula(ARRAY_CONSTRAIN(FILTER(INDIRECT(""PalData!""&amp;ADDRESS(MATCH(B113,PalNames,0)+1,(MATCH(""Passive0c"",PalData_Header,0)))&amp;"":""&amp;ADDRESS(MATCH(B113,PalNames,0)+1,(MATCH(""Passive0c"",PalData_Header,0))+4)),LEN(INDIRE"&amp;"CT(""PalData!""&amp;ADDRESS(MATCH(B113,PalNames,0)+1,(MATCH(""Passive0c"",PalData_Header,0)))&amp;"":""&amp;ADDRESS(MATCH(B113,PalNames,0)+1,(MATCH(""Passive0c"",PalData_Header,0))+4)))&gt;0),1,1)),SkillDataCodeName,0)+1,MATCH(""EffectTypeCombined"",SkillData_Header,0))"&amp;")"),"MaxInventoryWeight")</f>
        <v>MaxInventoryWeight</v>
      </c>
      <c r="K113" s="48" t="str">
        <f aca="false">IFERROR(__xludf.dummyfunction("IFERROR(INDEX(SkillData,MATCH(Arrayformula(ARRAY_CONSTRAIN(FILTER(INDIRECT(""PalData!""&amp;ADDRESS(MATCH(B113,PalNames,0)+1,(MATCH(""Passive0c"",PalData_Header,0)))&amp;"":""&amp;ADDRESS(MATCH(B113,PalNames,0)+1,(MATCH(""Passive0c"",PalData_Header,0))+4)),LEN(INDIRE"&amp;"CT(""PalData!""&amp;ADDRESS(MATCH(B113,PalNames,0)+1,(MATCH(""Passive0c"",PalData_Header,0)))&amp;"":""&amp;ADDRESS(MATCH(B113,PalNames,0)+1,(MATCH(""Passive0c"",PalData_Header,0))+4)))&gt;0),1,1)),SkillDataCodeName,0)+1,MATCH(""TargetType1"",SkillData_Header,0)))"),"Trainer")</f>
        <v>Trainer</v>
      </c>
      <c r="L113" s="48" t="e">
        <f aca="false" t="array" ref="L113:L113">IF(INDEX(PalData,MATCH($B113,PalNames,0)+1,MATCH("Passive0cCondition",PalData_Header,0))=IFERROR(INDEX(SkillData,MATCH(INDEX(PalData,MATCH($B113,PalNames,0)+1,MATCH("Passive0c",PalData_Header,0)),SkillDataCodeName,0)+1,MATCH("Conditions",SkillData_Header,0))),INDEX(PalData,MATCH($B113,PalNames,0)+1,MATCH("Passive0cCondition",PalData_Header,0)),INDEX(PalData,MATCH($B113,PalNames,0)+1,MATCH("Passive0cCondition",PalData_Header,0)) &amp; IF(ISBLANK(INDEX(PalData,MATCH($B113,PalNames,0)+1,MATCH("Passive0cCondition",PalData_Header,0))),," ")&amp;IFERROR(INDEX(SkillData,MATCH(INDEX(PalData,MATCH($B113,PalNames,0)+1,MATCH("Passive0c",PalData_Header,0)),SkillDataCodeName,0)+1,MATCH("Conditions",SkillData_Header,0))))</f>
        <v>#VALUE!</v>
      </c>
      <c r="M113" s="48" t="str">
        <f aca="false">IFERROR(__xludf.dummyfunction("IFERROR(INDEX(SkillData,MATCH(Arrayformula(ARRAY_CONSTRAIN(FILTER(INDIRECT(""PalData!""&amp;ADDRESS(MATCH(B113,PalNames,0)+1,(MATCH(""Passive0c"",PalData_Header,0)))&amp;"":""&amp;ADDRESS(MATCH(B113,PalNames,0)+1,(MATCH(""Passive0c"",PalData_Header,0))+4)),LEN(INDIRE"&amp;"CT(""PalData!""&amp;ADDRESS(MATCH(B113,PalNames,0)+1,(MATCH(""Passive0c"",PalData_Header,0)))&amp;"":""&amp;ADDRESS(MATCH(B113,PalNames,0)+1,(MATCH(""Passive0c"",PalData_Header,0))+4)))&gt;0),1,1)),SkillDataCodeName,0)+1,MATCH(""ValueType1"",SkillData_Header,0)))"),"+")</f>
        <v>+</v>
      </c>
      <c r="N113" s="61" t="e">
        <f aca="false" t="array" ref="N113:N113">IFERROR(INDEX(SkillData,MATCH(INDEX(PalData,MATCH($B113,PalNames,0)+1,MATCH("Passive0c",PalData_Header,0)),SkillDataCodeName,0)+1,MATCH("EffectValue1",SkillData_Header,0)))</f>
        <v>#VALUE!</v>
      </c>
      <c r="O113" s="61" t="e">
        <f aca="false" t="array" ref="O113:O113">IFERROR(INDEX(SkillData,MATCH(INDEX(PalData,MATCH($B113,PalNames,0)+1,MATCH("Passive1c",PalData_Header,0)),SkillDataCodeName,0)+1,MATCH("EffectValue1",SkillData_Header,0)))</f>
        <v>#VALUE!</v>
      </c>
      <c r="P113" s="61" t="e">
        <f aca="false" t="array" ref="P113:P113">IFERROR(INDEX(SkillData,MATCH(INDEX(PalData,MATCH($B113,PalNames,0)+1,MATCH("Passive2c",PalData_Header,0)),SkillDataCodeName,0)+1,MATCH("EffectValue1",SkillData_Header,0)))</f>
        <v>#VALUE!</v>
      </c>
      <c r="Q113" s="61" t="e">
        <f aca="false" t="array" ref="Q113:Q113">IFERROR(INDEX(SkillData,MATCH(INDEX(PalData,MATCH($B113,PalNames,0)+1,MATCH("Passive3c",PalData_Header,0)),SkillDataCodeName,0)+1,MATCH("EffectValue1",SkillData_Header,0)))</f>
        <v>#VALUE!</v>
      </c>
      <c r="R113" s="304" t="e">
        <f aca="false" t="array" ref="R113:R113">IFERROR(INDEX(SkillData,MATCH(INDEX(PalData,MATCH($B113,PalNames,0)+1,MATCH("Passive4c",PalData_Header,0)),SkillDataCodeName,0)+1,MATCH("EffectValue1",SkillData_Header,0)))</f>
        <v>#VALUE!</v>
      </c>
      <c r="S113" s="48" t="str">
        <f aca="false">IFERROR(__xludf.dummyfunction("IFERROR(INDEX(SkillData,MATCH(Arrayformula(ARRAY_CONSTRAIN(FILTER(INDIRECT(""PalData!""&amp;ADDRESS(MATCH(B113,PalNames,0)+1,(MATCH(""Passive0a"",PalData_Header,0)))&amp;"":""&amp;ADDRESS(MATCH(B113,PalNames,0)+1,(MATCH(""Passive0a"",PalData_Header,0))+4)),LEN(INDIRE"&amp;"CT(""PalData!""&amp;ADDRESS(MATCH(B113,PalNames,0)+1,(MATCH(""Passive0a"",PalData_Header,0)))&amp;"":""&amp;ADDRESS(MATCH(B113,PalNames,0)+1,(MATCH(""Passive0a"",PalData_Header,0))+4)))&gt;0),1,1)),SkillDataCodeName,0)+1,MATCH(""EffectTypeCombined"",SkillData_Header,0))"&amp;")"),"")</f>
        <v/>
      </c>
      <c r="T113" s="48" t="str">
        <f aca="false">IFERROR(__xludf.dummyfunction("IFERROR(INDEX(SkillData,MATCH(Arrayformula(ARRAY_CONSTRAIN(FILTER(INDIRECT(""PalData!""&amp;ADDRESS(MATCH(B113,PalNames,0)+1,(MATCH(""Passive0a"",PalData_Header,0)))&amp;"":""&amp;ADDRESS(MATCH(B113,PalNames,0)+1,(MATCH(""Passive0a"",PalData_Header,0))+4)),LEN(INDIRE"&amp;"CT(""PalData!""&amp;ADDRESS(MATCH(B113,PalNames,0)+1,(MATCH(""Passive0a"",PalData_Header,0)))&amp;"":""&amp;ADDRESS(MATCH(B113,PalNames,0)+1,(MATCH(""Passive0a"",PalData_Header,0))+4)))&gt;0),1,1)),SkillDataCodeName,0)+1,MATCH(""TargetType1"",SkillData_Header,0)))"),"")</f>
        <v/>
      </c>
      <c r="U113" s="48" t="e">
        <f aca="false" t="array" ref="U113:U113">IF(INDEX(PalData,MATCH($B113,PalNames,0)+1,MATCH("Passive0aCondition",PalData_Header,0))=IFERROR(INDEX(SkillData,MATCH(INDEX(PalData,MATCH($B113,PalNames,0)+1,MATCH("Passive0a",PalData_Header,0)),SkillDataCodeName,0)+1,MATCH("Conditions",SkillData_Header,0))),INDEX(PalData,MATCH($B113,PalNames,0)+1,MATCH("Passive0aCondition",PalData_Header,0)),INDEX(PalData,MATCH($B113,PalNames,0)+1,MATCH("Passive0aCondition",PalData_Header,0)) &amp; IF(ISBLANK(INDEX(PalData,MATCH($B113,PalNames,0)+1,MATCH("Passive0aCondition",PalData_Header,0))),," ")&amp;IFERROR(INDEX(SkillData,MATCH(INDEX(PalData,MATCH($B113,PalNames,0)+1,MATCH("Passive0a",PalData_Header,0)),SkillDataCodeName,0)+1,MATCH("Conditions",SkillData_Header,0))))</f>
        <v>#N/A</v>
      </c>
      <c r="V113" s="48" t="str">
        <f aca="false">IFERROR(__xludf.dummyfunction("IFERROR(INDEX(SkillData,MATCH(Arrayformula(ARRAY_CONSTRAIN(FILTER(INDIRECT(""PalData!""&amp;ADDRESS(MATCH(B113,PalNames,0)+1,(MATCH(""Passive0a"",PalData_Header,0)))&amp;"":""&amp;ADDRESS(MATCH(B113,PalNames,0)+1,(MATCH(""Passive0a"",PalData_Header,0))+4)),LEN(INDIRE"&amp;"CT(""PalData!""&amp;ADDRESS(MATCH(B113,PalNames,0)+1,(MATCH(""Passive0a"",PalData_Header,0)))&amp;"":""&amp;ADDRESS(MATCH(B113,PalNames,0)+1,(MATCH(""Passive0a"",PalData_Header,0))+4)))&gt;0),1,1)),SkillDataCodeName,0)+1,MATCH(""ValueType1"",SkillData_Header,0)))"),"")</f>
        <v/>
      </c>
      <c r="W113" s="48" t="n">
        <f aca="false">IFERROR(INDEX(SkillData,MATCH(INDEX(PalData,MATCH($B113,PalNames,0)+1,MATCH("Passive0a",PalData_Header,0)),SkillDataCodeName,0)+1,MATCH("EffectValue1",SkillData_Header,0)),)</f>
        <v>0</v>
      </c>
      <c r="X113" s="48" t="n">
        <f aca="false">IFERROR(INDEX(SkillData,MATCH(INDEX(PalData,MATCH($B113,PalNames,0)+1,MATCH("Passive1a",PalData_Header,0)),SkillDataCodeName,0)+1,MATCH("EffectValue1",SkillData_Header,0)),)</f>
        <v>0</v>
      </c>
      <c r="Y113" s="48" t="n">
        <f aca="false">IFERROR(INDEX(SkillData,MATCH(INDEX(PalData,MATCH($B113,PalNames,0)+1,MATCH("Passive2a",PalData_Header,0)),SkillDataCodeName,0)+1,MATCH("EffectValue1",SkillData_Header,0)),)</f>
        <v>0</v>
      </c>
      <c r="Z113" s="48" t="n">
        <f aca="false">IFERROR(INDEX(SkillData,MATCH(INDEX(PalData,MATCH($B113,PalNames,0)+1,MATCH("Passive3a",PalData_Header,0)),SkillDataCodeName,0)+1,MATCH("EffectValue1",SkillData_Header,0)),)</f>
        <v>0</v>
      </c>
      <c r="AA113" s="263" t="n">
        <f aca="false">IFERROR(INDEX(SkillData,MATCH(INDEX(PalData,MATCH($B113,PalNames,0)+1,MATCH("Passive4a",PalData_Header,0)),SkillDataCodeName,0)+1,MATCH("EffectValue1",SkillData_Header,0)),)</f>
        <v>0</v>
      </c>
      <c r="AB113" s="48" t="str">
        <f aca="false">IFERROR(__xludf.dummyfunction("IFERROR(INDEX(SkillData,MATCH(Arrayformula(ARRAY_CONSTRAIN(FILTER(INDIRECT(""PalData!""&amp;ADDRESS(MATCH(B113,PalNames,0)+1,(MATCH(""Passive0b"",PalData_Header,0)))&amp;"":""&amp;ADDRESS(MATCH(B113,PalNames,0)+1,(MATCH(""Passive0b"",PalData_Header,0))+4)),LEN(INDIRE"&amp;"CT(""PalData!""&amp;ADDRESS(MATCH(B113,PalNames,0)+1,(MATCH(""Passive0b"",PalData_Header,0)))&amp;"":""&amp;ADDRESS(MATCH(B113,PalNames,0)+1,(MATCH(""Passive0b"",PalData_Header,0))+4)))&gt;0),1,1)),SkillDataCodeName,0)+1,MATCH(""EffectTypeCombined"",SkillData_Header,0))"&amp;")"),"")</f>
        <v/>
      </c>
      <c r="AC113" s="48" t="str">
        <f aca="false">IFERROR(__xludf.dummyfunction("IFERROR(INDEX(SkillData,MATCH(Arrayformula(ARRAY_CONSTRAIN(FILTER(INDIRECT(""PalData!""&amp;ADDRESS(MATCH(B113,PalNames,0)+1,(MATCH(""Passive0b"",PalData_Header,0)))&amp;"":""&amp;ADDRESS(MATCH(B113,PalNames,0)+1,(MATCH(""Passive0b"",PalData_Header,0))+4)),LEN(INDIRE"&amp;"CT(""PalData!""&amp;ADDRESS(MATCH(B113,PalNames,0)+1,(MATCH(""Passive0b"",PalData_Header,0)))&amp;"":""&amp;ADDRESS(MATCH(B113,PalNames,0)+1,(MATCH(""Passive0b"",PalData_Header,0))+4)))&gt;0),1,1)),SkillDataCodeName,0)+1,MATCH(""TargetType1"",SkillData_Header,0)))"),"")</f>
        <v/>
      </c>
      <c r="AD113" s="48" t="e">
        <f aca="false" t="array" ref="AD113:AD113">IF(INDEX(PalData,MATCH($B113,PalNames,0)+1,MATCH("Passive0bCondition",PalData_Header,0))=IFERROR(INDEX(SkillData,MATCH(INDEX(PalData,MATCH($B113,PalNames,0)+1,MATCH("Passive0b",PalData_Header,0)),SkillDataCodeName,0)+1,MATCH("Conditions",SkillData_Header,0))),INDEX(PalData,MATCH($B113,PalNames,0)+1,MATCH("Passive0bCondition",PalData_Header,0)),INDEX(PalData,MATCH($B113,PalNames,0)+1,MATCH("Passive0bCondition",PalData_Header,0)) &amp; IF(ISBLANK(INDEX(PalData,MATCH($B113,PalNames,0)+1,MATCH("Passive0bCondition",PalData_Header,0))),," ")&amp;IFERROR(INDEX(SkillData,MATCH(INDEX(PalData,MATCH($B113,PalNames,0)+1,MATCH("Passive0b",PalData_Header,0)),SkillDataCodeName,0)+1,MATCH("Conditions",SkillData_Header,0))))</f>
        <v>#N/A</v>
      </c>
      <c r="AE113" s="48" t="str">
        <f aca="false">IFERROR(__xludf.dummyfunction("IFERROR(INDEX(SkillData,MATCH(Arrayformula(ARRAY_CONSTRAIN(FILTER(INDIRECT(""PalData!""&amp;ADDRESS(MATCH(B113,PalNames,0)+1,(MATCH(""Passive0b"",PalData_Header,0)))&amp;"":""&amp;ADDRESS(MATCH(B113,PalNames,0)+1,(MATCH(""Passive0b"",PalData_Header,0))+4)),LEN(INDIRE"&amp;"CT(""PalData!""&amp;ADDRESS(MATCH(B113,PalNames,0)+1,(MATCH(""Passive0b"",PalData_Header,0)))&amp;"":""&amp;ADDRESS(MATCH(B113,PalNames,0)+1,(MATCH(""Passive0b"",PalData_Header,0))+4)))&gt;0),1,1)),SkillDataCodeName,0)+1,MATCH(""ValueType1"",SkillData_Header,0)))"),"")</f>
        <v/>
      </c>
      <c r="AF113" s="48" t="n">
        <f aca="false">IFERROR(INDEX(SkillData,MATCH(INDEX(PalData,MATCH($B113,PalNames,0)+1,MATCH("Passive0b",PalData_Header,0)),SkillDataCodeName,0)+1,MATCH("EffectValue1",SkillData_Header,0)),)</f>
        <v>0</v>
      </c>
      <c r="AG113" s="48" t="n">
        <f aca="false">IFERROR(INDEX(SkillData,MATCH(INDEX(PalData,MATCH($B113,PalNames,0)+1,MATCH("Passive1b",PalData_Header,0)),SkillDataCodeName,0)+1,MATCH("EffectValue1",SkillData_Header,0)),)</f>
        <v>0</v>
      </c>
      <c r="AH113" s="48" t="n">
        <f aca="false">IFERROR(INDEX(SkillData,MATCH(INDEX(PalData,MATCH($B113,PalNames,0)+1,MATCH("Passive2b",PalData_Header,0)),SkillDataCodeName,0)+1,MATCH("EffectValue1",SkillData_Header,0)),)</f>
        <v>0</v>
      </c>
      <c r="AI113" s="48" t="n">
        <f aca="false">IFERROR(INDEX(SkillData,MATCH(INDEX(PalData,MATCH($B113,PalNames,0)+1,MATCH("Passive3b",PalData_Header,0)),SkillDataCodeName,0)+1,MATCH("EffectValue1",SkillData_Header,0)),)</f>
        <v>0</v>
      </c>
      <c r="AJ113" s="263" t="n">
        <f aca="false">IFERROR(INDEX(SkillData,MATCH(INDEX(PalData,MATCH($B113,PalNames,0)+1,MATCH("Passive4b",PalData_Header,0)),SkillDataCodeName,0)+1,MATCH("EffectValue1",SkillData_Header,0)),)</f>
        <v>0</v>
      </c>
      <c r="AK113" s="305" t="s">
        <v>377</v>
      </c>
    </row>
    <row r="114" customFormat="false" ht="15.75" hidden="false" customHeight="false" outlineLevel="0" collapsed="false">
      <c r="A114" s="299" t="n">
        <v>90</v>
      </c>
      <c r="B114" s="300" t="s">
        <v>99</v>
      </c>
      <c r="C114" s="45" t="str">
        <f aca="false" t="array" ref="C114:C114">IF(ISBLANK(INDEX(PalData,MATCH($B114,PalNames,0)+1,MATCH("ActiveSkill",PalData_Header,0))),INDEX(PalData,MATCH($B114,PalNames,0)+1,MATCH("SkillUnlock_",PalData_Header,0)),INDEX(PalData,MATCH($B114,PalNames,0)+1,MATCH("ActiveSkill",PalData_Header,0)))</f>
        <v>Saddle</v>
      </c>
      <c r="D114" s="45"/>
      <c r="E114" s="45" t="n">
        <f aca="false">INDEX(PalData,MATCH($B114,PalNames,0)+1,MATCH("ActiveSkillBonus0",PalData_Header,0))</f>
        <v>0</v>
      </c>
      <c r="F114" s="45" t="n">
        <f aca="false">INDEX(PalData,MATCH($B114,PalNames,0)+1,MATCH("ActiveSkillBonus1",PalData_Header,0))</f>
        <v>0</v>
      </c>
      <c r="G114" s="45" t="n">
        <f aca="false">INDEX(PalData,MATCH($B114,PalNames,0)+1,MATCH("ActiveSkillBonus2",PalData_Header,0))</f>
        <v>0</v>
      </c>
      <c r="H114" s="45" t="n">
        <f aca="false">INDEX(PalData,MATCH($B114,PalNames,0)+1,MATCH("ActiveSkillBonus3",PalData_Header,0))</f>
        <v>0</v>
      </c>
      <c r="I114" s="260" t="n">
        <f aca="false">INDEX(PalData,MATCH($B114,PalNames,0)+1,MATCH("ActiveSkillBonus4",PalData_Header,0))</f>
        <v>0</v>
      </c>
      <c r="J114" s="45" t="str">
        <f aca="false">IFERROR(__xludf.dummyfunction("IFERROR(INDEX(SkillData,MATCH(Arrayformula(ARRAY_CONSTRAIN(FILTER(INDIRECT(""PalData!""&amp;ADDRESS(MATCH(B114,PalNames,0)+1,(MATCH(""Passive0c"",PalData_Header,0)))&amp;"":""&amp;ADDRESS(MATCH(B114,PalNames,0)+1,(MATCH(""Passive0c"",PalData_Header,0))+4)),LEN(INDIRE"&amp;"CT(""PalData!""&amp;ADDRESS(MATCH(B114,PalNames,0)+1,(MATCH(""Passive0c"",PalData_Header,0)))&amp;"":""&amp;ADDRESS(MATCH(B114,PalNames,0)+1,(MATCH(""Passive0c"",PalData_Header,0))+4)))&gt;0),1,1)),SkillDataCodeName,0)+1,MATCH(""EffectTypeCombined"",SkillData_Header,0))"&amp;")"),"Mining")</f>
        <v>Mining</v>
      </c>
      <c r="K114" s="45" t="str">
        <f aca="false">IFERROR(__xludf.dummyfunction("IFERROR(INDEX(SkillData,MATCH(Arrayformula(ARRAY_CONSTRAIN(FILTER(INDIRECT(""PalData!""&amp;ADDRESS(MATCH(B114,PalNames,0)+1,(MATCH(""Passive0c"",PalData_Header,0)))&amp;"":""&amp;ADDRESS(MATCH(B114,PalNames,0)+1,(MATCH(""Passive0c"",PalData_Header,0))+4)),LEN(INDIRE"&amp;"CT(""PalData!""&amp;ADDRESS(MATCH(B114,PalNames,0)+1,(MATCH(""Passive0c"",PalData_Header,0)))&amp;"":""&amp;ADDRESS(MATCH(B114,PalNames,0)+1,(MATCH(""Passive0c"",PalData_Header,0))+4)))&gt;0),1,1)),SkillDataCodeName,0)+1,MATCH(""TargetType1"",SkillData_Header,0)))"),"Self")</f>
        <v>Self</v>
      </c>
      <c r="L114" s="45" t="e">
        <f aca="false" t="array" ref="L114:L114">IF(INDEX(PalData,MATCH($B114,PalNames,0)+1,MATCH("Passive0cCondition",PalData_Header,0))=IFERROR(INDEX(SkillData,MATCH(INDEX(PalData,MATCH($B114,PalNames,0)+1,MATCH("Passive0c",PalData_Header,0)),SkillDataCodeName,0)+1,MATCH("Conditions",SkillData_Header,0))),INDEX(PalData,MATCH($B114,PalNames,0)+1,MATCH("Passive0cCondition",PalData_Header,0)),INDEX(PalData,MATCH($B114,PalNames,0)+1,MATCH("Passive0cCondition",PalData_Header,0)) &amp; IF(ISBLANK(INDEX(PalData,MATCH($B114,PalNames,0)+1,MATCH("Passive0cCondition",PalData_Header,0))),," ")&amp;IFERROR(INDEX(SkillData,MATCH(INDEX(PalData,MATCH($B114,PalNames,0)+1,MATCH("Passive0c",PalData_Header,0)),SkillDataCodeName,0)+1,MATCH("Conditions",SkillData_Header,0))))</f>
        <v>#VALUE!</v>
      </c>
      <c r="M114" s="45" t="str">
        <f aca="false">IFERROR(__xludf.dummyfunction("IFERROR(INDEX(SkillData,MATCH(Arrayformula(ARRAY_CONSTRAIN(FILTER(INDIRECT(""PalData!""&amp;ADDRESS(MATCH(B114,PalNames,0)+1,(MATCH(""Passive0c"",PalData_Header,0)))&amp;"":""&amp;ADDRESS(MATCH(B114,PalNames,0)+1,(MATCH(""Passive0c"",PalData_Header,0))+4)),LEN(INDIRE"&amp;"CT(""PalData!""&amp;ADDRESS(MATCH(B114,PalNames,0)+1,(MATCH(""Passive0c"",PalData_Header,0)))&amp;"":""&amp;ADDRESS(MATCH(B114,PalNames,0)+1,(MATCH(""Passive0c"",PalData_Header,0))+4)))&gt;0),1,1)),SkillDataCodeName,0)+1,MATCH(""ValueType1"",SkillData_Header,0)))"),"+")</f>
        <v>+</v>
      </c>
      <c r="N114" s="62" t="e">
        <f aca="false" t="array" ref="N114:N114">IFERROR(INDEX(SkillData,MATCH(INDEX(PalData,MATCH($B114,PalNames,0)+1,MATCH("Passive0c",PalData_Header,0)),SkillDataCodeName,0)+1,MATCH("EffectValue1",SkillData_Header,0)))</f>
        <v>#VALUE!</v>
      </c>
      <c r="O114" s="62" t="e">
        <f aca="false" t="array" ref="O114:O114">IFERROR(INDEX(SkillData,MATCH(INDEX(PalData,MATCH($B114,PalNames,0)+1,MATCH("Passive1c",PalData_Header,0)),SkillDataCodeName,0)+1,MATCH("EffectValue1",SkillData_Header,0)))</f>
        <v>#VALUE!</v>
      </c>
      <c r="P114" s="62" t="e">
        <f aca="false" t="array" ref="P114:P114">IFERROR(INDEX(SkillData,MATCH(INDEX(PalData,MATCH($B114,PalNames,0)+1,MATCH("Passive2c",PalData_Header,0)),SkillDataCodeName,0)+1,MATCH("EffectValue1",SkillData_Header,0)))</f>
        <v>#VALUE!</v>
      </c>
      <c r="Q114" s="62" t="e">
        <f aca="false" t="array" ref="Q114:Q114">IFERROR(INDEX(SkillData,MATCH(INDEX(PalData,MATCH($B114,PalNames,0)+1,MATCH("Passive3c",PalData_Header,0)),SkillDataCodeName,0)+1,MATCH("EffectValue1",SkillData_Header,0)))</f>
        <v>#VALUE!</v>
      </c>
      <c r="R114" s="306" t="e">
        <f aca="false" t="array" ref="R114:R114">IFERROR(INDEX(SkillData,MATCH(INDEX(PalData,MATCH($B114,PalNames,0)+1,MATCH("Passive4c",PalData_Header,0)),SkillDataCodeName,0)+1,MATCH("EffectValue1",SkillData_Header,0)))</f>
        <v>#VALUE!</v>
      </c>
      <c r="S114" s="45" t="str">
        <f aca="false">IFERROR(__xludf.dummyfunction("IFERROR(INDEX(SkillData,MATCH(Arrayformula(ARRAY_CONSTRAIN(FILTER(INDIRECT(""PalData!""&amp;ADDRESS(MATCH(B114,PalNames,0)+1,(MATCH(""Passive0a"",PalData_Header,0)))&amp;"":""&amp;ADDRESS(MATCH(B114,PalNames,0)+1,(MATCH(""Passive0a"",PalData_Header,0))+4)),LEN(INDIRE"&amp;"CT(""PalData!""&amp;ADDRESS(MATCH(B114,PalNames,0)+1,(MATCH(""Passive0a"",PalData_Header,0)))&amp;"":""&amp;ADDRESS(MATCH(B114,PalNames,0)+1,(MATCH(""Passive0a"",PalData_Header,0))+4)))&gt;0),1,1)),SkillDataCodeName,0)+1,MATCH(""EffectTypeCombined"",SkillData_Header,0))"&amp;")"),"Logging")</f>
        <v>Logging</v>
      </c>
      <c r="T114" s="45" t="str">
        <f aca="false">IFERROR(__xludf.dummyfunction("IFERROR(INDEX(SkillData,MATCH(Arrayformula(ARRAY_CONSTRAIN(FILTER(INDIRECT(""PalData!""&amp;ADDRESS(MATCH(B114,PalNames,0)+1,(MATCH(""Passive0a"",PalData_Header,0)))&amp;"":""&amp;ADDRESS(MATCH(B114,PalNames,0)+1,(MATCH(""Passive0a"",PalData_Header,0))+4)),LEN(INDIRE"&amp;"CT(""PalData!""&amp;ADDRESS(MATCH(B114,PalNames,0)+1,(MATCH(""Passive0a"",PalData_Header,0)))&amp;"":""&amp;ADDRESS(MATCH(B114,PalNames,0)+1,(MATCH(""Passive0a"",PalData_Header,0))+4)))&gt;0),1,1)),SkillDataCodeName,0)+1,MATCH(""TargetType1"",SkillData_Header,0)))"),"Self")</f>
        <v>Self</v>
      </c>
      <c r="U114" s="45" t="e">
        <f aca="false" t="array" ref="U114:U114">IF(INDEX(PalData,MATCH($B114,PalNames,0)+1,MATCH("Passive0aCondition",PalData_Header,0))=IFERROR(INDEX(SkillData,MATCH(INDEX(PalData,MATCH($B114,PalNames,0)+1,MATCH("Passive0a",PalData_Header,0)),SkillDataCodeName,0)+1,MATCH("Conditions",SkillData_Header,0))),INDEX(PalData,MATCH($B114,PalNames,0)+1,MATCH("Passive0aCondition",PalData_Header,0)),INDEX(PalData,MATCH($B114,PalNames,0)+1,MATCH("Passive0aCondition",PalData_Header,0)) &amp; IF(ISBLANK(INDEX(PalData,MATCH($B114,PalNames,0)+1,MATCH("Passive0aCondition",PalData_Header,0))),," ")&amp;IFERROR(INDEX(SkillData,MATCH(INDEX(PalData,MATCH($B114,PalNames,0)+1,MATCH("Passive0a",PalData_Header,0)),SkillDataCodeName,0)+1,MATCH("Conditions",SkillData_Header,0))))</f>
        <v>#VALUE!</v>
      </c>
      <c r="V114" s="45" t="str">
        <f aca="false">IFERROR(__xludf.dummyfunction("IFERROR(INDEX(SkillData,MATCH(Arrayformula(ARRAY_CONSTRAIN(FILTER(INDIRECT(""PalData!""&amp;ADDRESS(MATCH(B114,PalNames,0)+1,(MATCH(""Passive0a"",PalData_Header,0)))&amp;"":""&amp;ADDRESS(MATCH(B114,PalNames,0)+1,(MATCH(""Passive0a"",PalData_Header,0))+4)),LEN(INDIRE"&amp;"CT(""PalData!""&amp;ADDRESS(MATCH(B114,PalNames,0)+1,(MATCH(""Passive0a"",PalData_Header,0)))&amp;"":""&amp;ADDRESS(MATCH(B114,PalNames,0)+1,(MATCH(""Passive0a"",PalData_Header,0))+4)))&gt;0),1,1)),SkillDataCodeName,0)+1,MATCH(""ValueType1"",SkillData_Header,0)))"),"+")</f>
        <v>+</v>
      </c>
      <c r="W114" s="62" t="n">
        <f aca="false" t="array" ref="W114:W114">IFERROR(INDEX(SkillData,MATCH(INDEX(PalData,MATCH($B114,PalNames,0)+1,MATCH("Passive0a",PalData_Header,0)),SkillDataCodeName,0)+1,MATCH("EffectValue1",SkillData_Header,0)),)</f>
        <v>220</v>
      </c>
      <c r="X114" s="62" t="n">
        <f aca="false" t="array" ref="X114:X114">IFERROR(INDEX(SkillData,MATCH(INDEX(PalData,MATCH($B114,PalNames,0)+1,MATCH("Passive1a",PalData_Header,0)),SkillDataCodeName,0)+1,MATCH("EffectValue1",SkillData_Header,0)),)</f>
        <v>260</v>
      </c>
      <c r="Y114" s="62" t="n">
        <f aca="false" t="array" ref="Y114:Y114">IFERROR(INDEX(SkillData,MATCH(INDEX(PalData,MATCH($B114,PalNames,0)+1,MATCH("Passive2a",PalData_Header,0)),SkillDataCodeName,0)+1,MATCH("EffectValue1",SkillData_Header,0)),)</f>
        <v>320</v>
      </c>
      <c r="Z114" s="62" t="n">
        <f aca="false" t="array" ref="Z114:Z114">IFERROR(INDEX(SkillData,MATCH(INDEX(PalData,MATCH($B114,PalNames,0)+1,MATCH("Passive3a",PalData_Header,0)),SkillDataCodeName,0)+1,MATCH("EffectValue1",SkillData_Header,0)),)</f>
        <v>400</v>
      </c>
      <c r="AA114" s="306" t="n">
        <f aca="false" t="array" ref="AA114:AA114">IFERROR(INDEX(SkillData,MATCH(INDEX(PalData,MATCH($B114,PalNames,0)+1,MATCH("Passive4a",PalData_Header,0)),SkillDataCodeName,0)+1,MATCH("EffectValue1",SkillData_Header,0)),)</f>
        <v>500</v>
      </c>
      <c r="AB114" s="45" t="str">
        <f aca="false">IFERROR(__xludf.dummyfunction("IFERROR(INDEX(SkillData,MATCH(Arrayformula(ARRAY_CONSTRAIN(FILTER(INDIRECT(""PalData!""&amp;ADDRESS(MATCH(B114,PalNames,0)+1,(MATCH(""Passive0b"",PalData_Header,0)))&amp;"":""&amp;ADDRESS(MATCH(B114,PalNames,0)+1,(MATCH(""Passive0b"",PalData_Header,0))+4)),LEN(INDIRE"&amp;"CT(""PalData!""&amp;ADDRESS(MATCH(B114,PalNames,0)+1,(MATCH(""Passive0b"",PalData_Header,0)))&amp;"":""&amp;ADDRESS(MATCH(B114,PalNames,0)+1,(MATCH(""Passive0b"",PalData_Header,0))+4)))&gt;0),1,1)),SkillDataCodeName,0)+1,MATCH(""EffectTypeCombined"",SkillData_Header,0))"&amp;")"),"")</f>
        <v/>
      </c>
      <c r="AC114" s="45" t="str">
        <f aca="false">IFERROR(__xludf.dummyfunction("IFERROR(INDEX(SkillData,MATCH(Arrayformula(ARRAY_CONSTRAIN(FILTER(INDIRECT(""PalData!""&amp;ADDRESS(MATCH(B114,PalNames,0)+1,(MATCH(""Passive0b"",PalData_Header,0)))&amp;"":""&amp;ADDRESS(MATCH(B114,PalNames,0)+1,(MATCH(""Passive0b"",PalData_Header,0))+4)),LEN(INDIRE"&amp;"CT(""PalData!""&amp;ADDRESS(MATCH(B114,PalNames,0)+1,(MATCH(""Passive0b"",PalData_Header,0)))&amp;"":""&amp;ADDRESS(MATCH(B114,PalNames,0)+1,(MATCH(""Passive0b"",PalData_Header,0))+4)))&gt;0),1,1)),SkillDataCodeName,0)+1,MATCH(""TargetType1"",SkillData_Header,0)))"),"")</f>
        <v/>
      </c>
      <c r="AD114" s="45" t="e">
        <f aca="false" t="array" ref="AD114:AD114">IF(INDEX(PalData,MATCH($B114,PalNames,0)+1,MATCH("Passive0bCondition",PalData_Header,0))=IFERROR(INDEX(SkillData,MATCH(INDEX(PalData,MATCH($B114,PalNames,0)+1,MATCH("Passive0b",PalData_Header,0)),SkillDataCodeName,0)+1,MATCH("Conditions",SkillData_Header,0))),INDEX(PalData,MATCH($B114,PalNames,0)+1,MATCH("Passive0bCondition",PalData_Header,0)),INDEX(PalData,MATCH($B114,PalNames,0)+1,MATCH("Passive0bCondition",PalData_Header,0)) &amp; IF(ISBLANK(INDEX(PalData,MATCH($B114,PalNames,0)+1,MATCH("Passive0bCondition",PalData_Header,0))),," ")&amp;IFERROR(INDEX(SkillData,MATCH(INDEX(PalData,MATCH($B114,PalNames,0)+1,MATCH("Passive0b",PalData_Header,0)),SkillDataCodeName,0)+1,MATCH("Conditions",SkillData_Header,0))))</f>
        <v>#N/A</v>
      </c>
      <c r="AE114" s="45" t="str">
        <f aca="false">IFERROR(__xludf.dummyfunction("IFERROR(INDEX(SkillData,MATCH(Arrayformula(ARRAY_CONSTRAIN(FILTER(INDIRECT(""PalData!""&amp;ADDRESS(MATCH(B114,PalNames,0)+1,(MATCH(""Passive0b"",PalData_Header,0)))&amp;"":""&amp;ADDRESS(MATCH(B114,PalNames,0)+1,(MATCH(""Passive0b"",PalData_Header,0))+4)),LEN(INDIRE"&amp;"CT(""PalData!""&amp;ADDRESS(MATCH(B114,PalNames,0)+1,(MATCH(""Passive0b"",PalData_Header,0)))&amp;"":""&amp;ADDRESS(MATCH(B114,PalNames,0)+1,(MATCH(""Passive0b"",PalData_Header,0))+4)))&gt;0),1,1)),SkillDataCodeName,0)+1,MATCH(""ValueType1"",SkillData_Header,0)))"),"")</f>
        <v/>
      </c>
      <c r="AF114" s="45" t="n">
        <f aca="false">IFERROR(INDEX(SkillData,MATCH(INDEX(PalData,MATCH($B114,PalNames,0)+1,MATCH("Passive0b",PalData_Header,0)),SkillDataCodeName,0)+1,MATCH("EffectValue1",SkillData_Header,0)),)</f>
        <v>0</v>
      </c>
      <c r="AG114" s="45" t="n">
        <f aca="false">IFERROR(INDEX(SkillData,MATCH(INDEX(PalData,MATCH($B114,PalNames,0)+1,MATCH("Passive1b",PalData_Header,0)),SkillDataCodeName,0)+1,MATCH("EffectValue1",SkillData_Header,0)),)</f>
        <v>0</v>
      </c>
      <c r="AH114" s="45" t="n">
        <f aca="false">IFERROR(INDEX(SkillData,MATCH(INDEX(PalData,MATCH($B114,PalNames,0)+1,MATCH("Passive2b",PalData_Header,0)),SkillDataCodeName,0)+1,MATCH("EffectValue1",SkillData_Header,0)),)</f>
        <v>0</v>
      </c>
      <c r="AI114" s="45" t="n">
        <f aca="false">IFERROR(INDEX(SkillData,MATCH(INDEX(PalData,MATCH($B114,PalNames,0)+1,MATCH("Passive3b",PalData_Header,0)),SkillDataCodeName,0)+1,MATCH("EffectValue1",SkillData_Header,0)),)</f>
        <v>0</v>
      </c>
      <c r="AJ114" s="260" t="n">
        <f aca="false">IFERROR(INDEX(SkillData,MATCH(INDEX(PalData,MATCH($B114,PalNames,0)+1,MATCH("Passive4b",PalData_Header,0)),SkillDataCodeName,0)+1,MATCH("EffectValue1",SkillData_Header,0)),)</f>
        <v>0</v>
      </c>
      <c r="AK114" s="301" t="s">
        <v>378</v>
      </c>
    </row>
    <row r="115" customFormat="false" ht="15.75" hidden="false" customHeight="false" outlineLevel="0" collapsed="false">
      <c r="A115" s="302" t="n">
        <v>90</v>
      </c>
      <c r="B115" s="303" t="s">
        <v>100</v>
      </c>
      <c r="C115" s="48" t="str">
        <f aca="false" t="array" ref="C115:C115">IF(ISBLANK(INDEX(PalData,MATCH($B115,PalNames,0)+1,MATCH("ActiveSkill",PalData_Header,0))),INDEX(PalData,MATCH($B115,PalNames,0)+1,MATCH("SkillUnlock_",PalData_Header,0)),INDEX(PalData,MATCH($B115,PalNames,0)+1,MATCH("ActiveSkill",PalData_Header,0)))</f>
        <v>Saddle</v>
      </c>
      <c r="D115" s="48"/>
      <c r="E115" s="48" t="n">
        <f aca="false">INDEX(PalData,MATCH($B115,PalNames,0)+1,MATCH("ActiveSkillBonus0",PalData_Header,0))</f>
        <v>0</v>
      </c>
      <c r="F115" s="48" t="n">
        <f aca="false">INDEX(PalData,MATCH($B115,PalNames,0)+1,MATCH("ActiveSkillBonus1",PalData_Header,0))</f>
        <v>0</v>
      </c>
      <c r="G115" s="48" t="n">
        <f aca="false">INDEX(PalData,MATCH($B115,PalNames,0)+1,MATCH("ActiveSkillBonus2",PalData_Header,0))</f>
        <v>0</v>
      </c>
      <c r="H115" s="48" t="n">
        <f aca="false">INDEX(PalData,MATCH($B115,PalNames,0)+1,MATCH("ActiveSkillBonus3",PalData_Header,0))</f>
        <v>0</v>
      </c>
      <c r="I115" s="263" t="n">
        <f aca="false">INDEX(PalData,MATCH($B115,PalNames,0)+1,MATCH("ActiveSkillBonus4",PalData_Header,0))</f>
        <v>0</v>
      </c>
      <c r="J115" s="48" t="str">
        <f aca="false">IFERROR(__xludf.dummyfunction("IFERROR(INDEX(SkillData,MATCH(Arrayformula(ARRAY_CONSTRAIN(FILTER(INDIRECT(""PalData!""&amp;ADDRESS(MATCH(B115,PalNames,0)+1,(MATCH(""Passive0c"",PalData_Header,0)))&amp;"":""&amp;ADDRESS(MATCH(B115,PalNames,0)+1,(MATCH(""Passive0c"",PalData_Header,0))+4)),LEN(INDIRE"&amp;"CT(""PalData!""&amp;ADDRESS(MATCH(B115,PalNames,0)+1,(MATCH(""Passive0c"",PalData_Header,0)))&amp;"":""&amp;ADDRESS(MATCH(B115,PalNames,0)+1,(MATCH(""Passive0c"",PalData_Header,0))+4)))&gt;0),1,1)),SkillDataCodeName,0)+1,MATCH(""EffectTypeCombined"",SkillData_Header,0))"&amp;")"),"Mining")</f>
        <v>Mining</v>
      </c>
      <c r="K115" s="48" t="str">
        <f aca="false">IFERROR(__xludf.dummyfunction("IFERROR(INDEX(SkillData,MATCH(Arrayformula(ARRAY_CONSTRAIN(FILTER(INDIRECT(""PalData!""&amp;ADDRESS(MATCH(B115,PalNames,0)+1,(MATCH(""Passive0c"",PalData_Header,0)))&amp;"":""&amp;ADDRESS(MATCH(B115,PalNames,0)+1,(MATCH(""Passive0c"",PalData_Header,0))+4)),LEN(INDIRE"&amp;"CT(""PalData!""&amp;ADDRESS(MATCH(B115,PalNames,0)+1,(MATCH(""Passive0c"",PalData_Header,0)))&amp;"":""&amp;ADDRESS(MATCH(B115,PalNames,0)+1,(MATCH(""Passive0c"",PalData_Header,0))+4)))&gt;0),1,1)),SkillDataCodeName,0)+1,MATCH(""TargetType1"",SkillData_Header,0)))"),"Self")</f>
        <v>Self</v>
      </c>
      <c r="L115" s="48" t="e">
        <f aca="false" t="array" ref="L115:L115">IF(INDEX(PalData,MATCH($B115,PalNames,0)+1,MATCH("Passive0cCondition",PalData_Header,0))=IFERROR(INDEX(SkillData,MATCH(INDEX(PalData,MATCH($B115,PalNames,0)+1,MATCH("Passive0c",PalData_Header,0)),SkillDataCodeName,0)+1,MATCH("Conditions",SkillData_Header,0))),INDEX(PalData,MATCH($B115,PalNames,0)+1,MATCH("Passive0cCondition",PalData_Header,0)),INDEX(PalData,MATCH($B115,PalNames,0)+1,MATCH("Passive0cCondition",PalData_Header,0)) &amp; IF(ISBLANK(INDEX(PalData,MATCH($B115,PalNames,0)+1,MATCH("Passive0cCondition",PalData_Header,0))),," ")&amp;IFERROR(INDEX(SkillData,MATCH(INDEX(PalData,MATCH($B115,PalNames,0)+1,MATCH("Passive0c",PalData_Header,0)),SkillDataCodeName,0)+1,MATCH("Conditions",SkillData_Header,0))))</f>
        <v>#VALUE!</v>
      </c>
      <c r="M115" s="48" t="str">
        <f aca="false">IFERROR(__xludf.dummyfunction("IFERROR(INDEX(SkillData,MATCH(Arrayformula(ARRAY_CONSTRAIN(FILTER(INDIRECT(""PalData!""&amp;ADDRESS(MATCH(B115,PalNames,0)+1,(MATCH(""Passive0c"",PalData_Header,0)))&amp;"":""&amp;ADDRESS(MATCH(B115,PalNames,0)+1,(MATCH(""Passive0c"",PalData_Header,0))+4)),LEN(INDIRE"&amp;"CT(""PalData!""&amp;ADDRESS(MATCH(B115,PalNames,0)+1,(MATCH(""Passive0c"",PalData_Header,0)))&amp;"":""&amp;ADDRESS(MATCH(B115,PalNames,0)+1,(MATCH(""Passive0c"",PalData_Header,0))+4)))&gt;0),1,1)),SkillDataCodeName,0)+1,MATCH(""ValueType1"",SkillData_Header,0)))"),"+")</f>
        <v>+</v>
      </c>
      <c r="N115" s="61" t="e">
        <f aca="false" t="array" ref="N115:N115">IFERROR(INDEX(SkillData,MATCH(INDEX(PalData,MATCH($B115,PalNames,0)+1,MATCH("Passive0c",PalData_Header,0)),SkillDataCodeName,0)+1,MATCH("EffectValue1",SkillData_Header,0)))</f>
        <v>#VALUE!</v>
      </c>
      <c r="O115" s="61" t="e">
        <f aca="false" t="array" ref="O115:O115">IFERROR(INDEX(SkillData,MATCH(INDEX(PalData,MATCH($B115,PalNames,0)+1,MATCH("Passive1c",PalData_Header,0)),SkillDataCodeName,0)+1,MATCH("EffectValue1",SkillData_Header,0)))</f>
        <v>#VALUE!</v>
      </c>
      <c r="P115" s="61" t="e">
        <f aca="false" t="array" ref="P115:P115">IFERROR(INDEX(SkillData,MATCH(INDEX(PalData,MATCH($B115,PalNames,0)+1,MATCH("Passive2c",PalData_Header,0)),SkillDataCodeName,0)+1,MATCH("EffectValue1",SkillData_Header,0)))</f>
        <v>#VALUE!</v>
      </c>
      <c r="Q115" s="61" t="e">
        <f aca="false" t="array" ref="Q115:Q115">IFERROR(INDEX(SkillData,MATCH(INDEX(PalData,MATCH($B115,PalNames,0)+1,MATCH("Passive3c",PalData_Header,0)),SkillDataCodeName,0)+1,MATCH("EffectValue1",SkillData_Header,0)))</f>
        <v>#VALUE!</v>
      </c>
      <c r="R115" s="304" t="e">
        <f aca="false" t="array" ref="R115:R115">IFERROR(INDEX(SkillData,MATCH(INDEX(PalData,MATCH($B115,PalNames,0)+1,MATCH("Passive4c",PalData_Header,0)),SkillDataCodeName,0)+1,MATCH("EffectValue1",SkillData_Header,0)))</f>
        <v>#VALUE!</v>
      </c>
      <c r="S115" s="48" t="str">
        <f aca="false">IFERROR(__xludf.dummyfunction("IFERROR(INDEX(SkillData,MATCH(Arrayformula(ARRAY_CONSTRAIN(FILTER(INDIRECT(""PalData!""&amp;ADDRESS(MATCH(B115,PalNames,0)+1,(MATCH(""Passive0a"",PalData_Header,0)))&amp;"":""&amp;ADDRESS(MATCH(B115,PalNames,0)+1,(MATCH(""Passive0a"",PalData_Header,0))+4)),LEN(INDIRE"&amp;"CT(""PalData!""&amp;ADDRESS(MATCH(B115,PalNames,0)+1,(MATCH(""Passive0a"",PalData_Header,0)))&amp;"":""&amp;ADDRESS(MATCH(B115,PalNames,0)+1,(MATCH(""Passive0a"",PalData_Header,0))+4)))&gt;0),1,1)),SkillDataCodeName,0)+1,MATCH(""EffectTypeCombined"",SkillData_Header,0))"&amp;")"),"Logging")</f>
        <v>Logging</v>
      </c>
      <c r="T115" s="48" t="str">
        <f aca="false">IFERROR(__xludf.dummyfunction("IFERROR(INDEX(SkillData,MATCH(Arrayformula(ARRAY_CONSTRAIN(FILTER(INDIRECT(""PalData!""&amp;ADDRESS(MATCH(B115,PalNames,0)+1,(MATCH(""Passive0a"",PalData_Header,0)))&amp;"":""&amp;ADDRESS(MATCH(B115,PalNames,0)+1,(MATCH(""Passive0a"",PalData_Header,0))+4)),LEN(INDIRE"&amp;"CT(""PalData!""&amp;ADDRESS(MATCH(B115,PalNames,0)+1,(MATCH(""Passive0a"",PalData_Header,0)))&amp;"":""&amp;ADDRESS(MATCH(B115,PalNames,0)+1,(MATCH(""Passive0a"",PalData_Header,0))+4)))&gt;0),1,1)),SkillDataCodeName,0)+1,MATCH(""TargetType1"",SkillData_Header,0)))"),"Self")</f>
        <v>Self</v>
      </c>
      <c r="U115" s="48" t="e">
        <f aca="false" t="array" ref="U115:U115">IF(INDEX(PalData,MATCH($B115,PalNames,0)+1,MATCH("Passive0aCondition",PalData_Header,0))=IFERROR(INDEX(SkillData,MATCH(INDEX(PalData,MATCH($B115,PalNames,0)+1,MATCH("Passive0a",PalData_Header,0)),SkillDataCodeName,0)+1,MATCH("Conditions",SkillData_Header,0))),INDEX(PalData,MATCH($B115,PalNames,0)+1,MATCH("Passive0aCondition",PalData_Header,0)),INDEX(PalData,MATCH($B115,PalNames,0)+1,MATCH("Passive0aCondition",PalData_Header,0)) &amp; IF(ISBLANK(INDEX(PalData,MATCH($B115,PalNames,0)+1,MATCH("Passive0aCondition",PalData_Header,0))),," ")&amp;IFERROR(INDEX(SkillData,MATCH(INDEX(PalData,MATCH($B115,PalNames,0)+1,MATCH("Passive0a",PalData_Header,0)),SkillDataCodeName,0)+1,MATCH("Conditions",SkillData_Header,0))))</f>
        <v>#VALUE!</v>
      </c>
      <c r="V115" s="48" t="str">
        <f aca="false">IFERROR(__xludf.dummyfunction("IFERROR(INDEX(SkillData,MATCH(Arrayformula(ARRAY_CONSTRAIN(FILTER(INDIRECT(""PalData!""&amp;ADDRESS(MATCH(B115,PalNames,0)+1,(MATCH(""Passive0a"",PalData_Header,0)))&amp;"":""&amp;ADDRESS(MATCH(B115,PalNames,0)+1,(MATCH(""Passive0a"",PalData_Header,0))+4)),LEN(INDIRE"&amp;"CT(""PalData!""&amp;ADDRESS(MATCH(B115,PalNames,0)+1,(MATCH(""Passive0a"",PalData_Header,0)))&amp;"":""&amp;ADDRESS(MATCH(B115,PalNames,0)+1,(MATCH(""Passive0a"",PalData_Header,0))+4)))&gt;0),1,1)),SkillDataCodeName,0)+1,MATCH(""ValueType1"",SkillData_Header,0)))"),"+")</f>
        <v>+</v>
      </c>
      <c r="W115" s="61" t="n">
        <f aca="false" t="array" ref="W115:W115">IFERROR(INDEX(SkillData,MATCH(INDEX(PalData,MATCH($B115,PalNames,0)+1,MATCH("Passive0a",PalData_Header,0)),SkillDataCodeName,0)+1,MATCH("EffectValue1",SkillData_Header,0)),)</f>
        <v>220</v>
      </c>
      <c r="X115" s="61" t="n">
        <f aca="false" t="array" ref="X115:X115">IFERROR(INDEX(SkillData,MATCH(INDEX(PalData,MATCH($B115,PalNames,0)+1,MATCH("Passive1a",PalData_Header,0)),SkillDataCodeName,0)+1,MATCH("EffectValue1",SkillData_Header,0)),)</f>
        <v>260</v>
      </c>
      <c r="Y115" s="61" t="n">
        <f aca="false" t="array" ref="Y115:Y115">IFERROR(INDEX(SkillData,MATCH(INDEX(PalData,MATCH($B115,PalNames,0)+1,MATCH("Passive2a",PalData_Header,0)),SkillDataCodeName,0)+1,MATCH("EffectValue1",SkillData_Header,0)),)</f>
        <v>320</v>
      </c>
      <c r="Z115" s="61" t="n">
        <f aca="false" t="array" ref="Z115:Z115">IFERROR(INDEX(SkillData,MATCH(INDEX(PalData,MATCH($B115,PalNames,0)+1,MATCH("Passive3a",PalData_Header,0)),SkillDataCodeName,0)+1,MATCH("EffectValue1",SkillData_Header,0)),)</f>
        <v>400</v>
      </c>
      <c r="AA115" s="304" t="n">
        <f aca="false" t="array" ref="AA115:AA115">IFERROR(INDEX(SkillData,MATCH(INDEX(PalData,MATCH($B115,PalNames,0)+1,MATCH("Passive4a",PalData_Header,0)),SkillDataCodeName,0)+1,MATCH("EffectValue1",SkillData_Header,0)),)</f>
        <v>500</v>
      </c>
      <c r="AB115" s="48" t="str">
        <f aca="false">IFERROR(__xludf.dummyfunction("IFERROR(INDEX(SkillData,MATCH(Arrayformula(ARRAY_CONSTRAIN(FILTER(INDIRECT(""PalData!""&amp;ADDRESS(MATCH(B115,PalNames,0)+1,(MATCH(""Passive0b"",PalData_Header,0)))&amp;"":""&amp;ADDRESS(MATCH(B115,PalNames,0)+1,(MATCH(""Passive0b"",PalData_Header,0))+4)),LEN(INDIRE"&amp;"CT(""PalData!""&amp;ADDRESS(MATCH(B115,PalNames,0)+1,(MATCH(""Passive0b"",PalData_Header,0)))&amp;"":""&amp;ADDRESS(MATCH(B115,PalNames,0)+1,(MATCH(""Passive0b"",PalData_Header,0))+4)))&gt;0),1,1)),SkillDataCodeName,0)+1,MATCH(""EffectTypeCombined"",SkillData_Header,0))"&amp;")"),"")</f>
        <v/>
      </c>
      <c r="AC115" s="48" t="str">
        <f aca="false">IFERROR(__xludf.dummyfunction("IFERROR(INDEX(SkillData,MATCH(Arrayformula(ARRAY_CONSTRAIN(FILTER(INDIRECT(""PalData!""&amp;ADDRESS(MATCH(B115,PalNames,0)+1,(MATCH(""Passive0b"",PalData_Header,0)))&amp;"":""&amp;ADDRESS(MATCH(B115,PalNames,0)+1,(MATCH(""Passive0b"",PalData_Header,0))+4)),LEN(INDIRE"&amp;"CT(""PalData!""&amp;ADDRESS(MATCH(B115,PalNames,0)+1,(MATCH(""Passive0b"",PalData_Header,0)))&amp;"":""&amp;ADDRESS(MATCH(B115,PalNames,0)+1,(MATCH(""Passive0b"",PalData_Header,0))+4)))&gt;0),1,1)),SkillDataCodeName,0)+1,MATCH(""TargetType1"",SkillData_Header,0)))"),"")</f>
        <v/>
      </c>
      <c r="AD115" s="48" t="e">
        <f aca="false" t="array" ref="AD115:AD115">IF(INDEX(PalData,MATCH($B115,PalNames,0)+1,MATCH("Passive0bCondition",PalData_Header,0))=IFERROR(INDEX(SkillData,MATCH(INDEX(PalData,MATCH($B115,PalNames,0)+1,MATCH("Passive0b",PalData_Header,0)),SkillDataCodeName,0)+1,MATCH("Conditions",SkillData_Header,0))),INDEX(PalData,MATCH($B115,PalNames,0)+1,MATCH("Passive0bCondition",PalData_Header,0)),INDEX(PalData,MATCH($B115,PalNames,0)+1,MATCH("Passive0bCondition",PalData_Header,0)) &amp; IF(ISBLANK(INDEX(PalData,MATCH($B115,PalNames,0)+1,MATCH("Passive0bCondition",PalData_Header,0))),," ")&amp;IFERROR(INDEX(SkillData,MATCH(INDEX(PalData,MATCH($B115,PalNames,0)+1,MATCH("Passive0b",PalData_Header,0)),SkillDataCodeName,0)+1,MATCH("Conditions",SkillData_Header,0))))</f>
        <v>#N/A</v>
      </c>
      <c r="AE115" s="48" t="str">
        <f aca="false">IFERROR(__xludf.dummyfunction("IFERROR(INDEX(SkillData,MATCH(Arrayformula(ARRAY_CONSTRAIN(FILTER(INDIRECT(""PalData!""&amp;ADDRESS(MATCH(B115,PalNames,0)+1,(MATCH(""Passive0b"",PalData_Header,0)))&amp;"":""&amp;ADDRESS(MATCH(B115,PalNames,0)+1,(MATCH(""Passive0b"",PalData_Header,0))+4)),LEN(INDIRE"&amp;"CT(""PalData!""&amp;ADDRESS(MATCH(B115,PalNames,0)+1,(MATCH(""Passive0b"",PalData_Header,0)))&amp;"":""&amp;ADDRESS(MATCH(B115,PalNames,0)+1,(MATCH(""Passive0b"",PalData_Header,0))+4)))&gt;0),1,1)),SkillDataCodeName,0)+1,MATCH(""ValueType1"",SkillData_Header,0)))"),"")</f>
        <v/>
      </c>
      <c r="AF115" s="48" t="n">
        <f aca="false">IFERROR(INDEX(SkillData,MATCH(INDEX(PalData,MATCH($B115,PalNames,0)+1,MATCH("Passive0b",PalData_Header,0)),SkillDataCodeName,0)+1,MATCH("EffectValue1",SkillData_Header,0)),)</f>
        <v>0</v>
      </c>
      <c r="AG115" s="48" t="n">
        <f aca="false">IFERROR(INDEX(SkillData,MATCH(INDEX(PalData,MATCH($B115,PalNames,0)+1,MATCH("Passive1b",PalData_Header,0)),SkillDataCodeName,0)+1,MATCH("EffectValue1",SkillData_Header,0)),)</f>
        <v>0</v>
      </c>
      <c r="AH115" s="48" t="n">
        <f aca="false">IFERROR(INDEX(SkillData,MATCH(INDEX(PalData,MATCH($B115,PalNames,0)+1,MATCH("Passive2b",PalData_Header,0)),SkillDataCodeName,0)+1,MATCH("EffectValue1",SkillData_Header,0)),)</f>
        <v>0</v>
      </c>
      <c r="AI115" s="48" t="n">
        <f aca="false">IFERROR(INDEX(SkillData,MATCH(INDEX(PalData,MATCH($B115,PalNames,0)+1,MATCH("Passive3b",PalData_Header,0)),SkillDataCodeName,0)+1,MATCH("EffectValue1",SkillData_Header,0)),)</f>
        <v>0</v>
      </c>
      <c r="AJ115" s="263" t="n">
        <f aca="false">IFERROR(INDEX(SkillData,MATCH(INDEX(PalData,MATCH($B115,PalNames,0)+1,MATCH("Passive4b",PalData_Header,0)),SkillDataCodeName,0)+1,MATCH("EffectValue1",SkillData_Header,0)),)</f>
        <v>0</v>
      </c>
      <c r="AK115" s="305" t="s">
        <v>379</v>
      </c>
    </row>
    <row r="116" customFormat="false" ht="15.75" hidden="false" customHeight="false" outlineLevel="0" collapsed="false">
      <c r="A116" s="299" t="n">
        <v>91</v>
      </c>
      <c r="B116" s="300" t="s">
        <v>152</v>
      </c>
      <c r="C116" s="45" t="str">
        <f aca="false" t="array" ref="C116:C116">IF(ISBLANK(INDEX(PalData,MATCH($B116,PalNames,0)+1,MATCH("ActiveSkill",PalData_Header,0))),INDEX(PalData,MATCH($B116,PalNames,0)+1,MATCH("SkillUnlock_",PalData_Header,0)),INDEX(PalData,MATCH($B116,PalNames,0)+1,MATCH("ActiveSkill",PalData_Header,0)))</f>
        <v>Saddle</v>
      </c>
      <c r="D116" s="45"/>
      <c r="E116" s="45" t="n">
        <f aca="false">INDEX(PalData,MATCH($B116,PalNames,0)+1,MATCH("ActiveSkillBonus0",PalData_Header,0))</f>
        <v>0</v>
      </c>
      <c r="F116" s="45" t="n">
        <f aca="false">INDEX(PalData,MATCH($B116,PalNames,0)+1,MATCH("ActiveSkillBonus1",PalData_Header,0))</f>
        <v>0</v>
      </c>
      <c r="G116" s="45" t="n">
        <f aca="false">INDEX(PalData,MATCH($B116,PalNames,0)+1,MATCH("ActiveSkillBonus2",PalData_Header,0))</f>
        <v>0</v>
      </c>
      <c r="H116" s="45" t="n">
        <f aca="false">INDEX(PalData,MATCH($B116,PalNames,0)+1,MATCH("ActiveSkillBonus3",PalData_Header,0))</f>
        <v>0</v>
      </c>
      <c r="I116" s="260" t="n">
        <f aca="false">INDEX(PalData,MATCH($B116,PalNames,0)+1,MATCH("ActiveSkillBonus4",PalData_Header,0))</f>
        <v>0</v>
      </c>
      <c r="J116" s="45" t="str">
        <f aca="false">IFERROR(__xludf.dummyfunction("IFERROR(INDEX(SkillData,MATCH(Arrayformula(ARRAY_CONSTRAIN(FILTER(INDIRECT(""PalData!""&amp;ADDRESS(MATCH(B116,PalNames,0)+1,(MATCH(""Passive0c"",PalData_Header,0)))&amp;"":""&amp;ADDRESS(MATCH(B116,PalNames,0)+1,(MATCH(""Passive0c"",PalData_Header,0))+4)),LEN(INDIRE"&amp;"CT(""PalData!""&amp;ADDRESS(MATCH(B116,PalNames,0)+1,(MATCH(""Passive0c"",PalData_Header,0)))&amp;"":""&amp;ADDRESS(MATCH(B116,PalNames,0)+1,(MATCH(""Passive0c"",PalData_Header,0))+4)))&gt;0),1,1)),SkillDataCodeName,0)+1,MATCH(""EffectTypeCombined"",SkillData_Header,0))"&amp;")"),"MaxInventoryWeight")</f>
        <v>MaxInventoryWeight</v>
      </c>
      <c r="K116" s="45" t="str">
        <f aca="false">IFERROR(__xludf.dummyfunction("IFERROR(INDEX(SkillData,MATCH(Arrayformula(ARRAY_CONSTRAIN(FILTER(INDIRECT(""PalData!""&amp;ADDRESS(MATCH(B116,PalNames,0)+1,(MATCH(""Passive0c"",PalData_Header,0)))&amp;"":""&amp;ADDRESS(MATCH(B116,PalNames,0)+1,(MATCH(""Passive0c"",PalData_Header,0))+4)),LEN(INDIRE"&amp;"CT(""PalData!""&amp;ADDRESS(MATCH(B116,PalNames,0)+1,(MATCH(""Passive0c"",PalData_Header,0)))&amp;"":""&amp;ADDRESS(MATCH(B116,PalNames,0)+1,(MATCH(""Passive0c"",PalData_Header,0))+4)))&gt;0),1,1)),SkillDataCodeName,0)+1,MATCH(""TargetType1"",SkillData_Header,0)))"),"Trainer")</f>
        <v>Trainer</v>
      </c>
      <c r="L116" s="45" t="e">
        <f aca="false" t="array" ref="L116:L116">IF(INDEX(PalData,MATCH($B116,PalNames,0)+1,MATCH("Passive0cCondition",PalData_Header,0))=IFERROR(INDEX(SkillData,MATCH(INDEX(PalData,MATCH($B116,PalNames,0)+1,MATCH("Passive0c",PalData_Header,0)),SkillDataCodeName,0)+1,MATCH("Conditions",SkillData_Header,0))),INDEX(PalData,MATCH($B116,PalNames,0)+1,MATCH("Passive0cCondition",PalData_Header,0)),INDEX(PalData,MATCH($B116,PalNames,0)+1,MATCH("Passive0cCondition",PalData_Header,0)) &amp; IF(ISBLANK(INDEX(PalData,MATCH($B116,PalNames,0)+1,MATCH("Passive0cCondition",PalData_Header,0))),," ")&amp;IFERROR(INDEX(SkillData,MATCH(INDEX(PalData,MATCH($B116,PalNames,0)+1,MATCH("Passive0c",PalData_Header,0)),SkillDataCodeName,0)+1,MATCH("Conditions",SkillData_Header,0))))</f>
        <v>#VALUE!</v>
      </c>
      <c r="M116" s="45" t="str">
        <f aca="false">IFERROR(__xludf.dummyfunction("IFERROR(INDEX(SkillData,MATCH(Arrayformula(ARRAY_CONSTRAIN(FILTER(INDIRECT(""PalData!""&amp;ADDRESS(MATCH(B116,PalNames,0)+1,(MATCH(""Passive0c"",PalData_Header,0)))&amp;"":""&amp;ADDRESS(MATCH(B116,PalNames,0)+1,(MATCH(""Passive0c"",PalData_Header,0))+4)),LEN(INDIRE"&amp;"CT(""PalData!""&amp;ADDRESS(MATCH(B116,PalNames,0)+1,(MATCH(""Passive0c"",PalData_Header,0)))&amp;"":""&amp;ADDRESS(MATCH(B116,PalNames,0)+1,(MATCH(""Passive0c"",PalData_Header,0))+4)))&gt;0),1,1)),SkillDataCodeName,0)+1,MATCH(""ValueType1"",SkillData_Header,0)))"),"+")</f>
        <v>+</v>
      </c>
      <c r="N116" s="62" t="e">
        <f aca="false" t="array" ref="N116:N116">IFERROR(INDEX(SkillData,MATCH(INDEX(PalData,MATCH($B116,PalNames,0)+1,MATCH("Passive0c",PalData_Header,0)),SkillDataCodeName,0)+1,MATCH("EffectValue1",SkillData_Header,0)))</f>
        <v>#VALUE!</v>
      </c>
      <c r="O116" s="62" t="e">
        <f aca="false" t="array" ref="O116:O116">IFERROR(INDEX(SkillData,MATCH(INDEX(PalData,MATCH($B116,PalNames,0)+1,MATCH("Passive1c",PalData_Header,0)),SkillDataCodeName,0)+1,MATCH("EffectValue1",SkillData_Header,0)))</f>
        <v>#VALUE!</v>
      </c>
      <c r="P116" s="62" t="e">
        <f aca="false" t="array" ref="P116:P116">IFERROR(INDEX(SkillData,MATCH(INDEX(PalData,MATCH($B116,PalNames,0)+1,MATCH("Passive2c",PalData_Header,0)),SkillDataCodeName,0)+1,MATCH("EffectValue1",SkillData_Header,0)))</f>
        <v>#VALUE!</v>
      </c>
      <c r="Q116" s="62" t="e">
        <f aca="false" t="array" ref="Q116:Q116">IFERROR(INDEX(SkillData,MATCH(INDEX(PalData,MATCH($B116,PalNames,0)+1,MATCH("Passive3c",PalData_Header,0)),SkillDataCodeName,0)+1,MATCH("EffectValue1",SkillData_Header,0)))</f>
        <v>#VALUE!</v>
      </c>
      <c r="R116" s="306" t="e">
        <f aca="false" t="array" ref="R116:R116">IFERROR(INDEX(SkillData,MATCH(INDEX(PalData,MATCH($B116,PalNames,0)+1,MATCH("Passive4c",PalData_Header,0)),SkillDataCodeName,0)+1,MATCH("EffectValue1",SkillData_Header,0)))</f>
        <v>#VALUE!</v>
      </c>
      <c r="S116" s="45" t="str">
        <f aca="false">IFERROR(__xludf.dummyfunction("IFERROR(INDEX(SkillData,MATCH(Arrayformula(ARRAY_CONSTRAIN(FILTER(INDIRECT(""PalData!""&amp;ADDRESS(MATCH(B116,PalNames,0)+1,(MATCH(""Passive0a"",PalData_Header,0)))&amp;"":""&amp;ADDRESS(MATCH(B116,PalNames,0)+1,(MATCH(""Passive0a"",PalData_Header,0))+4)),LEN(INDIRE"&amp;"CT(""PalData!""&amp;ADDRESS(MATCH(B116,PalNames,0)+1,(MATCH(""Passive0a"",PalData_Header,0)))&amp;"":""&amp;ADDRESS(MATCH(B116,PalNames,0)+1,(MATCH(""Passive0a"",PalData_Header,0))+4)))&gt;0),1,1)),SkillDataCodeName,0)+1,MATCH(""EffectTypeCombined"",SkillData_Header,0))"&amp;")"),"")</f>
        <v/>
      </c>
      <c r="T116" s="45" t="str">
        <f aca="false">IFERROR(__xludf.dummyfunction("IFERROR(INDEX(SkillData,MATCH(Arrayformula(ARRAY_CONSTRAIN(FILTER(INDIRECT(""PalData!""&amp;ADDRESS(MATCH(B116,PalNames,0)+1,(MATCH(""Passive0a"",PalData_Header,0)))&amp;"":""&amp;ADDRESS(MATCH(B116,PalNames,0)+1,(MATCH(""Passive0a"",PalData_Header,0))+4)),LEN(INDIRE"&amp;"CT(""PalData!""&amp;ADDRESS(MATCH(B116,PalNames,0)+1,(MATCH(""Passive0a"",PalData_Header,0)))&amp;"":""&amp;ADDRESS(MATCH(B116,PalNames,0)+1,(MATCH(""Passive0a"",PalData_Header,0))+4)))&gt;0),1,1)),SkillDataCodeName,0)+1,MATCH(""TargetType1"",SkillData_Header,0)))"),"")</f>
        <v/>
      </c>
      <c r="U116" s="45" t="e">
        <f aca="false" t="array" ref="U116:U116">IF(INDEX(PalData,MATCH($B116,PalNames,0)+1,MATCH("Passive0aCondition",PalData_Header,0))=IFERROR(INDEX(SkillData,MATCH(INDEX(PalData,MATCH($B116,PalNames,0)+1,MATCH("Passive0a",PalData_Header,0)),SkillDataCodeName,0)+1,MATCH("Conditions",SkillData_Header,0))),INDEX(PalData,MATCH($B116,PalNames,0)+1,MATCH("Passive0aCondition",PalData_Header,0)),INDEX(PalData,MATCH($B116,PalNames,0)+1,MATCH("Passive0aCondition",PalData_Header,0)) &amp; IF(ISBLANK(INDEX(PalData,MATCH($B116,PalNames,0)+1,MATCH("Passive0aCondition",PalData_Header,0))),," ")&amp;IFERROR(INDEX(SkillData,MATCH(INDEX(PalData,MATCH($B116,PalNames,0)+1,MATCH("Passive0a",PalData_Header,0)),SkillDataCodeName,0)+1,MATCH("Conditions",SkillData_Header,0))))</f>
        <v>#N/A</v>
      </c>
      <c r="V116" s="45" t="str">
        <f aca="false">IFERROR(__xludf.dummyfunction("IFERROR(INDEX(SkillData,MATCH(Arrayformula(ARRAY_CONSTRAIN(FILTER(INDIRECT(""PalData!""&amp;ADDRESS(MATCH(B116,PalNames,0)+1,(MATCH(""Passive0a"",PalData_Header,0)))&amp;"":""&amp;ADDRESS(MATCH(B116,PalNames,0)+1,(MATCH(""Passive0a"",PalData_Header,0))+4)),LEN(INDIRE"&amp;"CT(""PalData!""&amp;ADDRESS(MATCH(B116,PalNames,0)+1,(MATCH(""Passive0a"",PalData_Header,0)))&amp;"":""&amp;ADDRESS(MATCH(B116,PalNames,0)+1,(MATCH(""Passive0a"",PalData_Header,0))+4)))&gt;0),1,1)),SkillDataCodeName,0)+1,MATCH(""ValueType1"",SkillData_Header,0)))"),"")</f>
        <v/>
      </c>
      <c r="W116" s="45" t="n">
        <f aca="false">IFERROR(INDEX(SkillData,MATCH(INDEX(PalData,MATCH($B116,PalNames,0)+1,MATCH("Passive0a",PalData_Header,0)),SkillDataCodeName,0)+1,MATCH("EffectValue1",SkillData_Header,0)),)</f>
        <v>0</v>
      </c>
      <c r="X116" s="45" t="n">
        <f aca="false">IFERROR(INDEX(SkillData,MATCH(INDEX(PalData,MATCH($B116,PalNames,0)+1,MATCH("Passive1a",PalData_Header,0)),SkillDataCodeName,0)+1,MATCH("EffectValue1",SkillData_Header,0)),)</f>
        <v>0</v>
      </c>
      <c r="Y116" s="45" t="n">
        <f aca="false">IFERROR(INDEX(SkillData,MATCH(INDEX(PalData,MATCH($B116,PalNames,0)+1,MATCH("Passive2a",PalData_Header,0)),SkillDataCodeName,0)+1,MATCH("EffectValue1",SkillData_Header,0)),)</f>
        <v>0</v>
      </c>
      <c r="Z116" s="45" t="n">
        <f aca="false">IFERROR(INDEX(SkillData,MATCH(INDEX(PalData,MATCH($B116,PalNames,0)+1,MATCH("Passive3a",PalData_Header,0)),SkillDataCodeName,0)+1,MATCH("EffectValue1",SkillData_Header,0)),)</f>
        <v>0</v>
      </c>
      <c r="AA116" s="260" t="n">
        <f aca="false">IFERROR(INDEX(SkillData,MATCH(INDEX(PalData,MATCH($B116,PalNames,0)+1,MATCH("Passive4a",PalData_Header,0)),SkillDataCodeName,0)+1,MATCH("EffectValue1",SkillData_Header,0)),)</f>
        <v>0</v>
      </c>
      <c r="AB116" s="45" t="str">
        <f aca="false">IFERROR(__xludf.dummyfunction("IFERROR(INDEX(SkillData,MATCH(Arrayformula(ARRAY_CONSTRAIN(FILTER(INDIRECT(""PalData!""&amp;ADDRESS(MATCH(B116,PalNames,0)+1,(MATCH(""Passive0b"",PalData_Header,0)))&amp;"":""&amp;ADDRESS(MATCH(B116,PalNames,0)+1,(MATCH(""Passive0b"",PalData_Header,0))+4)),LEN(INDIRE"&amp;"CT(""PalData!""&amp;ADDRESS(MATCH(B116,PalNames,0)+1,(MATCH(""Passive0b"",PalData_Header,0)))&amp;"":""&amp;ADDRESS(MATCH(B116,PalNames,0)+1,(MATCH(""Passive0b"",PalData_Header,0))+4)))&gt;0),1,1)),SkillDataCodeName,0)+1,MATCH(""EffectTypeCombined"",SkillData_Header,0))"&amp;")"),"")</f>
        <v/>
      </c>
      <c r="AC116" s="45" t="str">
        <f aca="false">IFERROR(__xludf.dummyfunction("IFERROR(INDEX(SkillData,MATCH(Arrayformula(ARRAY_CONSTRAIN(FILTER(INDIRECT(""PalData!""&amp;ADDRESS(MATCH(B116,PalNames,0)+1,(MATCH(""Passive0b"",PalData_Header,0)))&amp;"":""&amp;ADDRESS(MATCH(B116,PalNames,0)+1,(MATCH(""Passive0b"",PalData_Header,0))+4)),LEN(INDIRE"&amp;"CT(""PalData!""&amp;ADDRESS(MATCH(B116,PalNames,0)+1,(MATCH(""Passive0b"",PalData_Header,0)))&amp;"":""&amp;ADDRESS(MATCH(B116,PalNames,0)+1,(MATCH(""Passive0b"",PalData_Header,0))+4)))&gt;0),1,1)),SkillDataCodeName,0)+1,MATCH(""TargetType1"",SkillData_Header,0)))"),"")</f>
        <v/>
      </c>
      <c r="AD116" s="45" t="e">
        <f aca="false" t="array" ref="AD116:AD116">IF(INDEX(PalData,MATCH($B116,PalNames,0)+1,MATCH("Passive0bCondition",PalData_Header,0))=IFERROR(INDEX(SkillData,MATCH(INDEX(PalData,MATCH($B116,PalNames,0)+1,MATCH("Passive0b",PalData_Header,0)),SkillDataCodeName,0)+1,MATCH("Conditions",SkillData_Header,0))),INDEX(PalData,MATCH($B116,PalNames,0)+1,MATCH("Passive0bCondition",PalData_Header,0)),INDEX(PalData,MATCH($B116,PalNames,0)+1,MATCH("Passive0bCondition",PalData_Header,0)) &amp; IF(ISBLANK(INDEX(PalData,MATCH($B116,PalNames,0)+1,MATCH("Passive0bCondition",PalData_Header,0))),," ")&amp;IFERROR(INDEX(SkillData,MATCH(INDEX(PalData,MATCH($B116,PalNames,0)+1,MATCH("Passive0b",PalData_Header,0)),SkillDataCodeName,0)+1,MATCH("Conditions",SkillData_Header,0))))</f>
        <v>#N/A</v>
      </c>
      <c r="AE116" s="45" t="str">
        <f aca="false">IFERROR(__xludf.dummyfunction("IFERROR(INDEX(SkillData,MATCH(Arrayformula(ARRAY_CONSTRAIN(FILTER(INDIRECT(""PalData!""&amp;ADDRESS(MATCH(B116,PalNames,0)+1,(MATCH(""Passive0b"",PalData_Header,0)))&amp;"":""&amp;ADDRESS(MATCH(B116,PalNames,0)+1,(MATCH(""Passive0b"",PalData_Header,0))+4)),LEN(INDIRE"&amp;"CT(""PalData!""&amp;ADDRESS(MATCH(B116,PalNames,0)+1,(MATCH(""Passive0b"",PalData_Header,0)))&amp;"":""&amp;ADDRESS(MATCH(B116,PalNames,0)+1,(MATCH(""Passive0b"",PalData_Header,0))+4)))&gt;0),1,1)),SkillDataCodeName,0)+1,MATCH(""ValueType1"",SkillData_Header,0)))"),"")</f>
        <v/>
      </c>
      <c r="AF116" s="45" t="n">
        <f aca="false">IFERROR(INDEX(SkillData,MATCH(INDEX(PalData,MATCH($B116,PalNames,0)+1,MATCH(AF$3,PalData_Header,0)),SkillDataCodeName,0)+1,MATCH("EffectValue1",SkillData_Header,0)),)</f>
        <v>0</v>
      </c>
      <c r="AG116" s="45" t="n">
        <f aca="false">IFERROR(INDEX(SkillData,MATCH(INDEX(PalData,MATCH($B116,PalNames,0)+1,MATCH(AG$3,PalData_Header,0)),SkillDataCodeName,0)+1,MATCH("EffectValue1",SkillData_Header,0)),)</f>
        <v>0</v>
      </c>
      <c r="AH116" s="45" t="n">
        <f aca="false">IFERROR(INDEX(SkillData,MATCH(INDEX(PalData,MATCH($B116,PalNames,0)+1,MATCH(AH$3,PalData_Header,0)),SkillDataCodeName,0)+1,MATCH("EffectValue1",SkillData_Header,0)),)</f>
        <v>0</v>
      </c>
      <c r="AI116" s="45" t="n">
        <f aca="false">IFERROR(INDEX(SkillData,MATCH(INDEX(PalData,MATCH($B116,PalNames,0)+1,MATCH(AI$3,PalData_Header,0)),SkillDataCodeName,0)+1,MATCH("EffectValue1",SkillData_Header,0)),)</f>
        <v>0</v>
      </c>
      <c r="AJ116" s="260" t="n">
        <f aca="false">IFERROR(INDEX(SkillData,MATCH(INDEX(PalData,MATCH($B116,PalNames,0)+1,MATCH(AJ$3,PalData_Header,0)),SkillDataCodeName,0)+1,MATCH("EffectValue1",SkillData_Header,0)),)</f>
        <v>0</v>
      </c>
      <c r="AK116" s="301" t="s">
        <v>380</v>
      </c>
    </row>
    <row r="117" customFormat="false" ht="15.75" hidden="false" customHeight="false" outlineLevel="0" collapsed="false">
      <c r="A117" s="302" t="n">
        <v>91</v>
      </c>
      <c r="B117" s="303" t="s">
        <v>153</v>
      </c>
      <c r="C117" s="48" t="str">
        <f aca="false" t="array" ref="C117:C117">IF(ISBLANK(INDEX(PalData,MATCH($B117,PalNames,0)+1,MATCH("ActiveSkill",PalData_Header,0))),INDEX(PalData,MATCH($B117,PalNames,0)+1,MATCH("SkillUnlock_",PalData_Header,0)),INDEX(PalData,MATCH($B117,PalNames,0)+1,MATCH("ActiveSkill",PalData_Header,0)))</f>
        <v>Saddle</v>
      </c>
      <c r="D117" s="48"/>
      <c r="E117" s="48" t="n">
        <f aca="false">INDEX(PalData,MATCH($B117,PalNames,0)+1,MATCH("ActiveSkillBonus0",PalData_Header,0))</f>
        <v>0</v>
      </c>
      <c r="F117" s="48" t="n">
        <f aca="false">INDEX(PalData,MATCH($B117,PalNames,0)+1,MATCH("ActiveSkillBonus1",PalData_Header,0))</f>
        <v>0</v>
      </c>
      <c r="G117" s="48" t="n">
        <f aca="false">INDEX(PalData,MATCH($B117,PalNames,0)+1,MATCH("ActiveSkillBonus2",PalData_Header,0))</f>
        <v>0</v>
      </c>
      <c r="H117" s="48" t="n">
        <f aca="false">INDEX(PalData,MATCH($B117,PalNames,0)+1,MATCH("ActiveSkillBonus3",PalData_Header,0))</f>
        <v>0</v>
      </c>
      <c r="I117" s="263" t="n">
        <f aca="false">INDEX(PalData,MATCH($B117,PalNames,0)+1,MATCH("ActiveSkillBonus4",PalData_Header,0))</f>
        <v>0</v>
      </c>
      <c r="J117" s="48" t="str">
        <f aca="false">IFERROR(__xludf.dummyfunction("IFERROR(INDEX(SkillData,MATCH(Arrayformula(ARRAY_CONSTRAIN(FILTER(INDIRECT(""PalData!""&amp;ADDRESS(MATCH(B117,PalNames,0)+1,(MATCH(""Passive0c"",PalData_Header,0)))&amp;"":""&amp;ADDRESS(MATCH(B117,PalNames,0)+1,(MATCH(""Passive0c"",PalData_Header,0))+4)),LEN(INDIRE"&amp;"CT(""PalData!""&amp;ADDRESS(MATCH(B117,PalNames,0)+1,(MATCH(""Passive0c"",PalData_Header,0)))&amp;"":""&amp;ADDRESS(MATCH(B117,PalNames,0)+1,(MATCH(""Passive0c"",PalData_Header,0))+4)))&gt;0),1,1)),SkillDataCodeName,0)+1,MATCH(""EffectTypeCombined"",SkillData_Header,0))"&amp;")"),"MaxInventoryWeight")</f>
        <v>MaxInventoryWeight</v>
      </c>
      <c r="K117" s="48" t="str">
        <f aca="false">IFERROR(__xludf.dummyfunction("IFERROR(INDEX(SkillData,MATCH(Arrayformula(ARRAY_CONSTRAIN(FILTER(INDIRECT(""PalData!""&amp;ADDRESS(MATCH(B117,PalNames,0)+1,(MATCH(""Passive0c"",PalData_Header,0)))&amp;"":""&amp;ADDRESS(MATCH(B117,PalNames,0)+1,(MATCH(""Passive0c"",PalData_Header,0))+4)),LEN(INDIRE"&amp;"CT(""PalData!""&amp;ADDRESS(MATCH(B117,PalNames,0)+1,(MATCH(""Passive0c"",PalData_Header,0)))&amp;"":""&amp;ADDRESS(MATCH(B117,PalNames,0)+1,(MATCH(""Passive0c"",PalData_Header,0))+4)))&gt;0),1,1)),SkillDataCodeName,0)+1,MATCH(""TargetType1"",SkillData_Header,0)))"),"Trainer")</f>
        <v>Trainer</v>
      </c>
      <c r="L117" s="48" t="e">
        <f aca="false" t="array" ref="L117:L117">IF(INDEX(PalData,MATCH($B117,PalNames,0)+1,MATCH("Passive0cCondition",PalData_Header,0))=IFERROR(INDEX(SkillData,MATCH(INDEX(PalData,MATCH($B117,PalNames,0)+1,MATCH("Passive0c",PalData_Header,0)),SkillDataCodeName,0)+1,MATCH("Conditions",SkillData_Header,0))),INDEX(PalData,MATCH($B117,PalNames,0)+1,MATCH("Passive0cCondition",PalData_Header,0)),INDEX(PalData,MATCH($B117,PalNames,0)+1,MATCH("Passive0cCondition",PalData_Header,0)) &amp; IF(ISBLANK(INDEX(PalData,MATCH($B117,PalNames,0)+1,MATCH("Passive0cCondition",PalData_Header,0))),," ")&amp;IFERROR(INDEX(SkillData,MATCH(INDEX(PalData,MATCH($B117,PalNames,0)+1,MATCH("Passive0c",PalData_Header,0)),SkillDataCodeName,0)+1,MATCH("Conditions",SkillData_Header,0))))</f>
        <v>#VALUE!</v>
      </c>
      <c r="M117" s="48" t="str">
        <f aca="false">IFERROR(__xludf.dummyfunction("IFERROR(INDEX(SkillData,MATCH(Arrayformula(ARRAY_CONSTRAIN(FILTER(INDIRECT(""PalData!""&amp;ADDRESS(MATCH(B117,PalNames,0)+1,(MATCH(""Passive0c"",PalData_Header,0)))&amp;"":""&amp;ADDRESS(MATCH(B117,PalNames,0)+1,(MATCH(""Passive0c"",PalData_Header,0))+4)),LEN(INDIRE"&amp;"CT(""PalData!""&amp;ADDRESS(MATCH(B117,PalNames,0)+1,(MATCH(""Passive0c"",PalData_Header,0)))&amp;"":""&amp;ADDRESS(MATCH(B117,PalNames,0)+1,(MATCH(""Passive0c"",PalData_Header,0))+4)))&gt;0),1,1)),SkillDataCodeName,0)+1,MATCH(""ValueType1"",SkillData_Header,0)))"),"+")</f>
        <v>+</v>
      </c>
      <c r="N117" s="61" t="e">
        <f aca="false" t="array" ref="N117:N117">IFERROR(INDEX(SkillData,MATCH(INDEX(PalData,MATCH($B117,PalNames,0)+1,MATCH("Passive0c",PalData_Header,0)),SkillDataCodeName,0)+1,MATCH("EffectValue1",SkillData_Header,0)))</f>
        <v>#VALUE!</v>
      </c>
      <c r="O117" s="61" t="e">
        <f aca="false" t="array" ref="O117:O117">IFERROR(INDEX(SkillData,MATCH(INDEX(PalData,MATCH($B117,PalNames,0)+1,MATCH("Passive1c",PalData_Header,0)),SkillDataCodeName,0)+1,MATCH("EffectValue1",SkillData_Header,0)))</f>
        <v>#VALUE!</v>
      </c>
      <c r="P117" s="61" t="e">
        <f aca="false" t="array" ref="P117:P117">IFERROR(INDEX(SkillData,MATCH(INDEX(PalData,MATCH($B117,PalNames,0)+1,MATCH("Passive2c",PalData_Header,0)),SkillDataCodeName,0)+1,MATCH("EffectValue1",SkillData_Header,0)))</f>
        <v>#VALUE!</v>
      </c>
      <c r="Q117" s="61" t="e">
        <f aca="false" t="array" ref="Q117:Q117">IFERROR(INDEX(SkillData,MATCH(INDEX(PalData,MATCH($B117,PalNames,0)+1,MATCH("Passive3c",PalData_Header,0)),SkillDataCodeName,0)+1,MATCH("EffectValue1",SkillData_Header,0)))</f>
        <v>#VALUE!</v>
      </c>
      <c r="R117" s="304" t="e">
        <f aca="false" t="array" ref="R117:R117">IFERROR(INDEX(SkillData,MATCH(INDEX(PalData,MATCH($B117,PalNames,0)+1,MATCH("Passive4c",PalData_Header,0)),SkillDataCodeName,0)+1,MATCH("EffectValue1",SkillData_Header,0)))</f>
        <v>#VALUE!</v>
      </c>
      <c r="S117" s="48" t="str">
        <f aca="false">IFERROR(__xludf.dummyfunction("IFERROR(INDEX(SkillData,MATCH(Arrayformula(ARRAY_CONSTRAIN(FILTER(INDIRECT(""PalData!""&amp;ADDRESS(MATCH(B117,PalNames,0)+1,(MATCH(""Passive0a"",PalData_Header,0)))&amp;"":""&amp;ADDRESS(MATCH(B117,PalNames,0)+1,(MATCH(""Passive0a"",PalData_Header,0))+4)),LEN(INDIRE"&amp;"CT(""PalData!""&amp;ADDRESS(MATCH(B117,PalNames,0)+1,(MATCH(""Passive0a"",PalData_Header,0)))&amp;"":""&amp;ADDRESS(MATCH(B117,PalNames,0)+1,(MATCH(""Passive0a"",PalData_Header,0))+4)))&gt;0),1,1)),SkillDataCodeName,0)+1,MATCH(""EffectTypeCombined"",SkillData_Header,0))"&amp;")"),"")</f>
        <v/>
      </c>
      <c r="T117" s="48" t="str">
        <f aca="false">IFERROR(__xludf.dummyfunction("IFERROR(INDEX(SkillData,MATCH(Arrayformula(ARRAY_CONSTRAIN(FILTER(INDIRECT(""PalData!""&amp;ADDRESS(MATCH(B117,PalNames,0)+1,(MATCH(""Passive0a"",PalData_Header,0)))&amp;"":""&amp;ADDRESS(MATCH(B117,PalNames,0)+1,(MATCH(""Passive0a"",PalData_Header,0))+4)),LEN(INDIRE"&amp;"CT(""PalData!""&amp;ADDRESS(MATCH(B117,PalNames,0)+1,(MATCH(""Passive0a"",PalData_Header,0)))&amp;"":""&amp;ADDRESS(MATCH(B117,PalNames,0)+1,(MATCH(""Passive0a"",PalData_Header,0))+4)))&gt;0),1,1)),SkillDataCodeName,0)+1,MATCH(""TargetType1"",SkillData_Header,0)))"),"")</f>
        <v/>
      </c>
      <c r="U117" s="48" t="e">
        <f aca="false" t="array" ref="U117:U117">IF(INDEX(PalData,MATCH($B117,PalNames,0)+1,MATCH("Passive0aCondition",PalData_Header,0))=IFERROR(INDEX(SkillData,MATCH(INDEX(PalData,MATCH($B117,PalNames,0)+1,MATCH("Passive0a",PalData_Header,0)),SkillDataCodeName,0)+1,MATCH("Conditions",SkillData_Header,0))),INDEX(PalData,MATCH($B117,PalNames,0)+1,MATCH("Passive0aCondition",PalData_Header,0)),INDEX(PalData,MATCH($B117,PalNames,0)+1,MATCH("Passive0aCondition",PalData_Header,0)) &amp; IF(ISBLANK(INDEX(PalData,MATCH($B117,PalNames,0)+1,MATCH("Passive0aCondition",PalData_Header,0))),," ")&amp;IFERROR(INDEX(SkillData,MATCH(INDEX(PalData,MATCH($B117,PalNames,0)+1,MATCH("Passive0a",PalData_Header,0)),SkillDataCodeName,0)+1,MATCH("Conditions",SkillData_Header,0))))</f>
        <v>#N/A</v>
      </c>
      <c r="V117" s="48" t="str">
        <f aca="false">IFERROR(__xludf.dummyfunction("IFERROR(INDEX(SkillData,MATCH(Arrayformula(ARRAY_CONSTRAIN(FILTER(INDIRECT(""PalData!""&amp;ADDRESS(MATCH(B117,PalNames,0)+1,(MATCH(""Passive0a"",PalData_Header,0)))&amp;"":""&amp;ADDRESS(MATCH(B117,PalNames,0)+1,(MATCH(""Passive0a"",PalData_Header,0))+4)),LEN(INDIRE"&amp;"CT(""PalData!""&amp;ADDRESS(MATCH(B117,PalNames,0)+1,(MATCH(""Passive0a"",PalData_Header,0)))&amp;"":""&amp;ADDRESS(MATCH(B117,PalNames,0)+1,(MATCH(""Passive0a"",PalData_Header,0))+4)))&gt;0),1,1)),SkillDataCodeName,0)+1,MATCH(""ValueType1"",SkillData_Header,0)))"),"")</f>
        <v/>
      </c>
      <c r="W117" s="48" t="n">
        <f aca="false">IFERROR(INDEX(SkillData,MATCH(INDEX(PalData,MATCH($B117,PalNames,0)+1,MATCH("Passive0a",PalData_Header,0)),SkillDataCodeName,0)+1,MATCH("EffectValue1",SkillData_Header,0)),)</f>
        <v>0</v>
      </c>
      <c r="X117" s="48" t="n">
        <f aca="false">IFERROR(INDEX(SkillData,MATCH(INDEX(PalData,MATCH($B117,PalNames,0)+1,MATCH("Passive1a",PalData_Header,0)),SkillDataCodeName,0)+1,MATCH("EffectValue1",SkillData_Header,0)),)</f>
        <v>0</v>
      </c>
      <c r="Y117" s="48" t="n">
        <f aca="false">IFERROR(INDEX(SkillData,MATCH(INDEX(PalData,MATCH($B117,PalNames,0)+1,MATCH("Passive2a",PalData_Header,0)),SkillDataCodeName,0)+1,MATCH("EffectValue1",SkillData_Header,0)),)</f>
        <v>0</v>
      </c>
      <c r="Z117" s="48" t="n">
        <f aca="false">IFERROR(INDEX(SkillData,MATCH(INDEX(PalData,MATCH($B117,PalNames,0)+1,MATCH("Passive3a",PalData_Header,0)),SkillDataCodeName,0)+1,MATCH("EffectValue1",SkillData_Header,0)),)</f>
        <v>0</v>
      </c>
      <c r="AA117" s="263" t="n">
        <f aca="false">IFERROR(INDEX(SkillData,MATCH(INDEX(PalData,MATCH($B117,PalNames,0)+1,MATCH("Passive4a",PalData_Header,0)),SkillDataCodeName,0)+1,MATCH("EffectValue1",SkillData_Header,0)),)</f>
        <v>0</v>
      </c>
      <c r="AB117" s="48" t="str">
        <f aca="false">IFERROR(__xludf.dummyfunction("IFERROR(INDEX(SkillData,MATCH(Arrayformula(ARRAY_CONSTRAIN(FILTER(INDIRECT(""PalData!""&amp;ADDRESS(MATCH(B117,PalNames,0)+1,(MATCH(""Passive0b"",PalData_Header,0)))&amp;"":""&amp;ADDRESS(MATCH(B117,PalNames,0)+1,(MATCH(""Passive0b"",PalData_Header,0))+4)),LEN(INDIRE"&amp;"CT(""PalData!""&amp;ADDRESS(MATCH(B117,PalNames,0)+1,(MATCH(""Passive0b"",PalData_Header,0)))&amp;"":""&amp;ADDRESS(MATCH(B117,PalNames,0)+1,(MATCH(""Passive0b"",PalData_Header,0))+4)))&gt;0),1,1)),SkillDataCodeName,0)+1,MATCH(""EffectTypeCombined"",SkillData_Header,0))"&amp;")"),"")</f>
        <v/>
      </c>
      <c r="AC117" s="48" t="str">
        <f aca="false">IFERROR(__xludf.dummyfunction("IFERROR(INDEX(SkillData,MATCH(Arrayformula(ARRAY_CONSTRAIN(FILTER(INDIRECT(""PalData!""&amp;ADDRESS(MATCH(B117,PalNames,0)+1,(MATCH(""Passive0b"",PalData_Header,0)))&amp;"":""&amp;ADDRESS(MATCH(B117,PalNames,0)+1,(MATCH(""Passive0b"",PalData_Header,0))+4)),LEN(INDIRE"&amp;"CT(""PalData!""&amp;ADDRESS(MATCH(B117,PalNames,0)+1,(MATCH(""Passive0b"",PalData_Header,0)))&amp;"":""&amp;ADDRESS(MATCH(B117,PalNames,0)+1,(MATCH(""Passive0b"",PalData_Header,0))+4)))&gt;0),1,1)),SkillDataCodeName,0)+1,MATCH(""TargetType1"",SkillData_Header,0)))"),"")</f>
        <v/>
      </c>
      <c r="AD117" s="48" t="e">
        <f aca="false" t="array" ref="AD117:AD117">IF(INDEX(PalData,MATCH($B117,PalNames,0)+1,MATCH("Passive0bCondition",PalData_Header,0))=IFERROR(INDEX(SkillData,MATCH(INDEX(PalData,MATCH($B117,PalNames,0)+1,MATCH("Passive0b",PalData_Header,0)),SkillDataCodeName,0)+1,MATCH("Conditions",SkillData_Header,0))),INDEX(PalData,MATCH($B117,PalNames,0)+1,MATCH("Passive0bCondition",PalData_Header,0)),INDEX(PalData,MATCH($B117,PalNames,0)+1,MATCH("Passive0bCondition",PalData_Header,0)) &amp; IF(ISBLANK(INDEX(PalData,MATCH($B117,PalNames,0)+1,MATCH("Passive0bCondition",PalData_Header,0))),," ")&amp;IFERROR(INDEX(SkillData,MATCH(INDEX(PalData,MATCH($B117,PalNames,0)+1,MATCH("Passive0b",PalData_Header,0)),SkillDataCodeName,0)+1,MATCH("Conditions",SkillData_Header,0))))</f>
        <v>#N/A</v>
      </c>
      <c r="AE117" s="48" t="str">
        <f aca="false">IFERROR(__xludf.dummyfunction("IFERROR(INDEX(SkillData,MATCH(Arrayformula(ARRAY_CONSTRAIN(FILTER(INDIRECT(""PalData!""&amp;ADDRESS(MATCH(B117,PalNames,0)+1,(MATCH(""Passive0b"",PalData_Header,0)))&amp;"":""&amp;ADDRESS(MATCH(B117,PalNames,0)+1,(MATCH(""Passive0b"",PalData_Header,0))+4)),LEN(INDIRE"&amp;"CT(""PalData!""&amp;ADDRESS(MATCH(B117,PalNames,0)+1,(MATCH(""Passive0b"",PalData_Header,0)))&amp;"":""&amp;ADDRESS(MATCH(B117,PalNames,0)+1,(MATCH(""Passive0b"",PalData_Header,0))+4)))&gt;0),1,1)),SkillDataCodeName,0)+1,MATCH(""ValueType1"",SkillData_Header,0)))"),"")</f>
        <v/>
      </c>
      <c r="AF117" s="48" t="n">
        <f aca="false">IFERROR(INDEX(SkillData,MATCH(INDEX(PalData,MATCH($B117,PalNames,0)+1,MATCH(AF$3,PalData_Header,0)),SkillDataCodeName,0)+1,MATCH("EffectValue1",SkillData_Header,0)),)</f>
        <v>0</v>
      </c>
      <c r="AG117" s="48" t="n">
        <f aca="false">IFERROR(INDEX(SkillData,MATCH(INDEX(PalData,MATCH($B117,PalNames,0)+1,MATCH(AG$3,PalData_Header,0)),SkillDataCodeName,0)+1,MATCH("EffectValue1",SkillData_Header,0)),)</f>
        <v>0</v>
      </c>
      <c r="AH117" s="48" t="n">
        <f aca="false">IFERROR(INDEX(SkillData,MATCH(INDEX(PalData,MATCH($B117,PalNames,0)+1,MATCH(AH$3,PalData_Header,0)),SkillDataCodeName,0)+1,MATCH("EffectValue1",SkillData_Header,0)),)</f>
        <v>0</v>
      </c>
      <c r="AI117" s="48" t="n">
        <f aca="false">IFERROR(INDEX(SkillData,MATCH(INDEX(PalData,MATCH($B117,PalNames,0)+1,MATCH(AI$3,PalData_Header,0)),SkillDataCodeName,0)+1,MATCH("EffectValue1",SkillData_Header,0)),)</f>
        <v>0</v>
      </c>
      <c r="AJ117" s="263" t="n">
        <f aca="false">IFERROR(INDEX(SkillData,MATCH(INDEX(PalData,MATCH($B117,PalNames,0)+1,MATCH(AJ$3,PalData_Header,0)),SkillDataCodeName,0)+1,MATCH("EffectValue1",SkillData_Header,0)),)</f>
        <v>0</v>
      </c>
      <c r="AK117" s="305" t="s">
        <v>381</v>
      </c>
    </row>
    <row r="118" customFormat="false" ht="15.75" hidden="false" customHeight="false" outlineLevel="0" collapsed="false">
      <c r="A118" s="299" t="n">
        <v>92</v>
      </c>
      <c r="B118" s="300" t="s">
        <v>149</v>
      </c>
      <c r="C118" s="45" t="n">
        <f aca="false">IF(ISBLANK(INDEX(PalData,MATCH($B118,PalNames,0)+1,MATCH("ActiveSkill",PalData_Header,0))),INDEX(PalData,MATCH($B118,PalNames,0)+1,MATCH("SkillUnlock_",PalData_Header,0)),INDEX(PalData,MATCH($B118,PalNames,0)+1,MATCH("ActiveSkill",PalData_Header,0)))</f>
        <v>0</v>
      </c>
      <c r="D118" s="45"/>
      <c r="E118" s="45" t="n">
        <f aca="false">INDEX(PalData,MATCH($B118,PalNames,0)+1,MATCH("ActiveSkillBonus0",PalData_Header,0))</f>
        <v>0</v>
      </c>
      <c r="F118" s="45" t="n">
        <f aca="false">INDEX(PalData,MATCH($B118,PalNames,0)+1,MATCH("ActiveSkillBonus1",PalData_Header,0))</f>
        <v>0</v>
      </c>
      <c r="G118" s="45" t="n">
        <f aca="false">INDEX(PalData,MATCH($B118,PalNames,0)+1,MATCH("ActiveSkillBonus2",PalData_Header,0))</f>
        <v>0</v>
      </c>
      <c r="H118" s="45" t="n">
        <f aca="false">INDEX(PalData,MATCH($B118,PalNames,0)+1,MATCH("ActiveSkillBonus3",PalData_Header,0))</f>
        <v>0</v>
      </c>
      <c r="I118" s="260" t="n">
        <f aca="false">INDEX(PalData,MATCH($B118,PalNames,0)+1,MATCH("ActiveSkillBonus4",PalData_Header,0))</f>
        <v>0</v>
      </c>
      <c r="J118" s="45" t="str">
        <f aca="false">IFERROR(__xludf.dummyfunction("IFERROR(INDEX(SkillData,MATCH(Arrayformula(ARRAY_CONSTRAIN(FILTER(INDIRECT(""PalData!""&amp;ADDRESS(MATCH(B118,PalNames,0)+1,(MATCH(""Passive0c"",PalData_Header,0)))&amp;"":""&amp;ADDRESS(MATCH(B118,PalNames,0)+1,(MATCH(""Passive0c"",PalData_Header,0))+4)),LEN(INDIRE"&amp;"CT(""PalData!""&amp;ADDRESS(MATCH(B118,PalNames,0)+1,(MATCH(""Passive0c"",PalData_Header,0)))&amp;"":""&amp;ADDRESS(MATCH(B118,PalNames,0)+1,(MATCH(""Passive0c"",PalData_Header,0))+4)))&gt;0),1,1)),SkillDataCodeName,0)+1,MATCH(""EffectTypeCombined"",SkillData_Header,0))"&amp;")"),"Defense")</f>
        <v>Defense</v>
      </c>
      <c r="K118" s="45" t="str">
        <f aca="false">IFERROR(__xludf.dummyfunction("IFERROR(INDEX(SkillData,MATCH(Arrayformula(ARRAY_CONSTRAIN(FILTER(INDIRECT(""PalData!""&amp;ADDRESS(MATCH(B118,PalNames,0)+1,(MATCH(""Passive0c"",PalData_Header,0)))&amp;"":""&amp;ADDRESS(MATCH(B118,PalNames,0)+1,(MATCH(""Passive0c"",PalData_Header,0))+4)),LEN(INDIRE"&amp;"CT(""PalData!""&amp;ADDRESS(MATCH(B118,PalNames,0)+1,(MATCH(""Passive0c"",PalData_Header,0)))&amp;"":""&amp;ADDRESS(MATCH(B118,PalNames,0)+1,(MATCH(""Passive0c"",PalData_Header,0))+4)))&gt;0),1,1)),SkillDataCodeName,0)+1,MATCH(""TargetType1"",SkillData_Header,0)))"),"Trainer")</f>
        <v>Trainer</v>
      </c>
      <c r="L118" s="45" t="e">
        <f aca="false" t="array" ref="L118:L118">IF(INDEX(PalData,MATCH($B118,PalNames,0)+1,MATCH("Passive0cCondition",PalData_Header,0))=IFERROR(INDEX(SkillData,MATCH(INDEX(PalData,MATCH($B118,PalNames,0)+1,MATCH("Passive0c",PalData_Header,0)),SkillDataCodeName,0)+1,MATCH("Conditions",SkillData_Header,0))),INDEX(PalData,MATCH($B118,PalNames,0)+1,MATCH("Passive0cCondition",PalData_Header,0)),INDEX(PalData,MATCH($B118,PalNames,0)+1,MATCH("Passive0cCondition",PalData_Header,0)) &amp; IF(ISBLANK(INDEX(PalData,MATCH($B118,PalNames,0)+1,MATCH("Passive0cCondition",PalData_Header,0))),," ")&amp;IFERROR(INDEX(SkillData,MATCH(INDEX(PalData,MATCH($B118,PalNames,0)+1,MATCH("Passive0c",PalData_Header,0)),SkillDataCodeName,0)+1,MATCH("Conditions",SkillData_Header,0))))</f>
        <v>#VALUE!</v>
      </c>
      <c r="M118" s="45" t="str">
        <f aca="false">IFERROR(__xludf.dummyfunction("IFERROR(INDEX(SkillData,MATCH(Arrayformula(ARRAY_CONSTRAIN(FILTER(INDIRECT(""PalData!""&amp;ADDRESS(MATCH(B118,PalNames,0)+1,(MATCH(""Passive0c"",PalData_Header,0)))&amp;"":""&amp;ADDRESS(MATCH(B118,PalNames,0)+1,(MATCH(""Passive0c"",PalData_Header,0))+4)),LEN(INDIRE"&amp;"CT(""PalData!""&amp;ADDRESS(MATCH(B118,PalNames,0)+1,(MATCH(""Passive0c"",PalData_Header,0)))&amp;"":""&amp;ADDRESS(MATCH(B118,PalNames,0)+1,(MATCH(""Passive0c"",PalData_Header,0))+4)))&gt;0),1,1)),SkillDataCodeName,0)+1,MATCH(""ValueType1"",SkillData_Header,0)))"),"%")</f>
        <v>%</v>
      </c>
      <c r="N118" s="62" t="e">
        <f aca="false" t="array" ref="N118:N118">IFERROR(INDEX(SkillData,MATCH(INDEX(PalData,MATCH($B118,PalNames,0)+1,MATCH("Passive0c",PalData_Header,0)),SkillDataCodeName,0)+1,MATCH("EffectValue1",SkillData_Header,0)))</f>
        <v>#VALUE!</v>
      </c>
      <c r="O118" s="62" t="e">
        <f aca="false" t="array" ref="O118:O118">IFERROR(INDEX(SkillData,MATCH(INDEX(PalData,MATCH($B118,PalNames,0)+1,MATCH("Passive1c",PalData_Header,0)),SkillDataCodeName,0)+1,MATCH("EffectValue1",SkillData_Header,0)))</f>
        <v>#VALUE!</v>
      </c>
      <c r="P118" s="62" t="e">
        <f aca="false" t="array" ref="P118:P118">IFERROR(INDEX(SkillData,MATCH(INDEX(PalData,MATCH($B118,PalNames,0)+1,MATCH("Passive2c",PalData_Header,0)),SkillDataCodeName,0)+1,MATCH("EffectValue1",SkillData_Header,0)))</f>
        <v>#VALUE!</v>
      </c>
      <c r="Q118" s="62" t="e">
        <f aca="false" t="array" ref="Q118:Q118">IFERROR(INDEX(SkillData,MATCH(INDEX(PalData,MATCH($B118,PalNames,0)+1,MATCH("Passive3c",PalData_Header,0)),SkillDataCodeName,0)+1,MATCH("EffectValue1",SkillData_Header,0)))</f>
        <v>#VALUE!</v>
      </c>
      <c r="R118" s="306" t="e">
        <f aca="false" t="array" ref="R118:R118">IFERROR(INDEX(SkillData,MATCH(INDEX(PalData,MATCH($B118,PalNames,0)+1,MATCH("Passive4c",PalData_Header,0)),SkillDataCodeName,0)+1,MATCH("EffectValue1",SkillData_Header,0)))</f>
        <v>#VALUE!</v>
      </c>
      <c r="S118" s="45" t="str">
        <f aca="false">IFERROR(__xludf.dummyfunction("IFERROR(INDEX(SkillData,MATCH(Arrayformula(ARRAY_CONSTRAIN(FILTER(INDIRECT(""PalData!""&amp;ADDRESS(MATCH(B118,PalNames,0)+1,(MATCH(""Passive0a"",PalData_Header,0)))&amp;"":""&amp;ADDRESS(MATCH(B118,PalNames,0)+1,(MATCH(""Passive0a"",PalData_Header,0))+4)),LEN(INDIRE"&amp;"CT(""PalData!""&amp;ADDRESS(MATCH(B118,PalNames,0)+1,(MATCH(""Passive0a"",PalData_Header,0)))&amp;"":""&amp;ADDRESS(MATCH(B118,PalNames,0)+1,(MATCH(""Passive0a"",PalData_Header,0))+4)))&gt;0),1,1)),SkillDataCodeName,0)+1,MATCH(""EffectTypeCombined"",SkillData_Header,0))"&amp;")"),"ElementResist_Fire")</f>
        <v>ElementResist_Fire</v>
      </c>
      <c r="T118" s="45" t="str">
        <f aca="false">IFERROR(__xludf.dummyfunction("IFERROR(INDEX(SkillData,MATCH(Arrayformula(ARRAY_CONSTRAIN(FILTER(INDIRECT(""PalData!""&amp;ADDRESS(MATCH(B118,PalNames,0)+1,(MATCH(""Passive0a"",PalData_Header,0)))&amp;"":""&amp;ADDRESS(MATCH(B118,PalNames,0)+1,(MATCH(""Passive0a"",PalData_Header,0))+4)),LEN(INDIRE"&amp;"CT(""PalData!""&amp;ADDRESS(MATCH(B118,PalNames,0)+1,(MATCH(""Passive0a"",PalData_Header,0)))&amp;"":""&amp;ADDRESS(MATCH(B118,PalNames,0)+1,(MATCH(""Passive0a"",PalData_Header,0))+4)))&gt;0),1,1)),SkillDataCodeName,0)+1,MATCH(""TargetType1"",SkillData_Header,0)))"),"Trainer")</f>
        <v>Trainer</v>
      </c>
      <c r="U118" s="45" t="e">
        <f aca="false" t="array" ref="U118:U118">IF(INDEX(PalData,MATCH($B118,PalNames,0)+1,MATCH("Passive0aCondition",PalData_Header,0))=IFERROR(INDEX(SkillData,MATCH(INDEX(PalData,MATCH($B118,PalNames,0)+1,MATCH("Passive0a",PalData_Header,0)),SkillDataCodeName,0)+1,MATCH("Conditions",SkillData_Header,0))),INDEX(PalData,MATCH($B118,PalNames,0)+1,MATCH("Passive0aCondition",PalData_Header,0)),INDEX(PalData,MATCH($B118,PalNames,0)+1,MATCH("Passive0aCondition",PalData_Header,0)) &amp; IF(ISBLANK(INDEX(PalData,MATCH($B118,PalNames,0)+1,MATCH("Passive0aCondition",PalData_Header,0))),," ")&amp;IFERROR(INDEX(SkillData,MATCH(INDEX(PalData,MATCH($B118,PalNames,0)+1,MATCH("Passive0a",PalData_Header,0)),SkillDataCodeName,0)+1,MATCH("Conditions",SkillData_Header,0))))</f>
        <v>#VALUE!</v>
      </c>
      <c r="V118" s="45" t="str">
        <f aca="false">IFERROR(__xludf.dummyfunction("IFERROR(INDEX(SkillData,MATCH(Arrayformula(ARRAY_CONSTRAIN(FILTER(INDIRECT(""PalData!""&amp;ADDRESS(MATCH(B118,PalNames,0)+1,(MATCH(""Passive0a"",PalData_Header,0)))&amp;"":""&amp;ADDRESS(MATCH(B118,PalNames,0)+1,(MATCH(""Passive0a"",PalData_Header,0))+4)),LEN(INDIRE"&amp;"CT(""PalData!""&amp;ADDRESS(MATCH(B118,PalNames,0)+1,(MATCH(""Passive0a"",PalData_Header,0)))&amp;"":""&amp;ADDRESS(MATCH(B118,PalNames,0)+1,(MATCH(""Passive0a"",PalData_Header,0))+4)))&gt;0),1,1)),SkillDataCodeName,0)+1,MATCH(""ValueType1"",SkillData_Header,0)))"),"%")</f>
        <v>%</v>
      </c>
      <c r="W118" s="62" t="n">
        <f aca="false" t="array" ref="W118:W118">IFERROR(INDEX(SkillData,MATCH(INDEX(PalData,MATCH($B118,PalNames,0)+1,MATCH("Passive0a",PalData_Header,0)),SkillDataCodeName,0)+1,MATCH("EffectValue1",SkillData_Header,0)),)</f>
        <v>5</v>
      </c>
      <c r="X118" s="62" t="n">
        <f aca="false" t="array" ref="X118:X118">IFERROR(INDEX(SkillData,MATCH(INDEX(PalData,MATCH($B118,PalNames,0)+1,MATCH("Passive1a",PalData_Header,0)),SkillDataCodeName,0)+1,MATCH("EffectValue1",SkillData_Header,0)),)</f>
        <v>6</v>
      </c>
      <c r="Y118" s="62" t="n">
        <f aca="false" t="array" ref="Y118:Y118">IFERROR(INDEX(SkillData,MATCH(INDEX(PalData,MATCH($B118,PalNames,0)+1,MATCH("Passive2a",PalData_Header,0)),SkillDataCodeName,0)+1,MATCH("EffectValue1",SkillData_Header,0)),)</f>
        <v>7</v>
      </c>
      <c r="Z118" s="62" t="n">
        <f aca="false" t="array" ref="Z118:Z118">IFERROR(INDEX(SkillData,MATCH(INDEX(PalData,MATCH($B118,PalNames,0)+1,MATCH("Passive3a",PalData_Header,0)),SkillDataCodeName,0)+1,MATCH("EffectValue1",SkillData_Header,0)),)</f>
        <v>8</v>
      </c>
      <c r="AA118" s="306" t="n">
        <f aca="false" t="array" ref="AA118:AA118">IFERROR(INDEX(SkillData,MATCH(INDEX(PalData,MATCH($B118,PalNames,0)+1,MATCH("Passive4a",PalData_Header,0)),SkillDataCodeName,0)+1,MATCH("EffectValue1",SkillData_Header,0)),)</f>
        <v>10</v>
      </c>
      <c r="AB118" s="45" t="str">
        <f aca="false">IFERROR(__xludf.dummyfunction("IFERROR(INDEX(SkillData,MATCH(Arrayformula(ARRAY_CONSTRAIN(FILTER(INDIRECT(""PalData!""&amp;ADDRESS(MATCH(B118,PalNames,0)+1,(MATCH(""Passive0b"",PalData_Header,0)))&amp;"":""&amp;ADDRESS(MATCH(B118,PalNames,0)+1,(MATCH(""Passive0b"",PalData_Header,0))+4)),LEN(INDIRE"&amp;"CT(""PalData!""&amp;ADDRESS(MATCH(B118,PalNames,0)+1,(MATCH(""Passive0b"",PalData_Header,0)))&amp;"":""&amp;ADDRESS(MATCH(B118,PalNames,0)+1,(MATCH(""Passive0b"",PalData_Header,0))+4)))&gt;0),1,1)),SkillDataCodeName,0)+1,MATCH(""EffectTypeCombined"",SkillData_Header,0))"&amp;")"),"")</f>
        <v/>
      </c>
      <c r="AC118" s="45" t="str">
        <f aca="false">IFERROR(__xludf.dummyfunction("IFERROR(INDEX(SkillData,MATCH(Arrayformula(ARRAY_CONSTRAIN(FILTER(INDIRECT(""PalData!""&amp;ADDRESS(MATCH(B118,PalNames,0)+1,(MATCH(""Passive0b"",PalData_Header,0)))&amp;"":""&amp;ADDRESS(MATCH(B118,PalNames,0)+1,(MATCH(""Passive0b"",PalData_Header,0))+4)),LEN(INDIRE"&amp;"CT(""PalData!""&amp;ADDRESS(MATCH(B118,PalNames,0)+1,(MATCH(""Passive0b"",PalData_Header,0)))&amp;"":""&amp;ADDRESS(MATCH(B118,PalNames,0)+1,(MATCH(""Passive0b"",PalData_Header,0))+4)))&gt;0),1,1)),SkillDataCodeName,0)+1,MATCH(""TargetType1"",SkillData_Header,0)))"),"")</f>
        <v/>
      </c>
      <c r="AD118" s="45" t="e">
        <f aca="false" t="array" ref="AD118:AD118">IF(INDEX(PalData,MATCH($B118,PalNames,0)+1,MATCH("Passive0bCondition",PalData_Header,0))=IFERROR(INDEX(SkillData,MATCH(INDEX(PalData,MATCH($B118,PalNames,0)+1,MATCH("Passive0b",PalData_Header,0)),SkillDataCodeName,0)+1,MATCH("Conditions",SkillData_Header,0))),INDEX(PalData,MATCH($B118,PalNames,0)+1,MATCH("Passive0bCondition",PalData_Header,0)),INDEX(PalData,MATCH($B118,PalNames,0)+1,MATCH("Passive0bCondition",PalData_Header,0)) &amp; IF(ISBLANK(INDEX(PalData,MATCH($B118,PalNames,0)+1,MATCH("Passive0bCondition",PalData_Header,0))),," ")&amp;IFERROR(INDEX(SkillData,MATCH(INDEX(PalData,MATCH($B118,PalNames,0)+1,MATCH("Passive0b",PalData_Header,0)),SkillDataCodeName,0)+1,MATCH("Conditions",SkillData_Header,0))))</f>
        <v>#N/A</v>
      </c>
      <c r="AE118" s="45" t="str">
        <f aca="false">IFERROR(__xludf.dummyfunction("IFERROR(INDEX(SkillData,MATCH(Arrayformula(ARRAY_CONSTRAIN(FILTER(INDIRECT(""PalData!""&amp;ADDRESS(MATCH(B118,PalNames,0)+1,(MATCH(""Passive0b"",PalData_Header,0)))&amp;"":""&amp;ADDRESS(MATCH(B118,PalNames,0)+1,(MATCH(""Passive0b"",PalData_Header,0))+4)),LEN(INDIRE"&amp;"CT(""PalData!""&amp;ADDRESS(MATCH(B118,PalNames,0)+1,(MATCH(""Passive0b"",PalData_Header,0)))&amp;"":""&amp;ADDRESS(MATCH(B118,PalNames,0)+1,(MATCH(""Passive0b"",PalData_Header,0))+4)))&gt;0),1,1)),SkillDataCodeName,0)+1,MATCH(""ValueType1"",SkillData_Header,0)))"),"")</f>
        <v/>
      </c>
      <c r="AF118" s="45" t="n">
        <f aca="false">IFERROR(INDEX(SkillData,MATCH(INDEX(PalData,MATCH($B118,PalNames,0)+1,MATCH("Passive0b",PalData_Header,0)),SkillDataCodeName,0)+1,MATCH("EffectValue1",SkillData_Header,0)),)</f>
        <v>0</v>
      </c>
      <c r="AG118" s="45" t="n">
        <f aca="false">IFERROR(INDEX(SkillData,MATCH(INDEX(PalData,MATCH($B118,PalNames,0)+1,MATCH("Passive1b",PalData_Header,0)),SkillDataCodeName,0)+1,MATCH("EffectValue1",SkillData_Header,0)),)</f>
        <v>0</v>
      </c>
      <c r="AH118" s="45" t="n">
        <f aca="false">IFERROR(INDEX(SkillData,MATCH(INDEX(PalData,MATCH($B118,PalNames,0)+1,MATCH("Passive2b",PalData_Header,0)),SkillDataCodeName,0)+1,MATCH("EffectValue1",SkillData_Header,0)),)</f>
        <v>0</v>
      </c>
      <c r="AI118" s="45" t="n">
        <f aca="false">IFERROR(INDEX(SkillData,MATCH(INDEX(PalData,MATCH($B118,PalNames,0)+1,MATCH("Passive3b",PalData_Header,0)),SkillDataCodeName,0)+1,MATCH("EffectValue1",SkillData_Header,0)),)</f>
        <v>0</v>
      </c>
      <c r="AJ118" s="260" t="n">
        <f aca="false">IFERROR(INDEX(SkillData,MATCH(INDEX(PalData,MATCH($B118,PalNames,0)+1,MATCH("Passive4b",PalData_Header,0)),SkillDataCodeName,0)+1,MATCH("EffectValue1",SkillData_Header,0)),)</f>
        <v>0</v>
      </c>
      <c r="AK118" s="301" t="s">
        <v>382</v>
      </c>
    </row>
    <row r="119" customFormat="false" ht="15.75" hidden="false" customHeight="false" outlineLevel="0" collapsed="false">
      <c r="A119" s="302" t="n">
        <v>93</v>
      </c>
      <c r="B119" s="303" t="s">
        <v>55</v>
      </c>
      <c r="C119" s="48" t="str">
        <f aca="false" t="array" ref="C119:C119">IF(ISBLANK(INDEX(PalData,MATCH($B119,PalNames,0)+1,MATCH("ActiveSkill",PalData_Header,0))),INDEX(PalData,MATCH($B119,PalNames,0)+1,MATCH("SkillUnlock_",PalData_Header,0)),INDEX(PalData,MATCH($B119,PalNames,0)+1,MATCH("ActiveSkill",PalData_Header,0)))</f>
        <v>Saddle</v>
      </c>
      <c r="D119" s="48"/>
      <c r="E119" s="48" t="n">
        <f aca="false">INDEX(PalData,MATCH($B119,PalNames,0)+1,MATCH("ActiveSkillBonus0",PalData_Header,0))</f>
        <v>0</v>
      </c>
      <c r="F119" s="48" t="n">
        <f aca="false">INDEX(PalData,MATCH($B119,PalNames,0)+1,MATCH("ActiveSkillBonus1",PalData_Header,0))</f>
        <v>0</v>
      </c>
      <c r="G119" s="48" t="n">
        <f aca="false">INDEX(PalData,MATCH($B119,PalNames,0)+1,MATCH("ActiveSkillBonus2",PalData_Header,0))</f>
        <v>0</v>
      </c>
      <c r="H119" s="48" t="n">
        <f aca="false">INDEX(PalData,MATCH($B119,PalNames,0)+1,MATCH("ActiveSkillBonus3",PalData_Header,0))</f>
        <v>0</v>
      </c>
      <c r="I119" s="263" t="n">
        <f aca="false">INDEX(PalData,MATCH($B119,PalNames,0)+1,MATCH("ActiveSkillBonus4",PalData_Header,0))</f>
        <v>0</v>
      </c>
      <c r="J119" s="48" t="str">
        <f aca="false">IFERROR(__xludf.dummyfunction("IFERROR(INDEX(SkillData,MATCH(Arrayformula(ARRAY_CONSTRAIN(FILTER(INDIRECT(""PalData!""&amp;ADDRESS(MATCH(B119,PalNames,0)+1,(MATCH(""Passive0c"",PalData_Header,0)))&amp;"":""&amp;ADDRESS(MATCH(B119,PalNames,0)+1,(MATCH(""Passive0c"",PalData_Header,0))+4)),LEN(INDIRE"&amp;"CT(""PalData!""&amp;ADDRESS(MATCH(B119,PalNames,0)+1,(MATCH(""Passive0c"",PalData_Header,0)))&amp;"":""&amp;ADDRESS(MATCH(B119,PalNames,0)+1,(MATCH(""Passive0c"",PalData_Header,0))+4)))&gt;0),1,1)),SkillDataCodeName,0)+1,MATCH(""EffectTypeCombined"",SkillData_Header,0))"&amp;")"),"MoveSpeed")</f>
        <v>MoveSpeed</v>
      </c>
      <c r="K119" s="48" t="str">
        <f aca="false">IFERROR(__xludf.dummyfunction("IFERROR(INDEX(SkillData,MATCH(Arrayformula(ARRAY_CONSTRAIN(FILTER(INDIRECT(""PalData!""&amp;ADDRESS(MATCH(B119,PalNames,0)+1,(MATCH(""Passive0c"",PalData_Header,0)))&amp;"":""&amp;ADDRESS(MATCH(B119,PalNames,0)+1,(MATCH(""Passive0c"",PalData_Header,0))+4)),LEN(INDIRE"&amp;"CT(""PalData!""&amp;ADDRESS(MATCH(B119,PalNames,0)+1,(MATCH(""Passive0c"",PalData_Header,0)))&amp;"":""&amp;ADDRESS(MATCH(B119,PalNames,0)+1,(MATCH(""Passive0c"",PalData_Header,0))+4)))&gt;0),1,1)),SkillDataCodeName,0)+1,MATCH(""TargetType1"",SkillData_Header,0)))"),"SelfAndTrainer")</f>
        <v>SelfAndTrainer</v>
      </c>
      <c r="L119" s="48" t="e">
        <f aca="false" t="array" ref="L119:L119">IF(INDEX(PalData,MATCH($B119,PalNames,0)+1,MATCH("Passive0cCondition",PalData_Header,0))=IFERROR(INDEX(SkillData,MATCH(INDEX(PalData,MATCH($B119,PalNames,0)+1,MATCH("Passive0c",PalData_Header,0)),SkillDataCodeName,0)+1,MATCH("Conditions",SkillData_Header,0))),INDEX(PalData,MATCH($B119,PalNames,0)+1,MATCH("Passive0cCondition",PalData_Header,0)),INDEX(PalData,MATCH($B119,PalNames,0)+1,MATCH("Passive0cCondition",PalData_Header,0)) &amp; IF(ISBLANK(INDEX(PalData,MATCH($B119,PalNames,0)+1,MATCH("Passive0cCondition",PalData_Header,0))),," ")&amp;IFERROR(INDEX(SkillData,MATCH(INDEX(PalData,MATCH($B119,PalNames,0)+1,MATCH("Passive0c",PalData_Header,0)),SkillDataCodeName,0)+1,MATCH("Conditions",SkillData_Header,0))))</f>
        <v>#N/A</v>
      </c>
      <c r="M119" s="48" t="str">
        <f aca="false">IFERROR(__xludf.dummyfunction("IFERROR(INDEX(SkillData,MATCH(Arrayformula(ARRAY_CONSTRAIN(FILTER(INDIRECT(""PalData!""&amp;ADDRESS(MATCH(B119,PalNames,0)+1,(MATCH(""Passive0c"",PalData_Header,0)))&amp;"":""&amp;ADDRESS(MATCH(B119,PalNames,0)+1,(MATCH(""Passive0c"",PalData_Header,0))+4)),LEN(INDIRE"&amp;"CT(""PalData!""&amp;ADDRESS(MATCH(B119,PalNames,0)+1,(MATCH(""Passive0c"",PalData_Header,0)))&amp;"":""&amp;ADDRESS(MATCH(B119,PalNames,0)+1,(MATCH(""Passive0c"",PalData_Header,0))+4)))&gt;0),1,1)),SkillDataCodeName,0)+1,MATCH(""ValueType1"",SkillData_Header,0)))"),"%")</f>
        <v>%</v>
      </c>
      <c r="N119" s="48" t="e">
        <f aca="false" t="array" ref="N119:N119">IFERROR(INDEX(SkillData,MATCH(INDEX(PalData,MATCH($B119,PalNames,0)+1,MATCH("Passive0c",PalData_Header,0)),SkillDataCodeName,0)+1,MATCH("EffectValue1",SkillData_Header,0)))</f>
        <v>#VALUE!</v>
      </c>
      <c r="O119" s="61" t="e">
        <f aca="false" t="array" ref="O119:O119">IFERROR(INDEX(SkillData,MATCH(INDEX(PalData,MATCH($B119,PalNames,0)+1,MATCH("Passive1c",PalData_Header,0)),SkillDataCodeName,0)+1,MATCH("EffectValue1",SkillData_Header,0)))</f>
        <v>#VALUE!</v>
      </c>
      <c r="P119" s="61" t="e">
        <f aca="false" t="array" ref="P119:P119">IFERROR(INDEX(SkillData,MATCH(INDEX(PalData,MATCH($B119,PalNames,0)+1,MATCH("Passive2c",PalData_Header,0)),SkillDataCodeName,0)+1,MATCH("EffectValue1",SkillData_Header,0)))</f>
        <v>#VALUE!</v>
      </c>
      <c r="Q119" s="61" t="e">
        <f aca="false" t="array" ref="Q119:Q119">IFERROR(INDEX(SkillData,MATCH(INDEX(PalData,MATCH($B119,PalNames,0)+1,MATCH("Passive3c",PalData_Header,0)),SkillDataCodeName,0)+1,MATCH("EffectValue1",SkillData_Header,0)))</f>
        <v>#VALUE!</v>
      </c>
      <c r="R119" s="304" t="e">
        <f aca="false" t="array" ref="R119:R119">IFERROR(INDEX(SkillData,MATCH(INDEX(PalData,MATCH($B119,PalNames,0)+1,MATCH("Passive4c",PalData_Header,0)),SkillDataCodeName,0)+1,MATCH("EffectValue1",SkillData_Header,0)))</f>
        <v>#VALUE!</v>
      </c>
      <c r="S119" s="48" t="str">
        <f aca="false">IFERROR(__xludf.dummyfunction("IFERROR(INDEX(SkillData,MATCH(Arrayformula(ARRAY_CONSTRAIN(FILTER(INDIRECT(""PalData!""&amp;ADDRESS(MATCH(B119,PalNames,0)+1,(MATCH(""Passive0a"",PalData_Header,0)))&amp;"":""&amp;ADDRESS(MATCH(B119,PalNames,0)+1,(MATCH(""Passive0a"",PalData_Header,0))+4)),LEN(INDIRE"&amp;"CT(""PalData!""&amp;ADDRESS(MATCH(B119,PalNames,0)+1,(MATCH(""Passive0a"",PalData_Header,0)))&amp;"":""&amp;ADDRESS(MATCH(B119,PalNames,0)+1,(MATCH(""Passive0a"",PalData_Header,0))+4)))&gt;0),1,1)),SkillDataCodeName,0)+1,MATCH(""EffectTypeCombined"",SkillData_Header,0))"&amp;")"),"")</f>
        <v/>
      </c>
      <c r="T119" s="48" t="str">
        <f aca="false">IFERROR(__xludf.dummyfunction("IFERROR(INDEX(SkillData,MATCH(Arrayformula(ARRAY_CONSTRAIN(FILTER(INDIRECT(""PalData!""&amp;ADDRESS(MATCH(B119,PalNames,0)+1,(MATCH(""Passive0a"",PalData_Header,0)))&amp;"":""&amp;ADDRESS(MATCH(B119,PalNames,0)+1,(MATCH(""Passive0a"",PalData_Header,0))+4)),LEN(INDIRE"&amp;"CT(""PalData!""&amp;ADDRESS(MATCH(B119,PalNames,0)+1,(MATCH(""Passive0a"",PalData_Header,0)))&amp;"":""&amp;ADDRESS(MATCH(B119,PalNames,0)+1,(MATCH(""Passive0a"",PalData_Header,0))+4)))&gt;0),1,1)),SkillDataCodeName,0)+1,MATCH(""TargetType1"",SkillData_Header,0)))"),"")</f>
        <v/>
      </c>
      <c r="U119" s="48" t="e">
        <f aca="false" t="array" ref="U119:U119">IF(INDEX(PalData,MATCH($B119,PalNames,0)+1,MATCH("Passive0aCondition",PalData_Header,0))=IFERROR(INDEX(SkillData,MATCH(INDEX(PalData,MATCH($B119,PalNames,0)+1,MATCH("Passive0a",PalData_Header,0)),SkillDataCodeName,0)+1,MATCH("Conditions",SkillData_Header,0))),INDEX(PalData,MATCH($B119,PalNames,0)+1,MATCH("Passive0aCondition",PalData_Header,0)),INDEX(PalData,MATCH($B119,PalNames,0)+1,MATCH("Passive0aCondition",PalData_Header,0)) &amp; IF(ISBLANK(INDEX(PalData,MATCH($B119,PalNames,0)+1,MATCH("Passive0aCondition",PalData_Header,0))),," ")&amp;IFERROR(INDEX(SkillData,MATCH(INDEX(PalData,MATCH($B119,PalNames,0)+1,MATCH("Passive0a",PalData_Header,0)),SkillDataCodeName,0)+1,MATCH("Conditions",SkillData_Header,0))))</f>
        <v>#N/A</v>
      </c>
      <c r="V119" s="48" t="str">
        <f aca="false">IFERROR(__xludf.dummyfunction("IFERROR(INDEX(SkillData,MATCH(Arrayformula(ARRAY_CONSTRAIN(FILTER(INDIRECT(""PalData!""&amp;ADDRESS(MATCH(B119,PalNames,0)+1,(MATCH(""Passive0a"",PalData_Header,0)))&amp;"":""&amp;ADDRESS(MATCH(B119,PalNames,0)+1,(MATCH(""Passive0a"",PalData_Header,0))+4)),LEN(INDIRE"&amp;"CT(""PalData!""&amp;ADDRESS(MATCH(B119,PalNames,0)+1,(MATCH(""Passive0a"",PalData_Header,0)))&amp;"":""&amp;ADDRESS(MATCH(B119,PalNames,0)+1,(MATCH(""Passive0a"",PalData_Header,0))+4)))&gt;0),1,1)),SkillDataCodeName,0)+1,MATCH(""ValueType1"",SkillData_Header,0)))"),"")</f>
        <v/>
      </c>
      <c r="W119" s="48" t="n">
        <f aca="false">IFERROR(INDEX(SkillData,MATCH(INDEX(PalData,MATCH($B119,PalNames,0)+1,MATCH("Passive0a",PalData_Header,0)),SkillDataCodeName,0)+1,MATCH("EffectValue1",SkillData_Header,0)),)</f>
        <v>0</v>
      </c>
      <c r="X119" s="48" t="n">
        <f aca="false">IFERROR(INDEX(SkillData,MATCH(INDEX(PalData,MATCH($B119,PalNames,0)+1,MATCH("Passive1a",PalData_Header,0)),SkillDataCodeName,0)+1,MATCH("EffectValue1",SkillData_Header,0)),)</f>
        <v>0</v>
      </c>
      <c r="Y119" s="48" t="n">
        <f aca="false">IFERROR(INDEX(SkillData,MATCH(INDEX(PalData,MATCH($B119,PalNames,0)+1,MATCH("Passive2a",PalData_Header,0)),SkillDataCodeName,0)+1,MATCH("EffectValue1",SkillData_Header,0)),)</f>
        <v>0</v>
      </c>
      <c r="Z119" s="48" t="n">
        <f aca="false">IFERROR(INDEX(SkillData,MATCH(INDEX(PalData,MATCH($B119,PalNames,0)+1,MATCH("Passive3a",PalData_Header,0)),SkillDataCodeName,0)+1,MATCH("EffectValue1",SkillData_Header,0)),)</f>
        <v>0</v>
      </c>
      <c r="AA119" s="263" t="n">
        <f aca="false">IFERROR(INDEX(SkillData,MATCH(INDEX(PalData,MATCH($B119,PalNames,0)+1,MATCH("Passive4a",PalData_Header,0)),SkillDataCodeName,0)+1,MATCH("EffectValue1",SkillData_Header,0)),)</f>
        <v>0</v>
      </c>
      <c r="AB119" s="48" t="str">
        <f aca="false">IFERROR(__xludf.dummyfunction("IFERROR(INDEX(SkillData,MATCH(Arrayformula(ARRAY_CONSTRAIN(FILTER(INDIRECT(""PalData!""&amp;ADDRESS(MATCH(B119,PalNames,0)+1,(MATCH(""Passive0b"",PalData_Header,0)))&amp;"":""&amp;ADDRESS(MATCH(B119,PalNames,0)+1,(MATCH(""Passive0b"",PalData_Header,0))+4)),LEN(INDIRE"&amp;"CT(""PalData!""&amp;ADDRESS(MATCH(B119,PalNames,0)+1,(MATCH(""Passive0b"",PalData_Header,0)))&amp;"":""&amp;ADDRESS(MATCH(B119,PalNames,0)+1,(MATCH(""Passive0b"",PalData_Header,0))+4)))&gt;0),1,1)),SkillDataCodeName,0)+1,MATCH(""EffectTypeCombined"",SkillData_Header,0))"&amp;")"),"")</f>
        <v/>
      </c>
      <c r="AC119" s="48" t="str">
        <f aca="false">IFERROR(__xludf.dummyfunction("IFERROR(INDEX(SkillData,MATCH(Arrayformula(ARRAY_CONSTRAIN(FILTER(INDIRECT(""PalData!""&amp;ADDRESS(MATCH(B119,PalNames,0)+1,(MATCH(""Passive0b"",PalData_Header,0)))&amp;"":""&amp;ADDRESS(MATCH(B119,PalNames,0)+1,(MATCH(""Passive0b"",PalData_Header,0))+4)),LEN(INDIRE"&amp;"CT(""PalData!""&amp;ADDRESS(MATCH(B119,PalNames,0)+1,(MATCH(""Passive0b"",PalData_Header,0)))&amp;"":""&amp;ADDRESS(MATCH(B119,PalNames,0)+1,(MATCH(""Passive0b"",PalData_Header,0))+4)))&gt;0),1,1)),SkillDataCodeName,0)+1,MATCH(""TargetType1"",SkillData_Header,0)))"),"")</f>
        <v/>
      </c>
      <c r="AD119" s="48" t="e">
        <f aca="false" t="array" ref="AD119:AD119">IF(INDEX(PalData,MATCH($B119,PalNames,0)+1,MATCH("Passive0bCondition",PalData_Header,0))=IFERROR(INDEX(SkillData,MATCH(INDEX(PalData,MATCH($B119,PalNames,0)+1,MATCH("Passive0b",PalData_Header,0)),SkillDataCodeName,0)+1,MATCH("Conditions",SkillData_Header,0))),INDEX(PalData,MATCH($B119,PalNames,0)+1,MATCH("Passive0bCondition",PalData_Header,0)),INDEX(PalData,MATCH($B119,PalNames,0)+1,MATCH("Passive0bCondition",PalData_Header,0)) &amp; IF(ISBLANK(INDEX(PalData,MATCH($B119,PalNames,0)+1,MATCH("Passive0bCondition",PalData_Header,0))),," ")&amp;IFERROR(INDEX(SkillData,MATCH(INDEX(PalData,MATCH($B119,PalNames,0)+1,MATCH("Passive0b",PalData_Header,0)),SkillDataCodeName,0)+1,MATCH("Conditions",SkillData_Header,0))))</f>
        <v>#N/A</v>
      </c>
      <c r="AE119" s="48" t="str">
        <f aca="false">IFERROR(__xludf.dummyfunction("IFERROR(INDEX(SkillData,MATCH(Arrayformula(ARRAY_CONSTRAIN(FILTER(INDIRECT(""PalData!""&amp;ADDRESS(MATCH(B119,PalNames,0)+1,(MATCH(""Passive0b"",PalData_Header,0)))&amp;"":""&amp;ADDRESS(MATCH(B119,PalNames,0)+1,(MATCH(""Passive0b"",PalData_Header,0))+4)),LEN(INDIRE"&amp;"CT(""PalData!""&amp;ADDRESS(MATCH(B119,PalNames,0)+1,(MATCH(""Passive0b"",PalData_Header,0)))&amp;"":""&amp;ADDRESS(MATCH(B119,PalNames,0)+1,(MATCH(""Passive0b"",PalData_Header,0))+4)))&gt;0),1,1)),SkillDataCodeName,0)+1,MATCH(""ValueType1"",SkillData_Header,0)))"),"")</f>
        <v/>
      </c>
      <c r="AF119" s="48" t="n">
        <f aca="false">IFERROR(INDEX(SkillData,MATCH(INDEX(PalData,MATCH($B119,PalNames,0)+1,MATCH("Passive0b",PalData_Header,0)),SkillDataCodeName,0)+1,MATCH("EffectValue1",SkillData_Header,0)),)</f>
        <v>0</v>
      </c>
      <c r="AG119" s="48" t="n">
        <f aca="false">IFERROR(INDEX(SkillData,MATCH(INDEX(PalData,MATCH($B119,PalNames,0)+1,MATCH("Passive1b",PalData_Header,0)),SkillDataCodeName,0)+1,MATCH("EffectValue1",SkillData_Header,0)),)</f>
        <v>0</v>
      </c>
      <c r="AH119" s="48" t="n">
        <f aca="false">IFERROR(INDEX(SkillData,MATCH(INDEX(PalData,MATCH($B119,PalNames,0)+1,MATCH("Passive2b",PalData_Header,0)),SkillDataCodeName,0)+1,MATCH("EffectValue1",SkillData_Header,0)),)</f>
        <v>0</v>
      </c>
      <c r="AI119" s="48" t="n">
        <f aca="false">IFERROR(INDEX(SkillData,MATCH(INDEX(PalData,MATCH($B119,PalNames,0)+1,MATCH("Passive3b",PalData_Header,0)),SkillDataCodeName,0)+1,MATCH("EffectValue1",SkillData_Header,0)),)</f>
        <v>0</v>
      </c>
      <c r="AJ119" s="263" t="n">
        <f aca="false">IFERROR(INDEX(SkillData,MATCH(INDEX(PalData,MATCH($B119,PalNames,0)+1,MATCH("Passive4b",PalData_Header,0)),SkillDataCodeName,0)+1,MATCH("EffectValue1",SkillData_Header,0)),)</f>
        <v>0</v>
      </c>
      <c r="AK119" s="305" t="s">
        <v>383</v>
      </c>
    </row>
    <row r="120" customFormat="false" ht="15.75" hidden="false" customHeight="false" outlineLevel="0" collapsed="false">
      <c r="A120" s="299" t="n">
        <v>94</v>
      </c>
      <c r="B120" s="300" t="s">
        <v>54</v>
      </c>
      <c r="C120" s="45" t="n">
        <f aca="false">IF(ISBLANK(INDEX(PalData,MATCH($B120,PalNames,0)+1,MATCH("ActiveSkill",PalData_Header,0))),INDEX(PalData,MATCH($B120,PalNames,0)+1,MATCH("SkillUnlock_",PalData_Header,0)),INDEX(PalData,MATCH($B120,PalNames,0)+1,MATCH("ActiveSkill",PalData_Header,0)))</f>
        <v>0</v>
      </c>
      <c r="D120" s="45"/>
      <c r="E120" s="45" t="n">
        <f aca="false">INDEX(PalData,MATCH($B120,PalNames,0)+1,MATCH("ActiveSkillBonus0",PalData_Header,0))</f>
        <v>0</v>
      </c>
      <c r="F120" s="45" t="n">
        <f aca="false">INDEX(PalData,MATCH($B120,PalNames,0)+1,MATCH("ActiveSkillBonus1",PalData_Header,0))</f>
        <v>0</v>
      </c>
      <c r="G120" s="45" t="n">
        <f aca="false">INDEX(PalData,MATCH($B120,PalNames,0)+1,MATCH("ActiveSkillBonus2",PalData_Header,0))</f>
        <v>0</v>
      </c>
      <c r="H120" s="45" t="n">
        <f aca="false">INDEX(PalData,MATCH($B120,PalNames,0)+1,MATCH("ActiveSkillBonus3",PalData_Header,0))</f>
        <v>0</v>
      </c>
      <c r="I120" s="260" t="n">
        <f aca="false">INDEX(PalData,MATCH($B120,PalNames,0)+1,MATCH("ActiveSkillBonus4",PalData_Header,0))</f>
        <v>0</v>
      </c>
      <c r="J120" s="45" t="str">
        <f aca="false">IFERROR(__xludf.dummyfunction("IFERROR(INDEX(SkillData,MATCH(Arrayformula(ARRAY_CONSTRAIN(FILTER(INDIRECT(""PalData!""&amp;ADDRESS(MATCH(B120,PalNames,0)+1,(MATCH(""Passive0c"",PalData_Header,0)))&amp;"":""&amp;ADDRESS(MATCH(B120,PalNames,0)+1,(MATCH(""Passive0c"",PalData_Header,0))+4)),LEN(INDIRE"&amp;"CT(""PalData!""&amp;ADDRESS(MATCH(B120,PalNames,0)+1,(MATCH(""Passive0c"",PalData_Header,0)))&amp;"":""&amp;ADDRESS(MATCH(B120,PalNames,0)+1,(MATCH(""Passive0c"",PalData_Header,0))+4)))&gt;0),1,1)),SkillDataCodeName,0)+1,MATCH(""EffectTypeCombined"",SkillData_Header,0))"&amp;")"),"LifeSteal")</f>
        <v>LifeSteal</v>
      </c>
      <c r="K120" s="45" t="str">
        <f aca="false">IFERROR(__xludf.dummyfunction("IFERROR(INDEX(SkillData,MATCH(Arrayformula(ARRAY_CONSTRAIN(FILTER(INDIRECT(""PalData!""&amp;ADDRESS(MATCH(B120,PalNames,0)+1,(MATCH(""Passive0c"",PalData_Header,0)))&amp;"":""&amp;ADDRESS(MATCH(B120,PalNames,0)+1,(MATCH(""Passive0c"",PalData_Header,0))+4)),LEN(INDIRE"&amp;"CT(""PalData!""&amp;ADDRESS(MATCH(B120,PalNames,0)+1,(MATCH(""Passive0c"",PalData_Header,0)))&amp;"":""&amp;ADDRESS(MATCH(B120,PalNames,0)+1,(MATCH(""Passive0c"",PalData_Header,0))+4)))&gt;0),1,1)),SkillDataCodeName,0)+1,MATCH(""TargetType1"",SkillData_Header,0)))"),"SelfAndTrainer")</f>
        <v>SelfAndTrainer</v>
      </c>
      <c r="L120" s="45" t="e">
        <f aca="false" t="array" ref="L120:L120">IF(INDEX(PalData,MATCH($B120,PalNames,0)+1,MATCH("Passive0cCondition",PalData_Header,0))=IFERROR(INDEX(SkillData,MATCH(INDEX(PalData,MATCH($B120,PalNames,0)+1,MATCH("Passive0c",PalData_Header,0)),SkillDataCodeName,0)+1,MATCH("Conditions",SkillData_Header,0))),INDEX(PalData,MATCH($B120,PalNames,0)+1,MATCH("Passive0cCondition",PalData_Header,0)),INDEX(PalData,MATCH($B120,PalNames,0)+1,MATCH("Passive0cCondition",PalData_Header,0)) &amp; IF(ISBLANK(INDEX(PalData,MATCH($B120,PalNames,0)+1,MATCH("Passive0cCondition",PalData_Header,0))),," ")&amp;IFERROR(INDEX(SkillData,MATCH(INDEX(PalData,MATCH($B120,PalNames,0)+1,MATCH("Passive0c",PalData_Header,0)),SkillDataCodeName,0)+1,MATCH("Conditions",SkillData_Header,0))))</f>
        <v>#VALUE!</v>
      </c>
      <c r="M120" s="45" t="str">
        <f aca="false">IFERROR(__xludf.dummyfunction("IFERROR(INDEX(SkillData,MATCH(Arrayformula(ARRAY_CONSTRAIN(FILTER(INDIRECT(""PalData!""&amp;ADDRESS(MATCH(B120,PalNames,0)+1,(MATCH(""Passive0c"",PalData_Header,0)))&amp;"":""&amp;ADDRESS(MATCH(B120,PalNames,0)+1,(MATCH(""Passive0c"",PalData_Header,0))+4)),LEN(INDIRE"&amp;"CT(""PalData!""&amp;ADDRESS(MATCH(B120,PalNames,0)+1,(MATCH(""Passive0c"",PalData_Header,0)))&amp;"":""&amp;ADDRESS(MATCH(B120,PalNames,0)+1,(MATCH(""Passive0c"",PalData_Header,0))+4)))&gt;0),1,1)),SkillDataCodeName,0)+1,MATCH(""ValueType1"",SkillData_Header,0)))"),"%")</f>
        <v>%</v>
      </c>
      <c r="N120" s="62" t="e">
        <f aca="false" t="array" ref="N120:N120">IFERROR(INDEX(SkillData,MATCH(INDEX(PalData,MATCH($B120,PalNames,0)+1,MATCH("Passive0c",PalData_Header,0)),SkillDataCodeName,0)+1,MATCH("EffectValue1",SkillData_Header,0)))</f>
        <v>#VALUE!</v>
      </c>
      <c r="O120" s="62" t="e">
        <f aca="false" t="array" ref="O120:O120">IFERROR(INDEX(SkillData,MATCH(INDEX(PalData,MATCH($B120,PalNames,0)+1,MATCH("Passive1c",PalData_Header,0)),SkillDataCodeName,0)+1,MATCH("EffectValue1",SkillData_Header,0)))</f>
        <v>#VALUE!</v>
      </c>
      <c r="P120" s="62" t="e">
        <f aca="false" t="array" ref="P120:P120">IFERROR(INDEX(SkillData,MATCH(INDEX(PalData,MATCH($B120,PalNames,0)+1,MATCH("Passive2c",PalData_Header,0)),SkillDataCodeName,0)+1,MATCH("EffectValue1",SkillData_Header,0)))</f>
        <v>#VALUE!</v>
      </c>
      <c r="Q120" s="62" t="e">
        <f aca="false" t="array" ref="Q120:Q120">IFERROR(INDEX(SkillData,MATCH(INDEX(PalData,MATCH($B120,PalNames,0)+1,MATCH("Passive3c",PalData_Header,0)),SkillDataCodeName,0)+1,MATCH("EffectValue1",SkillData_Header,0)))</f>
        <v>#VALUE!</v>
      </c>
      <c r="R120" s="306" t="e">
        <f aca="false" t="array" ref="R120:R120">IFERROR(INDEX(SkillData,MATCH(INDEX(PalData,MATCH($B120,PalNames,0)+1,MATCH("Passive4c",PalData_Header,0)),SkillDataCodeName,0)+1,MATCH("EffectValue1",SkillData_Header,0)))</f>
        <v>#VALUE!</v>
      </c>
      <c r="S120" s="45" t="str">
        <f aca="false">IFERROR(__xludf.dummyfunction("IFERROR(INDEX(SkillData,MATCH(Arrayformula(ARRAY_CONSTRAIN(FILTER(INDIRECT(""PalData!""&amp;ADDRESS(MATCH(B120,PalNames,0)+1,(MATCH(""Passive0a"",PalData_Header,0)))&amp;"":""&amp;ADDRESS(MATCH(B120,PalNames,0)+1,(MATCH(""Passive0a"",PalData_Header,0))+4)),LEN(INDIRE"&amp;"CT(""PalData!""&amp;ADDRESS(MATCH(B120,PalNames,0)+1,(MATCH(""Passive0a"",PalData_Header,0)))&amp;"":""&amp;ADDRESS(MATCH(B120,PalNames,0)+1,(MATCH(""Passive0a"",PalData_Header,0))+4)))&gt;0),1,1)),SkillDataCodeName,0)+1,MATCH(""EffectTypeCombined"",SkillData_Header,0))"&amp;")"),"")</f>
        <v/>
      </c>
      <c r="T120" s="45" t="str">
        <f aca="false">IFERROR(__xludf.dummyfunction("IFERROR(INDEX(SkillData,MATCH(Arrayformula(ARRAY_CONSTRAIN(FILTER(INDIRECT(""PalData!""&amp;ADDRESS(MATCH(B120,PalNames,0)+1,(MATCH(""Passive0a"",PalData_Header,0)))&amp;"":""&amp;ADDRESS(MATCH(B120,PalNames,0)+1,(MATCH(""Passive0a"",PalData_Header,0))+4)),LEN(INDIRE"&amp;"CT(""PalData!""&amp;ADDRESS(MATCH(B120,PalNames,0)+1,(MATCH(""Passive0a"",PalData_Header,0)))&amp;"":""&amp;ADDRESS(MATCH(B120,PalNames,0)+1,(MATCH(""Passive0a"",PalData_Header,0))+4)))&gt;0),1,1)),SkillDataCodeName,0)+1,MATCH(""TargetType1"",SkillData_Header,0)))"),"")</f>
        <v/>
      </c>
      <c r="U120" s="45" t="e">
        <f aca="false" t="array" ref="U120:U120">IF(INDEX(PalData,MATCH($B120,PalNames,0)+1,MATCH("Passive0aCondition",PalData_Header,0))=IFERROR(INDEX(SkillData,MATCH(INDEX(PalData,MATCH($B120,PalNames,0)+1,MATCH("Passive0a",PalData_Header,0)),SkillDataCodeName,0)+1,MATCH("Conditions",SkillData_Header,0))),INDEX(PalData,MATCH($B120,PalNames,0)+1,MATCH("Passive0aCondition",PalData_Header,0)),INDEX(PalData,MATCH($B120,PalNames,0)+1,MATCH("Passive0aCondition",PalData_Header,0)) &amp; IF(ISBLANK(INDEX(PalData,MATCH($B120,PalNames,0)+1,MATCH("Passive0aCondition",PalData_Header,0))),," ")&amp;IFERROR(INDEX(SkillData,MATCH(INDEX(PalData,MATCH($B120,PalNames,0)+1,MATCH("Passive0a",PalData_Header,0)),SkillDataCodeName,0)+1,MATCH("Conditions",SkillData_Header,0))))</f>
        <v>#N/A</v>
      </c>
      <c r="V120" s="45" t="str">
        <f aca="false">IFERROR(__xludf.dummyfunction("IFERROR(INDEX(SkillData,MATCH(Arrayformula(ARRAY_CONSTRAIN(FILTER(INDIRECT(""PalData!""&amp;ADDRESS(MATCH(B120,PalNames,0)+1,(MATCH(""Passive0a"",PalData_Header,0)))&amp;"":""&amp;ADDRESS(MATCH(B120,PalNames,0)+1,(MATCH(""Passive0a"",PalData_Header,0))+4)),LEN(INDIRE"&amp;"CT(""PalData!""&amp;ADDRESS(MATCH(B120,PalNames,0)+1,(MATCH(""Passive0a"",PalData_Header,0)))&amp;"":""&amp;ADDRESS(MATCH(B120,PalNames,0)+1,(MATCH(""Passive0a"",PalData_Header,0))+4)))&gt;0),1,1)),SkillDataCodeName,0)+1,MATCH(""ValueType1"",SkillData_Header,0)))"),"")</f>
        <v/>
      </c>
      <c r="W120" s="45" t="n">
        <f aca="false">IFERROR(INDEX(SkillData,MATCH(INDEX(PalData,MATCH($B120,PalNames,0)+1,MATCH("Passive0a",PalData_Header,0)),SkillDataCodeName,0)+1,MATCH("EffectValue1",SkillData_Header,0)),)</f>
        <v>0</v>
      </c>
      <c r="X120" s="45" t="n">
        <f aca="false">IFERROR(INDEX(SkillData,MATCH(INDEX(PalData,MATCH($B120,PalNames,0)+1,MATCH("Passive1a",PalData_Header,0)),SkillDataCodeName,0)+1,MATCH("EffectValue1",SkillData_Header,0)),)</f>
        <v>0</v>
      </c>
      <c r="Y120" s="45" t="n">
        <f aca="false">IFERROR(INDEX(SkillData,MATCH(INDEX(PalData,MATCH($B120,PalNames,0)+1,MATCH("Passive2a",PalData_Header,0)),SkillDataCodeName,0)+1,MATCH("EffectValue1",SkillData_Header,0)),)</f>
        <v>0</v>
      </c>
      <c r="Z120" s="45" t="n">
        <f aca="false">IFERROR(INDEX(SkillData,MATCH(INDEX(PalData,MATCH($B120,PalNames,0)+1,MATCH("Passive3a",PalData_Header,0)),SkillDataCodeName,0)+1,MATCH("EffectValue1",SkillData_Header,0)),)</f>
        <v>0</v>
      </c>
      <c r="AA120" s="260" t="n">
        <f aca="false">IFERROR(INDEX(SkillData,MATCH(INDEX(PalData,MATCH($B120,PalNames,0)+1,MATCH("Passive4a",PalData_Header,0)),SkillDataCodeName,0)+1,MATCH("EffectValue1",SkillData_Header,0)),)</f>
        <v>0</v>
      </c>
      <c r="AB120" s="45" t="str">
        <f aca="false">IFERROR(__xludf.dummyfunction("IFERROR(INDEX(SkillData,MATCH(Arrayformula(ARRAY_CONSTRAIN(FILTER(INDIRECT(""PalData!""&amp;ADDRESS(MATCH(B120,PalNames,0)+1,(MATCH(""Passive0b"",PalData_Header,0)))&amp;"":""&amp;ADDRESS(MATCH(B120,PalNames,0)+1,(MATCH(""Passive0b"",PalData_Header,0))+4)),LEN(INDIRE"&amp;"CT(""PalData!""&amp;ADDRESS(MATCH(B120,PalNames,0)+1,(MATCH(""Passive0b"",PalData_Header,0)))&amp;"":""&amp;ADDRESS(MATCH(B120,PalNames,0)+1,(MATCH(""Passive0b"",PalData_Header,0))+4)))&gt;0),1,1)),SkillDataCodeName,0)+1,MATCH(""EffectTypeCombined"",SkillData_Header,0))"&amp;")"),"")</f>
        <v/>
      </c>
      <c r="AC120" s="45" t="str">
        <f aca="false">IFERROR(__xludf.dummyfunction("IFERROR(INDEX(SkillData,MATCH(Arrayformula(ARRAY_CONSTRAIN(FILTER(INDIRECT(""PalData!""&amp;ADDRESS(MATCH(B120,PalNames,0)+1,(MATCH(""Passive0b"",PalData_Header,0)))&amp;"":""&amp;ADDRESS(MATCH(B120,PalNames,0)+1,(MATCH(""Passive0b"",PalData_Header,0))+4)),LEN(INDIRE"&amp;"CT(""PalData!""&amp;ADDRESS(MATCH(B120,PalNames,0)+1,(MATCH(""Passive0b"",PalData_Header,0)))&amp;"":""&amp;ADDRESS(MATCH(B120,PalNames,0)+1,(MATCH(""Passive0b"",PalData_Header,0))+4)))&gt;0),1,1)),SkillDataCodeName,0)+1,MATCH(""TargetType1"",SkillData_Header,0)))"),"")</f>
        <v/>
      </c>
      <c r="AD120" s="45" t="e">
        <f aca="false" t="array" ref="AD120:AD120">IF(INDEX(PalData,MATCH($B120,PalNames,0)+1,MATCH("Passive0bCondition",PalData_Header,0))=IFERROR(INDEX(SkillData,MATCH(INDEX(PalData,MATCH($B120,PalNames,0)+1,MATCH("Passive0b",PalData_Header,0)),SkillDataCodeName,0)+1,MATCH("Conditions",SkillData_Header,0))),INDEX(PalData,MATCH($B120,PalNames,0)+1,MATCH("Passive0bCondition",PalData_Header,0)),INDEX(PalData,MATCH($B120,PalNames,0)+1,MATCH("Passive0bCondition",PalData_Header,0)) &amp; IF(ISBLANK(INDEX(PalData,MATCH($B120,PalNames,0)+1,MATCH("Passive0bCondition",PalData_Header,0))),," ")&amp;IFERROR(INDEX(SkillData,MATCH(INDEX(PalData,MATCH($B120,PalNames,0)+1,MATCH("Passive0b",PalData_Header,0)),SkillDataCodeName,0)+1,MATCH("Conditions",SkillData_Header,0))))</f>
        <v>#N/A</v>
      </c>
      <c r="AE120" s="45" t="str">
        <f aca="false">IFERROR(__xludf.dummyfunction("IFERROR(INDEX(SkillData,MATCH(Arrayformula(ARRAY_CONSTRAIN(FILTER(INDIRECT(""PalData!""&amp;ADDRESS(MATCH(B120,PalNames,0)+1,(MATCH(""Passive0b"",PalData_Header,0)))&amp;"":""&amp;ADDRESS(MATCH(B120,PalNames,0)+1,(MATCH(""Passive0b"",PalData_Header,0))+4)),LEN(INDIRE"&amp;"CT(""PalData!""&amp;ADDRESS(MATCH(B120,PalNames,0)+1,(MATCH(""Passive0b"",PalData_Header,0)))&amp;"":""&amp;ADDRESS(MATCH(B120,PalNames,0)+1,(MATCH(""Passive0b"",PalData_Header,0))+4)))&gt;0),1,1)),SkillDataCodeName,0)+1,MATCH(""ValueType1"",SkillData_Header,0)))"),"")</f>
        <v/>
      </c>
      <c r="AF120" s="45" t="n">
        <f aca="false">IFERROR(INDEX(SkillData,MATCH(INDEX(PalData,MATCH($B120,PalNames,0)+1,MATCH("Passive0b",PalData_Header,0)),SkillDataCodeName,0)+1,MATCH("EffectValue1",SkillData_Header,0)),)</f>
        <v>0</v>
      </c>
      <c r="AG120" s="45" t="n">
        <f aca="false">IFERROR(INDEX(SkillData,MATCH(INDEX(PalData,MATCH($B120,PalNames,0)+1,MATCH("Passive1b",PalData_Header,0)),SkillDataCodeName,0)+1,MATCH("EffectValue1",SkillData_Header,0)),)</f>
        <v>0</v>
      </c>
      <c r="AH120" s="45" t="n">
        <f aca="false">IFERROR(INDEX(SkillData,MATCH(INDEX(PalData,MATCH($B120,PalNames,0)+1,MATCH("Passive2b",PalData_Header,0)),SkillDataCodeName,0)+1,MATCH("EffectValue1",SkillData_Header,0)),)</f>
        <v>0</v>
      </c>
      <c r="AI120" s="45" t="n">
        <f aca="false">IFERROR(INDEX(SkillData,MATCH(INDEX(PalData,MATCH($B120,PalNames,0)+1,MATCH("Passive3b",PalData_Header,0)),SkillDataCodeName,0)+1,MATCH("EffectValue1",SkillData_Header,0)),)</f>
        <v>0</v>
      </c>
      <c r="AJ120" s="260" t="n">
        <f aca="false">IFERROR(INDEX(SkillData,MATCH(INDEX(PalData,MATCH($B120,PalNames,0)+1,MATCH("Passive4b",PalData_Header,0)),SkillDataCodeName,0)+1,MATCH("EffectValue1",SkillData_Header,0)),)</f>
        <v>0</v>
      </c>
      <c r="AK120" s="301" t="s">
        <v>384</v>
      </c>
    </row>
    <row r="121" customFormat="false" ht="15.75" hidden="false" customHeight="false" outlineLevel="0" collapsed="false">
      <c r="A121" s="302" t="n">
        <v>95</v>
      </c>
      <c r="B121" s="303" t="s">
        <v>119</v>
      </c>
      <c r="C121" s="48" t="str">
        <f aca="false" t="array" ref="C121:C121">IF(ISBLANK(INDEX(PalData,MATCH($B121,PalNames,0)+1,MATCH("ActiveSkill",PalData_Header,0))),INDEX(PalData,MATCH($B121,PalNames,0)+1,MATCH("SkillUnlock_",PalData_Header,0)),INDEX(PalData,MATCH($B121,PalNames,0)+1,MATCH("ActiveSkill",PalData_Header,0)))</f>
        <v>Saddle</v>
      </c>
      <c r="D121" s="48"/>
      <c r="E121" s="48" t="n">
        <f aca="false">INDEX(PalData,MATCH($B121,PalNames,0)+1,MATCH("ActiveSkillBonus0",PalData_Header,0))</f>
        <v>0</v>
      </c>
      <c r="F121" s="48" t="n">
        <f aca="false">INDEX(PalData,MATCH($B121,PalNames,0)+1,MATCH("ActiveSkillBonus1",PalData_Header,0))</f>
        <v>0</v>
      </c>
      <c r="G121" s="48" t="n">
        <f aca="false">INDEX(PalData,MATCH($B121,PalNames,0)+1,MATCH("ActiveSkillBonus2",PalData_Header,0))</f>
        <v>0</v>
      </c>
      <c r="H121" s="48" t="n">
        <f aca="false">INDEX(PalData,MATCH($B121,PalNames,0)+1,MATCH("ActiveSkillBonus3",PalData_Header,0))</f>
        <v>0</v>
      </c>
      <c r="I121" s="263" t="n">
        <f aca="false">INDEX(PalData,MATCH($B121,PalNames,0)+1,MATCH("ActiveSkillBonus4",PalData_Header,0))</f>
        <v>0</v>
      </c>
      <c r="J121" s="48" t="str">
        <f aca="false">IFERROR(__xludf.dummyfunction("IFERROR(INDEX(SkillData,MATCH(Arrayformula(ARRAY_CONSTRAIN(FILTER(INDIRECT(""PalData!""&amp;ADDRESS(MATCH(B121,PalNames,0)+1,(MATCH(""Passive0c"",PalData_Header,0)))&amp;"":""&amp;ADDRESS(MATCH(B121,PalNames,0)+1,(MATCH(""Passive0c"",PalData_Header,0))+4)),LEN(INDIRE"&amp;"CT(""PalData!""&amp;ADDRESS(MATCH(B121,PalNames,0)+1,(MATCH(""Passive0c"",PalData_Header,0)))&amp;"":""&amp;ADDRESS(MATCH(B121,PalNames,0)+1,(MATCH(""Passive0c"",PalData_Header,0))+4)))&gt;0),1,1)),SkillDataCodeName,0)+1,MATCH(""EffectTypeCombined"",SkillData_Header,0))"&amp;")"),"ElementBoost_Dragon")</f>
        <v>ElementBoost_Dragon</v>
      </c>
      <c r="K121" s="48" t="str">
        <f aca="false">IFERROR(__xludf.dummyfunction("IFERROR(INDEX(SkillData,MATCH(Arrayformula(ARRAY_CONSTRAIN(FILTER(INDIRECT(""PalData!""&amp;ADDRESS(MATCH(B121,PalNames,0)+1,(MATCH(""Passive0c"",PalData_Header,0)))&amp;"":""&amp;ADDRESS(MATCH(B121,PalNames,0)+1,(MATCH(""Passive0c"",PalData_Header,0))+4)),LEN(INDIRE"&amp;"CT(""PalData!""&amp;ADDRESS(MATCH(B121,PalNames,0)+1,(MATCH(""Passive0c"",PalData_Header,0)))&amp;"":""&amp;ADDRESS(MATCH(B121,PalNames,0)+1,(MATCH(""Passive0c"",PalData_Header,0))+4)))&gt;0),1,1)),SkillDataCodeName,0)+1,MATCH(""TargetType1"",SkillData_Header,0)))"),"SelfAndTrainer")</f>
        <v>SelfAndTrainer</v>
      </c>
      <c r="L121" s="48" t="e">
        <f aca="false" t="array" ref="L121:L121">IF(INDEX(PalData,MATCH($B121,PalNames,0)+1,MATCH("Passive0cCondition",PalData_Header,0))=IFERROR(INDEX(SkillData,MATCH(INDEX(PalData,MATCH($B121,PalNames,0)+1,MATCH("Passive0c",PalData_Header,0)),SkillDataCodeName,0)+1,MATCH("Conditions",SkillData_Header,0))),INDEX(PalData,MATCH($B121,PalNames,0)+1,MATCH("Passive0cCondition",PalData_Header,0)),INDEX(PalData,MATCH($B121,PalNames,0)+1,MATCH("Passive0cCondition",PalData_Header,0)) &amp; IF(ISBLANK(INDEX(PalData,MATCH($B121,PalNames,0)+1,MATCH("Passive0cCondition",PalData_Header,0))),," ")&amp;IFERROR(INDEX(SkillData,MATCH(INDEX(PalData,MATCH($B121,PalNames,0)+1,MATCH("Passive0c",PalData_Header,0)),SkillDataCodeName,0)+1,MATCH("Conditions",SkillData_Header,0))))</f>
        <v>#VALUE!</v>
      </c>
      <c r="M121" s="48" t="str">
        <f aca="false">IFERROR(__xludf.dummyfunction("IFERROR(INDEX(SkillData,MATCH(Arrayformula(ARRAY_CONSTRAIN(FILTER(INDIRECT(""PalData!""&amp;ADDRESS(MATCH(B121,PalNames,0)+1,(MATCH(""Passive0c"",PalData_Header,0)))&amp;"":""&amp;ADDRESS(MATCH(B121,PalNames,0)+1,(MATCH(""Passive0c"",PalData_Header,0))+4)),LEN(INDIRE"&amp;"CT(""PalData!""&amp;ADDRESS(MATCH(B121,PalNames,0)+1,(MATCH(""Passive0c"",PalData_Header,0)))&amp;"":""&amp;ADDRESS(MATCH(B121,PalNames,0)+1,(MATCH(""Passive0c"",PalData_Header,0))+4)))&gt;0),1,1)),SkillDataCodeName,0)+1,MATCH(""ValueType1"",SkillData_Header,0)))"),"%")</f>
        <v>%</v>
      </c>
      <c r="N121" s="61" t="e">
        <f aca="false" t="array" ref="N121:N121">IFERROR(INDEX(SkillData,MATCH(INDEX(PalData,MATCH($B121,PalNames,0)+1,MATCH("Passive0c",PalData_Header,0)),SkillDataCodeName,0)+1,MATCH("EffectValue1",SkillData_Header,0)))</f>
        <v>#VALUE!</v>
      </c>
      <c r="O121" s="61" t="e">
        <f aca="false" t="array" ref="O121:O121">IFERROR(INDEX(SkillData,MATCH(INDEX(PalData,MATCH($B121,PalNames,0)+1,MATCH("Passive1c",PalData_Header,0)),SkillDataCodeName,0)+1,MATCH("EffectValue1",SkillData_Header,0)))</f>
        <v>#VALUE!</v>
      </c>
      <c r="P121" s="61" t="e">
        <f aca="false" t="array" ref="P121:P121">IFERROR(INDEX(SkillData,MATCH(INDEX(PalData,MATCH($B121,PalNames,0)+1,MATCH("Passive2c",PalData_Header,0)),SkillDataCodeName,0)+1,MATCH("EffectValue1",SkillData_Header,0)))</f>
        <v>#VALUE!</v>
      </c>
      <c r="Q121" s="61" t="e">
        <f aca="false" t="array" ref="Q121:Q121">IFERROR(INDEX(SkillData,MATCH(INDEX(PalData,MATCH($B121,PalNames,0)+1,MATCH("Passive3c",PalData_Header,0)),SkillDataCodeName,0)+1,MATCH("EffectValue1",SkillData_Header,0)))</f>
        <v>#VALUE!</v>
      </c>
      <c r="R121" s="304" t="e">
        <f aca="false" t="array" ref="R121:R121">IFERROR(INDEX(SkillData,MATCH(INDEX(PalData,MATCH($B121,PalNames,0)+1,MATCH("Passive4c",PalData_Header,0)),SkillDataCodeName,0)+1,MATCH("EffectValue1",SkillData_Header,0)))</f>
        <v>#VALUE!</v>
      </c>
      <c r="S121" s="48" t="str">
        <f aca="false">IFERROR(__xludf.dummyfunction("IFERROR(INDEX(SkillData,MATCH(Arrayformula(ARRAY_CONSTRAIN(FILTER(INDIRECT(""PalData!""&amp;ADDRESS(MATCH(B121,PalNames,0)+1,(MATCH(""Passive0a"",PalData_Header,0)))&amp;"":""&amp;ADDRESS(MATCH(B121,PalNames,0)+1,(MATCH(""Passive0a"",PalData_Header,0))+4)),LEN(INDIRE"&amp;"CT(""PalData!""&amp;ADDRESS(MATCH(B121,PalNames,0)+1,(MATCH(""Passive0a"",PalData_Header,0)))&amp;"":""&amp;ADDRESS(MATCH(B121,PalNames,0)+1,(MATCH(""Passive0a"",PalData_Header,0))+4)))&gt;0),1,1)),SkillDataCodeName,0)+1,MATCH(""EffectTypeCombined"",SkillData_Header,0))"&amp;")"),"")</f>
        <v/>
      </c>
      <c r="T121" s="48" t="str">
        <f aca="false">IFERROR(__xludf.dummyfunction("IFERROR(INDEX(SkillData,MATCH(Arrayformula(ARRAY_CONSTRAIN(FILTER(INDIRECT(""PalData!""&amp;ADDRESS(MATCH(B121,PalNames,0)+1,(MATCH(""Passive0a"",PalData_Header,0)))&amp;"":""&amp;ADDRESS(MATCH(B121,PalNames,0)+1,(MATCH(""Passive0a"",PalData_Header,0))+4)),LEN(INDIRE"&amp;"CT(""PalData!""&amp;ADDRESS(MATCH(B121,PalNames,0)+1,(MATCH(""Passive0a"",PalData_Header,0)))&amp;"":""&amp;ADDRESS(MATCH(B121,PalNames,0)+1,(MATCH(""Passive0a"",PalData_Header,0))+4)))&gt;0),1,1)),SkillDataCodeName,0)+1,MATCH(""TargetType1"",SkillData_Header,0)))"),"")</f>
        <v/>
      </c>
      <c r="U121" s="48" t="e">
        <f aca="false" t="array" ref="U121:U121">IF(INDEX(PalData,MATCH($B121,PalNames,0)+1,MATCH("Passive0aCondition",PalData_Header,0))=IFERROR(INDEX(SkillData,MATCH(INDEX(PalData,MATCH($B121,PalNames,0)+1,MATCH("Passive0a",PalData_Header,0)),SkillDataCodeName,0)+1,MATCH("Conditions",SkillData_Header,0))),INDEX(PalData,MATCH($B121,PalNames,0)+1,MATCH("Passive0aCondition",PalData_Header,0)),INDEX(PalData,MATCH($B121,PalNames,0)+1,MATCH("Passive0aCondition",PalData_Header,0)) &amp; IF(ISBLANK(INDEX(PalData,MATCH($B121,PalNames,0)+1,MATCH("Passive0aCondition",PalData_Header,0))),," ")&amp;IFERROR(INDEX(SkillData,MATCH(INDEX(PalData,MATCH($B121,PalNames,0)+1,MATCH("Passive0a",PalData_Header,0)),SkillDataCodeName,0)+1,MATCH("Conditions",SkillData_Header,0))))</f>
        <v>#N/A</v>
      </c>
      <c r="V121" s="48" t="str">
        <f aca="false">IFERROR(__xludf.dummyfunction("IFERROR(INDEX(SkillData,MATCH(Arrayformula(ARRAY_CONSTRAIN(FILTER(INDIRECT(""PalData!""&amp;ADDRESS(MATCH(B121,PalNames,0)+1,(MATCH(""Passive0a"",PalData_Header,0)))&amp;"":""&amp;ADDRESS(MATCH(B121,PalNames,0)+1,(MATCH(""Passive0a"",PalData_Header,0))+4)),LEN(INDIRE"&amp;"CT(""PalData!""&amp;ADDRESS(MATCH(B121,PalNames,0)+1,(MATCH(""Passive0a"",PalData_Header,0)))&amp;"":""&amp;ADDRESS(MATCH(B121,PalNames,0)+1,(MATCH(""Passive0a"",PalData_Header,0))+4)))&gt;0),1,1)),SkillDataCodeName,0)+1,MATCH(""ValueType1"",SkillData_Header,0)))"),"")</f>
        <v/>
      </c>
      <c r="W121" s="48" t="n">
        <f aca="false">IFERROR(INDEX(SkillData,MATCH(INDEX(PalData,MATCH($B121,PalNames,0)+1,MATCH("Passive0a",PalData_Header,0)),SkillDataCodeName,0)+1,MATCH("EffectValue1",SkillData_Header,0)),)</f>
        <v>0</v>
      </c>
      <c r="X121" s="48" t="n">
        <f aca="false">IFERROR(INDEX(SkillData,MATCH(INDEX(PalData,MATCH($B121,PalNames,0)+1,MATCH("Passive1a",PalData_Header,0)),SkillDataCodeName,0)+1,MATCH("EffectValue1",SkillData_Header,0)),)</f>
        <v>0</v>
      </c>
      <c r="Y121" s="48" t="n">
        <f aca="false">IFERROR(INDEX(SkillData,MATCH(INDEX(PalData,MATCH($B121,PalNames,0)+1,MATCH("Passive2a",PalData_Header,0)),SkillDataCodeName,0)+1,MATCH("EffectValue1",SkillData_Header,0)),)</f>
        <v>0</v>
      </c>
      <c r="Z121" s="48" t="n">
        <f aca="false">IFERROR(INDEX(SkillData,MATCH(INDEX(PalData,MATCH($B121,PalNames,0)+1,MATCH("Passive3a",PalData_Header,0)),SkillDataCodeName,0)+1,MATCH("EffectValue1",SkillData_Header,0)),)</f>
        <v>0</v>
      </c>
      <c r="AA121" s="263" t="n">
        <f aca="false">IFERROR(INDEX(SkillData,MATCH(INDEX(PalData,MATCH($B121,PalNames,0)+1,MATCH("Passive4a",PalData_Header,0)),SkillDataCodeName,0)+1,MATCH("EffectValue1",SkillData_Header,0)),)</f>
        <v>0</v>
      </c>
      <c r="AB121" s="48" t="str">
        <f aca="false">IFERROR(__xludf.dummyfunction("IFERROR(INDEX(SkillData,MATCH(Arrayformula(ARRAY_CONSTRAIN(FILTER(INDIRECT(""PalData!""&amp;ADDRESS(MATCH(B121,PalNames,0)+1,(MATCH(""Passive0b"",PalData_Header,0)))&amp;"":""&amp;ADDRESS(MATCH(B121,PalNames,0)+1,(MATCH(""Passive0b"",PalData_Header,0))+4)),LEN(INDIRE"&amp;"CT(""PalData!""&amp;ADDRESS(MATCH(B121,PalNames,0)+1,(MATCH(""Passive0b"",PalData_Header,0)))&amp;"":""&amp;ADDRESS(MATCH(B121,PalNames,0)+1,(MATCH(""Passive0b"",PalData_Header,0))+4)))&gt;0),1,1)),SkillDataCodeName,0)+1,MATCH(""EffectTypeCombined"",SkillData_Header,0))"&amp;")"),"")</f>
        <v/>
      </c>
      <c r="AC121" s="48" t="str">
        <f aca="false">IFERROR(__xludf.dummyfunction("IFERROR(INDEX(SkillData,MATCH(Arrayformula(ARRAY_CONSTRAIN(FILTER(INDIRECT(""PalData!""&amp;ADDRESS(MATCH(B121,PalNames,0)+1,(MATCH(""Passive0b"",PalData_Header,0)))&amp;"":""&amp;ADDRESS(MATCH(B121,PalNames,0)+1,(MATCH(""Passive0b"",PalData_Header,0))+4)),LEN(INDIRE"&amp;"CT(""PalData!""&amp;ADDRESS(MATCH(B121,PalNames,0)+1,(MATCH(""Passive0b"",PalData_Header,0)))&amp;"":""&amp;ADDRESS(MATCH(B121,PalNames,0)+1,(MATCH(""Passive0b"",PalData_Header,0))+4)))&gt;0),1,1)),SkillDataCodeName,0)+1,MATCH(""TargetType1"",SkillData_Header,0)))"),"")</f>
        <v/>
      </c>
      <c r="AD121" s="48" t="e">
        <f aca="false" t="array" ref="AD121:AD121">IF(INDEX(PalData,MATCH($B121,PalNames,0)+1,MATCH("Passive0bCondition",PalData_Header,0))=IFERROR(INDEX(SkillData,MATCH(INDEX(PalData,MATCH($B121,PalNames,0)+1,MATCH("Passive0b",PalData_Header,0)),SkillDataCodeName,0)+1,MATCH("Conditions",SkillData_Header,0))),INDEX(PalData,MATCH($B121,PalNames,0)+1,MATCH("Passive0bCondition",PalData_Header,0)),INDEX(PalData,MATCH($B121,PalNames,0)+1,MATCH("Passive0bCondition",PalData_Header,0)) &amp; IF(ISBLANK(INDEX(PalData,MATCH($B121,PalNames,0)+1,MATCH("Passive0bCondition",PalData_Header,0))),," ")&amp;IFERROR(INDEX(SkillData,MATCH(INDEX(PalData,MATCH($B121,PalNames,0)+1,MATCH("Passive0b",PalData_Header,0)),SkillDataCodeName,0)+1,MATCH("Conditions",SkillData_Header,0))))</f>
        <v>#N/A</v>
      </c>
      <c r="AE121" s="48" t="str">
        <f aca="false">IFERROR(__xludf.dummyfunction("IFERROR(INDEX(SkillData,MATCH(Arrayformula(ARRAY_CONSTRAIN(FILTER(INDIRECT(""PalData!""&amp;ADDRESS(MATCH(B121,PalNames,0)+1,(MATCH(""Passive0b"",PalData_Header,0)))&amp;"":""&amp;ADDRESS(MATCH(B121,PalNames,0)+1,(MATCH(""Passive0b"",PalData_Header,0))+4)),LEN(INDIRE"&amp;"CT(""PalData!""&amp;ADDRESS(MATCH(B121,PalNames,0)+1,(MATCH(""Passive0b"",PalData_Header,0)))&amp;"":""&amp;ADDRESS(MATCH(B121,PalNames,0)+1,(MATCH(""Passive0b"",PalData_Header,0))+4)))&gt;0),1,1)),SkillDataCodeName,0)+1,MATCH(""ValueType1"",SkillData_Header,0)))"),"")</f>
        <v/>
      </c>
      <c r="AF121" s="48" t="n">
        <f aca="false">IFERROR(INDEX(SkillData,MATCH(INDEX(PalData,MATCH($B121,PalNames,0)+1,MATCH("Passive0b",PalData_Header,0)),SkillDataCodeName,0)+1,MATCH("EffectValue1",SkillData_Header,0)),)</f>
        <v>0</v>
      </c>
      <c r="AG121" s="48" t="n">
        <f aca="false">IFERROR(INDEX(SkillData,MATCH(INDEX(PalData,MATCH($B121,PalNames,0)+1,MATCH("Passive1b",PalData_Header,0)),SkillDataCodeName,0)+1,MATCH("EffectValue1",SkillData_Header,0)),)</f>
        <v>0</v>
      </c>
      <c r="AH121" s="48" t="n">
        <f aca="false">IFERROR(INDEX(SkillData,MATCH(INDEX(PalData,MATCH($B121,PalNames,0)+1,MATCH("Passive2b",PalData_Header,0)),SkillDataCodeName,0)+1,MATCH("EffectValue1",SkillData_Header,0)),)</f>
        <v>0</v>
      </c>
      <c r="AI121" s="48" t="n">
        <f aca="false">IFERROR(INDEX(SkillData,MATCH(INDEX(PalData,MATCH($B121,PalNames,0)+1,MATCH("Passive3b",PalData_Header,0)),SkillDataCodeName,0)+1,MATCH("EffectValue1",SkillData_Header,0)),)</f>
        <v>0</v>
      </c>
      <c r="AJ121" s="263" t="n">
        <f aca="false">IFERROR(INDEX(SkillData,MATCH(INDEX(PalData,MATCH($B121,PalNames,0)+1,MATCH("Passive4b",PalData_Header,0)),SkillDataCodeName,0)+1,MATCH("EffectValue1",SkillData_Header,0)),)</f>
        <v>0</v>
      </c>
      <c r="AK121" s="305" t="s">
        <v>385</v>
      </c>
    </row>
    <row r="122" customFormat="false" ht="15.75" hidden="false" customHeight="false" outlineLevel="0" collapsed="false">
      <c r="A122" s="299" t="n">
        <v>96</v>
      </c>
      <c r="B122" s="300" t="s">
        <v>24</v>
      </c>
      <c r="C122" s="45" t="str">
        <f aca="false" t="array" ref="C122:C122">IF(ISBLANK(INDEX(PalData,MATCH($B122,PalNames,0)+1,MATCH("ActiveSkill",PalData_Header,0))),INDEX(PalData,MATCH($B122,PalNames,0)+1,MATCH("SkillUnlock_",PalData_Header,0)),INDEX(PalData,MATCH($B122,PalNames,0)+1,MATCH("ActiveSkill",PalData_Header,0)))</f>
        <v>Saddle</v>
      </c>
      <c r="D122" s="45"/>
      <c r="E122" s="45" t="n">
        <f aca="false">INDEX(PalData,MATCH($B122,PalNames,0)+1,MATCH("ActiveSkillBonus0",PalData_Header,0))</f>
        <v>0</v>
      </c>
      <c r="F122" s="45" t="n">
        <f aca="false">INDEX(PalData,MATCH($B122,PalNames,0)+1,MATCH("ActiveSkillBonus1",PalData_Header,0))</f>
        <v>0</v>
      </c>
      <c r="G122" s="45" t="n">
        <f aca="false">INDEX(PalData,MATCH($B122,PalNames,0)+1,MATCH("ActiveSkillBonus2",PalData_Header,0))</f>
        <v>0</v>
      </c>
      <c r="H122" s="45" t="n">
        <f aca="false">INDEX(PalData,MATCH($B122,PalNames,0)+1,MATCH("ActiveSkillBonus3",PalData_Header,0))</f>
        <v>0</v>
      </c>
      <c r="I122" s="260" t="n">
        <f aca="false">INDEX(PalData,MATCH($B122,PalNames,0)+1,MATCH("ActiveSkillBonus4",PalData_Header,0))</f>
        <v>0</v>
      </c>
      <c r="J122" s="45" t="str">
        <f aca="false">IFERROR(__xludf.dummyfunction("IFERROR(INDEX(SkillData,MATCH(Arrayformula(ARRAY_CONSTRAIN(FILTER(INDIRECT(""PalData!""&amp;ADDRESS(MATCH(B122,PalNames,0)+1,(MATCH(""Passive0c"",PalData_Header,0)))&amp;"":""&amp;ADDRESS(MATCH(B122,PalNames,0)+1,(MATCH(""Passive0c"",PalData_Header,0))+4)),LEN(INDIRE"&amp;"CT(""PalData!""&amp;ADDRESS(MATCH(B122,PalNames,0)+1,(MATCH(""Passive0c"",PalData_Header,0)))&amp;"":""&amp;ADDRESS(MATCH(B122,PalNames,0)+1,(MATCH(""Passive0c"",PalData_Header,0))+4)))&gt;0),1,1)),SkillDataCodeName,0)+1,MATCH(""EffectTypeCombined"",SkillData_Header,0))"&amp;")"),"ElementBoost_Fire")</f>
        <v>ElementBoost_Fire</v>
      </c>
      <c r="K122" s="45" t="str">
        <f aca="false">IFERROR(__xludf.dummyfunction("IFERROR(INDEX(SkillData,MATCH(Arrayformula(ARRAY_CONSTRAIN(FILTER(INDIRECT(""PalData!""&amp;ADDRESS(MATCH(B122,PalNames,0)+1,(MATCH(""Passive0c"",PalData_Header,0)))&amp;"":""&amp;ADDRESS(MATCH(B122,PalNames,0)+1,(MATCH(""Passive0c"",PalData_Header,0))+4)),LEN(INDIRE"&amp;"CT(""PalData!""&amp;ADDRESS(MATCH(B122,PalNames,0)+1,(MATCH(""Passive0c"",PalData_Header,0)))&amp;"":""&amp;ADDRESS(MATCH(B122,PalNames,0)+1,(MATCH(""Passive0c"",PalData_Header,0))+4)))&gt;0),1,1)),SkillDataCodeName,0)+1,MATCH(""TargetType1"",SkillData_Header,0)))"),"SelfAndTrainer")</f>
        <v>SelfAndTrainer</v>
      </c>
      <c r="L122" s="45" t="e">
        <f aca="false" t="array" ref="L122:L122">IF(INDEX(PalData,MATCH($B122,PalNames,0)+1,MATCH("Passive0cCondition",PalData_Header,0))=IFERROR(INDEX(SkillData,MATCH(INDEX(PalData,MATCH($B122,PalNames,0)+1,MATCH("Passive0c",PalData_Header,0)),SkillDataCodeName,0)+1,MATCH("Conditions",SkillData_Header,0))),INDEX(PalData,MATCH($B122,PalNames,0)+1,MATCH("Passive0cCondition",PalData_Header,0)),INDEX(PalData,MATCH($B122,PalNames,0)+1,MATCH("Passive0cCondition",PalData_Header,0)) &amp; IF(ISBLANK(INDEX(PalData,MATCH($B122,PalNames,0)+1,MATCH("Passive0cCondition",PalData_Header,0))),," ")&amp;IFERROR(INDEX(SkillData,MATCH(INDEX(PalData,MATCH($B122,PalNames,0)+1,MATCH("Passive0c",PalData_Header,0)),SkillDataCodeName,0)+1,MATCH("Conditions",SkillData_Header,0))))</f>
        <v>#VALUE!</v>
      </c>
      <c r="M122" s="45" t="str">
        <f aca="false">IFERROR(__xludf.dummyfunction("IFERROR(INDEX(SkillData,MATCH(Arrayformula(ARRAY_CONSTRAIN(FILTER(INDIRECT(""PalData!""&amp;ADDRESS(MATCH(B122,PalNames,0)+1,(MATCH(""Passive0c"",PalData_Header,0)))&amp;"":""&amp;ADDRESS(MATCH(B122,PalNames,0)+1,(MATCH(""Passive0c"",PalData_Header,0))+4)),LEN(INDIRE"&amp;"CT(""PalData!""&amp;ADDRESS(MATCH(B122,PalNames,0)+1,(MATCH(""Passive0c"",PalData_Header,0)))&amp;"":""&amp;ADDRESS(MATCH(B122,PalNames,0)+1,(MATCH(""Passive0c"",PalData_Header,0))+4)))&gt;0),1,1)),SkillDataCodeName,0)+1,MATCH(""ValueType1"",SkillData_Header,0)))"),"%")</f>
        <v>%</v>
      </c>
      <c r="N122" s="62" t="e">
        <f aca="false" t="array" ref="N122:N122">IFERROR(INDEX(SkillData,MATCH(INDEX(PalData,MATCH($B122,PalNames,0)+1,MATCH("Passive0c",PalData_Header,0)),SkillDataCodeName,0)+1,MATCH("EffectValue1",SkillData_Header,0)))</f>
        <v>#VALUE!</v>
      </c>
      <c r="O122" s="62" t="e">
        <f aca="false" t="array" ref="O122:O122">IFERROR(INDEX(SkillData,MATCH(INDEX(PalData,MATCH($B122,PalNames,0)+1,MATCH("Passive1c",PalData_Header,0)),SkillDataCodeName,0)+1,MATCH("EffectValue1",SkillData_Header,0)))</f>
        <v>#VALUE!</v>
      </c>
      <c r="P122" s="62" t="e">
        <f aca="false" t="array" ref="P122:P122">IFERROR(INDEX(SkillData,MATCH(INDEX(PalData,MATCH($B122,PalNames,0)+1,MATCH("Passive2c",PalData_Header,0)),SkillDataCodeName,0)+1,MATCH("EffectValue1",SkillData_Header,0)))</f>
        <v>#VALUE!</v>
      </c>
      <c r="Q122" s="62" t="e">
        <f aca="false" t="array" ref="Q122:Q122">IFERROR(INDEX(SkillData,MATCH(INDEX(PalData,MATCH($B122,PalNames,0)+1,MATCH("Passive3c",PalData_Header,0)),SkillDataCodeName,0)+1,MATCH("EffectValue1",SkillData_Header,0)))</f>
        <v>#VALUE!</v>
      </c>
      <c r="R122" s="306" t="e">
        <f aca="false" t="array" ref="R122:R122">IFERROR(INDEX(SkillData,MATCH(INDEX(PalData,MATCH($B122,PalNames,0)+1,MATCH("Passive4c",PalData_Header,0)),SkillDataCodeName,0)+1,MATCH("EffectValue1",SkillData_Header,0)))</f>
        <v>#VALUE!</v>
      </c>
      <c r="S122" s="45" t="str">
        <f aca="false">IFERROR(__xludf.dummyfunction("IFERROR(INDEX(SkillData,MATCH(Arrayformula(ARRAY_CONSTRAIN(FILTER(INDIRECT(""PalData!""&amp;ADDRESS(MATCH(B122,PalNames,0)+1,(MATCH(""Passive0a"",PalData_Header,0)))&amp;"":""&amp;ADDRESS(MATCH(B122,PalNames,0)+1,(MATCH(""Passive0a"",PalData_Header,0))+4)),LEN(INDIRE"&amp;"CT(""PalData!""&amp;ADDRESS(MATCH(B122,PalNames,0)+1,(MATCH(""Passive0a"",PalData_Header,0)))&amp;"":""&amp;ADDRESS(MATCH(B122,PalNames,0)+1,(MATCH(""Passive0a"",PalData_Header,0))+4)))&gt;0),1,1)),SkillDataCodeName,0)+1,MATCH(""EffectTypeCombined"",SkillData_Header,0))"&amp;")"),"")</f>
        <v/>
      </c>
      <c r="T122" s="45" t="str">
        <f aca="false">IFERROR(__xludf.dummyfunction("IFERROR(INDEX(SkillData,MATCH(Arrayformula(ARRAY_CONSTRAIN(FILTER(INDIRECT(""PalData!""&amp;ADDRESS(MATCH(B122,PalNames,0)+1,(MATCH(""Passive0a"",PalData_Header,0)))&amp;"":""&amp;ADDRESS(MATCH(B122,PalNames,0)+1,(MATCH(""Passive0a"",PalData_Header,0))+4)),LEN(INDIRE"&amp;"CT(""PalData!""&amp;ADDRESS(MATCH(B122,PalNames,0)+1,(MATCH(""Passive0a"",PalData_Header,0)))&amp;"":""&amp;ADDRESS(MATCH(B122,PalNames,0)+1,(MATCH(""Passive0a"",PalData_Header,0))+4)))&gt;0),1,1)),SkillDataCodeName,0)+1,MATCH(""TargetType1"",SkillData_Header,0)))"),"")</f>
        <v/>
      </c>
      <c r="U122" s="45" t="e">
        <f aca="false" t="array" ref="U122:U122">IF(INDEX(PalData,MATCH($B122,PalNames,0)+1,MATCH("Passive0aCondition",PalData_Header,0))=IFERROR(INDEX(SkillData,MATCH(INDEX(PalData,MATCH($B122,PalNames,0)+1,MATCH("Passive0a",PalData_Header,0)),SkillDataCodeName,0)+1,MATCH("Conditions",SkillData_Header,0))),INDEX(PalData,MATCH($B122,PalNames,0)+1,MATCH("Passive0aCondition",PalData_Header,0)),INDEX(PalData,MATCH($B122,PalNames,0)+1,MATCH("Passive0aCondition",PalData_Header,0)) &amp; IF(ISBLANK(INDEX(PalData,MATCH($B122,PalNames,0)+1,MATCH("Passive0aCondition",PalData_Header,0))),," ")&amp;IFERROR(INDEX(SkillData,MATCH(INDEX(PalData,MATCH($B122,PalNames,0)+1,MATCH("Passive0a",PalData_Header,0)),SkillDataCodeName,0)+1,MATCH("Conditions",SkillData_Header,0))))</f>
        <v>#N/A</v>
      </c>
      <c r="V122" s="45" t="str">
        <f aca="false">IFERROR(__xludf.dummyfunction("IFERROR(INDEX(SkillData,MATCH(Arrayformula(ARRAY_CONSTRAIN(FILTER(INDIRECT(""PalData!""&amp;ADDRESS(MATCH(B122,PalNames,0)+1,(MATCH(""Passive0a"",PalData_Header,0)))&amp;"":""&amp;ADDRESS(MATCH(B122,PalNames,0)+1,(MATCH(""Passive0a"",PalData_Header,0))+4)),LEN(INDIRE"&amp;"CT(""PalData!""&amp;ADDRESS(MATCH(B122,PalNames,0)+1,(MATCH(""Passive0a"",PalData_Header,0)))&amp;"":""&amp;ADDRESS(MATCH(B122,PalNames,0)+1,(MATCH(""Passive0a"",PalData_Header,0))+4)))&gt;0),1,1)),SkillDataCodeName,0)+1,MATCH(""ValueType1"",SkillData_Header,0)))"),"")</f>
        <v/>
      </c>
      <c r="W122" s="45" t="n">
        <f aca="false">IFERROR(INDEX(SkillData,MATCH(INDEX(PalData,MATCH($B122,PalNames,0)+1,MATCH("Passive0a",PalData_Header,0)),SkillDataCodeName,0)+1,MATCH("EffectValue1",SkillData_Header,0)),)</f>
        <v>0</v>
      </c>
      <c r="X122" s="45" t="n">
        <f aca="false">IFERROR(INDEX(SkillData,MATCH(INDEX(PalData,MATCH($B122,PalNames,0)+1,MATCH("Passive1a",PalData_Header,0)),SkillDataCodeName,0)+1,MATCH("EffectValue1",SkillData_Header,0)),)</f>
        <v>0</v>
      </c>
      <c r="Y122" s="45" t="n">
        <f aca="false">IFERROR(INDEX(SkillData,MATCH(INDEX(PalData,MATCH($B122,PalNames,0)+1,MATCH("Passive2a",PalData_Header,0)),SkillDataCodeName,0)+1,MATCH("EffectValue1",SkillData_Header,0)),)</f>
        <v>0</v>
      </c>
      <c r="Z122" s="45" t="n">
        <f aca="false">IFERROR(INDEX(SkillData,MATCH(INDEX(PalData,MATCH($B122,PalNames,0)+1,MATCH("Passive3a",PalData_Header,0)),SkillDataCodeName,0)+1,MATCH("EffectValue1",SkillData_Header,0)),)</f>
        <v>0</v>
      </c>
      <c r="AA122" s="260" t="n">
        <f aca="false">IFERROR(INDEX(SkillData,MATCH(INDEX(PalData,MATCH($B122,PalNames,0)+1,MATCH("Passive4a",PalData_Header,0)),SkillDataCodeName,0)+1,MATCH("EffectValue1",SkillData_Header,0)),)</f>
        <v>0</v>
      </c>
      <c r="AB122" s="45" t="str">
        <f aca="false">IFERROR(__xludf.dummyfunction("IFERROR(INDEX(SkillData,MATCH(Arrayformula(ARRAY_CONSTRAIN(FILTER(INDIRECT(""PalData!""&amp;ADDRESS(MATCH(B122,PalNames,0)+1,(MATCH(""Passive0b"",PalData_Header,0)))&amp;"":""&amp;ADDRESS(MATCH(B122,PalNames,0)+1,(MATCH(""Passive0b"",PalData_Header,0))+4)),LEN(INDIRE"&amp;"CT(""PalData!""&amp;ADDRESS(MATCH(B122,PalNames,0)+1,(MATCH(""Passive0b"",PalData_Header,0)))&amp;"":""&amp;ADDRESS(MATCH(B122,PalNames,0)+1,(MATCH(""Passive0b"",PalData_Header,0))+4)))&gt;0),1,1)),SkillDataCodeName,0)+1,MATCH(""EffectTypeCombined"",SkillData_Header,0))"&amp;")"),"")</f>
        <v/>
      </c>
      <c r="AC122" s="45" t="str">
        <f aca="false">IFERROR(__xludf.dummyfunction("IFERROR(INDEX(SkillData,MATCH(Arrayformula(ARRAY_CONSTRAIN(FILTER(INDIRECT(""PalData!""&amp;ADDRESS(MATCH(B122,PalNames,0)+1,(MATCH(""Passive0b"",PalData_Header,0)))&amp;"":""&amp;ADDRESS(MATCH(B122,PalNames,0)+1,(MATCH(""Passive0b"",PalData_Header,0))+4)),LEN(INDIRE"&amp;"CT(""PalData!""&amp;ADDRESS(MATCH(B122,PalNames,0)+1,(MATCH(""Passive0b"",PalData_Header,0)))&amp;"":""&amp;ADDRESS(MATCH(B122,PalNames,0)+1,(MATCH(""Passive0b"",PalData_Header,0))+4)))&gt;0),1,1)),SkillDataCodeName,0)+1,MATCH(""TargetType1"",SkillData_Header,0)))"),"")</f>
        <v/>
      </c>
      <c r="AD122" s="45" t="e">
        <f aca="false" t="array" ref="AD122:AD122">IF(INDEX(PalData,MATCH($B122,PalNames,0)+1,MATCH("Passive0bCondition",PalData_Header,0))=IFERROR(INDEX(SkillData,MATCH(INDEX(PalData,MATCH($B122,PalNames,0)+1,MATCH("Passive0b",PalData_Header,0)),SkillDataCodeName,0)+1,MATCH("Conditions",SkillData_Header,0))),INDEX(PalData,MATCH($B122,PalNames,0)+1,MATCH("Passive0bCondition",PalData_Header,0)),INDEX(PalData,MATCH($B122,PalNames,0)+1,MATCH("Passive0bCondition",PalData_Header,0)) &amp; IF(ISBLANK(INDEX(PalData,MATCH($B122,PalNames,0)+1,MATCH("Passive0bCondition",PalData_Header,0))),," ")&amp;IFERROR(INDEX(SkillData,MATCH(INDEX(PalData,MATCH($B122,PalNames,0)+1,MATCH("Passive0b",PalData_Header,0)),SkillDataCodeName,0)+1,MATCH("Conditions",SkillData_Header,0))))</f>
        <v>#N/A</v>
      </c>
      <c r="AE122" s="45" t="str">
        <f aca="false">IFERROR(__xludf.dummyfunction("IFERROR(INDEX(SkillData,MATCH(Arrayformula(ARRAY_CONSTRAIN(FILTER(INDIRECT(""PalData!""&amp;ADDRESS(MATCH(B122,PalNames,0)+1,(MATCH(""Passive0b"",PalData_Header,0)))&amp;"":""&amp;ADDRESS(MATCH(B122,PalNames,0)+1,(MATCH(""Passive0b"",PalData_Header,0))+4)),LEN(INDIRE"&amp;"CT(""PalData!""&amp;ADDRESS(MATCH(B122,PalNames,0)+1,(MATCH(""Passive0b"",PalData_Header,0)))&amp;"":""&amp;ADDRESS(MATCH(B122,PalNames,0)+1,(MATCH(""Passive0b"",PalData_Header,0))+4)))&gt;0),1,1)),SkillDataCodeName,0)+1,MATCH(""ValueType1"",SkillData_Header,0)))"),"")</f>
        <v/>
      </c>
      <c r="AF122" s="45" t="n">
        <f aca="false">IFERROR(INDEX(SkillData,MATCH(INDEX(PalData,MATCH($B122,PalNames,0)+1,MATCH("Passive0b",PalData_Header,0)),SkillDataCodeName,0)+1,MATCH("EffectValue1",SkillData_Header,0)),)</f>
        <v>0</v>
      </c>
      <c r="AG122" s="45" t="n">
        <f aca="false">IFERROR(INDEX(SkillData,MATCH(INDEX(PalData,MATCH($B122,PalNames,0)+1,MATCH("Passive1b",PalData_Header,0)),SkillDataCodeName,0)+1,MATCH("EffectValue1",SkillData_Header,0)),)</f>
        <v>0</v>
      </c>
      <c r="AH122" s="45" t="n">
        <f aca="false">IFERROR(INDEX(SkillData,MATCH(INDEX(PalData,MATCH($B122,PalNames,0)+1,MATCH("Passive2b",PalData_Header,0)),SkillDataCodeName,0)+1,MATCH("EffectValue1",SkillData_Header,0)),)</f>
        <v>0</v>
      </c>
      <c r="AI122" s="45" t="n">
        <f aca="false">IFERROR(INDEX(SkillData,MATCH(INDEX(PalData,MATCH($B122,PalNames,0)+1,MATCH("Passive3b",PalData_Header,0)),SkillDataCodeName,0)+1,MATCH("EffectValue1",SkillData_Header,0)),)</f>
        <v>0</v>
      </c>
      <c r="AJ122" s="260" t="n">
        <f aca="false">IFERROR(INDEX(SkillData,MATCH(INDEX(PalData,MATCH($B122,PalNames,0)+1,MATCH("Passive4b",PalData_Header,0)),SkillDataCodeName,0)+1,MATCH("EffectValue1",SkillData_Header,0)),)</f>
        <v>0</v>
      </c>
      <c r="AK122" s="301" t="s">
        <v>386</v>
      </c>
    </row>
    <row r="123" customFormat="false" ht="15.75" hidden="false" customHeight="false" outlineLevel="0" collapsed="false">
      <c r="A123" s="302" t="n">
        <v>97</v>
      </c>
      <c r="B123" s="303" t="s">
        <v>73</v>
      </c>
      <c r="C123" s="48" t="str">
        <f aca="false" t="array" ref="C123:C123">IF(ISBLANK(INDEX(PalData,MATCH($B123,PalNames,0)+1,MATCH("ActiveSkill",PalData_Header,0))),INDEX(PalData,MATCH($B123,PalNames,0)+1,MATCH("SkillUnlock_",PalData_Header,0)),INDEX(PalData,MATCH($B123,PalNames,0)+1,MATCH("ActiveSkill",PalData_Header,0)))</f>
        <v>Saddle</v>
      </c>
      <c r="D123" s="48"/>
      <c r="E123" s="48" t="n">
        <f aca="false">INDEX(PalData,MATCH($B123,PalNames,0)+1,MATCH("ActiveSkillBonus0",PalData_Header,0))</f>
        <v>0</v>
      </c>
      <c r="F123" s="48" t="n">
        <f aca="false">INDEX(PalData,MATCH($B123,PalNames,0)+1,MATCH("ActiveSkillBonus1",PalData_Header,0))</f>
        <v>0</v>
      </c>
      <c r="G123" s="48" t="n">
        <f aca="false">INDEX(PalData,MATCH($B123,PalNames,0)+1,MATCH("ActiveSkillBonus2",PalData_Header,0))</f>
        <v>0</v>
      </c>
      <c r="H123" s="48" t="n">
        <f aca="false">INDEX(PalData,MATCH($B123,PalNames,0)+1,MATCH("ActiveSkillBonus3",PalData_Header,0))</f>
        <v>0</v>
      </c>
      <c r="I123" s="263" t="n">
        <f aca="false">INDEX(PalData,MATCH($B123,PalNames,0)+1,MATCH("ActiveSkillBonus4",PalData_Header,0))</f>
        <v>0</v>
      </c>
      <c r="J123" s="48" t="str">
        <f aca="false">IFERROR(__xludf.dummyfunction("IFERROR(INDEX(SkillData,MATCH(Arrayformula(ARRAY_CONSTRAIN(FILTER(INDIRECT(""PalData!""&amp;ADDRESS(MATCH(B123,PalNames,0)+1,(MATCH(""Passive0c"",PalData_Header,0)))&amp;"":""&amp;ADDRESS(MATCH(B123,PalNames,0)+1,(MATCH(""Passive0c"",PalData_Header,0))+4)),LEN(INDIRE"&amp;"CT(""PalData!""&amp;ADDRESS(MATCH(B123,PalNames,0)+1,(MATCH(""Passive0c"",PalData_Header,0)))&amp;"":""&amp;ADDRESS(MATCH(B123,PalNames,0)+1,(MATCH(""Passive0c"",PalData_Header,0))+4)))&gt;0),1,1)),SkillDataCodeName,0)+1,MATCH(""EffectTypeCombined"",SkillData_Header,0))"&amp;")"),"ShotAttack")</f>
        <v>ShotAttack</v>
      </c>
      <c r="K123" s="48" t="str">
        <f aca="false">IFERROR(__xludf.dummyfunction("IFERROR(INDEX(SkillData,MATCH(Arrayformula(ARRAY_CONSTRAIN(FILTER(INDIRECT(""PalData!""&amp;ADDRESS(MATCH(B123,PalNames,0)+1,(MATCH(""Passive0c"",PalData_Header,0)))&amp;"":""&amp;ADDRESS(MATCH(B123,PalNames,0)+1,(MATCH(""Passive0c"",PalData_Header,0))+4)),LEN(INDIRE"&amp;"CT(""PalData!""&amp;ADDRESS(MATCH(B123,PalNames,0)+1,(MATCH(""Passive0c"",PalData_Header,0)))&amp;"":""&amp;ADDRESS(MATCH(B123,PalNames,0)+1,(MATCH(""Passive0c"",PalData_Header,0))+4)))&gt;0),1,1)),SkillDataCodeName,0)+1,MATCH(""TargetType1"",SkillData_Header,0)))"),"Trainer")</f>
        <v>Trainer</v>
      </c>
      <c r="L123" s="48" t="e">
        <f aca="false" t="array" ref="L123:L123">IF(INDEX(PalData,MATCH($B123,PalNames,0)+1,MATCH("Passive0cCondition",PalData_Header,0))=IFERROR(INDEX(SkillData,MATCH(INDEX(PalData,MATCH($B123,PalNames,0)+1,MATCH("Passive0c",PalData_Header,0)),SkillDataCodeName,0)+1,MATCH("Conditions",SkillData_Header,0))),INDEX(PalData,MATCH($B123,PalNames,0)+1,MATCH("Passive0cCondition",PalData_Header,0)),INDEX(PalData,MATCH($B123,PalNames,0)+1,MATCH("Passive0cCondition",PalData_Header,0)) &amp; IF(ISBLANK(INDEX(PalData,MATCH($B123,PalNames,0)+1,MATCH("Passive0cCondition",PalData_Header,0))),," ")&amp;IFERROR(INDEX(SkillData,MATCH(INDEX(PalData,MATCH($B123,PalNames,0)+1,MATCH("Passive0c",PalData_Header,0)),SkillDataCodeName,0)+1,MATCH("Conditions",SkillData_Header,0))))</f>
        <v>#VALUE!</v>
      </c>
      <c r="M123" s="48" t="str">
        <f aca="false">IFERROR(__xludf.dummyfunction("IFERROR(INDEX(SkillData,MATCH(Arrayformula(ARRAY_CONSTRAIN(FILTER(INDIRECT(""PalData!""&amp;ADDRESS(MATCH(B123,PalNames,0)+1,(MATCH(""Passive0c"",PalData_Header,0)))&amp;"":""&amp;ADDRESS(MATCH(B123,PalNames,0)+1,(MATCH(""Passive0c"",PalData_Header,0))+4)),LEN(INDIRE"&amp;"CT(""PalData!""&amp;ADDRESS(MATCH(B123,PalNames,0)+1,(MATCH(""Passive0c"",PalData_Header,0)))&amp;"":""&amp;ADDRESS(MATCH(B123,PalNames,0)+1,(MATCH(""Passive0c"",PalData_Header,0))+4)))&gt;0),1,1)),SkillDataCodeName,0)+1,MATCH(""ValueType1"",SkillData_Header,0)))"),"%")</f>
        <v>%</v>
      </c>
      <c r="N123" s="61" t="e">
        <f aca="false" t="array" ref="N123:N123">IFERROR(INDEX(SkillData,MATCH(INDEX(PalData,MATCH($B123,PalNames,0)+1,MATCH("Passive0c",PalData_Header,0)),SkillDataCodeName,0)+1,MATCH("EffectValue1",SkillData_Header,0)))</f>
        <v>#VALUE!</v>
      </c>
      <c r="O123" s="61" t="e">
        <f aca="false" t="array" ref="O123:O123">IFERROR(INDEX(SkillData,MATCH(INDEX(PalData,MATCH($B123,PalNames,0)+1,MATCH("Passive1c",PalData_Header,0)),SkillDataCodeName,0)+1,MATCH("EffectValue1",SkillData_Header,0)))</f>
        <v>#VALUE!</v>
      </c>
      <c r="P123" s="61" t="e">
        <f aca="false" t="array" ref="P123:P123">IFERROR(INDEX(SkillData,MATCH(INDEX(PalData,MATCH($B123,PalNames,0)+1,MATCH("Passive2c",PalData_Header,0)),SkillDataCodeName,0)+1,MATCH("EffectValue1",SkillData_Header,0)))</f>
        <v>#VALUE!</v>
      </c>
      <c r="Q123" s="61" t="e">
        <f aca="false" t="array" ref="Q123:Q123">IFERROR(INDEX(SkillData,MATCH(INDEX(PalData,MATCH($B123,PalNames,0)+1,MATCH("Passive3c",PalData_Header,0)),SkillDataCodeName,0)+1,MATCH("EffectValue1",SkillData_Header,0)))</f>
        <v>#VALUE!</v>
      </c>
      <c r="R123" s="304" t="e">
        <f aca="false" t="array" ref="R123:R123">IFERROR(INDEX(SkillData,MATCH(INDEX(PalData,MATCH($B123,PalNames,0)+1,MATCH("Passive4c",PalData_Header,0)),SkillDataCodeName,0)+1,MATCH("EffectValue1",SkillData_Header,0)))</f>
        <v>#VALUE!</v>
      </c>
      <c r="S123" s="48" t="str">
        <f aca="false">IFERROR(__xludf.dummyfunction("IFERROR(INDEX(SkillData,MATCH(Arrayformula(ARRAY_CONSTRAIN(FILTER(INDIRECT(""PalData!""&amp;ADDRESS(MATCH(B123,PalNames,0)+1,(MATCH(""Passive0a"",PalData_Header,0)))&amp;"":""&amp;ADDRESS(MATCH(B123,PalNames,0)+1,(MATCH(""Passive0a"",PalData_Header,0))+4)),LEN(INDIRE"&amp;"CT(""PalData!""&amp;ADDRESS(MATCH(B123,PalNames,0)+1,(MATCH(""Passive0a"",PalData_Header,0)))&amp;"":""&amp;ADDRESS(MATCH(B123,PalNames,0)+1,(MATCH(""Passive0a"",PalData_Header,0))+4)))&gt;0),1,1)),SkillDataCodeName,0)+1,MATCH(""EffectTypeCombined"",SkillData_Header,0))"&amp;")"),"ElementDark")</f>
        <v>ElementDark</v>
      </c>
      <c r="T123" s="48" t="str">
        <f aca="false">IFERROR(__xludf.dummyfunction("IFERROR(INDEX(SkillData,MATCH(Arrayformula(ARRAY_CONSTRAIN(FILTER(INDIRECT(""PalData!""&amp;ADDRESS(MATCH(B123,PalNames,0)+1,(MATCH(""Passive0a"",PalData_Header,0)))&amp;"":""&amp;ADDRESS(MATCH(B123,PalNames,0)+1,(MATCH(""Passive0a"",PalData_Header,0))+4)),LEN(INDIRE"&amp;"CT(""PalData!""&amp;ADDRESS(MATCH(B123,PalNames,0)+1,(MATCH(""Passive0a"",PalData_Header,0)))&amp;"":""&amp;ADDRESS(MATCH(B123,PalNames,0)+1,(MATCH(""Passive0a"",PalData_Header,0))+4)))&gt;0),1,1)),SkillDataCodeName,0)+1,MATCH(""TargetType1"",SkillData_Header,0)))"),"Trainer")</f>
        <v>Trainer</v>
      </c>
      <c r="U123" s="48" t="e">
        <f aca="false" t="array" ref="U123:U123">IF(INDEX(PalData,MATCH($B123,PalNames,0)+1,MATCH("Passive0aCondition",PalData_Header,0))=IFERROR(INDEX(SkillData,MATCH(INDEX(PalData,MATCH($B123,PalNames,0)+1,MATCH("Passive0a",PalData_Header,0)),SkillDataCodeName,0)+1,MATCH("Conditions",SkillData_Header,0))),INDEX(PalData,MATCH($B123,PalNames,0)+1,MATCH("Passive0aCondition",PalData_Header,0)),INDEX(PalData,MATCH($B123,PalNames,0)+1,MATCH("Passive0aCondition",PalData_Header,0)) &amp; IF(ISBLANK(INDEX(PalData,MATCH($B123,PalNames,0)+1,MATCH("Passive0aCondition",PalData_Header,0))),," ")&amp;IFERROR(INDEX(SkillData,MATCH(INDEX(PalData,MATCH($B123,PalNames,0)+1,MATCH("Passive0a",PalData_Header,0)),SkillDataCodeName,0)+1,MATCH("Conditions",SkillData_Header,0))))</f>
        <v>#VALUE!</v>
      </c>
      <c r="V123" s="48" t="str">
        <f aca="false">IFERROR(__xludf.dummyfunction("IFERROR(INDEX(SkillData,MATCH(Arrayformula(ARRAY_CONSTRAIN(FILTER(INDIRECT(""PalData!""&amp;ADDRESS(MATCH(B123,PalNames,0)+1,(MATCH(""Passive0a"",PalData_Header,0)))&amp;"":""&amp;ADDRESS(MATCH(B123,PalNames,0)+1,(MATCH(""Passive0a"",PalData_Header,0))+4)),LEN(INDIRE"&amp;"CT(""PalData!""&amp;ADDRESS(MATCH(B123,PalNames,0)+1,(MATCH(""Passive0a"",PalData_Header,0)))&amp;"":""&amp;ADDRESS(MATCH(B123,PalNames,0)+1,(MATCH(""Passive0a"",PalData_Header,0))+4)))&gt;0),1,1)),SkillDataCodeName,0)+1,MATCH(""ValueType1"",SkillData_Header,0)))"),"bool")</f>
        <v>bool</v>
      </c>
      <c r="W123" s="61" t="n">
        <f aca="false" t="array" ref="W123:W123">IFERROR(INDEX(SkillData,MATCH(INDEX(PalData,MATCH($B123,PalNames,0)+1,MATCH("Passive0a",PalData_Header,0)),SkillDataCodeName,0)+1,MATCH("EffectValue1",SkillData_Header,0)),)</f>
        <v>1</v>
      </c>
      <c r="X123" s="61" t="n">
        <f aca="false" t="array" ref="X123:X123">IFERROR(INDEX(SkillData,MATCH(INDEX(PalData,MATCH($B123,PalNames,0)+1,MATCH("Passive1a",PalData_Header,0)),SkillDataCodeName,0)+1,MATCH("EffectValue1",SkillData_Header,0)),)</f>
        <v>1</v>
      </c>
      <c r="Y123" s="61" t="n">
        <f aca="false" t="array" ref="Y123:Y123">IFERROR(INDEX(SkillData,MATCH(INDEX(PalData,MATCH($B123,PalNames,0)+1,MATCH("Passive2a",PalData_Header,0)),SkillDataCodeName,0)+1,MATCH("EffectValue1",SkillData_Header,0)),)</f>
        <v>1</v>
      </c>
      <c r="Z123" s="61" t="n">
        <f aca="false" t="array" ref="Z123:Z123">IFERROR(INDEX(SkillData,MATCH(INDEX(PalData,MATCH($B123,PalNames,0)+1,MATCH("Passive3a",PalData_Header,0)),SkillDataCodeName,0)+1,MATCH("EffectValue1",SkillData_Header,0)),)</f>
        <v>1</v>
      </c>
      <c r="AA123" s="304" t="n">
        <f aca="false" t="array" ref="AA123:AA123">IFERROR(INDEX(SkillData,MATCH(INDEX(PalData,MATCH($B123,PalNames,0)+1,MATCH("Passive4a",PalData_Header,0)),SkillDataCodeName,0)+1,MATCH("EffectValue1",SkillData_Header,0)),)</f>
        <v>1</v>
      </c>
      <c r="AB123" s="48" t="str">
        <f aca="false">IFERROR(__xludf.dummyfunction("IFERROR(INDEX(SkillData,MATCH(Arrayformula(ARRAY_CONSTRAIN(FILTER(INDIRECT(""PalData!""&amp;ADDRESS(MATCH(B123,PalNames,0)+1,(MATCH(""Passive0b"",PalData_Header,0)))&amp;"":""&amp;ADDRESS(MATCH(B123,PalNames,0)+1,(MATCH(""Passive0b"",PalData_Header,0))+4)),LEN(INDIRE"&amp;"CT(""PalData!""&amp;ADDRESS(MATCH(B123,PalNames,0)+1,(MATCH(""Passive0b"",PalData_Header,0)))&amp;"":""&amp;ADDRESS(MATCH(B123,PalNames,0)+1,(MATCH(""Passive0b"",PalData_Header,0))+4)))&gt;0),1,1)),SkillDataCodeName,0)+1,MATCH(""EffectTypeCombined"",SkillData_Header,0))"&amp;")"),"")</f>
        <v/>
      </c>
      <c r="AC123" s="48" t="str">
        <f aca="false">IFERROR(__xludf.dummyfunction("IFERROR(INDEX(SkillData,MATCH(Arrayformula(ARRAY_CONSTRAIN(FILTER(INDIRECT(""PalData!""&amp;ADDRESS(MATCH(B123,PalNames,0)+1,(MATCH(""Passive0b"",PalData_Header,0)))&amp;"":""&amp;ADDRESS(MATCH(B123,PalNames,0)+1,(MATCH(""Passive0b"",PalData_Header,0))+4)),LEN(INDIRE"&amp;"CT(""PalData!""&amp;ADDRESS(MATCH(B123,PalNames,0)+1,(MATCH(""Passive0b"",PalData_Header,0)))&amp;"":""&amp;ADDRESS(MATCH(B123,PalNames,0)+1,(MATCH(""Passive0b"",PalData_Header,0))+4)))&gt;0),1,1)),SkillDataCodeName,0)+1,MATCH(""TargetType1"",SkillData_Header,0)))"),"")</f>
        <v/>
      </c>
      <c r="AD123" s="48" t="e">
        <f aca="false" t="array" ref="AD123:AD123">IF(INDEX(PalData,MATCH($B123,PalNames,0)+1,MATCH("Passive0bCondition",PalData_Header,0))=IFERROR(INDEX(SkillData,MATCH(INDEX(PalData,MATCH($B123,PalNames,0)+1,MATCH("Passive0b",PalData_Header,0)),SkillDataCodeName,0)+1,MATCH("Conditions",SkillData_Header,0))),INDEX(PalData,MATCH($B123,PalNames,0)+1,MATCH("Passive0bCondition",PalData_Header,0)),INDEX(PalData,MATCH($B123,PalNames,0)+1,MATCH("Passive0bCondition",PalData_Header,0)) &amp; IF(ISBLANK(INDEX(PalData,MATCH($B123,PalNames,0)+1,MATCH("Passive0bCondition",PalData_Header,0))),," ")&amp;IFERROR(INDEX(SkillData,MATCH(INDEX(PalData,MATCH($B123,PalNames,0)+1,MATCH("Passive0b",PalData_Header,0)),SkillDataCodeName,0)+1,MATCH("Conditions",SkillData_Header,0))))</f>
        <v>#N/A</v>
      </c>
      <c r="AE123" s="48" t="str">
        <f aca="false">IFERROR(__xludf.dummyfunction("IFERROR(INDEX(SkillData,MATCH(Arrayformula(ARRAY_CONSTRAIN(FILTER(INDIRECT(""PalData!""&amp;ADDRESS(MATCH(B123,PalNames,0)+1,(MATCH(""Passive0b"",PalData_Header,0)))&amp;"":""&amp;ADDRESS(MATCH(B123,PalNames,0)+1,(MATCH(""Passive0b"",PalData_Header,0))+4)),LEN(INDIRE"&amp;"CT(""PalData!""&amp;ADDRESS(MATCH(B123,PalNames,0)+1,(MATCH(""Passive0b"",PalData_Header,0)))&amp;"":""&amp;ADDRESS(MATCH(B123,PalNames,0)+1,(MATCH(""Passive0b"",PalData_Header,0))+4)))&gt;0),1,1)),SkillDataCodeName,0)+1,MATCH(""ValueType1"",SkillData_Header,0)))"),"")</f>
        <v/>
      </c>
      <c r="AF123" s="48" t="n">
        <f aca="false">IFERROR(INDEX(SkillData,MATCH(INDEX(PalData,MATCH($B123,PalNames,0)+1,MATCH("Passive0b",PalData_Header,0)),SkillDataCodeName,0)+1,MATCH("EffectValue1",SkillData_Header,0)),)</f>
        <v>0</v>
      </c>
      <c r="AG123" s="48" t="n">
        <f aca="false">IFERROR(INDEX(SkillData,MATCH(INDEX(PalData,MATCH($B123,PalNames,0)+1,MATCH("Passive1b",PalData_Header,0)),SkillDataCodeName,0)+1,MATCH("EffectValue1",SkillData_Header,0)),)</f>
        <v>0</v>
      </c>
      <c r="AH123" s="48" t="n">
        <f aca="false">IFERROR(INDEX(SkillData,MATCH(INDEX(PalData,MATCH($B123,PalNames,0)+1,MATCH("Passive2b",PalData_Header,0)),SkillDataCodeName,0)+1,MATCH("EffectValue1",SkillData_Header,0)),)</f>
        <v>0</v>
      </c>
      <c r="AI123" s="48" t="n">
        <f aca="false">IFERROR(INDEX(SkillData,MATCH(INDEX(PalData,MATCH($B123,PalNames,0)+1,MATCH("Passive3b",PalData_Header,0)),SkillDataCodeName,0)+1,MATCH("EffectValue1",SkillData_Header,0)),)</f>
        <v>0</v>
      </c>
      <c r="AJ123" s="263" t="n">
        <f aca="false">IFERROR(INDEX(SkillData,MATCH(INDEX(PalData,MATCH($B123,PalNames,0)+1,MATCH("Passive4b",PalData_Header,0)),SkillDataCodeName,0)+1,MATCH("EffectValue1",SkillData_Header,0)),)</f>
        <v>0</v>
      </c>
      <c r="AK123" s="305" t="s">
        <v>387</v>
      </c>
    </row>
    <row r="124" customFormat="false" ht="15.75" hidden="false" customHeight="false" outlineLevel="0" collapsed="false">
      <c r="A124" s="299" t="n">
        <v>98</v>
      </c>
      <c r="B124" s="300" t="s">
        <v>15</v>
      </c>
      <c r="C124" s="45" t="str">
        <f aca="false" t="array" ref="C124:C124">IF(ISBLANK(INDEX(PalData,MATCH($B124,PalNames,0)+1,MATCH("ActiveSkill",PalData_Header,0))),INDEX(PalData,MATCH($B124,PalNames,0)+1,MATCH("SkillUnlock_",PalData_Header,0)),INDEX(PalData,MATCH($B124,PalNames,0)+1,MATCH("ActiveSkill",PalData_Header,0)))</f>
        <v>Saddle</v>
      </c>
      <c r="D124" s="45"/>
      <c r="E124" s="45" t="n">
        <f aca="false">INDEX(PalData,MATCH($B124,PalNames,0)+1,MATCH("ActiveSkillBonus0",PalData_Header,0))</f>
        <v>0</v>
      </c>
      <c r="F124" s="45" t="n">
        <f aca="false">INDEX(PalData,MATCH($B124,PalNames,0)+1,MATCH("ActiveSkillBonus1",PalData_Header,0))</f>
        <v>0</v>
      </c>
      <c r="G124" s="45" t="n">
        <f aca="false">INDEX(PalData,MATCH($B124,PalNames,0)+1,MATCH("ActiveSkillBonus2",PalData_Header,0))</f>
        <v>0</v>
      </c>
      <c r="H124" s="45" t="n">
        <f aca="false">INDEX(PalData,MATCH($B124,PalNames,0)+1,MATCH("ActiveSkillBonus3",PalData_Header,0))</f>
        <v>0</v>
      </c>
      <c r="I124" s="260" t="n">
        <f aca="false">INDEX(PalData,MATCH($B124,PalNames,0)+1,MATCH("ActiveSkillBonus4",PalData_Header,0))</f>
        <v>0</v>
      </c>
      <c r="J124" s="45" t="str">
        <f aca="false">IFERROR(__xludf.dummyfunction("IFERROR(INDEX(SkillData,MATCH(Arrayformula(ARRAY_CONSTRAIN(FILTER(INDIRECT(""PalData!""&amp;ADDRESS(MATCH(B124,PalNames,0)+1,(MATCH(""Passive0c"",PalData_Header,0)))&amp;"":""&amp;ADDRESS(MATCH(B124,PalNames,0)+1,(MATCH(""Passive0c"",PalData_Header,0))+4)),LEN(INDIRE"&amp;"CT(""PalData!""&amp;ADDRESS(MATCH(B124,PalNames,0)+1,(MATCH(""Passive0c"",PalData_Header,0)))&amp;"":""&amp;ADDRESS(MATCH(B124,PalNames,0)+1,(MATCH(""Passive0c"",PalData_Header,0))+4)))&gt;0),1,1)),SkillDataCodeName,0)+1,MATCH(""EffectTypeCombined"",SkillData_Header,0))"&amp;")"),"Mining")</f>
        <v>Mining</v>
      </c>
      <c r="K124" s="45" t="str">
        <f aca="false">IFERROR(__xludf.dummyfunction("IFERROR(INDEX(SkillData,MATCH(Arrayformula(ARRAY_CONSTRAIN(FILTER(INDIRECT(""PalData!""&amp;ADDRESS(MATCH(B124,PalNames,0)+1,(MATCH(""Passive0c"",PalData_Header,0)))&amp;"":""&amp;ADDRESS(MATCH(B124,PalNames,0)+1,(MATCH(""Passive0c"",PalData_Header,0))+4)),LEN(INDIRE"&amp;"CT(""PalData!""&amp;ADDRESS(MATCH(B124,PalNames,0)+1,(MATCH(""Passive0c"",PalData_Header,0)))&amp;"":""&amp;ADDRESS(MATCH(B124,PalNames,0)+1,(MATCH(""Passive0c"",PalData_Header,0))+4)))&gt;0),1,1)),SkillDataCodeName,0)+1,MATCH(""TargetType1"",SkillData_Header,0)))"),"Self")</f>
        <v>Self</v>
      </c>
      <c r="L124" s="45" t="e">
        <f aca="false" t="array" ref="L124:L124">IF(INDEX(PalData,MATCH($B124,PalNames,0)+1,MATCH("Passive0cCondition",PalData_Header,0))=IFERROR(INDEX(SkillData,MATCH(INDEX(PalData,MATCH($B124,PalNames,0)+1,MATCH("Passive0c",PalData_Header,0)),SkillDataCodeName,0)+1,MATCH("Conditions",SkillData_Header,0))),INDEX(PalData,MATCH($B124,PalNames,0)+1,MATCH("Passive0cCondition",PalData_Header,0)),INDEX(PalData,MATCH($B124,PalNames,0)+1,MATCH("Passive0cCondition",PalData_Header,0)) &amp; IF(ISBLANK(INDEX(PalData,MATCH($B124,PalNames,0)+1,MATCH("Passive0cCondition",PalData_Header,0))),," ")&amp;IFERROR(INDEX(SkillData,MATCH(INDEX(PalData,MATCH($B124,PalNames,0)+1,MATCH("Passive0c",PalData_Header,0)),SkillDataCodeName,0)+1,MATCH("Conditions",SkillData_Header,0))))</f>
        <v>#VALUE!</v>
      </c>
      <c r="M124" s="45" t="str">
        <f aca="false">IFERROR(__xludf.dummyfunction("IFERROR(INDEX(SkillData,MATCH(Arrayformula(ARRAY_CONSTRAIN(FILTER(INDIRECT(""PalData!""&amp;ADDRESS(MATCH(B124,PalNames,0)+1,(MATCH(""Passive0c"",PalData_Header,0)))&amp;"":""&amp;ADDRESS(MATCH(B124,PalNames,0)+1,(MATCH(""Passive0c"",PalData_Header,0))+4)),LEN(INDIRE"&amp;"CT(""PalData!""&amp;ADDRESS(MATCH(B124,PalNames,0)+1,(MATCH(""Passive0c"",PalData_Header,0)))&amp;"":""&amp;ADDRESS(MATCH(B124,PalNames,0)+1,(MATCH(""Passive0c"",PalData_Header,0))+4)))&gt;0),1,1)),SkillDataCodeName,0)+1,MATCH(""ValueType1"",SkillData_Header,0)))"),"+")</f>
        <v>+</v>
      </c>
      <c r="N124" s="62" t="e">
        <f aca="false" t="array" ref="N124:N124">IFERROR(INDEX(SkillData,MATCH(INDEX(PalData,MATCH($B124,PalNames,0)+1,MATCH("Passive0c",PalData_Header,0)),SkillDataCodeName,0)+1,MATCH("EffectValue1",SkillData_Header,0)))</f>
        <v>#VALUE!</v>
      </c>
      <c r="O124" s="62" t="e">
        <f aca="false" t="array" ref="O124:O124">IFERROR(INDEX(SkillData,MATCH(INDEX(PalData,MATCH($B124,PalNames,0)+1,MATCH("Passive1c",PalData_Header,0)),SkillDataCodeName,0)+1,MATCH("EffectValue1",SkillData_Header,0)))</f>
        <v>#VALUE!</v>
      </c>
      <c r="P124" s="62" t="e">
        <f aca="false" t="array" ref="P124:P124">IFERROR(INDEX(SkillData,MATCH(INDEX(PalData,MATCH($B124,PalNames,0)+1,MATCH("Passive2c",PalData_Header,0)),SkillDataCodeName,0)+1,MATCH("EffectValue1",SkillData_Header,0)))</f>
        <v>#VALUE!</v>
      </c>
      <c r="Q124" s="62" t="e">
        <f aca="false" t="array" ref="Q124:Q124">IFERROR(INDEX(SkillData,MATCH(INDEX(PalData,MATCH($B124,PalNames,0)+1,MATCH("Passive3c",PalData_Header,0)),SkillDataCodeName,0)+1,MATCH("EffectValue1",SkillData_Header,0)))</f>
        <v>#VALUE!</v>
      </c>
      <c r="R124" s="306" t="e">
        <f aca="false" t="array" ref="R124:R124">IFERROR(INDEX(SkillData,MATCH(INDEX(PalData,MATCH($B124,PalNames,0)+1,MATCH("Passive4c",PalData_Header,0)),SkillDataCodeName,0)+1,MATCH("EffectValue1",SkillData_Header,0)))</f>
        <v>#VALUE!</v>
      </c>
      <c r="S124" s="45" t="str">
        <f aca="false">IFERROR(__xludf.dummyfunction("IFERROR(INDEX(SkillData,MATCH(Arrayformula(ARRAY_CONSTRAIN(FILTER(INDIRECT(""PalData!""&amp;ADDRESS(MATCH(B124,PalNames,0)+1,(MATCH(""Passive0a"",PalData_Header,0)))&amp;"":""&amp;ADDRESS(MATCH(B124,PalNames,0)+1,(MATCH(""Passive0a"",PalData_Header,0))+4)),LEN(INDIRE"&amp;"CT(""PalData!""&amp;ADDRESS(MATCH(B124,PalNames,0)+1,(MATCH(""Passive0a"",PalData_Header,0)))&amp;"":""&amp;ADDRESS(MATCH(B124,PalNames,0)+1,(MATCH(""Passive0a"",PalData_Header,0))+4)))&gt;0),1,1)),SkillDataCodeName,0)+1,MATCH(""EffectTypeCombined"",SkillData_Header,0))"&amp;")"),"")</f>
        <v/>
      </c>
      <c r="T124" s="45" t="str">
        <f aca="false">IFERROR(__xludf.dummyfunction("IFERROR(INDEX(SkillData,MATCH(Arrayformula(ARRAY_CONSTRAIN(FILTER(INDIRECT(""PalData!""&amp;ADDRESS(MATCH(B124,PalNames,0)+1,(MATCH(""Passive0a"",PalData_Header,0)))&amp;"":""&amp;ADDRESS(MATCH(B124,PalNames,0)+1,(MATCH(""Passive0a"",PalData_Header,0))+4)),LEN(INDIRE"&amp;"CT(""PalData!""&amp;ADDRESS(MATCH(B124,PalNames,0)+1,(MATCH(""Passive0a"",PalData_Header,0)))&amp;"":""&amp;ADDRESS(MATCH(B124,PalNames,0)+1,(MATCH(""Passive0a"",PalData_Header,0))+4)))&gt;0),1,1)),SkillDataCodeName,0)+1,MATCH(""TargetType1"",SkillData_Header,0)))"),"")</f>
        <v/>
      </c>
      <c r="U124" s="45" t="e">
        <f aca="false" t="array" ref="U124:U124">IF(INDEX(PalData,MATCH($B124,PalNames,0)+1,MATCH("Passive0aCondition",PalData_Header,0))=IFERROR(INDEX(SkillData,MATCH(INDEX(PalData,MATCH($B124,PalNames,0)+1,MATCH("Passive0a",PalData_Header,0)),SkillDataCodeName,0)+1,MATCH("Conditions",SkillData_Header,0))),INDEX(PalData,MATCH($B124,PalNames,0)+1,MATCH("Passive0aCondition",PalData_Header,0)),INDEX(PalData,MATCH($B124,PalNames,0)+1,MATCH("Passive0aCondition",PalData_Header,0)) &amp; IF(ISBLANK(INDEX(PalData,MATCH($B124,PalNames,0)+1,MATCH("Passive0aCondition",PalData_Header,0))),," ")&amp;IFERROR(INDEX(SkillData,MATCH(INDEX(PalData,MATCH($B124,PalNames,0)+1,MATCH("Passive0a",PalData_Header,0)),SkillDataCodeName,0)+1,MATCH("Conditions",SkillData_Header,0))))</f>
        <v>#N/A</v>
      </c>
      <c r="V124" s="45" t="str">
        <f aca="false">IFERROR(__xludf.dummyfunction("IFERROR(INDEX(SkillData,MATCH(Arrayformula(ARRAY_CONSTRAIN(FILTER(INDIRECT(""PalData!""&amp;ADDRESS(MATCH(B124,PalNames,0)+1,(MATCH(""Passive0a"",PalData_Header,0)))&amp;"":""&amp;ADDRESS(MATCH(B124,PalNames,0)+1,(MATCH(""Passive0a"",PalData_Header,0))+4)),LEN(INDIRE"&amp;"CT(""PalData!""&amp;ADDRESS(MATCH(B124,PalNames,0)+1,(MATCH(""Passive0a"",PalData_Header,0)))&amp;"":""&amp;ADDRESS(MATCH(B124,PalNames,0)+1,(MATCH(""Passive0a"",PalData_Header,0))+4)))&gt;0),1,1)),SkillDataCodeName,0)+1,MATCH(""ValueType1"",SkillData_Header,0)))"),"")</f>
        <v/>
      </c>
      <c r="W124" s="45" t="n">
        <f aca="false">IFERROR(INDEX(SkillData,MATCH(INDEX(PalData,MATCH($B124,PalNames,0)+1,MATCH("Passive0a",PalData_Header,0)),SkillDataCodeName,0)+1,MATCH("EffectValue1",SkillData_Header,0)),)</f>
        <v>0</v>
      </c>
      <c r="X124" s="45" t="n">
        <f aca="false">IFERROR(INDEX(SkillData,MATCH(INDEX(PalData,MATCH($B124,PalNames,0)+1,MATCH("Passive1a",PalData_Header,0)),SkillDataCodeName,0)+1,MATCH("EffectValue1",SkillData_Header,0)),)</f>
        <v>0</v>
      </c>
      <c r="Y124" s="45" t="n">
        <f aca="false">IFERROR(INDEX(SkillData,MATCH(INDEX(PalData,MATCH($B124,PalNames,0)+1,MATCH("Passive2a",PalData_Header,0)),SkillDataCodeName,0)+1,MATCH("EffectValue1",SkillData_Header,0)),)</f>
        <v>0</v>
      </c>
      <c r="Z124" s="45" t="n">
        <f aca="false">IFERROR(INDEX(SkillData,MATCH(INDEX(PalData,MATCH($B124,PalNames,0)+1,MATCH("Passive3a",PalData_Header,0)),SkillDataCodeName,0)+1,MATCH("EffectValue1",SkillData_Header,0)),)</f>
        <v>0</v>
      </c>
      <c r="AA124" s="260" t="n">
        <f aca="false">IFERROR(INDEX(SkillData,MATCH(INDEX(PalData,MATCH($B124,PalNames,0)+1,MATCH("Passive4a",PalData_Header,0)),SkillDataCodeName,0)+1,MATCH("EffectValue1",SkillData_Header,0)),)</f>
        <v>0</v>
      </c>
      <c r="AB124" s="45" t="str">
        <f aca="false">IFERROR(__xludf.dummyfunction("IFERROR(INDEX(SkillData,MATCH(Arrayformula(ARRAY_CONSTRAIN(FILTER(INDIRECT(""PalData!""&amp;ADDRESS(MATCH(B124,PalNames,0)+1,(MATCH(""Passive0b"",PalData_Header,0)))&amp;"":""&amp;ADDRESS(MATCH(B124,PalNames,0)+1,(MATCH(""Passive0b"",PalData_Header,0))+4)),LEN(INDIRE"&amp;"CT(""PalData!""&amp;ADDRESS(MATCH(B124,PalNames,0)+1,(MATCH(""Passive0b"",PalData_Header,0)))&amp;"":""&amp;ADDRESS(MATCH(B124,PalNames,0)+1,(MATCH(""Passive0b"",PalData_Header,0))+4)))&gt;0),1,1)),SkillDataCodeName,0)+1,MATCH(""EffectTypeCombined"",SkillData_Header,0))"&amp;")"),"")</f>
        <v/>
      </c>
      <c r="AC124" s="45" t="str">
        <f aca="false">IFERROR(__xludf.dummyfunction("IFERROR(INDEX(SkillData,MATCH(Arrayformula(ARRAY_CONSTRAIN(FILTER(INDIRECT(""PalData!""&amp;ADDRESS(MATCH(B124,PalNames,0)+1,(MATCH(""Passive0b"",PalData_Header,0)))&amp;"":""&amp;ADDRESS(MATCH(B124,PalNames,0)+1,(MATCH(""Passive0b"",PalData_Header,0))+4)),LEN(INDIRE"&amp;"CT(""PalData!""&amp;ADDRESS(MATCH(B124,PalNames,0)+1,(MATCH(""Passive0b"",PalData_Header,0)))&amp;"":""&amp;ADDRESS(MATCH(B124,PalNames,0)+1,(MATCH(""Passive0b"",PalData_Header,0))+4)))&gt;0),1,1)),SkillDataCodeName,0)+1,MATCH(""TargetType1"",SkillData_Header,0)))"),"")</f>
        <v/>
      </c>
      <c r="AD124" s="45" t="e">
        <f aca="false" t="array" ref="AD124:AD124">IF(INDEX(PalData,MATCH($B124,PalNames,0)+1,MATCH("Passive0bCondition",PalData_Header,0))=IFERROR(INDEX(SkillData,MATCH(INDEX(PalData,MATCH($B124,PalNames,0)+1,MATCH("Passive0b",PalData_Header,0)),SkillDataCodeName,0)+1,MATCH("Conditions",SkillData_Header,0))),INDEX(PalData,MATCH($B124,PalNames,0)+1,MATCH("Passive0bCondition",PalData_Header,0)),INDEX(PalData,MATCH($B124,PalNames,0)+1,MATCH("Passive0bCondition",PalData_Header,0)) &amp; IF(ISBLANK(INDEX(PalData,MATCH($B124,PalNames,0)+1,MATCH("Passive0bCondition",PalData_Header,0))),," ")&amp;IFERROR(INDEX(SkillData,MATCH(INDEX(PalData,MATCH($B124,PalNames,0)+1,MATCH("Passive0b",PalData_Header,0)),SkillDataCodeName,0)+1,MATCH("Conditions",SkillData_Header,0))))</f>
        <v>#N/A</v>
      </c>
      <c r="AE124" s="45" t="str">
        <f aca="false">IFERROR(__xludf.dummyfunction("IFERROR(INDEX(SkillData,MATCH(Arrayformula(ARRAY_CONSTRAIN(FILTER(INDIRECT(""PalData!""&amp;ADDRESS(MATCH(B124,PalNames,0)+1,(MATCH(""Passive0b"",PalData_Header,0)))&amp;"":""&amp;ADDRESS(MATCH(B124,PalNames,0)+1,(MATCH(""Passive0b"",PalData_Header,0))+4)),LEN(INDIRE"&amp;"CT(""PalData!""&amp;ADDRESS(MATCH(B124,PalNames,0)+1,(MATCH(""Passive0b"",PalData_Header,0)))&amp;"":""&amp;ADDRESS(MATCH(B124,PalNames,0)+1,(MATCH(""Passive0b"",PalData_Header,0))+4)))&gt;0),1,1)),SkillDataCodeName,0)+1,MATCH(""ValueType1"",SkillData_Header,0)))"),"")</f>
        <v/>
      </c>
      <c r="AF124" s="45" t="n">
        <f aca="false">IFERROR(INDEX(SkillData,MATCH(INDEX(PalData,MATCH($B124,PalNames,0)+1,MATCH("Passive0b",PalData_Header,0)),SkillDataCodeName,0)+1,MATCH("EffectValue1",SkillData_Header,0)),)</f>
        <v>0</v>
      </c>
      <c r="AG124" s="45" t="n">
        <f aca="false">IFERROR(INDEX(SkillData,MATCH(INDEX(PalData,MATCH($B124,PalNames,0)+1,MATCH("Passive1b",PalData_Header,0)),SkillDataCodeName,0)+1,MATCH("EffectValue1",SkillData_Header,0)),)</f>
        <v>0</v>
      </c>
      <c r="AH124" s="45" t="n">
        <f aca="false">IFERROR(INDEX(SkillData,MATCH(INDEX(PalData,MATCH($B124,PalNames,0)+1,MATCH("Passive2b",PalData_Header,0)),SkillDataCodeName,0)+1,MATCH("EffectValue1",SkillData_Header,0)),)</f>
        <v>0</v>
      </c>
      <c r="AI124" s="45" t="n">
        <f aca="false">IFERROR(INDEX(SkillData,MATCH(INDEX(PalData,MATCH($B124,PalNames,0)+1,MATCH("Passive3b",PalData_Header,0)),SkillDataCodeName,0)+1,MATCH("EffectValue1",SkillData_Header,0)),)</f>
        <v>0</v>
      </c>
      <c r="AJ124" s="260" t="n">
        <f aca="false">IFERROR(INDEX(SkillData,MATCH(INDEX(PalData,MATCH($B124,PalNames,0)+1,MATCH("Passive4b",PalData_Header,0)),SkillDataCodeName,0)+1,MATCH("EffectValue1",SkillData_Header,0)),)</f>
        <v>0</v>
      </c>
      <c r="AK124" s="301" t="s">
        <v>388</v>
      </c>
    </row>
    <row r="125" customFormat="false" ht="15.75" hidden="false" customHeight="false" outlineLevel="0" collapsed="false">
      <c r="A125" s="302" t="n">
        <v>99</v>
      </c>
      <c r="B125" s="303" t="s">
        <v>105</v>
      </c>
      <c r="C125" s="48" t="n">
        <f aca="false">IF(ISBLANK(INDEX(PalData,MATCH($B125,PalNames,0)+1,MATCH("ActiveSkill",PalData_Header,0))),INDEX(PalData,MATCH($B125,PalNames,0)+1,MATCH("SkillUnlock_",PalData_Header,0)),INDEX(PalData,MATCH($B125,PalNames,0)+1,MATCH("ActiveSkill",PalData_Header,0)))</f>
        <v>0</v>
      </c>
      <c r="D125" s="48"/>
      <c r="E125" s="48" t="n">
        <f aca="false">INDEX(PalData,MATCH($B125,PalNames,0)+1,MATCH("ActiveSkillBonus0",PalData_Header,0))</f>
        <v>0</v>
      </c>
      <c r="F125" s="48" t="n">
        <f aca="false">INDEX(PalData,MATCH($B125,PalNames,0)+1,MATCH("ActiveSkillBonus1",PalData_Header,0))</f>
        <v>0</v>
      </c>
      <c r="G125" s="48" t="n">
        <f aca="false">INDEX(PalData,MATCH($B125,PalNames,0)+1,MATCH("ActiveSkillBonus2",PalData_Header,0))</f>
        <v>0</v>
      </c>
      <c r="H125" s="48" t="n">
        <f aca="false">INDEX(PalData,MATCH($B125,PalNames,0)+1,MATCH("ActiveSkillBonus3",PalData_Header,0))</f>
        <v>0</v>
      </c>
      <c r="I125" s="263" t="n">
        <f aca="false">INDEX(PalData,MATCH($B125,PalNames,0)+1,MATCH("ActiveSkillBonus4",PalData_Header,0))</f>
        <v>0</v>
      </c>
      <c r="J125" s="48" t="str">
        <f aca="false">IFERROR(__xludf.dummyfunction("IFERROR(INDEX(SkillData,MATCH(Arrayformula(ARRAY_CONSTRAIN(FILTER(INDIRECT(""PalData!""&amp;ADDRESS(MATCH(B125,PalNames,0)+1,(MATCH(""Passive0c"",PalData_Header,0)))&amp;"":""&amp;ADDRESS(MATCH(B125,PalNames,0)+1,(MATCH(""Passive0c"",PalData_Header,0))+4)),LEN(INDIRE"&amp;"CT(""PalData!""&amp;ADDRESS(MATCH(B125,PalNames,0)+1,(MATCH(""Passive0c"",PalData_Header,0)))&amp;"":""&amp;ADDRESS(MATCH(B125,PalNames,0)+1,(MATCH(""Passive0c"",PalData_Header,0))+4)))&gt;0),1,1)),SkillDataCodeName,0)+1,MATCH(""EffectTypeCombined"",SkillData_Header,0))"&amp;")"),"ElementAddItemDrop_Electricity")</f>
        <v>ElementAddItemDrop_Electricity</v>
      </c>
      <c r="K125" s="48" t="str">
        <f aca="false">IFERROR(__xludf.dummyfunction("IFERROR(INDEX(SkillData,MATCH(Arrayformula(ARRAY_CONSTRAIN(FILTER(INDIRECT(""PalData!""&amp;ADDRESS(MATCH(B125,PalNames,0)+1,(MATCH(""Passive0c"",PalData_Header,0)))&amp;"":""&amp;ADDRESS(MATCH(B125,PalNames,0)+1,(MATCH(""Passive0c"",PalData_Header,0))+4)),LEN(INDIRE"&amp;"CT(""PalData!""&amp;ADDRESS(MATCH(B125,PalNames,0)+1,(MATCH(""Passive0c"",PalData_Header,0)))&amp;"":""&amp;ADDRESS(MATCH(B125,PalNames,0)+1,(MATCH(""Passive0c"",PalData_Header,0))+4)))&gt;0),1,1)),SkillDataCodeName,0)+1,MATCH(""TargetType1"",SkillData_Header,0)))"),"SelfAndTrainer")</f>
        <v>SelfAndTrainer</v>
      </c>
      <c r="L125" s="48" t="e">
        <f aca="false" t="array" ref="L125:L125">IF(INDEX(PalData,MATCH($B125,PalNames,0)+1,MATCH("Passive0cCondition",PalData_Header,0))=IFERROR(INDEX(SkillData,MATCH(INDEX(PalData,MATCH($B125,PalNames,0)+1,MATCH("Passive0c",PalData_Header,0)),SkillDataCodeName,0)+1,MATCH("Conditions",SkillData_Header,0))),INDEX(PalData,MATCH($B125,PalNames,0)+1,MATCH("Passive0cCondition",PalData_Header,0)),INDEX(PalData,MATCH($B125,PalNames,0)+1,MATCH("Passive0cCondition",PalData_Header,0)) &amp; IF(ISBLANK(INDEX(PalData,MATCH($B125,PalNames,0)+1,MATCH("Passive0cCondition",PalData_Header,0))),," ")&amp;IFERROR(INDEX(SkillData,MATCH(INDEX(PalData,MATCH($B125,PalNames,0)+1,MATCH("Passive0c",PalData_Header,0)),SkillDataCodeName,0)+1,MATCH("Conditions",SkillData_Header,0))))</f>
        <v>#VALUE!</v>
      </c>
      <c r="M125" s="48" t="str">
        <f aca="false">IFERROR(__xludf.dummyfunction("IFERROR(INDEX(SkillData,MATCH(Arrayformula(ARRAY_CONSTRAIN(FILTER(INDIRECT(""PalData!""&amp;ADDRESS(MATCH(B125,PalNames,0)+1,(MATCH(""Passive0c"",PalData_Header,0)))&amp;"":""&amp;ADDRESS(MATCH(B125,PalNames,0)+1,(MATCH(""Passive0c"",PalData_Header,0))+4)),LEN(INDIRE"&amp;"CT(""PalData!""&amp;ADDRESS(MATCH(B125,PalNames,0)+1,(MATCH(""Passive0c"",PalData_Header,0)))&amp;"":""&amp;ADDRESS(MATCH(B125,PalNames,0)+1,(MATCH(""Passive0c"",PalData_Header,0))+4)))&gt;0),1,1)),SkillDataCodeName,0)+1,MATCH(""ValueType1"",SkillData_Header,0)))"),"%")</f>
        <v>%</v>
      </c>
      <c r="N125" s="61" t="e">
        <f aca="false" t="array" ref="N125:N125">IFERROR(INDEX(SkillData,MATCH(INDEX(PalData,MATCH($B125,PalNames,0)+1,MATCH("Passive0c",PalData_Header,0)),SkillDataCodeName,0)+1,MATCH("EffectValue1",SkillData_Header,0)))</f>
        <v>#VALUE!</v>
      </c>
      <c r="O125" s="61" t="e">
        <f aca="false" t="array" ref="O125:O125">IFERROR(INDEX(SkillData,MATCH(INDEX(PalData,MATCH($B125,PalNames,0)+1,MATCH("Passive1c",PalData_Header,0)),SkillDataCodeName,0)+1,MATCH("EffectValue1",SkillData_Header,0)))</f>
        <v>#VALUE!</v>
      </c>
      <c r="P125" s="61" t="e">
        <f aca="false" t="array" ref="P125:P125">IFERROR(INDEX(SkillData,MATCH(INDEX(PalData,MATCH($B125,PalNames,0)+1,MATCH("Passive2c",PalData_Header,0)),SkillDataCodeName,0)+1,MATCH("EffectValue1",SkillData_Header,0)))</f>
        <v>#VALUE!</v>
      </c>
      <c r="Q125" s="61" t="e">
        <f aca="false" t="array" ref="Q125:Q125">IFERROR(INDEX(SkillData,MATCH(INDEX(PalData,MATCH($B125,PalNames,0)+1,MATCH("Passive3c",PalData_Header,0)),SkillDataCodeName,0)+1,MATCH("EffectValue1",SkillData_Header,0)))</f>
        <v>#VALUE!</v>
      </c>
      <c r="R125" s="304" t="e">
        <f aca="false" t="array" ref="R125:R125">IFERROR(INDEX(SkillData,MATCH(INDEX(PalData,MATCH($B125,PalNames,0)+1,MATCH("Passive4c",PalData_Header,0)),SkillDataCodeName,0)+1,MATCH("EffectValue1",SkillData_Header,0)))</f>
        <v>#VALUE!</v>
      </c>
      <c r="S125" s="48" t="str">
        <f aca="false">IFERROR(__xludf.dummyfunction("IFERROR(INDEX(SkillData,MATCH(Arrayformula(ARRAY_CONSTRAIN(FILTER(INDIRECT(""PalData!""&amp;ADDRESS(MATCH(B125,PalNames,0)+1,(MATCH(""Passive0a"",PalData_Header,0)))&amp;"":""&amp;ADDRESS(MATCH(B125,PalNames,0)+1,(MATCH(""Passive0a"",PalData_Header,0))+4)),LEN(INDIRE"&amp;"CT(""PalData!""&amp;ADDRESS(MATCH(B125,PalNames,0)+1,(MATCH(""Passive0a"",PalData_Header,0)))&amp;"":""&amp;ADDRESS(MATCH(B125,PalNames,0)+1,(MATCH(""Passive0a"",PalData_Header,0))+4)))&gt;0),1,1)),SkillDataCodeName,0)+1,MATCH(""EffectTypeCombined"",SkillData_Header,0))"&amp;")"),"Defense")</f>
        <v>Defense</v>
      </c>
      <c r="T125" s="48" t="str">
        <f aca="false">IFERROR(__xludf.dummyfunction("IFERROR(INDEX(SkillData,MATCH(Arrayformula(ARRAY_CONSTRAIN(FILTER(INDIRECT(""PalData!""&amp;ADDRESS(MATCH(B125,PalNames,0)+1,(MATCH(""Passive0a"",PalData_Header,0)))&amp;"":""&amp;ADDRESS(MATCH(B125,PalNames,0)+1,(MATCH(""Passive0a"",PalData_Header,0))+4)),LEN(INDIRE"&amp;"CT(""PalData!""&amp;ADDRESS(MATCH(B125,PalNames,0)+1,(MATCH(""Passive0a"",PalData_Header,0)))&amp;"":""&amp;ADDRESS(MATCH(B125,PalNames,0)+1,(MATCH(""Passive0a"",PalData_Header,0))+4)))&gt;0),1,1)),SkillDataCodeName,0)+1,MATCH(""TargetType1"",SkillData_Header,0)))"),"Trainer")</f>
        <v>Trainer</v>
      </c>
      <c r="U125" s="48" t="e">
        <f aca="false" t="array" ref="U125:U125">IF(INDEX(PalData,MATCH($B125,PalNames,0)+1,MATCH("Passive0aCondition",PalData_Header,0))=IFERROR(INDEX(SkillData,MATCH(INDEX(PalData,MATCH($B125,PalNames,0)+1,MATCH("Passive0a",PalData_Header,0)),SkillDataCodeName,0)+1,MATCH("Conditions",SkillData_Header,0))),INDEX(PalData,MATCH($B125,PalNames,0)+1,MATCH("Passive0aCondition",PalData_Header,0)),INDEX(PalData,MATCH($B125,PalNames,0)+1,MATCH("Passive0aCondition",PalData_Header,0)) &amp; IF(ISBLANK(INDEX(PalData,MATCH($B125,PalNames,0)+1,MATCH("Passive0aCondition",PalData_Header,0))),," ")&amp;IFERROR(INDEX(SkillData,MATCH(INDEX(PalData,MATCH($B125,PalNames,0)+1,MATCH("Passive0a",PalData_Header,0)),SkillDataCodeName,0)+1,MATCH("Conditions",SkillData_Header,0))))</f>
        <v>#VALUE!</v>
      </c>
      <c r="V125" s="48" t="str">
        <f aca="false">IFERROR(__xludf.dummyfunction("IFERROR(INDEX(SkillData,MATCH(Arrayformula(ARRAY_CONSTRAIN(FILTER(INDIRECT(""PalData!""&amp;ADDRESS(MATCH(B125,PalNames,0)+1,(MATCH(""Passive0a"",PalData_Header,0)))&amp;"":""&amp;ADDRESS(MATCH(B125,PalNames,0)+1,(MATCH(""Passive0a"",PalData_Header,0))+4)),LEN(INDIRE"&amp;"CT(""PalData!""&amp;ADDRESS(MATCH(B125,PalNames,0)+1,(MATCH(""Passive0a"",PalData_Header,0)))&amp;"":""&amp;ADDRESS(MATCH(B125,PalNames,0)+1,(MATCH(""Passive0a"",PalData_Header,0))+4)))&gt;0),1,1)),SkillDataCodeName,0)+1,MATCH(""ValueType1"",SkillData_Header,0)))"),"%")</f>
        <v>%</v>
      </c>
      <c r="W125" s="61" t="n">
        <f aca="false" t="array" ref="W125:W125">IFERROR(INDEX(SkillData,MATCH(INDEX(PalData,MATCH($B125,PalNames,0)+1,MATCH("Passive0a",PalData_Header,0)),SkillDataCodeName,0)+1,MATCH("EffectValue1",SkillData_Header,0)),)</f>
        <v>7</v>
      </c>
      <c r="X125" s="61" t="n">
        <f aca="false" t="array" ref="X125:X125">IFERROR(INDEX(SkillData,MATCH(INDEX(PalData,MATCH($B125,PalNames,0)+1,MATCH("Passive1a",PalData_Header,0)),SkillDataCodeName,0)+1,MATCH("EffectValue1",SkillData_Header,0)),)</f>
        <v>8</v>
      </c>
      <c r="Y125" s="61" t="n">
        <f aca="false" t="array" ref="Y125:Y125">IFERROR(INDEX(SkillData,MATCH(INDEX(PalData,MATCH($B125,PalNames,0)+1,MATCH("Passive2a",PalData_Header,0)),SkillDataCodeName,0)+1,MATCH("EffectValue1",SkillData_Header,0)),)</f>
        <v>10</v>
      </c>
      <c r="Z125" s="61" t="n">
        <f aca="false" t="array" ref="Z125:Z125">IFERROR(INDEX(SkillData,MATCH(INDEX(PalData,MATCH($B125,PalNames,0)+1,MATCH("Passive3a",PalData_Header,0)),SkillDataCodeName,0)+1,MATCH("EffectValue1",SkillData_Header,0)),)</f>
        <v>12</v>
      </c>
      <c r="AA125" s="304" t="n">
        <f aca="false" t="array" ref="AA125:AA125">IFERROR(INDEX(SkillData,MATCH(INDEX(PalData,MATCH($B125,PalNames,0)+1,MATCH("Passive4a",PalData_Header,0)),SkillDataCodeName,0)+1,MATCH("EffectValue1",SkillData_Header,0)),)</f>
        <v>14</v>
      </c>
      <c r="AB125" s="48" t="str">
        <f aca="false">IFERROR(__xludf.dummyfunction("IFERROR(INDEX(SkillData,MATCH(Arrayformula(ARRAY_CONSTRAIN(FILTER(INDIRECT(""PalData!""&amp;ADDRESS(MATCH(B125,PalNames,0)+1,(MATCH(""Passive0b"",PalData_Header,0)))&amp;"":""&amp;ADDRESS(MATCH(B125,PalNames,0)+1,(MATCH(""Passive0b"",PalData_Header,0))+4)),LEN(INDIRE"&amp;"CT(""PalData!""&amp;ADDRESS(MATCH(B125,PalNames,0)+1,(MATCH(""Passive0b"",PalData_Header,0)))&amp;"":""&amp;ADDRESS(MATCH(B125,PalNames,0)+1,(MATCH(""Passive0b"",PalData_Header,0))+4)))&gt;0),1,1)),SkillDataCodeName,0)+1,MATCH(""EffectTypeCombined"",SkillData_Header,0))"&amp;")"),"")</f>
        <v/>
      </c>
      <c r="AC125" s="48" t="str">
        <f aca="false">IFERROR(__xludf.dummyfunction("IFERROR(INDEX(SkillData,MATCH(Arrayformula(ARRAY_CONSTRAIN(FILTER(INDIRECT(""PalData!""&amp;ADDRESS(MATCH(B125,PalNames,0)+1,(MATCH(""Passive0b"",PalData_Header,0)))&amp;"":""&amp;ADDRESS(MATCH(B125,PalNames,0)+1,(MATCH(""Passive0b"",PalData_Header,0))+4)),LEN(INDIRE"&amp;"CT(""PalData!""&amp;ADDRESS(MATCH(B125,PalNames,0)+1,(MATCH(""Passive0b"",PalData_Header,0)))&amp;"":""&amp;ADDRESS(MATCH(B125,PalNames,0)+1,(MATCH(""Passive0b"",PalData_Header,0))+4)))&gt;0),1,1)),SkillDataCodeName,0)+1,MATCH(""TargetType1"",SkillData_Header,0)))"),"")</f>
        <v/>
      </c>
      <c r="AD125" s="48" t="e">
        <f aca="false" t="array" ref="AD125:AD125">IF(INDEX(PalData,MATCH($B125,PalNames,0)+1,MATCH("Passive0bCondition",PalData_Header,0))=IFERROR(INDEX(SkillData,MATCH(INDEX(PalData,MATCH($B125,PalNames,0)+1,MATCH("Passive0b",PalData_Header,0)),SkillDataCodeName,0)+1,MATCH("Conditions",SkillData_Header,0))),INDEX(PalData,MATCH($B125,PalNames,0)+1,MATCH("Passive0bCondition",PalData_Header,0)),INDEX(PalData,MATCH($B125,PalNames,0)+1,MATCH("Passive0bCondition",PalData_Header,0)) &amp; IF(ISBLANK(INDEX(PalData,MATCH($B125,PalNames,0)+1,MATCH("Passive0bCondition",PalData_Header,0))),," ")&amp;IFERROR(INDEX(SkillData,MATCH(INDEX(PalData,MATCH($B125,PalNames,0)+1,MATCH("Passive0b",PalData_Header,0)),SkillDataCodeName,0)+1,MATCH("Conditions",SkillData_Header,0))))</f>
        <v>#N/A</v>
      </c>
      <c r="AE125" s="48" t="str">
        <f aca="false">IFERROR(__xludf.dummyfunction("IFERROR(INDEX(SkillData,MATCH(Arrayformula(ARRAY_CONSTRAIN(FILTER(INDIRECT(""PalData!""&amp;ADDRESS(MATCH(B125,PalNames,0)+1,(MATCH(""Passive0b"",PalData_Header,0)))&amp;"":""&amp;ADDRESS(MATCH(B125,PalNames,0)+1,(MATCH(""Passive0b"",PalData_Header,0))+4)),LEN(INDIRE"&amp;"CT(""PalData!""&amp;ADDRESS(MATCH(B125,PalNames,0)+1,(MATCH(""Passive0b"",PalData_Header,0)))&amp;"":""&amp;ADDRESS(MATCH(B125,PalNames,0)+1,(MATCH(""Passive0b"",PalData_Header,0))+4)))&gt;0),1,1)),SkillDataCodeName,0)+1,MATCH(""ValueType1"",SkillData_Header,0)))"),"")</f>
        <v/>
      </c>
      <c r="AF125" s="48" t="n">
        <f aca="false">IFERROR(INDEX(SkillData,MATCH(INDEX(PalData,MATCH($B125,PalNames,0)+1,MATCH("Passive0b",PalData_Header,0)),SkillDataCodeName,0)+1,MATCH("EffectValue1",SkillData_Header,0)),)</f>
        <v>0</v>
      </c>
      <c r="AG125" s="48" t="n">
        <f aca="false">IFERROR(INDEX(SkillData,MATCH(INDEX(PalData,MATCH($B125,PalNames,0)+1,MATCH("Passive1b",PalData_Header,0)),SkillDataCodeName,0)+1,MATCH("EffectValue1",SkillData_Header,0)),)</f>
        <v>0</v>
      </c>
      <c r="AH125" s="48" t="n">
        <f aca="false">IFERROR(INDEX(SkillData,MATCH(INDEX(PalData,MATCH($B125,PalNames,0)+1,MATCH("Passive2b",PalData_Header,0)),SkillDataCodeName,0)+1,MATCH("EffectValue1",SkillData_Header,0)),)</f>
        <v>0</v>
      </c>
      <c r="AI125" s="48" t="n">
        <f aca="false">IFERROR(INDEX(SkillData,MATCH(INDEX(PalData,MATCH($B125,PalNames,0)+1,MATCH("Passive3b",PalData_Header,0)),SkillDataCodeName,0)+1,MATCH("EffectValue1",SkillData_Header,0)),)</f>
        <v>0</v>
      </c>
      <c r="AJ125" s="263" t="n">
        <f aca="false">IFERROR(INDEX(SkillData,MATCH(INDEX(PalData,MATCH($B125,PalNames,0)+1,MATCH("Passive4b",PalData_Header,0)),SkillDataCodeName,0)+1,MATCH("EffectValue1",SkillData_Header,0)),)</f>
        <v>0</v>
      </c>
      <c r="AK125" s="305" t="s">
        <v>389</v>
      </c>
    </row>
    <row r="126" customFormat="false" ht="15.75" hidden="false" customHeight="false" outlineLevel="0" collapsed="false">
      <c r="A126" s="299" t="n">
        <v>100</v>
      </c>
      <c r="B126" s="300" t="s">
        <v>12</v>
      </c>
      <c r="C126" s="45" t="n">
        <f aca="false">IF(ISBLANK(INDEX(PalData,MATCH($B126,PalNames,0)+1,MATCH("ActiveSkill",PalData_Header,0))),INDEX(PalData,MATCH($B126,PalNames,0)+1,MATCH("SkillUnlock_",PalData_Header,0)),INDEX(PalData,MATCH($B126,PalNames,0)+1,MATCH("ActiveSkill",PalData_Header,0)))</f>
        <v>0</v>
      </c>
      <c r="D126" s="45"/>
      <c r="E126" s="45" t="n">
        <f aca="false">INDEX(PalData,MATCH($B126,PalNames,0)+1,MATCH("ActiveSkillBonus0",PalData_Header,0))</f>
        <v>0</v>
      </c>
      <c r="F126" s="45" t="n">
        <f aca="false">INDEX(PalData,MATCH($B126,PalNames,0)+1,MATCH("ActiveSkillBonus1",PalData_Header,0))</f>
        <v>0</v>
      </c>
      <c r="G126" s="45" t="n">
        <f aca="false">INDEX(PalData,MATCH($B126,PalNames,0)+1,MATCH("ActiveSkillBonus2",PalData_Header,0))</f>
        <v>0</v>
      </c>
      <c r="H126" s="45" t="n">
        <f aca="false">INDEX(PalData,MATCH($B126,PalNames,0)+1,MATCH("ActiveSkillBonus3",PalData_Header,0))</f>
        <v>0</v>
      </c>
      <c r="I126" s="260" t="n">
        <f aca="false">INDEX(PalData,MATCH($B126,PalNames,0)+1,MATCH("ActiveSkillBonus4",PalData_Header,0))</f>
        <v>0</v>
      </c>
      <c r="J126" s="45" t="str">
        <f aca="false">IFERROR(__xludf.dummyfunction("IFERROR(INDEX(SkillData,MATCH(Arrayformula(ARRAY_CONSTRAIN(FILTER(INDIRECT(""PalData!""&amp;ADDRESS(MATCH(B126,PalNames,0)+1,(MATCH(""Passive0c"",PalData_Header,0)))&amp;"":""&amp;ADDRESS(MATCH(B126,PalNames,0)+1,(MATCH(""Passive0c"",PalData_Header,0))+4)),LEN(INDIRE"&amp;"CT(""PalData!""&amp;ADDRESS(MATCH(B126,PalNames,0)+1,(MATCH(""Passive0c"",PalData_Header,0)))&amp;"":""&amp;ADDRESS(MATCH(B126,PalNames,0)+1,(MATCH(""Passive0c"",PalData_Header,0))+4)))&gt;0),1,1)),SkillDataCodeName,0)+1,MATCH(""EffectTypeCombined"",SkillData_Header,0))"&amp;")"),"ShotAttack")</f>
        <v>ShotAttack</v>
      </c>
      <c r="K126" s="45" t="str">
        <f aca="false">IFERROR(__xludf.dummyfunction("IFERROR(INDEX(SkillData,MATCH(Arrayformula(ARRAY_CONSTRAIN(FILTER(INDIRECT(""PalData!""&amp;ADDRESS(MATCH(B126,PalNames,0)+1,(MATCH(""Passive0c"",PalData_Header,0)))&amp;"":""&amp;ADDRESS(MATCH(B126,PalNames,0)+1,(MATCH(""Passive0c"",PalData_Header,0))+4)),LEN(INDIRE"&amp;"CT(""PalData!""&amp;ADDRESS(MATCH(B126,PalNames,0)+1,(MATCH(""Passive0c"",PalData_Header,0)))&amp;"":""&amp;ADDRESS(MATCH(B126,PalNames,0)+1,(MATCH(""Passive0c"",PalData_Header,0))+4)))&gt;0),1,1)),SkillDataCodeName,0)+1,MATCH(""TargetType1"",SkillData_Header,0)))"),"Trainer")</f>
        <v>Trainer</v>
      </c>
      <c r="L126" s="45" t="e">
        <f aca="false" t="array" ref="L126:L126">IF(INDEX(PalData,MATCH($B126,PalNames,0)+1,MATCH("Passive0cCondition",PalData_Header,0))=IFERROR(INDEX(SkillData,MATCH(INDEX(PalData,MATCH($B126,PalNames,0)+1,MATCH("Passive0c",PalData_Header,0)),SkillDataCodeName,0)+1,MATCH("Conditions",SkillData_Header,0))),INDEX(PalData,MATCH($B126,PalNames,0)+1,MATCH("Passive0cCondition",PalData_Header,0)),INDEX(PalData,MATCH($B126,PalNames,0)+1,MATCH("Passive0cCondition",PalData_Header,0)) &amp; IF(ISBLANK(INDEX(PalData,MATCH($B126,PalNames,0)+1,MATCH("Passive0cCondition",PalData_Header,0))),," ")&amp;IFERROR(INDEX(SkillData,MATCH(INDEX(PalData,MATCH($B126,PalNames,0)+1,MATCH("Passive0c",PalData_Header,0)),SkillDataCodeName,0)+1,MATCH("Conditions",SkillData_Header,0))))</f>
        <v>#VALUE!</v>
      </c>
      <c r="M126" s="45" t="str">
        <f aca="false">IFERROR(__xludf.dummyfunction("IFERROR(INDEX(SkillData,MATCH(Arrayformula(ARRAY_CONSTRAIN(FILTER(INDIRECT(""PalData!""&amp;ADDRESS(MATCH(B126,PalNames,0)+1,(MATCH(""Passive0c"",PalData_Header,0)))&amp;"":""&amp;ADDRESS(MATCH(B126,PalNames,0)+1,(MATCH(""Passive0c"",PalData_Header,0))+4)),LEN(INDIRE"&amp;"CT(""PalData!""&amp;ADDRESS(MATCH(B126,PalNames,0)+1,(MATCH(""Passive0c"",PalData_Header,0)))&amp;"":""&amp;ADDRESS(MATCH(B126,PalNames,0)+1,(MATCH(""Passive0c"",PalData_Header,0))+4)))&gt;0),1,1)),SkillDataCodeName,0)+1,MATCH(""ValueType1"",SkillData_Header,0)))"),"%")</f>
        <v>%</v>
      </c>
      <c r="N126" s="62" t="e">
        <f aca="false" t="array" ref="N126:N126">IFERROR(INDEX(SkillData,MATCH(INDEX(PalData,MATCH($B126,PalNames,0)+1,MATCH("Passive0c",PalData_Header,0)),SkillDataCodeName,0)+1,MATCH("EffectValue1",SkillData_Header,0)))</f>
        <v>#VALUE!</v>
      </c>
      <c r="O126" s="62" t="e">
        <f aca="false" t="array" ref="O126:O126">IFERROR(INDEX(SkillData,MATCH(INDEX(PalData,MATCH($B126,PalNames,0)+1,MATCH("Passive1c",PalData_Header,0)),SkillDataCodeName,0)+1,MATCH("EffectValue1",SkillData_Header,0)))</f>
        <v>#VALUE!</v>
      </c>
      <c r="P126" s="62" t="e">
        <f aca="false" t="array" ref="P126:P126">IFERROR(INDEX(SkillData,MATCH(INDEX(PalData,MATCH($B126,PalNames,0)+1,MATCH("Passive2c",PalData_Header,0)),SkillDataCodeName,0)+1,MATCH("EffectValue1",SkillData_Header,0)))</f>
        <v>#VALUE!</v>
      </c>
      <c r="Q126" s="62" t="e">
        <f aca="false" t="array" ref="Q126:Q126">IFERROR(INDEX(SkillData,MATCH(INDEX(PalData,MATCH($B126,PalNames,0)+1,MATCH("Passive3c",PalData_Header,0)),SkillDataCodeName,0)+1,MATCH("EffectValue1",SkillData_Header,0)))</f>
        <v>#VALUE!</v>
      </c>
      <c r="R126" s="306" t="e">
        <f aca="false" t="array" ref="R126:R126">IFERROR(INDEX(SkillData,MATCH(INDEX(PalData,MATCH($B126,PalNames,0)+1,MATCH("Passive4c",PalData_Header,0)),SkillDataCodeName,0)+1,MATCH("EffectValue1",SkillData_Header,0)))</f>
        <v>#VALUE!</v>
      </c>
      <c r="S126" s="45" t="str">
        <f aca="false">IFERROR(__xludf.dummyfunction("IFERROR(INDEX(SkillData,MATCH(Arrayformula(ARRAY_CONSTRAIN(FILTER(INDIRECT(""PalData!""&amp;ADDRESS(MATCH(B126,PalNames,0)+1,(MATCH(""Passive0a"",PalData_Header,0)))&amp;"":""&amp;ADDRESS(MATCH(B126,PalNames,0)+1,(MATCH(""Passive0a"",PalData_Header,0))+4)),LEN(INDIRE"&amp;"CT(""PalData!""&amp;ADDRESS(MATCH(B126,PalNames,0)+1,(MATCH(""Passive0a"",PalData_Header,0)))&amp;"":""&amp;ADDRESS(MATCH(B126,PalNames,0)+1,(MATCH(""Passive0a"",PalData_Header,0))+4)))&gt;0),1,1)),SkillDataCodeName,0)+1,MATCH(""EffectTypeCombined"",SkillData_Header,0))"&amp;")"),"ElementEarth")</f>
        <v>ElementEarth</v>
      </c>
      <c r="T126" s="45" t="str">
        <f aca="false">IFERROR(__xludf.dummyfunction("IFERROR(INDEX(SkillData,MATCH(Arrayformula(ARRAY_CONSTRAIN(FILTER(INDIRECT(""PalData!""&amp;ADDRESS(MATCH(B126,PalNames,0)+1,(MATCH(""Passive0a"",PalData_Header,0)))&amp;"":""&amp;ADDRESS(MATCH(B126,PalNames,0)+1,(MATCH(""Passive0a"",PalData_Header,0))+4)),LEN(INDIRE"&amp;"CT(""PalData!""&amp;ADDRESS(MATCH(B126,PalNames,0)+1,(MATCH(""Passive0a"",PalData_Header,0)))&amp;"":""&amp;ADDRESS(MATCH(B126,PalNames,0)+1,(MATCH(""Passive0a"",PalData_Header,0))+4)))&gt;0),1,1)),SkillDataCodeName,0)+1,MATCH(""TargetType1"",SkillData_Header,0)))"),"Trainer")</f>
        <v>Trainer</v>
      </c>
      <c r="U126" s="45" t="e">
        <f aca="false" t="array" ref="U126:U126">IF(INDEX(PalData,MATCH($B126,PalNames,0)+1,MATCH("Passive0aCondition",PalData_Header,0))=IFERROR(INDEX(SkillData,MATCH(INDEX(PalData,MATCH($B126,PalNames,0)+1,MATCH("Passive0a",PalData_Header,0)),SkillDataCodeName,0)+1,MATCH("Conditions",SkillData_Header,0))),INDEX(PalData,MATCH($B126,PalNames,0)+1,MATCH("Passive0aCondition",PalData_Header,0)),INDEX(PalData,MATCH($B126,PalNames,0)+1,MATCH("Passive0aCondition",PalData_Header,0)) &amp; IF(ISBLANK(INDEX(PalData,MATCH($B126,PalNames,0)+1,MATCH("Passive0aCondition",PalData_Header,0))),," ")&amp;IFERROR(INDEX(SkillData,MATCH(INDEX(PalData,MATCH($B126,PalNames,0)+1,MATCH("Passive0a",PalData_Header,0)),SkillDataCodeName,0)+1,MATCH("Conditions",SkillData_Header,0))))</f>
        <v>#VALUE!</v>
      </c>
      <c r="V126" s="45" t="str">
        <f aca="false">IFERROR(__xludf.dummyfunction("IFERROR(INDEX(SkillData,MATCH(Arrayformula(ARRAY_CONSTRAIN(FILTER(INDIRECT(""PalData!""&amp;ADDRESS(MATCH(B126,PalNames,0)+1,(MATCH(""Passive0a"",PalData_Header,0)))&amp;"":""&amp;ADDRESS(MATCH(B126,PalNames,0)+1,(MATCH(""Passive0a"",PalData_Header,0))+4)),LEN(INDIRE"&amp;"CT(""PalData!""&amp;ADDRESS(MATCH(B126,PalNames,0)+1,(MATCH(""Passive0a"",PalData_Header,0)))&amp;"":""&amp;ADDRESS(MATCH(B126,PalNames,0)+1,(MATCH(""Passive0a"",PalData_Header,0))+4)))&gt;0),1,1)),SkillDataCodeName,0)+1,MATCH(""ValueType1"",SkillData_Header,0)))"),"bool")</f>
        <v>bool</v>
      </c>
      <c r="W126" s="62" t="n">
        <f aca="false" t="array" ref="W126:W126">IFERROR(INDEX(SkillData,MATCH(INDEX(PalData,MATCH($B126,PalNames,0)+1,MATCH("Passive0a",PalData_Header,0)),SkillDataCodeName,0)+1,MATCH("EffectValue1",SkillData_Header,0)),)</f>
        <v>1</v>
      </c>
      <c r="X126" s="62" t="n">
        <f aca="false" t="array" ref="X126:X126">IFERROR(INDEX(SkillData,MATCH(INDEX(PalData,MATCH($B126,PalNames,0)+1,MATCH("Passive1a",PalData_Header,0)),SkillDataCodeName,0)+1,MATCH("EffectValue1",SkillData_Header,0)),)</f>
        <v>1</v>
      </c>
      <c r="Y126" s="62" t="n">
        <f aca="false" t="array" ref="Y126:Y126">IFERROR(INDEX(SkillData,MATCH(INDEX(PalData,MATCH($B126,PalNames,0)+1,MATCH("Passive2a",PalData_Header,0)),SkillDataCodeName,0)+1,MATCH("EffectValue1",SkillData_Header,0)),)</f>
        <v>1</v>
      </c>
      <c r="Z126" s="62" t="n">
        <f aca="false" t="array" ref="Z126:Z126">IFERROR(INDEX(SkillData,MATCH(INDEX(PalData,MATCH($B126,PalNames,0)+1,MATCH("Passive3a",PalData_Header,0)),SkillDataCodeName,0)+1,MATCH("EffectValue1",SkillData_Header,0)),)</f>
        <v>1</v>
      </c>
      <c r="AA126" s="306" t="n">
        <f aca="false" t="array" ref="AA126:AA126">IFERROR(INDEX(SkillData,MATCH(INDEX(PalData,MATCH($B126,PalNames,0)+1,MATCH("Passive4a",PalData_Header,0)),SkillDataCodeName,0)+1,MATCH("EffectValue1",SkillData_Header,0)),)</f>
        <v>1</v>
      </c>
      <c r="AB126" s="45" t="str">
        <f aca="false">IFERROR(__xludf.dummyfunction("IFERROR(INDEX(SkillData,MATCH(Arrayformula(ARRAY_CONSTRAIN(FILTER(INDIRECT(""PalData!""&amp;ADDRESS(MATCH(B126,PalNames,0)+1,(MATCH(""Passive0b"",PalData_Header,0)))&amp;"":""&amp;ADDRESS(MATCH(B126,PalNames,0)+1,(MATCH(""Passive0b"",PalData_Header,0))+4)),LEN(INDIRE"&amp;"CT(""PalData!""&amp;ADDRESS(MATCH(B126,PalNames,0)+1,(MATCH(""Passive0b"",PalData_Header,0)))&amp;"":""&amp;ADDRESS(MATCH(B126,PalNames,0)+1,(MATCH(""Passive0b"",PalData_Header,0))+4)))&gt;0),1,1)),SkillDataCodeName,0)+1,MATCH(""EffectTypeCombined"",SkillData_Header,0))"&amp;")"),"")</f>
        <v/>
      </c>
      <c r="AC126" s="45" t="str">
        <f aca="false">IFERROR(__xludf.dummyfunction("IFERROR(INDEX(SkillData,MATCH(Arrayformula(ARRAY_CONSTRAIN(FILTER(INDIRECT(""PalData!""&amp;ADDRESS(MATCH(B126,PalNames,0)+1,(MATCH(""Passive0b"",PalData_Header,0)))&amp;"":""&amp;ADDRESS(MATCH(B126,PalNames,0)+1,(MATCH(""Passive0b"",PalData_Header,0))+4)),LEN(INDIRE"&amp;"CT(""PalData!""&amp;ADDRESS(MATCH(B126,PalNames,0)+1,(MATCH(""Passive0b"",PalData_Header,0)))&amp;"":""&amp;ADDRESS(MATCH(B126,PalNames,0)+1,(MATCH(""Passive0b"",PalData_Header,0))+4)))&gt;0),1,1)),SkillDataCodeName,0)+1,MATCH(""TargetType1"",SkillData_Header,0)))"),"")</f>
        <v/>
      </c>
      <c r="AD126" s="45" t="e">
        <f aca="false" t="array" ref="AD126:AD126">IF(INDEX(PalData,MATCH($B126,PalNames,0)+1,MATCH("Passive0bCondition",PalData_Header,0))=IFERROR(INDEX(SkillData,MATCH(INDEX(PalData,MATCH($B126,PalNames,0)+1,MATCH("Passive0b",PalData_Header,0)),SkillDataCodeName,0)+1,MATCH("Conditions",SkillData_Header,0))),INDEX(PalData,MATCH($B126,PalNames,0)+1,MATCH("Passive0bCondition",PalData_Header,0)),INDEX(PalData,MATCH($B126,PalNames,0)+1,MATCH("Passive0bCondition",PalData_Header,0)) &amp; IF(ISBLANK(INDEX(PalData,MATCH($B126,PalNames,0)+1,MATCH("Passive0bCondition",PalData_Header,0))),," ")&amp;IFERROR(INDEX(SkillData,MATCH(INDEX(PalData,MATCH($B126,PalNames,0)+1,MATCH("Passive0b",PalData_Header,0)),SkillDataCodeName,0)+1,MATCH("Conditions",SkillData_Header,0))))</f>
        <v>#N/A</v>
      </c>
      <c r="AE126" s="45" t="str">
        <f aca="false">IFERROR(__xludf.dummyfunction("IFERROR(INDEX(SkillData,MATCH(Arrayformula(ARRAY_CONSTRAIN(FILTER(INDIRECT(""PalData!""&amp;ADDRESS(MATCH(B126,PalNames,0)+1,(MATCH(""Passive0b"",PalData_Header,0)))&amp;"":""&amp;ADDRESS(MATCH(B126,PalNames,0)+1,(MATCH(""Passive0b"",PalData_Header,0))+4)),LEN(INDIRE"&amp;"CT(""PalData!""&amp;ADDRESS(MATCH(B126,PalNames,0)+1,(MATCH(""Passive0b"",PalData_Header,0)))&amp;"":""&amp;ADDRESS(MATCH(B126,PalNames,0)+1,(MATCH(""Passive0b"",PalData_Header,0))+4)))&gt;0),1,1)),SkillDataCodeName,0)+1,MATCH(""ValueType1"",SkillData_Header,0)))"),"")</f>
        <v/>
      </c>
      <c r="AF126" s="45" t="n">
        <f aca="false">IFERROR(INDEX(SkillData,MATCH(INDEX(PalData,MATCH($B126,PalNames,0)+1,MATCH("Passive0b",PalData_Header,0)),SkillDataCodeName,0)+1,MATCH("EffectValue1",SkillData_Header,0)),)</f>
        <v>0</v>
      </c>
      <c r="AG126" s="45" t="n">
        <f aca="false">IFERROR(INDEX(SkillData,MATCH(INDEX(PalData,MATCH($B126,PalNames,0)+1,MATCH("Passive1b",PalData_Header,0)),SkillDataCodeName,0)+1,MATCH("EffectValue1",SkillData_Header,0)),)</f>
        <v>0</v>
      </c>
      <c r="AH126" s="45" t="n">
        <f aca="false">IFERROR(INDEX(SkillData,MATCH(INDEX(PalData,MATCH($B126,PalNames,0)+1,MATCH("Passive2b",PalData_Header,0)),SkillDataCodeName,0)+1,MATCH("EffectValue1",SkillData_Header,0)),)</f>
        <v>0</v>
      </c>
      <c r="AI126" s="45" t="n">
        <f aca="false">IFERROR(INDEX(SkillData,MATCH(INDEX(PalData,MATCH($B126,PalNames,0)+1,MATCH("Passive3b",PalData_Header,0)),SkillDataCodeName,0)+1,MATCH("EffectValue1",SkillData_Header,0)),)</f>
        <v>0</v>
      </c>
      <c r="AJ126" s="260" t="n">
        <f aca="false">IFERROR(INDEX(SkillData,MATCH(INDEX(PalData,MATCH($B126,PalNames,0)+1,MATCH("Passive4b",PalData_Header,0)),SkillDataCodeName,0)+1,MATCH("EffectValue1",SkillData_Header,0)),)</f>
        <v>0</v>
      </c>
      <c r="AK126" s="301" t="s">
        <v>12</v>
      </c>
    </row>
    <row r="127" customFormat="false" ht="15.75" hidden="false" customHeight="false" outlineLevel="0" collapsed="false">
      <c r="A127" s="302" t="n">
        <v>101</v>
      </c>
      <c r="B127" s="303" t="s">
        <v>83</v>
      </c>
      <c r="C127" s="48" t="str">
        <f aca="false" t="array" ref="C127:C127">IF(ISBLANK(INDEX(PalData,MATCH($B127,PalNames,0)+1,MATCH("ActiveSkill",PalData_Header,0))),INDEX(PalData,MATCH($B127,PalNames,0)+1,MATCH("SkillUnlock_",PalData_Header,0)),INDEX(PalData,MATCH($B127,PalNames,0)+1,MATCH("ActiveSkill",PalData_Header,0)))</f>
        <v>Saddle</v>
      </c>
      <c r="D127" s="48"/>
      <c r="E127" s="48" t="n">
        <f aca="false">INDEX(PalData,MATCH($B127,PalNames,0)+1,MATCH("ActiveSkillBonus0",PalData_Header,0))</f>
        <v>0</v>
      </c>
      <c r="F127" s="48" t="n">
        <f aca="false">INDEX(PalData,MATCH($B127,PalNames,0)+1,MATCH("ActiveSkillBonus1",PalData_Header,0))</f>
        <v>0</v>
      </c>
      <c r="G127" s="48" t="n">
        <f aca="false">INDEX(PalData,MATCH($B127,PalNames,0)+1,MATCH("ActiveSkillBonus2",PalData_Header,0))</f>
        <v>0</v>
      </c>
      <c r="H127" s="48" t="n">
        <f aca="false">INDEX(PalData,MATCH($B127,PalNames,0)+1,MATCH("ActiveSkillBonus3",PalData_Header,0))</f>
        <v>0</v>
      </c>
      <c r="I127" s="263" t="n">
        <f aca="false">INDEX(PalData,MATCH($B127,PalNames,0)+1,MATCH("ActiveSkillBonus4",PalData_Header,0))</f>
        <v>0</v>
      </c>
      <c r="J127" s="48" t="str">
        <f aca="false">IFERROR(__xludf.dummyfunction("IFERROR(INDEX(SkillData,MATCH(Arrayformula(ARRAY_CONSTRAIN(FILTER(INDIRECT(""PalData!""&amp;ADDRESS(MATCH(B127,PalNames,0)+1,(MATCH(""Passive0c"",PalData_Header,0)))&amp;"":""&amp;ADDRESS(MATCH(B127,PalNames,0)+1,(MATCH(""Passive0c"",PalData_Header,0))+4)),LEN(INDIRE"&amp;"CT(""PalData!""&amp;ADDRESS(MATCH(B127,PalNames,0)+1,(MATCH(""Passive0c"",PalData_Header,0)))&amp;"":""&amp;ADDRESS(MATCH(B127,PalNames,0)+1,(MATCH(""Passive0c"",PalData_Header,0))+4)))&gt;0),1,1)),SkillDataCodeName,0)+1,MATCH(""EffectTypeCombined"",SkillData_Header,0))"&amp;")"),"ElementBoost_Fire")</f>
        <v>ElementBoost_Fire</v>
      </c>
      <c r="K127" s="48" t="str">
        <f aca="false">IFERROR(__xludf.dummyfunction("IFERROR(INDEX(SkillData,MATCH(Arrayformula(ARRAY_CONSTRAIN(FILTER(INDIRECT(""PalData!""&amp;ADDRESS(MATCH(B127,PalNames,0)+1,(MATCH(""Passive0c"",PalData_Header,0)))&amp;"":""&amp;ADDRESS(MATCH(B127,PalNames,0)+1,(MATCH(""Passive0c"",PalData_Header,0))+4)),LEN(INDIRE"&amp;"CT(""PalData!""&amp;ADDRESS(MATCH(B127,PalNames,0)+1,(MATCH(""Passive0c"",PalData_Header,0)))&amp;"":""&amp;ADDRESS(MATCH(B127,PalNames,0)+1,(MATCH(""Passive0c"",PalData_Header,0))+4)))&gt;0),1,1)),SkillDataCodeName,0)+1,MATCH(""TargetType1"",SkillData_Header,0)))"),"SelfAndTrainer")</f>
        <v>SelfAndTrainer</v>
      </c>
      <c r="L127" s="48" t="e">
        <f aca="false" t="array" ref="L127:L127">IF(INDEX(PalData,MATCH($B127,PalNames,0)+1,MATCH("Passive0cCondition",PalData_Header,0))=IFERROR(INDEX(SkillData,MATCH(INDEX(PalData,MATCH($B127,PalNames,0)+1,MATCH("Passive0c",PalData_Header,0)),SkillDataCodeName,0)+1,MATCH("Conditions",SkillData_Header,0))),INDEX(PalData,MATCH($B127,PalNames,0)+1,MATCH("Passive0cCondition",PalData_Header,0)),INDEX(PalData,MATCH($B127,PalNames,0)+1,MATCH("Passive0cCondition",PalData_Header,0)) &amp; IF(ISBLANK(INDEX(PalData,MATCH($B127,PalNames,0)+1,MATCH("Passive0cCondition",PalData_Header,0))),," ")&amp;IFERROR(INDEX(SkillData,MATCH(INDEX(PalData,MATCH($B127,PalNames,0)+1,MATCH("Passive0c",PalData_Header,0)),SkillDataCodeName,0)+1,MATCH("Conditions",SkillData_Header,0))))</f>
        <v>#VALUE!</v>
      </c>
      <c r="M127" s="48" t="str">
        <f aca="false">IFERROR(__xludf.dummyfunction("IFERROR(INDEX(SkillData,MATCH(Arrayformula(ARRAY_CONSTRAIN(FILTER(INDIRECT(""PalData!""&amp;ADDRESS(MATCH(B127,PalNames,0)+1,(MATCH(""Passive0c"",PalData_Header,0)))&amp;"":""&amp;ADDRESS(MATCH(B127,PalNames,0)+1,(MATCH(""Passive0c"",PalData_Header,0))+4)),LEN(INDIRE"&amp;"CT(""PalData!""&amp;ADDRESS(MATCH(B127,PalNames,0)+1,(MATCH(""Passive0c"",PalData_Header,0)))&amp;"":""&amp;ADDRESS(MATCH(B127,PalNames,0)+1,(MATCH(""Passive0c"",PalData_Header,0))+4)))&gt;0),1,1)),SkillDataCodeName,0)+1,MATCH(""ValueType1"",SkillData_Header,0)))"),"%")</f>
        <v>%</v>
      </c>
      <c r="N127" s="61" t="e">
        <f aca="false" t="array" ref="N127:N127">IFERROR(INDEX(SkillData,MATCH(INDEX(PalData,MATCH($B127,PalNames,0)+1,MATCH("Passive0c",PalData_Header,0)),SkillDataCodeName,0)+1,MATCH("EffectValue1",SkillData_Header,0)))</f>
        <v>#VALUE!</v>
      </c>
      <c r="O127" s="61" t="e">
        <f aca="false" t="array" ref="O127:O127">IFERROR(INDEX(SkillData,MATCH(INDEX(PalData,MATCH($B127,PalNames,0)+1,MATCH("Passive1c",PalData_Header,0)),SkillDataCodeName,0)+1,MATCH("EffectValue1",SkillData_Header,0)))</f>
        <v>#VALUE!</v>
      </c>
      <c r="P127" s="61" t="e">
        <f aca="false" t="array" ref="P127:P127">IFERROR(INDEX(SkillData,MATCH(INDEX(PalData,MATCH($B127,PalNames,0)+1,MATCH("Passive2c",PalData_Header,0)),SkillDataCodeName,0)+1,MATCH("EffectValue1",SkillData_Header,0)))</f>
        <v>#VALUE!</v>
      </c>
      <c r="Q127" s="61" t="e">
        <f aca="false" t="array" ref="Q127:Q127">IFERROR(INDEX(SkillData,MATCH(INDEX(PalData,MATCH($B127,PalNames,0)+1,MATCH("Passive3c",PalData_Header,0)),SkillDataCodeName,0)+1,MATCH("EffectValue1",SkillData_Header,0)))</f>
        <v>#VALUE!</v>
      </c>
      <c r="R127" s="304" t="e">
        <f aca="false" t="array" ref="R127:R127">IFERROR(INDEX(SkillData,MATCH(INDEX(PalData,MATCH($B127,PalNames,0)+1,MATCH("Passive4c",PalData_Header,0)),SkillDataCodeName,0)+1,MATCH("EffectValue1",SkillData_Header,0)))</f>
        <v>#VALUE!</v>
      </c>
      <c r="S127" s="48" t="str">
        <f aca="false">IFERROR(__xludf.dummyfunction("IFERROR(INDEX(SkillData,MATCH(Arrayformula(ARRAY_CONSTRAIN(FILTER(INDIRECT(""PalData!""&amp;ADDRESS(MATCH(B127,PalNames,0)+1,(MATCH(""Passive0a"",PalData_Header,0)))&amp;"":""&amp;ADDRESS(MATCH(B127,PalNames,0)+1,(MATCH(""Passive0a"",PalData_Header,0))+4)),LEN(INDIRE"&amp;"CT(""PalData!""&amp;ADDRESS(MATCH(B127,PalNames,0)+1,(MATCH(""Passive0a"",PalData_Header,0)))&amp;"":""&amp;ADDRESS(MATCH(B127,PalNames,0)+1,(MATCH(""Passive0a"",PalData_Header,0))+4)))&gt;0),1,1)),SkillDataCodeName,0)+1,MATCH(""EffectTypeCombined"",SkillData_Header,0))"&amp;")"),"")</f>
        <v/>
      </c>
      <c r="T127" s="48" t="str">
        <f aca="false">IFERROR(__xludf.dummyfunction("IFERROR(INDEX(SkillData,MATCH(Arrayformula(ARRAY_CONSTRAIN(FILTER(INDIRECT(""PalData!""&amp;ADDRESS(MATCH(B127,PalNames,0)+1,(MATCH(""Passive0a"",PalData_Header,0)))&amp;"":""&amp;ADDRESS(MATCH(B127,PalNames,0)+1,(MATCH(""Passive0a"",PalData_Header,0))+4)),LEN(INDIRE"&amp;"CT(""PalData!""&amp;ADDRESS(MATCH(B127,PalNames,0)+1,(MATCH(""Passive0a"",PalData_Header,0)))&amp;"":""&amp;ADDRESS(MATCH(B127,PalNames,0)+1,(MATCH(""Passive0a"",PalData_Header,0))+4)))&gt;0),1,1)),SkillDataCodeName,0)+1,MATCH(""TargetType1"",SkillData_Header,0)))"),"")</f>
        <v/>
      </c>
      <c r="U127" s="48" t="e">
        <f aca="false" t="array" ref="U127:U127">IF(INDEX(PalData,MATCH($B127,PalNames,0)+1,MATCH("Passive0aCondition",PalData_Header,0))=IFERROR(INDEX(SkillData,MATCH(INDEX(PalData,MATCH($B127,PalNames,0)+1,MATCH("Passive0a",PalData_Header,0)),SkillDataCodeName,0)+1,MATCH("Conditions",SkillData_Header,0))),INDEX(PalData,MATCH($B127,PalNames,0)+1,MATCH("Passive0aCondition",PalData_Header,0)),INDEX(PalData,MATCH($B127,PalNames,0)+1,MATCH("Passive0aCondition",PalData_Header,0)) &amp; IF(ISBLANK(INDEX(PalData,MATCH($B127,PalNames,0)+1,MATCH("Passive0aCondition",PalData_Header,0))),," ")&amp;IFERROR(INDEX(SkillData,MATCH(INDEX(PalData,MATCH($B127,PalNames,0)+1,MATCH("Passive0a",PalData_Header,0)),SkillDataCodeName,0)+1,MATCH("Conditions",SkillData_Header,0))))</f>
        <v>#N/A</v>
      </c>
      <c r="V127" s="48" t="str">
        <f aca="false">IFERROR(__xludf.dummyfunction("IFERROR(INDEX(SkillData,MATCH(Arrayformula(ARRAY_CONSTRAIN(FILTER(INDIRECT(""PalData!""&amp;ADDRESS(MATCH(B127,PalNames,0)+1,(MATCH(""Passive0a"",PalData_Header,0)))&amp;"":""&amp;ADDRESS(MATCH(B127,PalNames,0)+1,(MATCH(""Passive0a"",PalData_Header,0))+4)),LEN(INDIRE"&amp;"CT(""PalData!""&amp;ADDRESS(MATCH(B127,PalNames,0)+1,(MATCH(""Passive0a"",PalData_Header,0)))&amp;"":""&amp;ADDRESS(MATCH(B127,PalNames,0)+1,(MATCH(""Passive0a"",PalData_Header,0))+4)))&gt;0),1,1)),SkillDataCodeName,0)+1,MATCH(""ValueType1"",SkillData_Header,0)))"),"")</f>
        <v/>
      </c>
      <c r="W127" s="48" t="n">
        <f aca="false">IFERROR(INDEX(SkillData,MATCH(INDEX(PalData,MATCH($B127,PalNames,0)+1,MATCH("Passive0a",PalData_Header,0)),SkillDataCodeName,0)+1,MATCH("EffectValue1",SkillData_Header,0)),)</f>
        <v>0</v>
      </c>
      <c r="X127" s="48" t="n">
        <f aca="false">IFERROR(INDEX(SkillData,MATCH(INDEX(PalData,MATCH($B127,PalNames,0)+1,MATCH("Passive1a",PalData_Header,0)),SkillDataCodeName,0)+1,MATCH("EffectValue1",SkillData_Header,0)),)</f>
        <v>0</v>
      </c>
      <c r="Y127" s="48" t="n">
        <f aca="false">IFERROR(INDEX(SkillData,MATCH(INDEX(PalData,MATCH($B127,PalNames,0)+1,MATCH("Passive2a",PalData_Header,0)),SkillDataCodeName,0)+1,MATCH("EffectValue1",SkillData_Header,0)),)</f>
        <v>0</v>
      </c>
      <c r="Z127" s="48" t="n">
        <f aca="false">IFERROR(INDEX(SkillData,MATCH(INDEX(PalData,MATCH($B127,PalNames,0)+1,MATCH("Passive3a",PalData_Header,0)),SkillDataCodeName,0)+1,MATCH("EffectValue1",SkillData_Header,0)),)</f>
        <v>0</v>
      </c>
      <c r="AA127" s="263" t="n">
        <f aca="false">IFERROR(INDEX(SkillData,MATCH(INDEX(PalData,MATCH($B127,PalNames,0)+1,MATCH("Passive4a",PalData_Header,0)),SkillDataCodeName,0)+1,MATCH("EffectValue1",SkillData_Header,0)),)</f>
        <v>0</v>
      </c>
      <c r="AB127" s="48" t="str">
        <f aca="false">IFERROR(__xludf.dummyfunction("IFERROR(INDEX(SkillData,MATCH(Arrayformula(ARRAY_CONSTRAIN(FILTER(INDIRECT(""PalData!""&amp;ADDRESS(MATCH(B127,PalNames,0)+1,(MATCH(""Passive0b"",PalData_Header,0)))&amp;"":""&amp;ADDRESS(MATCH(B127,PalNames,0)+1,(MATCH(""Passive0b"",PalData_Header,0))+4)),LEN(INDIRE"&amp;"CT(""PalData!""&amp;ADDRESS(MATCH(B127,PalNames,0)+1,(MATCH(""Passive0b"",PalData_Header,0)))&amp;"":""&amp;ADDRESS(MATCH(B127,PalNames,0)+1,(MATCH(""Passive0b"",PalData_Header,0))+4)))&gt;0),1,1)),SkillDataCodeName,0)+1,MATCH(""EffectTypeCombined"",SkillData_Header,0))"&amp;")"),"")</f>
        <v/>
      </c>
      <c r="AC127" s="48" t="str">
        <f aca="false">IFERROR(__xludf.dummyfunction("IFERROR(INDEX(SkillData,MATCH(Arrayformula(ARRAY_CONSTRAIN(FILTER(INDIRECT(""PalData!""&amp;ADDRESS(MATCH(B127,PalNames,0)+1,(MATCH(""Passive0b"",PalData_Header,0)))&amp;"":""&amp;ADDRESS(MATCH(B127,PalNames,0)+1,(MATCH(""Passive0b"",PalData_Header,0))+4)),LEN(INDIRE"&amp;"CT(""PalData!""&amp;ADDRESS(MATCH(B127,PalNames,0)+1,(MATCH(""Passive0b"",PalData_Header,0)))&amp;"":""&amp;ADDRESS(MATCH(B127,PalNames,0)+1,(MATCH(""Passive0b"",PalData_Header,0))+4)))&gt;0),1,1)),SkillDataCodeName,0)+1,MATCH(""TargetType1"",SkillData_Header,0)))"),"")</f>
        <v/>
      </c>
      <c r="AD127" s="48" t="e">
        <f aca="false" t="array" ref="AD127:AD127">IF(INDEX(PalData,MATCH($B127,PalNames,0)+1,MATCH("Passive0bCondition",PalData_Header,0))=IFERROR(INDEX(SkillData,MATCH(INDEX(PalData,MATCH($B127,PalNames,0)+1,MATCH("Passive0b",PalData_Header,0)),SkillDataCodeName,0)+1,MATCH("Conditions",SkillData_Header,0))),INDEX(PalData,MATCH($B127,PalNames,0)+1,MATCH("Passive0bCondition",PalData_Header,0)),INDEX(PalData,MATCH($B127,PalNames,0)+1,MATCH("Passive0bCondition",PalData_Header,0)) &amp; IF(ISBLANK(INDEX(PalData,MATCH($B127,PalNames,0)+1,MATCH("Passive0bCondition",PalData_Header,0))),," ")&amp;IFERROR(INDEX(SkillData,MATCH(INDEX(PalData,MATCH($B127,PalNames,0)+1,MATCH("Passive0b",PalData_Header,0)),SkillDataCodeName,0)+1,MATCH("Conditions",SkillData_Header,0))))</f>
        <v>#N/A</v>
      </c>
      <c r="AE127" s="48" t="str">
        <f aca="false">IFERROR(__xludf.dummyfunction("IFERROR(INDEX(SkillData,MATCH(Arrayformula(ARRAY_CONSTRAIN(FILTER(INDIRECT(""PalData!""&amp;ADDRESS(MATCH(B127,PalNames,0)+1,(MATCH(""Passive0b"",PalData_Header,0)))&amp;"":""&amp;ADDRESS(MATCH(B127,PalNames,0)+1,(MATCH(""Passive0b"",PalData_Header,0))+4)),LEN(INDIRE"&amp;"CT(""PalData!""&amp;ADDRESS(MATCH(B127,PalNames,0)+1,(MATCH(""Passive0b"",PalData_Header,0)))&amp;"":""&amp;ADDRESS(MATCH(B127,PalNames,0)+1,(MATCH(""Passive0b"",PalData_Header,0))+4)))&gt;0),1,1)),SkillDataCodeName,0)+1,MATCH(""ValueType1"",SkillData_Header,0)))"),"")</f>
        <v/>
      </c>
      <c r="AF127" s="48" t="n">
        <f aca="false">IFERROR(INDEX(SkillData,MATCH(INDEX(PalData,MATCH($B127,PalNames,0)+1,MATCH("Passive0b",PalData_Header,0)),SkillDataCodeName,0)+1,MATCH("EffectValue1",SkillData_Header,0)),)</f>
        <v>0</v>
      </c>
      <c r="AG127" s="48" t="n">
        <f aca="false">IFERROR(INDEX(SkillData,MATCH(INDEX(PalData,MATCH($B127,PalNames,0)+1,MATCH("Passive1b",PalData_Header,0)),SkillDataCodeName,0)+1,MATCH("EffectValue1",SkillData_Header,0)),)</f>
        <v>0</v>
      </c>
      <c r="AH127" s="48" t="n">
        <f aca="false">IFERROR(INDEX(SkillData,MATCH(INDEX(PalData,MATCH($B127,PalNames,0)+1,MATCH("Passive2b",PalData_Header,0)),SkillDataCodeName,0)+1,MATCH("EffectValue1",SkillData_Header,0)),)</f>
        <v>0</v>
      </c>
      <c r="AI127" s="48" t="n">
        <f aca="false">IFERROR(INDEX(SkillData,MATCH(INDEX(PalData,MATCH($B127,PalNames,0)+1,MATCH("Passive3b",PalData_Header,0)),SkillDataCodeName,0)+1,MATCH("EffectValue1",SkillData_Header,0)),)</f>
        <v>0</v>
      </c>
      <c r="AJ127" s="263" t="n">
        <f aca="false">IFERROR(INDEX(SkillData,MATCH(INDEX(PalData,MATCH($B127,PalNames,0)+1,MATCH("Passive4b",PalData_Header,0)),SkillDataCodeName,0)+1,MATCH("EffectValue1",SkillData_Header,0)),)</f>
        <v>0</v>
      </c>
      <c r="AK127" s="305" t="s">
        <v>390</v>
      </c>
    </row>
    <row r="128" customFormat="false" ht="15.75" hidden="false" customHeight="false" outlineLevel="0" collapsed="false">
      <c r="A128" s="299" t="n">
        <v>101</v>
      </c>
      <c r="B128" s="300" t="s">
        <v>82</v>
      </c>
      <c r="C128" s="45" t="str">
        <f aca="false" t="array" ref="C128:C128">IF(ISBLANK(INDEX(PalData,MATCH($B128,PalNames,0)+1,MATCH("ActiveSkill",PalData_Header,0))),INDEX(PalData,MATCH($B128,PalNames,0)+1,MATCH("SkillUnlock_",PalData_Header,0)),INDEX(PalData,MATCH($B128,PalNames,0)+1,MATCH("ActiveSkill",PalData_Header,0)))</f>
        <v>Saddle</v>
      </c>
      <c r="D128" s="45"/>
      <c r="E128" s="45" t="n">
        <f aca="false">INDEX(PalData,MATCH($B128,PalNames,0)+1,MATCH("ActiveSkillBonus0",PalData_Header,0))</f>
        <v>0</v>
      </c>
      <c r="F128" s="45" t="n">
        <f aca="false">INDEX(PalData,MATCH($B128,PalNames,0)+1,MATCH("ActiveSkillBonus1",PalData_Header,0))</f>
        <v>0</v>
      </c>
      <c r="G128" s="45" t="n">
        <f aca="false">INDEX(PalData,MATCH($B128,PalNames,0)+1,MATCH("ActiveSkillBonus2",PalData_Header,0))</f>
        <v>0</v>
      </c>
      <c r="H128" s="45" t="n">
        <f aca="false">INDEX(PalData,MATCH($B128,PalNames,0)+1,MATCH("ActiveSkillBonus3",PalData_Header,0))</f>
        <v>0</v>
      </c>
      <c r="I128" s="260" t="n">
        <f aca="false">INDEX(PalData,MATCH($B128,PalNames,0)+1,MATCH("ActiveSkillBonus4",PalData_Header,0))</f>
        <v>0</v>
      </c>
      <c r="J128" s="45" t="str">
        <f aca="false">IFERROR(__xludf.dummyfunction("IFERROR(INDEX(SkillData,MATCH(Arrayformula(ARRAY_CONSTRAIN(FILTER(INDIRECT(""PalData!""&amp;ADDRESS(MATCH(B128,PalNames,0)+1,(MATCH(""Passive0c"",PalData_Header,0)))&amp;"":""&amp;ADDRESS(MATCH(B128,PalNames,0)+1,(MATCH(""Passive0c"",PalData_Header,0))+4)),LEN(INDIRE"&amp;"CT(""PalData!""&amp;ADDRESS(MATCH(B128,PalNames,0)+1,(MATCH(""Passive0c"",PalData_Header,0)))&amp;"":""&amp;ADDRESS(MATCH(B128,PalNames,0)+1,(MATCH(""Passive0c"",PalData_Header,0))+4)))&gt;0),1,1)),SkillDataCodeName,0)+1,MATCH(""EffectTypeCombined"",SkillData_Header,0))"&amp;")"),"MoveSpeed")</f>
        <v>MoveSpeed</v>
      </c>
      <c r="K128" s="45" t="str">
        <f aca="false">IFERROR(__xludf.dummyfunction("IFERROR(INDEX(SkillData,MATCH(Arrayformula(ARRAY_CONSTRAIN(FILTER(INDIRECT(""PalData!""&amp;ADDRESS(MATCH(B128,PalNames,0)+1,(MATCH(""Passive0c"",PalData_Header,0)))&amp;"":""&amp;ADDRESS(MATCH(B128,PalNames,0)+1,(MATCH(""Passive0c"",PalData_Header,0))+4)),LEN(INDIRE"&amp;"CT(""PalData!""&amp;ADDRESS(MATCH(B128,PalNames,0)+1,(MATCH(""Passive0c"",PalData_Header,0)))&amp;"":""&amp;ADDRESS(MATCH(B128,PalNames,0)+1,(MATCH(""Passive0c"",PalData_Header,0))+4)))&gt;0),1,1)),SkillDataCodeName,0)+1,MATCH(""TargetType1"",SkillData_Header,0)))"),"SelfAndTrainer")</f>
        <v>SelfAndTrainer</v>
      </c>
      <c r="L128" s="45" t="e">
        <f aca="false" t="array" ref="L128:L128">IF(INDEX(PalData,MATCH($B128,PalNames,0)+1,MATCH("Passive0cCondition",PalData_Header,0))=IFERROR(INDEX(SkillData,MATCH(INDEX(PalData,MATCH($B128,PalNames,0)+1,MATCH("Passive0c",PalData_Header,0)),SkillDataCodeName,0)+1,MATCH("Conditions",SkillData_Header,0))),INDEX(PalData,MATCH($B128,PalNames,0)+1,MATCH("Passive0cCondition",PalData_Header,0)),INDEX(PalData,MATCH($B128,PalNames,0)+1,MATCH("Passive0cCondition",PalData_Header,0)) &amp; IF(ISBLANK(INDEX(PalData,MATCH($B128,PalNames,0)+1,MATCH("Passive0cCondition",PalData_Header,0))),," ")&amp;IFERROR(INDEX(SkillData,MATCH(INDEX(PalData,MATCH($B128,PalNames,0)+1,MATCH("Passive0c",PalData_Header,0)),SkillDataCodeName,0)+1,MATCH("Conditions",SkillData_Header,0))))</f>
        <v>#N/A</v>
      </c>
      <c r="M128" s="45" t="str">
        <f aca="false">IFERROR(__xludf.dummyfunction("IFERROR(INDEX(SkillData,MATCH(Arrayformula(ARRAY_CONSTRAIN(FILTER(INDIRECT(""PalData!""&amp;ADDRESS(MATCH(B128,PalNames,0)+1,(MATCH(""Passive0c"",PalData_Header,0)))&amp;"":""&amp;ADDRESS(MATCH(B128,PalNames,0)+1,(MATCH(""Passive0c"",PalData_Header,0))+4)),LEN(INDIRE"&amp;"CT(""PalData!""&amp;ADDRESS(MATCH(B128,PalNames,0)+1,(MATCH(""Passive0c"",PalData_Header,0)))&amp;"":""&amp;ADDRESS(MATCH(B128,PalNames,0)+1,(MATCH(""Passive0c"",PalData_Header,0))+4)))&gt;0),1,1)),SkillDataCodeName,0)+1,MATCH(""ValueType1"",SkillData_Header,0)))"),"%")</f>
        <v>%</v>
      </c>
      <c r="N128" s="45" t="e">
        <f aca="false" t="array" ref="N128:N128">IFERROR(INDEX(SkillData,MATCH(INDEX(PalData,MATCH($B128,PalNames,0)+1,MATCH("Passive0c",PalData_Header,0)),SkillDataCodeName,0)+1,MATCH("EffectValue1",SkillData_Header,0)))</f>
        <v>#VALUE!</v>
      </c>
      <c r="O128" s="62" t="e">
        <f aca="false" t="array" ref="O128:O128">IFERROR(INDEX(SkillData,MATCH(INDEX(PalData,MATCH($B128,PalNames,0)+1,MATCH("Passive1c",PalData_Header,0)),SkillDataCodeName,0)+1,MATCH("EffectValue1",SkillData_Header,0)))</f>
        <v>#VALUE!</v>
      </c>
      <c r="P128" s="62" t="e">
        <f aca="false" t="array" ref="P128:P128">IFERROR(INDEX(SkillData,MATCH(INDEX(PalData,MATCH($B128,PalNames,0)+1,MATCH("Passive2c",PalData_Header,0)),SkillDataCodeName,0)+1,MATCH("EffectValue1",SkillData_Header,0)))</f>
        <v>#VALUE!</v>
      </c>
      <c r="Q128" s="62" t="e">
        <f aca="false" t="array" ref="Q128:Q128">IFERROR(INDEX(SkillData,MATCH(INDEX(PalData,MATCH($B128,PalNames,0)+1,MATCH("Passive3c",PalData_Header,0)),SkillDataCodeName,0)+1,MATCH("EffectValue1",SkillData_Header,0)))</f>
        <v>#VALUE!</v>
      </c>
      <c r="R128" s="306" t="e">
        <f aca="false" t="array" ref="R128:R128">IFERROR(INDEX(SkillData,MATCH(INDEX(PalData,MATCH($B128,PalNames,0)+1,MATCH("Passive4c",PalData_Header,0)),SkillDataCodeName,0)+1,MATCH("EffectValue1",SkillData_Header,0)))</f>
        <v>#VALUE!</v>
      </c>
      <c r="S128" s="45" t="str">
        <f aca="false">IFERROR(__xludf.dummyfunction("IFERROR(INDEX(SkillData,MATCH(Arrayformula(ARRAY_CONSTRAIN(FILTER(INDIRECT(""PalData!""&amp;ADDRESS(MATCH(B128,PalNames,0)+1,(MATCH(""Passive0a"",PalData_Header,0)))&amp;"":""&amp;ADDRESS(MATCH(B128,PalNames,0)+1,(MATCH(""Passive0a"",PalData_Header,0))+4)),LEN(INDIRE"&amp;"CT(""PalData!""&amp;ADDRESS(MATCH(B128,PalNames,0)+1,(MATCH(""Passive0a"",PalData_Header,0)))&amp;"":""&amp;ADDRESS(MATCH(B128,PalNames,0)+1,(MATCH(""Passive0a"",PalData_Header,0))+4)))&gt;0),1,1)),SkillDataCodeName,0)+1,MATCH(""EffectTypeCombined"",SkillData_Header,0))"&amp;")"),"")</f>
        <v/>
      </c>
      <c r="T128" s="45" t="str">
        <f aca="false">IFERROR(__xludf.dummyfunction("IFERROR(INDEX(SkillData,MATCH(Arrayformula(ARRAY_CONSTRAIN(FILTER(INDIRECT(""PalData!""&amp;ADDRESS(MATCH(B128,PalNames,0)+1,(MATCH(""Passive0a"",PalData_Header,0)))&amp;"":""&amp;ADDRESS(MATCH(B128,PalNames,0)+1,(MATCH(""Passive0a"",PalData_Header,0))+4)),LEN(INDIRE"&amp;"CT(""PalData!""&amp;ADDRESS(MATCH(B128,PalNames,0)+1,(MATCH(""Passive0a"",PalData_Header,0)))&amp;"":""&amp;ADDRESS(MATCH(B128,PalNames,0)+1,(MATCH(""Passive0a"",PalData_Header,0))+4)))&gt;0),1,1)),SkillDataCodeName,0)+1,MATCH(""TargetType1"",SkillData_Header,0)))"),"")</f>
        <v/>
      </c>
      <c r="U128" s="45" t="e">
        <f aca="false" t="array" ref="U128:U128">IF(INDEX(PalData,MATCH($B128,PalNames,0)+1,MATCH("Passive0aCondition",PalData_Header,0))=IFERROR(INDEX(SkillData,MATCH(INDEX(PalData,MATCH($B128,PalNames,0)+1,MATCH("Passive0a",PalData_Header,0)),SkillDataCodeName,0)+1,MATCH("Conditions",SkillData_Header,0))),INDEX(PalData,MATCH($B128,PalNames,0)+1,MATCH("Passive0aCondition",PalData_Header,0)),INDEX(PalData,MATCH($B128,PalNames,0)+1,MATCH("Passive0aCondition",PalData_Header,0)) &amp; IF(ISBLANK(INDEX(PalData,MATCH($B128,PalNames,0)+1,MATCH("Passive0aCondition",PalData_Header,0))),," ")&amp;IFERROR(INDEX(SkillData,MATCH(INDEX(PalData,MATCH($B128,PalNames,0)+1,MATCH("Passive0a",PalData_Header,0)),SkillDataCodeName,0)+1,MATCH("Conditions",SkillData_Header,0))))</f>
        <v>#N/A</v>
      </c>
      <c r="V128" s="45" t="str">
        <f aca="false">IFERROR(__xludf.dummyfunction("IFERROR(INDEX(SkillData,MATCH(Arrayformula(ARRAY_CONSTRAIN(FILTER(INDIRECT(""PalData!""&amp;ADDRESS(MATCH(B128,PalNames,0)+1,(MATCH(""Passive0a"",PalData_Header,0)))&amp;"":""&amp;ADDRESS(MATCH(B128,PalNames,0)+1,(MATCH(""Passive0a"",PalData_Header,0))+4)),LEN(INDIRE"&amp;"CT(""PalData!""&amp;ADDRESS(MATCH(B128,PalNames,0)+1,(MATCH(""Passive0a"",PalData_Header,0)))&amp;"":""&amp;ADDRESS(MATCH(B128,PalNames,0)+1,(MATCH(""Passive0a"",PalData_Header,0))+4)))&gt;0),1,1)),SkillDataCodeName,0)+1,MATCH(""ValueType1"",SkillData_Header,0)))"),"")</f>
        <v/>
      </c>
      <c r="W128" s="45" t="n">
        <f aca="false">IFERROR(INDEX(SkillData,MATCH(INDEX(PalData,MATCH($B128,PalNames,0)+1,MATCH("Passive0a",PalData_Header,0)),SkillDataCodeName,0)+1,MATCH("EffectValue1",SkillData_Header,0)),)</f>
        <v>0</v>
      </c>
      <c r="X128" s="45" t="n">
        <f aca="false">IFERROR(INDEX(SkillData,MATCH(INDEX(PalData,MATCH($B128,PalNames,0)+1,MATCH("Passive1a",PalData_Header,0)),SkillDataCodeName,0)+1,MATCH("EffectValue1",SkillData_Header,0)),)</f>
        <v>0</v>
      </c>
      <c r="Y128" s="45" t="n">
        <f aca="false">IFERROR(INDEX(SkillData,MATCH(INDEX(PalData,MATCH($B128,PalNames,0)+1,MATCH("Passive2a",PalData_Header,0)),SkillDataCodeName,0)+1,MATCH("EffectValue1",SkillData_Header,0)),)</f>
        <v>0</v>
      </c>
      <c r="Z128" s="45" t="n">
        <f aca="false">IFERROR(INDEX(SkillData,MATCH(INDEX(PalData,MATCH($B128,PalNames,0)+1,MATCH("Passive3a",PalData_Header,0)),SkillDataCodeName,0)+1,MATCH("EffectValue1",SkillData_Header,0)),)</f>
        <v>0</v>
      </c>
      <c r="AA128" s="260" t="n">
        <f aca="false">IFERROR(INDEX(SkillData,MATCH(INDEX(PalData,MATCH($B128,PalNames,0)+1,MATCH("Passive4a",PalData_Header,0)),SkillDataCodeName,0)+1,MATCH("EffectValue1",SkillData_Header,0)),)</f>
        <v>0</v>
      </c>
      <c r="AB128" s="45" t="str">
        <f aca="false">IFERROR(__xludf.dummyfunction("IFERROR(INDEX(SkillData,MATCH(Arrayformula(ARRAY_CONSTRAIN(FILTER(INDIRECT(""PalData!""&amp;ADDRESS(MATCH(B128,PalNames,0)+1,(MATCH(""Passive0b"",PalData_Header,0)))&amp;"":""&amp;ADDRESS(MATCH(B128,PalNames,0)+1,(MATCH(""Passive0b"",PalData_Header,0))+4)),LEN(INDIRE"&amp;"CT(""PalData!""&amp;ADDRESS(MATCH(B128,PalNames,0)+1,(MATCH(""Passive0b"",PalData_Header,0)))&amp;"":""&amp;ADDRESS(MATCH(B128,PalNames,0)+1,(MATCH(""Passive0b"",PalData_Header,0))+4)))&gt;0),1,1)),SkillDataCodeName,0)+1,MATCH(""EffectTypeCombined"",SkillData_Header,0))"&amp;")"),"")</f>
        <v/>
      </c>
      <c r="AC128" s="45" t="str">
        <f aca="false">IFERROR(__xludf.dummyfunction("IFERROR(INDEX(SkillData,MATCH(Arrayformula(ARRAY_CONSTRAIN(FILTER(INDIRECT(""PalData!""&amp;ADDRESS(MATCH(B128,PalNames,0)+1,(MATCH(""Passive0b"",PalData_Header,0)))&amp;"":""&amp;ADDRESS(MATCH(B128,PalNames,0)+1,(MATCH(""Passive0b"",PalData_Header,0))+4)),LEN(INDIRE"&amp;"CT(""PalData!""&amp;ADDRESS(MATCH(B128,PalNames,0)+1,(MATCH(""Passive0b"",PalData_Header,0)))&amp;"":""&amp;ADDRESS(MATCH(B128,PalNames,0)+1,(MATCH(""Passive0b"",PalData_Header,0))+4)))&gt;0),1,1)),SkillDataCodeName,0)+1,MATCH(""TargetType1"",SkillData_Header,0)))"),"")</f>
        <v/>
      </c>
      <c r="AD128" s="45" t="e">
        <f aca="false" t="array" ref="AD128:AD128">IF(INDEX(PalData,MATCH($B128,PalNames,0)+1,MATCH("Passive0bCondition",PalData_Header,0))=IFERROR(INDEX(SkillData,MATCH(INDEX(PalData,MATCH($B128,PalNames,0)+1,MATCH("Passive0b",PalData_Header,0)),SkillDataCodeName,0)+1,MATCH("Conditions",SkillData_Header,0))),INDEX(PalData,MATCH($B128,PalNames,0)+1,MATCH("Passive0bCondition",PalData_Header,0)),INDEX(PalData,MATCH($B128,PalNames,0)+1,MATCH("Passive0bCondition",PalData_Header,0)) &amp; IF(ISBLANK(INDEX(PalData,MATCH($B128,PalNames,0)+1,MATCH("Passive0bCondition",PalData_Header,0))),," ")&amp;IFERROR(INDEX(SkillData,MATCH(INDEX(PalData,MATCH($B128,PalNames,0)+1,MATCH("Passive0b",PalData_Header,0)),SkillDataCodeName,0)+1,MATCH("Conditions",SkillData_Header,0))))</f>
        <v>#N/A</v>
      </c>
      <c r="AE128" s="45" t="str">
        <f aca="false">IFERROR(__xludf.dummyfunction("IFERROR(INDEX(SkillData,MATCH(Arrayformula(ARRAY_CONSTRAIN(FILTER(INDIRECT(""PalData!""&amp;ADDRESS(MATCH(B128,PalNames,0)+1,(MATCH(""Passive0b"",PalData_Header,0)))&amp;"":""&amp;ADDRESS(MATCH(B128,PalNames,0)+1,(MATCH(""Passive0b"",PalData_Header,0))+4)),LEN(INDIRE"&amp;"CT(""PalData!""&amp;ADDRESS(MATCH(B128,PalNames,0)+1,(MATCH(""Passive0b"",PalData_Header,0)))&amp;"":""&amp;ADDRESS(MATCH(B128,PalNames,0)+1,(MATCH(""Passive0b"",PalData_Header,0))+4)))&gt;0),1,1)),SkillDataCodeName,0)+1,MATCH(""ValueType1"",SkillData_Header,0)))"),"")</f>
        <v/>
      </c>
      <c r="AF128" s="45" t="n">
        <f aca="false">IFERROR(INDEX(SkillData,MATCH(INDEX(PalData,MATCH($B128,PalNames,0)+1,MATCH("Passive0b",PalData_Header,0)),SkillDataCodeName,0)+1,MATCH("EffectValue1",SkillData_Header,0)),)</f>
        <v>0</v>
      </c>
      <c r="AG128" s="45" t="n">
        <f aca="false">IFERROR(INDEX(SkillData,MATCH(INDEX(PalData,MATCH($B128,PalNames,0)+1,MATCH("Passive1b",PalData_Header,0)),SkillDataCodeName,0)+1,MATCH("EffectValue1",SkillData_Header,0)),)</f>
        <v>0</v>
      </c>
      <c r="AH128" s="45" t="n">
        <f aca="false">IFERROR(INDEX(SkillData,MATCH(INDEX(PalData,MATCH($B128,PalNames,0)+1,MATCH("Passive2b",PalData_Header,0)),SkillDataCodeName,0)+1,MATCH("EffectValue1",SkillData_Header,0)),)</f>
        <v>0</v>
      </c>
      <c r="AI128" s="45" t="n">
        <f aca="false">IFERROR(INDEX(SkillData,MATCH(INDEX(PalData,MATCH($B128,PalNames,0)+1,MATCH("Passive3b",PalData_Header,0)),SkillDataCodeName,0)+1,MATCH("EffectValue1",SkillData_Header,0)),)</f>
        <v>0</v>
      </c>
      <c r="AJ128" s="260" t="n">
        <f aca="false">IFERROR(INDEX(SkillData,MATCH(INDEX(PalData,MATCH($B128,PalNames,0)+1,MATCH("Passive4b",PalData_Header,0)),SkillDataCodeName,0)+1,MATCH("EffectValue1",SkillData_Header,0)),)</f>
        <v>0</v>
      </c>
      <c r="AK128" s="301" t="s">
        <v>391</v>
      </c>
    </row>
    <row r="129" customFormat="false" ht="15.75" hidden="false" customHeight="false" outlineLevel="0" collapsed="false">
      <c r="A129" s="302" t="n">
        <v>102</v>
      </c>
      <c r="B129" s="303" t="s">
        <v>135</v>
      </c>
      <c r="C129" s="48" t="str">
        <f aca="false" t="array" ref="C129:C129">IF(ISBLANK(INDEX(PalData,MATCH($B129,PalNames,0)+1,MATCH("ActiveSkill",PalData_Header,0))),INDEX(PalData,MATCH($B129,PalNames,0)+1,MATCH("SkillUnlock_",PalData_Header,0)),INDEX(PalData,MATCH($B129,PalNames,0)+1,MATCH("ActiveSkill",PalData_Header,0)))</f>
        <v>Saddle</v>
      </c>
      <c r="D129" s="48"/>
      <c r="E129" s="48" t="n">
        <f aca="false">INDEX(PalData,MATCH($B129,PalNames,0)+1,MATCH("ActiveSkillBonus0",PalData_Header,0))</f>
        <v>0</v>
      </c>
      <c r="F129" s="48" t="n">
        <f aca="false">INDEX(PalData,MATCH($B129,PalNames,0)+1,MATCH("ActiveSkillBonus1",PalData_Header,0))</f>
        <v>0</v>
      </c>
      <c r="G129" s="48" t="n">
        <f aca="false">INDEX(PalData,MATCH($B129,PalNames,0)+1,MATCH("ActiveSkillBonus2",PalData_Header,0))</f>
        <v>0</v>
      </c>
      <c r="H129" s="48" t="n">
        <f aca="false">INDEX(PalData,MATCH($B129,PalNames,0)+1,MATCH("ActiveSkillBonus3",PalData_Header,0))</f>
        <v>0</v>
      </c>
      <c r="I129" s="263" t="n">
        <f aca="false">INDEX(PalData,MATCH($B129,PalNames,0)+1,MATCH("ActiveSkillBonus4",PalData_Header,0))</f>
        <v>0</v>
      </c>
      <c r="J129" s="48" t="str">
        <f aca="false">IFERROR(__xludf.dummyfunction("IFERROR(INDEX(SkillData,MATCH(Arrayformula(ARRAY_CONSTRAIN(FILTER(INDIRECT(""PalData!""&amp;ADDRESS(MATCH(B129,PalNames,0)+1,(MATCH(""Passive0c"",PalData_Header,0)))&amp;"":""&amp;ADDRESS(MATCH(B129,PalNames,0)+1,(MATCH(""Passive0c"",PalData_Header,0))+4)),LEN(INDIRE"&amp;"CT(""PalData!""&amp;ADDRESS(MATCH(B129,PalNames,0)+1,(MATCH(""Passive0c"",PalData_Header,0)))&amp;"":""&amp;ADDRESS(MATCH(B129,PalNames,0)+1,(MATCH(""Passive0c"",PalData_Header,0))+4)))&gt;0),1,1)),SkillDataCodeName,0)+1,MATCH(""EffectTypeCombined"",SkillData_Header,0))"&amp;")"),"ElementBoost_Fire")</f>
        <v>ElementBoost_Fire</v>
      </c>
      <c r="K129" s="48" t="str">
        <f aca="false">IFERROR(__xludf.dummyfunction("IFERROR(INDEX(SkillData,MATCH(Arrayformula(ARRAY_CONSTRAIN(FILTER(INDIRECT(""PalData!""&amp;ADDRESS(MATCH(B129,PalNames,0)+1,(MATCH(""Passive0c"",PalData_Header,0)))&amp;"":""&amp;ADDRESS(MATCH(B129,PalNames,0)+1,(MATCH(""Passive0c"",PalData_Header,0))+4)),LEN(INDIRE"&amp;"CT(""PalData!""&amp;ADDRESS(MATCH(B129,PalNames,0)+1,(MATCH(""Passive0c"",PalData_Header,0)))&amp;"":""&amp;ADDRESS(MATCH(B129,PalNames,0)+1,(MATCH(""Passive0c"",PalData_Header,0))+4)))&gt;0),1,1)),SkillDataCodeName,0)+1,MATCH(""TargetType1"",SkillData_Header,0)))"),"SelfAndTrainer")</f>
        <v>SelfAndTrainer</v>
      </c>
      <c r="L129" s="48" t="e">
        <f aca="false" t="array" ref="L129:L129">IF(INDEX(PalData,MATCH($B129,PalNames,0)+1,MATCH("Passive0cCondition",PalData_Header,0))=IFERROR(INDEX(SkillData,MATCH(INDEX(PalData,MATCH($B129,PalNames,0)+1,MATCH("Passive0c",PalData_Header,0)),SkillDataCodeName,0)+1,MATCH("Conditions",SkillData_Header,0))),INDEX(PalData,MATCH($B129,PalNames,0)+1,MATCH("Passive0cCondition",PalData_Header,0)),INDEX(PalData,MATCH($B129,PalNames,0)+1,MATCH("Passive0cCondition",PalData_Header,0)) &amp; IF(ISBLANK(INDEX(PalData,MATCH($B129,PalNames,0)+1,MATCH("Passive0cCondition",PalData_Header,0))),," ")&amp;IFERROR(INDEX(SkillData,MATCH(INDEX(PalData,MATCH($B129,PalNames,0)+1,MATCH("Passive0c",PalData_Header,0)),SkillDataCodeName,0)+1,MATCH("Conditions",SkillData_Header,0))))</f>
        <v>#VALUE!</v>
      </c>
      <c r="M129" s="48" t="str">
        <f aca="false">IFERROR(__xludf.dummyfunction("IFERROR(INDEX(SkillData,MATCH(Arrayformula(ARRAY_CONSTRAIN(FILTER(INDIRECT(""PalData!""&amp;ADDRESS(MATCH(B129,PalNames,0)+1,(MATCH(""Passive0c"",PalData_Header,0)))&amp;"":""&amp;ADDRESS(MATCH(B129,PalNames,0)+1,(MATCH(""Passive0c"",PalData_Header,0))+4)),LEN(INDIRE"&amp;"CT(""PalData!""&amp;ADDRESS(MATCH(B129,PalNames,0)+1,(MATCH(""Passive0c"",PalData_Header,0)))&amp;"":""&amp;ADDRESS(MATCH(B129,PalNames,0)+1,(MATCH(""Passive0c"",PalData_Header,0))+4)))&gt;0),1,1)),SkillDataCodeName,0)+1,MATCH(""ValueType1"",SkillData_Header,0)))"),"%")</f>
        <v>%</v>
      </c>
      <c r="N129" s="61" t="e">
        <f aca="false" t="array" ref="N129:N129">IFERROR(INDEX(SkillData,MATCH(INDEX(PalData,MATCH($B129,PalNames,0)+1,MATCH("Passive0c",PalData_Header,0)),SkillDataCodeName,0)+1,MATCH("EffectValue1",SkillData_Header,0)))</f>
        <v>#VALUE!</v>
      </c>
      <c r="O129" s="61" t="e">
        <f aca="false" t="array" ref="O129:O129">IFERROR(INDEX(SkillData,MATCH(INDEX(PalData,MATCH($B129,PalNames,0)+1,MATCH("Passive1c",PalData_Header,0)),SkillDataCodeName,0)+1,MATCH("EffectValue1",SkillData_Header,0)))</f>
        <v>#VALUE!</v>
      </c>
      <c r="P129" s="61" t="e">
        <f aca="false" t="array" ref="P129:P129">IFERROR(INDEX(SkillData,MATCH(INDEX(PalData,MATCH($B129,PalNames,0)+1,MATCH("Passive2c",PalData_Header,0)),SkillDataCodeName,0)+1,MATCH("EffectValue1",SkillData_Header,0)))</f>
        <v>#VALUE!</v>
      </c>
      <c r="Q129" s="61" t="e">
        <f aca="false" t="array" ref="Q129:Q129">IFERROR(INDEX(SkillData,MATCH(INDEX(PalData,MATCH($B129,PalNames,0)+1,MATCH("Passive3c",PalData_Header,0)),SkillDataCodeName,0)+1,MATCH("EffectValue1",SkillData_Header,0)))</f>
        <v>#VALUE!</v>
      </c>
      <c r="R129" s="304" t="e">
        <f aca="false" t="array" ref="R129:R129">IFERROR(INDEX(SkillData,MATCH(INDEX(PalData,MATCH($B129,PalNames,0)+1,MATCH("Passive4c",PalData_Header,0)),SkillDataCodeName,0)+1,MATCH("EffectValue1",SkillData_Header,0)))</f>
        <v>#VALUE!</v>
      </c>
      <c r="S129" s="48" t="str">
        <f aca="false">IFERROR(__xludf.dummyfunction("IFERROR(INDEX(SkillData,MATCH(Arrayformula(ARRAY_CONSTRAIN(FILTER(INDIRECT(""PalData!""&amp;ADDRESS(MATCH(B129,PalNames,0)+1,(MATCH(""Passive0a"",PalData_Header,0)))&amp;"":""&amp;ADDRESS(MATCH(B129,PalNames,0)+1,(MATCH(""Passive0a"",PalData_Header,0))+4)),LEN(INDIRE"&amp;"CT(""PalData!""&amp;ADDRESS(MATCH(B129,PalNames,0)+1,(MATCH(""Passive0a"",PalData_Header,0)))&amp;"":""&amp;ADDRESS(MATCH(B129,PalNames,0)+1,(MATCH(""Passive0a"",PalData_Header,0))+4)))&gt;0),1,1)),SkillDataCodeName,0)+1,MATCH(""EffectTypeCombined"",SkillData_Header,0))"&amp;")"),"")</f>
        <v/>
      </c>
      <c r="T129" s="48" t="str">
        <f aca="false">IFERROR(__xludf.dummyfunction("IFERROR(INDEX(SkillData,MATCH(Arrayformula(ARRAY_CONSTRAIN(FILTER(INDIRECT(""PalData!""&amp;ADDRESS(MATCH(B129,PalNames,0)+1,(MATCH(""Passive0a"",PalData_Header,0)))&amp;"":""&amp;ADDRESS(MATCH(B129,PalNames,0)+1,(MATCH(""Passive0a"",PalData_Header,0))+4)),LEN(INDIRE"&amp;"CT(""PalData!""&amp;ADDRESS(MATCH(B129,PalNames,0)+1,(MATCH(""Passive0a"",PalData_Header,0)))&amp;"":""&amp;ADDRESS(MATCH(B129,PalNames,0)+1,(MATCH(""Passive0a"",PalData_Header,0))+4)))&gt;0),1,1)),SkillDataCodeName,0)+1,MATCH(""TargetType1"",SkillData_Header,0)))"),"")</f>
        <v/>
      </c>
      <c r="U129" s="48" t="e">
        <f aca="false" t="array" ref="U129:U129">IF(INDEX(PalData,MATCH($B129,PalNames,0)+1,MATCH("Passive0aCondition",PalData_Header,0))=IFERROR(INDEX(SkillData,MATCH(INDEX(PalData,MATCH($B129,PalNames,0)+1,MATCH("Passive0a",PalData_Header,0)),SkillDataCodeName,0)+1,MATCH("Conditions",SkillData_Header,0))),INDEX(PalData,MATCH($B129,PalNames,0)+1,MATCH("Passive0aCondition",PalData_Header,0)),INDEX(PalData,MATCH($B129,PalNames,0)+1,MATCH("Passive0aCondition",PalData_Header,0)) &amp; IF(ISBLANK(INDEX(PalData,MATCH($B129,PalNames,0)+1,MATCH("Passive0aCondition",PalData_Header,0))),," ")&amp;IFERROR(INDEX(SkillData,MATCH(INDEX(PalData,MATCH($B129,PalNames,0)+1,MATCH("Passive0a",PalData_Header,0)),SkillDataCodeName,0)+1,MATCH("Conditions",SkillData_Header,0))))</f>
        <v>#N/A</v>
      </c>
      <c r="V129" s="48" t="str">
        <f aca="false">IFERROR(__xludf.dummyfunction("IFERROR(INDEX(SkillData,MATCH(Arrayformula(ARRAY_CONSTRAIN(FILTER(INDIRECT(""PalData!""&amp;ADDRESS(MATCH(B129,PalNames,0)+1,(MATCH(""Passive0a"",PalData_Header,0)))&amp;"":""&amp;ADDRESS(MATCH(B129,PalNames,0)+1,(MATCH(""Passive0a"",PalData_Header,0))+4)),LEN(INDIRE"&amp;"CT(""PalData!""&amp;ADDRESS(MATCH(B129,PalNames,0)+1,(MATCH(""Passive0a"",PalData_Header,0)))&amp;"":""&amp;ADDRESS(MATCH(B129,PalNames,0)+1,(MATCH(""Passive0a"",PalData_Header,0))+4)))&gt;0),1,1)),SkillDataCodeName,0)+1,MATCH(""ValueType1"",SkillData_Header,0)))"),"")</f>
        <v/>
      </c>
      <c r="W129" s="48" t="n">
        <f aca="false">IFERROR(INDEX(SkillData,MATCH(INDEX(PalData,MATCH($B129,PalNames,0)+1,MATCH("Passive0a",PalData_Header,0)),SkillDataCodeName,0)+1,MATCH("EffectValue1",SkillData_Header,0)),)</f>
        <v>0</v>
      </c>
      <c r="X129" s="48" t="n">
        <f aca="false">IFERROR(INDEX(SkillData,MATCH(INDEX(PalData,MATCH($B129,PalNames,0)+1,MATCH("Passive1a",PalData_Header,0)),SkillDataCodeName,0)+1,MATCH("EffectValue1",SkillData_Header,0)),)</f>
        <v>0</v>
      </c>
      <c r="Y129" s="48" t="n">
        <f aca="false">IFERROR(INDEX(SkillData,MATCH(INDEX(PalData,MATCH($B129,PalNames,0)+1,MATCH("Passive2a",PalData_Header,0)),SkillDataCodeName,0)+1,MATCH("EffectValue1",SkillData_Header,0)),)</f>
        <v>0</v>
      </c>
      <c r="Z129" s="48" t="n">
        <f aca="false">IFERROR(INDEX(SkillData,MATCH(INDEX(PalData,MATCH($B129,PalNames,0)+1,MATCH("Passive3a",PalData_Header,0)),SkillDataCodeName,0)+1,MATCH("EffectValue1",SkillData_Header,0)),)</f>
        <v>0</v>
      </c>
      <c r="AA129" s="263" t="n">
        <f aca="false">IFERROR(INDEX(SkillData,MATCH(INDEX(PalData,MATCH($B129,PalNames,0)+1,MATCH("Passive4a",PalData_Header,0)),SkillDataCodeName,0)+1,MATCH("EffectValue1",SkillData_Header,0)),)</f>
        <v>0</v>
      </c>
      <c r="AB129" s="48" t="str">
        <f aca="false">IFERROR(__xludf.dummyfunction("IFERROR(INDEX(SkillData,MATCH(Arrayformula(ARRAY_CONSTRAIN(FILTER(INDIRECT(""PalData!""&amp;ADDRESS(MATCH(B129,PalNames,0)+1,(MATCH(""Passive0b"",PalData_Header,0)))&amp;"":""&amp;ADDRESS(MATCH(B129,PalNames,0)+1,(MATCH(""Passive0b"",PalData_Header,0))+4)),LEN(INDIRE"&amp;"CT(""PalData!""&amp;ADDRESS(MATCH(B129,PalNames,0)+1,(MATCH(""Passive0b"",PalData_Header,0)))&amp;"":""&amp;ADDRESS(MATCH(B129,PalNames,0)+1,(MATCH(""Passive0b"",PalData_Header,0))+4)))&gt;0),1,1)),SkillDataCodeName,0)+1,MATCH(""EffectTypeCombined"",SkillData_Header,0))"&amp;")"),"")</f>
        <v/>
      </c>
      <c r="AC129" s="48" t="str">
        <f aca="false">IFERROR(__xludf.dummyfunction("IFERROR(INDEX(SkillData,MATCH(Arrayformula(ARRAY_CONSTRAIN(FILTER(INDIRECT(""PalData!""&amp;ADDRESS(MATCH(B129,PalNames,0)+1,(MATCH(""Passive0b"",PalData_Header,0)))&amp;"":""&amp;ADDRESS(MATCH(B129,PalNames,0)+1,(MATCH(""Passive0b"",PalData_Header,0))+4)),LEN(INDIRE"&amp;"CT(""PalData!""&amp;ADDRESS(MATCH(B129,PalNames,0)+1,(MATCH(""Passive0b"",PalData_Header,0)))&amp;"":""&amp;ADDRESS(MATCH(B129,PalNames,0)+1,(MATCH(""Passive0b"",PalData_Header,0))+4)))&gt;0),1,1)),SkillDataCodeName,0)+1,MATCH(""TargetType1"",SkillData_Header,0)))"),"")</f>
        <v/>
      </c>
      <c r="AD129" s="48" t="e">
        <f aca="false" t="array" ref="AD129:AD129">IF(INDEX(PalData,MATCH($B129,PalNames,0)+1,MATCH("Passive0bCondition",PalData_Header,0))=IFERROR(INDEX(SkillData,MATCH(INDEX(PalData,MATCH($B129,PalNames,0)+1,MATCH("Passive0b",PalData_Header,0)),SkillDataCodeName,0)+1,MATCH("Conditions",SkillData_Header,0))),INDEX(PalData,MATCH($B129,PalNames,0)+1,MATCH("Passive0bCondition",PalData_Header,0)),INDEX(PalData,MATCH($B129,PalNames,0)+1,MATCH("Passive0bCondition",PalData_Header,0)) &amp; IF(ISBLANK(INDEX(PalData,MATCH($B129,PalNames,0)+1,MATCH("Passive0bCondition",PalData_Header,0))),," ")&amp;IFERROR(INDEX(SkillData,MATCH(INDEX(PalData,MATCH($B129,PalNames,0)+1,MATCH("Passive0b",PalData_Header,0)),SkillDataCodeName,0)+1,MATCH("Conditions",SkillData_Header,0))))</f>
        <v>#N/A</v>
      </c>
      <c r="AE129" s="48" t="str">
        <f aca="false">IFERROR(__xludf.dummyfunction("IFERROR(INDEX(SkillData,MATCH(Arrayformula(ARRAY_CONSTRAIN(FILTER(INDIRECT(""PalData!""&amp;ADDRESS(MATCH(B129,PalNames,0)+1,(MATCH(""Passive0b"",PalData_Header,0)))&amp;"":""&amp;ADDRESS(MATCH(B129,PalNames,0)+1,(MATCH(""Passive0b"",PalData_Header,0))+4)),LEN(INDIRE"&amp;"CT(""PalData!""&amp;ADDRESS(MATCH(B129,PalNames,0)+1,(MATCH(""Passive0b"",PalData_Header,0)))&amp;"":""&amp;ADDRESS(MATCH(B129,PalNames,0)+1,(MATCH(""Passive0b"",PalData_Header,0))+4)))&gt;0),1,1)),SkillDataCodeName,0)+1,MATCH(""ValueType1"",SkillData_Header,0)))"),"")</f>
        <v/>
      </c>
      <c r="AF129" s="48" t="n">
        <f aca="false">IFERROR(INDEX(SkillData,MATCH(INDEX(PalData,MATCH($B129,PalNames,0)+1,MATCH("Passive0b",PalData_Header,0)),SkillDataCodeName,0)+1,MATCH("EffectValue1",SkillData_Header,0)),)</f>
        <v>0</v>
      </c>
      <c r="AG129" s="48" t="n">
        <f aca="false">IFERROR(INDEX(SkillData,MATCH(INDEX(PalData,MATCH($B129,PalNames,0)+1,MATCH("Passive1b",PalData_Header,0)),SkillDataCodeName,0)+1,MATCH("EffectValue1",SkillData_Header,0)),)</f>
        <v>0</v>
      </c>
      <c r="AH129" s="48" t="n">
        <f aca="false">IFERROR(INDEX(SkillData,MATCH(INDEX(PalData,MATCH($B129,PalNames,0)+1,MATCH("Passive2b",PalData_Header,0)),SkillDataCodeName,0)+1,MATCH("EffectValue1",SkillData_Header,0)),)</f>
        <v>0</v>
      </c>
      <c r="AI129" s="48" t="n">
        <f aca="false">IFERROR(INDEX(SkillData,MATCH(INDEX(PalData,MATCH($B129,PalNames,0)+1,MATCH("Passive3b",PalData_Header,0)),SkillDataCodeName,0)+1,MATCH("EffectValue1",SkillData_Header,0)),)</f>
        <v>0</v>
      </c>
      <c r="AJ129" s="263" t="n">
        <f aca="false">IFERROR(INDEX(SkillData,MATCH(INDEX(PalData,MATCH($B129,PalNames,0)+1,MATCH("Passive4b",PalData_Header,0)),SkillDataCodeName,0)+1,MATCH("EffectValue1",SkillData_Header,0)),)</f>
        <v>0</v>
      </c>
      <c r="AK129" s="305" t="s">
        <v>135</v>
      </c>
    </row>
    <row r="130" customFormat="false" ht="15.75" hidden="false" customHeight="false" outlineLevel="0" collapsed="false">
      <c r="A130" s="299" t="n">
        <v>102</v>
      </c>
      <c r="B130" s="300" t="s">
        <v>136</v>
      </c>
      <c r="C130" s="45" t="str">
        <f aca="false" t="array" ref="C130:C130">IF(ISBLANK(INDEX(PalData,MATCH($B130,PalNames,0)+1,MATCH("ActiveSkill",PalData_Header,0))),INDEX(PalData,MATCH($B130,PalNames,0)+1,MATCH("SkillUnlock_",PalData_Header,0)),INDEX(PalData,MATCH($B130,PalNames,0)+1,MATCH("ActiveSkill",PalData_Header,0)))</f>
        <v>Saddle</v>
      </c>
      <c r="D130" s="45"/>
      <c r="E130" s="45" t="n">
        <f aca="false">INDEX(PalData,MATCH($B130,PalNames,0)+1,MATCH("ActiveSkillBonus0",PalData_Header,0))</f>
        <v>0</v>
      </c>
      <c r="F130" s="45" t="n">
        <f aca="false">INDEX(PalData,MATCH($B130,PalNames,0)+1,MATCH("ActiveSkillBonus1",PalData_Header,0))</f>
        <v>0</v>
      </c>
      <c r="G130" s="45" t="n">
        <f aca="false">INDEX(PalData,MATCH($B130,PalNames,0)+1,MATCH("ActiveSkillBonus2",PalData_Header,0))</f>
        <v>0</v>
      </c>
      <c r="H130" s="45" t="n">
        <f aca="false">INDEX(PalData,MATCH($B130,PalNames,0)+1,MATCH("ActiveSkillBonus3",PalData_Header,0))</f>
        <v>0</v>
      </c>
      <c r="I130" s="260" t="n">
        <f aca="false">INDEX(PalData,MATCH($B130,PalNames,0)+1,MATCH("ActiveSkillBonus4",PalData_Header,0))</f>
        <v>0</v>
      </c>
      <c r="J130" s="45" t="str">
        <f aca="false">IFERROR(__xludf.dummyfunction("IFERROR(INDEX(SkillData,MATCH(Arrayformula(ARRAY_CONSTRAIN(FILTER(INDIRECT(""PalData!""&amp;ADDRESS(MATCH(B130,PalNames,0)+1,(MATCH(""Passive0c"",PalData_Header,0)))&amp;"":""&amp;ADDRESS(MATCH(B130,PalNames,0)+1,(MATCH(""Passive0c"",PalData_Header,0))+4)),LEN(INDIRE"&amp;"CT(""PalData!""&amp;ADDRESS(MATCH(B130,PalNames,0)+1,(MATCH(""Passive0c"",PalData_Header,0)))&amp;"":""&amp;ADDRESS(MATCH(B130,PalNames,0)+1,(MATCH(""Passive0c"",PalData_Header,0))+4)))&gt;0),1,1)),SkillDataCodeName,0)+1,MATCH(""EffectTypeCombined"",SkillData_Header,0))"&amp;")"),"ElementBoost_Water")</f>
        <v>ElementBoost_Water</v>
      </c>
      <c r="K130" s="45" t="str">
        <f aca="false">IFERROR(__xludf.dummyfunction("IFERROR(INDEX(SkillData,MATCH(Arrayformula(ARRAY_CONSTRAIN(FILTER(INDIRECT(""PalData!""&amp;ADDRESS(MATCH(B130,PalNames,0)+1,(MATCH(""Passive0c"",PalData_Header,0)))&amp;"":""&amp;ADDRESS(MATCH(B130,PalNames,0)+1,(MATCH(""Passive0c"",PalData_Header,0))+4)),LEN(INDIRE"&amp;"CT(""PalData!""&amp;ADDRESS(MATCH(B130,PalNames,0)+1,(MATCH(""Passive0c"",PalData_Header,0)))&amp;"":""&amp;ADDRESS(MATCH(B130,PalNames,0)+1,(MATCH(""Passive0c"",PalData_Header,0))+4)))&gt;0),1,1)),SkillDataCodeName,0)+1,MATCH(""TargetType1"",SkillData_Header,0)))"),"SelfAndTrainer")</f>
        <v>SelfAndTrainer</v>
      </c>
      <c r="L130" s="45" t="e">
        <f aca="false" t="array" ref="L130:L130">IF(INDEX(PalData,MATCH($B130,PalNames,0)+1,MATCH("Passive0cCondition",PalData_Header,0))=IFERROR(INDEX(SkillData,MATCH(INDEX(PalData,MATCH($B130,PalNames,0)+1,MATCH("Passive0c",PalData_Header,0)),SkillDataCodeName,0)+1,MATCH("Conditions",SkillData_Header,0))),INDEX(PalData,MATCH($B130,PalNames,0)+1,MATCH("Passive0cCondition",PalData_Header,0)),INDEX(PalData,MATCH($B130,PalNames,0)+1,MATCH("Passive0cCondition",PalData_Header,0)) &amp; IF(ISBLANK(INDEX(PalData,MATCH($B130,PalNames,0)+1,MATCH("Passive0cCondition",PalData_Header,0))),," ")&amp;IFERROR(INDEX(SkillData,MATCH(INDEX(PalData,MATCH($B130,PalNames,0)+1,MATCH("Passive0c",PalData_Header,0)),SkillDataCodeName,0)+1,MATCH("Conditions",SkillData_Header,0))))</f>
        <v>#VALUE!</v>
      </c>
      <c r="M130" s="45" t="str">
        <f aca="false">IFERROR(__xludf.dummyfunction("IFERROR(INDEX(SkillData,MATCH(Arrayformula(ARRAY_CONSTRAIN(FILTER(INDIRECT(""PalData!""&amp;ADDRESS(MATCH(B130,PalNames,0)+1,(MATCH(""Passive0c"",PalData_Header,0)))&amp;"":""&amp;ADDRESS(MATCH(B130,PalNames,0)+1,(MATCH(""Passive0c"",PalData_Header,0))+4)),LEN(INDIRE"&amp;"CT(""PalData!""&amp;ADDRESS(MATCH(B130,PalNames,0)+1,(MATCH(""Passive0c"",PalData_Header,0)))&amp;"":""&amp;ADDRESS(MATCH(B130,PalNames,0)+1,(MATCH(""Passive0c"",PalData_Header,0))+4)))&gt;0),1,1)),SkillDataCodeName,0)+1,MATCH(""ValueType1"",SkillData_Header,0)))"),"%")</f>
        <v>%</v>
      </c>
      <c r="N130" s="62" t="e">
        <f aca="false" t="array" ref="N130:N130">IFERROR(INDEX(SkillData,MATCH(INDEX(PalData,MATCH($B130,PalNames,0)+1,MATCH("Passive0c",PalData_Header,0)),SkillDataCodeName,0)+1,MATCH("EffectValue1",SkillData_Header,0)))</f>
        <v>#VALUE!</v>
      </c>
      <c r="O130" s="62" t="e">
        <f aca="false" t="array" ref="O130:O130">IFERROR(INDEX(SkillData,MATCH(INDEX(PalData,MATCH($B130,PalNames,0)+1,MATCH("Passive1c",PalData_Header,0)),SkillDataCodeName,0)+1,MATCH("EffectValue1",SkillData_Header,0)))</f>
        <v>#VALUE!</v>
      </c>
      <c r="P130" s="62" t="e">
        <f aca="false" t="array" ref="P130:P130">IFERROR(INDEX(SkillData,MATCH(INDEX(PalData,MATCH($B130,PalNames,0)+1,MATCH("Passive2c",PalData_Header,0)),SkillDataCodeName,0)+1,MATCH("EffectValue1",SkillData_Header,0)))</f>
        <v>#VALUE!</v>
      </c>
      <c r="Q130" s="62" t="e">
        <f aca="false" t="array" ref="Q130:Q130">IFERROR(INDEX(SkillData,MATCH(INDEX(PalData,MATCH($B130,PalNames,0)+1,MATCH("Passive3c",PalData_Header,0)),SkillDataCodeName,0)+1,MATCH("EffectValue1",SkillData_Header,0)))</f>
        <v>#VALUE!</v>
      </c>
      <c r="R130" s="306" t="e">
        <f aca="false" t="array" ref="R130:R130">IFERROR(INDEX(SkillData,MATCH(INDEX(PalData,MATCH($B130,PalNames,0)+1,MATCH("Passive4c",PalData_Header,0)),SkillDataCodeName,0)+1,MATCH("EffectValue1",SkillData_Header,0)))</f>
        <v>#VALUE!</v>
      </c>
      <c r="S130" s="45" t="str">
        <f aca="false">IFERROR(__xludf.dummyfunction("IFERROR(INDEX(SkillData,MATCH(Arrayformula(ARRAY_CONSTRAIN(FILTER(INDIRECT(""PalData!""&amp;ADDRESS(MATCH(B130,PalNames,0)+1,(MATCH(""Passive0a"",PalData_Header,0)))&amp;"":""&amp;ADDRESS(MATCH(B130,PalNames,0)+1,(MATCH(""Passive0a"",PalData_Header,0))+4)),LEN(INDIRE"&amp;"CT(""PalData!""&amp;ADDRESS(MATCH(B130,PalNames,0)+1,(MATCH(""Passive0a"",PalData_Header,0)))&amp;"":""&amp;ADDRESS(MATCH(B130,PalNames,0)+1,(MATCH(""Passive0a"",PalData_Header,0))+4)))&gt;0),1,1)),SkillDataCodeName,0)+1,MATCH(""EffectTypeCombined"",SkillData_Header,0))"&amp;")"),"")</f>
        <v/>
      </c>
      <c r="T130" s="45" t="str">
        <f aca="false">IFERROR(__xludf.dummyfunction("IFERROR(INDEX(SkillData,MATCH(Arrayformula(ARRAY_CONSTRAIN(FILTER(INDIRECT(""PalData!""&amp;ADDRESS(MATCH(B130,PalNames,0)+1,(MATCH(""Passive0a"",PalData_Header,0)))&amp;"":""&amp;ADDRESS(MATCH(B130,PalNames,0)+1,(MATCH(""Passive0a"",PalData_Header,0))+4)),LEN(INDIRE"&amp;"CT(""PalData!""&amp;ADDRESS(MATCH(B130,PalNames,0)+1,(MATCH(""Passive0a"",PalData_Header,0)))&amp;"":""&amp;ADDRESS(MATCH(B130,PalNames,0)+1,(MATCH(""Passive0a"",PalData_Header,0))+4)))&gt;0),1,1)),SkillDataCodeName,0)+1,MATCH(""TargetType1"",SkillData_Header,0)))"),"")</f>
        <v/>
      </c>
      <c r="U130" s="45" t="e">
        <f aca="false" t="array" ref="U130:U130">IF(INDEX(PalData,MATCH($B130,PalNames,0)+1,MATCH("Passive0aCondition",PalData_Header,0))=IFERROR(INDEX(SkillData,MATCH(INDEX(PalData,MATCH($B130,PalNames,0)+1,MATCH("Passive0a",PalData_Header,0)),SkillDataCodeName,0)+1,MATCH("Conditions",SkillData_Header,0))),INDEX(PalData,MATCH($B130,PalNames,0)+1,MATCH("Passive0aCondition",PalData_Header,0)),INDEX(PalData,MATCH($B130,PalNames,0)+1,MATCH("Passive0aCondition",PalData_Header,0)) &amp; IF(ISBLANK(INDEX(PalData,MATCH($B130,PalNames,0)+1,MATCH("Passive0aCondition",PalData_Header,0))),," ")&amp;IFERROR(INDEX(SkillData,MATCH(INDEX(PalData,MATCH($B130,PalNames,0)+1,MATCH("Passive0a",PalData_Header,0)),SkillDataCodeName,0)+1,MATCH("Conditions",SkillData_Header,0))))</f>
        <v>#N/A</v>
      </c>
      <c r="V130" s="45" t="str">
        <f aca="false">IFERROR(__xludf.dummyfunction("IFERROR(INDEX(SkillData,MATCH(Arrayformula(ARRAY_CONSTRAIN(FILTER(INDIRECT(""PalData!""&amp;ADDRESS(MATCH(B130,PalNames,0)+1,(MATCH(""Passive0a"",PalData_Header,0)))&amp;"":""&amp;ADDRESS(MATCH(B130,PalNames,0)+1,(MATCH(""Passive0a"",PalData_Header,0))+4)),LEN(INDIRE"&amp;"CT(""PalData!""&amp;ADDRESS(MATCH(B130,PalNames,0)+1,(MATCH(""Passive0a"",PalData_Header,0)))&amp;"":""&amp;ADDRESS(MATCH(B130,PalNames,0)+1,(MATCH(""Passive0a"",PalData_Header,0))+4)))&gt;0),1,1)),SkillDataCodeName,0)+1,MATCH(""ValueType1"",SkillData_Header,0)))"),"")</f>
        <v/>
      </c>
      <c r="W130" s="45" t="n">
        <f aca="false">IFERROR(INDEX(SkillData,MATCH(INDEX(PalData,MATCH($B130,PalNames,0)+1,MATCH("Passive0a",PalData_Header,0)),SkillDataCodeName,0)+1,MATCH("EffectValue1",SkillData_Header,0)),)</f>
        <v>0</v>
      </c>
      <c r="X130" s="45" t="n">
        <f aca="false">IFERROR(INDEX(SkillData,MATCH(INDEX(PalData,MATCH($B130,PalNames,0)+1,MATCH("Passive1a",PalData_Header,0)),SkillDataCodeName,0)+1,MATCH("EffectValue1",SkillData_Header,0)),)</f>
        <v>0</v>
      </c>
      <c r="Y130" s="45" t="n">
        <f aca="false">IFERROR(INDEX(SkillData,MATCH(INDEX(PalData,MATCH($B130,PalNames,0)+1,MATCH("Passive2a",PalData_Header,0)),SkillDataCodeName,0)+1,MATCH("EffectValue1",SkillData_Header,0)),)</f>
        <v>0</v>
      </c>
      <c r="Z130" s="45" t="n">
        <f aca="false">IFERROR(INDEX(SkillData,MATCH(INDEX(PalData,MATCH($B130,PalNames,0)+1,MATCH("Passive3a",PalData_Header,0)),SkillDataCodeName,0)+1,MATCH("EffectValue1",SkillData_Header,0)),)</f>
        <v>0</v>
      </c>
      <c r="AA130" s="260" t="n">
        <f aca="false">IFERROR(INDEX(SkillData,MATCH(INDEX(PalData,MATCH($B130,PalNames,0)+1,MATCH("Passive4a",PalData_Header,0)),SkillDataCodeName,0)+1,MATCH("EffectValue1",SkillData_Header,0)),)</f>
        <v>0</v>
      </c>
      <c r="AB130" s="45" t="str">
        <f aca="false">IFERROR(__xludf.dummyfunction("IFERROR(INDEX(SkillData,MATCH(Arrayformula(ARRAY_CONSTRAIN(FILTER(INDIRECT(""PalData!""&amp;ADDRESS(MATCH(B130,PalNames,0)+1,(MATCH(""Passive0b"",PalData_Header,0)))&amp;"":""&amp;ADDRESS(MATCH(B130,PalNames,0)+1,(MATCH(""Passive0b"",PalData_Header,0))+4)),LEN(INDIRE"&amp;"CT(""PalData!""&amp;ADDRESS(MATCH(B130,PalNames,0)+1,(MATCH(""Passive0b"",PalData_Header,0)))&amp;"":""&amp;ADDRESS(MATCH(B130,PalNames,0)+1,(MATCH(""Passive0b"",PalData_Header,0))+4)))&gt;0),1,1)),SkillDataCodeName,0)+1,MATCH(""EffectTypeCombined"",SkillData_Header,0))"&amp;")"),"")</f>
        <v/>
      </c>
      <c r="AC130" s="45" t="str">
        <f aca="false">IFERROR(__xludf.dummyfunction("IFERROR(INDEX(SkillData,MATCH(Arrayformula(ARRAY_CONSTRAIN(FILTER(INDIRECT(""PalData!""&amp;ADDRESS(MATCH(B130,PalNames,0)+1,(MATCH(""Passive0b"",PalData_Header,0)))&amp;"":""&amp;ADDRESS(MATCH(B130,PalNames,0)+1,(MATCH(""Passive0b"",PalData_Header,0))+4)),LEN(INDIRE"&amp;"CT(""PalData!""&amp;ADDRESS(MATCH(B130,PalNames,0)+1,(MATCH(""Passive0b"",PalData_Header,0)))&amp;"":""&amp;ADDRESS(MATCH(B130,PalNames,0)+1,(MATCH(""Passive0b"",PalData_Header,0))+4)))&gt;0),1,1)),SkillDataCodeName,0)+1,MATCH(""TargetType1"",SkillData_Header,0)))"),"")</f>
        <v/>
      </c>
      <c r="AD130" s="45" t="e">
        <f aca="false" t="array" ref="AD130:AD130">IF(INDEX(PalData,MATCH($B130,PalNames,0)+1,MATCH("Passive0bCondition",PalData_Header,0))=IFERROR(INDEX(SkillData,MATCH(INDEX(PalData,MATCH($B130,PalNames,0)+1,MATCH("Passive0b",PalData_Header,0)),SkillDataCodeName,0)+1,MATCH("Conditions",SkillData_Header,0))),INDEX(PalData,MATCH($B130,PalNames,0)+1,MATCH("Passive0bCondition",PalData_Header,0)),INDEX(PalData,MATCH($B130,PalNames,0)+1,MATCH("Passive0bCondition",PalData_Header,0)) &amp; IF(ISBLANK(INDEX(PalData,MATCH($B130,PalNames,0)+1,MATCH("Passive0bCondition",PalData_Header,0))),," ")&amp;IFERROR(INDEX(SkillData,MATCH(INDEX(PalData,MATCH($B130,PalNames,0)+1,MATCH("Passive0b",PalData_Header,0)),SkillDataCodeName,0)+1,MATCH("Conditions",SkillData_Header,0))))</f>
        <v>#N/A</v>
      </c>
      <c r="AE130" s="45" t="str">
        <f aca="false">IFERROR(__xludf.dummyfunction("IFERROR(INDEX(SkillData,MATCH(Arrayformula(ARRAY_CONSTRAIN(FILTER(INDIRECT(""PalData!""&amp;ADDRESS(MATCH(B130,PalNames,0)+1,(MATCH(""Passive0b"",PalData_Header,0)))&amp;"":""&amp;ADDRESS(MATCH(B130,PalNames,0)+1,(MATCH(""Passive0b"",PalData_Header,0))+4)),LEN(INDIRE"&amp;"CT(""PalData!""&amp;ADDRESS(MATCH(B130,PalNames,0)+1,(MATCH(""Passive0b"",PalData_Header,0)))&amp;"":""&amp;ADDRESS(MATCH(B130,PalNames,0)+1,(MATCH(""Passive0b"",PalData_Header,0))+4)))&gt;0),1,1)),SkillDataCodeName,0)+1,MATCH(""ValueType1"",SkillData_Header,0)))"),"")</f>
        <v/>
      </c>
      <c r="AF130" s="45" t="n">
        <f aca="false">IFERROR(INDEX(SkillData,MATCH(INDEX(PalData,MATCH($B130,PalNames,0)+1,MATCH("Passive0b",PalData_Header,0)),SkillDataCodeName,0)+1,MATCH("EffectValue1",SkillData_Header,0)),)</f>
        <v>0</v>
      </c>
      <c r="AG130" s="45" t="n">
        <f aca="false">IFERROR(INDEX(SkillData,MATCH(INDEX(PalData,MATCH($B130,PalNames,0)+1,MATCH("Passive1b",PalData_Header,0)),SkillDataCodeName,0)+1,MATCH("EffectValue1",SkillData_Header,0)),)</f>
        <v>0</v>
      </c>
      <c r="AH130" s="45" t="n">
        <f aca="false">IFERROR(INDEX(SkillData,MATCH(INDEX(PalData,MATCH($B130,PalNames,0)+1,MATCH("Passive2b",PalData_Header,0)),SkillDataCodeName,0)+1,MATCH("EffectValue1",SkillData_Header,0)),)</f>
        <v>0</v>
      </c>
      <c r="AI130" s="45" t="n">
        <f aca="false">IFERROR(INDEX(SkillData,MATCH(INDEX(PalData,MATCH($B130,PalNames,0)+1,MATCH("Passive3b",PalData_Header,0)),SkillDataCodeName,0)+1,MATCH("EffectValue1",SkillData_Header,0)),)</f>
        <v>0</v>
      </c>
      <c r="AJ130" s="260" t="n">
        <f aca="false">IFERROR(INDEX(SkillData,MATCH(INDEX(PalData,MATCH($B130,PalNames,0)+1,MATCH("Passive4b",PalData_Header,0)),SkillDataCodeName,0)+1,MATCH("EffectValue1",SkillData_Header,0)),)</f>
        <v>0</v>
      </c>
      <c r="AK130" s="301" t="s">
        <v>392</v>
      </c>
    </row>
    <row r="131" customFormat="false" ht="15.75" hidden="false" customHeight="false" outlineLevel="0" collapsed="false">
      <c r="A131" s="302" t="n">
        <v>103</v>
      </c>
      <c r="B131" s="303" t="s">
        <v>68</v>
      </c>
      <c r="C131" s="48" t="str">
        <f aca="false" t="array" ref="C131:C131">IF(ISBLANK(INDEX(PalData,MATCH($B131,PalNames,0)+1,MATCH("ActiveSkill",PalData_Header,0))),INDEX(PalData,MATCH($B131,PalNames,0)+1,MATCH("SkillUnlock_",PalData_Header,0)),INDEX(PalData,MATCH($B131,PalNames,0)+1,MATCH("ActiveSkill",PalData_Header,0)))</f>
        <v>UniqueRideShooting_Minigun</v>
      </c>
      <c r="D131" s="48" t="s">
        <v>266</v>
      </c>
      <c r="E131" s="61" t="n">
        <f aca="false" t="array" ref="E131:E131">INDEX(PalData,MATCH($B131,PalNames,0)+1,MATCH("ActiveSkillBonus0",PalData_Header,0))</f>
        <v>6</v>
      </c>
      <c r="F131" s="61" t="n">
        <f aca="false" t="array" ref="F131:F131">INDEX(PalData,MATCH($B131,PalNames,0)+1,MATCH("ActiveSkillBonus1",PalData_Header,0))</f>
        <v>6.6</v>
      </c>
      <c r="G131" s="61" t="n">
        <f aca="false" t="array" ref="G131:G131">INDEX(PalData,MATCH($B131,PalNames,0)+1,MATCH("ActiveSkillBonus2",PalData_Header,0))</f>
        <v>7.8</v>
      </c>
      <c r="H131" s="61" t="n">
        <f aca="false" t="array" ref="H131:H131">INDEX(PalData,MATCH($B131,PalNames,0)+1,MATCH("ActiveSkillBonus3",PalData_Header,0))</f>
        <v>9.6</v>
      </c>
      <c r="I131" s="304" t="n">
        <f aca="false" t="array" ref="I131:I131">INDEX(PalData,MATCH($B131,PalNames,0)+1,MATCH("ActiveSkillBonus4",PalData_Header,0))</f>
        <v>12</v>
      </c>
      <c r="J131" s="48" t="str">
        <f aca="false">IFERROR(__xludf.dummyfunction("IFERROR(INDEX(SkillData,MATCH(Arrayformula(ARRAY_CONSTRAIN(FILTER(INDIRECT(""PalData!""&amp;ADDRESS(MATCH(B131,PalNames,0)+1,(MATCH(""Passive0c"",PalData_Header,0)))&amp;"":""&amp;ADDRESS(MATCH(B131,PalNames,0)+1,(MATCH(""Passive0c"",PalData_Header,0))+4)),LEN(INDIRE"&amp;"CT(""PalData!""&amp;ADDRESS(MATCH(B131,PalNames,0)+1,(MATCH(""Passive0c"",PalData_Header,0)))&amp;"":""&amp;ADDRESS(MATCH(B131,PalNames,0)+1,(MATCH(""Passive0c"",PalData_Header,0))+4)))&gt;0),1,1)),SkillDataCodeName,0)+1,MATCH(""EffectTypeCombined"",SkillData_Header,0))"&amp;")"),"")</f>
        <v/>
      </c>
      <c r="K131" s="48" t="str">
        <f aca="false">IFERROR(__xludf.dummyfunction("IFERROR(INDEX(SkillData,MATCH(Arrayformula(ARRAY_CONSTRAIN(FILTER(INDIRECT(""PalData!""&amp;ADDRESS(MATCH(B131,PalNames,0)+1,(MATCH(""Passive0c"",PalData_Header,0)))&amp;"":""&amp;ADDRESS(MATCH(B131,PalNames,0)+1,(MATCH(""Passive0c"",PalData_Header,0))+4)),LEN(INDIRE"&amp;"CT(""PalData!""&amp;ADDRESS(MATCH(B131,PalNames,0)+1,(MATCH(""Passive0c"",PalData_Header,0)))&amp;"":""&amp;ADDRESS(MATCH(B131,PalNames,0)+1,(MATCH(""Passive0c"",PalData_Header,0))+4)))&gt;0),1,1)),SkillDataCodeName,0)+1,MATCH(""TargetType1"",SkillData_Header,0)))"),"")</f>
        <v/>
      </c>
      <c r="L131" s="48" t="e">
        <f aca="false" t="array" ref="L131:L131">IF(INDEX(PalData,MATCH($B131,PalNames,0)+1,MATCH("Passive0cCondition",PalData_Header,0))=IFERROR(INDEX(SkillData,MATCH(INDEX(PalData,MATCH($B131,PalNames,0)+1,MATCH("Passive0c",PalData_Header,0)),SkillDataCodeName,0)+1,MATCH("Conditions",SkillData_Header,0))),INDEX(PalData,MATCH($B131,PalNames,0)+1,MATCH("Passive0cCondition",PalData_Header,0)),INDEX(PalData,MATCH($B131,PalNames,0)+1,MATCH("Passive0cCondition",PalData_Header,0)) &amp; IF(ISBLANK(INDEX(PalData,MATCH($B131,PalNames,0)+1,MATCH("Passive0cCondition",PalData_Header,0))),," ")&amp;IFERROR(INDEX(SkillData,MATCH(INDEX(PalData,MATCH($B131,PalNames,0)+1,MATCH("Passive0c",PalData_Header,0)),SkillDataCodeName,0)+1,MATCH("Conditions",SkillData_Header,0))))</f>
        <v>#N/A</v>
      </c>
      <c r="M131" s="48" t="str">
        <f aca="false">IFERROR(__xludf.dummyfunction("IFERROR(INDEX(SkillData,MATCH(Arrayformula(ARRAY_CONSTRAIN(FILTER(INDIRECT(""PalData!""&amp;ADDRESS(MATCH(B131,PalNames,0)+1,(MATCH(""Passive0c"",PalData_Header,0)))&amp;"":""&amp;ADDRESS(MATCH(B131,PalNames,0)+1,(MATCH(""Passive0c"",PalData_Header,0))+4)),LEN(INDIRE"&amp;"CT(""PalData!""&amp;ADDRESS(MATCH(B131,PalNames,0)+1,(MATCH(""Passive0c"",PalData_Header,0)))&amp;"":""&amp;ADDRESS(MATCH(B131,PalNames,0)+1,(MATCH(""Passive0c"",PalData_Header,0))+4)))&gt;0),1,1)),SkillDataCodeName,0)+1,MATCH(""ValueType1"",SkillData_Header,0)))"),"")</f>
        <v/>
      </c>
      <c r="N131" s="48" t="e">
        <f aca="false" t="array" ref="N131:N131">IFERROR(INDEX(SkillData,MATCH(INDEX(PalData,MATCH($B131,PalNames,0)+1,MATCH("Passive0c",PalData_Header,0)),SkillDataCodeName,0)+1,MATCH("EffectValue1",SkillData_Header,0)))</f>
        <v>#VALUE!</v>
      </c>
      <c r="O131" s="48" t="e">
        <f aca="false" t="array" ref="O131:O131">IFERROR(INDEX(SkillData,MATCH(INDEX(PalData,MATCH($B131,PalNames,0)+1,MATCH("Passive1c",PalData_Header,0)),SkillDataCodeName,0)+1,MATCH("EffectValue1",SkillData_Header,0)))</f>
        <v>#VALUE!</v>
      </c>
      <c r="P131" s="48" t="e">
        <f aca="false" t="array" ref="P131:P131">IFERROR(INDEX(SkillData,MATCH(INDEX(PalData,MATCH($B131,PalNames,0)+1,MATCH("Passive2c",PalData_Header,0)),SkillDataCodeName,0)+1,MATCH("EffectValue1",SkillData_Header,0)))</f>
        <v>#VALUE!</v>
      </c>
      <c r="Q131" s="48" t="e">
        <f aca="false" t="array" ref="Q131:Q131">IFERROR(INDEX(SkillData,MATCH(INDEX(PalData,MATCH($B131,PalNames,0)+1,MATCH("Passive3c",PalData_Header,0)),SkillDataCodeName,0)+1,MATCH("EffectValue1",SkillData_Header,0)))</f>
        <v>#VALUE!</v>
      </c>
      <c r="R131" s="263" t="e">
        <f aca="false" t="array" ref="R131:R131">IFERROR(INDEX(SkillData,MATCH(INDEX(PalData,MATCH($B131,PalNames,0)+1,MATCH("Passive4c",PalData_Header,0)),SkillDataCodeName,0)+1,MATCH("EffectValue1",SkillData_Header,0)))</f>
        <v>#VALUE!</v>
      </c>
      <c r="S131" s="48" t="str">
        <f aca="false">IFERROR(__xludf.dummyfunction("IFERROR(INDEX(SkillData,MATCH(Arrayformula(ARRAY_CONSTRAIN(FILTER(INDIRECT(""PalData!""&amp;ADDRESS(MATCH(B131,PalNames,0)+1,(MATCH(""Passive0a"",PalData_Header,0)))&amp;"":""&amp;ADDRESS(MATCH(B131,PalNames,0)+1,(MATCH(""Passive0a"",PalData_Header,0))+4)),LEN(INDIRE"&amp;"CT(""PalData!""&amp;ADDRESS(MATCH(B131,PalNames,0)+1,(MATCH(""Passive0a"",PalData_Header,0)))&amp;"":""&amp;ADDRESS(MATCH(B131,PalNames,0)+1,(MATCH(""Passive0a"",PalData_Header,0))+4)))&gt;0),1,1)),SkillDataCodeName,0)+1,MATCH(""EffectTypeCombined"",SkillData_Header,0))"&amp;")"),"")</f>
        <v/>
      </c>
      <c r="T131" s="48" t="str">
        <f aca="false">IFERROR(__xludf.dummyfunction("IFERROR(INDEX(SkillData,MATCH(Arrayformula(ARRAY_CONSTRAIN(FILTER(INDIRECT(""PalData!""&amp;ADDRESS(MATCH(B131,PalNames,0)+1,(MATCH(""Passive0a"",PalData_Header,0)))&amp;"":""&amp;ADDRESS(MATCH(B131,PalNames,0)+1,(MATCH(""Passive0a"",PalData_Header,0))+4)),LEN(INDIRE"&amp;"CT(""PalData!""&amp;ADDRESS(MATCH(B131,PalNames,0)+1,(MATCH(""Passive0a"",PalData_Header,0)))&amp;"":""&amp;ADDRESS(MATCH(B131,PalNames,0)+1,(MATCH(""Passive0a"",PalData_Header,0))+4)))&gt;0),1,1)),SkillDataCodeName,0)+1,MATCH(""TargetType1"",SkillData_Header,0)))"),"")</f>
        <v/>
      </c>
      <c r="U131" s="48" t="e">
        <f aca="false" t="array" ref="U131:U131">IF(INDEX(PalData,MATCH($B131,PalNames,0)+1,MATCH("Passive0aCondition",PalData_Header,0))=IFERROR(INDEX(SkillData,MATCH(INDEX(PalData,MATCH($B131,PalNames,0)+1,MATCH("Passive0a",PalData_Header,0)),SkillDataCodeName,0)+1,MATCH("Conditions",SkillData_Header,0))),INDEX(PalData,MATCH($B131,PalNames,0)+1,MATCH("Passive0aCondition",PalData_Header,0)),INDEX(PalData,MATCH($B131,PalNames,0)+1,MATCH("Passive0aCondition",PalData_Header,0)) &amp; IF(ISBLANK(INDEX(PalData,MATCH($B131,PalNames,0)+1,MATCH("Passive0aCondition",PalData_Header,0))),," ")&amp;IFERROR(INDEX(SkillData,MATCH(INDEX(PalData,MATCH($B131,PalNames,0)+1,MATCH("Passive0a",PalData_Header,0)),SkillDataCodeName,0)+1,MATCH("Conditions",SkillData_Header,0))))</f>
        <v>#N/A</v>
      </c>
      <c r="V131" s="48" t="str">
        <f aca="false">IFERROR(__xludf.dummyfunction("IFERROR(INDEX(SkillData,MATCH(Arrayformula(ARRAY_CONSTRAIN(FILTER(INDIRECT(""PalData!""&amp;ADDRESS(MATCH(B131,PalNames,0)+1,(MATCH(""Passive0a"",PalData_Header,0)))&amp;"":""&amp;ADDRESS(MATCH(B131,PalNames,0)+1,(MATCH(""Passive0a"",PalData_Header,0))+4)),LEN(INDIRE"&amp;"CT(""PalData!""&amp;ADDRESS(MATCH(B131,PalNames,0)+1,(MATCH(""Passive0a"",PalData_Header,0)))&amp;"":""&amp;ADDRESS(MATCH(B131,PalNames,0)+1,(MATCH(""Passive0a"",PalData_Header,0))+4)))&gt;0),1,1)),SkillDataCodeName,0)+1,MATCH(""ValueType1"",SkillData_Header,0)))"),"")</f>
        <v/>
      </c>
      <c r="W131" s="48" t="n">
        <f aca="false">IFERROR(INDEX(SkillData,MATCH(INDEX(PalData,MATCH($B131,PalNames,0)+1,MATCH("Passive0a",PalData_Header,0)),SkillDataCodeName,0)+1,MATCH("EffectValue1",SkillData_Header,0)),)</f>
        <v>0</v>
      </c>
      <c r="X131" s="48" t="n">
        <f aca="false">IFERROR(INDEX(SkillData,MATCH(INDEX(PalData,MATCH($B131,PalNames,0)+1,MATCH("Passive1a",PalData_Header,0)),SkillDataCodeName,0)+1,MATCH("EffectValue1",SkillData_Header,0)),)</f>
        <v>0</v>
      </c>
      <c r="Y131" s="48" t="n">
        <f aca="false">IFERROR(INDEX(SkillData,MATCH(INDEX(PalData,MATCH($B131,PalNames,0)+1,MATCH("Passive2a",PalData_Header,0)),SkillDataCodeName,0)+1,MATCH("EffectValue1",SkillData_Header,0)),)</f>
        <v>0</v>
      </c>
      <c r="Z131" s="48" t="n">
        <f aca="false">IFERROR(INDEX(SkillData,MATCH(INDEX(PalData,MATCH($B131,PalNames,0)+1,MATCH("Passive3a",PalData_Header,0)),SkillDataCodeName,0)+1,MATCH("EffectValue1",SkillData_Header,0)),)</f>
        <v>0</v>
      </c>
      <c r="AA131" s="263" t="n">
        <f aca="false">IFERROR(INDEX(SkillData,MATCH(INDEX(PalData,MATCH($B131,PalNames,0)+1,MATCH("Passive4a",PalData_Header,0)),SkillDataCodeName,0)+1,MATCH("EffectValue1",SkillData_Header,0)),)</f>
        <v>0</v>
      </c>
      <c r="AB131" s="48" t="str">
        <f aca="false">IFERROR(__xludf.dummyfunction("IFERROR(INDEX(SkillData,MATCH(Arrayformula(ARRAY_CONSTRAIN(FILTER(INDIRECT(""PalData!""&amp;ADDRESS(MATCH(B131,PalNames,0)+1,(MATCH(""Passive0b"",PalData_Header,0)))&amp;"":""&amp;ADDRESS(MATCH(B131,PalNames,0)+1,(MATCH(""Passive0b"",PalData_Header,0))+4)),LEN(INDIRE"&amp;"CT(""PalData!""&amp;ADDRESS(MATCH(B131,PalNames,0)+1,(MATCH(""Passive0b"",PalData_Header,0)))&amp;"":""&amp;ADDRESS(MATCH(B131,PalNames,0)+1,(MATCH(""Passive0b"",PalData_Header,0))+4)))&gt;0),1,1)),SkillDataCodeName,0)+1,MATCH(""EffectTypeCombined"",SkillData_Header,0))"&amp;")"),"")</f>
        <v/>
      </c>
      <c r="AC131" s="48" t="str">
        <f aca="false">IFERROR(__xludf.dummyfunction("IFERROR(INDEX(SkillData,MATCH(Arrayformula(ARRAY_CONSTRAIN(FILTER(INDIRECT(""PalData!""&amp;ADDRESS(MATCH(B131,PalNames,0)+1,(MATCH(""Passive0b"",PalData_Header,0)))&amp;"":""&amp;ADDRESS(MATCH(B131,PalNames,0)+1,(MATCH(""Passive0b"",PalData_Header,0))+4)),LEN(INDIRE"&amp;"CT(""PalData!""&amp;ADDRESS(MATCH(B131,PalNames,0)+1,(MATCH(""Passive0b"",PalData_Header,0)))&amp;"":""&amp;ADDRESS(MATCH(B131,PalNames,0)+1,(MATCH(""Passive0b"",PalData_Header,0))+4)))&gt;0),1,1)),SkillDataCodeName,0)+1,MATCH(""TargetType1"",SkillData_Header,0)))"),"")</f>
        <v/>
      </c>
      <c r="AD131" s="48" t="e">
        <f aca="false" t="array" ref="AD131:AD131">IF(INDEX(PalData,MATCH($B131,PalNames,0)+1,MATCH("Passive0bCondition",PalData_Header,0))=IFERROR(INDEX(SkillData,MATCH(INDEX(PalData,MATCH($B131,PalNames,0)+1,MATCH("Passive0b",PalData_Header,0)),SkillDataCodeName,0)+1,MATCH("Conditions",SkillData_Header,0))),INDEX(PalData,MATCH($B131,PalNames,0)+1,MATCH("Passive0bCondition",PalData_Header,0)),INDEX(PalData,MATCH($B131,PalNames,0)+1,MATCH("Passive0bCondition",PalData_Header,0)) &amp; IF(ISBLANK(INDEX(PalData,MATCH($B131,PalNames,0)+1,MATCH("Passive0bCondition",PalData_Header,0))),," ")&amp;IFERROR(INDEX(SkillData,MATCH(INDEX(PalData,MATCH($B131,PalNames,0)+1,MATCH("Passive0b",PalData_Header,0)),SkillDataCodeName,0)+1,MATCH("Conditions",SkillData_Header,0))))</f>
        <v>#N/A</v>
      </c>
      <c r="AE131" s="48" t="str">
        <f aca="false">IFERROR(__xludf.dummyfunction("IFERROR(INDEX(SkillData,MATCH(Arrayformula(ARRAY_CONSTRAIN(FILTER(INDIRECT(""PalData!""&amp;ADDRESS(MATCH(B131,PalNames,0)+1,(MATCH(""Passive0b"",PalData_Header,0)))&amp;"":""&amp;ADDRESS(MATCH(B131,PalNames,0)+1,(MATCH(""Passive0b"",PalData_Header,0))+4)),LEN(INDIRE"&amp;"CT(""PalData!""&amp;ADDRESS(MATCH(B131,PalNames,0)+1,(MATCH(""Passive0b"",PalData_Header,0)))&amp;"":""&amp;ADDRESS(MATCH(B131,PalNames,0)+1,(MATCH(""Passive0b"",PalData_Header,0))+4)))&gt;0),1,1)),SkillDataCodeName,0)+1,MATCH(""ValueType1"",SkillData_Header,0)))"),"")</f>
        <v/>
      </c>
      <c r="AF131" s="48" t="n">
        <f aca="false">IFERROR(INDEX(SkillData,MATCH(INDEX(PalData,MATCH($B131,PalNames,0)+1,MATCH("Passive0b",PalData_Header,0)),SkillDataCodeName,0)+1,MATCH("EffectValue1",SkillData_Header,0)),)</f>
        <v>0</v>
      </c>
      <c r="AG131" s="48" t="n">
        <f aca="false">IFERROR(INDEX(SkillData,MATCH(INDEX(PalData,MATCH($B131,PalNames,0)+1,MATCH("Passive1b",PalData_Header,0)),SkillDataCodeName,0)+1,MATCH("EffectValue1",SkillData_Header,0)),)</f>
        <v>0</v>
      </c>
      <c r="AH131" s="48" t="n">
        <f aca="false">IFERROR(INDEX(SkillData,MATCH(INDEX(PalData,MATCH($B131,PalNames,0)+1,MATCH("Passive2b",PalData_Header,0)),SkillDataCodeName,0)+1,MATCH("EffectValue1",SkillData_Header,0)),)</f>
        <v>0</v>
      </c>
      <c r="AI131" s="48" t="n">
        <f aca="false">IFERROR(INDEX(SkillData,MATCH(INDEX(PalData,MATCH($B131,PalNames,0)+1,MATCH("Passive3b",PalData_Header,0)),SkillDataCodeName,0)+1,MATCH("EffectValue1",SkillData_Header,0)),)</f>
        <v>0</v>
      </c>
      <c r="AJ131" s="263" t="n">
        <f aca="false">IFERROR(INDEX(SkillData,MATCH(INDEX(PalData,MATCH($B131,PalNames,0)+1,MATCH("Passive4b",PalData_Header,0)),SkillDataCodeName,0)+1,MATCH("EffectValue1",SkillData_Header,0)),)</f>
        <v>0</v>
      </c>
      <c r="AK131" s="305" t="s">
        <v>393</v>
      </c>
    </row>
    <row r="132" customFormat="false" ht="15.75" hidden="false" customHeight="false" outlineLevel="0" collapsed="false">
      <c r="A132" s="299" t="n">
        <v>104</v>
      </c>
      <c r="B132" s="300" t="s">
        <v>97</v>
      </c>
      <c r="C132" s="45" t="str">
        <f aca="false" t="array" ref="C132:C132">IF(ISBLANK(INDEX(PalData,MATCH($B132,PalNames,0)+1,MATCH("ActiveSkill",PalData_Header,0))),INDEX(PalData,MATCH($B132,PalNames,0)+1,MATCH("SkillUnlock_",PalData_Header,0)),INDEX(PalData,MATCH($B132,PalNames,0)+1,MATCH("ActiveSkill",PalData_Header,0)))</f>
        <v>Heal_LilyQueen</v>
      </c>
      <c r="D132" s="45" t="s">
        <v>282</v>
      </c>
      <c r="E132" s="62" t="n">
        <f aca="false" t="array" ref="E132:E132">INDEX(PalData,MATCH($B132,PalNames,0)+1,MATCH("ActiveSkillBonus0",PalData_Header,0))</f>
        <v>1000</v>
      </c>
      <c r="F132" s="62" t="n">
        <f aca="false" t="array" ref="F132:F132">INDEX(PalData,MATCH($B132,PalNames,0)+1,MATCH("ActiveSkillBonus1",PalData_Header,0))</f>
        <v>1100</v>
      </c>
      <c r="G132" s="62" t="n">
        <f aca="false" t="array" ref="G132:G132">INDEX(PalData,MATCH($B132,PalNames,0)+1,MATCH("ActiveSkillBonus2",PalData_Header,0))</f>
        <v>1300</v>
      </c>
      <c r="H132" s="62" t="n">
        <f aca="false" t="array" ref="H132:H132">INDEX(PalData,MATCH($B132,PalNames,0)+1,MATCH("ActiveSkillBonus3",PalData_Header,0))</f>
        <v>1600</v>
      </c>
      <c r="I132" s="306" t="n">
        <f aca="false" t="array" ref="I132:I132">INDEX(PalData,MATCH($B132,PalNames,0)+1,MATCH("ActiveSkillBonus4",PalData_Header,0))</f>
        <v>2000</v>
      </c>
      <c r="J132" s="45" t="str">
        <f aca="false">IFERROR(__xludf.dummyfunction("IFERROR(INDEX(SkillData,MATCH(Arrayformula(ARRAY_CONSTRAIN(FILTER(INDIRECT(""PalData!""&amp;ADDRESS(MATCH(B132,PalNames,0)+1,(MATCH(""Passive0c"",PalData_Header,0)))&amp;"":""&amp;ADDRESS(MATCH(B132,PalNames,0)+1,(MATCH(""Passive0c"",PalData_Header,0))+4)),LEN(INDIRE"&amp;"CT(""PalData!""&amp;ADDRESS(MATCH(B132,PalNames,0)+1,(MATCH(""Passive0c"",PalData_Header,0)))&amp;"":""&amp;ADDRESS(MATCH(B132,PalNames,0)+1,(MATCH(""Passive0c"",PalData_Header,0))+4)))&gt;0),1,1)),SkillDataCodeName,0)+1,MATCH(""EffectTypeCombined"",SkillData_Header,0))"&amp;")"),"")</f>
        <v/>
      </c>
      <c r="K132" s="45" t="str">
        <f aca="false">IFERROR(__xludf.dummyfunction("IFERROR(INDEX(SkillData,MATCH(Arrayformula(ARRAY_CONSTRAIN(FILTER(INDIRECT(""PalData!""&amp;ADDRESS(MATCH(B132,PalNames,0)+1,(MATCH(""Passive0c"",PalData_Header,0)))&amp;"":""&amp;ADDRESS(MATCH(B132,PalNames,0)+1,(MATCH(""Passive0c"",PalData_Header,0))+4)),LEN(INDIRE"&amp;"CT(""PalData!""&amp;ADDRESS(MATCH(B132,PalNames,0)+1,(MATCH(""Passive0c"",PalData_Header,0)))&amp;"":""&amp;ADDRESS(MATCH(B132,PalNames,0)+1,(MATCH(""Passive0c"",PalData_Header,0))+4)))&gt;0),1,1)),SkillDataCodeName,0)+1,MATCH(""TargetType1"",SkillData_Header,0)))"),"")</f>
        <v/>
      </c>
      <c r="L132" s="45" t="e">
        <f aca="false" t="array" ref="L132:L132">IF(INDEX(PalData,MATCH($B132,PalNames,0)+1,MATCH("Passive0cCondition",PalData_Header,0))=IFERROR(INDEX(SkillData,MATCH(INDEX(PalData,MATCH($B132,PalNames,0)+1,MATCH("Passive0c",PalData_Header,0)),SkillDataCodeName,0)+1,MATCH("Conditions",SkillData_Header,0))),INDEX(PalData,MATCH($B132,PalNames,0)+1,MATCH("Passive0cCondition",PalData_Header,0)),INDEX(PalData,MATCH($B132,PalNames,0)+1,MATCH("Passive0cCondition",PalData_Header,0)) &amp; IF(ISBLANK(INDEX(PalData,MATCH($B132,PalNames,0)+1,MATCH("Passive0cCondition",PalData_Header,0))),," ")&amp;IFERROR(INDEX(SkillData,MATCH(INDEX(PalData,MATCH($B132,PalNames,0)+1,MATCH("Passive0c",PalData_Header,0)),SkillDataCodeName,0)+1,MATCH("Conditions",SkillData_Header,0))))</f>
        <v>#N/A</v>
      </c>
      <c r="M132" s="45" t="str">
        <f aca="false">IFERROR(__xludf.dummyfunction("IFERROR(INDEX(SkillData,MATCH(Arrayformula(ARRAY_CONSTRAIN(FILTER(INDIRECT(""PalData!""&amp;ADDRESS(MATCH(B132,PalNames,0)+1,(MATCH(""Passive0c"",PalData_Header,0)))&amp;"":""&amp;ADDRESS(MATCH(B132,PalNames,0)+1,(MATCH(""Passive0c"",PalData_Header,0))+4)),LEN(INDIRE"&amp;"CT(""PalData!""&amp;ADDRESS(MATCH(B132,PalNames,0)+1,(MATCH(""Passive0c"",PalData_Header,0)))&amp;"":""&amp;ADDRESS(MATCH(B132,PalNames,0)+1,(MATCH(""Passive0c"",PalData_Header,0))+4)))&gt;0),1,1)),SkillDataCodeName,0)+1,MATCH(""ValueType1"",SkillData_Header,0)))"),"")</f>
        <v/>
      </c>
      <c r="N132" s="45" t="e">
        <f aca="false" t="array" ref="N132:N132">IFERROR(INDEX(SkillData,MATCH(INDEX(PalData,MATCH($B132,PalNames,0)+1,MATCH("Passive0c",PalData_Header,0)),SkillDataCodeName,0)+1,MATCH("EffectValue1",SkillData_Header,0)))</f>
        <v>#VALUE!</v>
      </c>
      <c r="O132" s="45" t="e">
        <f aca="false" t="array" ref="O132:O132">IFERROR(INDEX(SkillData,MATCH(INDEX(PalData,MATCH($B132,PalNames,0)+1,MATCH("Passive1c",PalData_Header,0)),SkillDataCodeName,0)+1,MATCH("EffectValue1",SkillData_Header,0)))</f>
        <v>#VALUE!</v>
      </c>
      <c r="P132" s="45" t="e">
        <f aca="false" t="array" ref="P132:P132">IFERROR(INDEX(SkillData,MATCH(INDEX(PalData,MATCH($B132,PalNames,0)+1,MATCH("Passive2c",PalData_Header,0)),SkillDataCodeName,0)+1,MATCH("EffectValue1",SkillData_Header,0)))</f>
        <v>#VALUE!</v>
      </c>
      <c r="Q132" s="45" t="e">
        <f aca="false" t="array" ref="Q132:Q132">IFERROR(INDEX(SkillData,MATCH(INDEX(PalData,MATCH($B132,PalNames,0)+1,MATCH("Passive3c",PalData_Header,0)),SkillDataCodeName,0)+1,MATCH("EffectValue1",SkillData_Header,0)))</f>
        <v>#VALUE!</v>
      </c>
      <c r="R132" s="260" t="e">
        <f aca="false" t="array" ref="R132:R132">IFERROR(INDEX(SkillData,MATCH(INDEX(PalData,MATCH($B132,PalNames,0)+1,MATCH("Passive4c",PalData_Header,0)),SkillDataCodeName,0)+1,MATCH("EffectValue1",SkillData_Header,0)))</f>
        <v>#VALUE!</v>
      </c>
      <c r="S132" s="45" t="str">
        <f aca="false">IFERROR(__xludf.dummyfunction("IFERROR(INDEX(SkillData,MATCH(Arrayformula(ARRAY_CONSTRAIN(FILTER(INDIRECT(""PalData!""&amp;ADDRESS(MATCH(B132,PalNames,0)+1,(MATCH(""Passive0a"",PalData_Header,0)))&amp;"":""&amp;ADDRESS(MATCH(B132,PalNames,0)+1,(MATCH(""Passive0a"",PalData_Header,0))+4)),LEN(INDIRE"&amp;"CT(""PalData!""&amp;ADDRESS(MATCH(B132,PalNames,0)+1,(MATCH(""Passive0a"",PalData_Header,0)))&amp;"":""&amp;ADDRESS(MATCH(B132,PalNames,0)+1,(MATCH(""Passive0a"",PalData_Header,0))+4)))&gt;0),1,1)),SkillDataCodeName,0)+1,MATCH(""EffectTypeCombined"",SkillData_Header,0))"&amp;")"),"")</f>
        <v/>
      </c>
      <c r="T132" s="45" t="str">
        <f aca="false">IFERROR(__xludf.dummyfunction("IFERROR(INDEX(SkillData,MATCH(Arrayformula(ARRAY_CONSTRAIN(FILTER(INDIRECT(""PalData!""&amp;ADDRESS(MATCH(B132,PalNames,0)+1,(MATCH(""Passive0a"",PalData_Header,0)))&amp;"":""&amp;ADDRESS(MATCH(B132,PalNames,0)+1,(MATCH(""Passive0a"",PalData_Header,0))+4)),LEN(INDIRE"&amp;"CT(""PalData!""&amp;ADDRESS(MATCH(B132,PalNames,0)+1,(MATCH(""Passive0a"",PalData_Header,0)))&amp;"":""&amp;ADDRESS(MATCH(B132,PalNames,0)+1,(MATCH(""Passive0a"",PalData_Header,0))+4)))&gt;0),1,1)),SkillDataCodeName,0)+1,MATCH(""TargetType1"",SkillData_Header,0)))"),"")</f>
        <v/>
      </c>
      <c r="U132" s="45" t="e">
        <f aca="false" t="array" ref="U132:U132">IF(INDEX(PalData,MATCH($B132,PalNames,0)+1,MATCH("Passive0aCondition",PalData_Header,0))=IFERROR(INDEX(SkillData,MATCH(INDEX(PalData,MATCH($B132,PalNames,0)+1,MATCH("Passive0a",PalData_Header,0)),SkillDataCodeName,0)+1,MATCH("Conditions",SkillData_Header,0))),INDEX(PalData,MATCH($B132,PalNames,0)+1,MATCH("Passive0aCondition",PalData_Header,0)),INDEX(PalData,MATCH($B132,PalNames,0)+1,MATCH("Passive0aCondition",PalData_Header,0)) &amp; IF(ISBLANK(INDEX(PalData,MATCH($B132,PalNames,0)+1,MATCH("Passive0aCondition",PalData_Header,0))),," ")&amp;IFERROR(INDEX(SkillData,MATCH(INDEX(PalData,MATCH($B132,PalNames,0)+1,MATCH("Passive0a",PalData_Header,0)),SkillDataCodeName,0)+1,MATCH("Conditions",SkillData_Header,0))))</f>
        <v>#N/A</v>
      </c>
      <c r="V132" s="45" t="str">
        <f aca="false">IFERROR(__xludf.dummyfunction("IFERROR(INDEX(SkillData,MATCH(Arrayformula(ARRAY_CONSTRAIN(FILTER(INDIRECT(""PalData!""&amp;ADDRESS(MATCH(B132,PalNames,0)+1,(MATCH(""Passive0a"",PalData_Header,0)))&amp;"":""&amp;ADDRESS(MATCH(B132,PalNames,0)+1,(MATCH(""Passive0a"",PalData_Header,0))+4)),LEN(INDIRE"&amp;"CT(""PalData!""&amp;ADDRESS(MATCH(B132,PalNames,0)+1,(MATCH(""Passive0a"",PalData_Header,0)))&amp;"":""&amp;ADDRESS(MATCH(B132,PalNames,0)+1,(MATCH(""Passive0a"",PalData_Header,0))+4)))&gt;0),1,1)),SkillDataCodeName,0)+1,MATCH(""ValueType1"",SkillData_Header,0)))"),"")</f>
        <v/>
      </c>
      <c r="W132" s="45" t="n">
        <f aca="false">IFERROR(INDEX(SkillData,MATCH(INDEX(PalData,MATCH($B132,PalNames,0)+1,MATCH("Passive0a",PalData_Header,0)),SkillDataCodeName,0)+1,MATCH("EffectValue1",SkillData_Header,0)),)</f>
        <v>0</v>
      </c>
      <c r="X132" s="45" t="n">
        <f aca="false">IFERROR(INDEX(SkillData,MATCH(INDEX(PalData,MATCH($B132,PalNames,0)+1,MATCH("Passive1a",PalData_Header,0)),SkillDataCodeName,0)+1,MATCH("EffectValue1",SkillData_Header,0)),)</f>
        <v>0</v>
      </c>
      <c r="Y132" s="45" t="n">
        <f aca="false">IFERROR(INDEX(SkillData,MATCH(INDEX(PalData,MATCH($B132,PalNames,0)+1,MATCH("Passive2a",PalData_Header,0)),SkillDataCodeName,0)+1,MATCH("EffectValue1",SkillData_Header,0)),)</f>
        <v>0</v>
      </c>
      <c r="Z132" s="45" t="n">
        <f aca="false">IFERROR(INDEX(SkillData,MATCH(INDEX(PalData,MATCH($B132,PalNames,0)+1,MATCH("Passive3a",PalData_Header,0)),SkillDataCodeName,0)+1,MATCH("EffectValue1",SkillData_Header,0)),)</f>
        <v>0</v>
      </c>
      <c r="AA132" s="260" t="n">
        <f aca="false">IFERROR(INDEX(SkillData,MATCH(INDEX(PalData,MATCH($B132,PalNames,0)+1,MATCH("Passive4a",PalData_Header,0)),SkillDataCodeName,0)+1,MATCH("EffectValue1",SkillData_Header,0)),)</f>
        <v>0</v>
      </c>
      <c r="AB132" s="45" t="str">
        <f aca="false">IFERROR(__xludf.dummyfunction("IFERROR(INDEX(SkillData,MATCH(Arrayformula(ARRAY_CONSTRAIN(FILTER(INDIRECT(""PalData!""&amp;ADDRESS(MATCH(B132,PalNames,0)+1,(MATCH(""Passive0b"",PalData_Header,0)))&amp;"":""&amp;ADDRESS(MATCH(B132,PalNames,0)+1,(MATCH(""Passive0b"",PalData_Header,0))+4)),LEN(INDIRE"&amp;"CT(""PalData!""&amp;ADDRESS(MATCH(B132,PalNames,0)+1,(MATCH(""Passive0b"",PalData_Header,0)))&amp;"":""&amp;ADDRESS(MATCH(B132,PalNames,0)+1,(MATCH(""Passive0b"",PalData_Header,0))+4)))&gt;0),1,1)),SkillDataCodeName,0)+1,MATCH(""EffectTypeCombined"",SkillData_Header,0))"&amp;")"),"")</f>
        <v/>
      </c>
      <c r="AC132" s="45" t="str">
        <f aca="false">IFERROR(__xludf.dummyfunction("IFERROR(INDEX(SkillData,MATCH(Arrayformula(ARRAY_CONSTRAIN(FILTER(INDIRECT(""PalData!""&amp;ADDRESS(MATCH(B132,PalNames,0)+1,(MATCH(""Passive0b"",PalData_Header,0)))&amp;"":""&amp;ADDRESS(MATCH(B132,PalNames,0)+1,(MATCH(""Passive0b"",PalData_Header,0))+4)),LEN(INDIRE"&amp;"CT(""PalData!""&amp;ADDRESS(MATCH(B132,PalNames,0)+1,(MATCH(""Passive0b"",PalData_Header,0)))&amp;"":""&amp;ADDRESS(MATCH(B132,PalNames,0)+1,(MATCH(""Passive0b"",PalData_Header,0))+4)))&gt;0),1,1)),SkillDataCodeName,0)+1,MATCH(""TargetType1"",SkillData_Header,0)))"),"")</f>
        <v/>
      </c>
      <c r="AD132" s="45" t="e">
        <f aca="false" t="array" ref="AD132:AD132">IF(INDEX(PalData,MATCH($B132,PalNames,0)+1,MATCH("Passive0bCondition",PalData_Header,0))=IFERROR(INDEX(SkillData,MATCH(INDEX(PalData,MATCH($B132,PalNames,0)+1,MATCH("Passive0b",PalData_Header,0)),SkillDataCodeName,0)+1,MATCH("Conditions",SkillData_Header,0))),INDEX(PalData,MATCH($B132,PalNames,0)+1,MATCH("Passive0bCondition",PalData_Header,0)),INDEX(PalData,MATCH($B132,PalNames,0)+1,MATCH("Passive0bCondition",PalData_Header,0)) &amp; IF(ISBLANK(INDEX(PalData,MATCH($B132,PalNames,0)+1,MATCH("Passive0bCondition",PalData_Header,0))),," ")&amp;IFERROR(INDEX(SkillData,MATCH(INDEX(PalData,MATCH($B132,PalNames,0)+1,MATCH("Passive0b",PalData_Header,0)),SkillDataCodeName,0)+1,MATCH("Conditions",SkillData_Header,0))))</f>
        <v>#N/A</v>
      </c>
      <c r="AE132" s="45" t="str">
        <f aca="false">IFERROR(__xludf.dummyfunction("IFERROR(INDEX(SkillData,MATCH(Arrayformula(ARRAY_CONSTRAIN(FILTER(INDIRECT(""PalData!""&amp;ADDRESS(MATCH(B132,PalNames,0)+1,(MATCH(""Passive0b"",PalData_Header,0)))&amp;"":""&amp;ADDRESS(MATCH(B132,PalNames,0)+1,(MATCH(""Passive0b"",PalData_Header,0))+4)),LEN(INDIRE"&amp;"CT(""PalData!""&amp;ADDRESS(MATCH(B132,PalNames,0)+1,(MATCH(""Passive0b"",PalData_Header,0)))&amp;"":""&amp;ADDRESS(MATCH(B132,PalNames,0)+1,(MATCH(""Passive0b"",PalData_Header,0))+4)))&gt;0),1,1)),SkillDataCodeName,0)+1,MATCH(""ValueType1"",SkillData_Header,0)))"),"")</f>
        <v/>
      </c>
      <c r="AF132" s="45" t="n">
        <f aca="false">IFERROR(INDEX(SkillData,MATCH(INDEX(PalData,MATCH($B132,PalNames,0)+1,MATCH("Passive0b",PalData_Header,0)),SkillDataCodeName,0)+1,MATCH("EffectValue1",SkillData_Header,0)),)</f>
        <v>0</v>
      </c>
      <c r="AG132" s="45" t="n">
        <f aca="false">IFERROR(INDEX(SkillData,MATCH(INDEX(PalData,MATCH($B132,PalNames,0)+1,MATCH("Passive1b",PalData_Header,0)),SkillDataCodeName,0)+1,MATCH("EffectValue1",SkillData_Header,0)),)</f>
        <v>0</v>
      </c>
      <c r="AH132" s="45" t="n">
        <f aca="false">IFERROR(INDEX(SkillData,MATCH(INDEX(PalData,MATCH($B132,PalNames,0)+1,MATCH("Passive2b",PalData_Header,0)),SkillDataCodeName,0)+1,MATCH("EffectValue1",SkillData_Header,0)),)</f>
        <v>0</v>
      </c>
      <c r="AI132" s="45" t="n">
        <f aca="false">IFERROR(INDEX(SkillData,MATCH(INDEX(PalData,MATCH($B132,PalNames,0)+1,MATCH("Passive3b",PalData_Header,0)),SkillDataCodeName,0)+1,MATCH("EffectValue1",SkillData_Header,0)),)</f>
        <v>0</v>
      </c>
      <c r="AJ132" s="260" t="n">
        <f aca="false">IFERROR(INDEX(SkillData,MATCH(INDEX(PalData,MATCH($B132,PalNames,0)+1,MATCH("Passive4b",PalData_Header,0)),SkillDataCodeName,0)+1,MATCH("EffectValue1",SkillData_Header,0)),)</f>
        <v>0</v>
      </c>
      <c r="AK132" s="301" t="s">
        <v>394</v>
      </c>
    </row>
    <row r="133" customFormat="false" ht="15.75" hidden="false" customHeight="false" outlineLevel="0" collapsed="false">
      <c r="A133" s="302" t="n">
        <v>104</v>
      </c>
      <c r="B133" s="303" t="s">
        <v>98</v>
      </c>
      <c r="C133" s="48" t="str">
        <f aca="false" t="array" ref="C133:C133">IF(ISBLANK(INDEX(PalData,MATCH($B133,PalNames,0)+1,MATCH("ActiveSkill",PalData_Header,0))),INDEX(PalData,MATCH($B133,PalNames,0)+1,MATCH("SkillUnlock_",PalData_Header,0)),INDEX(PalData,MATCH($B133,PalNames,0)+1,MATCH("ActiveSkill",PalData_Header,0)))</f>
        <v>Heal_LilyQueen</v>
      </c>
      <c r="D133" s="48" t="s">
        <v>282</v>
      </c>
      <c r="E133" s="61" t="n">
        <f aca="false" t="array" ref="E133:E133">INDEX(PalData,MATCH($B133,PalNames,0)+1,MATCH("ActiveSkillBonus0",PalData_Header,0))</f>
        <v>1000</v>
      </c>
      <c r="F133" s="61" t="n">
        <f aca="false" t="array" ref="F133:F133">INDEX(PalData,MATCH($B133,PalNames,0)+1,MATCH("ActiveSkillBonus1",PalData_Header,0))</f>
        <v>1100</v>
      </c>
      <c r="G133" s="61" t="n">
        <f aca="false" t="array" ref="G133:G133">INDEX(PalData,MATCH($B133,PalNames,0)+1,MATCH("ActiveSkillBonus2",PalData_Header,0))</f>
        <v>1300</v>
      </c>
      <c r="H133" s="61" t="n">
        <f aca="false" t="array" ref="H133:H133">INDEX(PalData,MATCH($B133,PalNames,0)+1,MATCH("ActiveSkillBonus3",PalData_Header,0))</f>
        <v>1600</v>
      </c>
      <c r="I133" s="304" t="n">
        <f aca="false" t="array" ref="I133:I133">INDEX(PalData,MATCH($B133,PalNames,0)+1,MATCH("ActiveSkillBonus4",PalData_Header,0))</f>
        <v>2000</v>
      </c>
      <c r="J133" s="48" t="str">
        <f aca="false">IFERROR(__xludf.dummyfunction("IFERROR(INDEX(SkillData,MATCH(Arrayformula(ARRAY_CONSTRAIN(FILTER(INDIRECT(""PalData!""&amp;ADDRESS(MATCH(B133,PalNames,0)+1,(MATCH(""Passive0c"",PalData_Header,0)))&amp;"":""&amp;ADDRESS(MATCH(B133,PalNames,0)+1,(MATCH(""Passive0c"",PalData_Header,0))+4)),LEN(INDIRE"&amp;"CT(""PalData!""&amp;ADDRESS(MATCH(B133,PalNames,0)+1,(MATCH(""Passive0c"",PalData_Header,0)))&amp;"":""&amp;ADDRESS(MATCH(B133,PalNames,0)+1,(MATCH(""Passive0c"",PalData_Header,0))+4)))&gt;0),1,1)),SkillDataCodeName,0)+1,MATCH(""EffectTypeCombined"",SkillData_Header,0))"&amp;")"),"")</f>
        <v/>
      </c>
      <c r="K133" s="48" t="str">
        <f aca="false">IFERROR(__xludf.dummyfunction("IFERROR(INDEX(SkillData,MATCH(Arrayformula(ARRAY_CONSTRAIN(FILTER(INDIRECT(""PalData!""&amp;ADDRESS(MATCH(B133,PalNames,0)+1,(MATCH(""Passive0c"",PalData_Header,0)))&amp;"":""&amp;ADDRESS(MATCH(B133,PalNames,0)+1,(MATCH(""Passive0c"",PalData_Header,0))+4)),LEN(INDIRE"&amp;"CT(""PalData!""&amp;ADDRESS(MATCH(B133,PalNames,0)+1,(MATCH(""Passive0c"",PalData_Header,0)))&amp;"":""&amp;ADDRESS(MATCH(B133,PalNames,0)+1,(MATCH(""Passive0c"",PalData_Header,0))+4)))&gt;0),1,1)),SkillDataCodeName,0)+1,MATCH(""TargetType1"",SkillData_Header,0)))"),"")</f>
        <v/>
      </c>
      <c r="L133" s="48" t="e">
        <f aca="false" t="array" ref="L133:L133">IF(INDEX(PalData,MATCH($B133,PalNames,0)+1,MATCH("Passive0cCondition",PalData_Header,0))=IFERROR(INDEX(SkillData,MATCH(INDEX(PalData,MATCH($B133,PalNames,0)+1,MATCH("Passive0c",PalData_Header,0)),SkillDataCodeName,0)+1,MATCH("Conditions",SkillData_Header,0))),INDEX(PalData,MATCH($B133,PalNames,0)+1,MATCH("Passive0cCondition",PalData_Header,0)),INDEX(PalData,MATCH($B133,PalNames,0)+1,MATCH("Passive0cCondition",PalData_Header,0)) &amp; IF(ISBLANK(INDEX(PalData,MATCH($B133,PalNames,0)+1,MATCH("Passive0cCondition",PalData_Header,0))),," ")&amp;IFERROR(INDEX(SkillData,MATCH(INDEX(PalData,MATCH($B133,PalNames,0)+1,MATCH("Passive0c",PalData_Header,0)),SkillDataCodeName,0)+1,MATCH("Conditions",SkillData_Header,0))))</f>
        <v>#N/A</v>
      </c>
      <c r="M133" s="48" t="str">
        <f aca="false">IFERROR(__xludf.dummyfunction("IFERROR(INDEX(SkillData,MATCH(Arrayformula(ARRAY_CONSTRAIN(FILTER(INDIRECT(""PalData!""&amp;ADDRESS(MATCH(B133,PalNames,0)+1,(MATCH(""Passive0c"",PalData_Header,0)))&amp;"":""&amp;ADDRESS(MATCH(B133,PalNames,0)+1,(MATCH(""Passive0c"",PalData_Header,0))+4)),LEN(INDIRE"&amp;"CT(""PalData!""&amp;ADDRESS(MATCH(B133,PalNames,0)+1,(MATCH(""Passive0c"",PalData_Header,0)))&amp;"":""&amp;ADDRESS(MATCH(B133,PalNames,0)+1,(MATCH(""Passive0c"",PalData_Header,0))+4)))&gt;0),1,1)),SkillDataCodeName,0)+1,MATCH(""ValueType1"",SkillData_Header,0)))"),"")</f>
        <v/>
      </c>
      <c r="N133" s="48" t="e">
        <f aca="false" t="array" ref="N133:N133">IFERROR(INDEX(SkillData,MATCH(INDEX(PalData,MATCH($B133,PalNames,0)+1,MATCH("Passive0c",PalData_Header,0)),SkillDataCodeName,0)+1,MATCH("EffectValue1",SkillData_Header,0)))</f>
        <v>#VALUE!</v>
      </c>
      <c r="O133" s="48" t="e">
        <f aca="false" t="array" ref="O133:O133">IFERROR(INDEX(SkillData,MATCH(INDEX(PalData,MATCH($B133,PalNames,0)+1,MATCH("Passive1c",PalData_Header,0)),SkillDataCodeName,0)+1,MATCH("EffectValue1",SkillData_Header,0)))</f>
        <v>#VALUE!</v>
      </c>
      <c r="P133" s="48" t="e">
        <f aca="false" t="array" ref="P133:P133">IFERROR(INDEX(SkillData,MATCH(INDEX(PalData,MATCH($B133,PalNames,0)+1,MATCH("Passive2c",PalData_Header,0)),SkillDataCodeName,0)+1,MATCH("EffectValue1",SkillData_Header,0)))</f>
        <v>#VALUE!</v>
      </c>
      <c r="Q133" s="48" t="e">
        <f aca="false" t="array" ref="Q133:Q133">IFERROR(INDEX(SkillData,MATCH(INDEX(PalData,MATCH($B133,PalNames,0)+1,MATCH("Passive3c",PalData_Header,0)),SkillDataCodeName,0)+1,MATCH("EffectValue1",SkillData_Header,0)))</f>
        <v>#VALUE!</v>
      </c>
      <c r="R133" s="263" t="e">
        <f aca="false" t="array" ref="R133:R133">IFERROR(INDEX(SkillData,MATCH(INDEX(PalData,MATCH($B133,PalNames,0)+1,MATCH("Passive4c",PalData_Header,0)),SkillDataCodeName,0)+1,MATCH("EffectValue1",SkillData_Header,0)))</f>
        <v>#VALUE!</v>
      </c>
      <c r="S133" s="48" t="str">
        <f aca="false">IFERROR(__xludf.dummyfunction("IFERROR(INDEX(SkillData,MATCH(Arrayformula(ARRAY_CONSTRAIN(FILTER(INDIRECT(""PalData!""&amp;ADDRESS(MATCH(B133,PalNames,0)+1,(MATCH(""Passive0a"",PalData_Header,0)))&amp;"":""&amp;ADDRESS(MATCH(B133,PalNames,0)+1,(MATCH(""Passive0a"",PalData_Header,0))+4)),LEN(INDIRE"&amp;"CT(""PalData!""&amp;ADDRESS(MATCH(B133,PalNames,0)+1,(MATCH(""Passive0a"",PalData_Header,0)))&amp;"":""&amp;ADDRESS(MATCH(B133,PalNames,0)+1,(MATCH(""Passive0a"",PalData_Header,0))+4)))&gt;0),1,1)),SkillDataCodeName,0)+1,MATCH(""EffectTypeCombined"",SkillData_Header,0))"&amp;")"),"")</f>
        <v/>
      </c>
      <c r="T133" s="48" t="str">
        <f aca="false">IFERROR(__xludf.dummyfunction("IFERROR(INDEX(SkillData,MATCH(Arrayformula(ARRAY_CONSTRAIN(FILTER(INDIRECT(""PalData!""&amp;ADDRESS(MATCH(B133,PalNames,0)+1,(MATCH(""Passive0a"",PalData_Header,0)))&amp;"":""&amp;ADDRESS(MATCH(B133,PalNames,0)+1,(MATCH(""Passive0a"",PalData_Header,0))+4)),LEN(INDIRE"&amp;"CT(""PalData!""&amp;ADDRESS(MATCH(B133,PalNames,0)+1,(MATCH(""Passive0a"",PalData_Header,0)))&amp;"":""&amp;ADDRESS(MATCH(B133,PalNames,0)+1,(MATCH(""Passive0a"",PalData_Header,0))+4)))&gt;0),1,1)),SkillDataCodeName,0)+1,MATCH(""TargetType1"",SkillData_Header,0)))"),"")</f>
        <v/>
      </c>
      <c r="U133" s="48" t="e">
        <f aca="false" t="array" ref="U133:U133">IF(INDEX(PalData,MATCH($B133,PalNames,0)+1,MATCH("Passive0aCondition",PalData_Header,0))=IFERROR(INDEX(SkillData,MATCH(INDEX(PalData,MATCH($B133,PalNames,0)+1,MATCH("Passive0a",PalData_Header,0)),SkillDataCodeName,0)+1,MATCH("Conditions",SkillData_Header,0))),INDEX(PalData,MATCH($B133,PalNames,0)+1,MATCH("Passive0aCondition",PalData_Header,0)),INDEX(PalData,MATCH($B133,PalNames,0)+1,MATCH("Passive0aCondition",PalData_Header,0)) &amp; IF(ISBLANK(INDEX(PalData,MATCH($B133,PalNames,0)+1,MATCH("Passive0aCondition",PalData_Header,0))),," ")&amp;IFERROR(INDEX(SkillData,MATCH(INDEX(PalData,MATCH($B133,PalNames,0)+1,MATCH("Passive0a",PalData_Header,0)),SkillDataCodeName,0)+1,MATCH("Conditions",SkillData_Header,0))))</f>
        <v>#N/A</v>
      </c>
      <c r="V133" s="48" t="str">
        <f aca="false">IFERROR(__xludf.dummyfunction("IFERROR(INDEX(SkillData,MATCH(Arrayformula(ARRAY_CONSTRAIN(FILTER(INDIRECT(""PalData!""&amp;ADDRESS(MATCH(B133,PalNames,0)+1,(MATCH(""Passive0a"",PalData_Header,0)))&amp;"":""&amp;ADDRESS(MATCH(B133,PalNames,0)+1,(MATCH(""Passive0a"",PalData_Header,0))+4)),LEN(INDIRE"&amp;"CT(""PalData!""&amp;ADDRESS(MATCH(B133,PalNames,0)+1,(MATCH(""Passive0a"",PalData_Header,0)))&amp;"":""&amp;ADDRESS(MATCH(B133,PalNames,0)+1,(MATCH(""Passive0a"",PalData_Header,0))+4)))&gt;0),1,1)),SkillDataCodeName,0)+1,MATCH(""ValueType1"",SkillData_Header,0)))"),"")</f>
        <v/>
      </c>
      <c r="W133" s="48" t="n">
        <f aca="false">IFERROR(INDEX(SkillData,MATCH(INDEX(PalData,MATCH($B133,PalNames,0)+1,MATCH("Passive0a",PalData_Header,0)),SkillDataCodeName,0)+1,MATCH("EffectValue1",SkillData_Header,0)),)</f>
        <v>0</v>
      </c>
      <c r="X133" s="48" t="n">
        <f aca="false">IFERROR(INDEX(SkillData,MATCH(INDEX(PalData,MATCH($B133,PalNames,0)+1,MATCH("Passive1a",PalData_Header,0)),SkillDataCodeName,0)+1,MATCH("EffectValue1",SkillData_Header,0)),)</f>
        <v>0</v>
      </c>
      <c r="Y133" s="48" t="n">
        <f aca="false">IFERROR(INDEX(SkillData,MATCH(INDEX(PalData,MATCH($B133,PalNames,0)+1,MATCH("Passive2a",PalData_Header,0)),SkillDataCodeName,0)+1,MATCH("EffectValue1",SkillData_Header,0)),)</f>
        <v>0</v>
      </c>
      <c r="Z133" s="48" t="n">
        <f aca="false">IFERROR(INDEX(SkillData,MATCH(INDEX(PalData,MATCH($B133,PalNames,0)+1,MATCH("Passive3a",PalData_Header,0)),SkillDataCodeName,0)+1,MATCH("EffectValue1",SkillData_Header,0)),)</f>
        <v>0</v>
      </c>
      <c r="AA133" s="263" t="n">
        <f aca="false">IFERROR(INDEX(SkillData,MATCH(INDEX(PalData,MATCH($B133,PalNames,0)+1,MATCH("Passive4a",PalData_Header,0)),SkillDataCodeName,0)+1,MATCH("EffectValue1",SkillData_Header,0)),)</f>
        <v>0</v>
      </c>
      <c r="AB133" s="48" t="str">
        <f aca="false">IFERROR(__xludf.dummyfunction("IFERROR(INDEX(SkillData,MATCH(Arrayformula(ARRAY_CONSTRAIN(FILTER(INDIRECT(""PalData!""&amp;ADDRESS(MATCH(B133,PalNames,0)+1,(MATCH(""Passive0b"",PalData_Header,0)))&amp;"":""&amp;ADDRESS(MATCH(B133,PalNames,0)+1,(MATCH(""Passive0b"",PalData_Header,0))+4)),LEN(INDIRE"&amp;"CT(""PalData!""&amp;ADDRESS(MATCH(B133,PalNames,0)+1,(MATCH(""Passive0b"",PalData_Header,0)))&amp;"":""&amp;ADDRESS(MATCH(B133,PalNames,0)+1,(MATCH(""Passive0b"",PalData_Header,0))+4)))&gt;0),1,1)),SkillDataCodeName,0)+1,MATCH(""EffectTypeCombined"",SkillData_Header,0))"&amp;")"),"")</f>
        <v/>
      </c>
      <c r="AC133" s="48" t="str">
        <f aca="false">IFERROR(__xludf.dummyfunction("IFERROR(INDEX(SkillData,MATCH(Arrayformula(ARRAY_CONSTRAIN(FILTER(INDIRECT(""PalData!""&amp;ADDRESS(MATCH(B133,PalNames,0)+1,(MATCH(""Passive0b"",PalData_Header,0)))&amp;"":""&amp;ADDRESS(MATCH(B133,PalNames,0)+1,(MATCH(""Passive0b"",PalData_Header,0))+4)),LEN(INDIRE"&amp;"CT(""PalData!""&amp;ADDRESS(MATCH(B133,PalNames,0)+1,(MATCH(""Passive0b"",PalData_Header,0)))&amp;"":""&amp;ADDRESS(MATCH(B133,PalNames,0)+1,(MATCH(""Passive0b"",PalData_Header,0))+4)))&gt;0),1,1)),SkillDataCodeName,0)+1,MATCH(""TargetType1"",SkillData_Header,0)))"),"")</f>
        <v/>
      </c>
      <c r="AD133" s="48" t="e">
        <f aca="false" t="array" ref="AD133:AD133">IF(INDEX(PalData,MATCH($B133,PalNames,0)+1,MATCH("Passive0bCondition",PalData_Header,0))=IFERROR(INDEX(SkillData,MATCH(INDEX(PalData,MATCH($B133,PalNames,0)+1,MATCH("Passive0b",PalData_Header,0)),SkillDataCodeName,0)+1,MATCH("Conditions",SkillData_Header,0))),INDEX(PalData,MATCH($B133,PalNames,0)+1,MATCH("Passive0bCondition",PalData_Header,0)),INDEX(PalData,MATCH($B133,PalNames,0)+1,MATCH("Passive0bCondition",PalData_Header,0)) &amp; IF(ISBLANK(INDEX(PalData,MATCH($B133,PalNames,0)+1,MATCH("Passive0bCondition",PalData_Header,0))),," ")&amp;IFERROR(INDEX(SkillData,MATCH(INDEX(PalData,MATCH($B133,PalNames,0)+1,MATCH("Passive0b",PalData_Header,0)),SkillDataCodeName,0)+1,MATCH("Conditions",SkillData_Header,0))))</f>
        <v>#N/A</v>
      </c>
      <c r="AE133" s="48" t="str">
        <f aca="false">IFERROR(__xludf.dummyfunction("IFERROR(INDEX(SkillData,MATCH(Arrayformula(ARRAY_CONSTRAIN(FILTER(INDIRECT(""PalData!""&amp;ADDRESS(MATCH(B133,PalNames,0)+1,(MATCH(""Passive0b"",PalData_Header,0)))&amp;"":""&amp;ADDRESS(MATCH(B133,PalNames,0)+1,(MATCH(""Passive0b"",PalData_Header,0))+4)),LEN(INDIRE"&amp;"CT(""PalData!""&amp;ADDRESS(MATCH(B133,PalNames,0)+1,(MATCH(""Passive0b"",PalData_Header,0)))&amp;"":""&amp;ADDRESS(MATCH(B133,PalNames,0)+1,(MATCH(""Passive0b"",PalData_Header,0))+4)))&gt;0),1,1)),SkillDataCodeName,0)+1,MATCH(""ValueType1"",SkillData_Header,0)))"),"")</f>
        <v/>
      </c>
      <c r="AF133" s="48" t="n">
        <f aca="false">IFERROR(INDEX(SkillData,MATCH(INDEX(PalData,MATCH($B133,PalNames,0)+1,MATCH("Passive0b",PalData_Header,0)),SkillDataCodeName,0)+1,MATCH("EffectValue1",SkillData_Header,0)),)</f>
        <v>0</v>
      </c>
      <c r="AG133" s="48" t="n">
        <f aca="false">IFERROR(INDEX(SkillData,MATCH(INDEX(PalData,MATCH($B133,PalNames,0)+1,MATCH("Passive1b",PalData_Header,0)),SkillDataCodeName,0)+1,MATCH("EffectValue1",SkillData_Header,0)),)</f>
        <v>0</v>
      </c>
      <c r="AH133" s="48" t="n">
        <f aca="false">IFERROR(INDEX(SkillData,MATCH(INDEX(PalData,MATCH($B133,PalNames,0)+1,MATCH("Passive2b",PalData_Header,0)),SkillDataCodeName,0)+1,MATCH("EffectValue1",SkillData_Header,0)),)</f>
        <v>0</v>
      </c>
      <c r="AI133" s="48" t="n">
        <f aca="false">IFERROR(INDEX(SkillData,MATCH(INDEX(PalData,MATCH($B133,PalNames,0)+1,MATCH("Passive3b",PalData_Header,0)),SkillDataCodeName,0)+1,MATCH("EffectValue1",SkillData_Header,0)),)</f>
        <v>0</v>
      </c>
      <c r="AJ133" s="263" t="n">
        <f aca="false">IFERROR(INDEX(SkillData,MATCH(INDEX(PalData,MATCH($B133,PalNames,0)+1,MATCH("Passive4b",PalData_Header,0)),SkillDataCodeName,0)+1,MATCH("EffectValue1",SkillData_Header,0)),)</f>
        <v>0</v>
      </c>
      <c r="AK133" s="305" t="s">
        <v>395</v>
      </c>
    </row>
    <row r="134" customFormat="false" ht="15.75" hidden="false" customHeight="false" outlineLevel="0" collapsed="false">
      <c r="A134" s="299" t="n">
        <v>105</v>
      </c>
      <c r="B134" s="300" t="s">
        <v>53</v>
      </c>
      <c r="C134" s="45" t="str">
        <f aca="false" t="array" ref="C134:C134">IF(ISBLANK(INDEX(PalData,MATCH($B134,PalNames,0)+1,MATCH("ActiveSkill",PalData_Header,0))),INDEX(PalData,MATCH($B134,PalNames,0)+1,MATCH("SkillUnlock_",PalData_Header,0)),INDEX(PalData,MATCH($B134,PalNames,0)+1,MATCH("ActiveSkill",PalData_Header,0)))</f>
        <v>Saddle</v>
      </c>
      <c r="D134" s="45"/>
      <c r="E134" s="45" t="n">
        <f aca="false">INDEX(PalData,MATCH($B134,PalNames,0)+1,MATCH("ActiveSkillBonus0",PalData_Header,0))</f>
        <v>0</v>
      </c>
      <c r="F134" s="45" t="n">
        <f aca="false">INDEX(PalData,MATCH($B134,PalNames,0)+1,MATCH("ActiveSkillBonus1",PalData_Header,0))</f>
        <v>0</v>
      </c>
      <c r="G134" s="45" t="n">
        <f aca="false">INDEX(PalData,MATCH($B134,PalNames,0)+1,MATCH("ActiveSkillBonus2",PalData_Header,0))</f>
        <v>0</v>
      </c>
      <c r="H134" s="45" t="n">
        <f aca="false">INDEX(PalData,MATCH($B134,PalNames,0)+1,MATCH("ActiveSkillBonus3",PalData_Header,0))</f>
        <v>0</v>
      </c>
      <c r="I134" s="260" t="n">
        <f aca="false">INDEX(PalData,MATCH($B134,PalNames,0)+1,MATCH("ActiveSkillBonus4",PalData_Header,0))</f>
        <v>0</v>
      </c>
      <c r="J134" s="45" t="str">
        <f aca="false">IFERROR(__xludf.dummyfunction("IFERROR(INDEX(SkillData,MATCH(Arrayformula(ARRAY_CONSTRAIN(FILTER(INDIRECT(""PalData!""&amp;ADDRESS(MATCH(B134,PalNames,0)+1,(MATCH(""Passive0c"",PalData_Header,0)))&amp;"":""&amp;ADDRESS(MATCH(B134,PalNames,0)+1,(MATCH(""Passive0c"",PalData_Header,0))+4)),LEN(INDIRE"&amp;"CT(""PalData!""&amp;ADDRESS(MATCH(B134,PalNames,0)+1,(MATCH(""Passive0c"",PalData_Header,0)))&amp;"":""&amp;ADDRESS(MATCH(B134,PalNames,0)+1,(MATCH(""Passive0c"",PalData_Header,0))+4)))&gt;0),1,1)),SkillDataCodeName,0)+1,MATCH(""EffectTypeCombined"",SkillData_Header,0))"&amp;")"),"ElementAddItemDrop_Ice")</f>
        <v>ElementAddItemDrop_Ice</v>
      </c>
      <c r="K134" s="45" t="str">
        <f aca="false">IFERROR(__xludf.dummyfunction("IFERROR(INDEX(SkillData,MATCH(Arrayformula(ARRAY_CONSTRAIN(FILTER(INDIRECT(""PalData!""&amp;ADDRESS(MATCH(B134,PalNames,0)+1,(MATCH(""Passive0c"",PalData_Header,0)))&amp;"":""&amp;ADDRESS(MATCH(B134,PalNames,0)+1,(MATCH(""Passive0c"",PalData_Header,0))+4)),LEN(INDIRE"&amp;"CT(""PalData!""&amp;ADDRESS(MATCH(B134,PalNames,0)+1,(MATCH(""Passive0c"",PalData_Header,0)))&amp;"":""&amp;ADDRESS(MATCH(B134,PalNames,0)+1,(MATCH(""Passive0c"",PalData_Header,0))+4)))&gt;0),1,1)),SkillDataCodeName,0)+1,MATCH(""TargetType1"",SkillData_Header,0)))"),"SelfAndTrainer")</f>
        <v>SelfAndTrainer</v>
      </c>
      <c r="L134" s="45" t="e">
        <f aca="false" t="array" ref="L134:L134">IF(INDEX(PalData,MATCH($B134,PalNames,0)+1,MATCH("Passive0cCondition",PalData_Header,0))=IFERROR(INDEX(SkillData,MATCH(INDEX(PalData,MATCH($B134,PalNames,0)+1,MATCH("Passive0c",PalData_Header,0)),SkillDataCodeName,0)+1,MATCH("Conditions",SkillData_Header,0))),INDEX(PalData,MATCH($B134,PalNames,0)+1,MATCH("Passive0cCondition",PalData_Header,0)),INDEX(PalData,MATCH($B134,PalNames,0)+1,MATCH("Passive0cCondition",PalData_Header,0)) &amp; IF(ISBLANK(INDEX(PalData,MATCH($B134,PalNames,0)+1,MATCH("Passive0cCondition",PalData_Header,0))),," ")&amp;IFERROR(INDEX(SkillData,MATCH(INDEX(PalData,MATCH($B134,PalNames,0)+1,MATCH("Passive0c",PalData_Header,0)),SkillDataCodeName,0)+1,MATCH("Conditions",SkillData_Header,0))))</f>
        <v>#VALUE!</v>
      </c>
      <c r="M134" s="45" t="str">
        <f aca="false">IFERROR(__xludf.dummyfunction("IFERROR(INDEX(SkillData,MATCH(Arrayformula(ARRAY_CONSTRAIN(FILTER(INDIRECT(""PalData!""&amp;ADDRESS(MATCH(B134,PalNames,0)+1,(MATCH(""Passive0c"",PalData_Header,0)))&amp;"":""&amp;ADDRESS(MATCH(B134,PalNames,0)+1,(MATCH(""Passive0c"",PalData_Header,0))+4)),LEN(INDIRE"&amp;"CT(""PalData!""&amp;ADDRESS(MATCH(B134,PalNames,0)+1,(MATCH(""Passive0c"",PalData_Header,0)))&amp;"":""&amp;ADDRESS(MATCH(B134,PalNames,0)+1,(MATCH(""Passive0c"",PalData_Header,0))+4)))&gt;0),1,1)),SkillDataCodeName,0)+1,MATCH(""ValueType1"",SkillData_Header,0)))"),"%")</f>
        <v>%</v>
      </c>
      <c r="N134" s="62" t="e">
        <f aca="false" t="array" ref="N134:N134">IFERROR(INDEX(SkillData,MATCH(INDEX(PalData,MATCH($B134,PalNames,0)+1,MATCH("Passive0c",PalData_Header,0)),SkillDataCodeName,0)+1,MATCH("EffectValue1",SkillData_Header,0)))</f>
        <v>#VALUE!</v>
      </c>
      <c r="O134" s="62" t="e">
        <f aca="false" t="array" ref="O134:O134">IFERROR(INDEX(SkillData,MATCH(INDEX(PalData,MATCH($B134,PalNames,0)+1,MATCH("Passive1c",PalData_Header,0)),SkillDataCodeName,0)+1,MATCH("EffectValue1",SkillData_Header,0)))</f>
        <v>#VALUE!</v>
      </c>
      <c r="P134" s="62" t="e">
        <f aca="false" t="array" ref="P134:P134">IFERROR(INDEX(SkillData,MATCH(INDEX(PalData,MATCH($B134,PalNames,0)+1,MATCH("Passive2c",PalData_Header,0)),SkillDataCodeName,0)+1,MATCH("EffectValue1",SkillData_Header,0)))</f>
        <v>#VALUE!</v>
      </c>
      <c r="Q134" s="62" t="e">
        <f aca="false" t="array" ref="Q134:Q134">IFERROR(INDEX(SkillData,MATCH(INDEX(PalData,MATCH($B134,PalNames,0)+1,MATCH("Passive3c",PalData_Header,0)),SkillDataCodeName,0)+1,MATCH("EffectValue1",SkillData_Header,0)))</f>
        <v>#VALUE!</v>
      </c>
      <c r="R134" s="306" t="e">
        <f aca="false" t="array" ref="R134:R134">IFERROR(INDEX(SkillData,MATCH(INDEX(PalData,MATCH($B134,PalNames,0)+1,MATCH("Passive4c",PalData_Header,0)),SkillDataCodeName,0)+1,MATCH("EffectValue1",SkillData_Header,0)))</f>
        <v>#VALUE!</v>
      </c>
      <c r="S134" s="45" t="str">
        <f aca="false">IFERROR(__xludf.dummyfunction("IFERROR(INDEX(SkillData,MATCH(Arrayformula(ARRAY_CONSTRAIN(FILTER(INDIRECT(""PalData!""&amp;ADDRESS(MATCH(B134,PalNames,0)+1,(MATCH(""Passive0a"",PalData_Header,0)))&amp;"":""&amp;ADDRESS(MATCH(B134,PalNames,0)+1,(MATCH(""Passive0a"",PalData_Header,0))+4)),LEN(INDIRE"&amp;"CT(""PalData!""&amp;ADDRESS(MATCH(B134,PalNames,0)+1,(MATCH(""Passive0a"",PalData_Header,0)))&amp;"":""&amp;ADDRESS(MATCH(B134,PalNames,0)+1,(MATCH(""Passive0a"",PalData_Header,0))+4)))&gt;0),1,1)),SkillDataCodeName,0)+1,MATCH(""EffectTypeCombined"",SkillData_Header,0))"&amp;")"),"")</f>
        <v/>
      </c>
      <c r="T134" s="45" t="str">
        <f aca="false">IFERROR(__xludf.dummyfunction("IFERROR(INDEX(SkillData,MATCH(Arrayformula(ARRAY_CONSTRAIN(FILTER(INDIRECT(""PalData!""&amp;ADDRESS(MATCH(B134,PalNames,0)+1,(MATCH(""Passive0a"",PalData_Header,0)))&amp;"":""&amp;ADDRESS(MATCH(B134,PalNames,0)+1,(MATCH(""Passive0a"",PalData_Header,0))+4)),LEN(INDIRE"&amp;"CT(""PalData!""&amp;ADDRESS(MATCH(B134,PalNames,0)+1,(MATCH(""Passive0a"",PalData_Header,0)))&amp;"":""&amp;ADDRESS(MATCH(B134,PalNames,0)+1,(MATCH(""Passive0a"",PalData_Header,0))+4)))&gt;0),1,1)),SkillDataCodeName,0)+1,MATCH(""TargetType1"",SkillData_Header,0)))"),"")</f>
        <v/>
      </c>
      <c r="U134" s="45" t="e">
        <f aca="false" t="array" ref="U134:U134">IF(INDEX(PalData,MATCH($B134,PalNames,0)+1,MATCH("Passive0aCondition",PalData_Header,0))=IFERROR(INDEX(SkillData,MATCH(INDEX(PalData,MATCH($B134,PalNames,0)+1,MATCH("Passive0a",PalData_Header,0)),SkillDataCodeName,0)+1,MATCH("Conditions",SkillData_Header,0))),INDEX(PalData,MATCH($B134,PalNames,0)+1,MATCH("Passive0aCondition",PalData_Header,0)),INDEX(PalData,MATCH($B134,PalNames,0)+1,MATCH("Passive0aCondition",PalData_Header,0)) &amp; IF(ISBLANK(INDEX(PalData,MATCH($B134,PalNames,0)+1,MATCH("Passive0aCondition",PalData_Header,0))),," ")&amp;IFERROR(INDEX(SkillData,MATCH(INDEX(PalData,MATCH($B134,PalNames,0)+1,MATCH("Passive0a",PalData_Header,0)),SkillDataCodeName,0)+1,MATCH("Conditions",SkillData_Header,0))))</f>
        <v>#N/A</v>
      </c>
      <c r="V134" s="45" t="str">
        <f aca="false">IFERROR(__xludf.dummyfunction("IFERROR(INDEX(SkillData,MATCH(Arrayformula(ARRAY_CONSTRAIN(FILTER(INDIRECT(""PalData!""&amp;ADDRESS(MATCH(B134,PalNames,0)+1,(MATCH(""Passive0a"",PalData_Header,0)))&amp;"":""&amp;ADDRESS(MATCH(B134,PalNames,0)+1,(MATCH(""Passive0a"",PalData_Header,0))+4)),LEN(INDIRE"&amp;"CT(""PalData!""&amp;ADDRESS(MATCH(B134,PalNames,0)+1,(MATCH(""Passive0a"",PalData_Header,0)))&amp;"":""&amp;ADDRESS(MATCH(B134,PalNames,0)+1,(MATCH(""Passive0a"",PalData_Header,0))+4)))&gt;0),1,1)),SkillDataCodeName,0)+1,MATCH(""ValueType1"",SkillData_Header,0)))"),"")</f>
        <v/>
      </c>
      <c r="W134" s="45" t="n">
        <f aca="false">IFERROR(INDEX(SkillData,MATCH(INDEX(PalData,MATCH($B134,PalNames,0)+1,MATCH("Passive0a",PalData_Header,0)),SkillDataCodeName,0)+1,MATCH("EffectValue1",SkillData_Header,0)),)</f>
        <v>0</v>
      </c>
      <c r="X134" s="45" t="n">
        <f aca="false">IFERROR(INDEX(SkillData,MATCH(INDEX(PalData,MATCH($B134,PalNames,0)+1,MATCH("Passive1a",PalData_Header,0)),SkillDataCodeName,0)+1,MATCH("EffectValue1",SkillData_Header,0)),)</f>
        <v>0</v>
      </c>
      <c r="Y134" s="45" t="n">
        <f aca="false">IFERROR(INDEX(SkillData,MATCH(INDEX(PalData,MATCH($B134,PalNames,0)+1,MATCH("Passive2a",PalData_Header,0)),SkillDataCodeName,0)+1,MATCH("EffectValue1",SkillData_Header,0)),)</f>
        <v>0</v>
      </c>
      <c r="Z134" s="45" t="n">
        <f aca="false">IFERROR(INDEX(SkillData,MATCH(INDEX(PalData,MATCH($B134,PalNames,0)+1,MATCH("Passive3a",PalData_Header,0)),SkillDataCodeName,0)+1,MATCH("EffectValue1",SkillData_Header,0)),)</f>
        <v>0</v>
      </c>
      <c r="AA134" s="260" t="n">
        <f aca="false">IFERROR(INDEX(SkillData,MATCH(INDEX(PalData,MATCH($B134,PalNames,0)+1,MATCH("Passive4a",PalData_Header,0)),SkillDataCodeName,0)+1,MATCH("EffectValue1",SkillData_Header,0)),)</f>
        <v>0</v>
      </c>
      <c r="AB134" s="45" t="str">
        <f aca="false">IFERROR(__xludf.dummyfunction("IFERROR(INDEX(SkillData,MATCH(Arrayformula(ARRAY_CONSTRAIN(FILTER(INDIRECT(""PalData!""&amp;ADDRESS(MATCH(B134,PalNames,0)+1,(MATCH(""Passive0b"",PalData_Header,0)))&amp;"":""&amp;ADDRESS(MATCH(B134,PalNames,0)+1,(MATCH(""Passive0b"",PalData_Header,0))+4)),LEN(INDIRE"&amp;"CT(""PalData!""&amp;ADDRESS(MATCH(B134,PalNames,0)+1,(MATCH(""Passive0b"",PalData_Header,0)))&amp;"":""&amp;ADDRESS(MATCH(B134,PalNames,0)+1,(MATCH(""Passive0b"",PalData_Header,0))+4)))&gt;0),1,1)),SkillDataCodeName,0)+1,MATCH(""EffectTypeCombined"",SkillData_Header,0))"&amp;")"),"")</f>
        <v/>
      </c>
      <c r="AC134" s="45" t="str">
        <f aca="false">IFERROR(__xludf.dummyfunction("IFERROR(INDEX(SkillData,MATCH(Arrayformula(ARRAY_CONSTRAIN(FILTER(INDIRECT(""PalData!""&amp;ADDRESS(MATCH(B134,PalNames,0)+1,(MATCH(""Passive0b"",PalData_Header,0)))&amp;"":""&amp;ADDRESS(MATCH(B134,PalNames,0)+1,(MATCH(""Passive0b"",PalData_Header,0))+4)),LEN(INDIRE"&amp;"CT(""PalData!""&amp;ADDRESS(MATCH(B134,PalNames,0)+1,(MATCH(""Passive0b"",PalData_Header,0)))&amp;"":""&amp;ADDRESS(MATCH(B134,PalNames,0)+1,(MATCH(""Passive0b"",PalData_Header,0))+4)))&gt;0),1,1)),SkillDataCodeName,0)+1,MATCH(""TargetType1"",SkillData_Header,0)))"),"")</f>
        <v/>
      </c>
      <c r="AD134" s="45" t="e">
        <f aca="false" t="array" ref="AD134:AD134">IF(INDEX(PalData,MATCH($B134,PalNames,0)+1,MATCH("Passive0bCondition",PalData_Header,0))=IFERROR(INDEX(SkillData,MATCH(INDEX(PalData,MATCH($B134,PalNames,0)+1,MATCH("Passive0b",PalData_Header,0)),SkillDataCodeName,0)+1,MATCH("Conditions",SkillData_Header,0))),INDEX(PalData,MATCH($B134,PalNames,0)+1,MATCH("Passive0bCondition",PalData_Header,0)),INDEX(PalData,MATCH($B134,PalNames,0)+1,MATCH("Passive0bCondition",PalData_Header,0)) &amp; IF(ISBLANK(INDEX(PalData,MATCH($B134,PalNames,0)+1,MATCH("Passive0bCondition",PalData_Header,0))),," ")&amp;IFERROR(INDEX(SkillData,MATCH(INDEX(PalData,MATCH($B134,PalNames,0)+1,MATCH("Passive0b",PalData_Header,0)),SkillDataCodeName,0)+1,MATCH("Conditions",SkillData_Header,0))))</f>
        <v>#N/A</v>
      </c>
      <c r="AE134" s="45" t="str">
        <f aca="false">IFERROR(__xludf.dummyfunction("IFERROR(INDEX(SkillData,MATCH(Arrayformula(ARRAY_CONSTRAIN(FILTER(INDIRECT(""PalData!""&amp;ADDRESS(MATCH(B134,PalNames,0)+1,(MATCH(""Passive0b"",PalData_Header,0)))&amp;"":""&amp;ADDRESS(MATCH(B134,PalNames,0)+1,(MATCH(""Passive0b"",PalData_Header,0))+4)),LEN(INDIRE"&amp;"CT(""PalData!""&amp;ADDRESS(MATCH(B134,PalNames,0)+1,(MATCH(""Passive0b"",PalData_Header,0)))&amp;"":""&amp;ADDRESS(MATCH(B134,PalNames,0)+1,(MATCH(""Passive0b"",PalData_Header,0))+4)))&gt;0),1,1)),SkillDataCodeName,0)+1,MATCH(""ValueType1"",SkillData_Header,0)))"),"")</f>
        <v/>
      </c>
      <c r="AF134" s="45" t="n">
        <f aca="false">IFERROR(INDEX(SkillData,MATCH(INDEX(PalData,MATCH($B134,PalNames,0)+1,MATCH("Passive0b",PalData_Header,0)),SkillDataCodeName,0)+1,MATCH("EffectValue1",SkillData_Header,0)),)</f>
        <v>0</v>
      </c>
      <c r="AG134" s="45" t="n">
        <f aca="false">IFERROR(INDEX(SkillData,MATCH(INDEX(PalData,MATCH($B134,PalNames,0)+1,MATCH("Passive1b",PalData_Header,0)),SkillDataCodeName,0)+1,MATCH("EffectValue1",SkillData_Header,0)),)</f>
        <v>0</v>
      </c>
      <c r="AH134" s="45" t="n">
        <f aca="false">IFERROR(INDEX(SkillData,MATCH(INDEX(PalData,MATCH($B134,PalNames,0)+1,MATCH("Passive2b",PalData_Header,0)),SkillDataCodeName,0)+1,MATCH("EffectValue1",SkillData_Header,0)),)</f>
        <v>0</v>
      </c>
      <c r="AI134" s="45" t="n">
        <f aca="false">IFERROR(INDEX(SkillData,MATCH(INDEX(PalData,MATCH($B134,PalNames,0)+1,MATCH("Passive3b",PalData_Header,0)),SkillDataCodeName,0)+1,MATCH("EffectValue1",SkillData_Header,0)),)</f>
        <v>0</v>
      </c>
      <c r="AJ134" s="260" t="n">
        <f aca="false">IFERROR(INDEX(SkillData,MATCH(INDEX(PalData,MATCH($B134,PalNames,0)+1,MATCH("Passive4b",PalData_Header,0)),SkillDataCodeName,0)+1,MATCH("EffectValue1",SkillData_Header,0)),)</f>
        <v>0</v>
      </c>
      <c r="AK134" s="301" t="s">
        <v>396</v>
      </c>
    </row>
    <row r="135" customFormat="false" ht="15.75" hidden="false" customHeight="false" outlineLevel="0" collapsed="false">
      <c r="A135" s="302" t="n">
        <v>106</v>
      </c>
      <c r="B135" s="303" t="s">
        <v>112</v>
      </c>
      <c r="C135" s="48" t="n">
        <f aca="false">IF(ISBLANK(INDEX(PalData,MATCH($B135,PalNames,0)+1,MATCH("ActiveSkill",PalData_Header,0))),INDEX(PalData,MATCH($B135,PalNames,0)+1,MATCH("SkillUnlock_",PalData_Header,0)),INDEX(PalData,MATCH($B135,PalNames,0)+1,MATCH("ActiveSkill",PalData_Header,0)))</f>
        <v>0</v>
      </c>
      <c r="D135" s="48"/>
      <c r="E135" s="48" t="n">
        <f aca="false">INDEX(PalData,MATCH($B135,PalNames,0)+1,MATCH("ActiveSkillBonus0",PalData_Header,0))</f>
        <v>0</v>
      </c>
      <c r="F135" s="48" t="n">
        <f aca="false">INDEX(PalData,MATCH($B135,PalNames,0)+1,MATCH("ActiveSkillBonus1",PalData_Header,0))</f>
        <v>0</v>
      </c>
      <c r="G135" s="48" t="n">
        <f aca="false">INDEX(PalData,MATCH($B135,PalNames,0)+1,MATCH("ActiveSkillBonus2",PalData_Header,0))</f>
        <v>0</v>
      </c>
      <c r="H135" s="48" t="n">
        <f aca="false">INDEX(PalData,MATCH($B135,PalNames,0)+1,MATCH("ActiveSkillBonus3",PalData_Header,0))</f>
        <v>0</v>
      </c>
      <c r="I135" s="263" t="n">
        <f aca="false">INDEX(PalData,MATCH($B135,PalNames,0)+1,MATCH("ActiveSkillBonus4",PalData_Header,0))</f>
        <v>0</v>
      </c>
      <c r="J135" s="48" t="str">
        <f aca="false">IFERROR(__xludf.dummyfunction("IFERROR(INDEX(SkillData,MATCH(Arrayformula(ARRAY_CONSTRAIN(FILTER(INDIRECT(""PalData!""&amp;ADDRESS(MATCH(B135,PalNames,0)+1,(MATCH(""Passive0c"",PalData_Header,0)))&amp;"":""&amp;ADDRESS(MATCH(B135,PalNames,0)+1,(MATCH(""Passive0c"",PalData_Header,0))+4)),LEN(INDIRE"&amp;"CT(""PalData!""&amp;ADDRESS(MATCH(B135,PalNames,0)+1,(MATCH(""Passive0c"",PalData_Header,0)))&amp;"":""&amp;ADDRESS(MATCH(B135,PalNames,0)+1,(MATCH(""Passive0c"",PalData_Header,0))+4)))&gt;0),1,1)),SkillDataCodeName,0)+1,MATCH(""EffectTypeCombined"",SkillData_Header,0))"&amp;")"),"ElementAddItemDrop_Water")</f>
        <v>ElementAddItemDrop_Water</v>
      </c>
      <c r="K135" s="48" t="str">
        <f aca="false">IFERROR(__xludf.dummyfunction("IFERROR(INDEX(SkillData,MATCH(Arrayformula(ARRAY_CONSTRAIN(FILTER(INDIRECT(""PalData!""&amp;ADDRESS(MATCH(B135,PalNames,0)+1,(MATCH(""Passive0c"",PalData_Header,0)))&amp;"":""&amp;ADDRESS(MATCH(B135,PalNames,0)+1,(MATCH(""Passive0c"",PalData_Header,0))+4)),LEN(INDIRE"&amp;"CT(""PalData!""&amp;ADDRESS(MATCH(B135,PalNames,0)+1,(MATCH(""Passive0c"",PalData_Header,0)))&amp;"":""&amp;ADDRESS(MATCH(B135,PalNames,0)+1,(MATCH(""Passive0c"",PalData_Header,0))+4)))&gt;0),1,1)),SkillDataCodeName,0)+1,MATCH(""TargetType1"",SkillData_Header,0)))"),"SelfAndTrainer")</f>
        <v>SelfAndTrainer</v>
      </c>
      <c r="L135" s="48" t="e">
        <f aca="false" t="array" ref="L135:L135">IF(INDEX(PalData,MATCH($B135,PalNames,0)+1,MATCH("Passive0cCondition",PalData_Header,0))=IFERROR(INDEX(SkillData,MATCH(INDEX(PalData,MATCH($B135,PalNames,0)+1,MATCH("Passive0c",PalData_Header,0)),SkillDataCodeName,0)+1,MATCH("Conditions",SkillData_Header,0))),INDEX(PalData,MATCH($B135,PalNames,0)+1,MATCH("Passive0cCondition",PalData_Header,0)),INDEX(PalData,MATCH($B135,PalNames,0)+1,MATCH("Passive0cCondition",PalData_Header,0)) &amp; IF(ISBLANK(INDEX(PalData,MATCH($B135,PalNames,0)+1,MATCH("Passive0cCondition",PalData_Header,0))),," ")&amp;IFERROR(INDEX(SkillData,MATCH(INDEX(PalData,MATCH($B135,PalNames,0)+1,MATCH("Passive0c",PalData_Header,0)),SkillDataCodeName,0)+1,MATCH("Conditions",SkillData_Header,0))))</f>
        <v>#VALUE!</v>
      </c>
      <c r="M135" s="48" t="str">
        <f aca="false">IFERROR(__xludf.dummyfunction("IFERROR(INDEX(SkillData,MATCH(Arrayformula(ARRAY_CONSTRAIN(FILTER(INDIRECT(""PalData!""&amp;ADDRESS(MATCH(B135,PalNames,0)+1,(MATCH(""Passive0c"",PalData_Header,0)))&amp;"":""&amp;ADDRESS(MATCH(B135,PalNames,0)+1,(MATCH(""Passive0c"",PalData_Header,0))+4)),LEN(INDIRE"&amp;"CT(""PalData!""&amp;ADDRESS(MATCH(B135,PalNames,0)+1,(MATCH(""Passive0c"",PalData_Header,0)))&amp;"":""&amp;ADDRESS(MATCH(B135,PalNames,0)+1,(MATCH(""Passive0c"",PalData_Header,0))+4)))&gt;0),1,1)),SkillDataCodeName,0)+1,MATCH(""ValueType1"",SkillData_Header,0)))"),"%")</f>
        <v>%</v>
      </c>
      <c r="N135" s="61" t="e">
        <f aca="false" t="array" ref="N135:N135">IFERROR(INDEX(SkillData,MATCH(INDEX(PalData,MATCH($B135,PalNames,0)+1,MATCH("Passive0c",PalData_Header,0)),SkillDataCodeName,0)+1,MATCH("EffectValue1",SkillData_Header,0)))</f>
        <v>#VALUE!</v>
      </c>
      <c r="O135" s="61" t="e">
        <f aca="false" t="array" ref="O135:O135">IFERROR(INDEX(SkillData,MATCH(INDEX(PalData,MATCH($B135,PalNames,0)+1,MATCH("Passive1c",PalData_Header,0)),SkillDataCodeName,0)+1,MATCH("EffectValue1",SkillData_Header,0)))</f>
        <v>#VALUE!</v>
      </c>
      <c r="P135" s="61" t="e">
        <f aca="false" t="array" ref="P135:P135">IFERROR(INDEX(SkillData,MATCH(INDEX(PalData,MATCH($B135,PalNames,0)+1,MATCH("Passive2c",PalData_Header,0)),SkillDataCodeName,0)+1,MATCH("EffectValue1",SkillData_Header,0)))</f>
        <v>#VALUE!</v>
      </c>
      <c r="Q135" s="61" t="e">
        <f aca="false" t="array" ref="Q135:Q135">IFERROR(INDEX(SkillData,MATCH(INDEX(PalData,MATCH($B135,PalNames,0)+1,MATCH("Passive3c",PalData_Header,0)),SkillDataCodeName,0)+1,MATCH("EffectValue1",SkillData_Header,0)))</f>
        <v>#VALUE!</v>
      </c>
      <c r="R135" s="304" t="e">
        <f aca="false" t="array" ref="R135:R135">IFERROR(INDEX(SkillData,MATCH(INDEX(PalData,MATCH($B135,PalNames,0)+1,MATCH("Passive4c",PalData_Header,0)),SkillDataCodeName,0)+1,MATCH("EffectValue1",SkillData_Header,0)))</f>
        <v>#VALUE!</v>
      </c>
      <c r="S135" s="48" t="str">
        <f aca="false">IFERROR(__xludf.dummyfunction("IFERROR(INDEX(SkillData,MATCH(Arrayformula(ARRAY_CONSTRAIN(FILTER(INDIRECT(""PalData!""&amp;ADDRESS(MATCH(B135,PalNames,0)+1,(MATCH(""Passive0a"",PalData_Header,0)))&amp;"":""&amp;ADDRESS(MATCH(B135,PalNames,0)+1,(MATCH(""Passive0a"",PalData_Header,0))+4)),LEN(INDIRE"&amp;"CT(""PalData!""&amp;ADDRESS(MATCH(B135,PalNames,0)+1,(MATCH(""Passive0a"",PalData_Header,0)))&amp;"":""&amp;ADDRESS(MATCH(B135,PalNames,0)+1,(MATCH(""Passive0a"",PalData_Header,0))+4)))&gt;0),1,1)),SkillDataCodeName,0)+1,MATCH(""EffectTypeCombined"",SkillData_Header,0))"&amp;")"),"")</f>
        <v/>
      </c>
      <c r="T135" s="48" t="str">
        <f aca="false">IFERROR(__xludf.dummyfunction("IFERROR(INDEX(SkillData,MATCH(Arrayformula(ARRAY_CONSTRAIN(FILTER(INDIRECT(""PalData!""&amp;ADDRESS(MATCH(B135,PalNames,0)+1,(MATCH(""Passive0a"",PalData_Header,0)))&amp;"":""&amp;ADDRESS(MATCH(B135,PalNames,0)+1,(MATCH(""Passive0a"",PalData_Header,0))+4)),LEN(INDIRE"&amp;"CT(""PalData!""&amp;ADDRESS(MATCH(B135,PalNames,0)+1,(MATCH(""Passive0a"",PalData_Header,0)))&amp;"":""&amp;ADDRESS(MATCH(B135,PalNames,0)+1,(MATCH(""Passive0a"",PalData_Header,0))+4)))&gt;0),1,1)),SkillDataCodeName,0)+1,MATCH(""TargetType1"",SkillData_Header,0)))"),"")</f>
        <v/>
      </c>
      <c r="U135" s="48" t="e">
        <f aca="false" t="array" ref="U135:U135">IF(INDEX(PalData,MATCH($B135,PalNames,0)+1,MATCH("Passive0aCondition",PalData_Header,0))=IFERROR(INDEX(SkillData,MATCH(INDEX(PalData,MATCH($B135,PalNames,0)+1,MATCH("Passive0a",PalData_Header,0)),SkillDataCodeName,0)+1,MATCH("Conditions",SkillData_Header,0))),INDEX(PalData,MATCH($B135,PalNames,0)+1,MATCH("Passive0aCondition",PalData_Header,0)),INDEX(PalData,MATCH($B135,PalNames,0)+1,MATCH("Passive0aCondition",PalData_Header,0)) &amp; IF(ISBLANK(INDEX(PalData,MATCH($B135,PalNames,0)+1,MATCH("Passive0aCondition",PalData_Header,0))),," ")&amp;IFERROR(INDEX(SkillData,MATCH(INDEX(PalData,MATCH($B135,PalNames,0)+1,MATCH("Passive0a",PalData_Header,0)),SkillDataCodeName,0)+1,MATCH("Conditions",SkillData_Header,0))))</f>
        <v>#N/A</v>
      </c>
      <c r="V135" s="48" t="str">
        <f aca="false">IFERROR(__xludf.dummyfunction("IFERROR(INDEX(SkillData,MATCH(Arrayformula(ARRAY_CONSTRAIN(FILTER(INDIRECT(""PalData!""&amp;ADDRESS(MATCH(B135,PalNames,0)+1,(MATCH(""Passive0a"",PalData_Header,0)))&amp;"":""&amp;ADDRESS(MATCH(B135,PalNames,0)+1,(MATCH(""Passive0a"",PalData_Header,0))+4)),LEN(INDIRE"&amp;"CT(""PalData!""&amp;ADDRESS(MATCH(B135,PalNames,0)+1,(MATCH(""Passive0a"",PalData_Header,0)))&amp;"":""&amp;ADDRESS(MATCH(B135,PalNames,0)+1,(MATCH(""Passive0a"",PalData_Header,0))+4)))&gt;0),1,1)),SkillDataCodeName,0)+1,MATCH(""ValueType1"",SkillData_Header,0)))"),"")</f>
        <v/>
      </c>
      <c r="W135" s="48" t="n">
        <f aca="false">IFERROR(INDEX(SkillData,MATCH(INDEX(PalData,MATCH($B135,PalNames,0)+1,MATCH("Passive0a",PalData_Header,0)),SkillDataCodeName,0)+1,MATCH("EffectValue1",SkillData_Header,0)),)</f>
        <v>0</v>
      </c>
      <c r="X135" s="48" t="n">
        <f aca="false">IFERROR(INDEX(SkillData,MATCH(INDEX(PalData,MATCH($B135,PalNames,0)+1,MATCH("Passive1a",PalData_Header,0)),SkillDataCodeName,0)+1,MATCH("EffectValue1",SkillData_Header,0)),)</f>
        <v>0</v>
      </c>
      <c r="Y135" s="48" t="n">
        <f aca="false">IFERROR(INDEX(SkillData,MATCH(INDEX(PalData,MATCH($B135,PalNames,0)+1,MATCH("Passive2a",PalData_Header,0)),SkillDataCodeName,0)+1,MATCH("EffectValue1",SkillData_Header,0)),)</f>
        <v>0</v>
      </c>
      <c r="Z135" s="48" t="n">
        <f aca="false">IFERROR(INDEX(SkillData,MATCH(INDEX(PalData,MATCH($B135,PalNames,0)+1,MATCH("Passive3a",PalData_Header,0)),SkillDataCodeName,0)+1,MATCH("EffectValue1",SkillData_Header,0)),)</f>
        <v>0</v>
      </c>
      <c r="AA135" s="263" t="n">
        <f aca="false">IFERROR(INDEX(SkillData,MATCH(INDEX(PalData,MATCH($B135,PalNames,0)+1,MATCH("Passive4a",PalData_Header,0)),SkillDataCodeName,0)+1,MATCH("EffectValue1",SkillData_Header,0)),)</f>
        <v>0</v>
      </c>
      <c r="AB135" s="48" t="str">
        <f aca="false">IFERROR(__xludf.dummyfunction("IFERROR(INDEX(SkillData,MATCH(Arrayformula(ARRAY_CONSTRAIN(FILTER(INDIRECT(""PalData!""&amp;ADDRESS(MATCH(B135,PalNames,0)+1,(MATCH(""Passive0b"",PalData_Header,0)))&amp;"":""&amp;ADDRESS(MATCH(B135,PalNames,0)+1,(MATCH(""Passive0b"",PalData_Header,0))+4)),LEN(INDIRE"&amp;"CT(""PalData!""&amp;ADDRESS(MATCH(B135,PalNames,0)+1,(MATCH(""Passive0b"",PalData_Header,0)))&amp;"":""&amp;ADDRESS(MATCH(B135,PalNames,0)+1,(MATCH(""Passive0b"",PalData_Header,0))+4)))&gt;0),1,1)),SkillDataCodeName,0)+1,MATCH(""EffectTypeCombined"",SkillData_Header,0))"&amp;")"),"")</f>
        <v/>
      </c>
      <c r="AC135" s="48" t="str">
        <f aca="false">IFERROR(__xludf.dummyfunction("IFERROR(INDEX(SkillData,MATCH(Arrayformula(ARRAY_CONSTRAIN(FILTER(INDIRECT(""PalData!""&amp;ADDRESS(MATCH(B135,PalNames,0)+1,(MATCH(""Passive0b"",PalData_Header,0)))&amp;"":""&amp;ADDRESS(MATCH(B135,PalNames,0)+1,(MATCH(""Passive0b"",PalData_Header,0))+4)),LEN(INDIRE"&amp;"CT(""PalData!""&amp;ADDRESS(MATCH(B135,PalNames,0)+1,(MATCH(""Passive0b"",PalData_Header,0)))&amp;"":""&amp;ADDRESS(MATCH(B135,PalNames,0)+1,(MATCH(""Passive0b"",PalData_Header,0))+4)))&gt;0),1,1)),SkillDataCodeName,0)+1,MATCH(""TargetType1"",SkillData_Header,0)))"),"")</f>
        <v/>
      </c>
      <c r="AD135" s="48" t="e">
        <f aca="false" t="array" ref="AD135:AD135">IF(INDEX(PalData,MATCH($B135,PalNames,0)+1,MATCH("Passive0bCondition",PalData_Header,0))=IFERROR(INDEX(SkillData,MATCH(INDEX(PalData,MATCH($B135,PalNames,0)+1,MATCH("Passive0b",PalData_Header,0)),SkillDataCodeName,0)+1,MATCH("Conditions",SkillData_Header,0))),INDEX(PalData,MATCH($B135,PalNames,0)+1,MATCH("Passive0bCondition",PalData_Header,0)),INDEX(PalData,MATCH($B135,PalNames,0)+1,MATCH("Passive0bCondition",PalData_Header,0)) &amp; IF(ISBLANK(INDEX(PalData,MATCH($B135,PalNames,0)+1,MATCH("Passive0bCondition",PalData_Header,0))),," ")&amp;IFERROR(INDEX(SkillData,MATCH(INDEX(PalData,MATCH($B135,PalNames,0)+1,MATCH("Passive0b",PalData_Header,0)),SkillDataCodeName,0)+1,MATCH("Conditions",SkillData_Header,0))))</f>
        <v>#N/A</v>
      </c>
      <c r="AE135" s="48" t="str">
        <f aca="false">IFERROR(__xludf.dummyfunction("IFERROR(INDEX(SkillData,MATCH(Arrayformula(ARRAY_CONSTRAIN(FILTER(INDIRECT(""PalData!""&amp;ADDRESS(MATCH(B135,PalNames,0)+1,(MATCH(""Passive0b"",PalData_Header,0)))&amp;"":""&amp;ADDRESS(MATCH(B135,PalNames,0)+1,(MATCH(""Passive0b"",PalData_Header,0))+4)),LEN(INDIRE"&amp;"CT(""PalData!""&amp;ADDRESS(MATCH(B135,PalNames,0)+1,(MATCH(""Passive0b"",PalData_Header,0)))&amp;"":""&amp;ADDRESS(MATCH(B135,PalNames,0)+1,(MATCH(""Passive0b"",PalData_Header,0))+4)))&gt;0),1,1)),SkillDataCodeName,0)+1,MATCH(""ValueType1"",SkillData_Header,0)))"),"")</f>
        <v/>
      </c>
      <c r="AF135" s="48" t="n">
        <f aca="false">IFERROR(INDEX(SkillData,MATCH(INDEX(PalData,MATCH($B135,PalNames,0)+1,MATCH("Passive0b",PalData_Header,0)),SkillDataCodeName,0)+1,MATCH("EffectValue1",SkillData_Header,0)),)</f>
        <v>0</v>
      </c>
      <c r="AG135" s="48" t="n">
        <f aca="false">IFERROR(INDEX(SkillData,MATCH(INDEX(PalData,MATCH($B135,PalNames,0)+1,MATCH("Passive1b",PalData_Header,0)),SkillDataCodeName,0)+1,MATCH("EffectValue1",SkillData_Header,0)),)</f>
        <v>0</v>
      </c>
      <c r="AH135" s="48" t="n">
        <f aca="false">IFERROR(INDEX(SkillData,MATCH(INDEX(PalData,MATCH($B135,PalNames,0)+1,MATCH("Passive2b",PalData_Header,0)),SkillDataCodeName,0)+1,MATCH("EffectValue1",SkillData_Header,0)),)</f>
        <v>0</v>
      </c>
      <c r="AI135" s="48" t="n">
        <f aca="false">IFERROR(INDEX(SkillData,MATCH(INDEX(PalData,MATCH($B135,PalNames,0)+1,MATCH("Passive3b",PalData_Header,0)),SkillDataCodeName,0)+1,MATCH("EffectValue1",SkillData_Header,0)),)</f>
        <v>0</v>
      </c>
      <c r="AJ135" s="263" t="n">
        <f aca="false">IFERROR(INDEX(SkillData,MATCH(INDEX(PalData,MATCH($B135,PalNames,0)+1,MATCH("Passive4b",PalData_Header,0)),SkillDataCodeName,0)+1,MATCH("EffectValue1",SkillData_Header,0)),)</f>
        <v>0</v>
      </c>
      <c r="AK135" s="305" t="s">
        <v>397</v>
      </c>
    </row>
    <row r="136" customFormat="false" ht="15.75" hidden="false" customHeight="false" outlineLevel="0" collapsed="false">
      <c r="A136" s="299" t="n">
        <v>107</v>
      </c>
      <c r="B136" s="300" t="s">
        <v>130</v>
      </c>
      <c r="C136" s="45" t="str">
        <f aca="false" t="array" ref="C136:C136">IF(ISBLANK(INDEX(PalData,MATCH($B136,PalNames,0)+1,MATCH("ActiveSkill",PalData_Header,0))),INDEX(PalData,MATCH($B136,PalNames,0)+1,MATCH("SkillUnlock_",PalData_Header,0)),INDEX(PalData,MATCH($B136,PalNames,0)+1,MATCH("ActiveSkill",PalData_Header,0)))</f>
        <v>Saddle</v>
      </c>
      <c r="D136" s="45"/>
      <c r="E136" s="45" t="n">
        <f aca="false">INDEX(PalData,MATCH($B136,PalNames,0)+1,MATCH("ActiveSkillBonus0",PalData_Header,0))</f>
        <v>0</v>
      </c>
      <c r="F136" s="45" t="n">
        <f aca="false">INDEX(PalData,MATCH($B136,PalNames,0)+1,MATCH("ActiveSkillBonus1",PalData_Header,0))</f>
        <v>0</v>
      </c>
      <c r="G136" s="45" t="n">
        <f aca="false">INDEX(PalData,MATCH($B136,PalNames,0)+1,MATCH("ActiveSkillBonus2",PalData_Header,0))</f>
        <v>0</v>
      </c>
      <c r="H136" s="45" t="n">
        <f aca="false">INDEX(PalData,MATCH($B136,PalNames,0)+1,MATCH("ActiveSkillBonus3",PalData_Header,0))</f>
        <v>0</v>
      </c>
      <c r="I136" s="260" t="n">
        <f aca="false">INDEX(PalData,MATCH($B136,PalNames,0)+1,MATCH("ActiveSkillBonus4",PalData_Header,0))</f>
        <v>0</v>
      </c>
      <c r="J136" s="45" t="str">
        <f aca="false">IFERROR(__xludf.dummyfunction("IFERROR(INDEX(SkillData,MATCH(Arrayformula(ARRAY_CONSTRAIN(FILTER(INDIRECT(""PalData!""&amp;ADDRESS(MATCH(B136,PalNames,0)+1,(MATCH(""Passive0c"",PalData_Header,0)))&amp;"":""&amp;ADDRESS(MATCH(B136,PalNames,0)+1,(MATCH(""Passive0c"",PalData_Header,0))+4)),LEN(INDIRE"&amp;"CT(""PalData!""&amp;ADDRESS(MATCH(B136,PalNames,0)+1,(MATCH(""Passive0c"",PalData_Header,0)))&amp;"":""&amp;ADDRESS(MATCH(B136,PalNames,0)+1,(MATCH(""Passive0c"",PalData_Header,0))+4)))&gt;0),1,1)),SkillDataCodeName,0)+1,MATCH(""EffectTypeCombined"",SkillData_Header,0))"&amp;")"),"ElementBoost_Dark")</f>
        <v>ElementBoost_Dark</v>
      </c>
      <c r="K136" s="45" t="str">
        <f aca="false">IFERROR(__xludf.dummyfunction("IFERROR(INDEX(SkillData,MATCH(Arrayformula(ARRAY_CONSTRAIN(FILTER(INDIRECT(""PalData!""&amp;ADDRESS(MATCH(B136,PalNames,0)+1,(MATCH(""Passive0c"",PalData_Header,0)))&amp;"":""&amp;ADDRESS(MATCH(B136,PalNames,0)+1,(MATCH(""Passive0c"",PalData_Header,0))+4)),LEN(INDIRE"&amp;"CT(""PalData!""&amp;ADDRESS(MATCH(B136,PalNames,0)+1,(MATCH(""Passive0c"",PalData_Header,0)))&amp;"":""&amp;ADDRESS(MATCH(B136,PalNames,0)+1,(MATCH(""Passive0c"",PalData_Header,0))+4)))&gt;0),1,1)),SkillDataCodeName,0)+1,MATCH(""TargetType1"",SkillData_Header,0)))"),"SelfAndTrainer")</f>
        <v>SelfAndTrainer</v>
      </c>
      <c r="L136" s="45" t="e">
        <f aca="false" t="array" ref="L136:L136">IF(INDEX(PalData,MATCH($B136,PalNames,0)+1,MATCH("Passive0cCondition",PalData_Header,0))=IFERROR(INDEX(SkillData,MATCH(INDEX(PalData,MATCH($B136,PalNames,0)+1,MATCH("Passive0c",PalData_Header,0)),SkillDataCodeName,0)+1,MATCH("Conditions",SkillData_Header,0))),INDEX(PalData,MATCH($B136,PalNames,0)+1,MATCH("Passive0cCondition",PalData_Header,0)),INDEX(PalData,MATCH($B136,PalNames,0)+1,MATCH("Passive0cCondition",PalData_Header,0)) &amp; IF(ISBLANK(INDEX(PalData,MATCH($B136,PalNames,0)+1,MATCH("Passive0cCondition",PalData_Header,0))),," ")&amp;IFERROR(INDEX(SkillData,MATCH(INDEX(PalData,MATCH($B136,PalNames,0)+1,MATCH("Passive0c",PalData_Header,0)),SkillDataCodeName,0)+1,MATCH("Conditions",SkillData_Header,0))))</f>
        <v>#VALUE!</v>
      </c>
      <c r="M136" s="45" t="str">
        <f aca="false">IFERROR(__xludf.dummyfunction("IFERROR(INDEX(SkillData,MATCH(Arrayformula(ARRAY_CONSTRAIN(FILTER(INDIRECT(""PalData!""&amp;ADDRESS(MATCH(B136,PalNames,0)+1,(MATCH(""Passive0c"",PalData_Header,0)))&amp;"":""&amp;ADDRESS(MATCH(B136,PalNames,0)+1,(MATCH(""Passive0c"",PalData_Header,0))+4)),LEN(INDIRE"&amp;"CT(""PalData!""&amp;ADDRESS(MATCH(B136,PalNames,0)+1,(MATCH(""Passive0c"",PalData_Header,0)))&amp;"":""&amp;ADDRESS(MATCH(B136,PalNames,0)+1,(MATCH(""Passive0c"",PalData_Header,0))+4)))&gt;0),1,1)),SkillDataCodeName,0)+1,MATCH(""ValueType1"",SkillData_Header,0)))"),"%")</f>
        <v>%</v>
      </c>
      <c r="N136" s="62" t="e">
        <f aca="false" t="array" ref="N136:N136">IFERROR(INDEX(SkillData,MATCH(INDEX(PalData,MATCH($B136,PalNames,0)+1,MATCH("Passive0c",PalData_Header,0)),SkillDataCodeName,0)+1,MATCH("EffectValue1",SkillData_Header,0)))</f>
        <v>#VALUE!</v>
      </c>
      <c r="O136" s="62" t="e">
        <f aca="false" t="array" ref="O136:O136">IFERROR(INDEX(SkillData,MATCH(INDEX(PalData,MATCH($B136,PalNames,0)+1,MATCH("Passive1c",PalData_Header,0)),SkillDataCodeName,0)+1,MATCH("EffectValue1",SkillData_Header,0)))</f>
        <v>#VALUE!</v>
      </c>
      <c r="P136" s="62" t="e">
        <f aca="false" t="array" ref="P136:P136">IFERROR(INDEX(SkillData,MATCH(INDEX(PalData,MATCH($B136,PalNames,0)+1,MATCH("Passive2c",PalData_Header,0)),SkillDataCodeName,0)+1,MATCH("EffectValue1",SkillData_Header,0)))</f>
        <v>#VALUE!</v>
      </c>
      <c r="Q136" s="62" t="e">
        <f aca="false" t="array" ref="Q136:Q136">IFERROR(INDEX(SkillData,MATCH(INDEX(PalData,MATCH($B136,PalNames,0)+1,MATCH("Passive3c",PalData_Header,0)),SkillDataCodeName,0)+1,MATCH("EffectValue1",SkillData_Header,0)))</f>
        <v>#VALUE!</v>
      </c>
      <c r="R136" s="306" t="e">
        <f aca="false" t="array" ref="R136:R136">IFERROR(INDEX(SkillData,MATCH(INDEX(PalData,MATCH($B136,PalNames,0)+1,MATCH("Passive4c",PalData_Header,0)),SkillDataCodeName,0)+1,MATCH("EffectValue1",SkillData_Header,0)))</f>
        <v>#VALUE!</v>
      </c>
      <c r="S136" s="45" t="str">
        <f aca="false">IFERROR(__xludf.dummyfunction("IFERROR(INDEX(SkillData,MATCH(Arrayformula(ARRAY_CONSTRAIN(FILTER(INDIRECT(""PalData!""&amp;ADDRESS(MATCH(B136,PalNames,0)+1,(MATCH(""Passive0a"",PalData_Header,0)))&amp;"":""&amp;ADDRESS(MATCH(B136,PalNames,0)+1,(MATCH(""Passive0a"",PalData_Header,0))+4)),LEN(INDIRE"&amp;"CT(""PalData!""&amp;ADDRESS(MATCH(B136,PalNames,0)+1,(MATCH(""Passive0a"",PalData_Header,0)))&amp;"":""&amp;ADDRESS(MATCH(B136,PalNames,0)+1,(MATCH(""Passive0a"",PalData_Header,0))+4)))&gt;0),1,1)),SkillDataCodeName,0)+1,MATCH(""EffectTypeCombined"",SkillData_Header,0))"&amp;")"),"")</f>
        <v/>
      </c>
      <c r="T136" s="45" t="str">
        <f aca="false">IFERROR(__xludf.dummyfunction("IFERROR(INDEX(SkillData,MATCH(Arrayformula(ARRAY_CONSTRAIN(FILTER(INDIRECT(""PalData!""&amp;ADDRESS(MATCH(B136,PalNames,0)+1,(MATCH(""Passive0a"",PalData_Header,0)))&amp;"":""&amp;ADDRESS(MATCH(B136,PalNames,0)+1,(MATCH(""Passive0a"",PalData_Header,0))+4)),LEN(INDIRE"&amp;"CT(""PalData!""&amp;ADDRESS(MATCH(B136,PalNames,0)+1,(MATCH(""Passive0a"",PalData_Header,0)))&amp;"":""&amp;ADDRESS(MATCH(B136,PalNames,0)+1,(MATCH(""Passive0a"",PalData_Header,0))+4)))&gt;0),1,1)),SkillDataCodeName,0)+1,MATCH(""TargetType1"",SkillData_Header,0)))"),"")</f>
        <v/>
      </c>
      <c r="U136" s="45" t="e">
        <f aca="false" t="array" ref="U136:U136">IF(INDEX(PalData,MATCH($B136,PalNames,0)+1,MATCH("Passive0aCondition",PalData_Header,0))=IFERROR(INDEX(SkillData,MATCH(INDEX(PalData,MATCH($B136,PalNames,0)+1,MATCH("Passive0a",PalData_Header,0)),SkillDataCodeName,0)+1,MATCH("Conditions",SkillData_Header,0))),INDEX(PalData,MATCH($B136,PalNames,0)+1,MATCH("Passive0aCondition",PalData_Header,0)),INDEX(PalData,MATCH($B136,PalNames,0)+1,MATCH("Passive0aCondition",PalData_Header,0)) &amp; IF(ISBLANK(INDEX(PalData,MATCH($B136,PalNames,0)+1,MATCH("Passive0aCondition",PalData_Header,0))),," ")&amp;IFERROR(INDEX(SkillData,MATCH(INDEX(PalData,MATCH($B136,PalNames,0)+1,MATCH("Passive0a",PalData_Header,0)),SkillDataCodeName,0)+1,MATCH("Conditions",SkillData_Header,0))))</f>
        <v>#N/A</v>
      </c>
      <c r="V136" s="45" t="str">
        <f aca="false">IFERROR(__xludf.dummyfunction("IFERROR(INDEX(SkillData,MATCH(Arrayformula(ARRAY_CONSTRAIN(FILTER(INDIRECT(""PalData!""&amp;ADDRESS(MATCH(B136,PalNames,0)+1,(MATCH(""Passive0a"",PalData_Header,0)))&amp;"":""&amp;ADDRESS(MATCH(B136,PalNames,0)+1,(MATCH(""Passive0a"",PalData_Header,0))+4)),LEN(INDIRE"&amp;"CT(""PalData!""&amp;ADDRESS(MATCH(B136,PalNames,0)+1,(MATCH(""Passive0a"",PalData_Header,0)))&amp;"":""&amp;ADDRESS(MATCH(B136,PalNames,0)+1,(MATCH(""Passive0a"",PalData_Header,0))+4)))&gt;0),1,1)),SkillDataCodeName,0)+1,MATCH(""ValueType1"",SkillData_Header,0)))"),"")</f>
        <v/>
      </c>
      <c r="W136" s="45" t="n">
        <f aca="false">IFERROR(INDEX(SkillData,MATCH(INDEX(PalData,MATCH($B136,PalNames,0)+1,MATCH("Passive0a",PalData_Header,0)),SkillDataCodeName,0)+1,MATCH("EffectValue1",SkillData_Header,0)),)</f>
        <v>0</v>
      </c>
      <c r="X136" s="45" t="n">
        <f aca="false">IFERROR(INDEX(SkillData,MATCH(INDEX(PalData,MATCH($B136,PalNames,0)+1,MATCH("Passive1a",PalData_Header,0)),SkillDataCodeName,0)+1,MATCH("EffectValue1",SkillData_Header,0)),)</f>
        <v>0</v>
      </c>
      <c r="Y136" s="45" t="n">
        <f aca="false">IFERROR(INDEX(SkillData,MATCH(INDEX(PalData,MATCH($B136,PalNames,0)+1,MATCH("Passive2a",PalData_Header,0)),SkillDataCodeName,0)+1,MATCH("EffectValue1",SkillData_Header,0)),)</f>
        <v>0</v>
      </c>
      <c r="Z136" s="45" t="n">
        <f aca="false">IFERROR(INDEX(SkillData,MATCH(INDEX(PalData,MATCH($B136,PalNames,0)+1,MATCH("Passive3a",PalData_Header,0)),SkillDataCodeName,0)+1,MATCH("EffectValue1",SkillData_Header,0)),)</f>
        <v>0</v>
      </c>
      <c r="AA136" s="260" t="n">
        <f aca="false">IFERROR(INDEX(SkillData,MATCH(INDEX(PalData,MATCH($B136,PalNames,0)+1,MATCH("Passive4a",PalData_Header,0)),SkillDataCodeName,0)+1,MATCH("EffectValue1",SkillData_Header,0)),)</f>
        <v>0</v>
      </c>
      <c r="AB136" s="45" t="str">
        <f aca="false">IFERROR(__xludf.dummyfunction("IFERROR(INDEX(SkillData,MATCH(Arrayformula(ARRAY_CONSTRAIN(FILTER(INDIRECT(""PalData!""&amp;ADDRESS(MATCH(B136,PalNames,0)+1,(MATCH(""Passive0b"",PalData_Header,0)))&amp;"":""&amp;ADDRESS(MATCH(B136,PalNames,0)+1,(MATCH(""Passive0b"",PalData_Header,0))+4)),LEN(INDIRE"&amp;"CT(""PalData!""&amp;ADDRESS(MATCH(B136,PalNames,0)+1,(MATCH(""Passive0b"",PalData_Header,0)))&amp;"":""&amp;ADDRESS(MATCH(B136,PalNames,0)+1,(MATCH(""Passive0b"",PalData_Header,0))+4)))&gt;0),1,1)),SkillDataCodeName,0)+1,MATCH(""EffectTypeCombined"",SkillData_Header,0))"&amp;")"),"")</f>
        <v/>
      </c>
      <c r="AC136" s="45" t="str">
        <f aca="false">IFERROR(__xludf.dummyfunction("IFERROR(INDEX(SkillData,MATCH(Arrayformula(ARRAY_CONSTRAIN(FILTER(INDIRECT(""PalData!""&amp;ADDRESS(MATCH(B136,PalNames,0)+1,(MATCH(""Passive0b"",PalData_Header,0)))&amp;"":""&amp;ADDRESS(MATCH(B136,PalNames,0)+1,(MATCH(""Passive0b"",PalData_Header,0))+4)),LEN(INDIRE"&amp;"CT(""PalData!""&amp;ADDRESS(MATCH(B136,PalNames,0)+1,(MATCH(""Passive0b"",PalData_Header,0)))&amp;"":""&amp;ADDRESS(MATCH(B136,PalNames,0)+1,(MATCH(""Passive0b"",PalData_Header,0))+4)))&gt;0),1,1)),SkillDataCodeName,0)+1,MATCH(""TargetType1"",SkillData_Header,0)))"),"")</f>
        <v/>
      </c>
      <c r="AD136" s="45" t="e">
        <f aca="false" t="array" ref="AD136:AD136">IF(INDEX(PalData,MATCH($B136,PalNames,0)+1,MATCH("Passive0bCondition",PalData_Header,0))=IFERROR(INDEX(SkillData,MATCH(INDEX(PalData,MATCH($B136,PalNames,0)+1,MATCH("Passive0b",PalData_Header,0)),SkillDataCodeName,0)+1,MATCH("Conditions",SkillData_Header,0))),INDEX(PalData,MATCH($B136,PalNames,0)+1,MATCH("Passive0bCondition",PalData_Header,0)),INDEX(PalData,MATCH($B136,PalNames,0)+1,MATCH("Passive0bCondition",PalData_Header,0)) &amp; IF(ISBLANK(INDEX(PalData,MATCH($B136,PalNames,0)+1,MATCH("Passive0bCondition",PalData_Header,0))),," ")&amp;IFERROR(INDEX(SkillData,MATCH(INDEX(PalData,MATCH($B136,PalNames,0)+1,MATCH("Passive0b",PalData_Header,0)),SkillDataCodeName,0)+1,MATCH("Conditions",SkillData_Header,0))))</f>
        <v>#N/A</v>
      </c>
      <c r="AE136" s="45" t="str">
        <f aca="false">IFERROR(__xludf.dummyfunction("IFERROR(INDEX(SkillData,MATCH(Arrayformula(ARRAY_CONSTRAIN(FILTER(INDIRECT(""PalData!""&amp;ADDRESS(MATCH(B136,PalNames,0)+1,(MATCH(""Passive0b"",PalData_Header,0)))&amp;"":""&amp;ADDRESS(MATCH(B136,PalNames,0)+1,(MATCH(""Passive0b"",PalData_Header,0))+4)),LEN(INDIRE"&amp;"CT(""PalData!""&amp;ADDRESS(MATCH(B136,PalNames,0)+1,(MATCH(""Passive0b"",PalData_Header,0)))&amp;"":""&amp;ADDRESS(MATCH(B136,PalNames,0)+1,(MATCH(""Passive0b"",PalData_Header,0))+4)))&gt;0),1,1)),SkillDataCodeName,0)+1,MATCH(""ValueType1"",SkillData_Header,0)))"),"")</f>
        <v/>
      </c>
      <c r="AF136" s="45" t="n">
        <f aca="false">IFERROR(INDEX(SkillData,MATCH(INDEX(PalData,MATCH($B136,PalNames,0)+1,MATCH("Passive0b",PalData_Header,0)),SkillDataCodeName,0)+1,MATCH("EffectValue1",SkillData_Header,0)),)</f>
        <v>0</v>
      </c>
      <c r="AG136" s="45" t="n">
        <f aca="false">IFERROR(INDEX(SkillData,MATCH(INDEX(PalData,MATCH($B136,PalNames,0)+1,MATCH("Passive1b",PalData_Header,0)),SkillDataCodeName,0)+1,MATCH("EffectValue1",SkillData_Header,0)),)</f>
        <v>0</v>
      </c>
      <c r="AH136" s="45" t="n">
        <f aca="false">IFERROR(INDEX(SkillData,MATCH(INDEX(PalData,MATCH($B136,PalNames,0)+1,MATCH("Passive2b",PalData_Header,0)),SkillDataCodeName,0)+1,MATCH("EffectValue1",SkillData_Header,0)),)</f>
        <v>0</v>
      </c>
      <c r="AI136" s="45" t="n">
        <f aca="false">IFERROR(INDEX(SkillData,MATCH(INDEX(PalData,MATCH($B136,PalNames,0)+1,MATCH("Passive3b",PalData_Header,0)),SkillDataCodeName,0)+1,MATCH("EffectValue1",SkillData_Header,0)),)</f>
        <v>0</v>
      </c>
      <c r="AJ136" s="260" t="n">
        <f aca="false">IFERROR(INDEX(SkillData,MATCH(INDEX(PalData,MATCH($B136,PalNames,0)+1,MATCH("Passive4b",PalData_Header,0)),SkillDataCodeName,0)+1,MATCH("EffectValue1",SkillData_Header,0)),)</f>
        <v>0</v>
      </c>
      <c r="AK136" s="301" t="s">
        <v>398</v>
      </c>
    </row>
    <row r="137" customFormat="false" ht="15.75" hidden="false" customHeight="false" outlineLevel="0" collapsed="false">
      <c r="A137" s="302" t="n">
        <v>108</v>
      </c>
      <c r="B137" s="303" t="s">
        <v>113</v>
      </c>
      <c r="C137" s="48" t="str">
        <f aca="false" t="array" ref="C137:C137">IF(ISBLANK(INDEX(PalData,MATCH($B137,PalNames,0)+1,MATCH("ActiveSkill",PalData_Header,0))),INDEX(PalData,MATCH($B137,PalNames,0)+1,MATCH("SkillUnlock_",PalData_Header,0)),INDEX(PalData,MATCH($B137,PalNames,0)+1,MATCH("ActiveSkill",PalData_Header,0)))</f>
        <v>Saddle</v>
      </c>
      <c r="D137" s="48"/>
      <c r="E137" s="48" t="n">
        <f aca="false">INDEX(PalData,MATCH($B137,PalNames,0)+1,MATCH("ActiveSkillBonus0",PalData_Header,0))</f>
        <v>0</v>
      </c>
      <c r="F137" s="48" t="n">
        <f aca="false">INDEX(PalData,MATCH($B137,PalNames,0)+1,MATCH("ActiveSkillBonus1",PalData_Header,0))</f>
        <v>0</v>
      </c>
      <c r="G137" s="48" t="n">
        <f aca="false">INDEX(PalData,MATCH($B137,PalNames,0)+1,MATCH("ActiveSkillBonus2",PalData_Header,0))</f>
        <v>0</v>
      </c>
      <c r="H137" s="48" t="n">
        <f aca="false">INDEX(PalData,MATCH($B137,PalNames,0)+1,MATCH("ActiveSkillBonus3",PalData_Header,0))</f>
        <v>0</v>
      </c>
      <c r="I137" s="263" t="n">
        <f aca="false">INDEX(PalData,MATCH($B137,PalNames,0)+1,MATCH("ActiveSkillBonus4",PalData_Header,0))</f>
        <v>0</v>
      </c>
      <c r="J137" s="48" t="str">
        <f aca="false">IFERROR(__xludf.dummyfunction("IFERROR(INDEX(SkillData,MATCH(Arrayformula(ARRAY_CONSTRAIN(FILTER(INDIRECT(""PalData!""&amp;ADDRESS(MATCH(B137,PalNames,0)+1,(MATCH(""Passive0c"",PalData_Header,0)))&amp;"":""&amp;ADDRESS(MATCH(B137,PalNames,0)+1,(MATCH(""Passive0c"",PalData_Header,0))+4)),LEN(INDIRE"&amp;"CT(""PalData!""&amp;ADDRESS(MATCH(B137,PalNames,0)+1,(MATCH(""Passive0c"",PalData_Header,0)))&amp;"":""&amp;ADDRESS(MATCH(B137,PalNames,0)+1,(MATCH(""Passive0c"",PalData_Header,0))+4)))&gt;0),1,1)),SkillDataCodeName,0)+1,MATCH(""EffectTypeCombined"",SkillData_Header,0))"&amp;")"),"MoveSpeed")</f>
        <v>MoveSpeed</v>
      </c>
      <c r="K137" s="48" t="str">
        <f aca="false">IFERROR(__xludf.dummyfunction("IFERROR(INDEX(SkillData,MATCH(Arrayformula(ARRAY_CONSTRAIN(FILTER(INDIRECT(""PalData!""&amp;ADDRESS(MATCH(B137,PalNames,0)+1,(MATCH(""Passive0c"",PalData_Header,0)))&amp;"":""&amp;ADDRESS(MATCH(B137,PalNames,0)+1,(MATCH(""Passive0c"",PalData_Header,0))+4)),LEN(INDIRE"&amp;"CT(""PalData!""&amp;ADDRESS(MATCH(B137,PalNames,0)+1,(MATCH(""Passive0c"",PalData_Header,0)))&amp;"":""&amp;ADDRESS(MATCH(B137,PalNames,0)+1,(MATCH(""Passive0c"",PalData_Header,0))+4)))&gt;0),1,1)),SkillDataCodeName,0)+1,MATCH(""TargetType1"",SkillData_Header,0)))"),"SelfAndTrainer")</f>
        <v>SelfAndTrainer</v>
      </c>
      <c r="L137" s="48" t="e">
        <f aca="false" t="array" ref="L137:L137">IF(INDEX(PalData,MATCH($B137,PalNames,0)+1,MATCH("Passive0cCondition",PalData_Header,0))=IFERROR(INDEX(SkillData,MATCH(INDEX(PalData,MATCH($B137,PalNames,0)+1,MATCH("Passive0c",PalData_Header,0)),SkillDataCodeName,0)+1,MATCH("Conditions",SkillData_Header,0))),INDEX(PalData,MATCH($B137,PalNames,0)+1,MATCH("Passive0cCondition",PalData_Header,0)),INDEX(PalData,MATCH($B137,PalNames,0)+1,MATCH("Passive0cCondition",PalData_Header,0)) &amp; IF(ISBLANK(INDEX(PalData,MATCH($B137,PalNames,0)+1,MATCH("Passive0cCondition",PalData_Header,0))),," ")&amp;IFERROR(INDEX(SkillData,MATCH(INDEX(PalData,MATCH($B137,PalNames,0)+1,MATCH("Passive0c",PalData_Header,0)),SkillDataCodeName,0)+1,MATCH("Conditions",SkillData_Header,0))))</f>
        <v>#N/A</v>
      </c>
      <c r="M137" s="48" t="str">
        <f aca="false">IFERROR(__xludf.dummyfunction("IFERROR(INDEX(SkillData,MATCH(Arrayformula(ARRAY_CONSTRAIN(FILTER(INDIRECT(""PalData!""&amp;ADDRESS(MATCH(B137,PalNames,0)+1,(MATCH(""Passive0c"",PalData_Header,0)))&amp;"":""&amp;ADDRESS(MATCH(B137,PalNames,0)+1,(MATCH(""Passive0c"",PalData_Header,0))+4)),LEN(INDIRE"&amp;"CT(""PalData!""&amp;ADDRESS(MATCH(B137,PalNames,0)+1,(MATCH(""Passive0c"",PalData_Header,0)))&amp;"":""&amp;ADDRESS(MATCH(B137,PalNames,0)+1,(MATCH(""Passive0c"",PalData_Header,0))+4)))&gt;0),1,1)),SkillDataCodeName,0)+1,MATCH(""ValueType1"",SkillData_Header,0)))"),"%")</f>
        <v>%</v>
      </c>
      <c r="N137" s="48" t="e">
        <f aca="false" t="array" ref="N137:N137">IFERROR(INDEX(SkillData,MATCH(INDEX(PalData,MATCH($B137,PalNames,0)+1,MATCH("Passive0c",PalData_Header,0)),SkillDataCodeName,0)+1,MATCH("EffectValue1",SkillData_Header,0)))</f>
        <v>#VALUE!</v>
      </c>
      <c r="O137" s="61" t="e">
        <f aca="false" t="array" ref="O137:O137">IFERROR(INDEX(SkillData,MATCH(INDEX(PalData,MATCH($B137,PalNames,0)+1,MATCH("Passive1c",PalData_Header,0)),SkillDataCodeName,0)+1,MATCH("EffectValue1",SkillData_Header,0)))</f>
        <v>#VALUE!</v>
      </c>
      <c r="P137" s="61" t="e">
        <f aca="false" t="array" ref="P137:P137">IFERROR(INDEX(SkillData,MATCH(INDEX(PalData,MATCH($B137,PalNames,0)+1,MATCH("Passive2c",PalData_Header,0)),SkillDataCodeName,0)+1,MATCH("EffectValue1",SkillData_Header,0)))</f>
        <v>#VALUE!</v>
      </c>
      <c r="Q137" s="61" t="e">
        <f aca="false" t="array" ref="Q137:Q137">IFERROR(INDEX(SkillData,MATCH(INDEX(PalData,MATCH($B137,PalNames,0)+1,MATCH("Passive3c",PalData_Header,0)),SkillDataCodeName,0)+1,MATCH("EffectValue1",SkillData_Header,0)))</f>
        <v>#VALUE!</v>
      </c>
      <c r="R137" s="304" t="e">
        <f aca="false" t="array" ref="R137:R137">IFERROR(INDEX(SkillData,MATCH(INDEX(PalData,MATCH($B137,PalNames,0)+1,MATCH("Passive4c",PalData_Header,0)),SkillDataCodeName,0)+1,MATCH("EffectValue1",SkillData_Header,0)))</f>
        <v>#VALUE!</v>
      </c>
      <c r="S137" s="48" t="str">
        <f aca="false">IFERROR(__xludf.dummyfunction("IFERROR(INDEX(SkillData,MATCH(Arrayformula(ARRAY_CONSTRAIN(FILTER(INDIRECT(""PalData!""&amp;ADDRESS(MATCH(B137,PalNames,0)+1,(MATCH(""Passive0a"",PalData_Header,0)))&amp;"":""&amp;ADDRESS(MATCH(B137,PalNames,0)+1,(MATCH(""Passive0a"",PalData_Header,0))+4)),LEN(INDIRE"&amp;"CT(""PalData!""&amp;ADDRESS(MATCH(B137,PalNames,0)+1,(MATCH(""Passive0a"",PalData_Header,0)))&amp;"":""&amp;ADDRESS(MATCH(B137,PalNames,0)+1,(MATCH(""Passive0a"",PalData_Header,0))+4)))&gt;0),1,1)),SkillDataCodeName,0)+1,MATCH(""EffectTypeCombined"",SkillData_Header,0))"&amp;")"),"")</f>
        <v/>
      </c>
      <c r="T137" s="48" t="str">
        <f aca="false">IFERROR(__xludf.dummyfunction("IFERROR(INDEX(SkillData,MATCH(Arrayformula(ARRAY_CONSTRAIN(FILTER(INDIRECT(""PalData!""&amp;ADDRESS(MATCH(B137,PalNames,0)+1,(MATCH(""Passive0a"",PalData_Header,0)))&amp;"":""&amp;ADDRESS(MATCH(B137,PalNames,0)+1,(MATCH(""Passive0a"",PalData_Header,0))+4)),LEN(INDIRE"&amp;"CT(""PalData!""&amp;ADDRESS(MATCH(B137,PalNames,0)+1,(MATCH(""Passive0a"",PalData_Header,0)))&amp;"":""&amp;ADDRESS(MATCH(B137,PalNames,0)+1,(MATCH(""Passive0a"",PalData_Header,0))+4)))&gt;0),1,1)),SkillDataCodeName,0)+1,MATCH(""TargetType1"",SkillData_Header,0)))"),"")</f>
        <v/>
      </c>
      <c r="U137" s="48" t="e">
        <f aca="false" t="array" ref="U137:U137">IF(INDEX(PalData,MATCH($B137,PalNames,0)+1,MATCH("Passive0aCondition",PalData_Header,0))=IFERROR(INDEX(SkillData,MATCH(INDEX(PalData,MATCH($B137,PalNames,0)+1,MATCH("Passive0a",PalData_Header,0)),SkillDataCodeName,0)+1,MATCH("Conditions",SkillData_Header,0))),INDEX(PalData,MATCH($B137,PalNames,0)+1,MATCH("Passive0aCondition",PalData_Header,0)),INDEX(PalData,MATCH($B137,PalNames,0)+1,MATCH("Passive0aCondition",PalData_Header,0)) &amp; IF(ISBLANK(INDEX(PalData,MATCH($B137,PalNames,0)+1,MATCH("Passive0aCondition",PalData_Header,0))),," ")&amp;IFERROR(INDEX(SkillData,MATCH(INDEX(PalData,MATCH($B137,PalNames,0)+1,MATCH("Passive0a",PalData_Header,0)),SkillDataCodeName,0)+1,MATCH("Conditions",SkillData_Header,0))))</f>
        <v>#N/A</v>
      </c>
      <c r="V137" s="48" t="str">
        <f aca="false">IFERROR(__xludf.dummyfunction("IFERROR(INDEX(SkillData,MATCH(Arrayformula(ARRAY_CONSTRAIN(FILTER(INDIRECT(""PalData!""&amp;ADDRESS(MATCH(B137,PalNames,0)+1,(MATCH(""Passive0a"",PalData_Header,0)))&amp;"":""&amp;ADDRESS(MATCH(B137,PalNames,0)+1,(MATCH(""Passive0a"",PalData_Header,0))+4)),LEN(INDIRE"&amp;"CT(""PalData!""&amp;ADDRESS(MATCH(B137,PalNames,0)+1,(MATCH(""Passive0a"",PalData_Header,0)))&amp;"":""&amp;ADDRESS(MATCH(B137,PalNames,0)+1,(MATCH(""Passive0a"",PalData_Header,0))+4)))&gt;0),1,1)),SkillDataCodeName,0)+1,MATCH(""ValueType1"",SkillData_Header,0)))"),"")</f>
        <v/>
      </c>
      <c r="W137" s="48" t="n">
        <f aca="false">IFERROR(INDEX(SkillData,MATCH(INDEX(PalData,MATCH($B137,PalNames,0)+1,MATCH("Passive0a",PalData_Header,0)),SkillDataCodeName,0)+1,MATCH("EffectValue1",SkillData_Header,0)),)</f>
        <v>0</v>
      </c>
      <c r="X137" s="48" t="n">
        <f aca="false">IFERROR(INDEX(SkillData,MATCH(INDEX(PalData,MATCH($B137,PalNames,0)+1,MATCH("Passive1a",PalData_Header,0)),SkillDataCodeName,0)+1,MATCH("EffectValue1",SkillData_Header,0)),)</f>
        <v>0</v>
      </c>
      <c r="Y137" s="48" t="n">
        <f aca="false">IFERROR(INDEX(SkillData,MATCH(INDEX(PalData,MATCH($B137,PalNames,0)+1,MATCH("Passive2a",PalData_Header,0)),SkillDataCodeName,0)+1,MATCH("EffectValue1",SkillData_Header,0)),)</f>
        <v>0</v>
      </c>
      <c r="Z137" s="48" t="n">
        <f aca="false">IFERROR(INDEX(SkillData,MATCH(INDEX(PalData,MATCH($B137,PalNames,0)+1,MATCH("Passive3a",PalData_Header,0)),SkillDataCodeName,0)+1,MATCH("EffectValue1",SkillData_Header,0)),)</f>
        <v>0</v>
      </c>
      <c r="AA137" s="263" t="n">
        <f aca="false">IFERROR(INDEX(SkillData,MATCH(INDEX(PalData,MATCH($B137,PalNames,0)+1,MATCH("Passive4a",PalData_Header,0)),SkillDataCodeName,0)+1,MATCH("EffectValue1",SkillData_Header,0)),)</f>
        <v>0</v>
      </c>
      <c r="AB137" s="48" t="str">
        <f aca="false">IFERROR(__xludf.dummyfunction("IFERROR(INDEX(SkillData,MATCH(Arrayformula(ARRAY_CONSTRAIN(FILTER(INDIRECT(""PalData!""&amp;ADDRESS(MATCH(B137,PalNames,0)+1,(MATCH(""Passive0b"",PalData_Header,0)))&amp;"":""&amp;ADDRESS(MATCH(B137,PalNames,0)+1,(MATCH(""Passive0b"",PalData_Header,0))+4)),LEN(INDIRE"&amp;"CT(""PalData!""&amp;ADDRESS(MATCH(B137,PalNames,0)+1,(MATCH(""Passive0b"",PalData_Header,0)))&amp;"":""&amp;ADDRESS(MATCH(B137,PalNames,0)+1,(MATCH(""Passive0b"",PalData_Header,0))+4)))&gt;0),1,1)),SkillDataCodeName,0)+1,MATCH(""EffectTypeCombined"",SkillData_Header,0))"&amp;")"),"")</f>
        <v/>
      </c>
      <c r="AC137" s="48" t="str">
        <f aca="false">IFERROR(__xludf.dummyfunction("IFERROR(INDEX(SkillData,MATCH(Arrayformula(ARRAY_CONSTRAIN(FILTER(INDIRECT(""PalData!""&amp;ADDRESS(MATCH(B137,PalNames,0)+1,(MATCH(""Passive0b"",PalData_Header,0)))&amp;"":""&amp;ADDRESS(MATCH(B137,PalNames,0)+1,(MATCH(""Passive0b"",PalData_Header,0))+4)),LEN(INDIRE"&amp;"CT(""PalData!""&amp;ADDRESS(MATCH(B137,PalNames,0)+1,(MATCH(""Passive0b"",PalData_Header,0)))&amp;"":""&amp;ADDRESS(MATCH(B137,PalNames,0)+1,(MATCH(""Passive0b"",PalData_Header,0))+4)))&gt;0),1,1)),SkillDataCodeName,0)+1,MATCH(""TargetType1"",SkillData_Header,0)))"),"")</f>
        <v/>
      </c>
      <c r="AD137" s="48" t="e">
        <f aca="false" t="array" ref="AD137:AD137">IF(INDEX(PalData,MATCH($B137,PalNames,0)+1,MATCH("Passive0bCondition",PalData_Header,0))=IFERROR(INDEX(SkillData,MATCH(INDEX(PalData,MATCH($B137,PalNames,0)+1,MATCH("Passive0b",PalData_Header,0)),SkillDataCodeName,0)+1,MATCH("Conditions",SkillData_Header,0))),INDEX(PalData,MATCH($B137,PalNames,0)+1,MATCH("Passive0bCondition",PalData_Header,0)),INDEX(PalData,MATCH($B137,PalNames,0)+1,MATCH("Passive0bCondition",PalData_Header,0)) &amp; IF(ISBLANK(INDEX(PalData,MATCH($B137,PalNames,0)+1,MATCH("Passive0bCondition",PalData_Header,0))),," ")&amp;IFERROR(INDEX(SkillData,MATCH(INDEX(PalData,MATCH($B137,PalNames,0)+1,MATCH("Passive0b",PalData_Header,0)),SkillDataCodeName,0)+1,MATCH("Conditions",SkillData_Header,0))))</f>
        <v>#N/A</v>
      </c>
      <c r="AE137" s="48" t="str">
        <f aca="false">IFERROR(__xludf.dummyfunction("IFERROR(INDEX(SkillData,MATCH(Arrayformula(ARRAY_CONSTRAIN(FILTER(INDIRECT(""PalData!""&amp;ADDRESS(MATCH(B137,PalNames,0)+1,(MATCH(""Passive0b"",PalData_Header,0)))&amp;"":""&amp;ADDRESS(MATCH(B137,PalNames,0)+1,(MATCH(""Passive0b"",PalData_Header,0))+4)),LEN(INDIRE"&amp;"CT(""PalData!""&amp;ADDRESS(MATCH(B137,PalNames,0)+1,(MATCH(""Passive0b"",PalData_Header,0)))&amp;"":""&amp;ADDRESS(MATCH(B137,PalNames,0)+1,(MATCH(""Passive0b"",PalData_Header,0))+4)))&gt;0),1,1)),SkillDataCodeName,0)+1,MATCH(""ValueType1"",SkillData_Header,0)))"),"")</f>
        <v/>
      </c>
      <c r="AF137" s="48" t="n">
        <f aca="false">IFERROR(INDEX(SkillData,MATCH(INDEX(PalData,MATCH($B137,PalNames,0)+1,MATCH("Passive0b",PalData_Header,0)),SkillDataCodeName,0)+1,MATCH("EffectValue1",SkillData_Header,0)),)</f>
        <v>0</v>
      </c>
      <c r="AG137" s="48" t="n">
        <f aca="false">IFERROR(INDEX(SkillData,MATCH(INDEX(PalData,MATCH($B137,PalNames,0)+1,MATCH("Passive1b",PalData_Header,0)),SkillDataCodeName,0)+1,MATCH("EffectValue1",SkillData_Header,0)),)</f>
        <v>0</v>
      </c>
      <c r="AH137" s="48" t="n">
        <f aca="false">IFERROR(INDEX(SkillData,MATCH(INDEX(PalData,MATCH($B137,PalNames,0)+1,MATCH("Passive2b",PalData_Header,0)),SkillDataCodeName,0)+1,MATCH("EffectValue1",SkillData_Header,0)),)</f>
        <v>0</v>
      </c>
      <c r="AI137" s="48" t="n">
        <f aca="false">IFERROR(INDEX(SkillData,MATCH(INDEX(PalData,MATCH($B137,PalNames,0)+1,MATCH("Passive3b",PalData_Header,0)),SkillDataCodeName,0)+1,MATCH("EffectValue1",SkillData_Header,0)),)</f>
        <v>0</v>
      </c>
      <c r="AJ137" s="263" t="n">
        <f aca="false">IFERROR(INDEX(SkillData,MATCH(INDEX(PalData,MATCH($B137,PalNames,0)+1,MATCH("Passive4b",PalData_Header,0)),SkillDataCodeName,0)+1,MATCH("EffectValue1",SkillData_Header,0)),)</f>
        <v>0</v>
      </c>
      <c r="AK137" s="305" t="s">
        <v>399</v>
      </c>
    </row>
    <row r="138" customFormat="false" ht="15.75" hidden="false" customHeight="false" outlineLevel="0" collapsed="false">
      <c r="A138" s="299" t="n">
        <v>109</v>
      </c>
      <c r="B138" s="300" t="s">
        <v>109</v>
      </c>
      <c r="C138" s="45" t="str">
        <f aca="false" t="array" ref="C138:C138">IF(ISBLANK(INDEX(PalData,MATCH($B138,PalNames,0)+1,MATCH("ActiveSkill",PalData_Header,0))),INDEX(PalData,MATCH($B138,PalNames,0)+1,MATCH("SkillUnlock_",PalData_Header,0)),INDEX(PalData,MATCH($B138,PalNames,0)+1,MATCH("ActiveSkill",PalData_Header,0)))</f>
        <v>Saddle</v>
      </c>
      <c r="D138" s="45"/>
      <c r="E138" s="45" t="n">
        <f aca="false">INDEX(PalData,MATCH($B138,PalNames,0)+1,MATCH("ActiveSkillBonus0",PalData_Header,0))</f>
        <v>0</v>
      </c>
      <c r="F138" s="45" t="n">
        <f aca="false">INDEX(PalData,MATCH($B138,PalNames,0)+1,MATCH("ActiveSkillBonus1",PalData_Header,0))</f>
        <v>0</v>
      </c>
      <c r="G138" s="45" t="n">
        <f aca="false">INDEX(PalData,MATCH($B138,PalNames,0)+1,MATCH("ActiveSkillBonus2",PalData_Header,0))</f>
        <v>0</v>
      </c>
      <c r="H138" s="45" t="n">
        <f aca="false">INDEX(PalData,MATCH($B138,PalNames,0)+1,MATCH("ActiveSkillBonus3",PalData_Header,0))</f>
        <v>0</v>
      </c>
      <c r="I138" s="260" t="n">
        <f aca="false">INDEX(PalData,MATCH($B138,PalNames,0)+1,MATCH("ActiveSkillBonus4",PalData_Header,0))</f>
        <v>0</v>
      </c>
      <c r="J138" s="45" t="str">
        <f aca="false">IFERROR(__xludf.dummyfunction("IFERROR(INDEX(SkillData,MATCH(Arrayformula(ARRAY_CONSTRAIN(FILTER(INDIRECT(""PalData!""&amp;ADDRESS(MATCH(B138,PalNames,0)+1,(MATCH(""Passive0c"",PalData_Header,0)))&amp;"":""&amp;ADDRESS(MATCH(B138,PalNames,0)+1,(MATCH(""Passive0c"",PalData_Header,0))+4)),LEN(INDIRE"&amp;"CT(""PalData!""&amp;ADDRESS(MATCH(B138,PalNames,0)+1,(MATCH(""Passive0c"",PalData_Header,0)))&amp;"":""&amp;ADDRESS(MATCH(B138,PalNames,0)+1,(MATCH(""Passive0c"",PalData_Header,0))+4)))&gt;0),1,1)),SkillDataCodeName,0)+1,MATCH(""EffectTypeCombined"",SkillData_Header,0))"&amp;")"),"MoveSpeed")</f>
        <v>MoveSpeed</v>
      </c>
      <c r="K138" s="45" t="str">
        <f aca="false">IFERROR(__xludf.dummyfunction("IFERROR(INDEX(SkillData,MATCH(Arrayformula(ARRAY_CONSTRAIN(FILTER(INDIRECT(""PalData!""&amp;ADDRESS(MATCH(B138,PalNames,0)+1,(MATCH(""Passive0c"",PalData_Header,0)))&amp;"":""&amp;ADDRESS(MATCH(B138,PalNames,0)+1,(MATCH(""Passive0c"",PalData_Header,0))+4)),LEN(INDIRE"&amp;"CT(""PalData!""&amp;ADDRESS(MATCH(B138,PalNames,0)+1,(MATCH(""Passive0c"",PalData_Header,0)))&amp;"":""&amp;ADDRESS(MATCH(B138,PalNames,0)+1,(MATCH(""Passive0c"",PalData_Header,0))+4)))&gt;0),1,1)),SkillDataCodeName,0)+1,MATCH(""TargetType1"",SkillData_Header,0)))"),"SelfAndTrainer")</f>
        <v>SelfAndTrainer</v>
      </c>
      <c r="L138" s="45" t="e">
        <f aca="false" t="array" ref="L138:L138">IF(INDEX(PalData,MATCH($B138,PalNames,0)+1,MATCH("Passive0cCondition",PalData_Header,0))=IFERROR(INDEX(SkillData,MATCH(INDEX(PalData,MATCH($B138,PalNames,0)+1,MATCH("Passive0c",PalData_Header,0)),SkillDataCodeName,0)+1,MATCH("Conditions",SkillData_Header,0))),INDEX(PalData,MATCH($B138,PalNames,0)+1,MATCH("Passive0cCondition",PalData_Header,0)),INDEX(PalData,MATCH($B138,PalNames,0)+1,MATCH("Passive0cCondition",PalData_Header,0)) &amp; IF(ISBLANK(INDEX(PalData,MATCH($B138,PalNames,0)+1,MATCH("Passive0cCondition",PalData_Header,0))),," ")&amp;IFERROR(INDEX(SkillData,MATCH(INDEX(PalData,MATCH($B138,PalNames,0)+1,MATCH("Passive0c",PalData_Header,0)),SkillDataCodeName,0)+1,MATCH("Conditions",SkillData_Header,0))))</f>
        <v>#N/A</v>
      </c>
      <c r="M138" s="45" t="str">
        <f aca="false">IFERROR(__xludf.dummyfunction("IFERROR(INDEX(SkillData,MATCH(Arrayformula(ARRAY_CONSTRAIN(FILTER(INDIRECT(""PalData!""&amp;ADDRESS(MATCH(B138,PalNames,0)+1,(MATCH(""Passive0c"",PalData_Header,0)))&amp;"":""&amp;ADDRESS(MATCH(B138,PalNames,0)+1,(MATCH(""Passive0c"",PalData_Header,0))+4)),LEN(INDIRE"&amp;"CT(""PalData!""&amp;ADDRESS(MATCH(B138,PalNames,0)+1,(MATCH(""Passive0c"",PalData_Header,0)))&amp;"":""&amp;ADDRESS(MATCH(B138,PalNames,0)+1,(MATCH(""Passive0c"",PalData_Header,0))+4)))&gt;0),1,1)),SkillDataCodeName,0)+1,MATCH(""ValueType1"",SkillData_Header,0)))"),"%")</f>
        <v>%</v>
      </c>
      <c r="N138" s="45" t="e">
        <f aca="false" t="array" ref="N138:N138">IFERROR(INDEX(SkillData,MATCH(INDEX(PalData,MATCH($B138,PalNames,0)+1,MATCH("Passive0c",PalData_Header,0)),SkillDataCodeName,0)+1,MATCH("EffectValue1",SkillData_Header,0)))</f>
        <v>#VALUE!</v>
      </c>
      <c r="O138" s="62" t="e">
        <f aca="false" t="array" ref="O138:O138">IFERROR(INDEX(SkillData,MATCH(INDEX(PalData,MATCH($B138,PalNames,0)+1,MATCH("Passive1c",PalData_Header,0)),SkillDataCodeName,0)+1,MATCH("EffectValue1",SkillData_Header,0)))</f>
        <v>#VALUE!</v>
      </c>
      <c r="P138" s="62" t="e">
        <f aca="false" t="array" ref="P138:P138">IFERROR(INDEX(SkillData,MATCH(INDEX(PalData,MATCH($B138,PalNames,0)+1,MATCH("Passive2c",PalData_Header,0)),SkillDataCodeName,0)+1,MATCH("EffectValue1",SkillData_Header,0)))</f>
        <v>#VALUE!</v>
      </c>
      <c r="Q138" s="62" t="e">
        <f aca="false" t="array" ref="Q138:Q138">IFERROR(INDEX(SkillData,MATCH(INDEX(PalData,MATCH($B138,PalNames,0)+1,MATCH("Passive3c",PalData_Header,0)),SkillDataCodeName,0)+1,MATCH("EffectValue1",SkillData_Header,0)))</f>
        <v>#VALUE!</v>
      </c>
      <c r="R138" s="306" t="e">
        <f aca="false" t="array" ref="R138:R138">IFERROR(INDEX(SkillData,MATCH(INDEX(PalData,MATCH($B138,PalNames,0)+1,MATCH("Passive4c",PalData_Header,0)),SkillDataCodeName,0)+1,MATCH("EffectValue1",SkillData_Header,0)))</f>
        <v>#VALUE!</v>
      </c>
      <c r="S138" s="45" t="str">
        <f aca="false">IFERROR(__xludf.dummyfunction("IFERROR(INDEX(SkillData,MATCH(Arrayformula(ARRAY_CONSTRAIN(FILTER(INDIRECT(""PalData!""&amp;ADDRESS(MATCH(B138,PalNames,0)+1,(MATCH(""Passive0a"",PalData_Header,0)))&amp;"":""&amp;ADDRESS(MATCH(B138,PalNames,0)+1,(MATCH(""Passive0a"",PalData_Header,0))+4)),LEN(INDIRE"&amp;"CT(""PalData!""&amp;ADDRESS(MATCH(B138,PalNames,0)+1,(MATCH(""Passive0a"",PalData_Header,0)))&amp;"":""&amp;ADDRESS(MATCH(B138,PalNames,0)+1,(MATCH(""Passive0a"",PalData_Header,0))+4)))&gt;0),1,1)),SkillDataCodeName,0)+1,MATCH(""EffectTypeCombined"",SkillData_Header,0))"&amp;")"),"")</f>
        <v/>
      </c>
      <c r="T138" s="45" t="str">
        <f aca="false">IFERROR(__xludf.dummyfunction("IFERROR(INDEX(SkillData,MATCH(Arrayformula(ARRAY_CONSTRAIN(FILTER(INDIRECT(""PalData!""&amp;ADDRESS(MATCH(B138,PalNames,0)+1,(MATCH(""Passive0a"",PalData_Header,0)))&amp;"":""&amp;ADDRESS(MATCH(B138,PalNames,0)+1,(MATCH(""Passive0a"",PalData_Header,0))+4)),LEN(INDIRE"&amp;"CT(""PalData!""&amp;ADDRESS(MATCH(B138,PalNames,0)+1,(MATCH(""Passive0a"",PalData_Header,0)))&amp;"":""&amp;ADDRESS(MATCH(B138,PalNames,0)+1,(MATCH(""Passive0a"",PalData_Header,0))+4)))&gt;0),1,1)),SkillDataCodeName,0)+1,MATCH(""TargetType1"",SkillData_Header,0)))"),"")</f>
        <v/>
      </c>
      <c r="U138" s="45" t="e">
        <f aca="false" t="array" ref="U138:U138">IF(INDEX(PalData,MATCH($B138,PalNames,0)+1,MATCH("Passive0aCondition",PalData_Header,0))=IFERROR(INDEX(SkillData,MATCH(INDEX(PalData,MATCH($B138,PalNames,0)+1,MATCH("Passive0a",PalData_Header,0)),SkillDataCodeName,0)+1,MATCH("Conditions",SkillData_Header,0))),INDEX(PalData,MATCH($B138,PalNames,0)+1,MATCH("Passive0aCondition",PalData_Header,0)),INDEX(PalData,MATCH($B138,PalNames,0)+1,MATCH("Passive0aCondition",PalData_Header,0)) &amp; IF(ISBLANK(INDEX(PalData,MATCH($B138,PalNames,0)+1,MATCH("Passive0aCondition",PalData_Header,0))),," ")&amp;IFERROR(INDEX(SkillData,MATCH(INDEX(PalData,MATCH($B138,PalNames,0)+1,MATCH("Passive0a",PalData_Header,0)),SkillDataCodeName,0)+1,MATCH("Conditions",SkillData_Header,0))))</f>
        <v>#N/A</v>
      </c>
      <c r="V138" s="45" t="str">
        <f aca="false">IFERROR(__xludf.dummyfunction("IFERROR(INDEX(SkillData,MATCH(Arrayformula(ARRAY_CONSTRAIN(FILTER(INDIRECT(""PalData!""&amp;ADDRESS(MATCH(B138,PalNames,0)+1,(MATCH(""Passive0a"",PalData_Header,0)))&amp;"":""&amp;ADDRESS(MATCH(B138,PalNames,0)+1,(MATCH(""Passive0a"",PalData_Header,0))+4)),LEN(INDIRE"&amp;"CT(""PalData!""&amp;ADDRESS(MATCH(B138,PalNames,0)+1,(MATCH(""Passive0a"",PalData_Header,0)))&amp;"":""&amp;ADDRESS(MATCH(B138,PalNames,0)+1,(MATCH(""Passive0a"",PalData_Header,0))+4)))&gt;0),1,1)),SkillDataCodeName,0)+1,MATCH(""ValueType1"",SkillData_Header,0)))"),"")</f>
        <v/>
      </c>
      <c r="W138" s="45" t="n">
        <f aca="false">IFERROR(INDEX(SkillData,MATCH(INDEX(PalData,MATCH($B138,PalNames,0)+1,MATCH("Passive0a",PalData_Header,0)),SkillDataCodeName,0)+1,MATCH("EffectValue1",SkillData_Header,0)),)</f>
        <v>0</v>
      </c>
      <c r="X138" s="45" t="n">
        <f aca="false">IFERROR(INDEX(SkillData,MATCH(INDEX(PalData,MATCH($B138,PalNames,0)+1,MATCH("Passive1a",PalData_Header,0)),SkillDataCodeName,0)+1,MATCH("EffectValue1",SkillData_Header,0)),)</f>
        <v>0</v>
      </c>
      <c r="Y138" s="45" t="n">
        <f aca="false">IFERROR(INDEX(SkillData,MATCH(INDEX(PalData,MATCH($B138,PalNames,0)+1,MATCH("Passive2a",PalData_Header,0)),SkillDataCodeName,0)+1,MATCH("EffectValue1",SkillData_Header,0)),)</f>
        <v>0</v>
      </c>
      <c r="Z138" s="45" t="n">
        <f aca="false">IFERROR(INDEX(SkillData,MATCH(INDEX(PalData,MATCH($B138,PalNames,0)+1,MATCH("Passive3a",PalData_Header,0)),SkillDataCodeName,0)+1,MATCH("EffectValue1",SkillData_Header,0)),)</f>
        <v>0</v>
      </c>
      <c r="AA138" s="260" t="n">
        <f aca="false">IFERROR(INDEX(SkillData,MATCH(INDEX(PalData,MATCH($B138,PalNames,0)+1,MATCH("Passive4a",PalData_Header,0)),SkillDataCodeName,0)+1,MATCH("EffectValue1",SkillData_Header,0)),)</f>
        <v>0</v>
      </c>
      <c r="AB138" s="45" t="str">
        <f aca="false">IFERROR(__xludf.dummyfunction("IFERROR(INDEX(SkillData,MATCH(Arrayformula(ARRAY_CONSTRAIN(FILTER(INDIRECT(""PalData!""&amp;ADDRESS(MATCH(B138,PalNames,0)+1,(MATCH(""Passive0b"",PalData_Header,0)))&amp;"":""&amp;ADDRESS(MATCH(B138,PalNames,0)+1,(MATCH(""Passive0b"",PalData_Header,0))+4)),LEN(INDIRE"&amp;"CT(""PalData!""&amp;ADDRESS(MATCH(B138,PalNames,0)+1,(MATCH(""Passive0b"",PalData_Header,0)))&amp;"":""&amp;ADDRESS(MATCH(B138,PalNames,0)+1,(MATCH(""Passive0b"",PalData_Header,0))+4)))&gt;0),1,1)),SkillDataCodeName,0)+1,MATCH(""EffectTypeCombined"",SkillData_Header,0))"&amp;")"),"")</f>
        <v/>
      </c>
      <c r="AC138" s="45" t="str">
        <f aca="false">IFERROR(__xludf.dummyfunction("IFERROR(INDEX(SkillData,MATCH(Arrayformula(ARRAY_CONSTRAIN(FILTER(INDIRECT(""PalData!""&amp;ADDRESS(MATCH(B138,PalNames,0)+1,(MATCH(""Passive0b"",PalData_Header,0)))&amp;"":""&amp;ADDRESS(MATCH(B138,PalNames,0)+1,(MATCH(""Passive0b"",PalData_Header,0))+4)),LEN(INDIRE"&amp;"CT(""PalData!""&amp;ADDRESS(MATCH(B138,PalNames,0)+1,(MATCH(""Passive0b"",PalData_Header,0)))&amp;"":""&amp;ADDRESS(MATCH(B138,PalNames,0)+1,(MATCH(""Passive0b"",PalData_Header,0))+4)))&gt;0),1,1)),SkillDataCodeName,0)+1,MATCH(""TargetType1"",SkillData_Header,0)))"),"")</f>
        <v/>
      </c>
      <c r="AD138" s="45" t="e">
        <f aca="false" t="array" ref="AD138:AD138">IF(INDEX(PalData,MATCH($B138,PalNames,0)+1,MATCH("Passive0bCondition",PalData_Header,0))=IFERROR(INDEX(SkillData,MATCH(INDEX(PalData,MATCH($B138,PalNames,0)+1,MATCH("Passive0b",PalData_Header,0)),SkillDataCodeName,0)+1,MATCH("Conditions",SkillData_Header,0))),INDEX(PalData,MATCH($B138,PalNames,0)+1,MATCH("Passive0bCondition",PalData_Header,0)),INDEX(PalData,MATCH($B138,PalNames,0)+1,MATCH("Passive0bCondition",PalData_Header,0)) &amp; IF(ISBLANK(INDEX(PalData,MATCH($B138,PalNames,0)+1,MATCH("Passive0bCondition",PalData_Header,0))),," ")&amp;IFERROR(INDEX(SkillData,MATCH(INDEX(PalData,MATCH($B138,PalNames,0)+1,MATCH("Passive0b",PalData_Header,0)),SkillDataCodeName,0)+1,MATCH("Conditions",SkillData_Header,0))))</f>
        <v>#N/A</v>
      </c>
      <c r="AE138" s="45" t="str">
        <f aca="false">IFERROR(__xludf.dummyfunction("IFERROR(INDEX(SkillData,MATCH(Arrayformula(ARRAY_CONSTRAIN(FILTER(INDIRECT(""PalData!""&amp;ADDRESS(MATCH(B138,PalNames,0)+1,(MATCH(""Passive0b"",PalData_Header,0)))&amp;"":""&amp;ADDRESS(MATCH(B138,PalNames,0)+1,(MATCH(""Passive0b"",PalData_Header,0))+4)),LEN(INDIRE"&amp;"CT(""PalData!""&amp;ADDRESS(MATCH(B138,PalNames,0)+1,(MATCH(""Passive0b"",PalData_Header,0)))&amp;"":""&amp;ADDRESS(MATCH(B138,PalNames,0)+1,(MATCH(""Passive0b"",PalData_Header,0))+4)))&gt;0),1,1)),SkillDataCodeName,0)+1,MATCH(""ValueType1"",SkillData_Header,0)))"),"")</f>
        <v/>
      </c>
      <c r="AF138" s="45" t="n">
        <f aca="false">IFERROR(INDEX(SkillData,MATCH(INDEX(PalData,MATCH($B138,PalNames,0)+1,MATCH("Passive0b",PalData_Header,0)),SkillDataCodeName,0)+1,MATCH("EffectValue1",SkillData_Header,0)),)</f>
        <v>0</v>
      </c>
      <c r="AG138" s="45" t="n">
        <f aca="false">IFERROR(INDEX(SkillData,MATCH(INDEX(PalData,MATCH($B138,PalNames,0)+1,MATCH("Passive1b",PalData_Header,0)),SkillDataCodeName,0)+1,MATCH("EffectValue1",SkillData_Header,0)),)</f>
        <v>0</v>
      </c>
      <c r="AH138" s="45" t="n">
        <f aca="false">IFERROR(INDEX(SkillData,MATCH(INDEX(PalData,MATCH($B138,PalNames,0)+1,MATCH("Passive2b",PalData_Header,0)),SkillDataCodeName,0)+1,MATCH("EffectValue1",SkillData_Header,0)),)</f>
        <v>0</v>
      </c>
      <c r="AI138" s="45" t="n">
        <f aca="false">IFERROR(INDEX(SkillData,MATCH(INDEX(PalData,MATCH($B138,PalNames,0)+1,MATCH("Passive3b",PalData_Header,0)),SkillDataCodeName,0)+1,MATCH("EffectValue1",SkillData_Header,0)),)</f>
        <v>0</v>
      </c>
      <c r="AJ138" s="260" t="n">
        <f aca="false">IFERROR(INDEX(SkillData,MATCH(INDEX(PalData,MATCH($B138,PalNames,0)+1,MATCH("Passive4b",PalData_Header,0)),SkillDataCodeName,0)+1,MATCH("EffectValue1",SkillData_Header,0)),)</f>
        <v>0</v>
      </c>
      <c r="AK138" s="301" t="s">
        <v>400</v>
      </c>
    </row>
    <row r="139" customFormat="false" ht="15.75" hidden="false" customHeight="false" outlineLevel="0" collapsed="false">
      <c r="A139" s="302" t="n">
        <v>110</v>
      </c>
      <c r="B139" s="303" t="s">
        <v>21</v>
      </c>
      <c r="C139" s="48" t="str">
        <f aca="false" t="array" ref="C139:C139">IF(ISBLANK(INDEX(PalData,MATCH($B139,PalNames,0)+1,MATCH("ActiveSkill",PalData_Header,0))),INDEX(PalData,MATCH($B139,PalNames,0)+1,MATCH("SkillUnlock_",PalData_Header,0)),INDEX(PalData,MATCH($B139,PalNames,0)+1,MATCH("ActiveSkill",PalData_Header,0)))</f>
        <v>Saddle</v>
      </c>
      <c r="D139" s="48"/>
      <c r="E139" s="48" t="n">
        <f aca="false">INDEX(PalData,MATCH($B139,PalNames,0)+1,MATCH("ActiveSkillBonus0",PalData_Header,0))</f>
        <v>0</v>
      </c>
      <c r="F139" s="48" t="n">
        <f aca="false">INDEX(PalData,MATCH($B139,PalNames,0)+1,MATCH("ActiveSkillBonus1",PalData_Header,0))</f>
        <v>0</v>
      </c>
      <c r="G139" s="48" t="n">
        <f aca="false">INDEX(PalData,MATCH($B139,PalNames,0)+1,MATCH("ActiveSkillBonus2",PalData_Header,0))</f>
        <v>0</v>
      </c>
      <c r="H139" s="48" t="n">
        <f aca="false">INDEX(PalData,MATCH($B139,PalNames,0)+1,MATCH("ActiveSkillBonus3",PalData_Header,0))</f>
        <v>0</v>
      </c>
      <c r="I139" s="263" t="n">
        <f aca="false">INDEX(PalData,MATCH($B139,PalNames,0)+1,MATCH("ActiveSkillBonus4",PalData_Header,0))</f>
        <v>0</v>
      </c>
      <c r="J139" s="48" t="str">
        <f aca="false">IFERROR(__xludf.dummyfunction("IFERROR(INDEX(SkillData,MATCH(Arrayformula(ARRAY_CONSTRAIN(FILTER(INDIRECT(""PalData!""&amp;ADDRESS(MATCH(B139,PalNames,0)+1,(MATCH(""Passive0c"",PalData_Header,0)))&amp;"":""&amp;ADDRESS(MATCH(B139,PalNames,0)+1,(MATCH(""Passive0c"",PalData_Header,0))+4)),LEN(INDIRE"&amp;"CT(""PalData!""&amp;ADDRESS(MATCH(B139,PalNames,0)+1,(MATCH(""Passive0c"",PalData_Header,0)))&amp;"":""&amp;ADDRESS(MATCH(B139,PalNames,0)+1,(MATCH(""Passive0c"",PalData_Header,0))+4)))&gt;0),1,1)),SkillDataCodeName,0)+1,MATCH(""EffectTypeCombined"",SkillData_Header,0))"&amp;")"),"ElementBoost_Ice")</f>
        <v>ElementBoost_Ice</v>
      </c>
      <c r="K139" s="48" t="str">
        <f aca="false">IFERROR(__xludf.dummyfunction("IFERROR(INDEX(SkillData,MATCH(Arrayformula(ARRAY_CONSTRAIN(FILTER(INDIRECT(""PalData!""&amp;ADDRESS(MATCH(B139,PalNames,0)+1,(MATCH(""Passive0c"",PalData_Header,0)))&amp;"":""&amp;ADDRESS(MATCH(B139,PalNames,0)+1,(MATCH(""Passive0c"",PalData_Header,0))+4)),LEN(INDIRE"&amp;"CT(""PalData!""&amp;ADDRESS(MATCH(B139,PalNames,0)+1,(MATCH(""Passive0c"",PalData_Header,0)))&amp;"":""&amp;ADDRESS(MATCH(B139,PalNames,0)+1,(MATCH(""Passive0c"",PalData_Header,0))+4)))&gt;0),1,1)),SkillDataCodeName,0)+1,MATCH(""TargetType1"",SkillData_Header,0)))"),"SelfAndTrainer")</f>
        <v>SelfAndTrainer</v>
      </c>
      <c r="L139" s="48" t="e">
        <f aca="false" t="array" ref="L139:L139">IF(INDEX(PalData,MATCH($B139,PalNames,0)+1,MATCH("Passive0cCondition",PalData_Header,0))=IFERROR(INDEX(SkillData,MATCH(INDEX(PalData,MATCH($B139,PalNames,0)+1,MATCH("Passive0c",PalData_Header,0)),SkillDataCodeName,0)+1,MATCH("Conditions",SkillData_Header,0))),INDEX(PalData,MATCH($B139,PalNames,0)+1,MATCH("Passive0cCondition",PalData_Header,0)),INDEX(PalData,MATCH($B139,PalNames,0)+1,MATCH("Passive0cCondition",PalData_Header,0)) &amp; IF(ISBLANK(INDEX(PalData,MATCH($B139,PalNames,0)+1,MATCH("Passive0cCondition",PalData_Header,0))),," ")&amp;IFERROR(INDEX(SkillData,MATCH(INDEX(PalData,MATCH($B139,PalNames,0)+1,MATCH("Passive0c",PalData_Header,0)),SkillDataCodeName,0)+1,MATCH("Conditions",SkillData_Header,0))))</f>
        <v>#VALUE!</v>
      </c>
      <c r="M139" s="48" t="str">
        <f aca="false">IFERROR(__xludf.dummyfunction("IFERROR(INDEX(SkillData,MATCH(Arrayformula(ARRAY_CONSTRAIN(FILTER(INDIRECT(""PalData!""&amp;ADDRESS(MATCH(B139,PalNames,0)+1,(MATCH(""Passive0c"",PalData_Header,0)))&amp;"":""&amp;ADDRESS(MATCH(B139,PalNames,0)+1,(MATCH(""Passive0c"",PalData_Header,0))+4)),LEN(INDIRE"&amp;"CT(""PalData!""&amp;ADDRESS(MATCH(B139,PalNames,0)+1,(MATCH(""Passive0c"",PalData_Header,0)))&amp;"":""&amp;ADDRESS(MATCH(B139,PalNames,0)+1,(MATCH(""Passive0c"",PalData_Header,0))+4)))&gt;0),1,1)),SkillDataCodeName,0)+1,MATCH(""ValueType1"",SkillData_Header,0)))"),"%")</f>
        <v>%</v>
      </c>
      <c r="N139" s="61" t="e">
        <f aca="false" t="array" ref="N139:N139">IFERROR(INDEX(SkillData,MATCH(INDEX(PalData,MATCH($B139,PalNames,0)+1,MATCH("Passive0c",PalData_Header,0)),SkillDataCodeName,0)+1,MATCH("EffectValue1",SkillData_Header,0)))</f>
        <v>#VALUE!</v>
      </c>
      <c r="O139" s="61" t="e">
        <f aca="false" t="array" ref="O139:O139">IFERROR(INDEX(SkillData,MATCH(INDEX(PalData,MATCH($B139,PalNames,0)+1,MATCH("Passive1c",PalData_Header,0)),SkillDataCodeName,0)+1,MATCH("EffectValue1",SkillData_Header,0)))</f>
        <v>#VALUE!</v>
      </c>
      <c r="P139" s="61" t="e">
        <f aca="false" t="array" ref="P139:P139">IFERROR(INDEX(SkillData,MATCH(INDEX(PalData,MATCH($B139,PalNames,0)+1,MATCH("Passive2c",PalData_Header,0)),SkillDataCodeName,0)+1,MATCH("EffectValue1",SkillData_Header,0)))</f>
        <v>#VALUE!</v>
      </c>
      <c r="Q139" s="61" t="e">
        <f aca="false" t="array" ref="Q139:Q139">IFERROR(INDEX(SkillData,MATCH(INDEX(PalData,MATCH($B139,PalNames,0)+1,MATCH("Passive3c",PalData_Header,0)),SkillDataCodeName,0)+1,MATCH("EffectValue1",SkillData_Header,0)))</f>
        <v>#VALUE!</v>
      </c>
      <c r="R139" s="304" t="e">
        <f aca="false" t="array" ref="R139:R139">IFERROR(INDEX(SkillData,MATCH(INDEX(PalData,MATCH($B139,PalNames,0)+1,MATCH("Passive4c",PalData_Header,0)),SkillDataCodeName,0)+1,MATCH("EffectValue1",SkillData_Header,0)))</f>
        <v>#VALUE!</v>
      </c>
      <c r="S139" s="48" t="str">
        <f aca="false">IFERROR(__xludf.dummyfunction("IFERROR(INDEX(SkillData,MATCH(Arrayformula(ARRAY_CONSTRAIN(FILTER(INDIRECT(""PalData!""&amp;ADDRESS(MATCH(B139,PalNames,0)+1,(MATCH(""Passive0a"",PalData_Header,0)))&amp;"":""&amp;ADDRESS(MATCH(B139,PalNames,0)+1,(MATCH(""Passive0a"",PalData_Header,0))+4)),LEN(INDIRE"&amp;"CT(""PalData!""&amp;ADDRESS(MATCH(B139,PalNames,0)+1,(MATCH(""Passive0a"",PalData_Header,0)))&amp;"":""&amp;ADDRESS(MATCH(B139,PalNames,0)+1,(MATCH(""Passive0a"",PalData_Header,0))+4)))&gt;0),1,1)),SkillDataCodeName,0)+1,MATCH(""EffectTypeCombined"",SkillData_Header,0))"&amp;")"),"ElementIce")</f>
        <v>ElementIce</v>
      </c>
      <c r="T139" s="48" t="str">
        <f aca="false">IFERROR(__xludf.dummyfunction("IFERROR(INDEX(SkillData,MATCH(Arrayformula(ARRAY_CONSTRAIN(FILTER(INDIRECT(""PalData!""&amp;ADDRESS(MATCH(B139,PalNames,0)+1,(MATCH(""Passive0a"",PalData_Header,0)))&amp;"":""&amp;ADDRESS(MATCH(B139,PalNames,0)+1,(MATCH(""Passive0a"",PalData_Header,0))+4)),LEN(INDIRE"&amp;"CT(""PalData!""&amp;ADDRESS(MATCH(B139,PalNames,0)+1,(MATCH(""Passive0a"",PalData_Header,0)))&amp;"":""&amp;ADDRESS(MATCH(B139,PalNames,0)+1,(MATCH(""Passive0a"",PalData_Header,0))+4)))&gt;0),1,1)),SkillDataCodeName,0)+1,MATCH(""TargetType1"",SkillData_Header,0)))"),"Trainer")</f>
        <v>Trainer</v>
      </c>
      <c r="U139" s="48" t="e">
        <f aca="false" t="array" ref="U139:U139">IF(INDEX(PalData,MATCH($B139,PalNames,0)+1,MATCH("Passive0aCondition",PalData_Header,0))=IFERROR(INDEX(SkillData,MATCH(INDEX(PalData,MATCH($B139,PalNames,0)+1,MATCH("Passive0a",PalData_Header,0)),SkillDataCodeName,0)+1,MATCH("Conditions",SkillData_Header,0))),INDEX(PalData,MATCH($B139,PalNames,0)+1,MATCH("Passive0aCondition",PalData_Header,0)),INDEX(PalData,MATCH($B139,PalNames,0)+1,MATCH("Passive0aCondition",PalData_Header,0)) &amp; IF(ISBLANK(INDEX(PalData,MATCH($B139,PalNames,0)+1,MATCH("Passive0aCondition",PalData_Header,0))),," ")&amp;IFERROR(INDEX(SkillData,MATCH(INDEX(PalData,MATCH($B139,PalNames,0)+1,MATCH("Passive0a",PalData_Header,0)),SkillDataCodeName,0)+1,MATCH("Conditions",SkillData_Header,0))))</f>
        <v>#VALUE!</v>
      </c>
      <c r="V139" s="48" t="str">
        <f aca="false">IFERROR(__xludf.dummyfunction("IFERROR(INDEX(SkillData,MATCH(Arrayformula(ARRAY_CONSTRAIN(FILTER(INDIRECT(""PalData!""&amp;ADDRESS(MATCH(B139,PalNames,0)+1,(MATCH(""Passive0a"",PalData_Header,0)))&amp;"":""&amp;ADDRESS(MATCH(B139,PalNames,0)+1,(MATCH(""Passive0a"",PalData_Header,0))+4)),LEN(INDIRE"&amp;"CT(""PalData!""&amp;ADDRESS(MATCH(B139,PalNames,0)+1,(MATCH(""Passive0a"",PalData_Header,0)))&amp;"":""&amp;ADDRESS(MATCH(B139,PalNames,0)+1,(MATCH(""Passive0a"",PalData_Header,0))+4)))&gt;0),1,1)),SkillDataCodeName,0)+1,MATCH(""ValueType1"",SkillData_Header,0)))"),"bool")</f>
        <v>bool</v>
      </c>
      <c r="W139" s="61" t="n">
        <f aca="false" t="array" ref="W139:W139">IFERROR(INDEX(SkillData,MATCH(INDEX(PalData,MATCH($B139,PalNames,0)+1,MATCH("Passive0a",PalData_Header,0)),SkillDataCodeName,0)+1,MATCH("EffectValue1",SkillData_Header,0)),)</f>
        <v>1</v>
      </c>
      <c r="X139" s="61" t="n">
        <f aca="false" t="array" ref="X139:X139">IFERROR(INDEX(SkillData,MATCH(INDEX(PalData,MATCH($B139,PalNames,0)+1,MATCH("Passive1a",PalData_Header,0)),SkillDataCodeName,0)+1,MATCH("EffectValue1",SkillData_Header,0)),)</f>
        <v>1</v>
      </c>
      <c r="Y139" s="61" t="n">
        <f aca="false" t="array" ref="Y139:Y139">IFERROR(INDEX(SkillData,MATCH(INDEX(PalData,MATCH($B139,PalNames,0)+1,MATCH("Passive2a",PalData_Header,0)),SkillDataCodeName,0)+1,MATCH("EffectValue1",SkillData_Header,0)),)</f>
        <v>1</v>
      </c>
      <c r="Z139" s="61" t="n">
        <f aca="false" t="array" ref="Z139:Z139">IFERROR(INDEX(SkillData,MATCH(INDEX(PalData,MATCH($B139,PalNames,0)+1,MATCH("Passive3a",PalData_Header,0)),SkillDataCodeName,0)+1,MATCH("EffectValue1",SkillData_Header,0)),)</f>
        <v>1</v>
      </c>
      <c r="AA139" s="304" t="n">
        <f aca="false" t="array" ref="AA139:AA139">IFERROR(INDEX(SkillData,MATCH(INDEX(PalData,MATCH($B139,PalNames,0)+1,MATCH("Passive4a",PalData_Header,0)),SkillDataCodeName,0)+1,MATCH("EffectValue1",SkillData_Header,0)),)</f>
        <v>1</v>
      </c>
      <c r="AB139" s="48" t="str">
        <f aca="false">IFERROR(__xludf.dummyfunction("IFERROR(INDEX(SkillData,MATCH(Arrayformula(ARRAY_CONSTRAIN(FILTER(INDIRECT(""PalData!""&amp;ADDRESS(MATCH(B139,PalNames,0)+1,(MATCH(""Passive0b"",PalData_Header,0)))&amp;"":""&amp;ADDRESS(MATCH(B139,PalNames,0)+1,(MATCH(""Passive0b"",PalData_Header,0))+4)),LEN(INDIRE"&amp;"CT(""PalData!""&amp;ADDRESS(MATCH(B139,PalNames,0)+1,(MATCH(""Passive0b"",PalData_Header,0)))&amp;"":""&amp;ADDRESS(MATCH(B139,PalNames,0)+1,(MATCH(""Passive0b"",PalData_Header,0))+4)))&gt;0),1,1)),SkillDataCodeName,0)+1,MATCH(""EffectTypeCombined"",SkillData_Header,0))"&amp;")"),"")</f>
        <v/>
      </c>
      <c r="AC139" s="48" t="str">
        <f aca="false">IFERROR(__xludf.dummyfunction("IFERROR(INDEX(SkillData,MATCH(Arrayformula(ARRAY_CONSTRAIN(FILTER(INDIRECT(""PalData!""&amp;ADDRESS(MATCH(B139,PalNames,0)+1,(MATCH(""Passive0b"",PalData_Header,0)))&amp;"":""&amp;ADDRESS(MATCH(B139,PalNames,0)+1,(MATCH(""Passive0b"",PalData_Header,0))+4)),LEN(INDIRE"&amp;"CT(""PalData!""&amp;ADDRESS(MATCH(B139,PalNames,0)+1,(MATCH(""Passive0b"",PalData_Header,0)))&amp;"":""&amp;ADDRESS(MATCH(B139,PalNames,0)+1,(MATCH(""Passive0b"",PalData_Header,0))+4)))&gt;0),1,1)),SkillDataCodeName,0)+1,MATCH(""TargetType1"",SkillData_Header,0)))"),"")</f>
        <v/>
      </c>
      <c r="AD139" s="48" t="e">
        <f aca="false" t="array" ref="AD139:AD139">IF(INDEX(PalData,MATCH($B139,PalNames,0)+1,MATCH("Passive0bCondition",PalData_Header,0))=IFERROR(INDEX(SkillData,MATCH(INDEX(PalData,MATCH($B139,PalNames,0)+1,MATCH("Passive0b",PalData_Header,0)),SkillDataCodeName,0)+1,MATCH("Conditions",SkillData_Header,0))),INDEX(PalData,MATCH($B139,PalNames,0)+1,MATCH("Passive0bCondition",PalData_Header,0)),INDEX(PalData,MATCH($B139,PalNames,0)+1,MATCH("Passive0bCondition",PalData_Header,0)) &amp; IF(ISBLANK(INDEX(PalData,MATCH($B139,PalNames,0)+1,MATCH("Passive0bCondition",PalData_Header,0))),," ")&amp;IFERROR(INDEX(SkillData,MATCH(INDEX(PalData,MATCH($B139,PalNames,0)+1,MATCH("Passive0b",PalData_Header,0)),SkillDataCodeName,0)+1,MATCH("Conditions",SkillData_Header,0))))</f>
        <v>#N/A</v>
      </c>
      <c r="AE139" s="48" t="str">
        <f aca="false">IFERROR(__xludf.dummyfunction("IFERROR(INDEX(SkillData,MATCH(Arrayformula(ARRAY_CONSTRAIN(FILTER(INDIRECT(""PalData!""&amp;ADDRESS(MATCH(B139,PalNames,0)+1,(MATCH(""Passive0b"",PalData_Header,0)))&amp;"":""&amp;ADDRESS(MATCH(B139,PalNames,0)+1,(MATCH(""Passive0b"",PalData_Header,0))+4)),LEN(INDIRE"&amp;"CT(""PalData!""&amp;ADDRESS(MATCH(B139,PalNames,0)+1,(MATCH(""Passive0b"",PalData_Header,0)))&amp;"":""&amp;ADDRESS(MATCH(B139,PalNames,0)+1,(MATCH(""Passive0b"",PalData_Header,0))+4)))&gt;0),1,1)),SkillDataCodeName,0)+1,MATCH(""ValueType1"",SkillData_Header,0)))"),"")</f>
        <v/>
      </c>
      <c r="AF139" s="48" t="n">
        <f aca="false">IFERROR(INDEX(SkillData,MATCH(INDEX(PalData,MATCH($B139,PalNames,0)+1,MATCH("Passive0b",PalData_Header,0)),SkillDataCodeName,0)+1,MATCH("EffectValue1",SkillData_Header,0)),)</f>
        <v>0</v>
      </c>
      <c r="AG139" s="48" t="n">
        <f aca="false">IFERROR(INDEX(SkillData,MATCH(INDEX(PalData,MATCH($B139,PalNames,0)+1,MATCH("Passive1b",PalData_Header,0)),SkillDataCodeName,0)+1,MATCH("EffectValue1",SkillData_Header,0)),)</f>
        <v>0</v>
      </c>
      <c r="AH139" s="48" t="n">
        <f aca="false">IFERROR(INDEX(SkillData,MATCH(INDEX(PalData,MATCH($B139,PalNames,0)+1,MATCH("Passive2b",PalData_Header,0)),SkillDataCodeName,0)+1,MATCH("EffectValue1",SkillData_Header,0)),)</f>
        <v>0</v>
      </c>
      <c r="AI139" s="48" t="n">
        <f aca="false">IFERROR(INDEX(SkillData,MATCH(INDEX(PalData,MATCH($B139,PalNames,0)+1,MATCH("Passive3b",PalData_Header,0)),SkillDataCodeName,0)+1,MATCH("EffectValue1",SkillData_Header,0)),)</f>
        <v>0</v>
      </c>
      <c r="AJ139" s="263" t="n">
        <f aca="false">IFERROR(INDEX(SkillData,MATCH(INDEX(PalData,MATCH($B139,PalNames,0)+1,MATCH("Passive4b",PalData_Header,0)),SkillDataCodeName,0)+1,MATCH("EffectValue1",SkillData_Header,0)),)</f>
        <v>0</v>
      </c>
      <c r="AK139" s="305" t="s">
        <v>401</v>
      </c>
    </row>
    <row r="140" customFormat="false" ht="15.75" hidden="false" customHeight="false" outlineLevel="0" collapsed="false">
      <c r="A140" s="299" t="n">
        <v>110</v>
      </c>
      <c r="B140" s="300" t="s">
        <v>60</v>
      </c>
      <c r="C140" s="45" t="str">
        <f aca="false" t="array" ref="C140:C140">IF(ISBLANK(INDEX(PalData,MATCH($B140,PalNames,0)+1,MATCH("ActiveSkill",PalData_Header,0))),INDEX(PalData,MATCH($B140,PalNames,0)+1,MATCH("SkillUnlock_",PalData_Header,0)),INDEX(PalData,MATCH($B140,PalNames,0)+1,MATCH("ActiveSkill",PalData_Header,0)))</f>
        <v>Saddle</v>
      </c>
      <c r="D140" s="45"/>
      <c r="E140" s="45" t="n">
        <f aca="false">INDEX(PalData,MATCH($B140,PalNames,0)+1,MATCH("ActiveSkillBonus0",PalData_Header,0))</f>
        <v>0</v>
      </c>
      <c r="F140" s="45" t="n">
        <f aca="false">INDEX(PalData,MATCH($B140,PalNames,0)+1,MATCH("ActiveSkillBonus1",PalData_Header,0))</f>
        <v>0</v>
      </c>
      <c r="G140" s="45" t="n">
        <f aca="false">INDEX(PalData,MATCH($B140,PalNames,0)+1,MATCH("ActiveSkillBonus2",PalData_Header,0))</f>
        <v>0</v>
      </c>
      <c r="H140" s="45" t="n">
        <f aca="false">INDEX(PalData,MATCH($B140,PalNames,0)+1,MATCH("ActiveSkillBonus3",PalData_Header,0))</f>
        <v>0</v>
      </c>
      <c r="I140" s="260" t="n">
        <f aca="false">INDEX(PalData,MATCH($B140,PalNames,0)+1,MATCH("ActiveSkillBonus4",PalData_Header,0))</f>
        <v>0</v>
      </c>
      <c r="J140" s="45" t="str">
        <f aca="false">IFERROR(__xludf.dummyfunction("IFERROR(INDEX(SkillData,MATCH(Arrayformula(ARRAY_CONSTRAIN(FILTER(INDIRECT(""PalData!""&amp;ADDRESS(MATCH(B140,PalNames,0)+1,(MATCH(""Passive0c"",PalData_Header,0)))&amp;"":""&amp;ADDRESS(MATCH(B140,PalNames,0)+1,(MATCH(""Passive0c"",PalData_Header,0))+4)),LEN(INDIRE"&amp;"CT(""PalData!""&amp;ADDRESS(MATCH(B140,PalNames,0)+1,(MATCH(""Passive0c"",PalData_Header,0)))&amp;"":""&amp;ADDRESS(MATCH(B140,PalNames,0)+1,(MATCH(""Passive0c"",PalData_Header,0))+4)))&gt;0),1,1)),SkillDataCodeName,0)+1,MATCH(""EffectTypeCombined"",SkillData_Header,0))"&amp;")"),"ElementBoost_Dark")</f>
        <v>ElementBoost_Dark</v>
      </c>
      <c r="K140" s="45" t="str">
        <f aca="false">IFERROR(__xludf.dummyfunction("IFERROR(INDEX(SkillData,MATCH(Arrayformula(ARRAY_CONSTRAIN(FILTER(INDIRECT(""PalData!""&amp;ADDRESS(MATCH(B140,PalNames,0)+1,(MATCH(""Passive0c"",PalData_Header,0)))&amp;"":""&amp;ADDRESS(MATCH(B140,PalNames,0)+1,(MATCH(""Passive0c"",PalData_Header,0))+4)),LEN(INDIRE"&amp;"CT(""PalData!""&amp;ADDRESS(MATCH(B140,PalNames,0)+1,(MATCH(""Passive0c"",PalData_Header,0)))&amp;"":""&amp;ADDRESS(MATCH(B140,PalNames,0)+1,(MATCH(""Passive0c"",PalData_Header,0))+4)))&gt;0),1,1)),SkillDataCodeName,0)+1,MATCH(""TargetType1"",SkillData_Header,0)))"),"SelfAndTrainer")</f>
        <v>SelfAndTrainer</v>
      </c>
      <c r="L140" s="45" t="e">
        <f aca="false" t="array" ref="L140:L140">IF(INDEX(PalData,MATCH($B140,PalNames,0)+1,MATCH("Passive0cCondition",PalData_Header,0))=IFERROR(INDEX(SkillData,MATCH(INDEX(PalData,MATCH($B140,PalNames,0)+1,MATCH("Passive0c",PalData_Header,0)),SkillDataCodeName,0)+1,MATCH("Conditions",SkillData_Header,0))),INDEX(PalData,MATCH($B140,PalNames,0)+1,MATCH("Passive0cCondition",PalData_Header,0)),INDEX(PalData,MATCH($B140,PalNames,0)+1,MATCH("Passive0cCondition",PalData_Header,0)) &amp; IF(ISBLANK(INDEX(PalData,MATCH($B140,PalNames,0)+1,MATCH("Passive0cCondition",PalData_Header,0))),," ")&amp;IFERROR(INDEX(SkillData,MATCH(INDEX(PalData,MATCH($B140,PalNames,0)+1,MATCH("Passive0c",PalData_Header,0)),SkillDataCodeName,0)+1,MATCH("Conditions",SkillData_Header,0))))</f>
        <v>#VALUE!</v>
      </c>
      <c r="M140" s="45" t="str">
        <f aca="false">IFERROR(__xludf.dummyfunction("IFERROR(INDEX(SkillData,MATCH(Arrayformula(ARRAY_CONSTRAIN(FILTER(INDIRECT(""PalData!""&amp;ADDRESS(MATCH(B140,PalNames,0)+1,(MATCH(""Passive0c"",PalData_Header,0)))&amp;"":""&amp;ADDRESS(MATCH(B140,PalNames,0)+1,(MATCH(""Passive0c"",PalData_Header,0))+4)),LEN(INDIRE"&amp;"CT(""PalData!""&amp;ADDRESS(MATCH(B140,PalNames,0)+1,(MATCH(""Passive0c"",PalData_Header,0)))&amp;"":""&amp;ADDRESS(MATCH(B140,PalNames,0)+1,(MATCH(""Passive0c"",PalData_Header,0))+4)))&gt;0),1,1)),SkillDataCodeName,0)+1,MATCH(""ValueType1"",SkillData_Header,0)))"),"%")</f>
        <v>%</v>
      </c>
      <c r="N140" s="62" t="e">
        <f aca="false" t="array" ref="N140:N140">IFERROR(INDEX(SkillData,MATCH(INDEX(PalData,MATCH($B140,PalNames,0)+1,MATCH("Passive0c",PalData_Header,0)),SkillDataCodeName,0)+1,MATCH("EffectValue1",SkillData_Header,0)))</f>
        <v>#VALUE!</v>
      </c>
      <c r="O140" s="62" t="e">
        <f aca="false" t="array" ref="O140:O140">IFERROR(INDEX(SkillData,MATCH(INDEX(PalData,MATCH($B140,PalNames,0)+1,MATCH("Passive1c",PalData_Header,0)),SkillDataCodeName,0)+1,MATCH("EffectValue1",SkillData_Header,0)))</f>
        <v>#VALUE!</v>
      </c>
      <c r="P140" s="62" t="e">
        <f aca="false" t="array" ref="P140:P140">IFERROR(INDEX(SkillData,MATCH(INDEX(PalData,MATCH($B140,PalNames,0)+1,MATCH("Passive2c",PalData_Header,0)),SkillDataCodeName,0)+1,MATCH("EffectValue1",SkillData_Header,0)))</f>
        <v>#VALUE!</v>
      </c>
      <c r="Q140" s="62" t="e">
        <f aca="false" t="array" ref="Q140:Q140">IFERROR(INDEX(SkillData,MATCH(INDEX(PalData,MATCH($B140,PalNames,0)+1,MATCH("Passive3c",PalData_Header,0)),SkillDataCodeName,0)+1,MATCH("EffectValue1",SkillData_Header,0)))</f>
        <v>#VALUE!</v>
      </c>
      <c r="R140" s="306" t="e">
        <f aca="false" t="array" ref="R140:R140">IFERROR(INDEX(SkillData,MATCH(INDEX(PalData,MATCH($B140,PalNames,0)+1,MATCH("Passive4c",PalData_Header,0)),SkillDataCodeName,0)+1,MATCH("EffectValue1",SkillData_Header,0)))</f>
        <v>#VALUE!</v>
      </c>
      <c r="S140" s="45" t="str">
        <f aca="false">IFERROR(__xludf.dummyfunction("IFERROR(INDEX(SkillData,MATCH(Arrayformula(ARRAY_CONSTRAIN(FILTER(INDIRECT(""PalData!""&amp;ADDRESS(MATCH(B140,PalNames,0)+1,(MATCH(""Passive0a"",PalData_Header,0)))&amp;"":""&amp;ADDRESS(MATCH(B140,PalNames,0)+1,(MATCH(""Passive0a"",PalData_Header,0))+4)),LEN(INDIRE"&amp;"CT(""PalData!""&amp;ADDRESS(MATCH(B140,PalNames,0)+1,(MATCH(""Passive0a"",PalData_Header,0)))&amp;"":""&amp;ADDRESS(MATCH(B140,PalNames,0)+1,(MATCH(""Passive0a"",PalData_Header,0))+4)))&gt;0),1,1)),SkillDataCodeName,0)+1,MATCH(""EffectTypeCombined"",SkillData_Header,0))"&amp;")"),"ElementDark")</f>
        <v>ElementDark</v>
      </c>
      <c r="T140" s="45" t="str">
        <f aca="false">IFERROR(__xludf.dummyfunction("IFERROR(INDEX(SkillData,MATCH(Arrayformula(ARRAY_CONSTRAIN(FILTER(INDIRECT(""PalData!""&amp;ADDRESS(MATCH(B140,PalNames,0)+1,(MATCH(""Passive0a"",PalData_Header,0)))&amp;"":""&amp;ADDRESS(MATCH(B140,PalNames,0)+1,(MATCH(""Passive0a"",PalData_Header,0))+4)),LEN(INDIRE"&amp;"CT(""PalData!""&amp;ADDRESS(MATCH(B140,PalNames,0)+1,(MATCH(""Passive0a"",PalData_Header,0)))&amp;"":""&amp;ADDRESS(MATCH(B140,PalNames,0)+1,(MATCH(""Passive0a"",PalData_Header,0))+4)))&gt;0),1,1)),SkillDataCodeName,0)+1,MATCH(""TargetType1"",SkillData_Header,0)))"),"Trainer")</f>
        <v>Trainer</v>
      </c>
      <c r="U140" s="45" t="e">
        <f aca="false" t="array" ref="U140:U140">IF(INDEX(PalData,MATCH($B140,PalNames,0)+1,MATCH("Passive0aCondition",PalData_Header,0))=IFERROR(INDEX(SkillData,MATCH(INDEX(PalData,MATCH($B140,PalNames,0)+1,MATCH("Passive0a",PalData_Header,0)),SkillDataCodeName,0)+1,MATCH("Conditions",SkillData_Header,0))),INDEX(PalData,MATCH($B140,PalNames,0)+1,MATCH("Passive0aCondition",PalData_Header,0)),INDEX(PalData,MATCH($B140,PalNames,0)+1,MATCH("Passive0aCondition",PalData_Header,0)) &amp; IF(ISBLANK(INDEX(PalData,MATCH($B140,PalNames,0)+1,MATCH("Passive0aCondition",PalData_Header,0))),," ")&amp;IFERROR(INDEX(SkillData,MATCH(INDEX(PalData,MATCH($B140,PalNames,0)+1,MATCH("Passive0a",PalData_Header,0)),SkillDataCodeName,0)+1,MATCH("Conditions",SkillData_Header,0))))</f>
        <v>#VALUE!</v>
      </c>
      <c r="V140" s="45" t="str">
        <f aca="false">IFERROR(__xludf.dummyfunction("IFERROR(INDEX(SkillData,MATCH(Arrayformula(ARRAY_CONSTRAIN(FILTER(INDIRECT(""PalData!""&amp;ADDRESS(MATCH(B140,PalNames,0)+1,(MATCH(""Passive0a"",PalData_Header,0)))&amp;"":""&amp;ADDRESS(MATCH(B140,PalNames,0)+1,(MATCH(""Passive0a"",PalData_Header,0))+4)),LEN(INDIRE"&amp;"CT(""PalData!""&amp;ADDRESS(MATCH(B140,PalNames,0)+1,(MATCH(""Passive0a"",PalData_Header,0)))&amp;"":""&amp;ADDRESS(MATCH(B140,PalNames,0)+1,(MATCH(""Passive0a"",PalData_Header,0))+4)))&gt;0),1,1)),SkillDataCodeName,0)+1,MATCH(""ValueType1"",SkillData_Header,0)))"),"bool")</f>
        <v>bool</v>
      </c>
      <c r="W140" s="62" t="n">
        <f aca="false" t="array" ref="W140:W140">IFERROR(INDEX(SkillData,MATCH(INDEX(PalData,MATCH($B140,PalNames,0)+1,MATCH("Passive0a",PalData_Header,0)),SkillDataCodeName,0)+1,MATCH("EffectValue1",SkillData_Header,0)),)</f>
        <v>1</v>
      </c>
      <c r="X140" s="62" t="n">
        <f aca="false" t="array" ref="X140:X140">IFERROR(INDEX(SkillData,MATCH(INDEX(PalData,MATCH($B140,PalNames,0)+1,MATCH("Passive1a",PalData_Header,0)),SkillDataCodeName,0)+1,MATCH("EffectValue1",SkillData_Header,0)),)</f>
        <v>1</v>
      </c>
      <c r="Y140" s="62" t="n">
        <f aca="false" t="array" ref="Y140:Y140">IFERROR(INDEX(SkillData,MATCH(INDEX(PalData,MATCH($B140,PalNames,0)+1,MATCH("Passive2a",PalData_Header,0)),SkillDataCodeName,0)+1,MATCH("EffectValue1",SkillData_Header,0)),)</f>
        <v>1</v>
      </c>
      <c r="Z140" s="62" t="n">
        <f aca="false" t="array" ref="Z140:Z140">IFERROR(INDEX(SkillData,MATCH(INDEX(PalData,MATCH($B140,PalNames,0)+1,MATCH("Passive3a",PalData_Header,0)),SkillDataCodeName,0)+1,MATCH("EffectValue1",SkillData_Header,0)),)</f>
        <v>1</v>
      </c>
      <c r="AA140" s="306" t="n">
        <f aca="false" t="array" ref="AA140:AA140">IFERROR(INDEX(SkillData,MATCH(INDEX(PalData,MATCH($B140,PalNames,0)+1,MATCH("Passive4a",PalData_Header,0)),SkillDataCodeName,0)+1,MATCH("EffectValue1",SkillData_Header,0)),)</f>
        <v>1</v>
      </c>
      <c r="AB140" s="45" t="str">
        <f aca="false">IFERROR(__xludf.dummyfunction("IFERROR(INDEX(SkillData,MATCH(Arrayformula(ARRAY_CONSTRAIN(FILTER(INDIRECT(""PalData!""&amp;ADDRESS(MATCH(B140,PalNames,0)+1,(MATCH(""Passive0b"",PalData_Header,0)))&amp;"":""&amp;ADDRESS(MATCH(B140,PalNames,0)+1,(MATCH(""Passive0b"",PalData_Header,0))+4)),LEN(INDIRE"&amp;"CT(""PalData!""&amp;ADDRESS(MATCH(B140,PalNames,0)+1,(MATCH(""Passive0b"",PalData_Header,0)))&amp;"":""&amp;ADDRESS(MATCH(B140,PalNames,0)+1,(MATCH(""Passive0b"",PalData_Header,0))+4)))&gt;0),1,1)),SkillDataCodeName,0)+1,MATCH(""EffectTypeCombined"",SkillData_Header,0))"&amp;")"),"")</f>
        <v/>
      </c>
      <c r="AC140" s="45" t="str">
        <f aca="false">IFERROR(__xludf.dummyfunction("IFERROR(INDEX(SkillData,MATCH(Arrayformula(ARRAY_CONSTRAIN(FILTER(INDIRECT(""PalData!""&amp;ADDRESS(MATCH(B140,PalNames,0)+1,(MATCH(""Passive0b"",PalData_Header,0)))&amp;"":""&amp;ADDRESS(MATCH(B140,PalNames,0)+1,(MATCH(""Passive0b"",PalData_Header,0))+4)),LEN(INDIRE"&amp;"CT(""PalData!""&amp;ADDRESS(MATCH(B140,PalNames,0)+1,(MATCH(""Passive0b"",PalData_Header,0)))&amp;"":""&amp;ADDRESS(MATCH(B140,PalNames,0)+1,(MATCH(""Passive0b"",PalData_Header,0))+4)))&gt;0),1,1)),SkillDataCodeName,0)+1,MATCH(""TargetType1"",SkillData_Header,0)))"),"")</f>
        <v/>
      </c>
      <c r="AD140" s="45" t="e">
        <f aca="false" t="array" ref="AD140:AD140">IF(INDEX(PalData,MATCH($B140,PalNames,0)+1,MATCH("Passive0bCondition",PalData_Header,0))=IFERROR(INDEX(SkillData,MATCH(INDEX(PalData,MATCH($B140,PalNames,0)+1,MATCH("Passive0b",PalData_Header,0)),SkillDataCodeName,0)+1,MATCH("Conditions",SkillData_Header,0))),INDEX(PalData,MATCH($B140,PalNames,0)+1,MATCH("Passive0bCondition",PalData_Header,0)),INDEX(PalData,MATCH($B140,PalNames,0)+1,MATCH("Passive0bCondition",PalData_Header,0)) &amp; IF(ISBLANK(INDEX(PalData,MATCH($B140,PalNames,0)+1,MATCH("Passive0bCondition",PalData_Header,0))),," ")&amp;IFERROR(INDEX(SkillData,MATCH(INDEX(PalData,MATCH($B140,PalNames,0)+1,MATCH("Passive0b",PalData_Header,0)),SkillDataCodeName,0)+1,MATCH("Conditions",SkillData_Header,0))))</f>
        <v>#N/A</v>
      </c>
      <c r="AE140" s="45" t="str">
        <f aca="false">IFERROR(__xludf.dummyfunction("IFERROR(INDEX(SkillData,MATCH(Arrayformula(ARRAY_CONSTRAIN(FILTER(INDIRECT(""PalData!""&amp;ADDRESS(MATCH(B140,PalNames,0)+1,(MATCH(""Passive0b"",PalData_Header,0)))&amp;"":""&amp;ADDRESS(MATCH(B140,PalNames,0)+1,(MATCH(""Passive0b"",PalData_Header,0))+4)),LEN(INDIRE"&amp;"CT(""PalData!""&amp;ADDRESS(MATCH(B140,PalNames,0)+1,(MATCH(""Passive0b"",PalData_Header,0)))&amp;"":""&amp;ADDRESS(MATCH(B140,PalNames,0)+1,(MATCH(""Passive0b"",PalData_Header,0))+4)))&gt;0),1,1)),SkillDataCodeName,0)+1,MATCH(""ValueType1"",SkillData_Header,0)))"),"")</f>
        <v/>
      </c>
      <c r="AF140" s="45" t="n">
        <f aca="false">IFERROR(INDEX(SkillData,MATCH(INDEX(PalData,MATCH($B140,PalNames,0)+1,MATCH("Passive0b",PalData_Header,0)),SkillDataCodeName,0)+1,MATCH("EffectValue1",SkillData_Header,0)),)</f>
        <v>0</v>
      </c>
      <c r="AG140" s="45" t="n">
        <f aca="false">IFERROR(INDEX(SkillData,MATCH(INDEX(PalData,MATCH($B140,PalNames,0)+1,MATCH("Passive1b",PalData_Header,0)),SkillDataCodeName,0)+1,MATCH("EffectValue1",SkillData_Header,0)),)</f>
        <v>0</v>
      </c>
      <c r="AH140" s="45" t="n">
        <f aca="false">IFERROR(INDEX(SkillData,MATCH(INDEX(PalData,MATCH($B140,PalNames,0)+1,MATCH("Passive2b",PalData_Header,0)),SkillDataCodeName,0)+1,MATCH("EffectValue1",SkillData_Header,0)),)</f>
        <v>0</v>
      </c>
      <c r="AI140" s="45" t="n">
        <f aca="false">IFERROR(INDEX(SkillData,MATCH(INDEX(PalData,MATCH($B140,PalNames,0)+1,MATCH("Passive3b",PalData_Header,0)),SkillDataCodeName,0)+1,MATCH("EffectValue1",SkillData_Header,0)),)</f>
        <v>0</v>
      </c>
      <c r="AJ140" s="260" t="n">
        <f aca="false">IFERROR(INDEX(SkillData,MATCH(INDEX(PalData,MATCH($B140,PalNames,0)+1,MATCH("Passive4b",PalData_Header,0)),SkillDataCodeName,0)+1,MATCH("EffectValue1",SkillData_Header,0)),)</f>
        <v>0</v>
      </c>
      <c r="AK140" s="301" t="s">
        <v>402</v>
      </c>
    </row>
    <row r="141" customFormat="false" ht="15.75" hidden="false" customHeight="false" outlineLevel="0" collapsed="false">
      <c r="A141" s="302" t="n">
        <v>111</v>
      </c>
      <c r="B141" s="303" t="s">
        <v>79</v>
      </c>
      <c r="C141" s="48" t="str">
        <f aca="false" t="array" ref="C141:C141">IF(ISBLANK(INDEX(PalData,MATCH($B141,PalNames,0)+1,MATCH("ActiveSkill",PalData_Header,0))),INDEX(PalData,MATCH($B141,PalNames,0)+1,MATCH("SkillUnlock_",PalData_Header,0)),INDEX(PalData,MATCH($B141,PalNames,0)+1,MATCH("ActiveSkill",PalData_Header,0)))</f>
        <v>UniqueRideShooting_JetMissile</v>
      </c>
      <c r="D141" s="48" t="s">
        <v>266</v>
      </c>
      <c r="E141" s="61" t="n">
        <f aca="false" t="array" ref="E141:E141">INDEX(PalData,MATCH($B141,PalNames,0)+1,MATCH("ActiveSkillBonus0",PalData_Header,0))</f>
        <v>13</v>
      </c>
      <c r="F141" s="61" t="n">
        <f aca="false" t="array" ref="F141:F141">INDEX(PalData,MATCH($B141,PalNames,0)+1,MATCH("ActiveSkillBonus1",PalData_Header,0))</f>
        <v>14.3</v>
      </c>
      <c r="G141" s="61" t="n">
        <f aca="false" t="array" ref="G141:G141">INDEX(PalData,MATCH($B141,PalNames,0)+1,MATCH("ActiveSkillBonus2",PalData_Header,0))</f>
        <v>16.9</v>
      </c>
      <c r="H141" s="61" t="n">
        <f aca="false" t="array" ref="H141:H141">INDEX(PalData,MATCH($B141,PalNames,0)+1,MATCH("ActiveSkillBonus3",PalData_Header,0))</f>
        <v>20.9</v>
      </c>
      <c r="I141" s="304" t="n">
        <f aca="false" t="array" ref="I141:I141">INDEX(PalData,MATCH($B141,PalNames,0)+1,MATCH("ActiveSkillBonus4",PalData_Header,0))</f>
        <v>26</v>
      </c>
      <c r="J141" s="48" t="str">
        <f aca="false">IFERROR(__xludf.dummyfunction("IFERROR(INDEX(SkillData,MATCH(Arrayformula(ARRAY_CONSTRAIN(FILTER(INDIRECT(""PalData!""&amp;ADDRESS(MATCH(B141,PalNames,0)+1,(MATCH(""Passive0c"",PalData_Header,0)))&amp;"":""&amp;ADDRESS(MATCH(B141,PalNames,0)+1,(MATCH(""Passive0c"",PalData_Header,0))+4)),LEN(INDIRE"&amp;"CT(""PalData!""&amp;ADDRESS(MATCH(B141,PalNames,0)+1,(MATCH(""Passive0c"",PalData_Header,0)))&amp;"":""&amp;ADDRESS(MATCH(B141,PalNames,0)+1,(MATCH(""Passive0c"",PalData_Header,0))+4)))&gt;0),1,1)),SkillDataCodeName,0)+1,MATCH(""EffectTypeCombined"",SkillData_Header,0))"&amp;")"),"")</f>
        <v/>
      </c>
      <c r="K141" s="48" t="str">
        <f aca="false">IFERROR(__xludf.dummyfunction("IFERROR(INDEX(SkillData,MATCH(Arrayformula(ARRAY_CONSTRAIN(FILTER(INDIRECT(""PalData!""&amp;ADDRESS(MATCH(B141,PalNames,0)+1,(MATCH(""Passive0c"",PalData_Header,0)))&amp;"":""&amp;ADDRESS(MATCH(B141,PalNames,0)+1,(MATCH(""Passive0c"",PalData_Header,0))+4)),LEN(INDIRE"&amp;"CT(""PalData!""&amp;ADDRESS(MATCH(B141,PalNames,0)+1,(MATCH(""Passive0c"",PalData_Header,0)))&amp;"":""&amp;ADDRESS(MATCH(B141,PalNames,0)+1,(MATCH(""Passive0c"",PalData_Header,0))+4)))&gt;0),1,1)),SkillDataCodeName,0)+1,MATCH(""TargetType1"",SkillData_Header,0)))"),"")</f>
        <v/>
      </c>
      <c r="L141" s="48" t="e">
        <f aca="false" t="array" ref="L141:L141">IF(INDEX(PalData,MATCH($B141,PalNames,0)+1,MATCH("Passive0cCondition",PalData_Header,0))=IFERROR(INDEX(SkillData,MATCH(INDEX(PalData,MATCH($B141,PalNames,0)+1,MATCH("Passive0c",PalData_Header,0)),SkillDataCodeName,0)+1,MATCH("Conditions",SkillData_Header,0))),INDEX(PalData,MATCH($B141,PalNames,0)+1,MATCH("Passive0cCondition",PalData_Header,0)),INDEX(PalData,MATCH($B141,PalNames,0)+1,MATCH("Passive0cCondition",PalData_Header,0)) &amp; IF(ISBLANK(INDEX(PalData,MATCH($B141,PalNames,0)+1,MATCH("Passive0cCondition",PalData_Header,0))),," ")&amp;IFERROR(INDEX(SkillData,MATCH(INDEX(PalData,MATCH($B141,PalNames,0)+1,MATCH("Passive0c",PalData_Header,0)),SkillDataCodeName,0)+1,MATCH("Conditions",SkillData_Header,0))))</f>
        <v>#N/A</v>
      </c>
      <c r="M141" s="48" t="str">
        <f aca="false">IFERROR(__xludf.dummyfunction("IFERROR(INDEX(SkillData,MATCH(Arrayformula(ARRAY_CONSTRAIN(FILTER(INDIRECT(""PalData!""&amp;ADDRESS(MATCH(B141,PalNames,0)+1,(MATCH(""Passive0c"",PalData_Header,0)))&amp;"":""&amp;ADDRESS(MATCH(B141,PalNames,0)+1,(MATCH(""Passive0c"",PalData_Header,0))+4)),LEN(INDIRE"&amp;"CT(""PalData!""&amp;ADDRESS(MATCH(B141,PalNames,0)+1,(MATCH(""Passive0c"",PalData_Header,0)))&amp;"":""&amp;ADDRESS(MATCH(B141,PalNames,0)+1,(MATCH(""Passive0c"",PalData_Header,0))+4)))&gt;0),1,1)),SkillDataCodeName,0)+1,MATCH(""ValueType1"",SkillData_Header,0)))"),"")</f>
        <v/>
      </c>
      <c r="N141" s="48" t="e">
        <f aca="false" t="array" ref="N141:N141">IFERROR(INDEX(SkillData,MATCH(INDEX(PalData,MATCH($B141,PalNames,0)+1,MATCH("Passive0c",PalData_Header,0)),SkillDataCodeName,0)+1,MATCH("EffectValue1",SkillData_Header,0)))</f>
        <v>#VALUE!</v>
      </c>
      <c r="O141" s="48" t="e">
        <f aca="false" t="array" ref="O141:O141">IFERROR(INDEX(SkillData,MATCH(INDEX(PalData,MATCH($B141,PalNames,0)+1,MATCH("Passive1c",PalData_Header,0)),SkillDataCodeName,0)+1,MATCH("EffectValue1",SkillData_Header,0)))</f>
        <v>#VALUE!</v>
      </c>
      <c r="P141" s="48" t="e">
        <f aca="false" t="array" ref="P141:P141">IFERROR(INDEX(SkillData,MATCH(INDEX(PalData,MATCH($B141,PalNames,0)+1,MATCH("Passive2c",PalData_Header,0)),SkillDataCodeName,0)+1,MATCH("EffectValue1",SkillData_Header,0)))</f>
        <v>#VALUE!</v>
      </c>
      <c r="Q141" s="48" t="e">
        <f aca="false" t="array" ref="Q141:Q141">IFERROR(INDEX(SkillData,MATCH(INDEX(PalData,MATCH($B141,PalNames,0)+1,MATCH("Passive3c",PalData_Header,0)),SkillDataCodeName,0)+1,MATCH("EffectValue1",SkillData_Header,0)))</f>
        <v>#VALUE!</v>
      </c>
      <c r="R141" s="263" t="e">
        <f aca="false" t="array" ref="R141:R141">IFERROR(INDEX(SkillData,MATCH(INDEX(PalData,MATCH($B141,PalNames,0)+1,MATCH("Passive4c",PalData_Header,0)),SkillDataCodeName,0)+1,MATCH("EffectValue1",SkillData_Header,0)))</f>
        <v>#VALUE!</v>
      </c>
      <c r="S141" s="48" t="str">
        <f aca="false">IFERROR(__xludf.dummyfunction("IFERROR(INDEX(SkillData,MATCH(Arrayformula(ARRAY_CONSTRAIN(FILTER(INDIRECT(""PalData!""&amp;ADDRESS(MATCH(B141,PalNames,0)+1,(MATCH(""Passive0a"",PalData_Header,0)))&amp;"":""&amp;ADDRESS(MATCH(B141,PalNames,0)+1,(MATCH(""Passive0a"",PalData_Header,0))+4)),LEN(INDIRE"&amp;"CT(""PalData!""&amp;ADDRESS(MATCH(B141,PalNames,0)+1,(MATCH(""Passive0a"",PalData_Header,0)))&amp;"":""&amp;ADDRESS(MATCH(B141,PalNames,0)+1,(MATCH(""Passive0a"",PalData_Header,0))+4)))&gt;0),1,1)),SkillDataCodeName,0)+1,MATCH(""EffectTypeCombined"",SkillData_Header,0))"&amp;")"),"")</f>
        <v/>
      </c>
      <c r="T141" s="48" t="str">
        <f aca="false">IFERROR(__xludf.dummyfunction("IFERROR(INDEX(SkillData,MATCH(Arrayformula(ARRAY_CONSTRAIN(FILTER(INDIRECT(""PalData!""&amp;ADDRESS(MATCH(B141,PalNames,0)+1,(MATCH(""Passive0a"",PalData_Header,0)))&amp;"":""&amp;ADDRESS(MATCH(B141,PalNames,0)+1,(MATCH(""Passive0a"",PalData_Header,0))+4)),LEN(INDIRE"&amp;"CT(""PalData!""&amp;ADDRESS(MATCH(B141,PalNames,0)+1,(MATCH(""Passive0a"",PalData_Header,0)))&amp;"":""&amp;ADDRESS(MATCH(B141,PalNames,0)+1,(MATCH(""Passive0a"",PalData_Header,0))+4)))&gt;0),1,1)),SkillDataCodeName,0)+1,MATCH(""TargetType1"",SkillData_Header,0)))"),"")</f>
        <v/>
      </c>
      <c r="U141" s="48" t="e">
        <f aca="false" t="array" ref="U141:U141">IF(INDEX(PalData,MATCH($B141,PalNames,0)+1,MATCH("Passive0aCondition",PalData_Header,0))=IFERROR(INDEX(SkillData,MATCH(INDEX(PalData,MATCH($B141,PalNames,0)+1,MATCH("Passive0a",PalData_Header,0)),SkillDataCodeName,0)+1,MATCH("Conditions",SkillData_Header,0))),INDEX(PalData,MATCH($B141,PalNames,0)+1,MATCH("Passive0aCondition",PalData_Header,0)),INDEX(PalData,MATCH($B141,PalNames,0)+1,MATCH("Passive0aCondition",PalData_Header,0)) &amp; IF(ISBLANK(INDEX(PalData,MATCH($B141,PalNames,0)+1,MATCH("Passive0aCondition",PalData_Header,0))),," ")&amp;IFERROR(INDEX(SkillData,MATCH(INDEX(PalData,MATCH($B141,PalNames,0)+1,MATCH("Passive0a",PalData_Header,0)),SkillDataCodeName,0)+1,MATCH("Conditions",SkillData_Header,0))))</f>
        <v>#N/A</v>
      </c>
      <c r="V141" s="48" t="str">
        <f aca="false">IFERROR(__xludf.dummyfunction("IFERROR(INDEX(SkillData,MATCH(Arrayformula(ARRAY_CONSTRAIN(FILTER(INDIRECT(""PalData!""&amp;ADDRESS(MATCH(B141,PalNames,0)+1,(MATCH(""Passive0a"",PalData_Header,0)))&amp;"":""&amp;ADDRESS(MATCH(B141,PalNames,0)+1,(MATCH(""Passive0a"",PalData_Header,0))+4)),LEN(INDIRE"&amp;"CT(""PalData!""&amp;ADDRESS(MATCH(B141,PalNames,0)+1,(MATCH(""Passive0a"",PalData_Header,0)))&amp;"":""&amp;ADDRESS(MATCH(B141,PalNames,0)+1,(MATCH(""Passive0a"",PalData_Header,0))+4)))&gt;0),1,1)),SkillDataCodeName,0)+1,MATCH(""ValueType1"",SkillData_Header,0)))"),"")</f>
        <v/>
      </c>
      <c r="W141" s="48" t="n">
        <f aca="false">IFERROR(INDEX(SkillData,MATCH(INDEX(PalData,MATCH($B141,PalNames,0)+1,MATCH("Passive0a",PalData_Header,0)),SkillDataCodeName,0)+1,MATCH("EffectValue1",SkillData_Header,0)),)</f>
        <v>0</v>
      </c>
      <c r="X141" s="48" t="n">
        <f aca="false">IFERROR(INDEX(SkillData,MATCH(INDEX(PalData,MATCH($B141,PalNames,0)+1,MATCH("Passive1a",PalData_Header,0)),SkillDataCodeName,0)+1,MATCH("EffectValue1",SkillData_Header,0)),)</f>
        <v>0</v>
      </c>
      <c r="Y141" s="48" t="n">
        <f aca="false">IFERROR(INDEX(SkillData,MATCH(INDEX(PalData,MATCH($B141,PalNames,0)+1,MATCH("Passive2a",PalData_Header,0)),SkillDataCodeName,0)+1,MATCH("EffectValue1",SkillData_Header,0)),)</f>
        <v>0</v>
      </c>
      <c r="Z141" s="48" t="n">
        <f aca="false">IFERROR(INDEX(SkillData,MATCH(INDEX(PalData,MATCH($B141,PalNames,0)+1,MATCH("Passive3a",PalData_Header,0)),SkillDataCodeName,0)+1,MATCH("EffectValue1",SkillData_Header,0)),)</f>
        <v>0</v>
      </c>
      <c r="AA141" s="263" t="n">
        <f aca="false">IFERROR(INDEX(SkillData,MATCH(INDEX(PalData,MATCH($B141,PalNames,0)+1,MATCH("Passive4a",PalData_Header,0)),SkillDataCodeName,0)+1,MATCH("EffectValue1",SkillData_Header,0)),)</f>
        <v>0</v>
      </c>
      <c r="AB141" s="48" t="str">
        <f aca="false">IFERROR(__xludf.dummyfunction("IFERROR(INDEX(SkillData,MATCH(Arrayformula(ARRAY_CONSTRAIN(FILTER(INDIRECT(""PalData!""&amp;ADDRESS(MATCH(B141,PalNames,0)+1,(MATCH(""Passive0b"",PalData_Header,0)))&amp;"":""&amp;ADDRESS(MATCH(B141,PalNames,0)+1,(MATCH(""Passive0b"",PalData_Header,0))+4)),LEN(INDIRE"&amp;"CT(""PalData!""&amp;ADDRESS(MATCH(B141,PalNames,0)+1,(MATCH(""Passive0b"",PalData_Header,0)))&amp;"":""&amp;ADDRESS(MATCH(B141,PalNames,0)+1,(MATCH(""Passive0b"",PalData_Header,0))+4)))&gt;0),1,1)),SkillDataCodeName,0)+1,MATCH(""EffectTypeCombined"",SkillData_Header,0))"&amp;")"),"")</f>
        <v/>
      </c>
      <c r="AC141" s="48" t="str">
        <f aca="false">IFERROR(__xludf.dummyfunction("IFERROR(INDEX(SkillData,MATCH(Arrayformula(ARRAY_CONSTRAIN(FILTER(INDIRECT(""PalData!""&amp;ADDRESS(MATCH(B141,PalNames,0)+1,(MATCH(""Passive0b"",PalData_Header,0)))&amp;"":""&amp;ADDRESS(MATCH(B141,PalNames,0)+1,(MATCH(""Passive0b"",PalData_Header,0))+4)),LEN(INDIRE"&amp;"CT(""PalData!""&amp;ADDRESS(MATCH(B141,PalNames,0)+1,(MATCH(""Passive0b"",PalData_Header,0)))&amp;"":""&amp;ADDRESS(MATCH(B141,PalNames,0)+1,(MATCH(""Passive0b"",PalData_Header,0))+4)))&gt;0),1,1)),SkillDataCodeName,0)+1,MATCH(""TargetType1"",SkillData_Header,0)))"),"")</f>
        <v/>
      </c>
      <c r="AD141" s="48" t="e">
        <f aca="false" t="array" ref="AD141:AD141">IF(INDEX(PalData,MATCH($B141,PalNames,0)+1,MATCH("Passive0bCondition",PalData_Header,0))=IFERROR(INDEX(SkillData,MATCH(INDEX(PalData,MATCH($B141,PalNames,0)+1,MATCH("Passive0b",PalData_Header,0)),SkillDataCodeName,0)+1,MATCH("Conditions",SkillData_Header,0))),INDEX(PalData,MATCH($B141,PalNames,0)+1,MATCH("Passive0bCondition",PalData_Header,0)),INDEX(PalData,MATCH($B141,PalNames,0)+1,MATCH("Passive0bCondition",PalData_Header,0)) &amp; IF(ISBLANK(INDEX(PalData,MATCH($B141,PalNames,0)+1,MATCH("Passive0bCondition",PalData_Header,0))),," ")&amp;IFERROR(INDEX(SkillData,MATCH(INDEX(PalData,MATCH($B141,PalNames,0)+1,MATCH("Passive0b",PalData_Header,0)),SkillDataCodeName,0)+1,MATCH("Conditions",SkillData_Header,0))))</f>
        <v>#N/A</v>
      </c>
      <c r="AE141" s="48" t="str">
        <f aca="false">IFERROR(__xludf.dummyfunction("IFERROR(INDEX(SkillData,MATCH(Arrayformula(ARRAY_CONSTRAIN(FILTER(INDIRECT(""PalData!""&amp;ADDRESS(MATCH(B141,PalNames,0)+1,(MATCH(""Passive0b"",PalData_Header,0)))&amp;"":""&amp;ADDRESS(MATCH(B141,PalNames,0)+1,(MATCH(""Passive0b"",PalData_Header,0))+4)),LEN(INDIRE"&amp;"CT(""PalData!""&amp;ADDRESS(MATCH(B141,PalNames,0)+1,(MATCH(""Passive0b"",PalData_Header,0)))&amp;"":""&amp;ADDRESS(MATCH(B141,PalNames,0)+1,(MATCH(""Passive0b"",PalData_Header,0))+4)))&gt;0),1,1)),SkillDataCodeName,0)+1,MATCH(""ValueType1"",SkillData_Header,0)))"),"")</f>
        <v/>
      </c>
      <c r="AF141" s="48" t="n">
        <f aca="false">IFERROR(INDEX(SkillData,MATCH(INDEX(PalData,MATCH($B141,PalNames,0)+1,MATCH("Passive0b",PalData_Header,0)),SkillDataCodeName,0)+1,MATCH("EffectValue1",SkillData_Header,0)),)</f>
        <v>0</v>
      </c>
      <c r="AG141" s="48" t="n">
        <f aca="false">IFERROR(INDEX(SkillData,MATCH(INDEX(PalData,MATCH($B141,PalNames,0)+1,MATCH("Passive1b",PalData_Header,0)),SkillDataCodeName,0)+1,MATCH("EffectValue1",SkillData_Header,0)),)</f>
        <v>0</v>
      </c>
      <c r="AH141" s="48" t="n">
        <f aca="false">IFERROR(INDEX(SkillData,MATCH(INDEX(PalData,MATCH($B141,PalNames,0)+1,MATCH("Passive2b",PalData_Header,0)),SkillDataCodeName,0)+1,MATCH("EffectValue1",SkillData_Header,0)),)</f>
        <v>0</v>
      </c>
      <c r="AI141" s="48" t="n">
        <f aca="false">IFERROR(INDEX(SkillData,MATCH(INDEX(PalData,MATCH($B141,PalNames,0)+1,MATCH("Passive3b",PalData_Header,0)),SkillDataCodeName,0)+1,MATCH("EffectValue1",SkillData_Header,0)),)</f>
        <v>0</v>
      </c>
      <c r="AJ141" s="263" t="n">
        <f aca="false">IFERROR(INDEX(SkillData,MATCH(INDEX(PalData,MATCH($B141,PalNames,0)+1,MATCH("Passive4b",PalData_Header,0)),SkillDataCodeName,0)+1,MATCH("EffectValue1",SkillData_Header,0)),)</f>
        <v>0</v>
      </c>
      <c r="AK141" s="305" t="s">
        <v>403</v>
      </c>
    </row>
  </sheetData>
  <autoFilter ref="A3:AK141"/>
  <mergeCells count="4">
    <mergeCell ref="C2:I2"/>
    <mergeCell ref="J2:R2"/>
    <mergeCell ref="S2:AA2"/>
    <mergeCell ref="AB2:AJ2"/>
  </mergeCells>
  <hyperlinks>
    <hyperlink ref="C1" r:id="rId2" display="Written guide to these stats found here: https://www.reddit.com/r/Palworld/comments/1aedboa/partner_skill_upgrade_stats_exact_values_for_lv1/"/>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75" zeroHeight="false" outlineLevelRow="0" outlineLevelCol="0"/>
  <cols>
    <col collapsed="false" customWidth="true" hidden="false" outlineLevel="0" max="1" min="1" style="0" width="7.87"/>
    <col collapsed="false" customWidth="true" hidden="false" outlineLevel="0" max="2" min="2" style="0" width="12.88"/>
    <col collapsed="false" customWidth="true" hidden="false" outlineLevel="0" max="3" min="3" style="0" width="17.88"/>
  </cols>
  <sheetData>
    <row r="1" customFormat="false" ht="15.75" hidden="false" customHeight="false" outlineLevel="0" collapsed="false">
      <c r="A1" s="307" t="s">
        <v>253</v>
      </c>
      <c r="B1" s="307" t="s">
        <v>8</v>
      </c>
      <c r="C1" s="307" t="s">
        <v>404</v>
      </c>
    </row>
    <row r="2" customFormat="false" ht="15.75" hidden="false" customHeight="false" outlineLevel="0" collapsed="false">
      <c r="A2" s="308" t="n">
        <v>89</v>
      </c>
      <c r="B2" s="290" t="s">
        <v>88</v>
      </c>
      <c r="C2" s="308" t="n">
        <v>90</v>
      </c>
    </row>
    <row r="3" customFormat="false" ht="15.75" hidden="false" customHeight="false" outlineLevel="0" collapsed="false">
      <c r="A3" s="308" t="n">
        <v>89</v>
      </c>
      <c r="B3" s="290" t="s">
        <v>75</v>
      </c>
      <c r="C3" s="308" t="n">
        <v>90</v>
      </c>
    </row>
    <row r="4" customFormat="false" ht="15.75" hidden="false" customHeight="false" outlineLevel="0" collapsed="false">
      <c r="A4" s="308" t="n">
        <v>92</v>
      </c>
      <c r="B4" s="290" t="s">
        <v>149</v>
      </c>
      <c r="C4" s="308" t="n">
        <v>85</v>
      </c>
    </row>
    <row r="5" customFormat="false" ht="15.75" hidden="false" customHeight="false" outlineLevel="0" collapsed="false">
      <c r="A5" s="308" t="n">
        <v>69</v>
      </c>
      <c r="B5" s="290" t="s">
        <v>95</v>
      </c>
      <c r="C5" s="308" t="n">
        <v>30</v>
      </c>
    </row>
    <row r="6" customFormat="false" ht="15.75" hidden="false" customHeight="false" outlineLevel="0" collapsed="false">
      <c r="A6" s="308" t="n">
        <v>104</v>
      </c>
      <c r="B6" s="290" t="s">
        <v>97</v>
      </c>
      <c r="C6" s="308" t="n">
        <v>30</v>
      </c>
    </row>
    <row r="7" customFormat="false" ht="15.75" hidden="false" customHeight="false" outlineLevel="0" collapsed="false">
      <c r="A7" s="308" t="n">
        <v>104</v>
      </c>
      <c r="B7" s="290" t="s">
        <v>98</v>
      </c>
      <c r="C7" s="308" t="n">
        <v>30</v>
      </c>
    </row>
    <row r="8" customFormat="false" ht="15.75" hidden="false" customHeight="false" outlineLevel="0" collapsed="false">
      <c r="A8" s="308" t="n">
        <v>62</v>
      </c>
      <c r="B8" s="290" t="s">
        <v>41</v>
      </c>
      <c r="C8" s="308" t="n">
        <v>20</v>
      </c>
    </row>
    <row r="9" customFormat="false" ht="15.75" hidden="false" customHeight="false" outlineLevel="0" collapsed="false">
      <c r="A9" s="308" t="n">
        <v>29</v>
      </c>
      <c r="B9" s="290" t="s">
        <v>108</v>
      </c>
      <c r="C9" s="308" t="n">
        <v>20</v>
      </c>
    </row>
    <row r="10" customFormat="false" ht="15.75" hidden="false" customHeight="false" outlineLevel="0" collapsed="false">
      <c r="A10" s="308" t="n">
        <v>51</v>
      </c>
      <c r="B10" s="290" t="s">
        <v>50</v>
      </c>
      <c r="C10" s="308" t="n">
        <v>10</v>
      </c>
    </row>
    <row r="11" customFormat="false" ht="15.75" hidden="false" customHeight="false" outlineLevel="0" collapsed="false">
      <c r="A11" s="308" t="n">
        <v>50</v>
      </c>
      <c r="B11" s="290" t="s">
        <v>22</v>
      </c>
      <c r="C11" s="308" t="n">
        <v>10</v>
      </c>
    </row>
    <row r="13" customFormat="false" ht="15.75" hidden="false" customHeight="false" outlineLevel="0" collapsed="false">
      <c r="A13" s="3" t="s">
        <v>405</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1" topLeftCell="A2" activePane="bottomLeft" state="frozen"/>
      <selection pane="topLeft" activeCell="A1" activeCellId="0" sqref="A1"/>
      <selection pane="bottomLeft" activeCell="B3" activeCellId="0" sqref="B3"/>
    </sheetView>
  </sheetViews>
  <sheetFormatPr defaultColWidth="12.640625" defaultRowHeight="15.75" zeroHeight="false" outlineLevelRow="0" outlineLevelCol="0"/>
  <cols>
    <col collapsed="false" customWidth="true" hidden="false" outlineLevel="0" max="3" min="2" style="0" width="28.38"/>
    <col collapsed="false" customWidth="true" hidden="false" outlineLevel="0" max="4" min="4" style="0" width="19"/>
    <col collapsed="false" customWidth="true" hidden="false" outlineLevel="0" max="5" min="5" style="0" width="14.01"/>
  </cols>
  <sheetData>
    <row r="1" customFormat="false" ht="15.75" hidden="false" customHeight="false" outlineLevel="0" collapsed="false">
      <c r="A1" s="309" t="s">
        <v>406</v>
      </c>
      <c r="B1" s="309" t="s">
        <v>407</v>
      </c>
      <c r="C1" s="309" t="s">
        <v>408</v>
      </c>
      <c r="D1" s="309" t="s">
        <v>409</v>
      </c>
      <c r="E1" s="3" t="s">
        <v>8</v>
      </c>
      <c r="F1" s="255" t="s">
        <v>410</v>
      </c>
      <c r="G1" s="255" t="s">
        <v>411</v>
      </c>
      <c r="H1" s="3" t="s">
        <v>412</v>
      </c>
      <c r="I1" s="255" t="s">
        <v>413</v>
      </c>
      <c r="J1" s="255" t="s">
        <v>414</v>
      </c>
      <c r="K1" s="255" t="s">
        <v>415</v>
      </c>
      <c r="L1" s="255" t="s">
        <v>416</v>
      </c>
      <c r="M1" s="255" t="s">
        <v>417</v>
      </c>
    </row>
    <row r="2" customFormat="false" ht="15.75" hidden="false" customHeight="false" outlineLevel="0" collapsed="false">
      <c r="A2" s="309" t="s">
        <v>418</v>
      </c>
      <c r="B2" s="309" t="s">
        <v>419</v>
      </c>
      <c r="C2" s="309" t="s">
        <v>420</v>
      </c>
      <c r="D2" s="309" t="s">
        <v>370</v>
      </c>
      <c r="E2" s="3" t="s">
        <v>123</v>
      </c>
      <c r="F2" s="3" t="s">
        <v>122</v>
      </c>
      <c r="G2" s="3" t="s">
        <v>132</v>
      </c>
      <c r="H2" s="310" t="b">
        <f aca="false">B2=C2</f>
        <v>0</v>
      </c>
      <c r="I2" s="311" t="b">
        <f aca="false">AND(F2='Breeding Calculator'!$G$9,G2='Breeding Calculator'!$K$9)</f>
        <v>0</v>
      </c>
      <c r="J2" s="311" t="b">
        <f aca="false">AND(G2='Breeding Calculator'!$G$9,F2='Breeding Calculator'!$K$9)</f>
        <v>0</v>
      </c>
      <c r="K2" s="311" t="b">
        <f aca="false">OR(I2,J2)</f>
        <v>0</v>
      </c>
      <c r="L2" s="3" t="str">
        <f aca="false">F2 &amp; G2</f>
        <v>RelaxaurusSparkit</v>
      </c>
      <c r="M2" s="3" t="str">
        <f aca="false">G2&amp;F2</f>
        <v>SparkitRelaxaurus</v>
      </c>
    </row>
    <row r="3" customFormat="false" ht="15.75" hidden="false" customHeight="false" outlineLevel="0" collapsed="false">
      <c r="A3" s="309" t="s">
        <v>421</v>
      </c>
      <c r="B3" s="309" t="s">
        <v>422</v>
      </c>
      <c r="C3" s="309" t="s">
        <v>423</v>
      </c>
      <c r="D3" s="309" t="s">
        <v>315</v>
      </c>
      <c r="E3" s="3" t="s">
        <v>78</v>
      </c>
      <c r="F3" s="3" t="s">
        <v>77</v>
      </c>
      <c r="G3" s="3" t="s">
        <v>101</v>
      </c>
      <c r="H3" s="310" t="b">
        <f aca="false">B3=C3</f>
        <v>0</v>
      </c>
      <c r="I3" s="311" t="b">
        <f aca="false">AND(F3='Breeding Calculator'!$G$9,G3='Breeding Calculator'!$K$9)</f>
        <v>0</v>
      </c>
      <c r="J3" s="311" t="b">
        <f aca="false">AND(G3='Breeding Calculator'!$G$9,F3='Breeding Calculator'!$K$9)</f>
        <v>0</v>
      </c>
      <c r="K3" s="311" t="b">
        <f aca="false">OR(I3,J3)</f>
        <v>0</v>
      </c>
      <c r="L3" s="3" t="str">
        <f aca="false">F3 &amp; G3</f>
        <v>IncineramMaraith</v>
      </c>
      <c r="M3" s="3" t="str">
        <f aca="false">G3&amp;F3</f>
        <v>MaraithIncineram</v>
      </c>
    </row>
    <row r="4" customFormat="false" ht="15.75" hidden="false" customHeight="false" outlineLevel="0" collapsed="false">
      <c r="A4" s="309" t="s">
        <v>424</v>
      </c>
      <c r="B4" s="309" t="s">
        <v>425</v>
      </c>
      <c r="C4" s="309" t="s">
        <v>426</v>
      </c>
      <c r="D4" s="309" t="s">
        <v>294</v>
      </c>
      <c r="E4" s="3" t="s">
        <v>103</v>
      </c>
      <c r="F4" s="3" t="s">
        <v>102</v>
      </c>
      <c r="G4" s="3" t="s">
        <v>114</v>
      </c>
      <c r="H4" s="310" t="b">
        <f aca="false">B4=C4</f>
        <v>0</v>
      </c>
      <c r="I4" s="311" t="b">
        <f aca="false">AND(F4='Breeding Calculator'!$G$9,G4='Breeding Calculator'!$K$9)</f>
        <v>0</v>
      </c>
      <c r="J4" s="311" t="b">
        <f aca="false">AND(G4='Breeding Calculator'!$G$9,F4='Breeding Calculator'!$K$9)</f>
        <v>0</v>
      </c>
      <c r="K4" s="311" t="b">
        <f aca="false">OR(I4,J4)</f>
        <v>0</v>
      </c>
      <c r="L4" s="3" t="str">
        <f aca="false">F4 &amp; G4</f>
        <v>MauPengullet</v>
      </c>
      <c r="M4" s="3" t="str">
        <f aca="false">G4&amp;F4</f>
        <v>PengulletMau</v>
      </c>
    </row>
    <row r="5" customFormat="false" ht="15.75" hidden="false" customHeight="false" outlineLevel="0" collapsed="false">
      <c r="A5" s="309" t="s">
        <v>427</v>
      </c>
      <c r="B5" s="309" t="s">
        <v>428</v>
      </c>
      <c r="C5" s="309" t="s">
        <v>429</v>
      </c>
      <c r="D5" s="309" t="s">
        <v>352</v>
      </c>
      <c r="E5" s="3" t="s">
        <v>146</v>
      </c>
      <c r="F5" s="3" t="s">
        <v>145</v>
      </c>
      <c r="G5" s="3" t="s">
        <v>58</v>
      </c>
      <c r="H5" s="310" t="b">
        <f aca="false">B5=C5</f>
        <v>0</v>
      </c>
      <c r="I5" s="311" t="b">
        <f aca="false">AND(F5='Breeding Calculator'!$G$9,G5='Breeding Calculator'!$K$9)</f>
        <v>0</v>
      </c>
      <c r="J5" s="311" t="b">
        <f aca="false">AND(G5='Breeding Calculator'!$G$9,F5='Breeding Calculator'!$K$9)</f>
        <v>0</v>
      </c>
      <c r="K5" s="311" t="b">
        <f aca="false">OR(I5,J5)</f>
        <v>0</v>
      </c>
      <c r="L5" s="3" t="str">
        <f aca="false">F5 &amp; G5</f>
        <v>VanwyrmFoxcicle</v>
      </c>
      <c r="M5" s="3" t="str">
        <f aca="false">G5&amp;F5</f>
        <v>FoxcicleVanwyrm</v>
      </c>
    </row>
    <row r="6" customFormat="false" ht="15.75" hidden="false" customHeight="false" outlineLevel="0" collapsed="false">
      <c r="A6" s="309" t="s">
        <v>430</v>
      </c>
      <c r="B6" s="309" t="s">
        <v>431</v>
      </c>
      <c r="C6" s="309" t="s">
        <v>432</v>
      </c>
      <c r="D6" s="309" t="s">
        <v>311</v>
      </c>
      <c r="E6" s="3" t="s">
        <v>49</v>
      </c>
      <c r="F6" s="3" t="s">
        <v>48</v>
      </c>
      <c r="G6" s="3" t="s">
        <v>71</v>
      </c>
      <c r="H6" s="310" t="b">
        <f aca="false">B6=C6</f>
        <v>0</v>
      </c>
      <c r="I6" s="311" t="b">
        <f aca="false">AND(F6='Breeding Calculator'!$G$9,G6='Breeding Calculator'!$K$9)</f>
        <v>0</v>
      </c>
      <c r="J6" s="311" t="b">
        <f aca="false">AND(G6='Breeding Calculator'!$G$9,F6='Breeding Calculator'!$K$9)</f>
        <v>0</v>
      </c>
      <c r="K6" s="311" t="b">
        <f aca="false">OR(I6,J6)</f>
        <v>0</v>
      </c>
      <c r="L6" s="3" t="str">
        <f aca="false">F6 &amp; G6</f>
        <v>EikthyrdeerHangyu</v>
      </c>
      <c r="M6" s="3" t="str">
        <f aca="false">G6&amp;F6</f>
        <v>HangyuEikthyrdeer</v>
      </c>
    </row>
    <row r="7" customFormat="false" ht="15.75" hidden="false" customHeight="false" outlineLevel="0" collapsed="false">
      <c r="A7" s="309" t="s">
        <v>433</v>
      </c>
      <c r="B7" s="309" t="s">
        <v>434</v>
      </c>
      <c r="C7" s="309" t="s">
        <v>435</v>
      </c>
      <c r="D7" s="309" t="s">
        <v>362</v>
      </c>
      <c r="E7" s="3" t="s">
        <v>52</v>
      </c>
      <c r="F7" s="3" t="s">
        <v>51</v>
      </c>
      <c r="G7" s="3" t="s">
        <v>133</v>
      </c>
      <c r="H7" s="310" t="b">
        <f aca="false">B7=C7</f>
        <v>0</v>
      </c>
      <c r="I7" s="311" t="b">
        <f aca="false">AND(F7='Breeding Calculator'!$G$9,G7='Breeding Calculator'!$K$9)</f>
        <v>0</v>
      </c>
      <c r="J7" s="311" t="b">
        <f aca="false">AND(G7='Breeding Calculator'!$G$9,F7='Breeding Calculator'!$K$9)</f>
        <v>0</v>
      </c>
      <c r="K7" s="311" t="b">
        <f aca="false">OR(I7,J7)</f>
        <v>0</v>
      </c>
      <c r="L7" s="3" t="str">
        <f aca="false">F7 &amp; G7</f>
        <v>ElphidranSurfent</v>
      </c>
      <c r="M7" s="3" t="str">
        <f aca="false">G7&amp;F7</f>
        <v>SurfentElphidran</v>
      </c>
    </row>
    <row r="8" customFormat="false" ht="15.75" hidden="false" customHeight="false" outlineLevel="0" collapsed="false">
      <c r="A8" s="309" t="s">
        <v>436</v>
      </c>
      <c r="B8" s="309" t="s">
        <v>437</v>
      </c>
      <c r="C8" s="309" t="s">
        <v>438</v>
      </c>
      <c r="D8" s="309" t="s">
        <v>336</v>
      </c>
      <c r="E8" s="3" t="s">
        <v>118</v>
      </c>
      <c r="F8" s="3" t="s">
        <v>117</v>
      </c>
      <c r="G8" s="3" t="s">
        <v>84</v>
      </c>
      <c r="H8" s="310" t="b">
        <f aca="false">B8=C8</f>
        <v>0</v>
      </c>
      <c r="I8" s="311" t="b">
        <f aca="false">AND(F8='Breeding Calculator'!$G$9,G8='Breeding Calculator'!$K$9)</f>
        <v>0</v>
      </c>
      <c r="J8" s="311" t="b">
        <f aca="false">AND(G8='Breeding Calculator'!$G$9,F8='Breeding Calculator'!$K$9)</f>
        <v>0</v>
      </c>
      <c r="K8" s="311" t="b">
        <f aca="false">OR(I8,J8)</f>
        <v>0</v>
      </c>
      <c r="L8" s="3" t="str">
        <f aca="false">F8 &amp; G8</f>
        <v>PyrinKatress</v>
      </c>
      <c r="M8" s="3" t="str">
        <f aca="false">G8&amp;F8</f>
        <v>KatressPyrin</v>
      </c>
    </row>
    <row r="9" customFormat="false" ht="15.75" hidden="false" customHeight="false" outlineLevel="0" collapsed="false">
      <c r="A9" s="309" t="s">
        <v>439</v>
      </c>
      <c r="B9" s="309" t="s">
        <v>440</v>
      </c>
      <c r="C9" s="309" t="s">
        <v>441</v>
      </c>
      <c r="D9" s="309" t="s">
        <v>379</v>
      </c>
      <c r="E9" s="3" t="s">
        <v>100</v>
      </c>
      <c r="F9" s="3" t="s">
        <v>99</v>
      </c>
      <c r="G9" s="3" t="s">
        <v>152</v>
      </c>
      <c r="H9" s="310" t="b">
        <f aca="false">B9=C9</f>
        <v>0</v>
      </c>
      <c r="I9" s="311" t="b">
        <f aca="false">AND(F9='Breeding Calculator'!$G$9,G9='Breeding Calculator'!$K$9)</f>
        <v>0</v>
      </c>
      <c r="J9" s="311" t="b">
        <f aca="false">AND(G9='Breeding Calculator'!$G$9,F9='Breeding Calculator'!$K$9)</f>
        <v>0</v>
      </c>
      <c r="K9" s="311" t="b">
        <f aca="false">OR(I9,J9)</f>
        <v>0</v>
      </c>
      <c r="L9" s="3" t="str">
        <f aca="false">F9 &amp; G9</f>
        <v>MammorestWumpo</v>
      </c>
      <c r="M9" s="3" t="str">
        <f aca="false">G9&amp;F9</f>
        <v>WumpoMammorest</v>
      </c>
    </row>
    <row r="10" customFormat="false" ht="15.75" hidden="false" customHeight="false" outlineLevel="0" collapsed="false">
      <c r="A10" s="309" t="s">
        <v>442</v>
      </c>
      <c r="B10" s="309" t="s">
        <v>443</v>
      </c>
      <c r="C10" s="309" t="s">
        <v>444</v>
      </c>
      <c r="D10" s="309" t="s">
        <v>306</v>
      </c>
      <c r="E10" s="3" t="s">
        <v>107</v>
      </c>
      <c r="F10" s="3" t="s">
        <v>106</v>
      </c>
      <c r="G10" s="3" t="s">
        <v>68</v>
      </c>
      <c r="H10" s="310" t="b">
        <f aca="false">B10=C10</f>
        <v>0</v>
      </c>
      <c r="I10" s="311" t="b">
        <f aca="false">AND(F10='Breeding Calculator'!$G$9,G10='Breeding Calculator'!$K$9)</f>
        <v>0</v>
      </c>
      <c r="J10" s="311" t="b">
        <f aca="false">AND(G10='Breeding Calculator'!$G$9,F10='Breeding Calculator'!$K$9)</f>
        <v>0</v>
      </c>
      <c r="K10" s="311" t="b">
        <f aca="false">OR(I10,J10)</f>
        <v>0</v>
      </c>
      <c r="L10" s="3" t="str">
        <f aca="false">F10 &amp; G10</f>
        <v>MossandaGrizzbolt</v>
      </c>
      <c r="M10" s="3" t="str">
        <f aca="false">G10&amp;F10</f>
        <v>GrizzboltMossanda</v>
      </c>
    </row>
    <row r="11" customFormat="false" ht="15.75" hidden="false" customHeight="false" outlineLevel="0" collapsed="false">
      <c r="A11" s="309" t="s">
        <v>445</v>
      </c>
      <c r="B11" s="309" t="s">
        <v>446</v>
      </c>
      <c r="C11" s="309" t="s">
        <v>447</v>
      </c>
      <c r="D11" s="309" t="s">
        <v>343</v>
      </c>
      <c r="E11" s="3" t="s">
        <v>45</v>
      </c>
      <c r="F11" s="3" t="s">
        <v>44</v>
      </c>
      <c r="G11" s="3" t="s">
        <v>120</v>
      </c>
      <c r="H11" s="310" t="b">
        <f aca="false">B11=C11</f>
        <v>0</v>
      </c>
      <c r="I11" s="311" t="b">
        <f aca="false">AND(F11='Breeding Calculator'!$G$9,G11='Breeding Calculator'!$K$9)</f>
        <v>0</v>
      </c>
      <c r="J11" s="311" t="b">
        <f aca="false">AND(G11='Breeding Calculator'!$G$9,F11='Breeding Calculator'!$K$9)</f>
        <v>0</v>
      </c>
      <c r="K11" s="311" t="b">
        <f aca="false">OR(I11,J11)</f>
        <v>0</v>
      </c>
      <c r="L11" s="3" t="str">
        <f aca="false">F11 &amp; G11</f>
        <v>DinossomRayhound</v>
      </c>
      <c r="M11" s="3" t="str">
        <f aca="false">G11&amp;F11</f>
        <v>RayhoundDinossom</v>
      </c>
    </row>
    <row r="12" customFormat="false" ht="15.75" hidden="false" customHeight="false" outlineLevel="0" collapsed="false">
      <c r="A12" s="309" t="s">
        <v>448</v>
      </c>
      <c r="B12" s="309" t="s">
        <v>449</v>
      </c>
      <c r="C12" s="309" t="s">
        <v>426</v>
      </c>
      <c r="D12" s="309" t="s">
        <v>277</v>
      </c>
      <c r="E12" s="3" t="s">
        <v>81</v>
      </c>
      <c r="F12" s="3" t="s">
        <v>80</v>
      </c>
      <c r="G12" s="3" t="s">
        <v>114</v>
      </c>
      <c r="H12" s="310" t="b">
        <f aca="false">B12=C12</f>
        <v>0</v>
      </c>
      <c r="I12" s="311" t="b">
        <f aca="false">AND(F12='Breeding Calculator'!$G$9,G12='Breeding Calculator'!$K$9)</f>
        <v>0</v>
      </c>
      <c r="J12" s="311" t="b">
        <f aca="false">AND(G12='Breeding Calculator'!$G$9,F12='Breeding Calculator'!$K$9)</f>
        <v>0</v>
      </c>
      <c r="K12" s="311" t="b">
        <f aca="false">OR(I12,J12)</f>
        <v>0</v>
      </c>
      <c r="L12" s="3" t="str">
        <f aca="false">F12 &amp; G12</f>
        <v>JolthogPengullet</v>
      </c>
      <c r="M12" s="3" t="str">
        <f aca="false">G12&amp;F12</f>
        <v>PengulletJolthog</v>
      </c>
    </row>
    <row r="13" customFormat="false" ht="15.75" hidden="false" customHeight="false" outlineLevel="0" collapsed="false">
      <c r="A13" s="309" t="s">
        <v>450</v>
      </c>
      <c r="B13" s="309" t="s">
        <v>451</v>
      </c>
      <c r="C13" s="309" t="s">
        <v>452</v>
      </c>
      <c r="D13" s="309" t="s">
        <v>402</v>
      </c>
      <c r="E13" s="3" t="s">
        <v>60</v>
      </c>
      <c r="F13" s="3" t="s">
        <v>21</v>
      </c>
      <c r="G13" s="3" t="s">
        <v>73</v>
      </c>
      <c r="H13" s="310" t="b">
        <f aca="false">B13=C13</f>
        <v>0</v>
      </c>
      <c r="I13" s="311" t="b">
        <f aca="false">AND(F13='Breeding Calculator'!$G$9,G13='Breeding Calculator'!$K$9)</f>
        <v>0</v>
      </c>
      <c r="J13" s="311" t="b">
        <f aca="false">AND(G13='Breeding Calculator'!$G$9,F13='Breeding Calculator'!$K$9)</f>
        <v>0</v>
      </c>
      <c r="K13" s="311" t="b">
        <f aca="false">OR(I13,J13)</f>
        <v>0</v>
      </c>
      <c r="L13" s="3" t="str">
        <f aca="false">F13 &amp; G13</f>
        <v>FrostallionHelzephyr</v>
      </c>
      <c r="M13" s="3" t="str">
        <f aca="false">G13&amp;F13</f>
        <v>HelzephyrFrostallion</v>
      </c>
    </row>
    <row r="14" customFormat="false" ht="15.75" hidden="false" customHeight="false" outlineLevel="0" collapsed="false">
      <c r="A14" s="309" t="s">
        <v>453</v>
      </c>
      <c r="B14" s="309" t="s">
        <v>454</v>
      </c>
      <c r="C14" s="309" t="s">
        <v>455</v>
      </c>
      <c r="D14" s="309" t="s">
        <v>377</v>
      </c>
      <c r="E14" s="3" t="s">
        <v>75</v>
      </c>
      <c r="F14" s="3" t="s">
        <v>88</v>
      </c>
      <c r="G14" s="3" t="s">
        <v>121</v>
      </c>
      <c r="H14" s="310" t="b">
        <f aca="false">B14=C14</f>
        <v>0</v>
      </c>
      <c r="I14" s="311" t="b">
        <f aca="false">AND(F14='Breeding Calculator'!$G$9,G14='Breeding Calculator'!$K$9)</f>
        <v>0</v>
      </c>
      <c r="J14" s="311" t="b">
        <f aca="false">AND(G14='Breeding Calculator'!$G$9,F14='Breeding Calculator'!$K$9)</f>
        <v>0</v>
      </c>
      <c r="K14" s="311" t="b">
        <f aca="false">OR(I14,J14)</f>
        <v>0</v>
      </c>
      <c r="L14" s="3" t="str">
        <f aca="false">F14 &amp; G14</f>
        <v>KingpacaReindrix</v>
      </c>
      <c r="M14" s="3" t="str">
        <f aca="false">G14&amp;F14</f>
        <v>ReindrixKingpaca</v>
      </c>
    </row>
    <row r="15" customFormat="false" ht="15.75" hidden="false" customHeight="false" outlineLevel="0" collapsed="false">
      <c r="A15" s="309" t="s">
        <v>456</v>
      </c>
      <c r="B15" s="309" t="s">
        <v>457</v>
      </c>
      <c r="C15" s="309" t="s">
        <v>458</v>
      </c>
      <c r="D15" s="309" t="s">
        <v>395</v>
      </c>
      <c r="E15" s="3" t="s">
        <v>98</v>
      </c>
      <c r="F15" s="3" t="s">
        <v>97</v>
      </c>
      <c r="G15" s="3" t="s">
        <v>105</v>
      </c>
      <c r="H15" s="310" t="b">
        <f aca="false">B15=C15</f>
        <v>0</v>
      </c>
      <c r="I15" s="311" t="b">
        <f aca="false">AND(F15='Breeding Calculator'!$G$9,G15='Breeding Calculator'!$K$9)</f>
        <v>0</v>
      </c>
      <c r="J15" s="311" t="b">
        <f aca="false">AND(G15='Breeding Calculator'!$G$9,F15='Breeding Calculator'!$K$9)</f>
        <v>0</v>
      </c>
      <c r="K15" s="311" t="b">
        <f aca="false">OR(I15,J15)</f>
        <v>0</v>
      </c>
      <c r="L15" s="3" t="str">
        <f aca="false">F15 &amp; G15</f>
        <v>LyleenMenasting</v>
      </c>
      <c r="M15" s="3" t="str">
        <f aca="false">G15&amp;F15</f>
        <v>MenastingLyleen</v>
      </c>
    </row>
    <row r="16" customFormat="false" ht="15.75" hidden="false" customHeight="false" outlineLevel="0" collapsed="false">
      <c r="A16" s="309" t="s">
        <v>459</v>
      </c>
      <c r="B16" s="309" t="s">
        <v>460</v>
      </c>
      <c r="C16" s="309" t="s">
        <v>461</v>
      </c>
      <c r="D16" s="309" t="s">
        <v>321</v>
      </c>
      <c r="E16" s="3" t="s">
        <v>92</v>
      </c>
      <c r="F16" s="3" t="s">
        <v>91</v>
      </c>
      <c r="G16" s="3" t="s">
        <v>56</v>
      </c>
      <c r="H16" s="310" t="b">
        <f aca="false">B16=C16</f>
        <v>0</v>
      </c>
      <c r="I16" s="311" t="b">
        <f aca="false">AND(F16='Breeding Calculator'!$G$9,G16='Breeding Calculator'!$K$9)</f>
        <v>0</v>
      </c>
      <c r="J16" s="311" t="b">
        <f aca="false">AND(G16='Breeding Calculator'!$G$9,F16='Breeding Calculator'!$K$9)</f>
        <v>0</v>
      </c>
      <c r="K16" s="311" t="b">
        <f aca="false">OR(I16,J16)</f>
        <v>0</v>
      </c>
      <c r="L16" s="3" t="str">
        <f aca="false">F16 &amp; G16</f>
        <v>LeezpunkFlambelle</v>
      </c>
      <c r="M16" s="3" t="str">
        <f aca="false">G16&amp;F16</f>
        <v>FlambelleLeezpunk</v>
      </c>
    </row>
    <row r="17" customFormat="false" ht="15.75" hidden="false" customHeight="false" outlineLevel="0" collapsed="false">
      <c r="A17" s="309" t="s">
        <v>462</v>
      </c>
      <c r="B17" s="309" t="s">
        <v>463</v>
      </c>
      <c r="C17" s="309" t="s">
        <v>464</v>
      </c>
      <c r="D17" s="309" t="s">
        <v>368</v>
      </c>
      <c r="E17" s="3" t="s">
        <v>27</v>
      </c>
      <c r="F17" s="3" t="s">
        <v>25</v>
      </c>
      <c r="G17" s="3" t="s">
        <v>54</v>
      </c>
      <c r="H17" s="310" t="b">
        <f aca="false">B17=C17</f>
        <v>0</v>
      </c>
      <c r="I17" s="311" t="b">
        <f aca="false">AND(F17='Breeding Calculator'!$G$9,G17='Breeding Calculator'!$K$9)</f>
        <v>0</v>
      </c>
      <c r="J17" s="311" t="b">
        <f aca="false">AND(G17='Breeding Calculator'!$G$9,F17='Breeding Calculator'!$K$9)</f>
        <v>0</v>
      </c>
      <c r="K17" s="311" t="b">
        <f aca="false">OR(I17,J17)</f>
        <v>0</v>
      </c>
      <c r="L17" s="3" t="str">
        <f aca="false">F17 &amp; G17</f>
        <v>BlazehowlFelbat</v>
      </c>
      <c r="M17" s="3" t="str">
        <f aca="false">G17&amp;F17</f>
        <v>FelbatBlazehowl</v>
      </c>
    </row>
    <row r="18" customFormat="false" ht="15.75" hidden="false" customHeight="false" outlineLevel="0" collapsed="false">
      <c r="A18" s="309" t="s">
        <v>465</v>
      </c>
      <c r="B18" s="309" t="s">
        <v>466</v>
      </c>
      <c r="C18" s="309" t="s">
        <v>467</v>
      </c>
      <c r="D18" s="309" t="s">
        <v>325</v>
      </c>
      <c r="E18" s="3" t="s">
        <v>127</v>
      </c>
      <c r="F18" s="3" t="s">
        <v>126</v>
      </c>
      <c r="G18" s="3" t="s">
        <v>62</v>
      </c>
      <c r="H18" s="310" t="b">
        <f aca="false">B18=C18</f>
        <v>0</v>
      </c>
      <c r="I18" s="311" t="b">
        <f aca="false">AND(F18='Breeding Calculator'!$G$9,G18='Breeding Calculator'!$K$9)</f>
        <v>0</v>
      </c>
      <c r="J18" s="311" t="b">
        <f aca="false">AND(G18='Breeding Calculator'!$G$9,F18='Breeding Calculator'!$K$9)</f>
        <v>0</v>
      </c>
      <c r="K18" s="311" t="b">
        <f aca="false">OR(I18,J18)</f>
        <v>0</v>
      </c>
      <c r="L18" s="3" t="str">
        <f aca="false">F18 &amp; G18</f>
        <v>RobinquillFuddler</v>
      </c>
      <c r="M18" s="3" t="str">
        <f aca="false">G18&amp;F18</f>
        <v>FuddlerRobinquill</v>
      </c>
    </row>
    <row r="19" customFormat="false" ht="15.75" hidden="false" customHeight="false" outlineLevel="0" collapsed="false">
      <c r="A19" s="309" t="s">
        <v>468</v>
      </c>
      <c r="B19" s="309" t="s">
        <v>469</v>
      </c>
      <c r="C19" s="309" t="s">
        <v>470</v>
      </c>
      <c r="D19" s="309" t="s">
        <v>372</v>
      </c>
      <c r="E19" s="3" t="s">
        <v>30</v>
      </c>
      <c r="F19" s="3" t="s">
        <v>29</v>
      </c>
      <c r="G19" s="3" t="s">
        <v>61</v>
      </c>
      <c r="H19" s="310" t="b">
        <f aca="false">B19=C19</f>
        <v>0</v>
      </c>
      <c r="I19" s="311" t="b">
        <f aca="false">AND(F19='Breeding Calculator'!$G$9,G19='Breeding Calculator'!$K$9)</f>
        <v>0</v>
      </c>
      <c r="J19" s="311" t="b">
        <f aca="false">AND(G19='Breeding Calculator'!$G$9,F19='Breeding Calculator'!$K$9)</f>
        <v>0</v>
      </c>
      <c r="K19" s="311" t="b">
        <f aca="false">OR(I19,J19)</f>
        <v>0</v>
      </c>
      <c r="L19" s="3" t="str">
        <f aca="false">F19 &amp; G19</f>
        <v>BroncherryFuack</v>
      </c>
      <c r="M19" s="3" t="str">
        <f aca="false">G19&amp;F19</f>
        <v>FuackBroncherry</v>
      </c>
    </row>
    <row r="20" customFormat="false" ht="15.75" hidden="false" customHeight="false" outlineLevel="0" collapsed="false">
      <c r="A20" s="309" t="s">
        <v>471</v>
      </c>
      <c r="B20" s="309" t="s">
        <v>435</v>
      </c>
      <c r="C20" s="309" t="s">
        <v>472</v>
      </c>
      <c r="D20" s="309" t="s">
        <v>345</v>
      </c>
      <c r="E20" s="3" t="s">
        <v>134</v>
      </c>
      <c r="F20" s="3" t="s">
        <v>133</v>
      </c>
      <c r="G20" s="3" t="s">
        <v>47</v>
      </c>
      <c r="H20" s="310" t="b">
        <f aca="false">B20=C20</f>
        <v>0</v>
      </c>
      <c r="I20" s="311" t="b">
        <f aca="false">AND(F20='Breeding Calculator'!$G$9,G20='Breeding Calculator'!$K$9)</f>
        <v>0</v>
      </c>
      <c r="J20" s="311" t="b">
        <f aca="false">AND(G20='Breeding Calculator'!$G$9,F20='Breeding Calculator'!$K$9)</f>
        <v>0</v>
      </c>
      <c r="K20" s="311" t="b">
        <f aca="false">OR(I20,J20)</f>
        <v>0</v>
      </c>
      <c r="L20" s="3" t="str">
        <f aca="false">F20 &amp; G20</f>
        <v>SurfentDumud</v>
      </c>
      <c r="M20" s="3" t="str">
        <f aca="false">G20&amp;F20</f>
        <v>DumudSurfent</v>
      </c>
    </row>
    <row r="21" customFormat="false" ht="15.75" hidden="false" customHeight="false" outlineLevel="0" collapsed="false">
      <c r="A21" s="309" t="s">
        <v>473</v>
      </c>
      <c r="B21" s="309" t="s">
        <v>474</v>
      </c>
      <c r="C21" s="309" t="s">
        <v>475</v>
      </c>
      <c r="D21" s="309" t="s">
        <v>302</v>
      </c>
      <c r="E21" s="3" t="s">
        <v>65</v>
      </c>
      <c r="F21" s="3" t="s">
        <v>64</v>
      </c>
      <c r="G21" s="3" t="s">
        <v>128</v>
      </c>
      <c r="H21" s="310" t="b">
        <f aca="false">B21=C21</f>
        <v>0</v>
      </c>
      <c r="I21" s="311" t="b">
        <f aca="false">AND(F21='Breeding Calculator'!$G$9,G21='Breeding Calculator'!$K$9)</f>
        <v>0</v>
      </c>
      <c r="J21" s="311" t="b">
        <f aca="false">AND(G21='Breeding Calculator'!$G$9,F21='Breeding Calculator'!$K$9)</f>
        <v>0</v>
      </c>
      <c r="K21" s="311" t="b">
        <f aca="false">OR(I21,J21)</f>
        <v>0</v>
      </c>
      <c r="L21" s="3" t="str">
        <f aca="false">F21 &amp; G21</f>
        <v>GobfinRooby</v>
      </c>
      <c r="M21" s="3" t="str">
        <f aca="false">G21&amp;F21</f>
        <v>RoobyGobfin</v>
      </c>
    </row>
    <row r="22" customFormat="false" ht="15.75" hidden="false" customHeight="false" outlineLevel="0" collapsed="false">
      <c r="A22" s="309" t="s">
        <v>476</v>
      </c>
      <c r="B22" s="309" t="s">
        <v>477</v>
      </c>
      <c r="C22" s="309" t="s">
        <v>478</v>
      </c>
      <c r="D22" s="309" t="s">
        <v>392</v>
      </c>
      <c r="E22" s="3" t="s">
        <v>136</v>
      </c>
      <c r="F22" s="3" t="s">
        <v>135</v>
      </c>
      <c r="G22" s="3" t="s">
        <v>82</v>
      </c>
      <c r="H22" s="310" t="b">
        <f aca="false">B22=C22</f>
        <v>0</v>
      </c>
      <c r="I22" s="311" t="b">
        <f aca="false">AND(F22='Breeding Calculator'!$G$9,G22='Breeding Calculator'!$K$9)</f>
        <v>0</v>
      </c>
      <c r="J22" s="311" t="b">
        <f aca="false">AND(G22='Breeding Calculator'!$G$9,F22='Breeding Calculator'!$K$9)</f>
        <v>0</v>
      </c>
      <c r="K22" s="311" t="b">
        <f aca="false">OR(I22,J22)</f>
        <v>0</v>
      </c>
      <c r="L22" s="3" t="str">
        <f aca="false">F22 &amp; G22</f>
        <v>SuzakuJormuntide</v>
      </c>
      <c r="M22" s="3" t="str">
        <f aca="false">G22&amp;F22</f>
        <v>JormuntideSuzaku</v>
      </c>
    </row>
    <row r="23" customFormat="false" ht="15.75" hidden="false" customHeight="false" outlineLevel="0" collapsed="false">
      <c r="A23" s="309" t="s">
        <v>479</v>
      </c>
      <c r="B23" s="309" t="s">
        <v>480</v>
      </c>
      <c r="C23" s="309" t="s">
        <v>429</v>
      </c>
      <c r="D23" s="309" t="s">
        <v>375</v>
      </c>
      <c r="E23" s="3" t="s">
        <v>76</v>
      </c>
      <c r="F23" s="3" t="s">
        <v>124</v>
      </c>
      <c r="G23" s="3" t="s">
        <v>58</v>
      </c>
      <c r="H23" s="310" t="b">
        <f aca="false">B23=C23</f>
        <v>0</v>
      </c>
      <c r="I23" s="311" t="b">
        <f aca="false">AND(F23='Breeding Calculator'!$G$9,G23='Breeding Calculator'!$K$9)</f>
        <v>0</v>
      </c>
      <c r="J23" s="311" t="b">
        <f aca="false">AND(G23='Breeding Calculator'!$G$9,F23='Breeding Calculator'!$K$9)</f>
        <v>0</v>
      </c>
      <c r="K23" s="311" t="b">
        <f aca="false">OR(I23,J23)</f>
        <v>0</v>
      </c>
      <c r="L23" s="3" t="str">
        <f aca="false">F23 &amp; G23</f>
        <v>ReptyroFoxcicle</v>
      </c>
      <c r="M23" s="3" t="str">
        <f aca="false">G23&amp;F23</f>
        <v>FoxcicleReptyro</v>
      </c>
    </row>
    <row r="24" customFormat="false" ht="15.75" hidden="false" customHeight="false" outlineLevel="0" collapsed="false">
      <c r="A24" s="309" t="s">
        <v>481</v>
      </c>
      <c r="B24" s="309" t="s">
        <v>432</v>
      </c>
      <c r="C24" s="309" t="s">
        <v>482</v>
      </c>
      <c r="D24" s="309" t="s">
        <v>304</v>
      </c>
      <c r="E24" s="3" t="s">
        <v>72</v>
      </c>
      <c r="F24" s="3" t="s">
        <v>71</v>
      </c>
      <c r="G24" s="3" t="s">
        <v>137</v>
      </c>
      <c r="H24" s="310" t="b">
        <f aca="false">B24=C24</f>
        <v>0</v>
      </c>
      <c r="I24" s="311" t="b">
        <f aca="false">AND(F24='Breeding Calculator'!$G$9,G24='Breeding Calculator'!$K$9)</f>
        <v>0</v>
      </c>
      <c r="J24" s="311" t="b">
        <f aca="false">AND(G24='Breeding Calculator'!$G$9,F24='Breeding Calculator'!$K$9)</f>
        <v>0</v>
      </c>
      <c r="K24" s="311" t="b">
        <f aca="false">OR(I24,J24)</f>
        <v>0</v>
      </c>
      <c r="L24" s="3" t="str">
        <f aca="false">F24 &amp; G24</f>
        <v>HangyuSwee</v>
      </c>
      <c r="M24" s="3" t="str">
        <f aca="false">G24&amp;F24</f>
        <v>SweeHangyu</v>
      </c>
    </row>
    <row r="25" customFormat="false" ht="15.75" hidden="false" customHeight="false" outlineLevel="0" collapsed="false">
      <c r="A25" s="309" t="s">
        <v>483</v>
      </c>
      <c r="B25" s="309" t="s">
        <v>451</v>
      </c>
      <c r="C25" s="309" t="s">
        <v>451</v>
      </c>
      <c r="D25" s="309" t="s">
        <v>401</v>
      </c>
      <c r="E25" s="3" t="s">
        <v>21</v>
      </c>
      <c r="F25" s="3" t="s">
        <v>21</v>
      </c>
      <c r="G25" s="3" t="s">
        <v>21</v>
      </c>
      <c r="H25" s="310" t="b">
        <f aca="false">B25=C25</f>
        <v>1</v>
      </c>
      <c r="I25" s="311" t="b">
        <f aca="false">AND(F25='Breeding Calculator'!$G$9,G25='Breeding Calculator'!$K$9)</f>
        <v>0</v>
      </c>
      <c r="J25" s="311" t="b">
        <f aca="false">AND(G25='Breeding Calculator'!$G$9,F25='Breeding Calculator'!$K$9)</f>
        <v>0</v>
      </c>
      <c r="K25" s="311" t="b">
        <f aca="false">OR(I25,J25)</f>
        <v>0</v>
      </c>
      <c r="L25" s="3" t="str">
        <f aca="false">F25 &amp; G25</f>
        <v>FrostallionFrostallion</v>
      </c>
      <c r="M25" s="3" t="str">
        <f aca="false">G25&amp;F25</f>
        <v>FrostallionFrostallion</v>
      </c>
    </row>
    <row r="26" customFormat="false" ht="15.75" hidden="false" customHeight="false" outlineLevel="0" collapsed="false">
      <c r="A26" s="309" t="s">
        <v>484</v>
      </c>
      <c r="B26" s="309" t="s">
        <v>485</v>
      </c>
      <c r="C26" s="309" t="s">
        <v>485</v>
      </c>
      <c r="D26" s="309" t="s">
        <v>403</v>
      </c>
      <c r="E26" s="3" t="s">
        <v>79</v>
      </c>
      <c r="F26" s="3" t="s">
        <v>79</v>
      </c>
      <c r="G26" s="3" t="s">
        <v>79</v>
      </c>
      <c r="H26" s="310" t="b">
        <f aca="false">B26=C26</f>
        <v>1</v>
      </c>
      <c r="I26" s="311" t="b">
        <f aca="false">AND(F26='Breeding Calculator'!$G$9,G26='Breeding Calculator'!$K$9)</f>
        <v>0</v>
      </c>
      <c r="J26" s="311" t="b">
        <f aca="false">AND(G26='Breeding Calculator'!$G$9,F26='Breeding Calculator'!$K$9)</f>
        <v>0</v>
      </c>
      <c r="K26" s="311" t="b">
        <f aca="false">OR(I26,J26)</f>
        <v>0</v>
      </c>
      <c r="L26" s="3" t="str">
        <f aca="false">F26 &amp; G26</f>
        <v>JetragonJetragon</v>
      </c>
      <c r="M26" s="3" t="str">
        <f aca="false">G26&amp;F26</f>
        <v>JetragonJetragon</v>
      </c>
    </row>
    <row r="27" customFormat="false" ht="15.75" hidden="false" customHeight="false" outlineLevel="0" collapsed="false">
      <c r="A27" s="309" t="s">
        <v>486</v>
      </c>
      <c r="B27" s="309" t="s">
        <v>487</v>
      </c>
      <c r="C27" s="309" t="s">
        <v>487</v>
      </c>
      <c r="D27" s="309" t="s">
        <v>399</v>
      </c>
      <c r="E27" s="3" t="s">
        <v>113</v>
      </c>
      <c r="F27" s="3" t="s">
        <v>113</v>
      </c>
      <c r="G27" s="3" t="s">
        <v>113</v>
      </c>
      <c r="H27" s="310" t="b">
        <f aca="false">B27=C27</f>
        <v>1</v>
      </c>
      <c r="I27" s="311" t="b">
        <f aca="false">AND(F27='Breeding Calculator'!$G$9,G27='Breeding Calculator'!$K$9)</f>
        <v>0</v>
      </c>
      <c r="J27" s="311" t="b">
        <f aca="false">AND(G27='Breeding Calculator'!$G$9,F27='Breeding Calculator'!$K$9)</f>
        <v>0</v>
      </c>
      <c r="K27" s="311" t="b">
        <f aca="false">OR(I27,J27)</f>
        <v>0</v>
      </c>
      <c r="L27" s="3" t="str">
        <f aca="false">F27 &amp; G27</f>
        <v>PaladiusPaladius</v>
      </c>
      <c r="M27" s="3" t="str">
        <f aca="false">G27&amp;F27</f>
        <v>PaladiusPaladius</v>
      </c>
    </row>
    <row r="28" customFormat="false" ht="15.75" hidden="false" customHeight="false" outlineLevel="0" collapsed="false">
      <c r="A28" s="309" t="s">
        <v>488</v>
      </c>
      <c r="B28" s="309" t="s">
        <v>489</v>
      </c>
      <c r="C28" s="309" t="s">
        <v>489</v>
      </c>
      <c r="D28" s="309" t="s">
        <v>400</v>
      </c>
      <c r="E28" s="3" t="s">
        <v>109</v>
      </c>
      <c r="F28" s="3" t="s">
        <v>109</v>
      </c>
      <c r="G28" s="3" t="s">
        <v>109</v>
      </c>
      <c r="H28" s="310" t="b">
        <f aca="false">B28=C28</f>
        <v>1</v>
      </c>
      <c r="I28" s="311" t="b">
        <f aca="false">AND(F28='Breeding Calculator'!$G$9,G28='Breeding Calculator'!$K$9)</f>
        <v>0</v>
      </c>
      <c r="J28" s="311" t="b">
        <f aca="false">AND(G28='Breeding Calculator'!$G$9,F28='Breeding Calculator'!$K$9)</f>
        <v>0</v>
      </c>
      <c r="K28" s="311" t="b">
        <f aca="false">OR(I28,J28)</f>
        <v>0</v>
      </c>
      <c r="L28" s="3" t="str">
        <f aca="false">F28 &amp; G28</f>
        <v>NecromusNecromus</v>
      </c>
      <c r="M28" s="3" t="str">
        <f aca="false">G28&amp;F28</f>
        <v>NecromusNecromus</v>
      </c>
    </row>
    <row r="29" customFormat="false" ht="15.75" hidden="false" customHeight="false" outlineLevel="0" collapsed="false">
      <c r="A29" s="309" t="s">
        <v>490</v>
      </c>
      <c r="B29" s="309" t="s">
        <v>443</v>
      </c>
      <c r="C29" s="309" t="s">
        <v>491</v>
      </c>
      <c r="D29" s="309" t="s">
        <v>394</v>
      </c>
      <c r="E29" s="3" t="s">
        <v>97</v>
      </c>
      <c r="F29" s="3" t="s">
        <v>106</v>
      </c>
      <c r="G29" s="3" t="s">
        <v>116</v>
      </c>
      <c r="H29" s="310" t="b">
        <f aca="false">B29=C29</f>
        <v>0</v>
      </c>
      <c r="I29" s="311" t="b">
        <f aca="false">AND(F29='Breeding Calculator'!$G$9,G29='Breeding Calculator'!$K$9)</f>
        <v>0</v>
      </c>
      <c r="J29" s="311" t="b">
        <f aca="false">AND(G29='Breeding Calculator'!$G$9,F29='Breeding Calculator'!$K$9)</f>
        <v>0</v>
      </c>
      <c r="K29" s="311" t="b">
        <f aca="false">OR(I29,J29)</f>
        <v>0</v>
      </c>
      <c r="L29" s="3" t="str">
        <f aca="false">F29 &amp; G29</f>
        <v>MossandaPetallia</v>
      </c>
      <c r="M29" s="3" t="str">
        <f aca="false">G29&amp;F29</f>
        <v>PetalliaMossanda</v>
      </c>
    </row>
    <row r="30" customFormat="false" ht="15.75" hidden="false" customHeight="false" outlineLevel="0" collapsed="false">
      <c r="A30" s="309" t="s">
        <v>492</v>
      </c>
      <c r="B30" s="309" t="s">
        <v>428</v>
      </c>
      <c r="C30" s="309" t="s">
        <v>493</v>
      </c>
      <c r="D30" s="309" t="s">
        <v>396</v>
      </c>
      <c r="E30" s="3" t="s">
        <v>53</v>
      </c>
      <c r="F30" s="3" t="s">
        <v>145</v>
      </c>
      <c r="G30" s="3" t="s">
        <v>12</v>
      </c>
      <c r="H30" s="310" t="b">
        <f aca="false">B30=C30</f>
        <v>0</v>
      </c>
      <c r="I30" s="311" t="b">
        <f aca="false">AND(F30='Breeding Calculator'!$G$9,G30='Breeding Calculator'!$K$9)</f>
        <v>0</v>
      </c>
      <c r="J30" s="311" t="b">
        <f aca="false">AND(G30='Breeding Calculator'!$G$9,F30='Breeding Calculator'!$K$9)</f>
        <v>0</v>
      </c>
      <c r="K30" s="311" t="b">
        <f aca="false">OR(I30,J30)</f>
        <v>0</v>
      </c>
      <c r="L30" s="3" t="str">
        <f aca="false">F30 &amp; G30</f>
        <v>VanwyrmAnubis</v>
      </c>
      <c r="M30" s="3" t="str">
        <f aca="false">G30&amp;F30</f>
        <v>AnubisVanwyrm</v>
      </c>
    </row>
    <row r="31" customFormat="false" ht="15.75" hidden="false" customHeight="false" outlineLevel="0" collapsed="false">
      <c r="A31" s="309" t="s">
        <v>494</v>
      </c>
      <c r="B31" s="309" t="s">
        <v>443</v>
      </c>
      <c r="C31" s="309" t="s">
        <v>447</v>
      </c>
      <c r="D31" s="309" t="s">
        <v>393</v>
      </c>
      <c r="E31" s="3" t="s">
        <v>68</v>
      </c>
      <c r="F31" s="3" t="s">
        <v>106</v>
      </c>
      <c r="G31" s="3" t="s">
        <v>120</v>
      </c>
      <c r="H31" s="310" t="b">
        <f aca="false">B31=C31</f>
        <v>0</v>
      </c>
      <c r="I31" s="311" t="b">
        <f aca="false">AND(F31='Breeding Calculator'!$G$9,G31='Breeding Calculator'!$K$9)</f>
        <v>0</v>
      </c>
      <c r="J31" s="311" t="b">
        <f aca="false">AND(G31='Breeding Calculator'!$G$9,F31='Breeding Calculator'!$K$9)</f>
        <v>0</v>
      </c>
      <c r="K31" s="311" t="b">
        <f aca="false">OR(I31,J31)</f>
        <v>0</v>
      </c>
      <c r="L31" s="3" t="str">
        <f aca="false">F31 &amp; G31</f>
        <v>MossandaRayhound</v>
      </c>
      <c r="M31" s="3" t="str">
        <f aca="false">G31&amp;F31</f>
        <v>RayhoundMossanda</v>
      </c>
    </row>
    <row r="32" customFormat="false" ht="15.75" hidden="false" customHeight="false" outlineLevel="0" collapsed="false">
      <c r="A32" s="309" t="s">
        <v>495</v>
      </c>
      <c r="B32" s="309" t="s">
        <v>444</v>
      </c>
      <c r="C32" s="309" t="s">
        <v>419</v>
      </c>
      <c r="D32" s="309" t="s">
        <v>397</v>
      </c>
      <c r="E32" s="3" t="s">
        <v>112</v>
      </c>
      <c r="F32" s="3" t="s">
        <v>68</v>
      </c>
      <c r="G32" s="3" t="s">
        <v>122</v>
      </c>
      <c r="H32" s="310" t="b">
        <f aca="false">B32=C32</f>
        <v>0</v>
      </c>
      <c r="I32" s="311" t="b">
        <f aca="false">AND(F32='Breeding Calculator'!$G$9,G32='Breeding Calculator'!$K$9)</f>
        <v>0</v>
      </c>
      <c r="J32" s="311" t="b">
        <f aca="false">AND(G32='Breeding Calculator'!$G$9,F32='Breeding Calculator'!$K$9)</f>
        <v>0</v>
      </c>
      <c r="K32" s="311" t="b">
        <f aca="false">OR(I32,J32)</f>
        <v>0</v>
      </c>
      <c r="L32" s="3" t="str">
        <f aca="false">F32 &amp; G32</f>
        <v>GrizzboltRelaxaurus</v>
      </c>
      <c r="M32" s="3" t="str">
        <f aca="false">G32&amp;F32</f>
        <v>RelaxaurusGrizzbolt</v>
      </c>
    </row>
    <row r="33" customFormat="false" ht="15.75" hidden="false" customHeight="false" outlineLevel="0" collapsed="false">
      <c r="A33" s="309" t="s">
        <v>496</v>
      </c>
      <c r="B33" s="309" t="s">
        <v>497</v>
      </c>
      <c r="C33" s="309" t="s">
        <v>498</v>
      </c>
      <c r="D33" s="309" t="s">
        <v>398</v>
      </c>
      <c r="E33" s="3" t="s">
        <v>130</v>
      </c>
      <c r="F33" s="3" t="s">
        <v>89</v>
      </c>
      <c r="G33" s="3" t="s">
        <v>15</v>
      </c>
      <c r="H33" s="310" t="b">
        <f aca="false">B33=C33</f>
        <v>0</v>
      </c>
      <c r="I33" s="311" t="b">
        <f aca="false">AND(F33='Breeding Calculator'!$G$9,G33='Breeding Calculator'!$K$9)</f>
        <v>0</v>
      </c>
      <c r="J33" s="311" t="b">
        <f aca="false">AND(G33='Breeding Calculator'!$G$9,F33='Breeding Calculator'!$K$9)</f>
        <v>0</v>
      </c>
      <c r="K33" s="311" t="b">
        <f aca="false">OR(I33,J33)</f>
        <v>0</v>
      </c>
      <c r="L33" s="3" t="str">
        <f aca="false">F33 &amp; G33</f>
        <v>KitsunAstegon</v>
      </c>
      <c r="M33" s="3" t="str">
        <f aca="false">G33&amp;F33</f>
        <v>AstegonKitsun</v>
      </c>
    </row>
    <row r="34" customFormat="false" ht="15.75" hidden="false" customHeight="false" outlineLevel="0" collapsed="false">
      <c r="A34" s="309" t="s">
        <v>499</v>
      </c>
      <c r="B34" s="309" t="s">
        <v>457</v>
      </c>
      <c r="C34" s="309" t="s">
        <v>457</v>
      </c>
      <c r="D34" s="309" t="s">
        <v>394</v>
      </c>
      <c r="E34" s="3" t="s">
        <v>97</v>
      </c>
      <c r="F34" s="3" t="s">
        <v>97</v>
      </c>
      <c r="G34" s="3" t="s">
        <v>97</v>
      </c>
      <c r="H34" s="310" t="b">
        <f aca="false">B34=C34</f>
        <v>1</v>
      </c>
      <c r="I34" s="311" t="b">
        <f aca="false">AND(F34='Breeding Calculator'!$G$9,G34='Breeding Calculator'!$K$9)</f>
        <v>0</v>
      </c>
      <c r="J34" s="311" t="b">
        <f aca="false">AND(G34='Breeding Calculator'!$G$9,F34='Breeding Calculator'!$K$9)</f>
        <v>0</v>
      </c>
      <c r="K34" s="311" t="b">
        <f aca="false">OR(I34,J34)</f>
        <v>0</v>
      </c>
      <c r="L34" s="3" t="str">
        <f aca="false">F34 &amp; G34</f>
        <v>LyleenLyleen</v>
      </c>
      <c r="M34" s="3" t="str">
        <f aca="false">G34&amp;F34</f>
        <v>LyleenLyleen</v>
      </c>
    </row>
    <row r="35" customFormat="false" ht="15.75" hidden="false" customHeight="false" outlineLevel="0" collapsed="false">
      <c r="A35" s="309" t="s">
        <v>500</v>
      </c>
      <c r="B35" s="309" t="s">
        <v>501</v>
      </c>
      <c r="C35" s="309" t="s">
        <v>501</v>
      </c>
      <c r="D35" s="309" t="s">
        <v>396</v>
      </c>
      <c r="E35" s="3" t="s">
        <v>53</v>
      </c>
      <c r="F35" s="3" t="s">
        <v>53</v>
      </c>
      <c r="G35" s="3" t="s">
        <v>53</v>
      </c>
      <c r="H35" s="310" t="b">
        <f aca="false">B35=C35</f>
        <v>1</v>
      </c>
      <c r="I35" s="311" t="b">
        <f aca="false">AND(F35='Breeding Calculator'!$G$9,G35='Breeding Calculator'!$K$9)</f>
        <v>0</v>
      </c>
      <c r="J35" s="311" t="b">
        <f aca="false">AND(G35='Breeding Calculator'!$G$9,F35='Breeding Calculator'!$K$9)</f>
        <v>0</v>
      </c>
      <c r="K35" s="311" t="b">
        <f aca="false">OR(I35,J35)</f>
        <v>0</v>
      </c>
      <c r="L35" s="3" t="str">
        <f aca="false">F35 &amp; G35</f>
        <v>FalerisFaleris</v>
      </c>
      <c r="M35" s="3" t="str">
        <f aca="false">G35&amp;F35</f>
        <v>FalerisFaleris</v>
      </c>
    </row>
    <row r="36" customFormat="false" ht="15.75" hidden="false" customHeight="false" outlineLevel="0" collapsed="false">
      <c r="A36" s="309" t="s">
        <v>502</v>
      </c>
      <c r="B36" s="309" t="s">
        <v>444</v>
      </c>
      <c r="C36" s="309" t="s">
        <v>444</v>
      </c>
      <c r="D36" s="309" t="s">
        <v>393</v>
      </c>
      <c r="E36" s="3" t="s">
        <v>68</v>
      </c>
      <c r="F36" s="3" t="s">
        <v>68</v>
      </c>
      <c r="G36" s="3" t="s">
        <v>68</v>
      </c>
      <c r="H36" s="310" t="b">
        <f aca="false">B36=C36</f>
        <v>1</v>
      </c>
      <c r="I36" s="311" t="b">
        <f aca="false">AND(F36='Breeding Calculator'!$G$9,G36='Breeding Calculator'!$K$9)</f>
        <v>0</v>
      </c>
      <c r="J36" s="311" t="b">
        <f aca="false">AND(G36='Breeding Calculator'!$G$9,F36='Breeding Calculator'!$K$9)</f>
        <v>0</v>
      </c>
      <c r="K36" s="311" t="b">
        <f aca="false">OR(I36,J36)</f>
        <v>0</v>
      </c>
      <c r="L36" s="3" t="str">
        <f aca="false">F36 &amp; G36</f>
        <v>GrizzboltGrizzbolt</v>
      </c>
      <c r="M36" s="3" t="str">
        <f aca="false">G36&amp;F36</f>
        <v>GrizzboltGrizzbolt</v>
      </c>
    </row>
    <row r="37" customFormat="false" ht="15.75" hidden="false" customHeight="false" outlineLevel="0" collapsed="false">
      <c r="A37" s="309" t="s">
        <v>503</v>
      </c>
      <c r="B37" s="309" t="s">
        <v>504</v>
      </c>
      <c r="C37" s="309" t="s">
        <v>504</v>
      </c>
      <c r="D37" s="309" t="s">
        <v>397</v>
      </c>
      <c r="E37" s="3" t="s">
        <v>112</v>
      </c>
      <c r="F37" s="3" t="s">
        <v>112</v>
      </c>
      <c r="G37" s="3" t="s">
        <v>112</v>
      </c>
      <c r="H37" s="310" t="b">
        <f aca="false">B37=C37</f>
        <v>1</v>
      </c>
      <c r="I37" s="311" t="b">
        <f aca="false">AND(F37='Breeding Calculator'!$G$9,G37='Breeding Calculator'!$K$9)</f>
        <v>0</v>
      </c>
      <c r="J37" s="311" t="b">
        <f aca="false">AND(G37='Breeding Calculator'!$G$9,F37='Breeding Calculator'!$K$9)</f>
        <v>0</v>
      </c>
      <c r="K37" s="311" t="b">
        <f aca="false">OR(I37,J37)</f>
        <v>0</v>
      </c>
      <c r="L37" s="3" t="str">
        <f aca="false">F37 &amp; G37</f>
        <v>OrserkOrserk</v>
      </c>
      <c r="M37" s="3" t="str">
        <f aca="false">G37&amp;F37</f>
        <v>OrserkOrserk</v>
      </c>
    </row>
    <row r="38" customFormat="false" ht="15.75" hidden="false" customHeight="false" outlineLevel="0" collapsed="false">
      <c r="A38" s="309" t="s">
        <v>505</v>
      </c>
      <c r="B38" s="309" t="s">
        <v>506</v>
      </c>
      <c r="C38" s="309" t="s">
        <v>506</v>
      </c>
      <c r="D38" s="309" t="s">
        <v>398</v>
      </c>
      <c r="E38" s="3" t="s">
        <v>130</v>
      </c>
      <c r="F38" s="3" t="s">
        <v>130</v>
      </c>
      <c r="G38" s="3" t="s">
        <v>130</v>
      </c>
      <c r="H38" s="310" t="b">
        <f aca="false">B38=C38</f>
        <v>1</v>
      </c>
      <c r="I38" s="311" t="b">
        <f aca="false">AND(F38='Breeding Calculator'!$G$9,G38='Breeding Calculator'!$K$9)</f>
        <v>0</v>
      </c>
      <c r="J38" s="311" t="b">
        <f aca="false">AND(G38='Breeding Calculator'!$G$9,F38='Breeding Calculator'!$K$9)</f>
        <v>0</v>
      </c>
      <c r="K38" s="311" t="b">
        <f aca="false">OR(I38,J38)</f>
        <v>0</v>
      </c>
      <c r="L38" s="3" t="str">
        <f aca="false">F38 &amp; G38</f>
        <v>ShadowbeakShadowbeak</v>
      </c>
      <c r="M38" s="3" t="str">
        <f aca="false">G38&amp;F38</f>
        <v>ShadowbeakShadowbeak</v>
      </c>
    </row>
    <row r="39" customFormat="false" ht="15.75" hidden="false" customHeight="false" outlineLevel="0" collapsed="false">
      <c r="A39" s="309" t="s">
        <v>507</v>
      </c>
      <c r="B39" s="309" t="s">
        <v>508</v>
      </c>
      <c r="C39" s="309" t="s">
        <v>508</v>
      </c>
      <c r="D39" s="309" t="s">
        <v>390</v>
      </c>
      <c r="E39" s="3" t="s">
        <v>83</v>
      </c>
      <c r="F39" s="3" t="s">
        <v>83</v>
      </c>
      <c r="G39" s="3" t="s">
        <v>83</v>
      </c>
      <c r="H39" s="310" t="b">
        <f aca="false">B39=C39</f>
        <v>1</v>
      </c>
      <c r="I39" s="311" t="b">
        <f aca="false">AND(F39='Breeding Calculator'!$G$9,G39='Breeding Calculator'!$K$9)</f>
        <v>0</v>
      </c>
      <c r="J39" s="311" t="b">
        <f aca="false">AND(G39='Breeding Calculator'!$G$9,F39='Breeding Calculator'!$K$9)</f>
        <v>0</v>
      </c>
      <c r="K39" s="311" t="b">
        <f aca="false">OR(I39,J39)</f>
        <v>0</v>
      </c>
      <c r="L39" s="3" t="str">
        <f aca="false">F39 &amp; G39</f>
        <v>Jormuntide IgnisJormuntide Ignis</v>
      </c>
      <c r="M39" s="3" t="str">
        <f aca="false">G39&amp;F39</f>
        <v>Jormuntide IgnisJormuntide Ignis</v>
      </c>
    </row>
    <row r="40" customFormat="false" ht="15.75" hidden="false" customHeight="false" outlineLevel="0" collapsed="false">
      <c r="A40" s="309" t="s">
        <v>509</v>
      </c>
      <c r="B40" s="309" t="s">
        <v>510</v>
      </c>
      <c r="C40" s="309" t="s">
        <v>510</v>
      </c>
      <c r="D40" s="309" t="s">
        <v>370</v>
      </c>
      <c r="E40" s="3" t="s">
        <v>123</v>
      </c>
      <c r="F40" s="3" t="s">
        <v>123</v>
      </c>
      <c r="G40" s="3" t="s">
        <v>123</v>
      </c>
      <c r="H40" s="310" t="b">
        <f aca="false">B40=C40</f>
        <v>1</v>
      </c>
      <c r="I40" s="311" t="b">
        <f aca="false">AND(F40='Breeding Calculator'!$G$9,G40='Breeding Calculator'!$K$9)</f>
        <v>0</v>
      </c>
      <c r="J40" s="311" t="b">
        <f aca="false">AND(G40='Breeding Calculator'!$G$9,F40='Breeding Calculator'!$K$9)</f>
        <v>0</v>
      </c>
      <c r="K40" s="311" t="b">
        <f aca="false">OR(I40,J40)</f>
        <v>0</v>
      </c>
      <c r="L40" s="3" t="str">
        <f aca="false">F40 &amp; G40</f>
        <v>Relaxaurus LuxRelaxaurus Lux</v>
      </c>
      <c r="M40" s="3" t="str">
        <f aca="false">G40&amp;F40</f>
        <v>Relaxaurus LuxRelaxaurus Lux</v>
      </c>
    </row>
    <row r="41" customFormat="false" ht="15.75" hidden="false" customHeight="false" outlineLevel="0" collapsed="false">
      <c r="A41" s="309" t="s">
        <v>511</v>
      </c>
      <c r="B41" s="309" t="s">
        <v>512</v>
      </c>
      <c r="C41" s="309" t="s">
        <v>512</v>
      </c>
      <c r="D41" s="309" t="s">
        <v>315</v>
      </c>
      <c r="E41" s="3" t="s">
        <v>78</v>
      </c>
      <c r="F41" s="3" t="s">
        <v>78</v>
      </c>
      <c r="G41" s="3" t="s">
        <v>78</v>
      </c>
      <c r="H41" s="310" t="b">
        <f aca="false">B41=C41</f>
        <v>1</v>
      </c>
      <c r="I41" s="311" t="b">
        <f aca="false">AND(F41='Breeding Calculator'!$G$9,G41='Breeding Calculator'!$K$9)</f>
        <v>0</v>
      </c>
      <c r="J41" s="311" t="b">
        <f aca="false">AND(G41='Breeding Calculator'!$G$9,F41='Breeding Calculator'!$K$9)</f>
        <v>0</v>
      </c>
      <c r="K41" s="311" t="b">
        <f aca="false">OR(I41,J41)</f>
        <v>0</v>
      </c>
      <c r="L41" s="3" t="str">
        <f aca="false">F41 &amp; G41</f>
        <v>Incineram NoctIncineram Noct</v>
      </c>
      <c r="M41" s="3" t="str">
        <f aca="false">G41&amp;F41</f>
        <v>Incineram NoctIncineram Noct</v>
      </c>
    </row>
    <row r="42" customFormat="false" ht="15.75" hidden="false" customHeight="false" outlineLevel="0" collapsed="false">
      <c r="A42" s="309" t="s">
        <v>513</v>
      </c>
      <c r="B42" s="309" t="s">
        <v>514</v>
      </c>
      <c r="C42" s="309" t="s">
        <v>514</v>
      </c>
      <c r="D42" s="309" t="s">
        <v>294</v>
      </c>
      <c r="E42" s="3" t="s">
        <v>103</v>
      </c>
      <c r="F42" s="3" t="s">
        <v>103</v>
      </c>
      <c r="G42" s="3" t="s">
        <v>103</v>
      </c>
      <c r="H42" s="310" t="b">
        <f aca="false">B42=C42</f>
        <v>1</v>
      </c>
      <c r="I42" s="311" t="b">
        <f aca="false">AND(F42='Breeding Calculator'!$G$9,G42='Breeding Calculator'!$K$9)</f>
        <v>0</v>
      </c>
      <c r="J42" s="311" t="b">
        <f aca="false">AND(G42='Breeding Calculator'!$G$9,F42='Breeding Calculator'!$K$9)</f>
        <v>0</v>
      </c>
      <c r="K42" s="311" t="b">
        <f aca="false">OR(I42,J42)</f>
        <v>0</v>
      </c>
      <c r="L42" s="3" t="str">
        <f aca="false">F42 &amp; G42</f>
        <v>Mau CrystMau Cryst</v>
      </c>
      <c r="M42" s="3" t="str">
        <f aca="false">G42&amp;F42</f>
        <v>Mau CrystMau Cryst</v>
      </c>
    </row>
    <row r="43" customFormat="false" ht="15.75" hidden="false" customHeight="false" outlineLevel="0" collapsed="false">
      <c r="A43" s="309" t="s">
        <v>515</v>
      </c>
      <c r="B43" s="309" t="s">
        <v>516</v>
      </c>
      <c r="C43" s="309" t="s">
        <v>516</v>
      </c>
      <c r="D43" s="309" t="s">
        <v>352</v>
      </c>
      <c r="E43" s="3" t="s">
        <v>146</v>
      </c>
      <c r="F43" s="3" t="s">
        <v>146</v>
      </c>
      <c r="G43" s="3" t="s">
        <v>146</v>
      </c>
      <c r="H43" s="310" t="b">
        <f aca="false">B43=C43</f>
        <v>1</v>
      </c>
      <c r="I43" s="311" t="b">
        <f aca="false">AND(F43='Breeding Calculator'!$G$9,G43='Breeding Calculator'!$K$9)</f>
        <v>0</v>
      </c>
      <c r="J43" s="311" t="b">
        <f aca="false">AND(G43='Breeding Calculator'!$G$9,F43='Breeding Calculator'!$K$9)</f>
        <v>0</v>
      </c>
      <c r="K43" s="311" t="b">
        <f aca="false">OR(I43,J43)</f>
        <v>0</v>
      </c>
      <c r="L43" s="3" t="str">
        <f aca="false">F43 &amp; G43</f>
        <v>Vanwyrm CrystVanwyrm Cryst</v>
      </c>
      <c r="M43" s="3" t="str">
        <f aca="false">G43&amp;F43</f>
        <v>Vanwyrm CrystVanwyrm Cryst</v>
      </c>
    </row>
    <row r="44" customFormat="false" ht="15.75" hidden="false" customHeight="false" outlineLevel="0" collapsed="false">
      <c r="A44" s="309" t="s">
        <v>517</v>
      </c>
      <c r="B44" s="309" t="s">
        <v>518</v>
      </c>
      <c r="C44" s="309" t="s">
        <v>518</v>
      </c>
      <c r="D44" s="309" t="s">
        <v>311</v>
      </c>
      <c r="E44" s="3" t="s">
        <v>49</v>
      </c>
      <c r="F44" s="3" t="s">
        <v>49</v>
      </c>
      <c r="G44" s="3" t="s">
        <v>49</v>
      </c>
      <c r="H44" s="310" t="b">
        <f aca="false">B44=C44</f>
        <v>1</v>
      </c>
      <c r="I44" s="311" t="b">
        <f aca="false">AND(F44='Breeding Calculator'!$G$9,G44='Breeding Calculator'!$K$9)</f>
        <v>0</v>
      </c>
      <c r="J44" s="311" t="b">
        <f aca="false">AND(G44='Breeding Calculator'!$G$9,F44='Breeding Calculator'!$K$9)</f>
        <v>0</v>
      </c>
      <c r="K44" s="311" t="b">
        <f aca="false">OR(I44,J44)</f>
        <v>0</v>
      </c>
      <c r="L44" s="3" t="str">
        <f aca="false">F44 &amp; G44</f>
        <v>Eikthyrdeer TerraEikthyrdeer Terra</v>
      </c>
      <c r="M44" s="3" t="str">
        <f aca="false">G44&amp;F44</f>
        <v>Eikthyrdeer TerraEikthyrdeer Terra</v>
      </c>
    </row>
    <row r="45" customFormat="false" ht="15.75" hidden="false" customHeight="false" outlineLevel="0" collapsed="false">
      <c r="A45" s="309" t="s">
        <v>519</v>
      </c>
      <c r="B45" s="309" t="s">
        <v>520</v>
      </c>
      <c r="C45" s="309" t="s">
        <v>520</v>
      </c>
      <c r="D45" s="309" t="s">
        <v>362</v>
      </c>
      <c r="E45" s="3" t="s">
        <v>52</v>
      </c>
      <c r="F45" s="3" t="s">
        <v>52</v>
      </c>
      <c r="G45" s="3" t="s">
        <v>52</v>
      </c>
      <c r="H45" s="310" t="b">
        <f aca="false">B45=C45</f>
        <v>1</v>
      </c>
      <c r="I45" s="311" t="b">
        <f aca="false">AND(F45='Breeding Calculator'!$G$9,G45='Breeding Calculator'!$K$9)</f>
        <v>0</v>
      </c>
      <c r="J45" s="311" t="b">
        <f aca="false">AND(G45='Breeding Calculator'!$G$9,F45='Breeding Calculator'!$K$9)</f>
        <v>0</v>
      </c>
      <c r="K45" s="311" t="b">
        <f aca="false">OR(I45,J45)</f>
        <v>0</v>
      </c>
      <c r="L45" s="3" t="str">
        <f aca="false">F45 &amp; G45</f>
        <v>Elphidran AquaElphidran Aqua</v>
      </c>
      <c r="M45" s="3" t="str">
        <f aca="false">G45&amp;F45</f>
        <v>Elphidran AquaElphidran Aqua</v>
      </c>
    </row>
    <row r="46" customFormat="false" ht="15.75" hidden="false" customHeight="false" outlineLevel="0" collapsed="false">
      <c r="A46" s="309" t="s">
        <v>521</v>
      </c>
      <c r="B46" s="309" t="s">
        <v>522</v>
      </c>
      <c r="C46" s="309" t="s">
        <v>522</v>
      </c>
      <c r="D46" s="309" t="s">
        <v>336</v>
      </c>
      <c r="E46" s="3" t="s">
        <v>118</v>
      </c>
      <c r="F46" s="3" t="s">
        <v>118</v>
      </c>
      <c r="G46" s="3" t="s">
        <v>118</v>
      </c>
      <c r="H46" s="310" t="b">
        <f aca="false">B46=C46</f>
        <v>1</v>
      </c>
      <c r="I46" s="311" t="b">
        <f aca="false">AND(F46='Breeding Calculator'!$G$9,G46='Breeding Calculator'!$K$9)</f>
        <v>0</v>
      </c>
      <c r="J46" s="311" t="b">
        <f aca="false">AND(G46='Breeding Calculator'!$G$9,F46='Breeding Calculator'!$K$9)</f>
        <v>0</v>
      </c>
      <c r="K46" s="311" t="b">
        <f aca="false">OR(I46,J46)</f>
        <v>0</v>
      </c>
      <c r="L46" s="3" t="str">
        <f aca="false">F46 &amp; G46</f>
        <v>Pyrin NoctPyrin Noct</v>
      </c>
      <c r="M46" s="3" t="str">
        <f aca="false">G46&amp;F46</f>
        <v>Pyrin NoctPyrin Noct</v>
      </c>
    </row>
    <row r="47" customFormat="false" ht="15.75" hidden="false" customHeight="false" outlineLevel="0" collapsed="false">
      <c r="A47" s="309" t="s">
        <v>523</v>
      </c>
      <c r="B47" s="309" t="s">
        <v>524</v>
      </c>
      <c r="C47" s="309" t="s">
        <v>524</v>
      </c>
      <c r="D47" s="309" t="s">
        <v>379</v>
      </c>
      <c r="E47" s="3" t="s">
        <v>100</v>
      </c>
      <c r="F47" s="3" t="s">
        <v>100</v>
      </c>
      <c r="G47" s="3" t="s">
        <v>100</v>
      </c>
      <c r="H47" s="310" t="b">
        <f aca="false">B47=C47</f>
        <v>1</v>
      </c>
      <c r="I47" s="311" t="b">
        <f aca="false">AND(F47='Breeding Calculator'!$G$9,G47='Breeding Calculator'!$K$9)</f>
        <v>0</v>
      </c>
      <c r="J47" s="311" t="b">
        <f aca="false">AND(G47='Breeding Calculator'!$G$9,F47='Breeding Calculator'!$K$9)</f>
        <v>0</v>
      </c>
      <c r="K47" s="311" t="b">
        <f aca="false">OR(I47,J47)</f>
        <v>0</v>
      </c>
      <c r="L47" s="3" t="str">
        <f aca="false">F47 &amp; G47</f>
        <v>Mammorest CrystMammorest Cryst</v>
      </c>
      <c r="M47" s="3" t="str">
        <f aca="false">G47&amp;F47</f>
        <v>Mammorest CrystMammorest Cryst</v>
      </c>
    </row>
    <row r="48" customFormat="false" ht="15.75" hidden="false" customHeight="false" outlineLevel="0" collapsed="false">
      <c r="A48" s="309" t="s">
        <v>525</v>
      </c>
      <c r="B48" s="309" t="s">
        <v>526</v>
      </c>
      <c r="C48" s="309" t="s">
        <v>526</v>
      </c>
      <c r="D48" s="309" t="s">
        <v>306</v>
      </c>
      <c r="E48" s="3" t="s">
        <v>107</v>
      </c>
      <c r="F48" s="3" t="s">
        <v>107</v>
      </c>
      <c r="G48" s="3" t="s">
        <v>107</v>
      </c>
      <c r="H48" s="310" t="b">
        <f aca="false">B48=C48</f>
        <v>1</v>
      </c>
      <c r="I48" s="311" t="b">
        <f aca="false">AND(F48='Breeding Calculator'!$G$9,G48='Breeding Calculator'!$K$9)</f>
        <v>0</v>
      </c>
      <c r="J48" s="311" t="b">
        <f aca="false">AND(G48='Breeding Calculator'!$G$9,F48='Breeding Calculator'!$K$9)</f>
        <v>0</v>
      </c>
      <c r="K48" s="311" t="b">
        <f aca="false">OR(I48,J48)</f>
        <v>0</v>
      </c>
      <c r="L48" s="3" t="str">
        <f aca="false">F48 &amp; G48</f>
        <v>Mossanda LuxMossanda Lux</v>
      </c>
      <c r="M48" s="3" t="str">
        <f aca="false">G48&amp;F48</f>
        <v>Mossanda LuxMossanda Lux</v>
      </c>
    </row>
    <row r="49" customFormat="false" ht="15.75" hidden="false" customHeight="false" outlineLevel="0" collapsed="false">
      <c r="A49" s="309" t="s">
        <v>527</v>
      </c>
      <c r="B49" s="309" t="s">
        <v>528</v>
      </c>
      <c r="C49" s="309" t="s">
        <v>528</v>
      </c>
      <c r="D49" s="309" t="s">
        <v>343</v>
      </c>
      <c r="E49" s="3" t="s">
        <v>45</v>
      </c>
      <c r="F49" s="3" t="s">
        <v>45</v>
      </c>
      <c r="G49" s="3" t="s">
        <v>45</v>
      </c>
      <c r="H49" s="310" t="b">
        <f aca="false">B49=C49</f>
        <v>1</v>
      </c>
      <c r="I49" s="311" t="b">
        <f aca="false">AND(F49='Breeding Calculator'!$G$9,G49='Breeding Calculator'!$K$9)</f>
        <v>0</v>
      </c>
      <c r="J49" s="311" t="b">
        <f aca="false">AND(G49='Breeding Calculator'!$G$9,F49='Breeding Calculator'!$K$9)</f>
        <v>0</v>
      </c>
      <c r="K49" s="311" t="b">
        <f aca="false">OR(I49,J49)</f>
        <v>0</v>
      </c>
      <c r="L49" s="3" t="str">
        <f aca="false">F49 &amp; G49</f>
        <v>Dinossom LuxDinossom Lux</v>
      </c>
      <c r="M49" s="3" t="str">
        <f aca="false">G49&amp;F49</f>
        <v>Dinossom LuxDinossom Lux</v>
      </c>
    </row>
    <row r="50" customFormat="false" ht="15.75" hidden="false" customHeight="false" outlineLevel="0" collapsed="false">
      <c r="A50" s="309" t="s">
        <v>529</v>
      </c>
      <c r="B50" s="309" t="s">
        <v>530</v>
      </c>
      <c r="C50" s="309" t="s">
        <v>530</v>
      </c>
      <c r="D50" s="309" t="s">
        <v>277</v>
      </c>
      <c r="E50" s="3" t="s">
        <v>81</v>
      </c>
      <c r="F50" s="3" t="s">
        <v>81</v>
      </c>
      <c r="G50" s="3" t="s">
        <v>81</v>
      </c>
      <c r="H50" s="310" t="b">
        <f aca="false">B50=C50</f>
        <v>1</v>
      </c>
      <c r="I50" s="311" t="b">
        <f aca="false">AND(F50='Breeding Calculator'!$G$9,G50='Breeding Calculator'!$K$9)</f>
        <v>0</v>
      </c>
      <c r="J50" s="311" t="b">
        <f aca="false">AND(G50='Breeding Calculator'!$G$9,F50='Breeding Calculator'!$K$9)</f>
        <v>0</v>
      </c>
      <c r="K50" s="311" t="b">
        <f aca="false">OR(I50,J50)</f>
        <v>0</v>
      </c>
      <c r="L50" s="3" t="str">
        <f aca="false">F50 &amp; G50</f>
        <v>Jolthog CrystJolthog Cryst</v>
      </c>
      <c r="M50" s="3" t="str">
        <f aca="false">G50&amp;F50</f>
        <v>Jolthog CrystJolthog Cryst</v>
      </c>
    </row>
    <row r="51" customFormat="false" ht="15.75" hidden="false" customHeight="false" outlineLevel="0" collapsed="false">
      <c r="A51" s="309" t="s">
        <v>531</v>
      </c>
      <c r="B51" s="309" t="s">
        <v>532</v>
      </c>
      <c r="C51" s="309" t="s">
        <v>532</v>
      </c>
      <c r="D51" s="309" t="s">
        <v>402</v>
      </c>
      <c r="E51" s="3" t="s">
        <v>60</v>
      </c>
      <c r="F51" s="3" t="s">
        <v>60</v>
      </c>
      <c r="G51" s="3" t="s">
        <v>60</v>
      </c>
      <c r="H51" s="310" t="b">
        <f aca="false">B51=C51</f>
        <v>1</v>
      </c>
      <c r="I51" s="311" t="b">
        <f aca="false">AND(F51='Breeding Calculator'!$G$9,G51='Breeding Calculator'!$K$9)</f>
        <v>0</v>
      </c>
      <c r="J51" s="311" t="b">
        <f aca="false">AND(G51='Breeding Calculator'!$G$9,F51='Breeding Calculator'!$K$9)</f>
        <v>0</v>
      </c>
      <c r="K51" s="311" t="b">
        <f aca="false">OR(I51,J51)</f>
        <v>0</v>
      </c>
      <c r="L51" s="3" t="str">
        <f aca="false">F51 &amp; G51</f>
        <v>Frostallion NoctFrostallion Noct</v>
      </c>
      <c r="M51" s="3" t="str">
        <f aca="false">G51&amp;F51</f>
        <v>Frostallion NoctFrostallion Noct</v>
      </c>
    </row>
    <row r="52" customFormat="false" ht="15.75" hidden="false" customHeight="false" outlineLevel="0" collapsed="false">
      <c r="A52" s="309" t="s">
        <v>533</v>
      </c>
      <c r="B52" s="309" t="s">
        <v>534</v>
      </c>
      <c r="C52" s="309" t="s">
        <v>534</v>
      </c>
      <c r="D52" s="309" t="s">
        <v>377</v>
      </c>
      <c r="E52" s="3" t="s">
        <v>75</v>
      </c>
      <c r="F52" s="3" t="s">
        <v>75</v>
      </c>
      <c r="G52" s="3" t="s">
        <v>75</v>
      </c>
      <c r="H52" s="310" t="b">
        <f aca="false">B52=C52</f>
        <v>1</v>
      </c>
      <c r="I52" s="311" t="b">
        <f aca="false">AND(F52='Breeding Calculator'!$G$9,G52='Breeding Calculator'!$K$9)</f>
        <v>0</v>
      </c>
      <c r="J52" s="311" t="b">
        <f aca="false">AND(G52='Breeding Calculator'!$G$9,F52='Breeding Calculator'!$K$9)</f>
        <v>0</v>
      </c>
      <c r="K52" s="311" t="b">
        <f aca="false">OR(I52,J52)</f>
        <v>0</v>
      </c>
      <c r="L52" s="3" t="str">
        <f aca="false">F52 &amp; G52</f>
        <v>Ice KingpacaIce Kingpaca</v>
      </c>
      <c r="M52" s="3" t="str">
        <f aca="false">G52&amp;F52</f>
        <v>Ice KingpacaIce Kingpaca</v>
      </c>
    </row>
    <row r="53" customFormat="false" ht="15.75" hidden="false" customHeight="false" outlineLevel="0" collapsed="false">
      <c r="A53" s="309" t="s">
        <v>535</v>
      </c>
      <c r="B53" s="309" t="s">
        <v>536</v>
      </c>
      <c r="C53" s="309" t="s">
        <v>536</v>
      </c>
      <c r="D53" s="309" t="s">
        <v>395</v>
      </c>
      <c r="E53" s="3" t="s">
        <v>98</v>
      </c>
      <c r="F53" s="3" t="s">
        <v>98</v>
      </c>
      <c r="G53" s="3" t="s">
        <v>98</v>
      </c>
      <c r="H53" s="310" t="b">
        <f aca="false">B53=C53</f>
        <v>1</v>
      </c>
      <c r="I53" s="311" t="b">
        <f aca="false">AND(F53='Breeding Calculator'!$G$9,G53='Breeding Calculator'!$K$9)</f>
        <v>0</v>
      </c>
      <c r="J53" s="311" t="b">
        <f aca="false">AND(G53='Breeding Calculator'!$G$9,F53='Breeding Calculator'!$K$9)</f>
        <v>0</v>
      </c>
      <c r="K53" s="311" t="b">
        <f aca="false">OR(I53,J53)</f>
        <v>0</v>
      </c>
      <c r="L53" s="3" t="str">
        <f aca="false">F53 &amp; G53</f>
        <v>Lyleen NoctLyleen Noct</v>
      </c>
      <c r="M53" s="3" t="str">
        <f aca="false">G53&amp;F53</f>
        <v>Lyleen NoctLyleen Noct</v>
      </c>
    </row>
    <row r="54" customFormat="false" ht="15.75" hidden="false" customHeight="false" outlineLevel="0" collapsed="false">
      <c r="A54" s="309" t="s">
        <v>537</v>
      </c>
      <c r="B54" s="309" t="s">
        <v>538</v>
      </c>
      <c r="C54" s="309" t="s">
        <v>538</v>
      </c>
      <c r="D54" s="309" t="s">
        <v>321</v>
      </c>
      <c r="E54" s="3" t="s">
        <v>92</v>
      </c>
      <c r="F54" s="3" t="s">
        <v>92</v>
      </c>
      <c r="G54" s="3" t="s">
        <v>92</v>
      </c>
      <c r="H54" s="310" t="b">
        <f aca="false">B54=C54</f>
        <v>1</v>
      </c>
      <c r="I54" s="311" t="b">
        <f aca="false">AND(F54='Breeding Calculator'!$G$9,G54='Breeding Calculator'!$K$9)</f>
        <v>0</v>
      </c>
      <c r="J54" s="311" t="b">
        <f aca="false">AND(G54='Breeding Calculator'!$G$9,F54='Breeding Calculator'!$K$9)</f>
        <v>0</v>
      </c>
      <c r="K54" s="311" t="b">
        <f aca="false">OR(I54,J54)</f>
        <v>0</v>
      </c>
      <c r="L54" s="3" t="str">
        <f aca="false">F54 &amp; G54</f>
        <v>Leezpunk IgnisLeezpunk Ignis</v>
      </c>
      <c r="M54" s="3" t="str">
        <f aca="false">G54&amp;F54</f>
        <v>Leezpunk IgnisLeezpunk Ignis</v>
      </c>
    </row>
    <row r="55" customFormat="false" ht="15.75" hidden="false" customHeight="false" outlineLevel="0" collapsed="false">
      <c r="A55" s="309" t="s">
        <v>539</v>
      </c>
      <c r="B55" s="309" t="s">
        <v>540</v>
      </c>
      <c r="C55" s="309" t="s">
        <v>540</v>
      </c>
      <c r="D55" s="309" t="s">
        <v>368</v>
      </c>
      <c r="E55" s="3" t="s">
        <v>27</v>
      </c>
      <c r="F55" s="3" t="s">
        <v>27</v>
      </c>
      <c r="G55" s="3" t="s">
        <v>27</v>
      </c>
      <c r="H55" s="310" t="b">
        <f aca="false">B55=C55</f>
        <v>1</v>
      </c>
      <c r="I55" s="311" t="b">
        <f aca="false">AND(F55='Breeding Calculator'!$G$9,G55='Breeding Calculator'!$K$9)</f>
        <v>0</v>
      </c>
      <c r="J55" s="311" t="b">
        <f aca="false">AND(G55='Breeding Calculator'!$G$9,F55='Breeding Calculator'!$K$9)</f>
        <v>0</v>
      </c>
      <c r="K55" s="311" t="b">
        <f aca="false">OR(I55,J55)</f>
        <v>0</v>
      </c>
      <c r="L55" s="3" t="str">
        <f aca="false">F55 &amp; G55</f>
        <v>Blazehowl NoctBlazehowl Noct</v>
      </c>
      <c r="M55" s="3" t="str">
        <f aca="false">G55&amp;F55</f>
        <v>Blazehowl NoctBlazehowl Noct</v>
      </c>
    </row>
    <row r="56" customFormat="false" ht="15.75" hidden="false" customHeight="false" outlineLevel="0" collapsed="false">
      <c r="A56" s="309" t="s">
        <v>541</v>
      </c>
      <c r="B56" s="309" t="s">
        <v>542</v>
      </c>
      <c r="C56" s="309" t="s">
        <v>542</v>
      </c>
      <c r="D56" s="309" t="s">
        <v>325</v>
      </c>
      <c r="E56" s="3" t="s">
        <v>127</v>
      </c>
      <c r="F56" s="3" t="s">
        <v>127</v>
      </c>
      <c r="G56" s="3" t="s">
        <v>127</v>
      </c>
      <c r="H56" s="310" t="b">
        <f aca="false">B56=C56</f>
        <v>1</v>
      </c>
      <c r="I56" s="311" t="b">
        <f aca="false">AND(F56='Breeding Calculator'!$G$9,G56='Breeding Calculator'!$K$9)</f>
        <v>0</v>
      </c>
      <c r="J56" s="311" t="b">
        <f aca="false">AND(G56='Breeding Calculator'!$G$9,F56='Breeding Calculator'!$K$9)</f>
        <v>0</v>
      </c>
      <c r="K56" s="311" t="b">
        <f aca="false">OR(I56,J56)</f>
        <v>0</v>
      </c>
      <c r="L56" s="3" t="str">
        <f aca="false">F56 &amp; G56</f>
        <v>Robinquill TerraRobinquill Terra</v>
      </c>
      <c r="M56" s="3" t="str">
        <f aca="false">G56&amp;F56</f>
        <v>Robinquill TerraRobinquill Terra</v>
      </c>
    </row>
    <row r="57" customFormat="false" ht="15.75" hidden="false" customHeight="false" outlineLevel="0" collapsed="false">
      <c r="A57" s="309" t="s">
        <v>543</v>
      </c>
      <c r="B57" s="309" t="s">
        <v>544</v>
      </c>
      <c r="C57" s="309" t="s">
        <v>544</v>
      </c>
      <c r="D57" s="309" t="s">
        <v>372</v>
      </c>
      <c r="E57" s="3" t="s">
        <v>30</v>
      </c>
      <c r="F57" s="3" t="s">
        <v>30</v>
      </c>
      <c r="G57" s="3" t="s">
        <v>30</v>
      </c>
      <c r="H57" s="310" t="b">
        <f aca="false">B57=C57</f>
        <v>1</v>
      </c>
      <c r="I57" s="311" t="b">
        <f aca="false">AND(F57='Breeding Calculator'!$G$9,G57='Breeding Calculator'!$K$9)</f>
        <v>0</v>
      </c>
      <c r="J57" s="311" t="b">
        <f aca="false">AND(G57='Breeding Calculator'!$G$9,F57='Breeding Calculator'!$K$9)</f>
        <v>0</v>
      </c>
      <c r="K57" s="311" t="b">
        <f aca="false">OR(I57,J57)</f>
        <v>0</v>
      </c>
      <c r="L57" s="3" t="str">
        <f aca="false">F57 &amp; G57</f>
        <v>Broncherry AquaBroncherry Aqua</v>
      </c>
      <c r="M57" s="3" t="str">
        <f aca="false">G57&amp;F57</f>
        <v>Broncherry AquaBroncherry Aqua</v>
      </c>
    </row>
    <row r="58" customFormat="false" ht="15.75" hidden="false" customHeight="false" outlineLevel="0" collapsed="false">
      <c r="A58" s="309" t="s">
        <v>545</v>
      </c>
      <c r="B58" s="309" t="s">
        <v>546</v>
      </c>
      <c r="C58" s="309" t="s">
        <v>546</v>
      </c>
      <c r="D58" s="309" t="s">
        <v>345</v>
      </c>
      <c r="E58" s="3" t="s">
        <v>134</v>
      </c>
      <c r="F58" s="3" t="s">
        <v>134</v>
      </c>
      <c r="G58" s="3" t="s">
        <v>134</v>
      </c>
      <c r="H58" s="310" t="b">
        <f aca="false">B58=C58</f>
        <v>1</v>
      </c>
      <c r="I58" s="311" t="b">
        <f aca="false">AND(F58='Breeding Calculator'!$G$9,G58='Breeding Calculator'!$K$9)</f>
        <v>0</v>
      </c>
      <c r="J58" s="311" t="b">
        <f aca="false">AND(G58='Breeding Calculator'!$G$9,F58='Breeding Calculator'!$K$9)</f>
        <v>0</v>
      </c>
      <c r="K58" s="311" t="b">
        <f aca="false">OR(I58,J58)</f>
        <v>0</v>
      </c>
      <c r="L58" s="3" t="str">
        <f aca="false">F58 &amp; G58</f>
        <v>Surfent TerraSurfent Terra</v>
      </c>
      <c r="M58" s="3" t="str">
        <f aca="false">G58&amp;F58</f>
        <v>Surfent TerraSurfent Terra</v>
      </c>
    </row>
    <row r="59" customFormat="false" ht="15.75" hidden="false" customHeight="false" outlineLevel="0" collapsed="false">
      <c r="A59" s="309" t="s">
        <v>547</v>
      </c>
      <c r="B59" s="309" t="s">
        <v>548</v>
      </c>
      <c r="C59" s="309" t="s">
        <v>548</v>
      </c>
      <c r="D59" s="309" t="s">
        <v>302</v>
      </c>
      <c r="E59" s="3" t="s">
        <v>65</v>
      </c>
      <c r="F59" s="3" t="s">
        <v>65</v>
      </c>
      <c r="G59" s="3" t="s">
        <v>65</v>
      </c>
      <c r="H59" s="310" t="b">
        <f aca="false">B59=C59</f>
        <v>1</v>
      </c>
      <c r="I59" s="311" t="b">
        <f aca="false">AND(F59='Breeding Calculator'!$G$9,G59='Breeding Calculator'!$K$9)</f>
        <v>0</v>
      </c>
      <c r="J59" s="311" t="b">
        <f aca="false">AND(G59='Breeding Calculator'!$G$9,F59='Breeding Calculator'!$K$9)</f>
        <v>0</v>
      </c>
      <c r="K59" s="311" t="b">
        <f aca="false">OR(I59,J59)</f>
        <v>0</v>
      </c>
      <c r="L59" s="3" t="str">
        <f aca="false">F59 &amp; G59</f>
        <v>Gobfin IgnisGobfin Ignis</v>
      </c>
      <c r="M59" s="3" t="str">
        <f aca="false">G59&amp;F59</f>
        <v>Gobfin IgnisGobfin Ignis</v>
      </c>
    </row>
    <row r="60" customFormat="false" ht="15.75" hidden="false" customHeight="false" outlineLevel="0" collapsed="false">
      <c r="A60" s="309" t="s">
        <v>549</v>
      </c>
      <c r="B60" s="309" t="s">
        <v>550</v>
      </c>
      <c r="C60" s="309" t="s">
        <v>550</v>
      </c>
      <c r="D60" s="309" t="s">
        <v>392</v>
      </c>
      <c r="E60" s="3" t="s">
        <v>136</v>
      </c>
      <c r="F60" s="3" t="s">
        <v>136</v>
      </c>
      <c r="G60" s="3" t="s">
        <v>136</v>
      </c>
      <c r="H60" s="310" t="b">
        <f aca="false">B60=C60</f>
        <v>1</v>
      </c>
      <c r="I60" s="311" t="b">
        <f aca="false">AND(F60='Breeding Calculator'!$G$9,G60='Breeding Calculator'!$K$9)</f>
        <v>0</v>
      </c>
      <c r="J60" s="311" t="b">
        <f aca="false">AND(G60='Breeding Calculator'!$G$9,F60='Breeding Calculator'!$K$9)</f>
        <v>0</v>
      </c>
      <c r="K60" s="311" t="b">
        <f aca="false">OR(I60,J60)</f>
        <v>0</v>
      </c>
      <c r="L60" s="3" t="str">
        <f aca="false">F60 &amp; G60</f>
        <v>Suzaku AquaSuzaku Aqua</v>
      </c>
      <c r="M60" s="3" t="str">
        <f aca="false">G60&amp;F60</f>
        <v>Suzaku AquaSuzaku Aqua</v>
      </c>
    </row>
    <row r="61" customFormat="false" ht="15.75" hidden="false" customHeight="false" outlineLevel="0" collapsed="false">
      <c r="A61" s="309" t="s">
        <v>551</v>
      </c>
      <c r="B61" s="309" t="s">
        <v>552</v>
      </c>
      <c r="C61" s="309" t="s">
        <v>552</v>
      </c>
      <c r="D61" s="309" t="s">
        <v>375</v>
      </c>
      <c r="E61" s="3" t="s">
        <v>76</v>
      </c>
      <c r="F61" s="3" t="s">
        <v>76</v>
      </c>
      <c r="G61" s="3" t="s">
        <v>76</v>
      </c>
      <c r="H61" s="310" t="b">
        <f aca="false">B61=C61</f>
        <v>1</v>
      </c>
      <c r="I61" s="311" t="b">
        <f aca="false">AND(F61='Breeding Calculator'!$G$9,G61='Breeding Calculator'!$K$9)</f>
        <v>0</v>
      </c>
      <c r="J61" s="311" t="b">
        <f aca="false">AND(G61='Breeding Calculator'!$G$9,F61='Breeding Calculator'!$K$9)</f>
        <v>0</v>
      </c>
      <c r="K61" s="311" t="b">
        <f aca="false">OR(I61,J61)</f>
        <v>0</v>
      </c>
      <c r="L61" s="3" t="str">
        <f aca="false">F61 &amp; G61</f>
        <v>Ice ReptyroIce Reptyro</v>
      </c>
      <c r="M61" s="3" t="str">
        <f aca="false">G61&amp;F61</f>
        <v>Ice ReptyroIce Reptyro</v>
      </c>
    </row>
    <row r="62" customFormat="false" ht="15.75" hidden="false" customHeight="false" outlineLevel="0" collapsed="false">
      <c r="A62" s="309" t="s">
        <v>553</v>
      </c>
      <c r="B62" s="309" t="s">
        <v>554</v>
      </c>
      <c r="C62" s="309" t="s">
        <v>554</v>
      </c>
      <c r="D62" s="309" t="s">
        <v>304</v>
      </c>
      <c r="E62" s="3" t="s">
        <v>72</v>
      </c>
      <c r="F62" s="3" t="s">
        <v>72</v>
      </c>
      <c r="G62" s="3" t="s">
        <v>72</v>
      </c>
      <c r="H62" s="310" t="b">
        <f aca="false">B62=C62</f>
        <v>1</v>
      </c>
      <c r="I62" s="311" t="b">
        <f aca="false">AND(F62='Breeding Calculator'!$G$9,G62='Breeding Calculator'!$K$9)</f>
        <v>0</v>
      </c>
      <c r="J62" s="311" t="b">
        <f aca="false">AND(G62='Breeding Calculator'!$G$9,F62='Breeding Calculator'!$K$9)</f>
        <v>0</v>
      </c>
      <c r="K62" s="311" t="b">
        <f aca="false">OR(I62,J62)</f>
        <v>0</v>
      </c>
      <c r="L62" s="3" t="str">
        <f aca="false">F62 &amp; G62</f>
        <v>Hangyu CrystHangyu Cryst</v>
      </c>
      <c r="M62" s="3" t="str">
        <f aca="false">G62&amp;F62</f>
        <v>Hangyu CrystHangyu Cryst</v>
      </c>
    </row>
    <row r="63" customFormat="false" ht="15.75" hidden="false" customHeight="false" outlineLevel="0" collapsed="false">
      <c r="A63" s="309" t="s">
        <v>555</v>
      </c>
      <c r="B63" s="309" t="s">
        <v>556</v>
      </c>
      <c r="C63" s="309" t="s">
        <v>556</v>
      </c>
      <c r="D63" s="309" t="s">
        <v>557</v>
      </c>
      <c r="E63" s="1" t="e">
        <f aca="false">#N/A</f>
        <v>#N/A</v>
      </c>
      <c r="F63" s="1" t="e">
        <f aca="false">#N/A</f>
        <v>#N/A</v>
      </c>
      <c r="G63" s="1" t="e">
        <f aca="false">#N/A</f>
        <v>#N/A</v>
      </c>
      <c r="H63" s="310" t="b">
        <f aca="false">B63=C63</f>
        <v>1</v>
      </c>
      <c r="I63" s="1" t="e">
        <f aca="false">AND(F63='Breeding Calculator'!$G$9,G63='Breeding Calculator'!$K$9)</f>
        <v>#N/A</v>
      </c>
      <c r="J63" s="1" t="e">
        <f aca="false">AND(G63='Breeding Calculator'!$G$9,F63='Breeding Calculator'!$K$9)</f>
        <v>#N/A</v>
      </c>
      <c r="K63" s="311" t="e">
        <f aca="false">OR(I63,J63)</f>
        <v>#N/A</v>
      </c>
      <c r="L63" s="1" t="e">
        <f aca="false">F63 &amp; G63</f>
        <v>#N/A</v>
      </c>
      <c r="M63" s="1" t="e">
        <f aca="false">G63&amp;F63</f>
        <v>#N/A</v>
      </c>
    </row>
    <row r="64" customFormat="false" ht="15.75" hidden="false" customHeight="false" outlineLevel="0" collapsed="false">
      <c r="A64" s="309" t="s">
        <v>558</v>
      </c>
      <c r="B64" s="309" t="s">
        <v>559</v>
      </c>
      <c r="C64" s="309" t="s">
        <v>559</v>
      </c>
      <c r="D64" s="309" t="s">
        <v>560</v>
      </c>
      <c r="E64" s="1" t="e">
        <f aca="false">#N/A</f>
        <v>#N/A</v>
      </c>
      <c r="F64" s="1" t="e">
        <f aca="false">#N/A</f>
        <v>#N/A</v>
      </c>
      <c r="G64" s="1" t="e">
        <f aca="false">#N/A</f>
        <v>#N/A</v>
      </c>
      <c r="H64" s="310" t="b">
        <f aca="false">B64=C64</f>
        <v>1</v>
      </c>
      <c r="I64" s="1" t="e">
        <f aca="false">AND(F64='Breeding Calculator'!$G$9,G64='Breeding Calculator'!$K$9)</f>
        <v>#N/A</v>
      </c>
      <c r="J64" s="1" t="e">
        <f aca="false">AND(G64='Breeding Calculator'!$G$9,F64='Breeding Calculator'!$K$9)</f>
        <v>#N/A</v>
      </c>
      <c r="K64" s="311" t="e">
        <f aca="false">OR(I64,J64)</f>
        <v>#N/A</v>
      </c>
      <c r="L64" s="1" t="e">
        <f aca="false">F64 &amp; G64</f>
        <v>#N/A</v>
      </c>
      <c r="M64" s="1" t="e">
        <f aca="false">G64&amp;F64</f>
        <v>#N/A</v>
      </c>
    </row>
    <row r="65" customFormat="false" ht="15.75" hidden="false" customHeight="false" outlineLevel="0" collapsed="false">
      <c r="A65" s="309" t="s">
        <v>561</v>
      </c>
      <c r="B65" s="309" t="s">
        <v>562</v>
      </c>
      <c r="C65" s="309" t="s">
        <v>562</v>
      </c>
      <c r="D65" s="309" t="s">
        <v>563</v>
      </c>
      <c r="E65" s="1" t="e">
        <f aca="false">#N/A</f>
        <v>#N/A</v>
      </c>
      <c r="F65" s="1" t="e">
        <f aca="false">#N/A</f>
        <v>#N/A</v>
      </c>
      <c r="G65" s="1" t="e">
        <f aca="false">#N/A</f>
        <v>#N/A</v>
      </c>
      <c r="H65" s="310" t="b">
        <f aca="false">B65=C65</f>
        <v>1</v>
      </c>
      <c r="I65" s="1" t="e">
        <f aca="false">AND(F65='Breeding Calculator'!$G$9,G65='Breeding Calculator'!$K$9)</f>
        <v>#N/A</v>
      </c>
      <c r="J65" s="1" t="e">
        <f aca="false">AND(G65='Breeding Calculator'!$G$9,F65='Breeding Calculator'!$K$9)</f>
        <v>#N/A</v>
      </c>
      <c r="K65" s="311" t="e">
        <f aca="false">OR(I65,J65)</f>
        <v>#N/A</v>
      </c>
      <c r="L65" s="1" t="e">
        <f aca="false">F65 &amp; G65</f>
        <v>#N/A</v>
      </c>
      <c r="M65" s="1" t="e">
        <f aca="false">G65&amp;F65</f>
        <v>#N/A</v>
      </c>
    </row>
    <row r="66" customFormat="false" ht="15.75" hidden="false" customHeight="false" outlineLevel="0" collapsed="false">
      <c r="A66" s="309" t="s">
        <v>564</v>
      </c>
      <c r="B66" s="309" t="s">
        <v>565</v>
      </c>
      <c r="C66" s="309" t="s">
        <v>565</v>
      </c>
      <c r="D66" s="309" t="s">
        <v>566</v>
      </c>
      <c r="E66" s="1" t="e">
        <f aca="false">#N/A</f>
        <v>#N/A</v>
      </c>
      <c r="F66" s="1" t="e">
        <f aca="false">#N/A</f>
        <v>#N/A</v>
      </c>
      <c r="G66" s="1" t="e">
        <f aca="false">#N/A</f>
        <v>#N/A</v>
      </c>
      <c r="H66" s="310" t="b">
        <f aca="false">B66=C66</f>
        <v>1</v>
      </c>
      <c r="I66" s="1" t="e">
        <f aca="false">AND(F66='Breeding Calculator'!$G$9,G66='Breeding Calculator'!$K$9)</f>
        <v>#N/A</v>
      </c>
      <c r="J66" s="1" t="e">
        <f aca="false">AND(G66='Breeding Calculator'!$G$9,F66='Breeding Calculator'!$K$9)</f>
        <v>#N/A</v>
      </c>
      <c r="K66" s="311" t="e">
        <f aca="false">OR(I66,J66)</f>
        <v>#N/A</v>
      </c>
      <c r="L66" s="1" t="e">
        <f aca="false">F66 &amp; G66</f>
        <v>#N/A</v>
      </c>
      <c r="M66" s="1" t="e">
        <f aca="false">G66&amp;F66</f>
        <v>#N/A</v>
      </c>
    </row>
    <row r="67" customFormat="false" ht="15.75" hidden="false" customHeight="false" outlineLevel="0" collapsed="false">
      <c r="A67" s="309" t="s">
        <v>567</v>
      </c>
      <c r="B67" s="309" t="s">
        <v>568</v>
      </c>
      <c r="C67" s="309" t="s">
        <v>568</v>
      </c>
      <c r="D67" s="309" t="s">
        <v>569</v>
      </c>
      <c r="E67" s="1" t="e">
        <f aca="false">#N/A</f>
        <v>#N/A</v>
      </c>
      <c r="F67" s="1" t="e">
        <f aca="false">#N/A</f>
        <v>#N/A</v>
      </c>
      <c r="G67" s="1" t="e">
        <f aca="false">#N/A</f>
        <v>#N/A</v>
      </c>
      <c r="H67" s="310" t="b">
        <f aca="false">B67=C67</f>
        <v>1</v>
      </c>
      <c r="I67" s="1" t="e">
        <f aca="false">AND(F67='Breeding Calculator'!$G$9,G67='Breeding Calculator'!$K$9)</f>
        <v>#N/A</v>
      </c>
      <c r="J67" s="1" t="e">
        <f aca="false">AND(G67='Breeding Calculator'!$G$9,F67='Breeding Calculator'!$K$9)</f>
        <v>#N/A</v>
      </c>
      <c r="K67" s="311" t="e">
        <f aca="false">OR(I67,J67)</f>
        <v>#N/A</v>
      </c>
      <c r="L67" s="1" t="e">
        <f aca="false">F67 &amp; G67</f>
        <v>#N/A</v>
      </c>
      <c r="M67" s="1" t="e">
        <f aca="false">G67&amp;F67</f>
        <v>#N/A</v>
      </c>
    </row>
    <row r="68" customFormat="false" ht="15.75" hidden="false" customHeight="false" outlineLevel="0" collapsed="false">
      <c r="A68" s="309" t="s">
        <v>570</v>
      </c>
      <c r="B68" s="309" t="s">
        <v>571</v>
      </c>
      <c r="C68" s="309" t="s">
        <v>571</v>
      </c>
      <c r="D68" s="309" t="s">
        <v>572</v>
      </c>
      <c r="E68" s="1" t="e">
        <f aca="false">#N/A</f>
        <v>#N/A</v>
      </c>
      <c r="F68" s="1" t="e">
        <f aca="false">#N/A</f>
        <v>#N/A</v>
      </c>
      <c r="G68" s="1" t="e">
        <f aca="false">#N/A</f>
        <v>#N/A</v>
      </c>
      <c r="H68" s="310" t="b">
        <f aca="false">B68=C68</f>
        <v>1</v>
      </c>
      <c r="I68" s="1" t="e">
        <f aca="false">AND(F68='Breeding Calculator'!$G$9,G68='Breeding Calculator'!$K$9)</f>
        <v>#N/A</v>
      </c>
      <c r="J68" s="1" t="e">
        <f aca="false">AND(G68='Breeding Calculator'!$G$9,F68='Breeding Calculator'!$K$9)</f>
        <v>#N/A</v>
      </c>
      <c r="K68" s="311" t="e">
        <f aca="false">OR(I68,J68)</f>
        <v>#N/A</v>
      </c>
      <c r="L68" s="1" t="e">
        <f aca="false">F68 &amp; G68</f>
        <v>#N/A</v>
      </c>
      <c r="M68" s="1" t="e">
        <f aca="false">G68&amp;F68</f>
        <v>#N/A</v>
      </c>
    </row>
    <row r="69" customFormat="false" ht="15.75" hidden="false" customHeight="false" outlineLevel="0" collapsed="false">
      <c r="A69" s="309" t="s">
        <v>573</v>
      </c>
      <c r="B69" s="309" t="s">
        <v>574</v>
      </c>
      <c r="C69" s="309" t="s">
        <v>574</v>
      </c>
      <c r="D69" s="309" t="s">
        <v>575</v>
      </c>
      <c r="E69" s="1" t="e">
        <f aca="false">#N/A</f>
        <v>#N/A</v>
      </c>
      <c r="F69" s="1" t="e">
        <f aca="false">#N/A</f>
        <v>#N/A</v>
      </c>
      <c r="G69" s="1" t="e">
        <f aca="false">#N/A</f>
        <v>#N/A</v>
      </c>
      <c r="H69" s="310" t="b">
        <f aca="false">B69=C69</f>
        <v>1</v>
      </c>
      <c r="I69" s="1" t="e">
        <f aca="false">AND(F69='Breeding Calculator'!$G$9,G69='Breeding Calculator'!$K$9)</f>
        <v>#N/A</v>
      </c>
      <c r="J69" s="1" t="e">
        <f aca="false">AND(G69='Breeding Calculator'!$G$9,F69='Breeding Calculator'!$K$9)</f>
        <v>#N/A</v>
      </c>
      <c r="K69" s="311" t="e">
        <f aca="false">OR(I69,J69)</f>
        <v>#N/A</v>
      </c>
      <c r="L69" s="1" t="e">
        <f aca="false">F69 &amp; G69</f>
        <v>#N/A</v>
      </c>
      <c r="M69" s="1" t="e">
        <f aca="false">G69&amp;F69</f>
        <v>#N/A</v>
      </c>
    </row>
    <row r="70" customFormat="false" ht="15.75" hidden="false" customHeight="false" outlineLevel="0" collapsed="false">
      <c r="A70" s="309" t="s">
        <v>576</v>
      </c>
      <c r="B70" s="309" t="s">
        <v>577</v>
      </c>
      <c r="C70" s="309" t="s">
        <v>577</v>
      </c>
      <c r="D70" s="309" t="s">
        <v>578</v>
      </c>
      <c r="E70" s="1" t="e">
        <f aca="false">#N/A</f>
        <v>#N/A</v>
      </c>
      <c r="F70" s="1" t="e">
        <f aca="false">#N/A</f>
        <v>#N/A</v>
      </c>
      <c r="G70" s="1" t="e">
        <f aca="false">#N/A</f>
        <v>#N/A</v>
      </c>
      <c r="H70" s="310" t="b">
        <f aca="false">B70=C70</f>
        <v>1</v>
      </c>
      <c r="I70" s="1" t="e">
        <f aca="false">AND(F70='Breeding Calculator'!$G$9,G70='Breeding Calculator'!$K$9)</f>
        <v>#N/A</v>
      </c>
      <c r="J70" s="1" t="e">
        <f aca="false">AND(G70='Breeding Calculator'!$G$9,F70='Breeding Calculator'!$K$9)</f>
        <v>#N/A</v>
      </c>
      <c r="K70" s="311" t="e">
        <f aca="false">OR(I70,J70)</f>
        <v>#N/A</v>
      </c>
      <c r="L70" s="1" t="e">
        <f aca="false">F70 &amp; G70</f>
        <v>#N/A</v>
      </c>
      <c r="M70" s="1" t="e">
        <f aca="false">G70&amp;F70</f>
        <v>#N/A</v>
      </c>
    </row>
    <row r="71" customFormat="false" ht="15.75" hidden="false" customHeight="false" outlineLevel="0" collapsed="false">
      <c r="A71" s="309" t="s">
        <v>579</v>
      </c>
      <c r="B71" s="309" t="s">
        <v>580</v>
      </c>
      <c r="C71" s="309" t="s">
        <v>580</v>
      </c>
      <c r="D71" s="309" t="s">
        <v>581</v>
      </c>
      <c r="E71" s="1" t="e">
        <f aca="false">#N/A</f>
        <v>#N/A</v>
      </c>
      <c r="F71" s="1" t="e">
        <f aca="false">#N/A</f>
        <v>#N/A</v>
      </c>
      <c r="G71" s="1" t="e">
        <f aca="false">#N/A</f>
        <v>#N/A</v>
      </c>
      <c r="H71" s="310" t="b">
        <f aca="false">B71=C71</f>
        <v>1</v>
      </c>
      <c r="I71" s="1" t="e">
        <f aca="false">AND(F71='Breeding Calculator'!$G$9,G71='Breeding Calculator'!$K$9)</f>
        <v>#N/A</v>
      </c>
      <c r="J71" s="1" t="e">
        <f aca="false">AND(G71='Breeding Calculator'!$G$9,F71='Breeding Calculator'!$K$9)</f>
        <v>#N/A</v>
      </c>
      <c r="K71" s="311" t="e">
        <f aca="false">OR(I71,J71)</f>
        <v>#N/A</v>
      </c>
      <c r="L71" s="1" t="e">
        <f aca="false">F71 &amp; G71</f>
        <v>#N/A</v>
      </c>
      <c r="M71" s="1" t="e">
        <f aca="false">G71&amp;F71</f>
        <v>#N/A</v>
      </c>
    </row>
    <row r="72" customFormat="false" ht="15.75" hidden="false" customHeight="false" outlineLevel="0" collapsed="false">
      <c r="A72" s="309" t="s">
        <v>582</v>
      </c>
      <c r="B72" s="309" t="s">
        <v>583</v>
      </c>
      <c r="C72" s="309" t="s">
        <v>583</v>
      </c>
      <c r="D72" s="309" t="s">
        <v>584</v>
      </c>
      <c r="E72" s="1" t="e">
        <f aca="false">#N/A</f>
        <v>#N/A</v>
      </c>
      <c r="F72" s="1" t="e">
        <f aca="false">#N/A</f>
        <v>#N/A</v>
      </c>
      <c r="G72" s="1" t="e">
        <f aca="false">#N/A</f>
        <v>#N/A</v>
      </c>
      <c r="H72" s="310" t="b">
        <f aca="false">B72=C72</f>
        <v>1</v>
      </c>
      <c r="I72" s="1" t="e">
        <f aca="false">AND(F72='Breeding Calculator'!$G$9,G72='Breeding Calculator'!$K$9)</f>
        <v>#N/A</v>
      </c>
      <c r="J72" s="1" t="e">
        <f aca="false">AND(G72='Breeding Calculator'!$G$9,F72='Breeding Calculator'!$K$9)</f>
        <v>#N/A</v>
      </c>
      <c r="K72" s="311" t="e">
        <f aca="false">OR(I72,J72)</f>
        <v>#N/A</v>
      </c>
      <c r="L72" s="1" t="e">
        <f aca="false">F72 &amp; G72</f>
        <v>#N/A</v>
      </c>
      <c r="M72" s="1" t="e">
        <f aca="false">G72&amp;F72</f>
        <v>#N/A</v>
      </c>
    </row>
    <row r="73" customFormat="false" ht="15.75" hidden="false" customHeight="false" outlineLevel="0" collapsed="false">
      <c r="A73" s="309" t="s">
        <v>585</v>
      </c>
      <c r="B73" s="309" t="s">
        <v>586</v>
      </c>
      <c r="C73" s="309" t="s">
        <v>586</v>
      </c>
      <c r="D73" s="309" t="s">
        <v>587</v>
      </c>
      <c r="E73" s="1" t="e">
        <f aca="false">#N/A</f>
        <v>#N/A</v>
      </c>
      <c r="F73" s="1" t="e">
        <f aca="false">#N/A</f>
        <v>#N/A</v>
      </c>
      <c r="G73" s="1" t="e">
        <f aca="false">#N/A</f>
        <v>#N/A</v>
      </c>
      <c r="H73" s="310" t="b">
        <f aca="false">B73=C73</f>
        <v>1</v>
      </c>
      <c r="I73" s="1" t="e">
        <f aca="false">AND(F73='Breeding Calculator'!$G$9,G73='Breeding Calculator'!$K$9)</f>
        <v>#N/A</v>
      </c>
      <c r="J73" s="1" t="e">
        <f aca="false">AND(G73='Breeding Calculator'!$G$9,F73='Breeding Calculator'!$K$9)</f>
        <v>#N/A</v>
      </c>
      <c r="K73" s="311" t="e">
        <f aca="false">OR(I73,J73)</f>
        <v>#N/A</v>
      </c>
      <c r="L73" s="1" t="e">
        <f aca="false">F73 &amp; G73</f>
        <v>#N/A</v>
      </c>
      <c r="M73" s="1" t="e">
        <f aca="false">G73&amp;F73</f>
        <v>#N/A</v>
      </c>
    </row>
    <row r="74" customFormat="false" ht="15.75" hidden="false" customHeight="false" outlineLevel="0" collapsed="false">
      <c r="A74" s="309" t="s">
        <v>588</v>
      </c>
      <c r="B74" s="309" t="s">
        <v>589</v>
      </c>
      <c r="C74" s="309" t="s">
        <v>589</v>
      </c>
      <c r="D74" s="309" t="s">
        <v>590</v>
      </c>
      <c r="E74" s="1" t="e">
        <f aca="false">#N/A</f>
        <v>#N/A</v>
      </c>
      <c r="F74" s="1" t="e">
        <f aca="false">#N/A</f>
        <v>#N/A</v>
      </c>
      <c r="G74" s="1" t="e">
        <f aca="false">#N/A</f>
        <v>#N/A</v>
      </c>
      <c r="H74" s="310" t="b">
        <f aca="false">B74=C74</f>
        <v>1</v>
      </c>
      <c r="I74" s="1" t="e">
        <f aca="false">AND(F74='Breeding Calculator'!$G$9,G74='Breeding Calculator'!$K$9)</f>
        <v>#N/A</v>
      </c>
      <c r="J74" s="1" t="e">
        <f aca="false">AND(G74='Breeding Calculator'!$G$9,F74='Breeding Calculator'!$K$9)</f>
        <v>#N/A</v>
      </c>
      <c r="K74" s="311" t="e">
        <f aca="false">OR(I74,J74)</f>
        <v>#N/A</v>
      </c>
      <c r="L74" s="1" t="e">
        <f aca="false">F74 &amp; G74</f>
        <v>#N/A</v>
      </c>
      <c r="M74" s="1" t="e">
        <f aca="false">G74&amp;F74</f>
        <v>#N/A</v>
      </c>
    </row>
    <row r="75" customFormat="false" ht="15.75" hidden="false" customHeight="false" outlineLevel="0" collapsed="false">
      <c r="A75" s="309" t="s">
        <v>591</v>
      </c>
      <c r="B75" s="309" t="s">
        <v>592</v>
      </c>
      <c r="C75" s="309" t="s">
        <v>592</v>
      </c>
      <c r="D75" s="309" t="s">
        <v>593</v>
      </c>
      <c r="E75" s="1" t="e">
        <f aca="false">#N/A</f>
        <v>#N/A</v>
      </c>
      <c r="F75" s="1" t="e">
        <f aca="false">#N/A</f>
        <v>#N/A</v>
      </c>
      <c r="G75" s="1" t="e">
        <f aca="false">#N/A</f>
        <v>#N/A</v>
      </c>
      <c r="H75" s="310" t="b">
        <f aca="false">B75=C75</f>
        <v>1</v>
      </c>
      <c r="I75" s="1" t="e">
        <f aca="false">AND(F75='Breeding Calculator'!$G$9,G75='Breeding Calculator'!$K$9)</f>
        <v>#N/A</v>
      </c>
      <c r="J75" s="1" t="e">
        <f aca="false">AND(G75='Breeding Calculator'!$G$9,F75='Breeding Calculator'!$K$9)</f>
        <v>#N/A</v>
      </c>
      <c r="K75" s="311" t="e">
        <f aca="false">OR(I75,J75)</f>
        <v>#N/A</v>
      </c>
      <c r="L75" s="1" t="e">
        <f aca="false">F75 &amp; G75</f>
        <v>#N/A</v>
      </c>
      <c r="M75" s="1" t="e">
        <f aca="false">G75&amp;F75</f>
        <v>#N/A</v>
      </c>
    </row>
    <row r="76" customFormat="false" ht="15.75" hidden="false" customHeight="false" outlineLevel="0" collapsed="false">
      <c r="A76" s="309" t="s">
        <v>594</v>
      </c>
      <c r="B76" s="309" t="s">
        <v>595</v>
      </c>
      <c r="C76" s="309" t="s">
        <v>595</v>
      </c>
      <c r="D76" s="309" t="s">
        <v>596</v>
      </c>
      <c r="E76" s="1" t="e">
        <f aca="false">#N/A</f>
        <v>#N/A</v>
      </c>
      <c r="F76" s="1" t="e">
        <f aca="false">#N/A</f>
        <v>#N/A</v>
      </c>
      <c r="G76" s="1" t="e">
        <f aca="false">#N/A</f>
        <v>#N/A</v>
      </c>
      <c r="H76" s="310" t="b">
        <f aca="false">B76=C76</f>
        <v>1</v>
      </c>
      <c r="I76" s="1" t="e">
        <f aca="false">AND(F76='Breeding Calculator'!$G$9,G76='Breeding Calculator'!$K$9)</f>
        <v>#N/A</v>
      </c>
      <c r="J76" s="1" t="e">
        <f aca="false">AND(G76='Breeding Calculator'!$G$9,F76='Breeding Calculator'!$K$9)</f>
        <v>#N/A</v>
      </c>
      <c r="K76" s="311" t="e">
        <f aca="false">OR(I76,J76)</f>
        <v>#N/A</v>
      </c>
      <c r="L76" s="1" t="e">
        <f aca="false">F76 &amp; G76</f>
        <v>#N/A</v>
      </c>
      <c r="M76" s="1" t="e">
        <f aca="false">G76&amp;F76</f>
        <v>#N/A</v>
      </c>
    </row>
    <row r="77" customFormat="false" ht="15.75" hidden="false" customHeight="false" outlineLevel="0" collapsed="false">
      <c r="A77" s="309" t="s">
        <v>597</v>
      </c>
      <c r="B77" s="309" t="s">
        <v>598</v>
      </c>
      <c r="C77" s="309" t="s">
        <v>598</v>
      </c>
      <c r="D77" s="309" t="s">
        <v>599</v>
      </c>
      <c r="E77" s="1" t="e">
        <f aca="false">#N/A</f>
        <v>#N/A</v>
      </c>
      <c r="F77" s="1" t="e">
        <f aca="false">#N/A</f>
        <v>#N/A</v>
      </c>
      <c r="G77" s="1" t="e">
        <f aca="false">#N/A</f>
        <v>#N/A</v>
      </c>
      <c r="H77" s="310" t="b">
        <f aca="false">B77=C77</f>
        <v>1</v>
      </c>
      <c r="I77" s="1" t="e">
        <f aca="false">AND(F77='Breeding Calculator'!$G$9,G77='Breeding Calculator'!$K$9)</f>
        <v>#N/A</v>
      </c>
      <c r="J77" s="1" t="e">
        <f aca="false">AND(G77='Breeding Calculator'!$G$9,F77='Breeding Calculator'!$K$9)</f>
        <v>#N/A</v>
      </c>
      <c r="K77" s="311" t="e">
        <f aca="false">OR(I77,J77)</f>
        <v>#N/A</v>
      </c>
      <c r="L77" s="1" t="e">
        <f aca="false">F77 &amp; G77</f>
        <v>#N/A</v>
      </c>
      <c r="M77" s="1" t="e">
        <f aca="false">G77&amp;F77</f>
        <v>#N/A</v>
      </c>
    </row>
    <row r="78" customFormat="false" ht="15.75" hidden="false" customHeight="false" outlineLevel="0" collapsed="false">
      <c r="A78" s="309" t="s">
        <v>600</v>
      </c>
      <c r="B78" s="309" t="s">
        <v>601</v>
      </c>
      <c r="C78" s="309" t="s">
        <v>601</v>
      </c>
      <c r="D78" s="309" t="s">
        <v>602</v>
      </c>
      <c r="E78" s="1" t="e">
        <f aca="false">#N/A</f>
        <v>#N/A</v>
      </c>
      <c r="F78" s="1" t="e">
        <f aca="false">#N/A</f>
        <v>#N/A</v>
      </c>
      <c r="G78" s="1" t="e">
        <f aca="false">#N/A</f>
        <v>#N/A</v>
      </c>
      <c r="H78" s="310" t="b">
        <f aca="false">B78=C78</f>
        <v>1</v>
      </c>
      <c r="I78" s="1" t="e">
        <f aca="false">AND(F78='Breeding Calculator'!$G$9,G78='Breeding Calculator'!$K$9)</f>
        <v>#N/A</v>
      </c>
      <c r="J78" s="1" t="e">
        <f aca="false">AND(G78='Breeding Calculator'!$G$9,F78='Breeding Calculator'!$K$9)</f>
        <v>#N/A</v>
      </c>
      <c r="K78" s="311" t="e">
        <f aca="false">OR(I78,J78)</f>
        <v>#N/A</v>
      </c>
      <c r="L78" s="1" t="e">
        <f aca="false">F78 &amp; G78</f>
        <v>#N/A</v>
      </c>
      <c r="M78" s="1" t="e">
        <f aca="false">G78&amp;F78</f>
        <v>#N/A</v>
      </c>
    </row>
    <row r="79" customFormat="false" ht="15.75" hidden="false" customHeight="false" outlineLevel="0" collapsed="false">
      <c r="A79" s="309" t="s">
        <v>603</v>
      </c>
      <c r="B79" s="309" t="s">
        <v>604</v>
      </c>
      <c r="C79" s="309" t="s">
        <v>604</v>
      </c>
      <c r="D79" s="309" t="s">
        <v>605</v>
      </c>
      <c r="E79" s="1" t="e">
        <f aca="false">#N/A</f>
        <v>#N/A</v>
      </c>
      <c r="F79" s="1" t="e">
        <f aca="false">#N/A</f>
        <v>#N/A</v>
      </c>
      <c r="G79" s="1" t="e">
        <f aca="false">#N/A</f>
        <v>#N/A</v>
      </c>
      <c r="H79" s="310" t="b">
        <f aca="false">B79=C79</f>
        <v>1</v>
      </c>
      <c r="I79" s="1" t="e">
        <f aca="false">AND(F79='Breeding Calculator'!$G$9,G79='Breeding Calculator'!$K$9)</f>
        <v>#N/A</v>
      </c>
      <c r="J79" s="1" t="e">
        <f aca="false">AND(G79='Breeding Calculator'!$G$9,F79='Breeding Calculator'!$K$9)</f>
        <v>#N/A</v>
      </c>
      <c r="K79" s="311" t="e">
        <f aca="false">OR(I79,J79)</f>
        <v>#N/A</v>
      </c>
      <c r="L79" s="1" t="e">
        <f aca="false">F79 &amp; G79</f>
        <v>#N/A</v>
      </c>
      <c r="M79" s="1" t="e">
        <f aca="false">G79&amp;F79</f>
        <v>#N/A</v>
      </c>
    </row>
    <row r="80" customFormat="false" ht="15.75" hidden="false" customHeight="false" outlineLevel="0" collapsed="false">
      <c r="L80" s="3"/>
      <c r="M80" s="3"/>
    </row>
    <row r="81" customFormat="false" ht="15.75" hidden="false" customHeight="false" outlineLevel="0" collapsed="false">
      <c r="L81" s="3"/>
      <c r="M81" s="3"/>
    </row>
    <row r="82" customFormat="false" ht="15.75" hidden="false" customHeight="false" outlineLevel="0" collapsed="false">
      <c r="L82" s="3"/>
      <c r="M82" s="3"/>
    </row>
    <row r="83" customFormat="false" ht="15.75" hidden="false" customHeight="false" outlineLevel="0" collapsed="false">
      <c r="L83" s="3"/>
      <c r="M83" s="3"/>
    </row>
    <row r="84" customFormat="false" ht="15.75" hidden="false" customHeight="false" outlineLevel="0" collapsed="false">
      <c r="L84" s="3"/>
      <c r="M84" s="3"/>
    </row>
    <row r="85" customFormat="false" ht="15.75" hidden="false" customHeight="false" outlineLevel="0" collapsed="false">
      <c r="L85" s="3"/>
      <c r="M85" s="3"/>
    </row>
    <row r="86" customFormat="false" ht="15.75" hidden="false" customHeight="false" outlineLevel="0" collapsed="false">
      <c r="L86" s="3"/>
      <c r="M86" s="3"/>
    </row>
    <row r="87" customFormat="false" ht="15.75" hidden="false" customHeight="false" outlineLevel="0" collapsed="false">
      <c r="L87" s="3"/>
      <c r="M87" s="3"/>
    </row>
    <row r="88" customFormat="false" ht="15.75" hidden="false" customHeight="false" outlineLevel="0" collapsed="false">
      <c r="L88" s="3"/>
      <c r="M88" s="3"/>
    </row>
    <row r="89" customFormat="false" ht="15.75" hidden="false" customHeight="false" outlineLevel="0" collapsed="false">
      <c r="L89" s="3"/>
      <c r="M89" s="3"/>
    </row>
    <row r="90" customFormat="false" ht="15.75" hidden="false" customHeight="false" outlineLevel="0" collapsed="false">
      <c r="L90" s="3"/>
      <c r="M90" s="3"/>
    </row>
    <row r="91" customFormat="false" ht="15.75" hidden="false" customHeight="false" outlineLevel="0" collapsed="false">
      <c r="L91" s="3"/>
      <c r="M91" s="3"/>
    </row>
    <row r="92" customFormat="false" ht="15.75" hidden="false" customHeight="false" outlineLevel="0" collapsed="false">
      <c r="L92" s="3"/>
      <c r="M92" s="3"/>
    </row>
    <row r="93" customFormat="false" ht="15.75" hidden="false" customHeight="false" outlineLevel="0" collapsed="false">
      <c r="L93" s="3"/>
      <c r="M93" s="3"/>
    </row>
    <row r="94" customFormat="false" ht="15.75" hidden="false" customHeight="false" outlineLevel="0" collapsed="false">
      <c r="L94" s="3"/>
      <c r="M94" s="3"/>
    </row>
    <row r="95" customFormat="false" ht="15.75" hidden="false" customHeight="false" outlineLevel="0" collapsed="false">
      <c r="L95" s="3"/>
      <c r="M95" s="3"/>
    </row>
    <row r="96" customFormat="false" ht="15.75" hidden="false" customHeight="false" outlineLevel="0" collapsed="false">
      <c r="L96" s="3"/>
      <c r="M96" s="3"/>
    </row>
    <row r="97" customFormat="false" ht="15.75" hidden="false" customHeight="false" outlineLevel="0" collapsed="false">
      <c r="L97" s="3"/>
      <c r="M97" s="3"/>
    </row>
    <row r="98" customFormat="false" ht="15.75" hidden="false" customHeight="false" outlineLevel="0" collapsed="false">
      <c r="L98" s="3"/>
      <c r="M98" s="3"/>
    </row>
    <row r="99" customFormat="false" ht="15.75" hidden="false" customHeight="false" outlineLevel="0" collapsed="false">
      <c r="L99" s="3"/>
      <c r="M99" s="3"/>
    </row>
    <row r="100" customFormat="false" ht="15.75" hidden="false" customHeight="false" outlineLevel="0" collapsed="false">
      <c r="L100" s="3"/>
      <c r="M100" s="3"/>
    </row>
    <row r="101" customFormat="false" ht="15.75" hidden="false" customHeight="false" outlineLevel="0" collapsed="false">
      <c r="L101" s="3"/>
      <c r="M101" s="3"/>
    </row>
    <row r="102" customFormat="false" ht="15.75" hidden="false" customHeight="false" outlineLevel="0" collapsed="false">
      <c r="L102" s="3"/>
      <c r="M102" s="3"/>
    </row>
    <row r="103" customFormat="false" ht="15.75" hidden="false" customHeight="false" outlineLevel="0" collapsed="false">
      <c r="L103" s="3"/>
      <c r="M103" s="3"/>
    </row>
    <row r="104" customFormat="false" ht="15.75" hidden="false" customHeight="false" outlineLevel="0" collapsed="false">
      <c r="L104" s="3"/>
      <c r="M104" s="3"/>
    </row>
    <row r="105" customFormat="false" ht="15.75" hidden="false" customHeight="false" outlineLevel="0" collapsed="false">
      <c r="L105" s="3"/>
      <c r="M105" s="3"/>
    </row>
    <row r="106" customFormat="false" ht="15.75" hidden="false" customHeight="false" outlineLevel="0" collapsed="false">
      <c r="L106" s="3"/>
      <c r="M106" s="3"/>
    </row>
    <row r="107" customFormat="false" ht="15.75" hidden="false" customHeight="false" outlineLevel="0" collapsed="false">
      <c r="L107" s="3"/>
      <c r="M107" s="3"/>
    </row>
    <row r="108" customFormat="false" ht="15.75" hidden="false" customHeight="false" outlineLevel="0" collapsed="false">
      <c r="L108" s="3"/>
      <c r="M108" s="3"/>
    </row>
    <row r="109" customFormat="false" ht="15.75" hidden="false" customHeight="false" outlineLevel="0" collapsed="false">
      <c r="L109" s="3"/>
      <c r="M109" s="3"/>
    </row>
    <row r="110" customFormat="false" ht="15.75" hidden="false" customHeight="false" outlineLevel="0" collapsed="false">
      <c r="L110" s="3"/>
      <c r="M110" s="3"/>
    </row>
    <row r="111" customFormat="false" ht="15.75" hidden="false" customHeight="false" outlineLevel="0" collapsed="false">
      <c r="L111" s="3"/>
      <c r="M111" s="3"/>
    </row>
    <row r="112" customFormat="false" ht="15.75" hidden="false" customHeight="false" outlineLevel="0" collapsed="false">
      <c r="L112" s="3"/>
      <c r="M112" s="3"/>
    </row>
    <row r="113" customFormat="false" ht="15.75" hidden="false" customHeight="false" outlineLevel="0" collapsed="false">
      <c r="L113" s="3"/>
      <c r="M113" s="3"/>
    </row>
    <row r="114" customFormat="false" ht="15.75" hidden="false" customHeight="false" outlineLevel="0" collapsed="false">
      <c r="L114" s="3"/>
      <c r="M114" s="3"/>
    </row>
    <row r="115" customFormat="false" ht="15.75" hidden="false" customHeight="false" outlineLevel="0" collapsed="false">
      <c r="L115" s="3"/>
      <c r="M115" s="3"/>
    </row>
    <row r="116" customFormat="false" ht="15.75" hidden="false" customHeight="false" outlineLevel="0" collapsed="false">
      <c r="L116" s="3"/>
      <c r="M116" s="3"/>
    </row>
    <row r="117" customFormat="false" ht="15.75" hidden="false" customHeight="false" outlineLevel="0" collapsed="false">
      <c r="L117" s="3"/>
      <c r="M117" s="3"/>
    </row>
    <row r="118" customFormat="false" ht="15.75" hidden="false" customHeight="false" outlineLevel="0" collapsed="false">
      <c r="L118" s="3"/>
      <c r="M118" s="3"/>
    </row>
    <row r="119" customFormat="false" ht="15.75" hidden="false" customHeight="false" outlineLevel="0" collapsed="false">
      <c r="L119" s="3"/>
      <c r="M119" s="3"/>
    </row>
    <row r="120" customFormat="false" ht="15.75" hidden="false" customHeight="false" outlineLevel="0" collapsed="false">
      <c r="L120" s="3"/>
      <c r="M120" s="3"/>
    </row>
    <row r="121" customFormat="false" ht="15.75" hidden="false" customHeight="false" outlineLevel="0" collapsed="false">
      <c r="L121" s="3"/>
      <c r="M121" s="3"/>
    </row>
    <row r="122" customFormat="false" ht="15.75" hidden="false" customHeight="false" outlineLevel="0" collapsed="false">
      <c r="L122" s="3"/>
      <c r="M122" s="3"/>
    </row>
    <row r="123" customFormat="false" ht="15.75" hidden="false" customHeight="false" outlineLevel="0" collapsed="false">
      <c r="L123" s="3"/>
      <c r="M123" s="3"/>
    </row>
    <row r="124" customFormat="false" ht="15.75" hidden="false" customHeight="false" outlineLevel="0" collapsed="false">
      <c r="L124" s="3"/>
      <c r="M124" s="3"/>
    </row>
    <row r="125" customFormat="false" ht="15.75" hidden="false" customHeight="false" outlineLevel="0" collapsed="false">
      <c r="L125" s="3"/>
      <c r="M125" s="3"/>
    </row>
    <row r="126" customFormat="false" ht="15.75" hidden="false" customHeight="false" outlineLevel="0" collapsed="false">
      <c r="L126" s="3"/>
      <c r="M126" s="3"/>
    </row>
    <row r="127" customFormat="false" ht="15.75" hidden="false" customHeight="false" outlineLevel="0" collapsed="false">
      <c r="L127" s="3"/>
      <c r="M127" s="3"/>
    </row>
    <row r="128" customFormat="false" ht="15.75" hidden="false" customHeight="false" outlineLevel="0" collapsed="false">
      <c r="L128" s="3"/>
      <c r="M128" s="3"/>
    </row>
    <row r="129" customFormat="false" ht="15.75" hidden="false" customHeight="false" outlineLevel="0" collapsed="false">
      <c r="L129" s="3"/>
      <c r="M129" s="3"/>
    </row>
    <row r="130" customFormat="false" ht="15.75" hidden="false" customHeight="false" outlineLevel="0" collapsed="false">
      <c r="L130" s="3"/>
      <c r="M130" s="3"/>
    </row>
    <row r="131" customFormat="false" ht="15.75" hidden="false" customHeight="false" outlineLevel="0" collapsed="false">
      <c r="L131" s="3"/>
      <c r="M131" s="3"/>
    </row>
    <row r="132" customFormat="false" ht="15.75" hidden="false" customHeight="false" outlineLevel="0" collapsed="false">
      <c r="L132" s="3"/>
      <c r="M132" s="3"/>
    </row>
    <row r="133" customFormat="false" ht="15.75" hidden="false" customHeight="false" outlineLevel="0" collapsed="false">
      <c r="L133" s="3"/>
      <c r="M133" s="3"/>
    </row>
    <row r="134" customFormat="false" ht="15.75" hidden="false" customHeight="false" outlineLevel="0" collapsed="false">
      <c r="L134" s="3"/>
      <c r="M134" s="3"/>
    </row>
    <row r="135" customFormat="false" ht="15.75" hidden="false" customHeight="false" outlineLevel="0" collapsed="false">
      <c r="L135" s="3"/>
      <c r="M135" s="3"/>
    </row>
    <row r="136" customFormat="false" ht="15.75" hidden="false" customHeight="false" outlineLevel="0" collapsed="false">
      <c r="L136" s="3"/>
      <c r="M136" s="3"/>
    </row>
    <row r="137" customFormat="false" ht="15.75" hidden="false" customHeight="false" outlineLevel="0" collapsed="false">
      <c r="L137" s="3"/>
      <c r="M137" s="3"/>
    </row>
    <row r="138" customFormat="false" ht="15.75" hidden="false" customHeight="false" outlineLevel="0" collapsed="false">
      <c r="L138" s="3"/>
      <c r="M138" s="3"/>
    </row>
    <row r="139" customFormat="false" ht="15.75" hidden="false" customHeight="false" outlineLevel="0" collapsed="false">
      <c r="L139" s="3"/>
      <c r="M139" s="3"/>
    </row>
    <row r="140" customFormat="false" ht="15.75" hidden="false" customHeight="false" outlineLevel="0" collapsed="false">
      <c r="L140" s="3"/>
      <c r="M140" s="3"/>
    </row>
    <row r="141" customFormat="false" ht="15.75" hidden="false" customHeight="false" outlineLevel="0" collapsed="false">
      <c r="L141" s="3"/>
      <c r="M141" s="3"/>
    </row>
    <row r="142" customFormat="false" ht="15.75" hidden="false" customHeight="false" outlineLevel="0" collapsed="false">
      <c r="L142" s="3"/>
      <c r="M142" s="3"/>
    </row>
    <row r="143" customFormat="false" ht="15.75" hidden="false" customHeight="false" outlineLevel="0" collapsed="false">
      <c r="L143" s="3"/>
      <c r="M143" s="3"/>
    </row>
    <row r="144" customFormat="false" ht="15.75" hidden="false" customHeight="false" outlineLevel="0" collapsed="false">
      <c r="L144" s="3"/>
      <c r="M144" s="3"/>
    </row>
    <row r="145" customFormat="false" ht="15.75" hidden="false" customHeight="false" outlineLevel="0" collapsed="false">
      <c r="L145" s="3"/>
      <c r="M145" s="3"/>
    </row>
    <row r="146" customFormat="false" ht="15.75" hidden="false" customHeight="false" outlineLevel="0" collapsed="false">
      <c r="L146" s="3"/>
      <c r="M146" s="3"/>
    </row>
    <row r="147" customFormat="false" ht="15.75" hidden="false" customHeight="false" outlineLevel="0" collapsed="false">
      <c r="L147" s="3"/>
      <c r="M147" s="3"/>
    </row>
    <row r="148" customFormat="false" ht="15.75" hidden="false" customHeight="false" outlineLevel="0" collapsed="false">
      <c r="L148" s="3"/>
      <c r="M148" s="3"/>
    </row>
    <row r="149" customFormat="false" ht="15.75" hidden="false" customHeight="false" outlineLevel="0" collapsed="false">
      <c r="L149" s="3"/>
      <c r="M149" s="3"/>
    </row>
    <row r="150" customFormat="false" ht="15.75" hidden="false" customHeight="false" outlineLevel="0" collapsed="false">
      <c r="L150" s="3"/>
      <c r="M150" s="3"/>
    </row>
    <row r="151" customFormat="false" ht="15.75" hidden="false" customHeight="false" outlineLevel="0" collapsed="false">
      <c r="L151" s="3"/>
      <c r="M151" s="3"/>
    </row>
    <row r="152" customFormat="false" ht="15.75" hidden="false" customHeight="false" outlineLevel="0" collapsed="false">
      <c r="L152" s="3"/>
      <c r="M152" s="3"/>
    </row>
    <row r="153" customFormat="false" ht="15.75" hidden="false" customHeight="false" outlineLevel="0" collapsed="false">
      <c r="L153" s="3"/>
      <c r="M153" s="3"/>
    </row>
    <row r="154" customFormat="false" ht="15.75" hidden="false" customHeight="false" outlineLevel="0" collapsed="false">
      <c r="L154" s="3"/>
      <c r="M154" s="3"/>
    </row>
    <row r="155" customFormat="false" ht="15.75" hidden="false" customHeight="false" outlineLevel="0" collapsed="false">
      <c r="L155" s="3"/>
      <c r="M155" s="3"/>
    </row>
    <row r="156" customFormat="false" ht="15.75" hidden="false" customHeight="false" outlineLevel="0" collapsed="false">
      <c r="L156" s="3"/>
      <c r="M156" s="3"/>
    </row>
    <row r="157" customFormat="false" ht="15.75" hidden="false" customHeight="false" outlineLevel="0" collapsed="false">
      <c r="L157" s="3"/>
      <c r="M157" s="3"/>
    </row>
    <row r="158" customFormat="false" ht="15.75" hidden="false" customHeight="false" outlineLevel="0" collapsed="false">
      <c r="L158" s="3"/>
      <c r="M158" s="3"/>
    </row>
    <row r="159" customFormat="false" ht="15.75" hidden="false" customHeight="false" outlineLevel="0" collapsed="false">
      <c r="L159" s="3"/>
      <c r="M159" s="3"/>
    </row>
    <row r="160" customFormat="false" ht="15.75" hidden="false" customHeight="false" outlineLevel="0" collapsed="false">
      <c r="L160" s="3"/>
      <c r="M160" s="3"/>
    </row>
    <row r="161" customFormat="false" ht="15.75" hidden="false" customHeight="false" outlineLevel="0" collapsed="false">
      <c r="L161" s="3"/>
      <c r="M161" s="3"/>
    </row>
    <row r="162" customFormat="false" ht="15.75" hidden="false" customHeight="false" outlineLevel="0" collapsed="false">
      <c r="L162" s="3"/>
      <c r="M162" s="3"/>
    </row>
    <row r="163" customFormat="false" ht="15.75" hidden="false" customHeight="false" outlineLevel="0" collapsed="false">
      <c r="L163" s="3"/>
      <c r="M163" s="3"/>
    </row>
    <row r="164" customFormat="false" ht="15.75" hidden="false" customHeight="false" outlineLevel="0" collapsed="false">
      <c r="L164" s="3"/>
      <c r="M164" s="3"/>
    </row>
    <row r="165" customFormat="false" ht="15.75" hidden="false" customHeight="false" outlineLevel="0" collapsed="false">
      <c r="L165" s="3"/>
      <c r="M165" s="3"/>
    </row>
    <row r="166" customFormat="false" ht="15.75" hidden="false" customHeight="false" outlineLevel="0" collapsed="false">
      <c r="L166" s="3"/>
      <c r="M166" s="3"/>
    </row>
    <row r="167" customFormat="false" ht="15.75" hidden="false" customHeight="false" outlineLevel="0" collapsed="false">
      <c r="L167" s="3"/>
      <c r="M167" s="3"/>
    </row>
    <row r="168" customFormat="false" ht="15.75" hidden="false" customHeight="false" outlineLevel="0" collapsed="false">
      <c r="L168" s="3"/>
      <c r="M168" s="3"/>
    </row>
    <row r="169" customFormat="false" ht="15.75" hidden="false" customHeight="false" outlineLevel="0" collapsed="false">
      <c r="L169" s="3"/>
      <c r="M169" s="3"/>
    </row>
    <row r="170" customFormat="false" ht="15.75" hidden="false" customHeight="false" outlineLevel="0" collapsed="false">
      <c r="L170" s="3"/>
      <c r="M170" s="3"/>
    </row>
    <row r="171" customFormat="false" ht="15.75" hidden="false" customHeight="false" outlineLevel="0" collapsed="false">
      <c r="L171" s="3"/>
      <c r="M171" s="3"/>
    </row>
    <row r="172" customFormat="false" ht="15.75" hidden="false" customHeight="false" outlineLevel="0" collapsed="false">
      <c r="L172" s="3"/>
      <c r="M172" s="3"/>
    </row>
    <row r="173" customFormat="false" ht="15.75" hidden="false" customHeight="false" outlineLevel="0" collapsed="false">
      <c r="L173" s="3"/>
      <c r="M173" s="3"/>
    </row>
    <row r="174" customFormat="false" ht="15.75" hidden="false" customHeight="false" outlineLevel="0" collapsed="false">
      <c r="L174" s="3"/>
      <c r="M174" s="3"/>
    </row>
    <row r="175" customFormat="false" ht="15.75" hidden="false" customHeight="false" outlineLevel="0" collapsed="false">
      <c r="L175" s="3"/>
      <c r="M175" s="3"/>
    </row>
    <row r="176" customFormat="false" ht="15.75" hidden="false" customHeight="false" outlineLevel="0" collapsed="false">
      <c r="L176" s="3"/>
      <c r="M176" s="3"/>
    </row>
    <row r="177" customFormat="false" ht="15.75" hidden="false" customHeight="false" outlineLevel="0" collapsed="false">
      <c r="L177" s="3"/>
      <c r="M177" s="3"/>
    </row>
    <row r="178" customFormat="false" ht="15.75" hidden="false" customHeight="false" outlineLevel="0" collapsed="false">
      <c r="L178" s="3"/>
      <c r="M178" s="3"/>
    </row>
    <row r="179" customFormat="false" ht="15.75" hidden="false" customHeight="false" outlineLevel="0" collapsed="false">
      <c r="L179" s="3"/>
      <c r="M179" s="3"/>
    </row>
    <row r="180" customFormat="false" ht="15.75" hidden="false" customHeight="false" outlineLevel="0" collapsed="false">
      <c r="L180" s="3"/>
      <c r="M180" s="3"/>
    </row>
    <row r="181" customFormat="false" ht="15.75" hidden="false" customHeight="false" outlineLevel="0" collapsed="false">
      <c r="L181" s="3"/>
      <c r="M181" s="3"/>
    </row>
    <row r="182" customFormat="false" ht="15.75" hidden="false" customHeight="false" outlineLevel="0" collapsed="false">
      <c r="L182" s="3"/>
      <c r="M182" s="3"/>
    </row>
    <row r="183" customFormat="false" ht="15.75" hidden="false" customHeight="false" outlineLevel="0" collapsed="false">
      <c r="L183" s="3"/>
      <c r="M183" s="3"/>
    </row>
    <row r="184" customFormat="false" ht="15.75" hidden="false" customHeight="false" outlineLevel="0" collapsed="false">
      <c r="L184" s="3"/>
      <c r="M184" s="3"/>
    </row>
    <row r="185" customFormat="false" ht="15.75" hidden="false" customHeight="false" outlineLevel="0" collapsed="false">
      <c r="L185" s="3"/>
      <c r="M185" s="3"/>
    </row>
    <row r="186" customFormat="false" ht="15.75" hidden="false" customHeight="false" outlineLevel="0" collapsed="false">
      <c r="L186" s="3"/>
      <c r="M186" s="3"/>
    </row>
    <row r="187" customFormat="false" ht="15.75" hidden="false" customHeight="false" outlineLevel="0" collapsed="false">
      <c r="L187" s="3"/>
      <c r="M187" s="3"/>
    </row>
    <row r="188" customFormat="false" ht="15.75" hidden="false" customHeight="false" outlineLevel="0" collapsed="false">
      <c r="L188" s="3"/>
      <c r="M188" s="3"/>
    </row>
    <row r="189" customFormat="false" ht="15.75" hidden="false" customHeight="false" outlineLevel="0" collapsed="false">
      <c r="L189" s="3"/>
      <c r="M189" s="3"/>
    </row>
    <row r="190" customFormat="false" ht="15.75" hidden="false" customHeight="false" outlineLevel="0" collapsed="false">
      <c r="L190" s="3"/>
      <c r="M190" s="3"/>
    </row>
    <row r="191" customFormat="false" ht="15.75" hidden="false" customHeight="false" outlineLevel="0" collapsed="false">
      <c r="L191" s="3"/>
      <c r="M191" s="3"/>
    </row>
    <row r="192" customFormat="false" ht="15.75" hidden="false" customHeight="false" outlineLevel="0" collapsed="false">
      <c r="L192" s="3"/>
      <c r="M192" s="3"/>
    </row>
    <row r="193" customFormat="false" ht="15.75" hidden="false" customHeight="false" outlineLevel="0" collapsed="false">
      <c r="L193" s="3"/>
      <c r="M193" s="3"/>
    </row>
    <row r="194" customFormat="false" ht="15.75" hidden="false" customHeight="false" outlineLevel="0" collapsed="false">
      <c r="L194" s="3"/>
      <c r="M194" s="3"/>
    </row>
    <row r="195" customFormat="false" ht="15.75" hidden="false" customHeight="false" outlineLevel="0" collapsed="false">
      <c r="L195" s="3"/>
      <c r="M195" s="3"/>
    </row>
    <row r="196" customFormat="false" ht="15.75" hidden="false" customHeight="false" outlineLevel="0" collapsed="false">
      <c r="L196" s="3"/>
      <c r="M196" s="3"/>
    </row>
    <row r="197" customFormat="false" ht="15.75" hidden="false" customHeight="false" outlineLevel="0" collapsed="false">
      <c r="L197" s="3"/>
      <c r="M197" s="3"/>
    </row>
    <row r="198" customFormat="false" ht="15.75" hidden="false" customHeight="false" outlineLevel="0" collapsed="false">
      <c r="L198" s="3"/>
      <c r="M198" s="3"/>
    </row>
    <row r="199" customFormat="false" ht="15.75" hidden="false" customHeight="false" outlineLevel="0" collapsed="false">
      <c r="L199" s="3"/>
      <c r="M199" s="3"/>
    </row>
    <row r="200" customFormat="false" ht="15.75" hidden="false" customHeight="false" outlineLevel="0" collapsed="false">
      <c r="L200" s="3"/>
      <c r="M200" s="3"/>
    </row>
    <row r="201" customFormat="false" ht="15.75" hidden="false" customHeight="false" outlineLevel="0" collapsed="false">
      <c r="L201" s="3"/>
      <c r="M201" s="3"/>
    </row>
    <row r="202" customFormat="false" ht="15.75" hidden="false" customHeight="false" outlineLevel="0" collapsed="false">
      <c r="L202" s="3"/>
      <c r="M202" s="3"/>
    </row>
    <row r="203" customFormat="false" ht="15.75" hidden="false" customHeight="false" outlineLevel="0" collapsed="false">
      <c r="L203" s="3"/>
      <c r="M203" s="3"/>
    </row>
    <row r="204" customFormat="false" ht="15.75" hidden="false" customHeight="false" outlineLevel="0" collapsed="false">
      <c r="L204" s="3"/>
      <c r="M204" s="3"/>
    </row>
    <row r="205" customFormat="false" ht="15.75" hidden="false" customHeight="false" outlineLevel="0" collapsed="false">
      <c r="L205" s="3"/>
      <c r="M205" s="3"/>
    </row>
    <row r="206" customFormat="false" ht="15.75" hidden="false" customHeight="false" outlineLevel="0" collapsed="false">
      <c r="L206" s="3"/>
      <c r="M206" s="3"/>
    </row>
    <row r="207" customFormat="false" ht="15.75" hidden="false" customHeight="false" outlineLevel="0" collapsed="false">
      <c r="L207" s="3"/>
      <c r="M207" s="3"/>
    </row>
    <row r="208" customFormat="false" ht="15.75" hidden="false" customHeight="false" outlineLevel="0" collapsed="false">
      <c r="L208" s="3"/>
      <c r="M208" s="3"/>
    </row>
    <row r="209" customFormat="false" ht="15.75" hidden="false" customHeight="false" outlineLevel="0" collapsed="false">
      <c r="L209" s="3"/>
      <c r="M209" s="3"/>
    </row>
    <row r="210" customFormat="false" ht="15.75" hidden="false" customHeight="false" outlineLevel="0" collapsed="false">
      <c r="L210" s="3"/>
      <c r="M210" s="3"/>
    </row>
    <row r="211" customFormat="false" ht="15.75" hidden="false" customHeight="false" outlineLevel="0" collapsed="false">
      <c r="L211" s="3"/>
      <c r="M211" s="3"/>
    </row>
    <row r="212" customFormat="false" ht="15.75" hidden="false" customHeight="false" outlineLevel="0" collapsed="false">
      <c r="L212" s="3"/>
      <c r="M212" s="3"/>
    </row>
    <row r="213" customFormat="false" ht="15.75" hidden="false" customHeight="false" outlineLevel="0" collapsed="false">
      <c r="L213" s="3"/>
      <c r="M213" s="3"/>
    </row>
    <row r="214" customFormat="false" ht="15.75" hidden="false" customHeight="false" outlineLevel="0" collapsed="false">
      <c r="L214" s="3"/>
      <c r="M214" s="3"/>
    </row>
    <row r="215" customFormat="false" ht="15.75" hidden="false" customHeight="false" outlineLevel="0" collapsed="false">
      <c r="L215" s="3"/>
      <c r="M215" s="3"/>
    </row>
    <row r="216" customFormat="false" ht="15.75" hidden="false" customHeight="false" outlineLevel="0" collapsed="false">
      <c r="L216" s="3"/>
      <c r="M216" s="3"/>
    </row>
    <row r="217" customFormat="false" ht="15.75" hidden="false" customHeight="false" outlineLevel="0" collapsed="false">
      <c r="L217" s="3"/>
      <c r="M217" s="3"/>
    </row>
    <row r="218" customFormat="false" ht="15.75" hidden="false" customHeight="false" outlineLevel="0" collapsed="false">
      <c r="L218" s="3"/>
      <c r="M218" s="3"/>
    </row>
    <row r="219" customFormat="false" ht="15.75" hidden="false" customHeight="false" outlineLevel="0" collapsed="false">
      <c r="L219" s="3"/>
      <c r="M219" s="3"/>
    </row>
    <row r="220" customFormat="false" ht="15.75" hidden="false" customHeight="false" outlineLevel="0" collapsed="false">
      <c r="L220" s="3"/>
      <c r="M220" s="3"/>
    </row>
    <row r="221" customFormat="false" ht="15.75" hidden="false" customHeight="false" outlineLevel="0" collapsed="false">
      <c r="L221" s="3"/>
      <c r="M221" s="3"/>
    </row>
    <row r="222" customFormat="false" ht="15.75" hidden="false" customHeight="false" outlineLevel="0" collapsed="false">
      <c r="L222" s="3"/>
      <c r="M222" s="3"/>
    </row>
    <row r="223" customFormat="false" ht="15.75" hidden="false" customHeight="false" outlineLevel="0" collapsed="false">
      <c r="L223" s="3"/>
      <c r="M223" s="3"/>
    </row>
    <row r="224" customFormat="false" ht="15.75" hidden="false" customHeight="false" outlineLevel="0" collapsed="false">
      <c r="L224" s="3"/>
      <c r="M224" s="3"/>
    </row>
    <row r="225" customFormat="false" ht="15.75" hidden="false" customHeight="false" outlineLevel="0" collapsed="false">
      <c r="L225" s="3"/>
      <c r="M225" s="3"/>
    </row>
    <row r="226" customFormat="false" ht="15.75" hidden="false" customHeight="false" outlineLevel="0" collapsed="false">
      <c r="L226" s="3"/>
      <c r="M226" s="3"/>
    </row>
    <row r="227" customFormat="false" ht="15.75" hidden="false" customHeight="false" outlineLevel="0" collapsed="false">
      <c r="L227" s="3"/>
      <c r="M227" s="3"/>
    </row>
    <row r="228" customFormat="false" ht="15.75" hidden="false" customHeight="false" outlineLevel="0" collapsed="false">
      <c r="L228" s="3"/>
      <c r="M228" s="3"/>
    </row>
    <row r="229" customFormat="false" ht="15.75" hidden="false" customHeight="false" outlineLevel="0" collapsed="false">
      <c r="L229" s="3"/>
      <c r="M229" s="3"/>
    </row>
    <row r="230" customFormat="false" ht="15.75" hidden="false" customHeight="false" outlineLevel="0" collapsed="false">
      <c r="L230" s="3"/>
      <c r="M230" s="3"/>
    </row>
    <row r="231" customFormat="false" ht="15.75" hidden="false" customHeight="false" outlineLevel="0" collapsed="false">
      <c r="L231" s="3"/>
      <c r="M231" s="3"/>
    </row>
    <row r="232" customFormat="false" ht="15.75" hidden="false" customHeight="false" outlineLevel="0" collapsed="false">
      <c r="L232" s="3"/>
      <c r="M232" s="3"/>
    </row>
    <row r="233" customFormat="false" ht="15.75" hidden="false" customHeight="false" outlineLevel="0" collapsed="false">
      <c r="L233" s="3"/>
      <c r="M233" s="3"/>
    </row>
    <row r="234" customFormat="false" ht="15.75" hidden="false" customHeight="false" outlineLevel="0" collapsed="false">
      <c r="L234" s="3"/>
      <c r="M234" s="3"/>
    </row>
    <row r="235" customFormat="false" ht="15.75" hidden="false" customHeight="false" outlineLevel="0" collapsed="false">
      <c r="L235" s="3"/>
      <c r="M235" s="3"/>
    </row>
    <row r="236" customFormat="false" ht="15.75" hidden="false" customHeight="false" outlineLevel="0" collapsed="false">
      <c r="L236" s="3"/>
      <c r="M236" s="3"/>
    </row>
    <row r="237" customFormat="false" ht="15.75" hidden="false" customHeight="false" outlineLevel="0" collapsed="false">
      <c r="L237" s="3"/>
      <c r="M237" s="3"/>
    </row>
    <row r="238" customFormat="false" ht="15.75" hidden="false" customHeight="false" outlineLevel="0" collapsed="false">
      <c r="L238" s="3"/>
      <c r="M238" s="3"/>
    </row>
    <row r="239" customFormat="false" ht="15.75" hidden="false" customHeight="false" outlineLevel="0" collapsed="false">
      <c r="L239" s="3"/>
      <c r="M239" s="3"/>
    </row>
    <row r="240" customFormat="false" ht="15.75" hidden="false" customHeight="false" outlineLevel="0" collapsed="false">
      <c r="L240" s="3"/>
      <c r="M240" s="3"/>
    </row>
    <row r="241" customFormat="false" ht="15.75" hidden="false" customHeight="false" outlineLevel="0" collapsed="false">
      <c r="L241" s="3"/>
      <c r="M241" s="3"/>
    </row>
    <row r="242" customFormat="false" ht="15.75" hidden="false" customHeight="false" outlineLevel="0" collapsed="false">
      <c r="L242" s="3"/>
      <c r="M242" s="3"/>
    </row>
    <row r="243" customFormat="false" ht="15.75" hidden="false" customHeight="false" outlineLevel="0" collapsed="false">
      <c r="L243" s="3"/>
      <c r="M243" s="3"/>
    </row>
    <row r="244" customFormat="false" ht="15.75" hidden="false" customHeight="false" outlineLevel="0" collapsed="false">
      <c r="L244" s="3"/>
      <c r="M244" s="3"/>
    </row>
    <row r="245" customFormat="false" ht="15.75" hidden="false" customHeight="false" outlineLevel="0" collapsed="false">
      <c r="L245" s="3"/>
      <c r="M245" s="3"/>
    </row>
    <row r="246" customFormat="false" ht="15.75" hidden="false" customHeight="false" outlineLevel="0" collapsed="false">
      <c r="L246" s="3"/>
      <c r="M246" s="3"/>
    </row>
    <row r="247" customFormat="false" ht="15.75" hidden="false" customHeight="false" outlineLevel="0" collapsed="false">
      <c r="L247" s="3"/>
      <c r="M247" s="3"/>
    </row>
    <row r="248" customFormat="false" ht="15.75" hidden="false" customHeight="false" outlineLevel="0" collapsed="false">
      <c r="L248" s="3"/>
      <c r="M248" s="3"/>
    </row>
    <row r="249" customFormat="false" ht="15.75" hidden="false" customHeight="false" outlineLevel="0" collapsed="false">
      <c r="L249" s="3"/>
      <c r="M249" s="3"/>
    </row>
    <row r="250" customFormat="false" ht="15.75" hidden="false" customHeight="false" outlineLevel="0" collapsed="false">
      <c r="L250" s="3"/>
      <c r="M250" s="3"/>
    </row>
    <row r="251" customFormat="false" ht="15.75" hidden="false" customHeight="false" outlineLevel="0" collapsed="false">
      <c r="L251" s="3"/>
      <c r="M251" s="3"/>
    </row>
    <row r="252" customFormat="false" ht="15.75" hidden="false" customHeight="false" outlineLevel="0" collapsed="false">
      <c r="L252" s="3"/>
      <c r="M252" s="3"/>
    </row>
    <row r="253" customFormat="false" ht="15.75" hidden="false" customHeight="false" outlineLevel="0" collapsed="false">
      <c r="L253" s="3"/>
      <c r="M253" s="3"/>
    </row>
    <row r="254" customFormat="false" ht="15.75" hidden="false" customHeight="false" outlineLevel="0" collapsed="false">
      <c r="L254" s="3"/>
      <c r="M254" s="3"/>
    </row>
    <row r="255" customFormat="false" ht="15.75" hidden="false" customHeight="false" outlineLevel="0" collapsed="false">
      <c r="L255" s="3"/>
      <c r="M255" s="3"/>
    </row>
    <row r="256" customFormat="false" ht="15.75" hidden="false" customHeight="false" outlineLevel="0" collapsed="false">
      <c r="L256" s="3"/>
      <c r="M256" s="3"/>
    </row>
    <row r="257" customFormat="false" ht="15.75" hidden="false" customHeight="false" outlineLevel="0" collapsed="false">
      <c r="L257" s="3"/>
      <c r="M257" s="3"/>
    </row>
    <row r="258" customFormat="false" ht="15.75" hidden="false" customHeight="false" outlineLevel="0" collapsed="false">
      <c r="L258" s="3"/>
      <c r="M258" s="3"/>
    </row>
    <row r="259" customFormat="false" ht="15.75" hidden="false" customHeight="false" outlineLevel="0" collapsed="false">
      <c r="L259" s="3"/>
      <c r="M259" s="3"/>
    </row>
    <row r="260" customFormat="false" ht="15.75" hidden="false" customHeight="false" outlineLevel="0" collapsed="false">
      <c r="L260" s="3"/>
      <c r="M260" s="3"/>
    </row>
    <row r="261" customFormat="false" ht="15.75" hidden="false" customHeight="false" outlineLevel="0" collapsed="false">
      <c r="L261" s="3"/>
      <c r="M261" s="3"/>
    </row>
    <row r="262" customFormat="false" ht="15.75" hidden="false" customHeight="false" outlineLevel="0" collapsed="false">
      <c r="L262" s="3"/>
      <c r="M262" s="3"/>
    </row>
    <row r="263" customFormat="false" ht="15.75" hidden="false" customHeight="false" outlineLevel="0" collapsed="false">
      <c r="L263" s="3"/>
      <c r="M263" s="3"/>
    </row>
    <row r="264" customFormat="false" ht="15.75" hidden="false" customHeight="false" outlineLevel="0" collapsed="false">
      <c r="L264" s="3"/>
      <c r="M264" s="3"/>
    </row>
    <row r="265" customFormat="false" ht="15.75" hidden="false" customHeight="false" outlineLevel="0" collapsed="false">
      <c r="L265" s="3"/>
      <c r="M265" s="3"/>
    </row>
    <row r="266" customFormat="false" ht="15.75" hidden="false" customHeight="false" outlineLevel="0" collapsed="false">
      <c r="L266" s="3"/>
      <c r="M266" s="3"/>
    </row>
    <row r="267" customFormat="false" ht="15.75" hidden="false" customHeight="false" outlineLevel="0" collapsed="false">
      <c r="L267" s="3"/>
      <c r="M267" s="3"/>
    </row>
    <row r="268" customFormat="false" ht="15.75" hidden="false" customHeight="false" outlineLevel="0" collapsed="false">
      <c r="L268" s="3"/>
      <c r="M268" s="3"/>
    </row>
    <row r="269" customFormat="false" ht="15.75" hidden="false" customHeight="false" outlineLevel="0" collapsed="false">
      <c r="L269" s="3"/>
      <c r="M269" s="3"/>
    </row>
    <row r="270" customFormat="false" ht="15.75" hidden="false" customHeight="false" outlineLevel="0" collapsed="false">
      <c r="L270" s="3"/>
      <c r="M270" s="3"/>
    </row>
    <row r="271" customFormat="false" ht="15.75" hidden="false" customHeight="false" outlineLevel="0" collapsed="false">
      <c r="L271" s="3"/>
      <c r="M271" s="3"/>
    </row>
    <row r="272" customFormat="false" ht="15.75" hidden="false" customHeight="false" outlineLevel="0" collapsed="false">
      <c r="L272" s="3"/>
      <c r="M272" s="3"/>
    </row>
    <row r="273" customFormat="false" ht="15.75" hidden="false" customHeight="false" outlineLevel="0" collapsed="false">
      <c r="L273" s="3"/>
      <c r="M273" s="3"/>
    </row>
    <row r="274" customFormat="false" ht="15.75" hidden="false" customHeight="false" outlineLevel="0" collapsed="false">
      <c r="L274" s="3"/>
      <c r="M274" s="3"/>
    </row>
    <row r="275" customFormat="false" ht="15.75" hidden="false" customHeight="false" outlineLevel="0" collapsed="false">
      <c r="L275" s="3"/>
      <c r="M275" s="3"/>
    </row>
    <row r="276" customFormat="false" ht="15.75" hidden="false" customHeight="false" outlineLevel="0" collapsed="false">
      <c r="L276" s="3"/>
      <c r="M276" s="3"/>
    </row>
    <row r="277" customFormat="false" ht="15.75" hidden="false" customHeight="false" outlineLevel="0" collapsed="false">
      <c r="L277" s="3"/>
      <c r="M277" s="3"/>
    </row>
    <row r="278" customFormat="false" ht="15.75" hidden="false" customHeight="false" outlineLevel="0" collapsed="false">
      <c r="L278" s="3"/>
      <c r="M278" s="3"/>
    </row>
    <row r="279" customFormat="false" ht="15.75" hidden="false" customHeight="false" outlineLevel="0" collapsed="false">
      <c r="L279" s="3"/>
      <c r="M279" s="3"/>
    </row>
    <row r="280" customFormat="false" ht="15.75" hidden="false" customHeight="false" outlineLevel="0" collapsed="false">
      <c r="L280" s="3"/>
      <c r="M280" s="3"/>
    </row>
    <row r="281" customFormat="false" ht="15.75" hidden="false" customHeight="false" outlineLevel="0" collapsed="false">
      <c r="L281" s="3"/>
      <c r="M281" s="3"/>
    </row>
    <row r="282" customFormat="false" ht="15.75" hidden="false" customHeight="false" outlineLevel="0" collapsed="false">
      <c r="L282" s="3"/>
      <c r="M282" s="3"/>
    </row>
    <row r="283" customFormat="false" ht="15.75" hidden="false" customHeight="false" outlineLevel="0" collapsed="false">
      <c r="L283" s="3"/>
      <c r="M283" s="3"/>
    </row>
    <row r="284" customFormat="false" ht="15.75" hidden="false" customHeight="false" outlineLevel="0" collapsed="false">
      <c r="L284" s="3"/>
      <c r="M284" s="3"/>
    </row>
    <row r="285" customFormat="false" ht="15.75" hidden="false" customHeight="false" outlineLevel="0" collapsed="false">
      <c r="L285" s="3"/>
      <c r="M285" s="3"/>
    </row>
    <row r="286" customFormat="false" ht="15.75" hidden="false" customHeight="false" outlineLevel="0" collapsed="false">
      <c r="L286" s="3"/>
      <c r="M286" s="3"/>
    </row>
    <row r="287" customFormat="false" ht="15.75" hidden="false" customHeight="false" outlineLevel="0" collapsed="false">
      <c r="L287" s="3"/>
      <c r="M287" s="3"/>
    </row>
    <row r="288" customFormat="false" ht="15.75" hidden="false" customHeight="false" outlineLevel="0" collapsed="false">
      <c r="L288" s="3"/>
      <c r="M288" s="3"/>
    </row>
    <row r="289" customFormat="false" ht="15.75" hidden="false" customHeight="false" outlineLevel="0" collapsed="false">
      <c r="L289" s="3"/>
      <c r="M289" s="3"/>
    </row>
    <row r="290" customFormat="false" ht="15.75" hidden="false" customHeight="false" outlineLevel="0" collapsed="false">
      <c r="L290" s="3"/>
      <c r="M290" s="3"/>
    </row>
    <row r="291" customFormat="false" ht="15.75" hidden="false" customHeight="false" outlineLevel="0" collapsed="false">
      <c r="L291" s="3"/>
      <c r="M291" s="3"/>
    </row>
    <row r="292" customFormat="false" ht="15.75" hidden="false" customHeight="false" outlineLevel="0" collapsed="false">
      <c r="L292" s="3"/>
      <c r="M292" s="3"/>
    </row>
    <row r="293" customFormat="false" ht="15.75" hidden="false" customHeight="false" outlineLevel="0" collapsed="false">
      <c r="L293" s="3"/>
      <c r="M293" s="3"/>
    </row>
    <row r="294" customFormat="false" ht="15.75" hidden="false" customHeight="false" outlineLevel="0" collapsed="false">
      <c r="L294" s="3"/>
      <c r="M294" s="3"/>
    </row>
    <row r="295" customFormat="false" ht="15.75" hidden="false" customHeight="false" outlineLevel="0" collapsed="false">
      <c r="L295" s="3"/>
      <c r="M295" s="3"/>
    </row>
    <row r="296" customFormat="false" ht="15.75" hidden="false" customHeight="false" outlineLevel="0" collapsed="false">
      <c r="L296" s="3"/>
      <c r="M296" s="3"/>
    </row>
    <row r="297" customFormat="false" ht="15.75" hidden="false" customHeight="false" outlineLevel="0" collapsed="false">
      <c r="L297" s="3"/>
      <c r="M297" s="3"/>
    </row>
    <row r="298" customFormat="false" ht="15.75" hidden="false" customHeight="false" outlineLevel="0" collapsed="false">
      <c r="L298" s="3"/>
      <c r="M298" s="3"/>
    </row>
    <row r="299" customFormat="false" ht="15.75" hidden="false" customHeight="false" outlineLevel="0" collapsed="false">
      <c r="L299" s="3"/>
      <c r="M299" s="3"/>
    </row>
    <row r="300" customFormat="false" ht="15.75" hidden="false" customHeight="false" outlineLevel="0" collapsed="false">
      <c r="L300" s="3"/>
      <c r="M300" s="3"/>
    </row>
    <row r="301" customFormat="false" ht="15.75" hidden="false" customHeight="false" outlineLevel="0" collapsed="false">
      <c r="L301" s="3"/>
      <c r="M301" s="3"/>
    </row>
    <row r="302" customFormat="false" ht="15.75" hidden="false" customHeight="false" outlineLevel="0" collapsed="false">
      <c r="L302" s="3"/>
      <c r="M302" s="3"/>
    </row>
    <row r="303" customFormat="false" ht="15.75" hidden="false" customHeight="false" outlineLevel="0" collapsed="false">
      <c r="L303" s="3"/>
      <c r="M303" s="3"/>
    </row>
    <row r="304" customFormat="false" ht="15.75" hidden="false" customHeight="false" outlineLevel="0" collapsed="false">
      <c r="L304" s="3"/>
      <c r="M304" s="3"/>
    </row>
    <row r="305" customFormat="false" ht="15.75" hidden="false" customHeight="false" outlineLevel="0" collapsed="false">
      <c r="L305" s="3"/>
      <c r="M305" s="3"/>
    </row>
    <row r="306" customFormat="false" ht="15.75" hidden="false" customHeight="false" outlineLevel="0" collapsed="false">
      <c r="L306" s="3"/>
      <c r="M306" s="3"/>
    </row>
    <row r="307" customFormat="false" ht="15.75" hidden="false" customHeight="false" outlineLevel="0" collapsed="false">
      <c r="L307" s="3"/>
      <c r="M307" s="3"/>
    </row>
    <row r="308" customFormat="false" ht="15.75" hidden="false" customHeight="false" outlineLevel="0" collapsed="false">
      <c r="L308" s="3"/>
      <c r="M308" s="3"/>
    </row>
    <row r="309" customFormat="false" ht="15.75" hidden="false" customHeight="false" outlineLevel="0" collapsed="false">
      <c r="L309" s="3"/>
      <c r="M309" s="3"/>
    </row>
    <row r="310" customFormat="false" ht="15.75" hidden="false" customHeight="false" outlineLevel="0" collapsed="false">
      <c r="L310" s="3"/>
      <c r="M310" s="3"/>
    </row>
    <row r="311" customFormat="false" ht="15.75" hidden="false" customHeight="false" outlineLevel="0" collapsed="false">
      <c r="L311" s="3"/>
      <c r="M311" s="3"/>
    </row>
    <row r="312" customFormat="false" ht="15.75" hidden="false" customHeight="false" outlineLevel="0" collapsed="false">
      <c r="L312" s="3"/>
      <c r="M312" s="3"/>
    </row>
    <row r="313" customFormat="false" ht="15.75" hidden="false" customHeight="false" outlineLevel="0" collapsed="false">
      <c r="L313" s="3"/>
      <c r="M313" s="3"/>
    </row>
    <row r="314" customFormat="false" ht="15.75" hidden="false" customHeight="false" outlineLevel="0" collapsed="false">
      <c r="L314" s="3"/>
      <c r="M314" s="3"/>
    </row>
    <row r="315" customFormat="false" ht="15.75" hidden="false" customHeight="false" outlineLevel="0" collapsed="false">
      <c r="L315" s="3"/>
      <c r="M315" s="3"/>
    </row>
    <row r="316" customFormat="false" ht="15.75" hidden="false" customHeight="false" outlineLevel="0" collapsed="false">
      <c r="L316" s="3"/>
      <c r="M316" s="3"/>
    </row>
    <row r="317" customFormat="false" ht="15.75" hidden="false" customHeight="false" outlineLevel="0" collapsed="false">
      <c r="L317" s="3"/>
      <c r="M317" s="3"/>
    </row>
    <row r="318" customFormat="false" ht="15.75" hidden="false" customHeight="false" outlineLevel="0" collapsed="false">
      <c r="L318" s="3"/>
      <c r="M318" s="3"/>
    </row>
    <row r="319" customFormat="false" ht="15.75" hidden="false" customHeight="false" outlineLevel="0" collapsed="false">
      <c r="L319" s="3"/>
      <c r="M319" s="3"/>
    </row>
    <row r="320" customFormat="false" ht="15.75" hidden="false" customHeight="false" outlineLevel="0" collapsed="false">
      <c r="L320" s="3"/>
      <c r="M320" s="3"/>
    </row>
    <row r="321" customFormat="false" ht="15.75" hidden="false" customHeight="false" outlineLevel="0" collapsed="false">
      <c r="L321" s="3"/>
      <c r="M321" s="3"/>
    </row>
    <row r="322" customFormat="false" ht="15.75" hidden="false" customHeight="false" outlineLevel="0" collapsed="false">
      <c r="L322" s="3"/>
      <c r="M322" s="3"/>
    </row>
    <row r="323" customFormat="false" ht="15.75" hidden="false" customHeight="false" outlineLevel="0" collapsed="false">
      <c r="L323" s="3"/>
      <c r="M323" s="3"/>
    </row>
    <row r="324" customFormat="false" ht="15.75" hidden="false" customHeight="false" outlineLevel="0" collapsed="false">
      <c r="L324" s="3"/>
      <c r="M324" s="3"/>
    </row>
    <row r="325" customFormat="false" ht="15.75" hidden="false" customHeight="false" outlineLevel="0" collapsed="false">
      <c r="L325" s="3"/>
      <c r="M325" s="3"/>
    </row>
    <row r="326" customFormat="false" ht="15.75" hidden="false" customHeight="false" outlineLevel="0" collapsed="false">
      <c r="L326" s="3"/>
      <c r="M326" s="3"/>
    </row>
    <row r="327" customFormat="false" ht="15.75" hidden="false" customHeight="false" outlineLevel="0" collapsed="false">
      <c r="L327" s="3"/>
      <c r="M327" s="3"/>
    </row>
    <row r="328" customFormat="false" ht="15.75" hidden="false" customHeight="false" outlineLevel="0" collapsed="false">
      <c r="L328" s="3"/>
      <c r="M328" s="3"/>
    </row>
    <row r="329" customFormat="false" ht="15.75" hidden="false" customHeight="false" outlineLevel="0" collapsed="false">
      <c r="L329" s="3"/>
      <c r="M329" s="3"/>
    </row>
    <row r="330" customFormat="false" ht="15.75" hidden="false" customHeight="false" outlineLevel="0" collapsed="false">
      <c r="L330" s="3"/>
      <c r="M330" s="3"/>
    </row>
    <row r="331" customFormat="false" ht="15.75" hidden="false" customHeight="false" outlineLevel="0" collapsed="false">
      <c r="L331" s="3"/>
      <c r="M331" s="3"/>
    </row>
    <row r="332" customFormat="false" ht="15.75" hidden="false" customHeight="false" outlineLevel="0" collapsed="false">
      <c r="L332" s="3"/>
      <c r="M332" s="3"/>
    </row>
    <row r="333" customFormat="false" ht="15.75" hidden="false" customHeight="false" outlineLevel="0" collapsed="false">
      <c r="L333" s="3"/>
      <c r="M333" s="3"/>
    </row>
    <row r="334" customFormat="false" ht="15.75" hidden="false" customHeight="false" outlineLevel="0" collapsed="false">
      <c r="L334" s="3"/>
      <c r="M334" s="3"/>
    </row>
    <row r="335" customFormat="false" ht="15.75" hidden="false" customHeight="false" outlineLevel="0" collapsed="false">
      <c r="L335" s="3"/>
      <c r="M335" s="3"/>
    </row>
    <row r="336" customFormat="false" ht="15.75" hidden="false" customHeight="false" outlineLevel="0" collapsed="false">
      <c r="L336" s="3"/>
      <c r="M336" s="3"/>
    </row>
    <row r="337" customFormat="false" ht="15.75" hidden="false" customHeight="false" outlineLevel="0" collapsed="false">
      <c r="L337" s="3"/>
      <c r="M337" s="3"/>
    </row>
    <row r="338" customFormat="false" ht="15.75" hidden="false" customHeight="false" outlineLevel="0" collapsed="false">
      <c r="L338" s="3"/>
      <c r="M338" s="3"/>
    </row>
    <row r="339" customFormat="false" ht="15.75" hidden="false" customHeight="false" outlineLevel="0" collapsed="false">
      <c r="L339" s="3"/>
      <c r="M339" s="3"/>
    </row>
    <row r="340" customFormat="false" ht="15.75" hidden="false" customHeight="false" outlineLevel="0" collapsed="false">
      <c r="L340" s="3"/>
      <c r="M340" s="3"/>
    </row>
    <row r="341" customFormat="false" ht="15.75" hidden="false" customHeight="false" outlineLevel="0" collapsed="false">
      <c r="L341" s="3"/>
      <c r="M341" s="3"/>
    </row>
    <row r="342" customFormat="false" ht="15.75" hidden="false" customHeight="false" outlineLevel="0" collapsed="false">
      <c r="L342" s="3"/>
      <c r="M342" s="3"/>
    </row>
    <row r="343" customFormat="false" ht="15.75" hidden="false" customHeight="false" outlineLevel="0" collapsed="false">
      <c r="L343" s="3"/>
      <c r="M343" s="3"/>
    </row>
    <row r="344" customFormat="false" ht="15.75" hidden="false" customHeight="false" outlineLevel="0" collapsed="false">
      <c r="L344" s="3"/>
      <c r="M344" s="3"/>
    </row>
    <row r="345" customFormat="false" ht="15.75" hidden="false" customHeight="false" outlineLevel="0" collapsed="false">
      <c r="L345" s="3"/>
      <c r="M345" s="3"/>
    </row>
    <row r="346" customFormat="false" ht="15.75" hidden="false" customHeight="false" outlineLevel="0" collapsed="false">
      <c r="L346" s="3"/>
      <c r="M346" s="3"/>
    </row>
    <row r="347" customFormat="false" ht="15.75" hidden="false" customHeight="false" outlineLevel="0" collapsed="false">
      <c r="L347" s="3"/>
      <c r="M347" s="3"/>
    </row>
    <row r="348" customFormat="false" ht="15.75" hidden="false" customHeight="false" outlineLevel="0" collapsed="false">
      <c r="L348" s="3"/>
      <c r="M348" s="3"/>
    </row>
    <row r="349" customFormat="false" ht="15.75" hidden="false" customHeight="false" outlineLevel="0" collapsed="false">
      <c r="L349" s="3"/>
      <c r="M349" s="3"/>
    </row>
    <row r="350" customFormat="false" ht="15.75" hidden="false" customHeight="false" outlineLevel="0" collapsed="false">
      <c r="L350" s="3"/>
      <c r="M350" s="3"/>
    </row>
    <row r="351" customFormat="false" ht="15.75" hidden="false" customHeight="false" outlineLevel="0" collapsed="false">
      <c r="L351" s="3"/>
      <c r="M351" s="3"/>
    </row>
    <row r="352" customFormat="false" ht="15.75" hidden="false" customHeight="false" outlineLevel="0" collapsed="false">
      <c r="L352" s="3"/>
      <c r="M352" s="3"/>
    </row>
    <row r="353" customFormat="false" ht="15.75" hidden="false" customHeight="false" outlineLevel="0" collapsed="false">
      <c r="L353" s="3"/>
      <c r="M353" s="3"/>
    </row>
    <row r="354" customFormat="false" ht="15.75" hidden="false" customHeight="false" outlineLevel="0" collapsed="false">
      <c r="L354" s="3"/>
      <c r="M354" s="3"/>
    </row>
    <row r="355" customFormat="false" ht="15.75" hidden="false" customHeight="false" outlineLevel="0" collapsed="false">
      <c r="L355" s="3"/>
      <c r="M355" s="3"/>
    </row>
    <row r="356" customFormat="false" ht="15.75" hidden="false" customHeight="false" outlineLevel="0" collapsed="false">
      <c r="L356" s="3"/>
      <c r="M356" s="3"/>
    </row>
    <row r="357" customFormat="false" ht="15.75" hidden="false" customHeight="false" outlineLevel="0" collapsed="false">
      <c r="L357" s="3"/>
      <c r="M357" s="3"/>
    </row>
    <row r="358" customFormat="false" ht="15.75" hidden="false" customHeight="false" outlineLevel="0" collapsed="false">
      <c r="L358" s="3"/>
      <c r="M358" s="3"/>
    </row>
    <row r="359" customFormat="false" ht="15.75" hidden="false" customHeight="false" outlineLevel="0" collapsed="false">
      <c r="L359" s="3"/>
      <c r="M359" s="3"/>
    </row>
    <row r="360" customFormat="false" ht="15.75" hidden="false" customHeight="false" outlineLevel="0" collapsed="false">
      <c r="L360" s="3"/>
      <c r="M360" s="3"/>
    </row>
    <row r="361" customFormat="false" ht="15.75" hidden="false" customHeight="false" outlineLevel="0" collapsed="false">
      <c r="L361" s="3"/>
      <c r="M361" s="3"/>
    </row>
    <row r="362" customFormat="false" ht="15.75" hidden="false" customHeight="false" outlineLevel="0" collapsed="false">
      <c r="L362" s="3"/>
      <c r="M362" s="3"/>
    </row>
    <row r="363" customFormat="false" ht="15.75" hidden="false" customHeight="false" outlineLevel="0" collapsed="false">
      <c r="L363" s="3"/>
      <c r="M363" s="3"/>
    </row>
    <row r="364" customFormat="false" ht="15.75" hidden="false" customHeight="false" outlineLevel="0" collapsed="false">
      <c r="L364" s="3"/>
      <c r="M364" s="3"/>
    </row>
    <row r="365" customFormat="false" ht="15.75" hidden="false" customHeight="false" outlineLevel="0" collapsed="false">
      <c r="L365" s="3"/>
      <c r="M365" s="3"/>
    </row>
    <row r="366" customFormat="false" ht="15.75" hidden="false" customHeight="false" outlineLevel="0" collapsed="false">
      <c r="L366" s="3"/>
      <c r="M366" s="3"/>
    </row>
    <row r="367" customFormat="false" ht="15.75" hidden="false" customHeight="false" outlineLevel="0" collapsed="false">
      <c r="L367" s="3"/>
      <c r="M367" s="3"/>
    </row>
    <row r="368" customFormat="false" ht="15.75" hidden="false" customHeight="false" outlineLevel="0" collapsed="false">
      <c r="L368" s="3"/>
      <c r="M368" s="3"/>
    </row>
    <row r="369" customFormat="false" ht="15.75" hidden="false" customHeight="false" outlineLevel="0" collapsed="false">
      <c r="L369" s="3"/>
      <c r="M369" s="3"/>
    </row>
    <row r="370" customFormat="false" ht="15.75" hidden="false" customHeight="false" outlineLevel="0" collapsed="false">
      <c r="L370" s="3"/>
      <c r="M370" s="3"/>
    </row>
    <row r="371" customFormat="false" ht="15.75" hidden="false" customHeight="false" outlineLevel="0" collapsed="false">
      <c r="L371" s="3"/>
      <c r="M371" s="3"/>
    </row>
    <row r="372" customFormat="false" ht="15.75" hidden="false" customHeight="false" outlineLevel="0" collapsed="false">
      <c r="L372" s="3"/>
      <c r="M372" s="3"/>
    </row>
    <row r="373" customFormat="false" ht="15.75" hidden="false" customHeight="false" outlineLevel="0" collapsed="false">
      <c r="L373" s="3"/>
      <c r="M373" s="3"/>
    </row>
    <row r="374" customFormat="false" ht="15.75" hidden="false" customHeight="false" outlineLevel="0" collapsed="false">
      <c r="L374" s="3"/>
      <c r="M374" s="3"/>
    </row>
    <row r="375" customFormat="false" ht="15.75" hidden="false" customHeight="false" outlineLevel="0" collapsed="false">
      <c r="L375" s="3"/>
      <c r="M375" s="3"/>
    </row>
    <row r="376" customFormat="false" ht="15.75" hidden="false" customHeight="false" outlineLevel="0" collapsed="false">
      <c r="L376" s="3"/>
      <c r="M376" s="3"/>
    </row>
    <row r="377" customFormat="false" ht="15.75" hidden="false" customHeight="false" outlineLevel="0" collapsed="false">
      <c r="L377" s="3"/>
      <c r="M377" s="3"/>
    </row>
    <row r="378" customFormat="false" ht="15.75" hidden="false" customHeight="false" outlineLevel="0" collapsed="false">
      <c r="L378" s="3"/>
      <c r="M378" s="3"/>
    </row>
    <row r="379" customFormat="false" ht="15.75" hidden="false" customHeight="false" outlineLevel="0" collapsed="false">
      <c r="L379" s="3"/>
      <c r="M379" s="3"/>
    </row>
    <row r="380" customFormat="false" ht="15.75" hidden="false" customHeight="false" outlineLevel="0" collapsed="false">
      <c r="L380" s="3"/>
      <c r="M380" s="3"/>
    </row>
    <row r="381" customFormat="false" ht="15.75" hidden="false" customHeight="false" outlineLevel="0" collapsed="false">
      <c r="L381" s="3"/>
      <c r="M381" s="3"/>
    </row>
    <row r="382" customFormat="false" ht="15.75" hidden="false" customHeight="false" outlineLevel="0" collapsed="false">
      <c r="L382" s="3"/>
      <c r="M382" s="3"/>
    </row>
    <row r="383" customFormat="false" ht="15.75" hidden="false" customHeight="false" outlineLevel="0" collapsed="false">
      <c r="L383" s="3"/>
      <c r="M383" s="3"/>
    </row>
    <row r="384" customFormat="false" ht="15.75" hidden="false" customHeight="false" outlineLevel="0" collapsed="false">
      <c r="L384" s="3"/>
      <c r="M384" s="3"/>
    </row>
    <row r="385" customFormat="false" ht="15.75" hidden="false" customHeight="false" outlineLevel="0" collapsed="false">
      <c r="L385" s="3"/>
      <c r="M385" s="3"/>
    </row>
    <row r="386" customFormat="false" ht="15.75" hidden="false" customHeight="false" outlineLevel="0" collapsed="false">
      <c r="L386" s="3"/>
      <c r="M386" s="3"/>
    </row>
    <row r="387" customFormat="false" ht="15.75" hidden="false" customHeight="false" outlineLevel="0" collapsed="false">
      <c r="L387" s="3"/>
      <c r="M387" s="3"/>
    </row>
    <row r="388" customFormat="false" ht="15.75" hidden="false" customHeight="false" outlineLevel="0" collapsed="false">
      <c r="L388" s="3"/>
      <c r="M388" s="3"/>
    </row>
    <row r="389" customFormat="false" ht="15.75" hidden="false" customHeight="false" outlineLevel="0" collapsed="false">
      <c r="L389" s="3"/>
      <c r="M389" s="3"/>
    </row>
    <row r="390" customFormat="false" ht="15.75" hidden="false" customHeight="false" outlineLevel="0" collapsed="false">
      <c r="L390" s="3"/>
      <c r="M390" s="3"/>
    </row>
    <row r="391" customFormat="false" ht="15.75" hidden="false" customHeight="false" outlineLevel="0" collapsed="false">
      <c r="L391" s="3"/>
      <c r="M391" s="3"/>
    </row>
    <row r="392" customFormat="false" ht="15.75" hidden="false" customHeight="false" outlineLevel="0" collapsed="false">
      <c r="L392" s="3"/>
      <c r="M392" s="3"/>
    </row>
    <row r="393" customFormat="false" ht="15.75" hidden="false" customHeight="false" outlineLevel="0" collapsed="false">
      <c r="L393" s="3"/>
      <c r="M393" s="3"/>
    </row>
    <row r="394" customFormat="false" ht="15.75" hidden="false" customHeight="false" outlineLevel="0" collapsed="false">
      <c r="L394" s="3"/>
      <c r="M394" s="3"/>
    </row>
    <row r="395" customFormat="false" ht="15.75" hidden="false" customHeight="false" outlineLevel="0" collapsed="false">
      <c r="L395" s="3"/>
      <c r="M395" s="3"/>
    </row>
    <row r="396" customFormat="false" ht="15.75" hidden="false" customHeight="false" outlineLevel="0" collapsed="false">
      <c r="L396" s="3"/>
      <c r="M396" s="3"/>
    </row>
    <row r="397" customFormat="false" ht="15.75" hidden="false" customHeight="false" outlineLevel="0" collapsed="false">
      <c r="L397" s="3"/>
      <c r="M397" s="3"/>
    </row>
    <row r="398" customFormat="false" ht="15.75" hidden="false" customHeight="false" outlineLevel="0" collapsed="false">
      <c r="L398" s="3"/>
      <c r="M398" s="3"/>
    </row>
    <row r="399" customFormat="false" ht="15.75" hidden="false" customHeight="false" outlineLevel="0" collapsed="false">
      <c r="L399" s="3"/>
      <c r="M399" s="3"/>
    </row>
    <row r="400" customFormat="false" ht="15.75" hidden="false" customHeight="false" outlineLevel="0" collapsed="false">
      <c r="L400" s="3"/>
      <c r="M400" s="3"/>
    </row>
    <row r="401" customFormat="false" ht="15.75" hidden="false" customHeight="false" outlineLevel="0" collapsed="false">
      <c r="L401" s="3"/>
      <c r="M401" s="3"/>
    </row>
    <row r="402" customFormat="false" ht="15.75" hidden="false" customHeight="false" outlineLevel="0" collapsed="false">
      <c r="L402" s="3"/>
      <c r="M402" s="3"/>
    </row>
    <row r="403" customFormat="false" ht="15.75" hidden="false" customHeight="false" outlineLevel="0" collapsed="false">
      <c r="L403" s="3"/>
      <c r="M403" s="3"/>
    </row>
    <row r="404" customFormat="false" ht="15.75" hidden="false" customHeight="false" outlineLevel="0" collapsed="false">
      <c r="L404" s="3"/>
      <c r="M404" s="3"/>
    </row>
    <row r="405" customFormat="false" ht="15.75" hidden="false" customHeight="false" outlineLevel="0" collapsed="false">
      <c r="L405" s="3"/>
      <c r="M405" s="3"/>
    </row>
    <row r="406" customFormat="false" ht="15.75" hidden="false" customHeight="false" outlineLevel="0" collapsed="false">
      <c r="L406" s="3"/>
      <c r="M406" s="3"/>
    </row>
    <row r="407" customFormat="false" ht="15.75" hidden="false" customHeight="false" outlineLevel="0" collapsed="false">
      <c r="L407" s="3"/>
      <c r="M407" s="3"/>
    </row>
    <row r="408" customFormat="false" ht="15.75" hidden="false" customHeight="false" outlineLevel="0" collapsed="false">
      <c r="L408" s="3"/>
      <c r="M408" s="3"/>
    </row>
    <row r="409" customFormat="false" ht="15.75" hidden="false" customHeight="false" outlineLevel="0" collapsed="false">
      <c r="L409" s="3"/>
      <c r="M409" s="3"/>
    </row>
    <row r="410" customFormat="false" ht="15.75" hidden="false" customHeight="false" outlineLevel="0" collapsed="false">
      <c r="L410" s="3"/>
      <c r="M410" s="3"/>
    </row>
    <row r="411" customFormat="false" ht="15.75" hidden="false" customHeight="false" outlineLevel="0" collapsed="false">
      <c r="L411" s="3"/>
      <c r="M411" s="3"/>
    </row>
    <row r="412" customFormat="false" ht="15.75" hidden="false" customHeight="false" outlineLevel="0" collapsed="false">
      <c r="L412" s="3"/>
      <c r="M412" s="3"/>
    </row>
    <row r="413" customFormat="false" ht="15.75" hidden="false" customHeight="false" outlineLevel="0" collapsed="false">
      <c r="L413" s="3"/>
      <c r="M413" s="3"/>
    </row>
    <row r="414" customFormat="false" ht="15.75" hidden="false" customHeight="false" outlineLevel="0" collapsed="false">
      <c r="L414" s="3"/>
      <c r="M414" s="3"/>
    </row>
    <row r="415" customFormat="false" ht="15.75" hidden="false" customHeight="false" outlineLevel="0" collapsed="false">
      <c r="L415" s="3"/>
      <c r="M415" s="3"/>
    </row>
    <row r="416" customFormat="false" ht="15.75" hidden="false" customHeight="false" outlineLevel="0" collapsed="false">
      <c r="L416" s="3"/>
      <c r="M416" s="3"/>
    </row>
    <row r="417" customFormat="false" ht="15.75" hidden="false" customHeight="false" outlineLevel="0" collapsed="false">
      <c r="L417" s="3"/>
      <c r="M417" s="3"/>
    </row>
    <row r="418" customFormat="false" ht="15.75" hidden="false" customHeight="false" outlineLevel="0" collapsed="false">
      <c r="L418" s="3"/>
      <c r="M418" s="3"/>
    </row>
    <row r="419" customFormat="false" ht="15.75" hidden="false" customHeight="false" outlineLevel="0" collapsed="false">
      <c r="L419" s="3"/>
      <c r="M419" s="3"/>
    </row>
    <row r="420" customFormat="false" ht="15.75" hidden="false" customHeight="false" outlineLevel="0" collapsed="false">
      <c r="L420" s="3"/>
      <c r="M420" s="3"/>
    </row>
    <row r="421" customFormat="false" ht="15.75" hidden="false" customHeight="false" outlineLevel="0" collapsed="false">
      <c r="L421" s="3"/>
      <c r="M421" s="3"/>
    </row>
    <row r="422" customFormat="false" ht="15.75" hidden="false" customHeight="false" outlineLevel="0" collapsed="false">
      <c r="L422" s="3"/>
      <c r="M422" s="3"/>
    </row>
    <row r="423" customFormat="false" ht="15.75" hidden="false" customHeight="false" outlineLevel="0" collapsed="false">
      <c r="L423" s="3"/>
      <c r="M423" s="3"/>
    </row>
    <row r="424" customFormat="false" ht="15.75" hidden="false" customHeight="false" outlineLevel="0" collapsed="false">
      <c r="L424" s="3"/>
      <c r="M424" s="3"/>
    </row>
    <row r="425" customFormat="false" ht="15.75" hidden="false" customHeight="false" outlineLevel="0" collapsed="false">
      <c r="L425" s="3"/>
      <c r="M425" s="3"/>
    </row>
    <row r="426" customFormat="false" ht="15.75" hidden="false" customHeight="false" outlineLevel="0" collapsed="false">
      <c r="L426" s="3"/>
      <c r="M426" s="3"/>
    </row>
    <row r="427" customFormat="false" ht="15.75" hidden="false" customHeight="false" outlineLevel="0" collapsed="false">
      <c r="L427" s="3"/>
      <c r="M427" s="3"/>
    </row>
    <row r="428" customFormat="false" ht="15.75" hidden="false" customHeight="false" outlineLevel="0" collapsed="false">
      <c r="L428" s="3"/>
      <c r="M428" s="3"/>
    </row>
    <row r="429" customFormat="false" ht="15.75" hidden="false" customHeight="false" outlineLevel="0" collapsed="false">
      <c r="L429" s="3"/>
      <c r="M429" s="3"/>
    </row>
    <row r="430" customFormat="false" ht="15.75" hidden="false" customHeight="false" outlineLevel="0" collapsed="false">
      <c r="L430" s="3"/>
      <c r="M430" s="3"/>
    </row>
    <row r="431" customFormat="false" ht="15.75" hidden="false" customHeight="false" outlineLevel="0" collapsed="false">
      <c r="L431" s="3"/>
      <c r="M431" s="3"/>
    </row>
    <row r="432" customFormat="false" ht="15.75" hidden="false" customHeight="false" outlineLevel="0" collapsed="false">
      <c r="L432" s="3"/>
      <c r="M432" s="3"/>
    </row>
    <row r="433" customFormat="false" ht="15.75" hidden="false" customHeight="false" outlineLevel="0" collapsed="false">
      <c r="L433" s="3"/>
      <c r="M433" s="3"/>
    </row>
    <row r="434" customFormat="false" ht="15.75" hidden="false" customHeight="false" outlineLevel="0" collapsed="false">
      <c r="L434" s="3"/>
      <c r="M434" s="3"/>
    </row>
    <row r="435" customFormat="false" ht="15.75" hidden="false" customHeight="false" outlineLevel="0" collapsed="false">
      <c r="L435" s="3"/>
      <c r="M435" s="3"/>
    </row>
    <row r="436" customFormat="false" ht="15.75" hidden="false" customHeight="false" outlineLevel="0" collapsed="false">
      <c r="L436" s="3"/>
      <c r="M436" s="3"/>
    </row>
    <row r="437" customFormat="false" ht="15.75" hidden="false" customHeight="false" outlineLevel="0" collapsed="false">
      <c r="L437" s="3"/>
      <c r="M437" s="3"/>
    </row>
    <row r="438" customFormat="false" ht="15.75" hidden="false" customHeight="false" outlineLevel="0" collapsed="false">
      <c r="L438" s="3"/>
      <c r="M438" s="3"/>
    </row>
    <row r="439" customFormat="false" ht="15.75" hidden="false" customHeight="false" outlineLevel="0" collapsed="false">
      <c r="L439" s="3"/>
      <c r="M439" s="3"/>
    </row>
    <row r="440" customFormat="false" ht="15.75" hidden="false" customHeight="false" outlineLevel="0" collapsed="false">
      <c r="L440" s="3"/>
      <c r="M440" s="3"/>
    </row>
    <row r="441" customFormat="false" ht="15.75" hidden="false" customHeight="false" outlineLevel="0" collapsed="false">
      <c r="L441" s="3"/>
      <c r="M441" s="3"/>
    </row>
    <row r="442" customFormat="false" ht="15.75" hidden="false" customHeight="false" outlineLevel="0" collapsed="false">
      <c r="L442" s="3"/>
      <c r="M442" s="3"/>
    </row>
    <row r="443" customFormat="false" ht="15.75" hidden="false" customHeight="false" outlineLevel="0" collapsed="false">
      <c r="L443" s="3"/>
      <c r="M443" s="3"/>
    </row>
    <row r="444" customFormat="false" ht="15.75" hidden="false" customHeight="false" outlineLevel="0" collapsed="false">
      <c r="L444" s="3"/>
      <c r="M444" s="3"/>
    </row>
    <row r="445" customFormat="false" ht="15.75" hidden="false" customHeight="false" outlineLevel="0" collapsed="false">
      <c r="L445" s="3"/>
      <c r="M445" s="3"/>
    </row>
    <row r="446" customFormat="false" ht="15.75" hidden="false" customHeight="false" outlineLevel="0" collapsed="false">
      <c r="L446" s="3"/>
      <c r="M446" s="3"/>
    </row>
    <row r="447" customFormat="false" ht="15.75" hidden="false" customHeight="false" outlineLevel="0" collapsed="false">
      <c r="L447" s="3"/>
      <c r="M447" s="3"/>
    </row>
    <row r="448" customFormat="false" ht="15.75" hidden="false" customHeight="false" outlineLevel="0" collapsed="false">
      <c r="L448" s="3"/>
      <c r="M448" s="3"/>
    </row>
    <row r="449" customFormat="false" ht="15.75" hidden="false" customHeight="false" outlineLevel="0" collapsed="false">
      <c r="L449" s="3"/>
      <c r="M449" s="3"/>
    </row>
    <row r="450" customFormat="false" ht="15.75" hidden="false" customHeight="false" outlineLevel="0" collapsed="false">
      <c r="L450" s="3"/>
      <c r="M450" s="3"/>
    </row>
    <row r="451" customFormat="false" ht="15.75" hidden="false" customHeight="false" outlineLevel="0" collapsed="false">
      <c r="L451" s="3"/>
      <c r="M451" s="3"/>
    </row>
    <row r="452" customFormat="false" ht="15.75" hidden="false" customHeight="false" outlineLevel="0" collapsed="false">
      <c r="L452" s="3"/>
      <c r="M452" s="3"/>
    </row>
    <row r="453" customFormat="false" ht="15.75" hidden="false" customHeight="false" outlineLevel="0" collapsed="false">
      <c r="L453" s="3"/>
      <c r="M453" s="3"/>
    </row>
    <row r="454" customFormat="false" ht="15.75" hidden="false" customHeight="false" outlineLevel="0" collapsed="false">
      <c r="L454" s="3"/>
      <c r="M454" s="3"/>
    </row>
    <row r="455" customFormat="false" ht="15.75" hidden="false" customHeight="false" outlineLevel="0" collapsed="false">
      <c r="L455" s="3"/>
      <c r="M455" s="3"/>
    </row>
    <row r="456" customFormat="false" ht="15.75" hidden="false" customHeight="false" outlineLevel="0" collapsed="false">
      <c r="L456" s="3"/>
      <c r="M456" s="3"/>
    </row>
    <row r="457" customFormat="false" ht="15.75" hidden="false" customHeight="false" outlineLevel="0" collapsed="false">
      <c r="L457" s="3"/>
      <c r="M457" s="3"/>
    </row>
    <row r="458" customFormat="false" ht="15.75" hidden="false" customHeight="false" outlineLevel="0" collapsed="false">
      <c r="L458" s="3"/>
      <c r="M458" s="3"/>
    </row>
    <row r="459" customFormat="false" ht="15.75" hidden="false" customHeight="false" outlineLevel="0" collapsed="false">
      <c r="L459" s="3"/>
      <c r="M459" s="3"/>
    </row>
    <row r="460" customFormat="false" ht="15.75" hidden="false" customHeight="false" outlineLevel="0" collapsed="false">
      <c r="L460" s="3"/>
      <c r="M460" s="3"/>
    </row>
    <row r="461" customFormat="false" ht="15.75" hidden="false" customHeight="false" outlineLevel="0" collapsed="false">
      <c r="L461" s="3"/>
      <c r="M461" s="3"/>
    </row>
    <row r="462" customFormat="false" ht="15.75" hidden="false" customHeight="false" outlineLevel="0" collapsed="false">
      <c r="L462" s="3"/>
      <c r="M462" s="3"/>
    </row>
    <row r="463" customFormat="false" ht="15.75" hidden="false" customHeight="false" outlineLevel="0" collapsed="false">
      <c r="L463" s="3"/>
      <c r="M463" s="3"/>
    </row>
    <row r="464" customFormat="false" ht="15.75" hidden="false" customHeight="false" outlineLevel="0" collapsed="false">
      <c r="L464" s="3"/>
      <c r="M464" s="3"/>
    </row>
    <row r="465" customFormat="false" ht="15.75" hidden="false" customHeight="false" outlineLevel="0" collapsed="false">
      <c r="L465" s="3"/>
      <c r="M465" s="3"/>
    </row>
    <row r="466" customFormat="false" ht="15.75" hidden="false" customHeight="false" outlineLevel="0" collapsed="false">
      <c r="L466" s="3"/>
      <c r="M466" s="3"/>
    </row>
    <row r="467" customFormat="false" ht="15.75" hidden="false" customHeight="false" outlineLevel="0" collapsed="false">
      <c r="L467" s="3"/>
      <c r="M467" s="3"/>
    </row>
    <row r="468" customFormat="false" ht="15.75" hidden="false" customHeight="false" outlineLevel="0" collapsed="false">
      <c r="L468" s="3"/>
      <c r="M468" s="3"/>
    </row>
    <row r="469" customFormat="false" ht="15.75" hidden="false" customHeight="false" outlineLevel="0" collapsed="false">
      <c r="L469" s="3"/>
      <c r="M469" s="3"/>
    </row>
    <row r="470" customFormat="false" ht="15.75" hidden="false" customHeight="false" outlineLevel="0" collapsed="false">
      <c r="L470" s="3"/>
      <c r="M470" s="3"/>
    </row>
    <row r="471" customFormat="false" ht="15.75" hidden="false" customHeight="false" outlineLevel="0" collapsed="false">
      <c r="L471" s="3"/>
      <c r="M471" s="3"/>
    </row>
    <row r="472" customFormat="false" ht="15.75" hidden="false" customHeight="false" outlineLevel="0" collapsed="false">
      <c r="L472" s="3"/>
      <c r="M472" s="3"/>
    </row>
    <row r="473" customFormat="false" ht="15.75" hidden="false" customHeight="false" outlineLevel="0" collapsed="false">
      <c r="L473" s="3"/>
      <c r="M473" s="3"/>
    </row>
    <row r="474" customFormat="false" ht="15.75" hidden="false" customHeight="false" outlineLevel="0" collapsed="false">
      <c r="L474" s="3"/>
      <c r="M474" s="3"/>
    </row>
    <row r="475" customFormat="false" ht="15.75" hidden="false" customHeight="false" outlineLevel="0" collapsed="false">
      <c r="L475" s="3"/>
      <c r="M475" s="3"/>
    </row>
    <row r="476" customFormat="false" ht="15.75" hidden="false" customHeight="false" outlineLevel="0" collapsed="false">
      <c r="L476" s="3"/>
      <c r="M476" s="3"/>
    </row>
    <row r="477" customFormat="false" ht="15.75" hidden="false" customHeight="false" outlineLevel="0" collapsed="false">
      <c r="L477" s="3"/>
      <c r="M477" s="3"/>
    </row>
    <row r="478" customFormat="false" ht="15.75" hidden="false" customHeight="false" outlineLevel="0" collapsed="false">
      <c r="L478" s="3"/>
      <c r="M478" s="3"/>
    </row>
    <row r="479" customFormat="false" ht="15.75" hidden="false" customHeight="false" outlineLevel="0" collapsed="false">
      <c r="L479" s="3"/>
      <c r="M479" s="3"/>
    </row>
    <row r="480" customFormat="false" ht="15.75" hidden="false" customHeight="false" outlineLevel="0" collapsed="false">
      <c r="L480" s="3"/>
      <c r="M480" s="3"/>
    </row>
    <row r="481" customFormat="false" ht="15.75" hidden="false" customHeight="false" outlineLevel="0" collapsed="false">
      <c r="L481" s="3"/>
      <c r="M481" s="3"/>
    </row>
    <row r="482" customFormat="false" ht="15.75" hidden="false" customHeight="false" outlineLevel="0" collapsed="false">
      <c r="L482" s="3"/>
      <c r="M482" s="3"/>
    </row>
    <row r="483" customFormat="false" ht="15.75" hidden="false" customHeight="false" outlineLevel="0" collapsed="false">
      <c r="L483" s="3"/>
      <c r="M483" s="3"/>
    </row>
    <row r="484" customFormat="false" ht="15.75" hidden="false" customHeight="false" outlineLevel="0" collapsed="false">
      <c r="L484" s="3"/>
      <c r="M484" s="3"/>
    </row>
    <row r="485" customFormat="false" ht="15.75" hidden="false" customHeight="false" outlineLevel="0" collapsed="false">
      <c r="L485" s="3"/>
      <c r="M485" s="3"/>
    </row>
    <row r="486" customFormat="false" ht="15.75" hidden="false" customHeight="false" outlineLevel="0" collapsed="false">
      <c r="L486" s="3"/>
      <c r="M486" s="3"/>
    </row>
    <row r="487" customFormat="false" ht="15.75" hidden="false" customHeight="false" outlineLevel="0" collapsed="false">
      <c r="L487" s="3"/>
      <c r="M487" s="3"/>
    </row>
    <row r="488" customFormat="false" ht="15.75" hidden="false" customHeight="false" outlineLevel="0" collapsed="false">
      <c r="L488" s="3"/>
      <c r="M488" s="3"/>
    </row>
    <row r="489" customFormat="false" ht="15.75" hidden="false" customHeight="false" outlineLevel="0" collapsed="false">
      <c r="L489" s="3"/>
      <c r="M489" s="3"/>
    </row>
    <row r="490" customFormat="false" ht="15.75" hidden="false" customHeight="false" outlineLevel="0" collapsed="false">
      <c r="L490" s="3"/>
      <c r="M490" s="3"/>
    </row>
    <row r="491" customFormat="false" ht="15.75" hidden="false" customHeight="false" outlineLevel="0" collapsed="false">
      <c r="L491" s="3"/>
      <c r="M491" s="3"/>
    </row>
    <row r="492" customFormat="false" ht="15.75" hidden="false" customHeight="false" outlineLevel="0" collapsed="false">
      <c r="L492" s="3"/>
      <c r="M492" s="3"/>
    </row>
    <row r="493" customFormat="false" ht="15.75" hidden="false" customHeight="false" outlineLevel="0" collapsed="false">
      <c r="L493" s="3"/>
      <c r="M493" s="3"/>
    </row>
    <row r="494" customFormat="false" ht="15.75" hidden="false" customHeight="false" outlineLevel="0" collapsed="false">
      <c r="L494" s="3"/>
      <c r="M494" s="3"/>
    </row>
    <row r="495" customFormat="false" ht="15.75" hidden="false" customHeight="false" outlineLevel="0" collapsed="false">
      <c r="L495" s="3"/>
      <c r="M495" s="3"/>
    </row>
    <row r="496" customFormat="false" ht="15.75" hidden="false" customHeight="false" outlineLevel="0" collapsed="false">
      <c r="L496" s="3"/>
      <c r="M496" s="3"/>
    </row>
    <row r="497" customFormat="false" ht="15.75" hidden="false" customHeight="false" outlineLevel="0" collapsed="false">
      <c r="L497" s="3"/>
      <c r="M497" s="3"/>
    </row>
    <row r="498" customFormat="false" ht="15.75" hidden="false" customHeight="false" outlineLevel="0" collapsed="false">
      <c r="L498" s="3"/>
      <c r="M498" s="3"/>
    </row>
    <row r="499" customFormat="false" ht="15.75" hidden="false" customHeight="false" outlineLevel="0" collapsed="false">
      <c r="L499" s="3"/>
      <c r="M499" s="3"/>
    </row>
    <row r="500" customFormat="false" ht="15.75" hidden="false" customHeight="false" outlineLevel="0" collapsed="false">
      <c r="L500" s="3"/>
      <c r="M500" s="3"/>
    </row>
    <row r="501" customFormat="false" ht="15.75" hidden="false" customHeight="false" outlineLevel="0" collapsed="false">
      <c r="L501" s="3"/>
      <c r="M501" s="3"/>
    </row>
    <row r="502" customFormat="false" ht="15.75" hidden="false" customHeight="false" outlineLevel="0" collapsed="false">
      <c r="L502" s="3"/>
      <c r="M502" s="3"/>
    </row>
    <row r="503" customFormat="false" ht="15.75" hidden="false" customHeight="false" outlineLevel="0" collapsed="false">
      <c r="L503" s="3"/>
      <c r="M503" s="3"/>
    </row>
    <row r="504" customFormat="false" ht="15.75" hidden="false" customHeight="false" outlineLevel="0" collapsed="false">
      <c r="L504" s="3"/>
      <c r="M504" s="3"/>
    </row>
    <row r="505" customFormat="false" ht="15.75" hidden="false" customHeight="false" outlineLevel="0" collapsed="false">
      <c r="L505" s="3"/>
      <c r="M505" s="3"/>
    </row>
    <row r="506" customFormat="false" ht="15.75" hidden="false" customHeight="false" outlineLevel="0" collapsed="false">
      <c r="L506" s="3"/>
      <c r="M506" s="3"/>
    </row>
    <row r="507" customFormat="false" ht="15.75" hidden="false" customHeight="false" outlineLevel="0" collapsed="false">
      <c r="L507" s="3"/>
      <c r="M507" s="3"/>
    </row>
    <row r="508" customFormat="false" ht="15.75" hidden="false" customHeight="false" outlineLevel="0" collapsed="false">
      <c r="L508" s="3"/>
      <c r="M508" s="3"/>
    </row>
    <row r="509" customFormat="false" ht="15.75" hidden="false" customHeight="false" outlineLevel="0" collapsed="false">
      <c r="L509" s="3"/>
      <c r="M509" s="3"/>
    </row>
    <row r="510" customFormat="false" ht="15.75" hidden="false" customHeight="false" outlineLevel="0" collapsed="false">
      <c r="L510" s="3"/>
      <c r="M510" s="3"/>
    </row>
    <row r="511" customFormat="false" ht="15.75" hidden="false" customHeight="false" outlineLevel="0" collapsed="false">
      <c r="L511" s="3"/>
      <c r="M511" s="3"/>
    </row>
    <row r="512" customFormat="false" ht="15.75" hidden="false" customHeight="false" outlineLevel="0" collapsed="false">
      <c r="L512" s="3"/>
      <c r="M512" s="3"/>
    </row>
    <row r="513" customFormat="false" ht="15.75" hidden="false" customHeight="false" outlineLevel="0" collapsed="false">
      <c r="L513" s="3"/>
      <c r="M513" s="3"/>
    </row>
    <row r="514" customFormat="false" ht="15.75" hidden="false" customHeight="false" outlineLevel="0" collapsed="false">
      <c r="L514" s="3"/>
      <c r="M514" s="3"/>
    </row>
    <row r="515" customFormat="false" ht="15.75" hidden="false" customHeight="false" outlineLevel="0" collapsed="false">
      <c r="L515" s="3"/>
      <c r="M515" s="3"/>
    </row>
    <row r="516" customFormat="false" ht="15.75" hidden="false" customHeight="false" outlineLevel="0" collapsed="false">
      <c r="L516" s="3"/>
      <c r="M516" s="3"/>
    </row>
    <row r="517" customFormat="false" ht="15.75" hidden="false" customHeight="false" outlineLevel="0" collapsed="false">
      <c r="L517" s="3"/>
      <c r="M517" s="3"/>
    </row>
    <row r="518" customFormat="false" ht="15.75" hidden="false" customHeight="false" outlineLevel="0" collapsed="false">
      <c r="L518" s="3"/>
      <c r="M518" s="3"/>
    </row>
    <row r="519" customFormat="false" ht="15.75" hidden="false" customHeight="false" outlineLevel="0" collapsed="false">
      <c r="L519" s="3"/>
      <c r="M519" s="3"/>
    </row>
    <row r="520" customFormat="false" ht="15.75" hidden="false" customHeight="false" outlineLevel="0" collapsed="false">
      <c r="L520" s="3"/>
      <c r="M520" s="3"/>
    </row>
    <row r="521" customFormat="false" ht="15.75" hidden="false" customHeight="false" outlineLevel="0" collapsed="false">
      <c r="L521" s="3"/>
      <c r="M521" s="3"/>
    </row>
    <row r="522" customFormat="false" ht="15.75" hidden="false" customHeight="false" outlineLevel="0" collapsed="false">
      <c r="L522" s="3"/>
      <c r="M522" s="3"/>
    </row>
    <row r="523" customFormat="false" ht="15.75" hidden="false" customHeight="false" outlineLevel="0" collapsed="false">
      <c r="L523" s="3"/>
      <c r="M523" s="3"/>
    </row>
    <row r="524" customFormat="false" ht="15.75" hidden="false" customHeight="false" outlineLevel="0" collapsed="false">
      <c r="L524" s="3"/>
      <c r="M524" s="3"/>
    </row>
    <row r="525" customFormat="false" ht="15.75" hidden="false" customHeight="false" outlineLevel="0" collapsed="false">
      <c r="L525" s="3"/>
      <c r="M525" s="3"/>
    </row>
    <row r="526" customFormat="false" ht="15.75" hidden="false" customHeight="false" outlineLevel="0" collapsed="false">
      <c r="L526" s="3"/>
      <c r="M526" s="3"/>
    </row>
    <row r="527" customFormat="false" ht="15.75" hidden="false" customHeight="false" outlineLevel="0" collapsed="false">
      <c r="L527" s="3"/>
      <c r="M527" s="3"/>
    </row>
    <row r="528" customFormat="false" ht="15.75" hidden="false" customHeight="false" outlineLevel="0" collapsed="false">
      <c r="L528" s="3"/>
      <c r="M528" s="3"/>
    </row>
    <row r="529" customFormat="false" ht="15.75" hidden="false" customHeight="false" outlineLevel="0" collapsed="false">
      <c r="L529" s="3"/>
      <c r="M529" s="3"/>
    </row>
    <row r="530" customFormat="false" ht="15.75" hidden="false" customHeight="false" outlineLevel="0" collapsed="false">
      <c r="L530" s="3"/>
      <c r="M530" s="3"/>
    </row>
    <row r="531" customFormat="false" ht="15.75" hidden="false" customHeight="false" outlineLevel="0" collapsed="false">
      <c r="L531" s="3"/>
      <c r="M531" s="3"/>
    </row>
    <row r="532" customFormat="false" ht="15.75" hidden="false" customHeight="false" outlineLevel="0" collapsed="false">
      <c r="L532" s="3"/>
      <c r="M532" s="3"/>
    </row>
    <row r="533" customFormat="false" ht="15.75" hidden="false" customHeight="false" outlineLevel="0" collapsed="false">
      <c r="L533" s="3"/>
      <c r="M533" s="3"/>
    </row>
    <row r="534" customFormat="false" ht="15.75" hidden="false" customHeight="false" outlineLevel="0" collapsed="false">
      <c r="L534" s="3"/>
      <c r="M534" s="3"/>
    </row>
    <row r="535" customFormat="false" ht="15.75" hidden="false" customHeight="false" outlineLevel="0" collapsed="false">
      <c r="L535" s="3"/>
      <c r="M535" s="3"/>
    </row>
    <row r="536" customFormat="false" ht="15.75" hidden="false" customHeight="false" outlineLevel="0" collapsed="false">
      <c r="L536" s="3"/>
      <c r="M536" s="3"/>
    </row>
    <row r="537" customFormat="false" ht="15.75" hidden="false" customHeight="false" outlineLevel="0" collapsed="false">
      <c r="L537" s="3"/>
      <c r="M537" s="3"/>
    </row>
    <row r="538" customFormat="false" ht="15.75" hidden="false" customHeight="false" outlineLevel="0" collapsed="false">
      <c r="L538" s="3"/>
      <c r="M538" s="3"/>
    </row>
    <row r="539" customFormat="false" ht="15.75" hidden="false" customHeight="false" outlineLevel="0" collapsed="false">
      <c r="L539" s="3"/>
      <c r="M539" s="3"/>
    </row>
    <row r="540" customFormat="false" ht="15.75" hidden="false" customHeight="false" outlineLevel="0" collapsed="false">
      <c r="L540" s="3"/>
      <c r="M540" s="3"/>
    </row>
    <row r="541" customFormat="false" ht="15.75" hidden="false" customHeight="false" outlineLevel="0" collapsed="false">
      <c r="L541" s="3"/>
      <c r="M541" s="3"/>
    </row>
    <row r="542" customFormat="false" ht="15.75" hidden="false" customHeight="false" outlineLevel="0" collapsed="false">
      <c r="L542" s="3"/>
      <c r="M542" s="3"/>
    </row>
    <row r="543" customFormat="false" ht="15.75" hidden="false" customHeight="false" outlineLevel="0" collapsed="false">
      <c r="L543" s="3"/>
      <c r="M543" s="3"/>
    </row>
    <row r="544" customFormat="false" ht="15.75" hidden="false" customHeight="false" outlineLevel="0" collapsed="false">
      <c r="L544" s="3"/>
      <c r="M544" s="3"/>
    </row>
    <row r="545" customFormat="false" ht="15.75" hidden="false" customHeight="false" outlineLevel="0" collapsed="false">
      <c r="L545" s="3"/>
      <c r="M545" s="3"/>
    </row>
    <row r="546" customFormat="false" ht="15.75" hidden="false" customHeight="false" outlineLevel="0" collapsed="false">
      <c r="L546" s="3"/>
      <c r="M546" s="3"/>
    </row>
    <row r="547" customFormat="false" ht="15.75" hidden="false" customHeight="false" outlineLevel="0" collapsed="false">
      <c r="L547" s="3"/>
      <c r="M547" s="3"/>
    </row>
    <row r="548" customFormat="false" ht="15.75" hidden="false" customHeight="false" outlineLevel="0" collapsed="false">
      <c r="L548" s="3"/>
      <c r="M548" s="3"/>
    </row>
    <row r="549" customFormat="false" ht="15.75" hidden="false" customHeight="false" outlineLevel="0" collapsed="false">
      <c r="L549" s="3"/>
      <c r="M549" s="3"/>
    </row>
    <row r="550" customFormat="false" ht="15.75" hidden="false" customHeight="false" outlineLevel="0" collapsed="false">
      <c r="L550" s="3"/>
      <c r="M550" s="3"/>
    </row>
    <row r="551" customFormat="false" ht="15.75" hidden="false" customHeight="false" outlineLevel="0" collapsed="false">
      <c r="L551" s="3"/>
      <c r="M551" s="3"/>
    </row>
    <row r="552" customFormat="false" ht="15.75" hidden="false" customHeight="false" outlineLevel="0" collapsed="false">
      <c r="L552" s="3"/>
      <c r="M552" s="3"/>
    </row>
    <row r="553" customFormat="false" ht="15.75" hidden="false" customHeight="false" outlineLevel="0" collapsed="false">
      <c r="L553" s="3"/>
      <c r="M553" s="3"/>
    </row>
    <row r="554" customFormat="false" ht="15.75" hidden="false" customHeight="false" outlineLevel="0" collapsed="false">
      <c r="L554" s="3"/>
      <c r="M554" s="3"/>
    </row>
    <row r="555" customFormat="false" ht="15.75" hidden="false" customHeight="false" outlineLevel="0" collapsed="false">
      <c r="L555" s="3"/>
      <c r="M555" s="3"/>
    </row>
    <row r="556" customFormat="false" ht="15.75" hidden="false" customHeight="false" outlineLevel="0" collapsed="false">
      <c r="L556" s="3"/>
      <c r="M556" s="3"/>
    </row>
    <row r="557" customFormat="false" ht="15.75" hidden="false" customHeight="false" outlineLevel="0" collapsed="false">
      <c r="L557" s="3"/>
      <c r="M557" s="3"/>
    </row>
    <row r="558" customFormat="false" ht="15.75" hidden="false" customHeight="false" outlineLevel="0" collapsed="false">
      <c r="L558" s="3"/>
      <c r="M558" s="3"/>
    </row>
    <row r="559" customFormat="false" ht="15.75" hidden="false" customHeight="false" outlineLevel="0" collapsed="false">
      <c r="L559" s="3"/>
      <c r="M559" s="3"/>
    </row>
    <row r="560" customFormat="false" ht="15.75" hidden="false" customHeight="false" outlineLevel="0" collapsed="false">
      <c r="L560" s="3"/>
      <c r="M560" s="3"/>
    </row>
    <row r="561" customFormat="false" ht="15.75" hidden="false" customHeight="false" outlineLevel="0" collapsed="false">
      <c r="L561" s="3"/>
      <c r="M561" s="3"/>
    </row>
    <row r="562" customFormat="false" ht="15.75" hidden="false" customHeight="false" outlineLevel="0" collapsed="false">
      <c r="L562" s="3"/>
      <c r="M562" s="3"/>
    </row>
    <row r="563" customFormat="false" ht="15.75" hidden="false" customHeight="false" outlineLevel="0" collapsed="false">
      <c r="L563" s="3"/>
      <c r="M563" s="3"/>
    </row>
    <row r="564" customFormat="false" ht="15.75" hidden="false" customHeight="false" outlineLevel="0" collapsed="false">
      <c r="L564" s="3"/>
      <c r="M564" s="3"/>
    </row>
    <row r="565" customFormat="false" ht="15.75" hidden="false" customHeight="false" outlineLevel="0" collapsed="false">
      <c r="L565" s="3"/>
      <c r="M565" s="3"/>
    </row>
    <row r="566" customFormat="false" ht="15.75" hidden="false" customHeight="false" outlineLevel="0" collapsed="false">
      <c r="L566" s="3"/>
      <c r="M566" s="3"/>
    </row>
    <row r="567" customFormat="false" ht="15.75" hidden="false" customHeight="false" outlineLevel="0" collapsed="false">
      <c r="L567" s="3"/>
      <c r="M567" s="3"/>
    </row>
    <row r="568" customFormat="false" ht="15.75" hidden="false" customHeight="false" outlineLevel="0" collapsed="false">
      <c r="L568" s="3"/>
      <c r="M568" s="3"/>
    </row>
    <row r="569" customFormat="false" ht="15.75" hidden="false" customHeight="false" outlineLevel="0" collapsed="false">
      <c r="L569" s="3"/>
      <c r="M569" s="3"/>
    </row>
    <row r="570" customFormat="false" ht="15.75" hidden="false" customHeight="false" outlineLevel="0" collapsed="false">
      <c r="L570" s="3"/>
      <c r="M570" s="3"/>
    </row>
    <row r="571" customFormat="false" ht="15.75" hidden="false" customHeight="false" outlineLevel="0" collapsed="false">
      <c r="L571" s="3"/>
      <c r="M571" s="3"/>
    </row>
    <row r="572" customFormat="false" ht="15.75" hidden="false" customHeight="false" outlineLevel="0" collapsed="false">
      <c r="L572" s="3"/>
      <c r="M572" s="3"/>
    </row>
    <row r="573" customFormat="false" ht="15.75" hidden="false" customHeight="false" outlineLevel="0" collapsed="false">
      <c r="L573" s="3"/>
      <c r="M573" s="3"/>
    </row>
    <row r="574" customFormat="false" ht="15.75" hidden="false" customHeight="false" outlineLevel="0" collapsed="false">
      <c r="L574" s="3"/>
      <c r="M574" s="3"/>
    </row>
    <row r="575" customFormat="false" ht="15.75" hidden="false" customHeight="false" outlineLevel="0" collapsed="false">
      <c r="L575" s="3"/>
      <c r="M575" s="3"/>
    </row>
    <row r="576" customFormat="false" ht="15.75" hidden="false" customHeight="false" outlineLevel="0" collapsed="false">
      <c r="L576" s="3"/>
      <c r="M576" s="3"/>
    </row>
    <row r="577" customFormat="false" ht="15.75" hidden="false" customHeight="false" outlineLevel="0" collapsed="false">
      <c r="L577" s="3"/>
      <c r="M577" s="3"/>
    </row>
    <row r="578" customFormat="false" ht="15.75" hidden="false" customHeight="false" outlineLevel="0" collapsed="false">
      <c r="L578" s="3"/>
      <c r="M578" s="3"/>
    </row>
    <row r="579" customFormat="false" ht="15.75" hidden="false" customHeight="false" outlineLevel="0" collapsed="false">
      <c r="L579" s="3"/>
      <c r="M579" s="3"/>
    </row>
    <row r="580" customFormat="false" ht="15.75" hidden="false" customHeight="false" outlineLevel="0" collapsed="false">
      <c r="L580" s="3"/>
      <c r="M580" s="3"/>
    </row>
    <row r="581" customFormat="false" ht="15.75" hidden="false" customHeight="false" outlineLevel="0" collapsed="false">
      <c r="L581" s="3"/>
      <c r="M581" s="3"/>
    </row>
    <row r="582" customFormat="false" ht="15.75" hidden="false" customHeight="false" outlineLevel="0" collapsed="false">
      <c r="L582" s="3"/>
      <c r="M582" s="3"/>
    </row>
    <row r="583" customFormat="false" ht="15.75" hidden="false" customHeight="false" outlineLevel="0" collapsed="false">
      <c r="L583" s="3"/>
      <c r="M583" s="3"/>
    </row>
    <row r="584" customFormat="false" ht="15.75" hidden="false" customHeight="false" outlineLevel="0" collapsed="false">
      <c r="L584" s="3"/>
      <c r="M584" s="3"/>
    </row>
    <row r="585" customFormat="false" ht="15.75" hidden="false" customHeight="false" outlineLevel="0" collapsed="false">
      <c r="L585" s="3"/>
      <c r="M585" s="3"/>
    </row>
    <row r="586" customFormat="false" ht="15.75" hidden="false" customHeight="false" outlineLevel="0" collapsed="false">
      <c r="L586" s="3"/>
      <c r="M586" s="3"/>
    </row>
    <row r="587" customFormat="false" ht="15.75" hidden="false" customHeight="false" outlineLevel="0" collapsed="false">
      <c r="L587" s="3"/>
      <c r="M587" s="3"/>
    </row>
    <row r="588" customFormat="false" ht="15.75" hidden="false" customHeight="false" outlineLevel="0" collapsed="false">
      <c r="L588" s="3"/>
      <c r="M588" s="3"/>
    </row>
    <row r="589" customFormat="false" ht="15.75" hidden="false" customHeight="false" outlineLevel="0" collapsed="false">
      <c r="L589" s="3"/>
      <c r="M589" s="3"/>
    </row>
    <row r="590" customFormat="false" ht="15.75" hidden="false" customHeight="false" outlineLevel="0" collapsed="false">
      <c r="L590" s="3"/>
      <c r="M590" s="3"/>
    </row>
    <row r="591" customFormat="false" ht="15.75" hidden="false" customHeight="false" outlineLevel="0" collapsed="false">
      <c r="L591" s="3"/>
      <c r="M591" s="3"/>
    </row>
    <row r="592" customFormat="false" ht="15.75" hidden="false" customHeight="false" outlineLevel="0" collapsed="false">
      <c r="L592" s="3"/>
      <c r="M592" s="3"/>
    </row>
    <row r="593" customFormat="false" ht="15.75" hidden="false" customHeight="false" outlineLevel="0" collapsed="false">
      <c r="L593" s="3"/>
      <c r="M593" s="3"/>
    </row>
    <row r="594" customFormat="false" ht="15.75" hidden="false" customHeight="false" outlineLevel="0" collapsed="false">
      <c r="L594" s="3"/>
      <c r="M594" s="3"/>
    </row>
    <row r="595" customFormat="false" ht="15.75" hidden="false" customHeight="false" outlineLevel="0" collapsed="false">
      <c r="L595" s="3"/>
      <c r="M595" s="3"/>
    </row>
    <row r="596" customFormat="false" ht="15.75" hidden="false" customHeight="false" outlineLevel="0" collapsed="false">
      <c r="L596" s="3"/>
      <c r="M596" s="3"/>
    </row>
    <row r="597" customFormat="false" ht="15.75" hidden="false" customHeight="false" outlineLevel="0" collapsed="false">
      <c r="L597" s="3"/>
      <c r="M597" s="3"/>
    </row>
    <row r="598" customFormat="false" ht="15.75" hidden="false" customHeight="false" outlineLevel="0" collapsed="false">
      <c r="L598" s="3"/>
      <c r="M598" s="3"/>
    </row>
    <row r="599" customFormat="false" ht="15.75" hidden="false" customHeight="false" outlineLevel="0" collapsed="false">
      <c r="L599" s="3"/>
      <c r="M599" s="3"/>
    </row>
    <row r="600" customFormat="false" ht="15.75" hidden="false" customHeight="false" outlineLevel="0" collapsed="false">
      <c r="L600" s="3"/>
      <c r="M600" s="3"/>
    </row>
    <row r="601" customFormat="false" ht="15.75" hidden="false" customHeight="false" outlineLevel="0" collapsed="false">
      <c r="L601" s="3"/>
      <c r="M601" s="3"/>
    </row>
    <row r="602" customFormat="false" ht="15.75" hidden="false" customHeight="false" outlineLevel="0" collapsed="false">
      <c r="L602" s="3"/>
      <c r="M602" s="3"/>
    </row>
    <row r="603" customFormat="false" ht="15.75" hidden="false" customHeight="false" outlineLevel="0" collapsed="false">
      <c r="L603" s="3"/>
      <c r="M603" s="3"/>
    </row>
    <row r="604" customFormat="false" ht="15.75" hidden="false" customHeight="false" outlineLevel="0" collapsed="false">
      <c r="L604" s="3"/>
      <c r="M604" s="3"/>
    </row>
    <row r="605" customFormat="false" ht="15.75" hidden="false" customHeight="false" outlineLevel="0" collapsed="false">
      <c r="L605" s="3"/>
      <c r="M605" s="3"/>
    </row>
    <row r="606" customFormat="false" ht="15.75" hidden="false" customHeight="false" outlineLevel="0" collapsed="false">
      <c r="L606" s="3"/>
      <c r="M606" s="3"/>
    </row>
    <row r="607" customFormat="false" ht="15.75" hidden="false" customHeight="false" outlineLevel="0" collapsed="false">
      <c r="L607" s="3"/>
      <c r="M607" s="3"/>
    </row>
    <row r="608" customFormat="false" ht="15.75" hidden="false" customHeight="false" outlineLevel="0" collapsed="false">
      <c r="L608" s="3"/>
      <c r="M608" s="3"/>
    </row>
    <row r="609" customFormat="false" ht="15.75" hidden="false" customHeight="false" outlineLevel="0" collapsed="false">
      <c r="L609" s="3"/>
      <c r="M609" s="3"/>
    </row>
    <row r="610" customFormat="false" ht="15.75" hidden="false" customHeight="false" outlineLevel="0" collapsed="false">
      <c r="L610" s="3"/>
      <c r="M610" s="3"/>
    </row>
    <row r="611" customFormat="false" ht="15.75" hidden="false" customHeight="false" outlineLevel="0" collapsed="false">
      <c r="L611" s="3"/>
      <c r="M611" s="3"/>
    </row>
    <row r="612" customFormat="false" ht="15.75" hidden="false" customHeight="false" outlineLevel="0" collapsed="false">
      <c r="L612" s="3"/>
      <c r="M612" s="3"/>
    </row>
    <row r="613" customFormat="false" ht="15.75" hidden="false" customHeight="false" outlineLevel="0" collapsed="false">
      <c r="L613" s="3"/>
      <c r="M613" s="3"/>
    </row>
    <row r="614" customFormat="false" ht="15.75" hidden="false" customHeight="false" outlineLevel="0" collapsed="false">
      <c r="L614" s="3"/>
      <c r="M614" s="3"/>
    </row>
    <row r="615" customFormat="false" ht="15.75" hidden="false" customHeight="false" outlineLevel="0" collapsed="false">
      <c r="L615" s="3"/>
      <c r="M615" s="3"/>
    </row>
    <row r="616" customFormat="false" ht="15.75" hidden="false" customHeight="false" outlineLevel="0" collapsed="false">
      <c r="L616" s="3"/>
      <c r="M616" s="3"/>
    </row>
    <row r="617" customFormat="false" ht="15.75" hidden="false" customHeight="false" outlineLevel="0" collapsed="false">
      <c r="L617" s="3"/>
      <c r="M617" s="3"/>
    </row>
    <row r="618" customFormat="false" ht="15.75" hidden="false" customHeight="false" outlineLevel="0" collapsed="false">
      <c r="L618" s="3"/>
      <c r="M618" s="3"/>
    </row>
    <row r="619" customFormat="false" ht="15.75" hidden="false" customHeight="false" outlineLevel="0" collapsed="false">
      <c r="L619" s="3"/>
      <c r="M619" s="3"/>
    </row>
    <row r="620" customFormat="false" ht="15.75" hidden="false" customHeight="false" outlineLevel="0" collapsed="false">
      <c r="L620" s="3"/>
      <c r="M620" s="3"/>
    </row>
    <row r="621" customFormat="false" ht="15.75" hidden="false" customHeight="false" outlineLevel="0" collapsed="false">
      <c r="L621" s="3"/>
      <c r="M621" s="3"/>
    </row>
    <row r="622" customFormat="false" ht="15.75" hidden="false" customHeight="false" outlineLevel="0" collapsed="false">
      <c r="L622" s="3"/>
      <c r="M622" s="3"/>
    </row>
    <row r="623" customFormat="false" ht="15.75" hidden="false" customHeight="false" outlineLevel="0" collapsed="false">
      <c r="L623" s="3"/>
      <c r="M623" s="3"/>
    </row>
    <row r="624" customFormat="false" ht="15.75" hidden="false" customHeight="false" outlineLevel="0" collapsed="false">
      <c r="L624" s="3"/>
      <c r="M624" s="3"/>
    </row>
    <row r="625" customFormat="false" ht="15.75" hidden="false" customHeight="false" outlineLevel="0" collapsed="false">
      <c r="L625" s="3"/>
      <c r="M625" s="3"/>
    </row>
    <row r="626" customFormat="false" ht="15.75" hidden="false" customHeight="false" outlineLevel="0" collapsed="false">
      <c r="L626" s="3"/>
      <c r="M626" s="3"/>
    </row>
    <row r="627" customFormat="false" ht="15.75" hidden="false" customHeight="false" outlineLevel="0" collapsed="false">
      <c r="L627" s="3"/>
      <c r="M627" s="3"/>
    </row>
    <row r="628" customFormat="false" ht="15.75" hidden="false" customHeight="false" outlineLevel="0" collapsed="false">
      <c r="L628" s="3"/>
      <c r="M628" s="3"/>
    </row>
    <row r="629" customFormat="false" ht="15.75" hidden="false" customHeight="false" outlineLevel="0" collapsed="false">
      <c r="L629" s="3"/>
      <c r="M629" s="3"/>
    </row>
    <row r="630" customFormat="false" ht="15.75" hidden="false" customHeight="false" outlineLevel="0" collapsed="false">
      <c r="L630" s="3"/>
      <c r="M630" s="3"/>
    </row>
    <row r="631" customFormat="false" ht="15.75" hidden="false" customHeight="false" outlineLevel="0" collapsed="false">
      <c r="L631" s="3"/>
      <c r="M631" s="3"/>
    </row>
    <row r="632" customFormat="false" ht="15.75" hidden="false" customHeight="false" outlineLevel="0" collapsed="false">
      <c r="L632" s="3"/>
      <c r="M632" s="3"/>
    </row>
    <row r="633" customFormat="false" ht="15.75" hidden="false" customHeight="false" outlineLevel="0" collapsed="false">
      <c r="L633" s="3"/>
      <c r="M633" s="3"/>
    </row>
    <row r="634" customFormat="false" ht="15.75" hidden="false" customHeight="false" outlineLevel="0" collapsed="false">
      <c r="L634" s="3"/>
      <c r="M634" s="3"/>
    </row>
    <row r="635" customFormat="false" ht="15.75" hidden="false" customHeight="false" outlineLevel="0" collapsed="false">
      <c r="L635" s="3"/>
      <c r="M635" s="3"/>
    </row>
    <row r="636" customFormat="false" ht="15.75" hidden="false" customHeight="false" outlineLevel="0" collapsed="false">
      <c r="L636" s="3"/>
      <c r="M636" s="3"/>
    </row>
    <row r="637" customFormat="false" ht="15.75" hidden="false" customHeight="false" outlineLevel="0" collapsed="false">
      <c r="L637" s="3"/>
      <c r="M637" s="3"/>
    </row>
    <row r="638" customFormat="false" ht="15.75" hidden="false" customHeight="false" outlineLevel="0" collapsed="false">
      <c r="L638" s="3"/>
      <c r="M638" s="3"/>
    </row>
    <row r="639" customFormat="false" ht="15.75" hidden="false" customHeight="false" outlineLevel="0" collapsed="false">
      <c r="L639" s="3"/>
      <c r="M639" s="3"/>
    </row>
    <row r="640" customFormat="false" ht="15.75" hidden="false" customHeight="false" outlineLevel="0" collapsed="false">
      <c r="L640" s="3"/>
      <c r="M640" s="3"/>
    </row>
    <row r="641" customFormat="false" ht="15.75" hidden="false" customHeight="false" outlineLevel="0" collapsed="false">
      <c r="L641" s="3"/>
      <c r="M641" s="3"/>
    </row>
    <row r="642" customFormat="false" ht="15.75" hidden="false" customHeight="false" outlineLevel="0" collapsed="false">
      <c r="L642" s="3"/>
      <c r="M642" s="3"/>
    </row>
    <row r="643" customFormat="false" ht="15.75" hidden="false" customHeight="false" outlineLevel="0" collapsed="false">
      <c r="L643" s="3"/>
      <c r="M643" s="3"/>
    </row>
    <row r="644" customFormat="false" ht="15.75" hidden="false" customHeight="false" outlineLevel="0" collapsed="false">
      <c r="L644" s="3"/>
      <c r="M644" s="3"/>
    </row>
    <row r="645" customFormat="false" ht="15.75" hidden="false" customHeight="false" outlineLevel="0" collapsed="false">
      <c r="L645" s="3"/>
      <c r="M645" s="3"/>
    </row>
    <row r="646" customFormat="false" ht="15.75" hidden="false" customHeight="false" outlineLevel="0" collapsed="false">
      <c r="L646" s="3"/>
      <c r="M646" s="3"/>
    </row>
    <row r="647" customFormat="false" ht="15.75" hidden="false" customHeight="false" outlineLevel="0" collapsed="false">
      <c r="L647" s="3"/>
      <c r="M647" s="3"/>
    </row>
    <row r="648" customFormat="false" ht="15.75" hidden="false" customHeight="false" outlineLevel="0" collapsed="false">
      <c r="L648" s="3"/>
      <c r="M648" s="3"/>
    </row>
    <row r="649" customFormat="false" ht="15.75" hidden="false" customHeight="false" outlineLevel="0" collapsed="false">
      <c r="L649" s="3"/>
      <c r="M649" s="3"/>
    </row>
    <row r="650" customFormat="false" ht="15.75" hidden="false" customHeight="false" outlineLevel="0" collapsed="false">
      <c r="L650" s="3"/>
      <c r="M650" s="3"/>
    </row>
    <row r="651" customFormat="false" ht="15.75" hidden="false" customHeight="false" outlineLevel="0" collapsed="false">
      <c r="L651" s="3"/>
      <c r="M651" s="3"/>
    </row>
    <row r="652" customFormat="false" ht="15.75" hidden="false" customHeight="false" outlineLevel="0" collapsed="false">
      <c r="L652" s="3"/>
      <c r="M652" s="3"/>
    </row>
    <row r="653" customFormat="false" ht="15.75" hidden="false" customHeight="false" outlineLevel="0" collapsed="false">
      <c r="L653" s="3"/>
      <c r="M653" s="3"/>
    </row>
    <row r="654" customFormat="false" ht="15.75" hidden="false" customHeight="false" outlineLevel="0" collapsed="false">
      <c r="L654" s="3"/>
      <c r="M654" s="3"/>
    </row>
    <row r="655" customFormat="false" ht="15.75" hidden="false" customHeight="false" outlineLevel="0" collapsed="false">
      <c r="L655" s="3"/>
      <c r="M655" s="3"/>
    </row>
    <row r="656" customFormat="false" ht="15.75" hidden="false" customHeight="false" outlineLevel="0" collapsed="false">
      <c r="L656" s="3"/>
      <c r="M656" s="3"/>
    </row>
    <row r="657" customFormat="false" ht="15.75" hidden="false" customHeight="false" outlineLevel="0" collapsed="false">
      <c r="L657" s="3"/>
      <c r="M657" s="3"/>
    </row>
    <row r="658" customFormat="false" ht="15.75" hidden="false" customHeight="false" outlineLevel="0" collapsed="false">
      <c r="L658" s="3"/>
      <c r="M658" s="3"/>
    </row>
    <row r="659" customFormat="false" ht="15.75" hidden="false" customHeight="false" outlineLevel="0" collapsed="false">
      <c r="L659" s="3"/>
      <c r="M659" s="3"/>
    </row>
    <row r="660" customFormat="false" ht="15.75" hidden="false" customHeight="false" outlineLevel="0" collapsed="false">
      <c r="L660" s="3"/>
      <c r="M660" s="3"/>
    </row>
    <row r="661" customFormat="false" ht="15.75" hidden="false" customHeight="false" outlineLevel="0" collapsed="false">
      <c r="L661" s="3"/>
      <c r="M661" s="3"/>
    </row>
    <row r="662" customFormat="false" ht="15.75" hidden="false" customHeight="false" outlineLevel="0" collapsed="false">
      <c r="L662" s="3"/>
      <c r="M662" s="3"/>
    </row>
    <row r="663" customFormat="false" ht="15.75" hidden="false" customHeight="false" outlineLevel="0" collapsed="false">
      <c r="L663" s="3"/>
      <c r="M663" s="3"/>
    </row>
    <row r="664" customFormat="false" ht="15.75" hidden="false" customHeight="false" outlineLevel="0" collapsed="false">
      <c r="L664" s="3"/>
      <c r="M664" s="3"/>
    </row>
    <row r="665" customFormat="false" ht="15.75" hidden="false" customHeight="false" outlineLevel="0" collapsed="false">
      <c r="L665" s="3"/>
      <c r="M665" s="3"/>
    </row>
    <row r="666" customFormat="false" ht="15.75" hidden="false" customHeight="false" outlineLevel="0" collapsed="false">
      <c r="L666" s="3"/>
      <c r="M666" s="3"/>
    </row>
    <row r="667" customFormat="false" ht="15.75" hidden="false" customHeight="false" outlineLevel="0" collapsed="false">
      <c r="L667" s="3"/>
      <c r="M667" s="3"/>
    </row>
    <row r="668" customFormat="false" ht="15.75" hidden="false" customHeight="false" outlineLevel="0" collapsed="false">
      <c r="L668" s="3"/>
      <c r="M668" s="3"/>
    </row>
    <row r="669" customFormat="false" ht="15.75" hidden="false" customHeight="false" outlineLevel="0" collapsed="false">
      <c r="L669" s="3"/>
      <c r="M669" s="3"/>
    </row>
    <row r="670" customFormat="false" ht="15.75" hidden="false" customHeight="false" outlineLevel="0" collapsed="false">
      <c r="L670" s="3"/>
      <c r="M670" s="3"/>
    </row>
    <row r="671" customFormat="false" ht="15.75" hidden="false" customHeight="false" outlineLevel="0" collapsed="false">
      <c r="L671" s="3"/>
      <c r="M671" s="3"/>
    </row>
    <row r="672" customFormat="false" ht="15.75" hidden="false" customHeight="false" outlineLevel="0" collapsed="false">
      <c r="L672" s="3"/>
      <c r="M672" s="3"/>
    </row>
    <row r="673" customFormat="false" ht="15.75" hidden="false" customHeight="false" outlineLevel="0" collapsed="false">
      <c r="L673" s="3"/>
      <c r="M673" s="3"/>
    </row>
    <row r="674" customFormat="false" ht="15.75" hidden="false" customHeight="false" outlineLevel="0" collapsed="false">
      <c r="L674" s="3"/>
      <c r="M674" s="3"/>
    </row>
    <row r="675" customFormat="false" ht="15.75" hidden="false" customHeight="false" outlineLevel="0" collapsed="false">
      <c r="L675" s="3"/>
      <c r="M675" s="3"/>
    </row>
    <row r="676" customFormat="false" ht="15.75" hidden="false" customHeight="false" outlineLevel="0" collapsed="false">
      <c r="L676" s="3"/>
      <c r="M676" s="3"/>
    </row>
    <row r="677" customFormat="false" ht="15.75" hidden="false" customHeight="false" outlineLevel="0" collapsed="false">
      <c r="L677" s="3"/>
      <c r="M677" s="3"/>
    </row>
    <row r="678" customFormat="false" ht="15.75" hidden="false" customHeight="false" outlineLevel="0" collapsed="false">
      <c r="L678" s="3"/>
      <c r="M678" s="3"/>
    </row>
    <row r="679" customFormat="false" ht="15.75" hidden="false" customHeight="false" outlineLevel="0" collapsed="false">
      <c r="L679" s="3"/>
      <c r="M679" s="3"/>
    </row>
    <row r="680" customFormat="false" ht="15.75" hidden="false" customHeight="false" outlineLevel="0" collapsed="false">
      <c r="L680" s="3"/>
      <c r="M680" s="3"/>
    </row>
    <row r="681" customFormat="false" ht="15.75" hidden="false" customHeight="false" outlineLevel="0" collapsed="false">
      <c r="L681" s="3"/>
      <c r="M681" s="3"/>
    </row>
    <row r="682" customFormat="false" ht="15.75" hidden="false" customHeight="false" outlineLevel="0" collapsed="false">
      <c r="L682" s="3"/>
      <c r="M682" s="3"/>
    </row>
    <row r="683" customFormat="false" ht="15.75" hidden="false" customHeight="false" outlineLevel="0" collapsed="false">
      <c r="L683" s="3"/>
      <c r="M683" s="3"/>
    </row>
    <row r="684" customFormat="false" ht="15.75" hidden="false" customHeight="false" outlineLevel="0" collapsed="false">
      <c r="L684" s="3"/>
      <c r="M684" s="3"/>
    </row>
    <row r="685" customFormat="false" ht="15.75" hidden="false" customHeight="false" outlineLevel="0" collapsed="false">
      <c r="L685" s="3"/>
      <c r="M685" s="3"/>
    </row>
    <row r="686" customFormat="false" ht="15.75" hidden="false" customHeight="false" outlineLevel="0" collapsed="false">
      <c r="L686" s="3"/>
      <c r="M686" s="3"/>
    </row>
    <row r="687" customFormat="false" ht="15.75" hidden="false" customHeight="false" outlineLevel="0" collapsed="false">
      <c r="L687" s="3"/>
      <c r="M687" s="3"/>
    </row>
    <row r="688" customFormat="false" ht="15.75" hidden="false" customHeight="false" outlineLevel="0" collapsed="false">
      <c r="L688" s="3"/>
      <c r="M688" s="3"/>
    </row>
    <row r="689" customFormat="false" ht="15.75" hidden="false" customHeight="false" outlineLevel="0" collapsed="false">
      <c r="L689" s="3"/>
      <c r="M689" s="3"/>
    </row>
    <row r="690" customFormat="false" ht="15.75" hidden="false" customHeight="false" outlineLevel="0" collapsed="false">
      <c r="L690" s="3"/>
      <c r="M690" s="3"/>
    </row>
    <row r="691" customFormat="false" ht="15.75" hidden="false" customHeight="false" outlineLevel="0" collapsed="false">
      <c r="L691" s="3"/>
      <c r="M691" s="3"/>
    </row>
    <row r="692" customFormat="false" ht="15.75" hidden="false" customHeight="false" outlineLevel="0" collapsed="false">
      <c r="L692" s="3"/>
      <c r="M692" s="3"/>
    </row>
    <row r="693" customFormat="false" ht="15.75" hidden="false" customHeight="false" outlineLevel="0" collapsed="false">
      <c r="L693" s="3"/>
      <c r="M693" s="3"/>
    </row>
    <row r="694" customFormat="false" ht="15.75" hidden="false" customHeight="false" outlineLevel="0" collapsed="false">
      <c r="L694" s="3"/>
      <c r="M694" s="3"/>
    </row>
    <row r="695" customFormat="false" ht="15.75" hidden="false" customHeight="false" outlineLevel="0" collapsed="false">
      <c r="L695" s="3"/>
      <c r="M695" s="3"/>
    </row>
    <row r="696" customFormat="false" ht="15.75" hidden="false" customHeight="false" outlineLevel="0" collapsed="false">
      <c r="L696" s="3"/>
      <c r="M696" s="3"/>
    </row>
    <row r="697" customFormat="false" ht="15.75" hidden="false" customHeight="false" outlineLevel="0" collapsed="false">
      <c r="L697" s="3"/>
      <c r="M697" s="3"/>
    </row>
    <row r="698" customFormat="false" ht="15.75" hidden="false" customHeight="false" outlineLevel="0" collapsed="false">
      <c r="L698" s="3"/>
      <c r="M698" s="3"/>
    </row>
    <row r="699" customFormat="false" ht="15.75" hidden="false" customHeight="false" outlineLevel="0" collapsed="false">
      <c r="L699" s="3"/>
      <c r="M699" s="3"/>
    </row>
    <row r="700" customFormat="false" ht="15.75" hidden="false" customHeight="false" outlineLevel="0" collapsed="false">
      <c r="L700" s="3"/>
      <c r="M700" s="3"/>
    </row>
    <row r="701" customFormat="false" ht="15.75" hidden="false" customHeight="false" outlineLevel="0" collapsed="false">
      <c r="L701" s="3"/>
      <c r="M701" s="3"/>
    </row>
    <row r="702" customFormat="false" ht="15.75" hidden="false" customHeight="false" outlineLevel="0" collapsed="false">
      <c r="L702" s="3"/>
      <c r="M702" s="3"/>
    </row>
    <row r="703" customFormat="false" ht="15.75" hidden="false" customHeight="false" outlineLevel="0" collapsed="false">
      <c r="L703" s="3"/>
      <c r="M703" s="3"/>
    </row>
    <row r="704" customFormat="false" ht="15.75" hidden="false" customHeight="false" outlineLevel="0" collapsed="false">
      <c r="L704" s="3"/>
      <c r="M704" s="3"/>
    </row>
    <row r="705" customFormat="false" ht="15.75" hidden="false" customHeight="false" outlineLevel="0" collapsed="false">
      <c r="L705" s="3"/>
      <c r="M705" s="3"/>
    </row>
    <row r="706" customFormat="false" ht="15.75" hidden="false" customHeight="false" outlineLevel="0" collapsed="false">
      <c r="L706" s="3"/>
      <c r="M706" s="3"/>
    </row>
    <row r="707" customFormat="false" ht="15.75" hidden="false" customHeight="false" outlineLevel="0" collapsed="false">
      <c r="L707" s="3"/>
      <c r="M707" s="3"/>
    </row>
    <row r="708" customFormat="false" ht="15.75" hidden="false" customHeight="false" outlineLevel="0" collapsed="false">
      <c r="L708" s="3"/>
      <c r="M708" s="3"/>
    </row>
    <row r="709" customFormat="false" ht="15.75" hidden="false" customHeight="false" outlineLevel="0" collapsed="false">
      <c r="L709" s="3"/>
      <c r="M709" s="3"/>
    </row>
    <row r="710" customFormat="false" ht="15.75" hidden="false" customHeight="false" outlineLevel="0" collapsed="false">
      <c r="L710" s="3"/>
      <c r="M710" s="3"/>
    </row>
    <row r="711" customFormat="false" ht="15.75" hidden="false" customHeight="false" outlineLevel="0" collapsed="false">
      <c r="L711" s="3"/>
      <c r="M711" s="3"/>
    </row>
    <row r="712" customFormat="false" ht="15.75" hidden="false" customHeight="false" outlineLevel="0" collapsed="false">
      <c r="L712" s="3"/>
      <c r="M712" s="3"/>
    </row>
    <row r="713" customFormat="false" ht="15.75" hidden="false" customHeight="false" outlineLevel="0" collapsed="false">
      <c r="L713" s="3"/>
      <c r="M713" s="3"/>
    </row>
    <row r="714" customFormat="false" ht="15.75" hidden="false" customHeight="false" outlineLevel="0" collapsed="false">
      <c r="L714" s="3"/>
      <c r="M714" s="3"/>
    </row>
    <row r="715" customFormat="false" ht="15.75" hidden="false" customHeight="false" outlineLevel="0" collapsed="false">
      <c r="L715" s="3"/>
      <c r="M715" s="3"/>
    </row>
    <row r="716" customFormat="false" ht="15.75" hidden="false" customHeight="false" outlineLevel="0" collapsed="false">
      <c r="L716" s="3"/>
      <c r="M716" s="3"/>
    </row>
    <row r="717" customFormat="false" ht="15.75" hidden="false" customHeight="false" outlineLevel="0" collapsed="false">
      <c r="L717" s="3"/>
      <c r="M717" s="3"/>
    </row>
    <row r="718" customFormat="false" ht="15.75" hidden="false" customHeight="false" outlineLevel="0" collapsed="false">
      <c r="L718" s="3"/>
      <c r="M718" s="3"/>
    </row>
    <row r="719" customFormat="false" ht="15.75" hidden="false" customHeight="false" outlineLevel="0" collapsed="false">
      <c r="L719" s="3"/>
      <c r="M719" s="3"/>
    </row>
    <row r="720" customFormat="false" ht="15.75" hidden="false" customHeight="false" outlineLevel="0" collapsed="false">
      <c r="L720" s="3"/>
      <c r="M720" s="3"/>
    </row>
    <row r="721" customFormat="false" ht="15.75" hidden="false" customHeight="false" outlineLevel="0" collapsed="false">
      <c r="L721" s="3"/>
      <c r="M721" s="3"/>
    </row>
    <row r="722" customFormat="false" ht="15.75" hidden="false" customHeight="false" outlineLevel="0" collapsed="false">
      <c r="L722" s="3"/>
      <c r="M722" s="3"/>
    </row>
    <row r="723" customFormat="false" ht="15.75" hidden="false" customHeight="false" outlineLevel="0" collapsed="false">
      <c r="L723" s="3"/>
      <c r="M723" s="3"/>
    </row>
    <row r="724" customFormat="false" ht="15.75" hidden="false" customHeight="false" outlineLevel="0" collapsed="false">
      <c r="L724" s="3"/>
      <c r="M724" s="3"/>
    </row>
    <row r="725" customFormat="false" ht="15.75" hidden="false" customHeight="false" outlineLevel="0" collapsed="false">
      <c r="L725" s="3"/>
      <c r="M725" s="3"/>
    </row>
    <row r="726" customFormat="false" ht="15.75" hidden="false" customHeight="false" outlineLevel="0" collapsed="false">
      <c r="L726" s="3"/>
      <c r="M726" s="3"/>
    </row>
    <row r="727" customFormat="false" ht="15.75" hidden="false" customHeight="false" outlineLevel="0" collapsed="false">
      <c r="L727" s="3"/>
      <c r="M727" s="3"/>
    </row>
    <row r="728" customFormat="false" ht="15.75" hidden="false" customHeight="false" outlineLevel="0" collapsed="false">
      <c r="L728" s="3"/>
      <c r="M728" s="3"/>
    </row>
    <row r="729" customFormat="false" ht="15.75" hidden="false" customHeight="false" outlineLevel="0" collapsed="false">
      <c r="L729" s="3"/>
      <c r="M729" s="3"/>
    </row>
    <row r="730" customFormat="false" ht="15.75" hidden="false" customHeight="false" outlineLevel="0" collapsed="false">
      <c r="L730" s="3"/>
      <c r="M730" s="3"/>
    </row>
    <row r="731" customFormat="false" ht="15.75" hidden="false" customHeight="false" outlineLevel="0" collapsed="false">
      <c r="L731" s="3"/>
      <c r="M731" s="3"/>
    </row>
    <row r="732" customFormat="false" ht="15.75" hidden="false" customHeight="false" outlineLevel="0" collapsed="false">
      <c r="L732" s="3"/>
      <c r="M732" s="3"/>
    </row>
    <row r="733" customFormat="false" ht="15.75" hidden="false" customHeight="false" outlineLevel="0" collapsed="false">
      <c r="L733" s="3"/>
      <c r="M733" s="3"/>
    </row>
    <row r="734" customFormat="false" ht="15.75" hidden="false" customHeight="false" outlineLevel="0" collapsed="false">
      <c r="L734" s="3"/>
      <c r="M734" s="3"/>
    </row>
    <row r="735" customFormat="false" ht="15.75" hidden="false" customHeight="false" outlineLevel="0" collapsed="false">
      <c r="L735" s="3"/>
      <c r="M735" s="3"/>
    </row>
    <row r="736" customFormat="false" ht="15.75" hidden="false" customHeight="false" outlineLevel="0" collapsed="false">
      <c r="L736" s="3"/>
      <c r="M736" s="3"/>
    </row>
    <row r="737" customFormat="false" ht="15.75" hidden="false" customHeight="false" outlineLevel="0" collapsed="false">
      <c r="L737" s="3"/>
      <c r="M737" s="3"/>
    </row>
    <row r="738" customFormat="false" ht="15.75" hidden="false" customHeight="false" outlineLevel="0" collapsed="false">
      <c r="L738" s="3"/>
      <c r="M738" s="3"/>
    </row>
    <row r="739" customFormat="false" ht="15.75" hidden="false" customHeight="false" outlineLevel="0" collapsed="false">
      <c r="L739" s="3"/>
      <c r="M739" s="3"/>
    </row>
    <row r="740" customFormat="false" ht="15.75" hidden="false" customHeight="false" outlineLevel="0" collapsed="false">
      <c r="L740" s="3"/>
      <c r="M740" s="3"/>
    </row>
    <row r="741" customFormat="false" ht="15.75" hidden="false" customHeight="false" outlineLevel="0" collapsed="false">
      <c r="L741" s="3"/>
      <c r="M741" s="3"/>
    </row>
    <row r="742" customFormat="false" ht="15.75" hidden="false" customHeight="false" outlineLevel="0" collapsed="false">
      <c r="L742" s="3"/>
      <c r="M742" s="3"/>
    </row>
    <row r="743" customFormat="false" ht="15.75" hidden="false" customHeight="false" outlineLevel="0" collapsed="false">
      <c r="L743" s="3"/>
      <c r="M743" s="3"/>
    </row>
    <row r="744" customFormat="false" ht="15.75" hidden="false" customHeight="false" outlineLevel="0" collapsed="false">
      <c r="L744" s="3"/>
      <c r="M744" s="3"/>
    </row>
    <row r="745" customFormat="false" ht="15.75" hidden="false" customHeight="false" outlineLevel="0" collapsed="false">
      <c r="L745" s="3"/>
      <c r="M745" s="3"/>
    </row>
    <row r="746" customFormat="false" ht="15.75" hidden="false" customHeight="false" outlineLevel="0" collapsed="false">
      <c r="L746" s="3"/>
      <c r="M746" s="3"/>
    </row>
    <row r="747" customFormat="false" ht="15.75" hidden="false" customHeight="false" outlineLevel="0" collapsed="false">
      <c r="L747" s="3"/>
      <c r="M747" s="3"/>
    </row>
    <row r="748" customFormat="false" ht="15.75" hidden="false" customHeight="false" outlineLevel="0" collapsed="false">
      <c r="L748" s="3"/>
      <c r="M748" s="3"/>
    </row>
    <row r="749" customFormat="false" ht="15.75" hidden="false" customHeight="false" outlineLevel="0" collapsed="false">
      <c r="L749" s="3"/>
      <c r="M749" s="3"/>
    </row>
    <row r="750" customFormat="false" ht="15.75" hidden="false" customHeight="false" outlineLevel="0" collapsed="false">
      <c r="L750" s="3"/>
      <c r="M750" s="3"/>
    </row>
    <row r="751" customFormat="false" ht="15.75" hidden="false" customHeight="false" outlineLevel="0" collapsed="false">
      <c r="L751" s="3"/>
      <c r="M751" s="3"/>
    </row>
    <row r="752" customFormat="false" ht="15.75" hidden="false" customHeight="false" outlineLevel="0" collapsed="false">
      <c r="L752" s="3"/>
      <c r="M752" s="3"/>
    </row>
    <row r="753" customFormat="false" ht="15.75" hidden="false" customHeight="false" outlineLevel="0" collapsed="false">
      <c r="L753" s="3"/>
      <c r="M753" s="3"/>
    </row>
    <row r="754" customFormat="false" ht="15.75" hidden="false" customHeight="false" outlineLevel="0" collapsed="false">
      <c r="L754" s="3"/>
      <c r="M754" s="3"/>
    </row>
    <row r="755" customFormat="false" ht="15.75" hidden="false" customHeight="false" outlineLevel="0" collapsed="false">
      <c r="L755" s="3"/>
      <c r="M755" s="3"/>
    </row>
    <row r="756" customFormat="false" ht="15.75" hidden="false" customHeight="false" outlineLevel="0" collapsed="false">
      <c r="L756" s="3"/>
      <c r="M756" s="3"/>
    </row>
    <row r="757" customFormat="false" ht="15.75" hidden="false" customHeight="false" outlineLevel="0" collapsed="false">
      <c r="L757" s="3"/>
      <c r="M757" s="3"/>
    </row>
    <row r="758" customFormat="false" ht="15.75" hidden="false" customHeight="false" outlineLevel="0" collapsed="false">
      <c r="L758" s="3"/>
      <c r="M758" s="3"/>
    </row>
    <row r="759" customFormat="false" ht="15.75" hidden="false" customHeight="false" outlineLevel="0" collapsed="false">
      <c r="L759" s="3"/>
      <c r="M759" s="3"/>
    </row>
    <row r="760" customFormat="false" ht="15.75" hidden="false" customHeight="false" outlineLevel="0" collapsed="false">
      <c r="L760" s="3"/>
      <c r="M760" s="3"/>
    </row>
    <row r="761" customFormat="false" ht="15.75" hidden="false" customHeight="false" outlineLevel="0" collapsed="false">
      <c r="L761" s="3"/>
      <c r="M761" s="3"/>
    </row>
    <row r="762" customFormat="false" ht="15.75" hidden="false" customHeight="false" outlineLevel="0" collapsed="false">
      <c r="L762" s="3"/>
      <c r="M762" s="3"/>
    </row>
    <row r="763" customFormat="false" ht="15.75" hidden="false" customHeight="false" outlineLevel="0" collapsed="false">
      <c r="L763" s="3"/>
      <c r="M763" s="3"/>
    </row>
    <row r="764" customFormat="false" ht="15.75" hidden="false" customHeight="false" outlineLevel="0" collapsed="false">
      <c r="L764" s="3"/>
      <c r="M764" s="3"/>
    </row>
    <row r="765" customFormat="false" ht="15.75" hidden="false" customHeight="false" outlineLevel="0" collapsed="false">
      <c r="L765" s="3"/>
      <c r="M765" s="3"/>
    </row>
    <row r="766" customFormat="false" ht="15.75" hidden="false" customHeight="false" outlineLevel="0" collapsed="false">
      <c r="L766" s="3"/>
      <c r="M766" s="3"/>
    </row>
    <row r="767" customFormat="false" ht="15.75" hidden="false" customHeight="false" outlineLevel="0" collapsed="false">
      <c r="L767" s="3"/>
      <c r="M767" s="3"/>
    </row>
    <row r="768" customFormat="false" ht="15.75" hidden="false" customHeight="false" outlineLevel="0" collapsed="false">
      <c r="L768" s="3"/>
      <c r="M768" s="3"/>
    </row>
    <row r="769" customFormat="false" ht="15.75" hidden="false" customHeight="false" outlineLevel="0" collapsed="false">
      <c r="L769" s="3"/>
      <c r="M769" s="3"/>
    </row>
    <row r="770" customFormat="false" ht="15.75" hidden="false" customHeight="false" outlineLevel="0" collapsed="false">
      <c r="L770" s="3"/>
      <c r="M770" s="3"/>
    </row>
    <row r="771" customFormat="false" ht="15.75" hidden="false" customHeight="false" outlineLevel="0" collapsed="false">
      <c r="L771" s="3"/>
      <c r="M771" s="3"/>
    </row>
    <row r="772" customFormat="false" ht="15.75" hidden="false" customHeight="false" outlineLevel="0" collapsed="false">
      <c r="L772" s="3"/>
      <c r="M772" s="3"/>
    </row>
    <row r="773" customFormat="false" ht="15.75" hidden="false" customHeight="false" outlineLevel="0" collapsed="false">
      <c r="L773" s="3"/>
      <c r="M773" s="3"/>
    </row>
    <row r="774" customFormat="false" ht="15.75" hidden="false" customHeight="false" outlineLevel="0" collapsed="false">
      <c r="L774" s="3"/>
      <c r="M774" s="3"/>
    </row>
    <row r="775" customFormat="false" ht="15.75" hidden="false" customHeight="false" outlineLevel="0" collapsed="false">
      <c r="L775" s="3"/>
      <c r="M775" s="3"/>
    </row>
    <row r="776" customFormat="false" ht="15.75" hidden="false" customHeight="false" outlineLevel="0" collapsed="false">
      <c r="L776" s="3"/>
      <c r="M776" s="3"/>
    </row>
    <row r="777" customFormat="false" ht="15.75" hidden="false" customHeight="false" outlineLevel="0" collapsed="false">
      <c r="L777" s="3"/>
      <c r="M777" s="3"/>
    </row>
    <row r="778" customFormat="false" ht="15.75" hidden="false" customHeight="false" outlineLevel="0" collapsed="false">
      <c r="L778" s="3"/>
      <c r="M778" s="3"/>
    </row>
    <row r="779" customFormat="false" ht="15.75" hidden="false" customHeight="false" outlineLevel="0" collapsed="false">
      <c r="L779" s="3"/>
      <c r="M779" s="3"/>
    </row>
    <row r="780" customFormat="false" ht="15.75" hidden="false" customHeight="false" outlineLevel="0" collapsed="false">
      <c r="L780" s="3"/>
      <c r="M780" s="3"/>
    </row>
    <row r="781" customFormat="false" ht="15.75" hidden="false" customHeight="false" outlineLevel="0" collapsed="false">
      <c r="L781" s="3"/>
      <c r="M781" s="3"/>
    </row>
    <row r="782" customFormat="false" ht="15.75" hidden="false" customHeight="false" outlineLevel="0" collapsed="false">
      <c r="L782" s="3"/>
      <c r="M782" s="3"/>
    </row>
    <row r="783" customFormat="false" ht="15.75" hidden="false" customHeight="false" outlineLevel="0" collapsed="false">
      <c r="L783" s="3"/>
      <c r="M783" s="3"/>
    </row>
    <row r="784" customFormat="false" ht="15.75" hidden="false" customHeight="false" outlineLevel="0" collapsed="false">
      <c r="L784" s="3"/>
      <c r="M784" s="3"/>
    </row>
    <row r="785" customFormat="false" ht="15.75" hidden="false" customHeight="false" outlineLevel="0" collapsed="false">
      <c r="L785" s="3"/>
      <c r="M785" s="3"/>
    </row>
    <row r="786" customFormat="false" ht="15.75" hidden="false" customHeight="false" outlineLevel="0" collapsed="false">
      <c r="L786" s="3"/>
      <c r="M786" s="3"/>
    </row>
    <row r="787" customFormat="false" ht="15.75" hidden="false" customHeight="false" outlineLevel="0" collapsed="false">
      <c r="L787" s="3"/>
      <c r="M787" s="3"/>
    </row>
    <row r="788" customFormat="false" ht="15.75" hidden="false" customHeight="false" outlineLevel="0" collapsed="false">
      <c r="L788" s="3"/>
      <c r="M788" s="3"/>
    </row>
    <row r="789" customFormat="false" ht="15.75" hidden="false" customHeight="false" outlineLevel="0" collapsed="false">
      <c r="L789" s="3"/>
      <c r="M789" s="3"/>
    </row>
    <row r="790" customFormat="false" ht="15.75" hidden="false" customHeight="false" outlineLevel="0" collapsed="false">
      <c r="L790" s="3"/>
      <c r="M790" s="3"/>
    </row>
    <row r="791" customFormat="false" ht="15.75" hidden="false" customHeight="false" outlineLevel="0" collapsed="false">
      <c r="L791" s="3"/>
      <c r="M791" s="3"/>
    </row>
    <row r="792" customFormat="false" ht="15.75" hidden="false" customHeight="false" outlineLevel="0" collapsed="false">
      <c r="L792" s="3"/>
      <c r="M792" s="3"/>
    </row>
    <row r="793" customFormat="false" ht="15.75" hidden="false" customHeight="false" outlineLevel="0" collapsed="false">
      <c r="L793" s="3"/>
      <c r="M793" s="3"/>
    </row>
    <row r="794" customFormat="false" ht="15.75" hidden="false" customHeight="false" outlineLevel="0" collapsed="false">
      <c r="L794" s="3"/>
      <c r="M794" s="3"/>
    </row>
    <row r="795" customFormat="false" ht="15.75" hidden="false" customHeight="false" outlineLevel="0" collapsed="false">
      <c r="L795" s="3"/>
      <c r="M795" s="3"/>
    </row>
    <row r="796" customFormat="false" ht="15.75" hidden="false" customHeight="false" outlineLevel="0" collapsed="false">
      <c r="L796" s="3"/>
      <c r="M796" s="3"/>
    </row>
    <row r="797" customFormat="false" ht="15.75" hidden="false" customHeight="false" outlineLevel="0" collapsed="false">
      <c r="L797" s="3"/>
      <c r="M797" s="3"/>
    </row>
    <row r="798" customFormat="false" ht="15.75" hidden="false" customHeight="false" outlineLevel="0" collapsed="false">
      <c r="L798" s="3"/>
      <c r="M798" s="3"/>
    </row>
    <row r="799" customFormat="false" ht="15.75" hidden="false" customHeight="false" outlineLevel="0" collapsed="false">
      <c r="L799" s="3"/>
      <c r="M799" s="3"/>
    </row>
    <row r="800" customFormat="false" ht="15.75" hidden="false" customHeight="false" outlineLevel="0" collapsed="false">
      <c r="L800" s="3"/>
      <c r="M800" s="3"/>
    </row>
    <row r="801" customFormat="false" ht="15.75" hidden="false" customHeight="false" outlineLevel="0" collapsed="false">
      <c r="L801" s="3"/>
      <c r="M801" s="3"/>
    </row>
    <row r="802" customFormat="false" ht="15.75" hidden="false" customHeight="false" outlineLevel="0" collapsed="false">
      <c r="L802" s="3"/>
      <c r="M802" s="3"/>
    </row>
    <row r="803" customFormat="false" ht="15.75" hidden="false" customHeight="false" outlineLevel="0" collapsed="false">
      <c r="L803" s="3"/>
      <c r="M803" s="3"/>
    </row>
    <row r="804" customFormat="false" ht="15.75" hidden="false" customHeight="false" outlineLevel="0" collapsed="false">
      <c r="L804" s="3"/>
      <c r="M804" s="3"/>
    </row>
    <row r="805" customFormat="false" ht="15.75" hidden="false" customHeight="false" outlineLevel="0" collapsed="false">
      <c r="L805" s="3"/>
      <c r="M805" s="3"/>
    </row>
    <row r="806" customFormat="false" ht="15.75" hidden="false" customHeight="false" outlineLevel="0" collapsed="false">
      <c r="L806" s="3"/>
      <c r="M806" s="3"/>
    </row>
    <row r="807" customFormat="false" ht="15.75" hidden="false" customHeight="false" outlineLevel="0" collapsed="false">
      <c r="L807" s="3"/>
      <c r="M807" s="3"/>
    </row>
    <row r="808" customFormat="false" ht="15.75" hidden="false" customHeight="false" outlineLevel="0" collapsed="false">
      <c r="L808" s="3"/>
      <c r="M808" s="3"/>
    </row>
    <row r="809" customFormat="false" ht="15.75" hidden="false" customHeight="false" outlineLevel="0" collapsed="false">
      <c r="L809" s="3"/>
      <c r="M809" s="3"/>
    </row>
    <row r="810" customFormat="false" ht="15.75" hidden="false" customHeight="false" outlineLevel="0" collapsed="false">
      <c r="L810" s="3"/>
      <c r="M810" s="3"/>
    </row>
    <row r="811" customFormat="false" ht="15.75" hidden="false" customHeight="false" outlineLevel="0" collapsed="false">
      <c r="L811" s="3"/>
      <c r="M811" s="3"/>
    </row>
    <row r="812" customFormat="false" ht="15.75" hidden="false" customHeight="false" outlineLevel="0" collapsed="false">
      <c r="L812" s="3"/>
      <c r="M812" s="3"/>
    </row>
    <row r="813" customFormat="false" ht="15.75" hidden="false" customHeight="false" outlineLevel="0" collapsed="false">
      <c r="L813" s="3"/>
      <c r="M813" s="3"/>
    </row>
    <row r="814" customFormat="false" ht="15.75" hidden="false" customHeight="false" outlineLevel="0" collapsed="false">
      <c r="L814" s="3"/>
      <c r="M814" s="3"/>
    </row>
    <row r="815" customFormat="false" ht="15.75" hidden="false" customHeight="false" outlineLevel="0" collapsed="false">
      <c r="L815" s="3"/>
      <c r="M815" s="3"/>
    </row>
    <row r="816" customFormat="false" ht="15.75" hidden="false" customHeight="false" outlineLevel="0" collapsed="false">
      <c r="L816" s="3"/>
      <c r="M816" s="3"/>
    </row>
    <row r="817" customFormat="false" ht="15.75" hidden="false" customHeight="false" outlineLevel="0" collapsed="false">
      <c r="L817" s="3"/>
      <c r="M817" s="3"/>
    </row>
    <row r="818" customFormat="false" ht="15.75" hidden="false" customHeight="false" outlineLevel="0" collapsed="false">
      <c r="L818" s="3"/>
      <c r="M818" s="3"/>
    </row>
    <row r="819" customFormat="false" ht="15.75" hidden="false" customHeight="false" outlineLevel="0" collapsed="false">
      <c r="L819" s="3"/>
      <c r="M819" s="3"/>
    </row>
    <row r="820" customFormat="false" ht="15.75" hidden="false" customHeight="false" outlineLevel="0" collapsed="false">
      <c r="L820" s="3"/>
      <c r="M820" s="3"/>
    </row>
    <row r="821" customFormat="false" ht="15.75" hidden="false" customHeight="false" outlineLevel="0" collapsed="false">
      <c r="L821" s="3"/>
      <c r="M821" s="3"/>
    </row>
    <row r="822" customFormat="false" ht="15.75" hidden="false" customHeight="false" outlineLevel="0" collapsed="false">
      <c r="L822" s="3"/>
      <c r="M822" s="3"/>
    </row>
    <row r="823" customFormat="false" ht="15.75" hidden="false" customHeight="false" outlineLevel="0" collapsed="false">
      <c r="L823" s="3"/>
      <c r="M823" s="3"/>
    </row>
    <row r="824" customFormat="false" ht="15.75" hidden="false" customHeight="false" outlineLevel="0" collapsed="false">
      <c r="L824" s="3"/>
      <c r="M824" s="3"/>
    </row>
    <row r="825" customFormat="false" ht="15.75" hidden="false" customHeight="false" outlineLevel="0" collapsed="false">
      <c r="L825" s="3"/>
      <c r="M825" s="3"/>
    </row>
    <row r="826" customFormat="false" ht="15.75" hidden="false" customHeight="false" outlineLevel="0" collapsed="false">
      <c r="L826" s="3"/>
      <c r="M826" s="3"/>
    </row>
    <row r="827" customFormat="false" ht="15.75" hidden="false" customHeight="false" outlineLevel="0" collapsed="false">
      <c r="L827" s="3"/>
      <c r="M827" s="3"/>
    </row>
    <row r="828" customFormat="false" ht="15.75" hidden="false" customHeight="false" outlineLevel="0" collapsed="false">
      <c r="L828" s="3"/>
      <c r="M828" s="3"/>
    </row>
    <row r="829" customFormat="false" ht="15.75" hidden="false" customHeight="false" outlineLevel="0" collapsed="false">
      <c r="L829" s="3"/>
      <c r="M829" s="3"/>
    </row>
    <row r="830" customFormat="false" ht="15.75" hidden="false" customHeight="false" outlineLevel="0" collapsed="false">
      <c r="L830" s="3"/>
      <c r="M830" s="3"/>
    </row>
    <row r="831" customFormat="false" ht="15.75" hidden="false" customHeight="false" outlineLevel="0" collapsed="false">
      <c r="L831" s="3"/>
      <c r="M831" s="3"/>
    </row>
    <row r="832" customFormat="false" ht="15.75" hidden="false" customHeight="false" outlineLevel="0" collapsed="false">
      <c r="L832" s="3"/>
      <c r="M832" s="3"/>
    </row>
    <row r="833" customFormat="false" ht="15.75" hidden="false" customHeight="false" outlineLevel="0" collapsed="false">
      <c r="L833" s="3"/>
      <c r="M833" s="3"/>
    </row>
    <row r="834" customFormat="false" ht="15.75" hidden="false" customHeight="false" outlineLevel="0" collapsed="false">
      <c r="L834" s="3"/>
      <c r="M834" s="3"/>
    </row>
    <row r="835" customFormat="false" ht="15.75" hidden="false" customHeight="false" outlineLevel="0" collapsed="false">
      <c r="L835" s="3"/>
      <c r="M835" s="3"/>
    </row>
    <row r="836" customFormat="false" ht="15.75" hidden="false" customHeight="false" outlineLevel="0" collapsed="false">
      <c r="L836" s="3"/>
      <c r="M836" s="3"/>
    </row>
    <row r="837" customFormat="false" ht="15.75" hidden="false" customHeight="false" outlineLevel="0" collapsed="false">
      <c r="L837" s="3"/>
      <c r="M837" s="3"/>
    </row>
    <row r="838" customFormat="false" ht="15.75" hidden="false" customHeight="false" outlineLevel="0" collapsed="false">
      <c r="L838" s="3"/>
      <c r="M838" s="3"/>
    </row>
    <row r="839" customFormat="false" ht="15.75" hidden="false" customHeight="false" outlineLevel="0" collapsed="false">
      <c r="L839" s="3"/>
      <c r="M839" s="3"/>
    </row>
    <row r="840" customFormat="false" ht="15.75" hidden="false" customHeight="false" outlineLevel="0" collapsed="false">
      <c r="L840" s="3"/>
      <c r="M840" s="3"/>
    </row>
    <row r="841" customFormat="false" ht="15.75" hidden="false" customHeight="false" outlineLevel="0" collapsed="false">
      <c r="L841" s="3"/>
      <c r="M841" s="3"/>
    </row>
    <row r="842" customFormat="false" ht="15.75" hidden="false" customHeight="false" outlineLevel="0" collapsed="false">
      <c r="L842" s="3"/>
      <c r="M842" s="3"/>
    </row>
    <row r="843" customFormat="false" ht="15.75" hidden="false" customHeight="false" outlineLevel="0" collapsed="false">
      <c r="L843" s="3"/>
      <c r="M843" s="3"/>
    </row>
    <row r="844" customFormat="false" ht="15.75" hidden="false" customHeight="false" outlineLevel="0" collapsed="false">
      <c r="L844" s="3"/>
      <c r="M844" s="3"/>
    </row>
    <row r="845" customFormat="false" ht="15.75" hidden="false" customHeight="false" outlineLevel="0" collapsed="false">
      <c r="L845" s="3"/>
      <c r="M845" s="3"/>
    </row>
    <row r="846" customFormat="false" ht="15.75" hidden="false" customHeight="false" outlineLevel="0" collapsed="false">
      <c r="L846" s="3"/>
      <c r="M846" s="3"/>
    </row>
    <row r="847" customFormat="false" ht="15.75" hidden="false" customHeight="false" outlineLevel="0" collapsed="false">
      <c r="L847" s="3"/>
      <c r="M847" s="3"/>
    </row>
    <row r="848" customFormat="false" ht="15.75" hidden="false" customHeight="false" outlineLevel="0" collapsed="false">
      <c r="L848" s="3"/>
      <c r="M848" s="3"/>
    </row>
    <row r="849" customFormat="false" ht="15.75" hidden="false" customHeight="false" outlineLevel="0" collapsed="false">
      <c r="L849" s="3"/>
      <c r="M849" s="3"/>
    </row>
    <row r="850" customFormat="false" ht="15.75" hidden="false" customHeight="false" outlineLevel="0" collapsed="false">
      <c r="L850" s="3"/>
      <c r="M850" s="3"/>
    </row>
    <row r="851" customFormat="false" ht="15.75" hidden="false" customHeight="false" outlineLevel="0" collapsed="false">
      <c r="L851" s="3"/>
      <c r="M851" s="3"/>
    </row>
    <row r="852" customFormat="false" ht="15.75" hidden="false" customHeight="false" outlineLevel="0" collapsed="false">
      <c r="L852" s="3"/>
      <c r="M852" s="3"/>
    </row>
    <row r="853" customFormat="false" ht="15.75" hidden="false" customHeight="false" outlineLevel="0" collapsed="false">
      <c r="L853" s="3"/>
      <c r="M853" s="3"/>
    </row>
    <row r="854" customFormat="false" ht="15.75" hidden="false" customHeight="false" outlineLevel="0" collapsed="false">
      <c r="L854" s="3"/>
      <c r="M854" s="3"/>
    </row>
    <row r="855" customFormat="false" ht="15.75" hidden="false" customHeight="false" outlineLevel="0" collapsed="false">
      <c r="L855" s="3"/>
      <c r="M855" s="3"/>
    </row>
    <row r="856" customFormat="false" ht="15.75" hidden="false" customHeight="false" outlineLevel="0" collapsed="false">
      <c r="L856" s="3"/>
      <c r="M856" s="3"/>
    </row>
    <row r="857" customFormat="false" ht="15.75" hidden="false" customHeight="false" outlineLevel="0" collapsed="false">
      <c r="L857" s="3"/>
      <c r="M857" s="3"/>
    </row>
    <row r="858" customFormat="false" ht="15.75" hidden="false" customHeight="false" outlineLevel="0" collapsed="false">
      <c r="L858" s="3"/>
      <c r="M858" s="3"/>
    </row>
    <row r="859" customFormat="false" ht="15.75" hidden="false" customHeight="false" outlineLevel="0" collapsed="false">
      <c r="L859" s="3"/>
      <c r="M859" s="3"/>
    </row>
    <row r="860" customFormat="false" ht="15.75" hidden="false" customHeight="false" outlineLevel="0" collapsed="false">
      <c r="L860" s="3"/>
      <c r="M860" s="3"/>
    </row>
    <row r="861" customFormat="false" ht="15.75" hidden="false" customHeight="false" outlineLevel="0" collapsed="false">
      <c r="L861" s="3"/>
      <c r="M861" s="3"/>
    </row>
    <row r="862" customFormat="false" ht="15.75" hidden="false" customHeight="false" outlineLevel="0" collapsed="false">
      <c r="L862" s="3"/>
      <c r="M862" s="3"/>
    </row>
    <row r="863" customFormat="false" ht="15.75" hidden="false" customHeight="false" outlineLevel="0" collapsed="false">
      <c r="L863" s="3"/>
      <c r="M863" s="3"/>
    </row>
    <row r="864" customFormat="false" ht="15.75" hidden="false" customHeight="false" outlineLevel="0" collapsed="false">
      <c r="L864" s="3"/>
      <c r="M864" s="3"/>
    </row>
    <row r="865" customFormat="false" ht="15.75" hidden="false" customHeight="false" outlineLevel="0" collapsed="false">
      <c r="L865" s="3"/>
      <c r="M865" s="3"/>
    </row>
    <row r="866" customFormat="false" ht="15.75" hidden="false" customHeight="false" outlineLevel="0" collapsed="false">
      <c r="L866" s="3"/>
      <c r="M866" s="3"/>
    </row>
    <row r="867" customFormat="false" ht="15.75" hidden="false" customHeight="false" outlineLevel="0" collapsed="false">
      <c r="L867" s="3"/>
      <c r="M867" s="3"/>
    </row>
    <row r="868" customFormat="false" ht="15.75" hidden="false" customHeight="false" outlineLevel="0" collapsed="false">
      <c r="L868" s="3"/>
      <c r="M868" s="3"/>
    </row>
    <row r="869" customFormat="false" ht="15.75" hidden="false" customHeight="false" outlineLevel="0" collapsed="false">
      <c r="L869" s="3"/>
      <c r="M869" s="3"/>
    </row>
    <row r="870" customFormat="false" ht="15.75" hidden="false" customHeight="false" outlineLevel="0" collapsed="false">
      <c r="L870" s="3"/>
      <c r="M870" s="3"/>
    </row>
    <row r="871" customFormat="false" ht="15.75" hidden="false" customHeight="false" outlineLevel="0" collapsed="false">
      <c r="L871" s="3"/>
      <c r="M871" s="3"/>
    </row>
    <row r="872" customFormat="false" ht="15.75" hidden="false" customHeight="false" outlineLevel="0" collapsed="false">
      <c r="L872" s="3"/>
      <c r="M872" s="3"/>
    </row>
    <row r="873" customFormat="false" ht="15.75" hidden="false" customHeight="false" outlineLevel="0" collapsed="false">
      <c r="L873" s="3"/>
      <c r="M873" s="3"/>
    </row>
    <row r="874" customFormat="false" ht="15.75" hidden="false" customHeight="false" outlineLevel="0" collapsed="false">
      <c r="L874" s="3"/>
      <c r="M874" s="3"/>
    </row>
    <row r="875" customFormat="false" ht="15.75" hidden="false" customHeight="false" outlineLevel="0" collapsed="false">
      <c r="L875" s="3"/>
      <c r="M875" s="3"/>
    </row>
    <row r="876" customFormat="false" ht="15.75" hidden="false" customHeight="false" outlineLevel="0" collapsed="false">
      <c r="L876" s="3"/>
      <c r="M876" s="3"/>
    </row>
    <row r="877" customFormat="false" ht="15.75" hidden="false" customHeight="false" outlineLevel="0" collapsed="false">
      <c r="L877" s="3"/>
      <c r="M877" s="3"/>
    </row>
    <row r="878" customFormat="false" ht="15.75" hidden="false" customHeight="false" outlineLevel="0" collapsed="false">
      <c r="L878" s="3"/>
      <c r="M878" s="3"/>
    </row>
    <row r="879" customFormat="false" ht="15.75" hidden="false" customHeight="false" outlineLevel="0" collapsed="false">
      <c r="L879" s="3"/>
      <c r="M879" s="3"/>
    </row>
    <row r="880" customFormat="false" ht="15.75" hidden="false" customHeight="false" outlineLevel="0" collapsed="false">
      <c r="L880" s="3"/>
      <c r="M880" s="3"/>
    </row>
    <row r="881" customFormat="false" ht="15.75" hidden="false" customHeight="false" outlineLevel="0" collapsed="false">
      <c r="L881" s="3"/>
      <c r="M881" s="3"/>
    </row>
    <row r="882" customFormat="false" ht="15.75" hidden="false" customHeight="false" outlineLevel="0" collapsed="false">
      <c r="L882" s="3"/>
      <c r="M882" s="3"/>
    </row>
    <row r="883" customFormat="false" ht="15.75" hidden="false" customHeight="false" outlineLevel="0" collapsed="false">
      <c r="L883" s="3"/>
      <c r="M883" s="3"/>
    </row>
    <row r="884" customFormat="false" ht="15.75" hidden="false" customHeight="false" outlineLevel="0" collapsed="false">
      <c r="L884" s="3"/>
      <c r="M884" s="3"/>
    </row>
    <row r="885" customFormat="false" ht="15.75" hidden="false" customHeight="false" outlineLevel="0" collapsed="false">
      <c r="L885" s="3"/>
      <c r="M885" s="3"/>
    </row>
    <row r="886" customFormat="false" ht="15.75" hidden="false" customHeight="false" outlineLevel="0" collapsed="false">
      <c r="L886" s="3"/>
      <c r="M886" s="3"/>
    </row>
    <row r="887" customFormat="false" ht="15.75" hidden="false" customHeight="false" outlineLevel="0" collapsed="false">
      <c r="L887" s="3"/>
      <c r="M887" s="3"/>
    </row>
    <row r="888" customFormat="false" ht="15.75" hidden="false" customHeight="false" outlineLevel="0" collapsed="false">
      <c r="L888" s="3"/>
      <c r="M888" s="3"/>
    </row>
    <row r="889" customFormat="false" ht="15.75" hidden="false" customHeight="false" outlineLevel="0" collapsed="false">
      <c r="L889" s="3"/>
      <c r="M889" s="3"/>
    </row>
    <row r="890" customFormat="false" ht="15.75" hidden="false" customHeight="false" outlineLevel="0" collapsed="false">
      <c r="L890" s="3"/>
      <c r="M890" s="3"/>
    </row>
    <row r="891" customFormat="false" ht="15.75" hidden="false" customHeight="false" outlineLevel="0" collapsed="false">
      <c r="L891" s="3"/>
      <c r="M891" s="3"/>
    </row>
    <row r="892" customFormat="false" ht="15.75" hidden="false" customHeight="false" outlineLevel="0" collapsed="false">
      <c r="L892" s="3"/>
      <c r="M892" s="3"/>
    </row>
    <row r="893" customFormat="false" ht="15.75" hidden="false" customHeight="false" outlineLevel="0" collapsed="false">
      <c r="L893" s="3"/>
      <c r="M893" s="3"/>
    </row>
    <row r="894" customFormat="false" ht="15.75" hidden="false" customHeight="false" outlineLevel="0" collapsed="false">
      <c r="L894" s="3"/>
      <c r="M894" s="3"/>
    </row>
    <row r="895" customFormat="false" ht="15.75" hidden="false" customHeight="false" outlineLevel="0" collapsed="false">
      <c r="L895" s="3"/>
      <c r="M895" s="3"/>
    </row>
    <row r="896" customFormat="false" ht="15.75" hidden="false" customHeight="false" outlineLevel="0" collapsed="false">
      <c r="L896" s="3"/>
      <c r="M896" s="3"/>
    </row>
    <row r="897" customFormat="false" ht="15.75" hidden="false" customHeight="false" outlineLevel="0" collapsed="false">
      <c r="L897" s="3"/>
      <c r="M897" s="3"/>
    </row>
    <row r="898" customFormat="false" ht="15.75" hidden="false" customHeight="false" outlineLevel="0" collapsed="false">
      <c r="L898" s="3"/>
      <c r="M898" s="3"/>
    </row>
    <row r="899" customFormat="false" ht="15.75" hidden="false" customHeight="false" outlineLevel="0" collapsed="false">
      <c r="L899" s="3"/>
      <c r="M899" s="3"/>
    </row>
    <row r="900" customFormat="false" ht="15.75" hidden="false" customHeight="false" outlineLevel="0" collapsed="false">
      <c r="L900" s="3"/>
      <c r="M900" s="3"/>
    </row>
    <row r="901" customFormat="false" ht="15.75" hidden="false" customHeight="false" outlineLevel="0" collapsed="false">
      <c r="L901" s="3"/>
      <c r="M901" s="3"/>
    </row>
    <row r="902" customFormat="false" ht="15.75" hidden="false" customHeight="false" outlineLevel="0" collapsed="false">
      <c r="L902" s="3"/>
      <c r="M902" s="3"/>
    </row>
    <row r="903" customFormat="false" ht="15.75" hidden="false" customHeight="false" outlineLevel="0" collapsed="false">
      <c r="L903" s="3"/>
      <c r="M903" s="3"/>
    </row>
    <row r="904" customFormat="false" ht="15.75" hidden="false" customHeight="false" outlineLevel="0" collapsed="false">
      <c r="L904" s="3"/>
      <c r="M904" s="3"/>
    </row>
    <row r="905" customFormat="false" ht="15.75" hidden="false" customHeight="false" outlineLevel="0" collapsed="false">
      <c r="L905" s="3"/>
      <c r="M905" s="3"/>
    </row>
    <row r="906" customFormat="false" ht="15.75" hidden="false" customHeight="false" outlineLevel="0" collapsed="false">
      <c r="L906" s="3"/>
      <c r="M906" s="3"/>
    </row>
    <row r="907" customFormat="false" ht="15.75" hidden="false" customHeight="false" outlineLevel="0" collapsed="false">
      <c r="L907" s="3"/>
      <c r="M907" s="3"/>
    </row>
    <row r="908" customFormat="false" ht="15.75" hidden="false" customHeight="false" outlineLevel="0" collapsed="false">
      <c r="L908" s="3"/>
      <c r="M908" s="3"/>
    </row>
    <row r="909" customFormat="false" ht="15.75" hidden="false" customHeight="false" outlineLevel="0" collapsed="false">
      <c r="L909" s="3"/>
      <c r="M909" s="3"/>
    </row>
    <row r="910" customFormat="false" ht="15.75" hidden="false" customHeight="false" outlineLevel="0" collapsed="false">
      <c r="L910" s="3"/>
      <c r="M910" s="3"/>
    </row>
    <row r="911" customFormat="false" ht="15.75" hidden="false" customHeight="false" outlineLevel="0" collapsed="false">
      <c r="L911" s="3"/>
      <c r="M911" s="3"/>
    </row>
    <row r="912" customFormat="false" ht="15.75" hidden="false" customHeight="false" outlineLevel="0" collapsed="false">
      <c r="L912" s="3"/>
      <c r="M912" s="3"/>
    </row>
    <row r="913" customFormat="false" ht="15.75" hidden="false" customHeight="false" outlineLevel="0" collapsed="false">
      <c r="L913" s="3"/>
      <c r="M913" s="3"/>
    </row>
    <row r="914" customFormat="false" ht="15.75" hidden="false" customHeight="false" outlineLevel="0" collapsed="false">
      <c r="L914" s="3"/>
      <c r="M914" s="3"/>
    </row>
    <row r="915" customFormat="false" ht="15.75" hidden="false" customHeight="false" outlineLevel="0" collapsed="false">
      <c r="L915" s="3"/>
      <c r="M915" s="3"/>
    </row>
    <row r="916" customFormat="false" ht="15.75" hidden="false" customHeight="false" outlineLevel="0" collapsed="false">
      <c r="L916" s="3"/>
      <c r="M916" s="3"/>
    </row>
    <row r="917" customFormat="false" ht="15.75" hidden="false" customHeight="false" outlineLevel="0" collapsed="false">
      <c r="L917" s="3"/>
      <c r="M917" s="3"/>
    </row>
    <row r="918" customFormat="false" ht="15.75" hidden="false" customHeight="false" outlineLevel="0" collapsed="false">
      <c r="L918" s="3"/>
      <c r="M918" s="3"/>
    </row>
    <row r="919" customFormat="false" ht="15.75" hidden="false" customHeight="false" outlineLevel="0" collapsed="false">
      <c r="L919" s="3"/>
      <c r="M919" s="3"/>
    </row>
    <row r="920" customFormat="false" ht="15.75" hidden="false" customHeight="false" outlineLevel="0" collapsed="false">
      <c r="L920" s="3"/>
      <c r="M920" s="3"/>
    </row>
    <row r="921" customFormat="false" ht="15.75" hidden="false" customHeight="false" outlineLevel="0" collapsed="false">
      <c r="L921" s="3"/>
      <c r="M921" s="3"/>
    </row>
    <row r="922" customFormat="false" ht="15.75" hidden="false" customHeight="false" outlineLevel="0" collapsed="false">
      <c r="L922" s="3"/>
      <c r="M922" s="3"/>
    </row>
    <row r="923" customFormat="false" ht="15.75" hidden="false" customHeight="false" outlineLevel="0" collapsed="false">
      <c r="L923" s="3"/>
      <c r="M923" s="3"/>
    </row>
    <row r="924" customFormat="false" ht="15.75" hidden="false" customHeight="false" outlineLevel="0" collapsed="false">
      <c r="L924" s="3"/>
      <c r="M924" s="3"/>
    </row>
    <row r="925" customFormat="false" ht="15.75" hidden="false" customHeight="false" outlineLevel="0" collapsed="false">
      <c r="L925" s="3"/>
      <c r="M925" s="3"/>
    </row>
    <row r="926" customFormat="false" ht="15.75" hidden="false" customHeight="false" outlineLevel="0" collapsed="false">
      <c r="L926" s="3"/>
      <c r="M926" s="3"/>
    </row>
    <row r="927" customFormat="false" ht="15.75" hidden="false" customHeight="false" outlineLevel="0" collapsed="false">
      <c r="L927" s="3"/>
      <c r="M927" s="3"/>
    </row>
    <row r="928" customFormat="false" ht="15.75" hidden="false" customHeight="false" outlineLevel="0" collapsed="false">
      <c r="L928" s="3"/>
      <c r="M928" s="3"/>
    </row>
    <row r="929" customFormat="false" ht="15.75" hidden="false" customHeight="false" outlineLevel="0" collapsed="false">
      <c r="L929" s="3"/>
      <c r="M929" s="3"/>
    </row>
    <row r="930" customFormat="false" ht="15.75" hidden="false" customHeight="false" outlineLevel="0" collapsed="false">
      <c r="L930" s="3"/>
      <c r="M930" s="3"/>
    </row>
    <row r="931" customFormat="false" ht="15.75" hidden="false" customHeight="false" outlineLevel="0" collapsed="false">
      <c r="L931" s="3"/>
      <c r="M931" s="3"/>
    </row>
    <row r="932" customFormat="false" ht="15.75" hidden="false" customHeight="false" outlineLevel="0" collapsed="false">
      <c r="L932" s="3"/>
      <c r="M932" s="3"/>
    </row>
    <row r="933" customFormat="false" ht="15.75" hidden="false" customHeight="false" outlineLevel="0" collapsed="false">
      <c r="L933" s="3"/>
      <c r="M933" s="3"/>
    </row>
    <row r="934" customFormat="false" ht="15.75" hidden="false" customHeight="false" outlineLevel="0" collapsed="false">
      <c r="L934" s="3"/>
      <c r="M934" s="3"/>
    </row>
    <row r="935" customFormat="false" ht="15.75" hidden="false" customHeight="false" outlineLevel="0" collapsed="false">
      <c r="L935" s="3"/>
      <c r="M935" s="3"/>
    </row>
    <row r="936" customFormat="false" ht="15.75" hidden="false" customHeight="false" outlineLevel="0" collapsed="false">
      <c r="L936" s="3"/>
      <c r="M936" s="3"/>
    </row>
    <row r="937" customFormat="false" ht="15.75" hidden="false" customHeight="false" outlineLevel="0" collapsed="false">
      <c r="L937" s="3"/>
      <c r="M937" s="3"/>
    </row>
    <row r="938" customFormat="false" ht="15.75" hidden="false" customHeight="false" outlineLevel="0" collapsed="false">
      <c r="L938" s="3"/>
      <c r="M938" s="3"/>
    </row>
    <row r="939" customFormat="false" ht="15.75" hidden="false" customHeight="false" outlineLevel="0" collapsed="false">
      <c r="L939" s="3"/>
      <c r="M939" s="3"/>
    </row>
    <row r="940" customFormat="false" ht="15.75" hidden="false" customHeight="false" outlineLevel="0" collapsed="false">
      <c r="L940" s="3"/>
      <c r="M940" s="3"/>
    </row>
    <row r="941" customFormat="false" ht="15.75" hidden="false" customHeight="false" outlineLevel="0" collapsed="false">
      <c r="L941" s="3"/>
      <c r="M941" s="3"/>
    </row>
    <row r="942" customFormat="false" ht="15.75" hidden="false" customHeight="false" outlineLevel="0" collapsed="false">
      <c r="L942" s="3"/>
      <c r="M942" s="3"/>
    </row>
    <row r="943" customFormat="false" ht="15.75" hidden="false" customHeight="false" outlineLevel="0" collapsed="false">
      <c r="L943" s="3"/>
      <c r="M943" s="3"/>
    </row>
    <row r="944" customFormat="false" ht="15.75" hidden="false" customHeight="false" outlineLevel="0" collapsed="false">
      <c r="L944" s="3"/>
      <c r="M944" s="3"/>
    </row>
    <row r="945" customFormat="false" ht="15.75" hidden="false" customHeight="false" outlineLevel="0" collapsed="false">
      <c r="L945" s="3"/>
      <c r="M945" s="3"/>
    </row>
    <row r="946" customFormat="false" ht="15.75" hidden="false" customHeight="false" outlineLevel="0" collapsed="false">
      <c r="L946" s="3"/>
      <c r="M946" s="3"/>
    </row>
    <row r="947" customFormat="false" ht="15.75" hidden="false" customHeight="false" outlineLevel="0" collapsed="false">
      <c r="L947" s="3"/>
      <c r="M947" s="3"/>
    </row>
    <row r="948" customFormat="false" ht="15.75" hidden="false" customHeight="false" outlineLevel="0" collapsed="false">
      <c r="L948" s="3"/>
      <c r="M948" s="3"/>
    </row>
    <row r="949" customFormat="false" ht="15.75" hidden="false" customHeight="false" outlineLevel="0" collapsed="false">
      <c r="L949" s="3"/>
      <c r="M949" s="3"/>
    </row>
    <row r="950" customFormat="false" ht="15.75" hidden="false" customHeight="false" outlineLevel="0" collapsed="false">
      <c r="L950" s="3"/>
      <c r="M950" s="3"/>
    </row>
    <row r="951" customFormat="false" ht="15.75" hidden="false" customHeight="false" outlineLevel="0" collapsed="false">
      <c r="L951" s="3"/>
      <c r="M951" s="3"/>
    </row>
    <row r="952" customFormat="false" ht="15.75" hidden="false" customHeight="false" outlineLevel="0" collapsed="false">
      <c r="L952" s="3"/>
      <c r="M952" s="3"/>
    </row>
    <row r="953" customFormat="false" ht="15.75" hidden="false" customHeight="false" outlineLevel="0" collapsed="false">
      <c r="L953" s="3"/>
      <c r="M953" s="3"/>
    </row>
    <row r="954" customFormat="false" ht="15.75" hidden="false" customHeight="false" outlineLevel="0" collapsed="false">
      <c r="L954" s="3"/>
      <c r="M954" s="3"/>
    </row>
    <row r="955" customFormat="false" ht="15.75" hidden="false" customHeight="false" outlineLevel="0" collapsed="false">
      <c r="L955" s="3"/>
      <c r="M955" s="3"/>
    </row>
    <row r="956" customFormat="false" ht="15.75" hidden="false" customHeight="false" outlineLevel="0" collapsed="false">
      <c r="L956" s="3"/>
      <c r="M956" s="3"/>
    </row>
    <row r="957" customFormat="false" ht="15.75" hidden="false" customHeight="false" outlineLevel="0" collapsed="false">
      <c r="L957" s="3"/>
      <c r="M957" s="3"/>
    </row>
    <row r="958" customFormat="false" ht="15.75" hidden="false" customHeight="false" outlineLevel="0" collapsed="false">
      <c r="L958" s="3"/>
      <c r="M958" s="3"/>
    </row>
    <row r="959" customFormat="false" ht="15.75" hidden="false" customHeight="false" outlineLevel="0" collapsed="false">
      <c r="L959" s="3"/>
      <c r="M959" s="3"/>
    </row>
    <row r="960" customFormat="false" ht="15.75" hidden="false" customHeight="false" outlineLevel="0" collapsed="false">
      <c r="L960" s="3"/>
      <c r="M960" s="3"/>
    </row>
    <row r="961" customFormat="false" ht="15.75" hidden="false" customHeight="false" outlineLevel="0" collapsed="false">
      <c r="L961" s="3"/>
      <c r="M961" s="3"/>
    </row>
    <row r="962" customFormat="false" ht="15.75" hidden="false" customHeight="false" outlineLevel="0" collapsed="false">
      <c r="L962" s="3"/>
      <c r="M962" s="3"/>
    </row>
    <row r="963" customFormat="false" ht="15.75" hidden="false" customHeight="false" outlineLevel="0" collapsed="false">
      <c r="L963" s="3"/>
      <c r="M963" s="3"/>
    </row>
    <row r="964" customFormat="false" ht="15.75" hidden="false" customHeight="false" outlineLevel="0" collapsed="false">
      <c r="L964" s="3"/>
      <c r="M964" s="3"/>
    </row>
    <row r="965" customFormat="false" ht="15.75" hidden="false" customHeight="false" outlineLevel="0" collapsed="false">
      <c r="L965" s="3"/>
      <c r="M965" s="3"/>
    </row>
    <row r="966" customFormat="false" ht="15.75" hidden="false" customHeight="false" outlineLevel="0" collapsed="false">
      <c r="L966" s="3"/>
      <c r="M966" s="3"/>
    </row>
    <row r="967" customFormat="false" ht="15.75" hidden="false" customHeight="false" outlineLevel="0" collapsed="false">
      <c r="L967" s="3"/>
      <c r="M967" s="3"/>
    </row>
    <row r="968" customFormat="false" ht="15.75" hidden="false" customHeight="false" outlineLevel="0" collapsed="false">
      <c r="L968" s="3"/>
      <c r="M968" s="3"/>
    </row>
    <row r="969" customFormat="false" ht="15.75" hidden="false" customHeight="false" outlineLevel="0" collapsed="false">
      <c r="L969" s="3"/>
      <c r="M969" s="3"/>
    </row>
    <row r="970" customFormat="false" ht="15.75" hidden="false" customHeight="false" outlineLevel="0" collapsed="false">
      <c r="L970" s="3"/>
      <c r="M970" s="3"/>
    </row>
    <row r="971" customFormat="false" ht="15.75" hidden="false" customHeight="false" outlineLevel="0" collapsed="false">
      <c r="L971" s="3"/>
      <c r="M971" s="3"/>
    </row>
    <row r="972" customFormat="false" ht="15.75" hidden="false" customHeight="false" outlineLevel="0" collapsed="false">
      <c r="L972" s="3"/>
      <c r="M972" s="3"/>
    </row>
    <row r="973" customFormat="false" ht="15.75" hidden="false" customHeight="false" outlineLevel="0" collapsed="false">
      <c r="L973" s="3"/>
      <c r="M973" s="3"/>
    </row>
    <row r="974" customFormat="false" ht="15.75" hidden="false" customHeight="false" outlineLevel="0" collapsed="false">
      <c r="L974" s="3"/>
      <c r="M974" s="3"/>
    </row>
    <row r="975" customFormat="false" ht="15.75" hidden="false" customHeight="false" outlineLevel="0" collapsed="false">
      <c r="L975" s="3"/>
      <c r="M975" s="3"/>
    </row>
    <row r="976" customFormat="false" ht="15.75" hidden="false" customHeight="false" outlineLevel="0" collapsed="false">
      <c r="L976" s="3"/>
      <c r="M976" s="3"/>
    </row>
    <row r="977" customFormat="false" ht="15.75" hidden="false" customHeight="false" outlineLevel="0" collapsed="false">
      <c r="L977" s="3"/>
      <c r="M977" s="3"/>
    </row>
    <row r="978" customFormat="false" ht="15.75" hidden="false" customHeight="false" outlineLevel="0" collapsed="false">
      <c r="L978" s="3"/>
      <c r="M978" s="3"/>
    </row>
    <row r="979" customFormat="false" ht="15.75" hidden="false" customHeight="false" outlineLevel="0" collapsed="false">
      <c r="L979" s="3"/>
      <c r="M979" s="3"/>
    </row>
    <row r="980" customFormat="false" ht="15.75" hidden="false" customHeight="false" outlineLevel="0" collapsed="false">
      <c r="L980" s="3"/>
      <c r="M980" s="3"/>
    </row>
    <row r="981" customFormat="false" ht="15.75" hidden="false" customHeight="false" outlineLevel="0" collapsed="false">
      <c r="L981" s="3"/>
      <c r="M981" s="3"/>
    </row>
    <row r="982" customFormat="false" ht="15.75" hidden="false" customHeight="false" outlineLevel="0" collapsed="false">
      <c r="L982" s="3"/>
      <c r="M982" s="3"/>
    </row>
    <row r="983" customFormat="false" ht="15.75" hidden="false" customHeight="false" outlineLevel="0" collapsed="false">
      <c r="L983" s="3"/>
      <c r="M983" s="3"/>
    </row>
    <row r="984" customFormat="false" ht="15.75" hidden="false" customHeight="false" outlineLevel="0" collapsed="false">
      <c r="L984" s="3"/>
      <c r="M984" s="3"/>
    </row>
    <row r="985" customFormat="false" ht="15.75" hidden="false" customHeight="false" outlineLevel="0" collapsed="false">
      <c r="L985" s="3"/>
      <c r="M985" s="3"/>
    </row>
    <row r="986" customFormat="false" ht="15.75" hidden="false" customHeight="false" outlineLevel="0" collapsed="false">
      <c r="L986" s="3"/>
      <c r="M986" s="3"/>
    </row>
    <row r="987" customFormat="false" ht="15.75" hidden="false" customHeight="false" outlineLevel="0" collapsed="false">
      <c r="L987" s="3"/>
      <c r="M987" s="3"/>
    </row>
    <row r="988" customFormat="false" ht="15.75" hidden="false" customHeight="false" outlineLevel="0" collapsed="false">
      <c r="L988" s="3"/>
      <c r="M988" s="3"/>
    </row>
    <row r="989" customFormat="false" ht="15.75" hidden="false" customHeight="false" outlineLevel="0" collapsed="false">
      <c r="L989" s="3"/>
      <c r="M989" s="3"/>
    </row>
    <row r="990" customFormat="false" ht="15.75" hidden="false" customHeight="false" outlineLevel="0" collapsed="false">
      <c r="L990" s="3"/>
      <c r="M990" s="3"/>
    </row>
    <row r="991" customFormat="false" ht="15.75" hidden="false" customHeight="false" outlineLevel="0" collapsed="false">
      <c r="L991" s="3"/>
      <c r="M991" s="3"/>
    </row>
    <row r="992" customFormat="false" ht="15.75" hidden="false" customHeight="false" outlineLevel="0" collapsed="false">
      <c r="L992" s="3"/>
      <c r="M992" s="3"/>
    </row>
    <row r="993" customFormat="false" ht="15.75" hidden="false" customHeight="false" outlineLevel="0" collapsed="false">
      <c r="L993" s="3"/>
      <c r="M993" s="3"/>
    </row>
    <row r="994" customFormat="false" ht="15.75" hidden="false" customHeight="false" outlineLevel="0" collapsed="false">
      <c r="L994" s="3"/>
      <c r="M994" s="3"/>
    </row>
    <row r="995" customFormat="false" ht="15.75" hidden="false" customHeight="false" outlineLevel="0" collapsed="false">
      <c r="L995" s="3"/>
      <c r="M995" s="3"/>
    </row>
    <row r="996" customFormat="false" ht="15.75" hidden="false" customHeight="false" outlineLevel="0" collapsed="false">
      <c r="L996" s="3"/>
      <c r="M996" s="3"/>
    </row>
    <row r="997" customFormat="false" ht="15.75" hidden="false" customHeight="false" outlineLevel="0" collapsed="false">
      <c r="L997" s="3"/>
      <c r="M997" s="3"/>
    </row>
    <row r="998" customFormat="false" ht="15.75" hidden="false" customHeight="false" outlineLevel="0" collapsed="false">
      <c r="L998" s="3"/>
      <c r="M998" s="3"/>
    </row>
    <row r="999" customFormat="false" ht="15.75" hidden="false" customHeight="false" outlineLevel="0" collapsed="false">
      <c r="L999" s="3"/>
      <c r="M999" s="3"/>
    </row>
    <row r="1000" customFormat="false" ht="15.75" hidden="false" customHeight="false" outlineLevel="0" collapsed="false">
      <c r="L1000" s="3"/>
      <c r="M1000" s="3"/>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4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75" zeroHeight="false" outlineLevelRow="0" outlineLevelCol="0"/>
  <cols>
    <col collapsed="false" customWidth="true" hidden="false" outlineLevel="0" max="1" min="1" style="0" width="15.63"/>
    <col collapsed="false" customWidth="true" hidden="false" outlineLevel="0" max="2" min="2" style="0" width="13.13"/>
  </cols>
  <sheetData>
    <row r="1" customFormat="false" ht="15.75" hidden="false" customHeight="false" outlineLevel="0" collapsed="false">
      <c r="A1" s="3" t="s">
        <v>606</v>
      </c>
      <c r="D1" s="3" t="s">
        <v>607</v>
      </c>
      <c r="E1" s="3"/>
    </row>
    <row r="2" customFormat="false" ht="15.75" hidden="false" customHeight="false" outlineLevel="0" collapsed="false">
      <c r="A2" s="290" t="s">
        <v>8</v>
      </c>
      <c r="B2" s="290" t="s">
        <v>608</v>
      </c>
      <c r="D2" s="307" t="s">
        <v>8</v>
      </c>
      <c r="E2" s="307" t="s">
        <v>608</v>
      </c>
    </row>
    <row r="3" customFormat="false" ht="15.75" hidden="false" customHeight="false" outlineLevel="0" collapsed="false">
      <c r="A3" s="290" t="s">
        <v>12</v>
      </c>
      <c r="B3" s="290" t="n">
        <v>100</v>
      </c>
      <c r="D3" s="290" t="s">
        <v>12</v>
      </c>
      <c r="E3" s="308" t="n">
        <v>100</v>
      </c>
    </row>
    <row r="4" customFormat="false" ht="15.75" hidden="false" customHeight="false" outlineLevel="0" collapsed="false">
      <c r="A4" s="290" t="s">
        <v>13</v>
      </c>
      <c r="B4" s="290" t="n">
        <v>42</v>
      </c>
      <c r="D4" s="290" t="s">
        <v>13</v>
      </c>
      <c r="E4" s="308" t="n">
        <v>42</v>
      </c>
    </row>
    <row r="5" customFormat="false" ht="15.75" hidden="false" customHeight="false" outlineLevel="0" collapsed="false">
      <c r="A5" s="290" t="s">
        <v>15</v>
      </c>
      <c r="B5" s="290" t="n">
        <v>98</v>
      </c>
      <c r="D5" s="290" t="s">
        <v>15</v>
      </c>
      <c r="E5" s="308" t="n">
        <v>98</v>
      </c>
    </row>
    <row r="6" customFormat="false" ht="15.75" hidden="false" customHeight="false" outlineLevel="0" collapsed="false">
      <c r="A6" s="290" t="s">
        <v>18</v>
      </c>
      <c r="B6" s="290" t="n">
        <v>82</v>
      </c>
      <c r="D6" s="290" t="s">
        <v>18</v>
      </c>
      <c r="E6" s="308" t="n">
        <v>82</v>
      </c>
    </row>
    <row r="7" customFormat="false" ht="15.75" hidden="false" customHeight="false" outlineLevel="0" collapsed="false">
      <c r="A7" s="290" t="s">
        <v>20</v>
      </c>
      <c r="B7" s="290" t="n">
        <v>73</v>
      </c>
      <c r="D7" s="290" t="s">
        <v>20</v>
      </c>
      <c r="E7" s="308" t="n">
        <v>73</v>
      </c>
    </row>
    <row r="8" customFormat="false" ht="15.75" hidden="false" customHeight="false" outlineLevel="0" collapsed="false">
      <c r="A8" s="290" t="s">
        <v>22</v>
      </c>
      <c r="B8" s="290" t="n">
        <v>50</v>
      </c>
      <c r="D8" s="290" t="s">
        <v>22</v>
      </c>
      <c r="E8" s="308" t="n">
        <v>50</v>
      </c>
    </row>
    <row r="9" customFormat="false" ht="15.75" hidden="false" customHeight="false" outlineLevel="0" collapsed="false">
      <c r="A9" s="290" t="s">
        <v>24</v>
      </c>
      <c r="B9" s="290" t="n">
        <v>96</v>
      </c>
      <c r="D9" s="290" t="s">
        <v>24</v>
      </c>
      <c r="E9" s="308" t="n">
        <v>96</v>
      </c>
    </row>
    <row r="10" customFormat="false" ht="15.75" hidden="false" customHeight="false" outlineLevel="0" collapsed="false">
      <c r="A10" s="290" t="s">
        <v>25</v>
      </c>
      <c r="B10" s="290" t="n">
        <v>84</v>
      </c>
      <c r="D10" s="290" t="s">
        <v>25</v>
      </c>
      <c r="E10" s="308" t="n">
        <v>84</v>
      </c>
    </row>
    <row r="11" customFormat="false" ht="15.75" hidden="false" customHeight="false" outlineLevel="0" collapsed="false">
      <c r="A11" s="290" t="s">
        <v>27</v>
      </c>
      <c r="B11" s="290" t="n">
        <v>84</v>
      </c>
      <c r="D11" s="290" t="s">
        <v>27</v>
      </c>
      <c r="E11" s="308" t="n">
        <v>84</v>
      </c>
    </row>
    <row r="12" customFormat="false" ht="15.75" hidden="false" customHeight="false" outlineLevel="0" collapsed="false">
      <c r="A12" s="290" t="s">
        <v>28</v>
      </c>
      <c r="B12" s="290" t="n">
        <v>30</v>
      </c>
      <c r="D12" s="290" t="s">
        <v>28</v>
      </c>
      <c r="E12" s="308" t="n">
        <v>30</v>
      </c>
    </row>
    <row r="13" customFormat="false" ht="15.75" hidden="false" customHeight="false" outlineLevel="0" collapsed="false">
      <c r="A13" s="290" t="s">
        <v>29</v>
      </c>
      <c r="B13" s="290" t="n">
        <v>86</v>
      </c>
      <c r="D13" s="290" t="s">
        <v>29</v>
      </c>
      <c r="E13" s="308" t="n">
        <v>86</v>
      </c>
    </row>
    <row r="14" customFormat="false" ht="15.75" hidden="false" customHeight="false" outlineLevel="0" collapsed="false">
      <c r="A14" s="290" t="s">
        <v>30</v>
      </c>
      <c r="B14" s="290" t="n">
        <v>86</v>
      </c>
      <c r="D14" s="290" t="s">
        <v>30</v>
      </c>
      <c r="E14" s="308" t="n">
        <v>86</v>
      </c>
    </row>
    <row r="15" customFormat="false" ht="15.75" hidden="false" customHeight="false" outlineLevel="0" collapsed="false">
      <c r="A15" s="290" t="s">
        <v>26</v>
      </c>
      <c r="B15" s="290" t="n">
        <v>72</v>
      </c>
      <c r="D15" s="290" t="s">
        <v>26</v>
      </c>
      <c r="E15" s="308" t="n">
        <v>72</v>
      </c>
    </row>
    <row r="16" customFormat="false" ht="15.75" hidden="false" customHeight="false" outlineLevel="0" collapsed="false">
      <c r="A16" s="290" t="s">
        <v>31</v>
      </c>
      <c r="B16" s="290" t="n">
        <v>35</v>
      </c>
      <c r="D16" s="290" t="s">
        <v>31</v>
      </c>
      <c r="E16" s="308" t="n">
        <v>35</v>
      </c>
    </row>
    <row r="17" customFormat="false" ht="15.75" hidden="false" customHeight="false" outlineLevel="0" collapsed="false">
      <c r="A17" s="290" t="s">
        <v>32</v>
      </c>
      <c r="B17" s="290" t="n">
        <v>2</v>
      </c>
      <c r="D17" s="290" t="s">
        <v>32</v>
      </c>
      <c r="E17" s="308" t="n">
        <v>2</v>
      </c>
    </row>
    <row r="18" customFormat="false" ht="15.75" hidden="false" customHeight="false" outlineLevel="0" collapsed="false">
      <c r="A18" s="290" t="s">
        <v>33</v>
      </c>
      <c r="B18" s="290" t="n">
        <v>44</v>
      </c>
      <c r="D18" s="290" t="s">
        <v>33</v>
      </c>
      <c r="E18" s="308" t="n">
        <v>44</v>
      </c>
    </row>
    <row r="19" customFormat="false" ht="15.75" hidden="false" customHeight="false" outlineLevel="0" collapsed="false">
      <c r="A19" s="290" t="s">
        <v>34</v>
      </c>
      <c r="B19" s="290" t="n">
        <v>25</v>
      </c>
      <c r="D19" s="290" t="s">
        <v>34</v>
      </c>
      <c r="E19" s="308" t="n">
        <v>25</v>
      </c>
    </row>
    <row r="20" customFormat="false" ht="15.75" hidden="false" customHeight="false" outlineLevel="0" collapsed="false">
      <c r="A20" s="290" t="s">
        <v>35</v>
      </c>
      <c r="B20" s="290" t="n">
        <v>3</v>
      </c>
      <c r="D20" s="290" t="s">
        <v>35</v>
      </c>
      <c r="E20" s="308" t="n">
        <v>3</v>
      </c>
    </row>
    <row r="21" customFormat="false" ht="15.75" hidden="false" customHeight="false" outlineLevel="0" collapsed="false">
      <c r="A21" s="290" t="s">
        <v>36</v>
      </c>
      <c r="B21" s="290" t="n">
        <v>55</v>
      </c>
      <c r="D21" s="290" t="s">
        <v>36</v>
      </c>
      <c r="E21" s="308" t="n">
        <v>55</v>
      </c>
    </row>
    <row r="22" customFormat="false" ht="15.75" hidden="false" customHeight="false" outlineLevel="0" collapsed="false">
      <c r="A22" s="290" t="s">
        <v>37</v>
      </c>
      <c r="B22" s="290" t="n">
        <v>41</v>
      </c>
      <c r="D22" s="290" t="s">
        <v>37</v>
      </c>
      <c r="E22" s="308" t="n">
        <v>41</v>
      </c>
    </row>
    <row r="23" customFormat="false" ht="15.75" hidden="false" customHeight="false" outlineLevel="0" collapsed="false">
      <c r="A23" s="290" t="s">
        <v>38</v>
      </c>
      <c r="B23" s="290" t="n">
        <v>18</v>
      </c>
      <c r="D23" s="290" t="s">
        <v>38</v>
      </c>
      <c r="E23" s="308" t="n">
        <v>18</v>
      </c>
    </row>
    <row r="24" customFormat="false" ht="15.75" hidden="false" customHeight="false" outlineLevel="0" collapsed="false">
      <c r="A24" s="290" t="s">
        <v>39</v>
      </c>
      <c r="B24" s="290" t="n">
        <v>83</v>
      </c>
      <c r="D24" s="290" t="s">
        <v>39</v>
      </c>
      <c r="E24" s="308" t="n">
        <v>83</v>
      </c>
    </row>
    <row r="25" customFormat="false" ht="15.75" hidden="false" customHeight="false" outlineLevel="0" collapsed="false">
      <c r="A25" s="290" t="s">
        <v>40</v>
      </c>
      <c r="B25" s="290" t="n">
        <v>19</v>
      </c>
      <c r="D25" s="290" t="s">
        <v>40</v>
      </c>
      <c r="E25" s="308" t="n">
        <v>19</v>
      </c>
    </row>
    <row r="26" customFormat="false" ht="15.75" hidden="false" customHeight="false" outlineLevel="0" collapsed="false">
      <c r="A26" s="290" t="s">
        <v>41</v>
      </c>
      <c r="B26" s="290" t="n">
        <v>62</v>
      </c>
      <c r="D26" s="290" t="s">
        <v>41</v>
      </c>
      <c r="E26" s="308" t="n">
        <v>62</v>
      </c>
    </row>
    <row r="27" customFormat="false" ht="15.75" hidden="false" customHeight="false" outlineLevel="0" collapsed="false">
      <c r="A27" s="290" t="s">
        <v>42</v>
      </c>
      <c r="B27" s="290" t="n">
        <v>17</v>
      </c>
      <c r="D27" s="290" t="s">
        <v>42</v>
      </c>
      <c r="E27" s="308" t="n">
        <v>17</v>
      </c>
    </row>
    <row r="28" customFormat="false" ht="15.75" hidden="false" customHeight="false" outlineLevel="0" collapsed="false">
      <c r="A28" s="290" t="s">
        <v>43</v>
      </c>
      <c r="B28" s="290" t="n">
        <v>67</v>
      </c>
      <c r="D28" s="290" t="s">
        <v>43</v>
      </c>
      <c r="E28" s="308" t="n">
        <v>67</v>
      </c>
    </row>
    <row r="29" customFormat="false" ht="15.75" hidden="false" customHeight="false" outlineLevel="0" collapsed="false">
      <c r="A29" s="290" t="s">
        <v>44</v>
      </c>
      <c r="B29" s="290" t="n">
        <v>64</v>
      </c>
      <c r="D29" s="290" t="s">
        <v>44</v>
      </c>
      <c r="E29" s="308" t="n">
        <v>64</v>
      </c>
    </row>
    <row r="30" customFormat="false" ht="15.75" hidden="false" customHeight="false" outlineLevel="0" collapsed="false">
      <c r="A30" s="290" t="s">
        <v>45</v>
      </c>
      <c r="B30" s="290" t="n">
        <v>64</v>
      </c>
      <c r="D30" s="290" t="s">
        <v>45</v>
      </c>
      <c r="E30" s="308" t="n">
        <v>64</v>
      </c>
    </row>
    <row r="31" customFormat="false" ht="15.75" hidden="false" customHeight="false" outlineLevel="0" collapsed="false">
      <c r="A31" s="290" t="s">
        <v>46</v>
      </c>
      <c r="B31" s="290" t="n">
        <v>26</v>
      </c>
      <c r="D31" s="290" t="s">
        <v>46</v>
      </c>
      <c r="E31" s="308" t="n">
        <v>26</v>
      </c>
    </row>
    <row r="32" customFormat="false" ht="15.75" hidden="false" customHeight="false" outlineLevel="0" collapsed="false">
      <c r="A32" s="290" t="s">
        <v>47</v>
      </c>
      <c r="B32" s="290" t="n">
        <v>43</v>
      </c>
      <c r="D32" s="290" t="s">
        <v>47</v>
      </c>
      <c r="E32" s="308" t="n">
        <v>43</v>
      </c>
    </row>
    <row r="33" customFormat="false" ht="15.75" hidden="false" customHeight="false" outlineLevel="0" collapsed="false">
      <c r="A33" s="290" t="s">
        <v>48</v>
      </c>
      <c r="B33" s="290" t="n">
        <v>37</v>
      </c>
      <c r="D33" s="290" t="s">
        <v>48</v>
      </c>
      <c r="E33" s="308" t="n">
        <v>37</v>
      </c>
    </row>
    <row r="34" customFormat="false" ht="15.75" hidden="false" customHeight="false" outlineLevel="0" collapsed="false">
      <c r="A34" s="290" t="s">
        <v>49</v>
      </c>
      <c r="B34" s="290" t="n">
        <v>37</v>
      </c>
      <c r="D34" s="290" t="s">
        <v>49</v>
      </c>
      <c r="E34" s="308" t="n">
        <v>37</v>
      </c>
    </row>
    <row r="35" customFormat="false" ht="15.75" hidden="false" customHeight="false" outlineLevel="0" collapsed="false">
      <c r="A35" s="290" t="s">
        <v>50</v>
      </c>
      <c r="B35" s="290" t="n">
        <v>51</v>
      </c>
      <c r="D35" s="290" t="s">
        <v>50</v>
      </c>
      <c r="E35" s="308" t="n">
        <v>51</v>
      </c>
    </row>
    <row r="36" customFormat="false" ht="15.75" hidden="false" customHeight="false" outlineLevel="0" collapsed="false">
      <c r="A36" s="290" t="s">
        <v>51</v>
      </c>
      <c r="B36" s="290" t="n">
        <v>80</v>
      </c>
      <c r="D36" s="290" t="s">
        <v>51</v>
      </c>
      <c r="E36" s="308" t="n">
        <v>80</v>
      </c>
    </row>
    <row r="37" customFormat="false" ht="15.75" hidden="false" customHeight="false" outlineLevel="0" collapsed="false">
      <c r="A37" s="290" t="s">
        <v>52</v>
      </c>
      <c r="B37" s="290" t="n">
        <v>80</v>
      </c>
      <c r="D37" s="290" t="s">
        <v>52</v>
      </c>
      <c r="E37" s="308" t="n">
        <v>80</v>
      </c>
    </row>
    <row r="38" customFormat="false" ht="15.75" hidden="false" customHeight="false" outlineLevel="0" collapsed="false">
      <c r="A38" s="290" t="s">
        <v>53</v>
      </c>
      <c r="B38" s="290" t="n">
        <v>105</v>
      </c>
      <c r="D38" s="290" t="s">
        <v>53</v>
      </c>
      <c r="E38" s="308" t="n">
        <v>105</v>
      </c>
    </row>
    <row r="39" customFormat="false" ht="15.75" hidden="false" customHeight="false" outlineLevel="0" collapsed="false">
      <c r="A39" s="290" t="s">
        <v>54</v>
      </c>
      <c r="B39" s="290" t="n">
        <v>94</v>
      </c>
      <c r="D39" s="290" t="s">
        <v>54</v>
      </c>
      <c r="E39" s="308" t="n">
        <v>94</v>
      </c>
    </row>
    <row r="40" customFormat="false" ht="15.75" hidden="false" customHeight="false" outlineLevel="0" collapsed="false">
      <c r="A40" s="290" t="s">
        <v>55</v>
      </c>
      <c r="B40" s="290" t="n">
        <v>93</v>
      </c>
      <c r="D40" s="290" t="s">
        <v>55</v>
      </c>
      <c r="E40" s="308" t="n">
        <v>93</v>
      </c>
    </row>
    <row r="41" customFormat="false" ht="15.75" hidden="false" customHeight="false" outlineLevel="0" collapsed="false">
      <c r="A41" s="290" t="s">
        <v>56</v>
      </c>
      <c r="B41" s="290" t="n">
        <v>70</v>
      </c>
      <c r="D41" s="290" t="s">
        <v>56</v>
      </c>
      <c r="E41" s="308" t="n">
        <v>70</v>
      </c>
    </row>
    <row r="42" customFormat="false" ht="15.75" hidden="false" customHeight="false" outlineLevel="0" collapsed="false">
      <c r="A42" s="290" t="s">
        <v>57</v>
      </c>
      <c r="B42" s="290" t="n">
        <v>28</v>
      </c>
      <c r="D42" s="290" t="s">
        <v>57</v>
      </c>
      <c r="E42" s="308" t="n">
        <v>28</v>
      </c>
    </row>
    <row r="43" customFormat="false" ht="15.75" hidden="false" customHeight="false" outlineLevel="0" collapsed="false">
      <c r="A43" s="290" t="s">
        <v>58</v>
      </c>
      <c r="B43" s="290" t="n">
        <v>57</v>
      </c>
      <c r="D43" s="290" t="s">
        <v>58</v>
      </c>
      <c r="E43" s="308" t="n">
        <v>57</v>
      </c>
    </row>
    <row r="44" customFormat="false" ht="15.75" hidden="false" customHeight="false" outlineLevel="0" collapsed="false">
      <c r="A44" s="290" t="s">
        <v>59</v>
      </c>
      <c r="B44" s="290" t="n">
        <v>5</v>
      </c>
      <c r="D44" s="290" t="s">
        <v>59</v>
      </c>
      <c r="E44" s="308" t="n">
        <v>5</v>
      </c>
    </row>
    <row r="45" customFormat="false" ht="15.75" hidden="false" customHeight="false" outlineLevel="0" collapsed="false">
      <c r="A45" s="290" t="s">
        <v>21</v>
      </c>
      <c r="B45" s="290" t="n">
        <v>110</v>
      </c>
      <c r="D45" s="290" t="s">
        <v>21</v>
      </c>
      <c r="E45" s="308" t="n">
        <v>110</v>
      </c>
    </row>
    <row r="46" customFormat="false" ht="15.75" hidden="false" customHeight="false" outlineLevel="0" collapsed="false">
      <c r="A46" s="290" t="s">
        <v>60</v>
      </c>
      <c r="B46" s="290" t="n">
        <v>110</v>
      </c>
      <c r="D46" s="290" t="s">
        <v>60</v>
      </c>
      <c r="E46" s="308" t="n">
        <v>110</v>
      </c>
    </row>
    <row r="47" customFormat="false" ht="15.75" hidden="false" customHeight="false" outlineLevel="0" collapsed="false">
      <c r="A47" s="290" t="s">
        <v>61</v>
      </c>
      <c r="B47" s="290" t="n">
        <v>6</v>
      </c>
      <c r="D47" s="290" t="s">
        <v>61</v>
      </c>
      <c r="E47" s="308" t="n">
        <v>6</v>
      </c>
    </row>
    <row r="48" customFormat="false" ht="15.75" hidden="false" customHeight="false" outlineLevel="0" collapsed="false">
      <c r="A48" s="290" t="s">
        <v>62</v>
      </c>
      <c r="B48" s="290" t="n">
        <v>22</v>
      </c>
      <c r="D48" s="290" t="s">
        <v>62</v>
      </c>
      <c r="E48" s="308" t="n">
        <v>22</v>
      </c>
    </row>
    <row r="49" customFormat="false" ht="15.75" hidden="false" customHeight="false" outlineLevel="0" collapsed="false">
      <c r="A49" s="290" t="s">
        <v>63</v>
      </c>
      <c r="B49" s="290" t="n">
        <v>47</v>
      </c>
      <c r="D49" s="290" t="s">
        <v>63</v>
      </c>
      <c r="E49" s="308" t="n">
        <v>47</v>
      </c>
    </row>
    <row r="50" customFormat="false" ht="15.75" hidden="false" customHeight="false" outlineLevel="0" collapsed="false">
      <c r="A50" s="290" t="s">
        <v>64</v>
      </c>
      <c r="B50" s="290" t="n">
        <v>31</v>
      </c>
      <c r="D50" s="290" t="s">
        <v>64</v>
      </c>
      <c r="E50" s="308" t="n">
        <v>31</v>
      </c>
    </row>
    <row r="51" customFormat="false" ht="15.75" hidden="false" customHeight="false" outlineLevel="0" collapsed="false">
      <c r="A51" s="290" t="s">
        <v>65</v>
      </c>
      <c r="B51" s="290" t="n">
        <v>31</v>
      </c>
      <c r="D51" s="290" t="s">
        <v>65</v>
      </c>
      <c r="E51" s="308" t="n">
        <v>31</v>
      </c>
    </row>
    <row r="52" customFormat="false" ht="15.75" hidden="false" customHeight="false" outlineLevel="0" collapsed="false">
      <c r="A52" s="290" t="s">
        <v>66</v>
      </c>
      <c r="B52" s="290" t="n">
        <v>49</v>
      </c>
      <c r="D52" s="290" t="s">
        <v>66</v>
      </c>
      <c r="E52" s="308" t="n">
        <v>49</v>
      </c>
    </row>
    <row r="53" customFormat="false" ht="15.75" hidden="false" customHeight="false" outlineLevel="0" collapsed="false">
      <c r="A53" s="290" t="s">
        <v>67</v>
      </c>
      <c r="B53" s="290" t="n">
        <v>52</v>
      </c>
      <c r="D53" s="290" t="s">
        <v>67</v>
      </c>
      <c r="E53" s="308" t="n">
        <v>52</v>
      </c>
    </row>
    <row r="54" customFormat="false" ht="15.75" hidden="false" customHeight="false" outlineLevel="0" collapsed="false">
      <c r="A54" s="290" t="s">
        <v>68</v>
      </c>
      <c r="B54" s="290" t="n">
        <v>103</v>
      </c>
      <c r="D54" s="290" t="s">
        <v>68</v>
      </c>
      <c r="E54" s="308" t="n">
        <v>103</v>
      </c>
    </row>
    <row r="55" customFormat="false" ht="15.75" hidden="false" customHeight="false" outlineLevel="0" collapsed="false">
      <c r="A55" s="290" t="s">
        <v>69</v>
      </c>
      <c r="B55" s="290" t="n">
        <v>13</v>
      </c>
      <c r="D55" s="290" t="s">
        <v>69</v>
      </c>
      <c r="E55" s="308" t="n">
        <v>13</v>
      </c>
    </row>
    <row r="56" customFormat="false" ht="15.75" hidden="false" customHeight="false" outlineLevel="0" collapsed="false">
      <c r="A56" s="290" t="s">
        <v>70</v>
      </c>
      <c r="B56" s="290" t="n">
        <v>13</v>
      </c>
      <c r="D56" s="290" t="s">
        <v>70</v>
      </c>
      <c r="E56" s="308" t="n">
        <v>13</v>
      </c>
    </row>
    <row r="57" customFormat="false" ht="15.75" hidden="false" customHeight="false" outlineLevel="0" collapsed="false">
      <c r="A57" s="290" t="s">
        <v>71</v>
      </c>
      <c r="B57" s="290" t="n">
        <v>32</v>
      </c>
      <c r="D57" s="290" t="s">
        <v>71</v>
      </c>
      <c r="E57" s="308" t="n">
        <v>32</v>
      </c>
    </row>
    <row r="58" customFormat="false" ht="15.75" hidden="false" customHeight="false" outlineLevel="0" collapsed="false">
      <c r="A58" s="290" t="s">
        <v>72</v>
      </c>
      <c r="B58" s="290" t="n">
        <v>32</v>
      </c>
      <c r="D58" s="290" t="s">
        <v>72</v>
      </c>
      <c r="E58" s="308" t="n">
        <v>32</v>
      </c>
    </row>
    <row r="59" customFormat="false" ht="15.75" hidden="false" customHeight="false" outlineLevel="0" collapsed="false">
      <c r="A59" s="290" t="s">
        <v>73</v>
      </c>
      <c r="B59" s="290" t="n">
        <v>97</v>
      </c>
      <c r="D59" s="290" t="s">
        <v>73</v>
      </c>
      <c r="E59" s="308" t="n">
        <v>97</v>
      </c>
    </row>
    <row r="60" customFormat="false" ht="15.75" hidden="false" customHeight="false" outlineLevel="0" collapsed="false">
      <c r="A60" s="290" t="s">
        <v>74</v>
      </c>
      <c r="B60" s="290" t="n">
        <v>15</v>
      </c>
      <c r="D60" s="290" t="s">
        <v>74</v>
      </c>
      <c r="E60" s="308" t="n">
        <v>15</v>
      </c>
    </row>
    <row r="61" customFormat="false" ht="15.75" hidden="false" customHeight="false" outlineLevel="0" collapsed="false">
      <c r="A61" s="290" t="s">
        <v>75</v>
      </c>
      <c r="B61" s="290" t="n">
        <v>89</v>
      </c>
      <c r="D61" s="290" t="s">
        <v>75</v>
      </c>
      <c r="E61" s="308" t="n">
        <v>89</v>
      </c>
    </row>
    <row r="62" customFormat="false" ht="15.75" hidden="false" customHeight="false" outlineLevel="0" collapsed="false">
      <c r="A62" s="290" t="s">
        <v>76</v>
      </c>
      <c r="B62" s="290" t="n">
        <v>88</v>
      </c>
      <c r="D62" s="290" t="s">
        <v>76</v>
      </c>
      <c r="E62" s="308" t="n">
        <v>88</v>
      </c>
    </row>
    <row r="63" customFormat="false" ht="15.75" hidden="false" customHeight="false" outlineLevel="0" collapsed="false">
      <c r="A63" s="290" t="s">
        <v>77</v>
      </c>
      <c r="B63" s="290" t="n">
        <v>40</v>
      </c>
      <c r="D63" s="290" t="s">
        <v>77</v>
      </c>
      <c r="E63" s="308" t="n">
        <v>40</v>
      </c>
    </row>
    <row r="64" customFormat="false" ht="15.75" hidden="false" customHeight="false" outlineLevel="0" collapsed="false">
      <c r="A64" s="290" t="s">
        <v>78</v>
      </c>
      <c r="B64" s="290" t="n">
        <v>40</v>
      </c>
      <c r="D64" s="290" t="s">
        <v>78</v>
      </c>
      <c r="E64" s="308" t="n">
        <v>40</v>
      </c>
    </row>
    <row r="65" customFormat="false" ht="15.75" hidden="false" customHeight="false" outlineLevel="0" collapsed="false">
      <c r="A65" s="290" t="s">
        <v>79</v>
      </c>
      <c r="B65" s="290" t="n">
        <v>111</v>
      </c>
      <c r="D65" s="290" t="s">
        <v>79</v>
      </c>
      <c r="E65" s="308" t="n">
        <v>111</v>
      </c>
    </row>
    <row r="66" customFormat="false" ht="15.75" hidden="false" customHeight="false" outlineLevel="0" collapsed="false">
      <c r="A66" s="290" t="s">
        <v>80</v>
      </c>
      <c r="B66" s="290" t="n">
        <v>12</v>
      </c>
      <c r="D66" s="290" t="s">
        <v>80</v>
      </c>
      <c r="E66" s="308" t="n">
        <v>12</v>
      </c>
    </row>
    <row r="67" customFormat="false" ht="15.75" hidden="false" customHeight="false" outlineLevel="0" collapsed="false">
      <c r="A67" s="290" t="s">
        <v>81</v>
      </c>
      <c r="B67" s="290" t="n">
        <v>12</v>
      </c>
      <c r="D67" s="290" t="s">
        <v>81</v>
      </c>
      <c r="E67" s="308" t="n">
        <v>12</v>
      </c>
    </row>
    <row r="68" customFormat="false" ht="15.75" hidden="false" customHeight="false" outlineLevel="0" collapsed="false">
      <c r="A68" s="290" t="s">
        <v>82</v>
      </c>
      <c r="B68" s="290" t="n">
        <v>101</v>
      </c>
      <c r="D68" s="290" t="s">
        <v>82</v>
      </c>
      <c r="E68" s="308" t="n">
        <v>101</v>
      </c>
    </row>
    <row r="69" customFormat="false" ht="15.75" hidden="false" customHeight="false" outlineLevel="0" collapsed="false">
      <c r="A69" s="290" t="s">
        <v>83</v>
      </c>
      <c r="B69" s="290" t="n">
        <v>101</v>
      </c>
      <c r="D69" s="290" t="s">
        <v>83</v>
      </c>
      <c r="E69" s="308" t="n">
        <v>101</v>
      </c>
    </row>
    <row r="70" customFormat="false" ht="15.75" hidden="false" customHeight="false" outlineLevel="0" collapsed="false">
      <c r="A70" s="290" t="s">
        <v>84</v>
      </c>
      <c r="B70" s="290" t="n">
        <v>75</v>
      </c>
      <c r="D70" s="290" t="s">
        <v>84</v>
      </c>
      <c r="E70" s="308" t="n">
        <v>75</v>
      </c>
    </row>
    <row r="71" customFormat="false" ht="15.75" hidden="false" customHeight="false" outlineLevel="0" collapsed="false">
      <c r="A71" s="290" t="s">
        <v>85</v>
      </c>
      <c r="B71" s="290" t="n">
        <v>81</v>
      </c>
      <c r="D71" s="290" t="s">
        <v>85</v>
      </c>
      <c r="E71" s="308" t="n">
        <v>81</v>
      </c>
    </row>
    <row r="72" customFormat="false" ht="15.75" hidden="false" customHeight="false" outlineLevel="0" collapsed="false">
      <c r="A72" s="290" t="s">
        <v>86</v>
      </c>
      <c r="B72" s="290" t="n">
        <v>81</v>
      </c>
      <c r="D72" s="290" t="s">
        <v>86</v>
      </c>
      <c r="E72" s="308" t="n">
        <v>81</v>
      </c>
    </row>
    <row r="73" customFormat="false" ht="15.75" hidden="false" customHeight="false" outlineLevel="0" collapsed="false">
      <c r="A73" s="290" t="s">
        <v>87</v>
      </c>
      <c r="B73" s="290" t="n">
        <v>23</v>
      </c>
      <c r="D73" s="290" t="s">
        <v>87</v>
      </c>
      <c r="E73" s="308" t="n">
        <v>23</v>
      </c>
    </row>
    <row r="74" customFormat="false" ht="15.75" hidden="false" customHeight="false" outlineLevel="0" collapsed="false">
      <c r="A74" s="290" t="s">
        <v>88</v>
      </c>
      <c r="B74" s="290" t="n">
        <v>89</v>
      </c>
      <c r="D74" s="290" t="s">
        <v>88</v>
      </c>
      <c r="E74" s="308" t="n">
        <v>89</v>
      </c>
    </row>
    <row r="75" customFormat="false" ht="15.75" hidden="false" customHeight="false" outlineLevel="0" collapsed="false">
      <c r="A75" s="290" t="s">
        <v>89</v>
      </c>
      <c r="B75" s="290" t="n">
        <v>61</v>
      </c>
      <c r="D75" s="290" t="s">
        <v>89</v>
      </c>
      <c r="E75" s="308" t="n">
        <v>61</v>
      </c>
    </row>
    <row r="76" customFormat="false" ht="15.75" hidden="false" customHeight="false" outlineLevel="0" collapsed="false">
      <c r="A76" s="290" t="s">
        <v>90</v>
      </c>
      <c r="B76" s="290" t="n">
        <v>1</v>
      </c>
      <c r="D76" s="290" t="s">
        <v>90</v>
      </c>
      <c r="E76" s="308" t="n">
        <v>1</v>
      </c>
    </row>
    <row r="77" customFormat="false" ht="15.75" hidden="false" customHeight="false" outlineLevel="0" collapsed="false">
      <c r="A77" s="290" t="s">
        <v>91</v>
      </c>
      <c r="B77" s="290" t="n">
        <v>45</v>
      </c>
      <c r="D77" s="290" t="s">
        <v>91</v>
      </c>
      <c r="E77" s="308" t="n">
        <v>45</v>
      </c>
    </row>
    <row r="78" customFormat="false" ht="15.75" hidden="false" customHeight="false" outlineLevel="0" collapsed="false">
      <c r="A78" s="290" t="s">
        <v>92</v>
      </c>
      <c r="B78" s="290" t="n">
        <v>45</v>
      </c>
      <c r="D78" s="290" t="s">
        <v>92</v>
      </c>
      <c r="E78" s="308" t="n">
        <v>45</v>
      </c>
    </row>
    <row r="79" customFormat="false" ht="15.75" hidden="false" customHeight="false" outlineLevel="0" collapsed="false">
      <c r="A79" s="290" t="s">
        <v>93</v>
      </c>
      <c r="B79" s="290" t="n">
        <v>4</v>
      </c>
      <c r="D79" s="290" t="s">
        <v>93</v>
      </c>
      <c r="E79" s="308" t="n">
        <v>4</v>
      </c>
    </row>
    <row r="80" customFormat="false" ht="15.75" hidden="false" customHeight="false" outlineLevel="0" collapsed="false">
      <c r="A80" s="290" t="s">
        <v>94</v>
      </c>
      <c r="B80" s="290" t="n">
        <v>46</v>
      </c>
      <c r="D80" s="290" t="s">
        <v>94</v>
      </c>
      <c r="E80" s="308" t="n">
        <v>46</v>
      </c>
    </row>
    <row r="81" customFormat="false" ht="15.75" hidden="false" customHeight="false" outlineLevel="0" collapsed="false">
      <c r="A81" s="290" t="s">
        <v>95</v>
      </c>
      <c r="B81" s="290" t="n">
        <v>69</v>
      </c>
      <c r="D81" s="290" t="s">
        <v>95</v>
      </c>
      <c r="E81" s="308" t="n">
        <v>69</v>
      </c>
    </row>
    <row r="82" customFormat="false" ht="15.75" hidden="false" customHeight="false" outlineLevel="0" collapsed="false">
      <c r="A82" s="290" t="s">
        <v>96</v>
      </c>
      <c r="B82" s="290" t="n">
        <v>63</v>
      </c>
      <c r="D82" s="290" t="s">
        <v>96</v>
      </c>
      <c r="E82" s="308" t="n">
        <v>63</v>
      </c>
    </row>
    <row r="83" customFormat="false" ht="15.75" hidden="false" customHeight="false" outlineLevel="0" collapsed="false">
      <c r="A83" s="290" t="s">
        <v>97</v>
      </c>
      <c r="B83" s="290" t="n">
        <v>104</v>
      </c>
      <c r="D83" s="290" t="s">
        <v>97</v>
      </c>
      <c r="E83" s="308" t="n">
        <v>104</v>
      </c>
    </row>
    <row r="84" customFormat="false" ht="15.75" hidden="false" customHeight="false" outlineLevel="0" collapsed="false">
      <c r="A84" s="290" t="s">
        <v>98</v>
      </c>
      <c r="B84" s="290" t="n">
        <v>104</v>
      </c>
      <c r="D84" s="290" t="s">
        <v>98</v>
      </c>
      <c r="E84" s="308" t="n">
        <v>104</v>
      </c>
    </row>
    <row r="85" customFormat="false" ht="15.75" hidden="false" customHeight="false" outlineLevel="0" collapsed="false">
      <c r="A85" s="290" t="s">
        <v>99</v>
      </c>
      <c r="B85" s="290" t="n">
        <v>90</v>
      </c>
      <c r="D85" s="290" t="s">
        <v>99</v>
      </c>
      <c r="E85" s="308" t="n">
        <v>90</v>
      </c>
    </row>
    <row r="86" customFormat="false" ht="15.75" hidden="false" customHeight="false" outlineLevel="0" collapsed="false">
      <c r="A86" s="290" t="s">
        <v>100</v>
      </c>
      <c r="B86" s="290" t="n">
        <v>90</v>
      </c>
      <c r="D86" s="290" t="s">
        <v>100</v>
      </c>
      <c r="E86" s="308" t="n">
        <v>90</v>
      </c>
    </row>
    <row r="87" customFormat="false" ht="15.75" hidden="false" customHeight="false" outlineLevel="0" collapsed="false">
      <c r="A87" s="290" t="s">
        <v>101</v>
      </c>
      <c r="B87" s="290" t="n">
        <v>66</v>
      </c>
      <c r="D87" s="290" t="s">
        <v>101</v>
      </c>
      <c r="E87" s="308" t="n">
        <v>66</v>
      </c>
    </row>
    <row r="88" customFormat="false" ht="15.75" hidden="false" customHeight="false" outlineLevel="0" collapsed="false">
      <c r="A88" s="290" t="s">
        <v>102</v>
      </c>
      <c r="B88" s="290" t="n">
        <v>24</v>
      </c>
      <c r="D88" s="290" t="s">
        <v>102</v>
      </c>
      <c r="E88" s="308" t="n">
        <v>24</v>
      </c>
    </row>
    <row r="89" customFormat="false" ht="15.75" hidden="false" customHeight="false" outlineLevel="0" collapsed="false">
      <c r="A89" s="290" t="s">
        <v>103</v>
      </c>
      <c r="B89" s="290" t="n">
        <v>24</v>
      </c>
      <c r="D89" s="290" t="s">
        <v>103</v>
      </c>
      <c r="E89" s="308" t="n">
        <v>24</v>
      </c>
    </row>
    <row r="90" customFormat="false" ht="15.75" hidden="false" customHeight="false" outlineLevel="0" collapsed="false">
      <c r="A90" s="290" t="s">
        <v>104</v>
      </c>
      <c r="B90" s="290" t="n">
        <v>36</v>
      </c>
      <c r="D90" s="290" t="s">
        <v>104</v>
      </c>
      <c r="E90" s="308" t="n">
        <v>36</v>
      </c>
    </row>
    <row r="91" customFormat="false" ht="15.75" hidden="false" customHeight="false" outlineLevel="0" collapsed="false">
      <c r="A91" s="290" t="s">
        <v>105</v>
      </c>
      <c r="B91" s="290" t="n">
        <v>99</v>
      </c>
      <c r="D91" s="290" t="s">
        <v>105</v>
      </c>
      <c r="E91" s="308" t="n">
        <v>99</v>
      </c>
    </row>
    <row r="92" customFormat="false" ht="15.75" hidden="false" customHeight="false" outlineLevel="0" collapsed="false">
      <c r="A92" s="290" t="s">
        <v>106</v>
      </c>
      <c r="B92" s="290" t="n">
        <v>33</v>
      </c>
      <c r="D92" s="290" t="s">
        <v>106</v>
      </c>
      <c r="E92" s="308" t="n">
        <v>33</v>
      </c>
    </row>
    <row r="93" customFormat="false" ht="15.75" hidden="false" customHeight="false" outlineLevel="0" collapsed="false">
      <c r="A93" s="290" t="s">
        <v>107</v>
      </c>
      <c r="B93" s="290" t="n">
        <v>33</v>
      </c>
      <c r="D93" s="290" t="s">
        <v>107</v>
      </c>
      <c r="E93" s="308" t="n">
        <v>33</v>
      </c>
    </row>
    <row r="94" customFormat="false" ht="15.75" hidden="false" customHeight="false" outlineLevel="0" collapsed="false">
      <c r="A94" s="290" t="s">
        <v>108</v>
      </c>
      <c r="B94" s="290" t="n">
        <v>29</v>
      </c>
      <c r="D94" s="290" t="s">
        <v>108</v>
      </c>
      <c r="E94" s="308" t="n">
        <v>29</v>
      </c>
    </row>
    <row r="95" customFormat="false" ht="15.75" hidden="false" customHeight="false" outlineLevel="0" collapsed="false">
      <c r="A95" s="290" t="s">
        <v>109</v>
      </c>
      <c r="B95" s="290" t="n">
        <v>109</v>
      </c>
      <c r="D95" s="290" t="s">
        <v>109</v>
      </c>
      <c r="E95" s="308" t="n">
        <v>109</v>
      </c>
    </row>
    <row r="96" customFormat="false" ht="15.75" hidden="false" customHeight="false" outlineLevel="0" collapsed="false">
      <c r="A96" s="290" t="s">
        <v>110</v>
      </c>
      <c r="B96" s="290" t="n">
        <v>38</v>
      </c>
      <c r="D96" s="290" t="s">
        <v>110</v>
      </c>
      <c r="E96" s="308" t="n">
        <v>38</v>
      </c>
    </row>
    <row r="97" customFormat="false" ht="15.75" hidden="false" customHeight="false" outlineLevel="0" collapsed="false">
      <c r="A97" s="290" t="s">
        <v>111</v>
      </c>
      <c r="B97" s="290" t="n">
        <v>21</v>
      </c>
      <c r="D97" s="290" t="s">
        <v>111</v>
      </c>
      <c r="E97" s="308" t="n">
        <v>21</v>
      </c>
    </row>
    <row r="98" customFormat="false" ht="15.75" hidden="false" customHeight="false" outlineLevel="0" collapsed="false">
      <c r="A98" s="290" t="s">
        <v>112</v>
      </c>
      <c r="B98" s="290" t="n">
        <v>106</v>
      </c>
      <c r="D98" s="290" t="s">
        <v>112</v>
      </c>
      <c r="E98" s="308" t="n">
        <v>106</v>
      </c>
    </row>
    <row r="99" customFormat="false" ht="15.75" hidden="false" customHeight="false" outlineLevel="0" collapsed="false">
      <c r="A99" s="290" t="s">
        <v>113</v>
      </c>
      <c r="B99" s="290" t="n">
        <v>108</v>
      </c>
      <c r="D99" s="290" t="s">
        <v>113</v>
      </c>
      <c r="E99" s="308" t="n">
        <v>108</v>
      </c>
    </row>
    <row r="100" customFormat="false" ht="15.75" hidden="false" customHeight="false" outlineLevel="0" collapsed="false">
      <c r="A100" s="290" t="s">
        <v>114</v>
      </c>
      <c r="B100" s="290" t="n">
        <v>10</v>
      </c>
      <c r="D100" s="290" t="s">
        <v>114</v>
      </c>
      <c r="E100" s="308" t="n">
        <v>10</v>
      </c>
    </row>
    <row r="101" customFormat="false" ht="15.75" hidden="false" customHeight="false" outlineLevel="0" collapsed="false">
      <c r="A101" s="290" t="s">
        <v>115</v>
      </c>
      <c r="B101" s="290" t="n">
        <v>11</v>
      </c>
      <c r="D101" s="290" t="s">
        <v>115</v>
      </c>
      <c r="E101" s="308" t="n">
        <v>11</v>
      </c>
    </row>
    <row r="102" customFormat="false" ht="15.75" hidden="false" customHeight="false" outlineLevel="0" collapsed="false">
      <c r="A102" s="290" t="s">
        <v>116</v>
      </c>
      <c r="B102" s="290" t="n">
        <v>87</v>
      </c>
      <c r="D102" s="290" t="s">
        <v>116</v>
      </c>
      <c r="E102" s="308" t="n">
        <v>87</v>
      </c>
    </row>
    <row r="103" customFormat="false" ht="15.75" hidden="false" customHeight="false" outlineLevel="0" collapsed="false">
      <c r="A103" s="290" t="s">
        <v>117</v>
      </c>
      <c r="B103" s="290" t="n">
        <v>58</v>
      </c>
      <c r="D103" s="290" t="s">
        <v>117</v>
      </c>
      <c r="E103" s="308" t="n">
        <v>58</v>
      </c>
    </row>
    <row r="104" customFormat="false" ht="15.75" hidden="false" customHeight="false" outlineLevel="0" collapsed="false">
      <c r="A104" s="290" t="s">
        <v>118</v>
      </c>
      <c r="B104" s="290" t="n">
        <v>58</v>
      </c>
      <c r="D104" s="290" t="s">
        <v>118</v>
      </c>
      <c r="E104" s="308" t="n">
        <v>58</v>
      </c>
    </row>
    <row r="105" customFormat="false" ht="15.75" hidden="false" customHeight="false" outlineLevel="0" collapsed="false">
      <c r="A105" s="290" t="s">
        <v>119</v>
      </c>
      <c r="B105" s="290" t="n">
        <v>95</v>
      </c>
      <c r="D105" s="290" t="s">
        <v>119</v>
      </c>
      <c r="E105" s="308" t="n">
        <v>95</v>
      </c>
    </row>
    <row r="106" customFormat="false" ht="15.75" hidden="false" customHeight="false" outlineLevel="0" collapsed="false">
      <c r="A106" s="290" t="s">
        <v>14</v>
      </c>
      <c r="B106" s="290" t="n">
        <v>74</v>
      </c>
      <c r="D106" s="290" t="s">
        <v>14</v>
      </c>
      <c r="E106" s="308" t="n">
        <v>74</v>
      </c>
    </row>
    <row r="107" customFormat="false" ht="15.75" hidden="false" customHeight="false" outlineLevel="0" collapsed="false">
      <c r="A107" s="290" t="s">
        <v>120</v>
      </c>
      <c r="B107" s="290" t="n">
        <v>60</v>
      </c>
      <c r="D107" s="290" t="s">
        <v>120</v>
      </c>
      <c r="E107" s="308" t="n">
        <v>60</v>
      </c>
    </row>
    <row r="108" customFormat="false" ht="15.75" hidden="false" customHeight="false" outlineLevel="0" collapsed="false">
      <c r="A108" s="290" t="s">
        <v>121</v>
      </c>
      <c r="B108" s="290" t="n">
        <v>59</v>
      </c>
      <c r="D108" s="290" t="s">
        <v>121</v>
      </c>
      <c r="E108" s="308" t="n">
        <v>59</v>
      </c>
    </row>
    <row r="109" customFormat="false" ht="15.75" hidden="false" customHeight="false" outlineLevel="0" collapsed="false">
      <c r="A109" s="290" t="s">
        <v>122</v>
      </c>
      <c r="B109" s="290" t="n">
        <v>85</v>
      </c>
      <c r="D109" s="290" t="s">
        <v>122</v>
      </c>
      <c r="E109" s="308" t="n">
        <v>85</v>
      </c>
    </row>
    <row r="110" customFormat="false" ht="15.75" hidden="false" customHeight="false" outlineLevel="0" collapsed="false">
      <c r="A110" s="290" t="s">
        <v>123</v>
      </c>
      <c r="B110" s="290" t="n">
        <v>85</v>
      </c>
      <c r="D110" s="290" t="s">
        <v>123</v>
      </c>
      <c r="E110" s="308" t="n">
        <v>85</v>
      </c>
    </row>
    <row r="111" customFormat="false" ht="15.75" hidden="false" customHeight="false" outlineLevel="0" collapsed="false">
      <c r="A111" s="290" t="s">
        <v>124</v>
      </c>
      <c r="B111" s="290" t="n">
        <v>88</v>
      </c>
      <c r="D111" s="290" t="s">
        <v>124</v>
      </c>
      <c r="E111" s="308" t="n">
        <v>88</v>
      </c>
    </row>
    <row r="112" customFormat="false" ht="15.75" hidden="false" customHeight="false" outlineLevel="0" collapsed="false">
      <c r="A112" s="290" t="s">
        <v>125</v>
      </c>
      <c r="B112" s="290" t="n">
        <v>39</v>
      </c>
      <c r="D112" s="290" t="s">
        <v>125</v>
      </c>
      <c r="E112" s="308" t="n">
        <v>39</v>
      </c>
    </row>
    <row r="113" customFormat="false" ht="15.75" hidden="false" customHeight="false" outlineLevel="0" collapsed="false">
      <c r="A113" s="290" t="s">
        <v>126</v>
      </c>
      <c r="B113" s="290" t="n">
        <v>48</v>
      </c>
      <c r="D113" s="290" t="s">
        <v>126</v>
      </c>
      <c r="E113" s="308" t="n">
        <v>48</v>
      </c>
    </row>
    <row r="114" customFormat="false" ht="15.75" hidden="false" customHeight="false" outlineLevel="0" collapsed="false">
      <c r="A114" s="290" t="s">
        <v>127</v>
      </c>
      <c r="B114" s="290" t="n">
        <v>48</v>
      </c>
      <c r="D114" s="290" t="s">
        <v>127</v>
      </c>
      <c r="E114" s="308" t="n">
        <v>48</v>
      </c>
    </row>
    <row r="115" customFormat="false" ht="15.75" hidden="false" customHeight="false" outlineLevel="0" collapsed="false">
      <c r="A115" s="290" t="s">
        <v>128</v>
      </c>
      <c r="B115" s="290" t="n">
        <v>9</v>
      </c>
      <c r="D115" s="290" t="s">
        <v>128</v>
      </c>
      <c r="E115" s="308" t="n">
        <v>9</v>
      </c>
    </row>
    <row r="116" customFormat="false" ht="15.75" hidden="false" customHeight="false" outlineLevel="0" collapsed="false">
      <c r="A116" s="290" t="s">
        <v>129</v>
      </c>
      <c r="B116" s="290" t="n">
        <v>20</v>
      </c>
      <c r="D116" s="290" t="s">
        <v>129</v>
      </c>
      <c r="E116" s="308" t="n">
        <v>20</v>
      </c>
    </row>
    <row r="117" customFormat="false" ht="15.75" hidden="false" customHeight="false" outlineLevel="0" collapsed="false">
      <c r="A117" s="290" t="s">
        <v>130</v>
      </c>
      <c r="B117" s="290" t="n">
        <v>107</v>
      </c>
      <c r="D117" s="290" t="s">
        <v>130</v>
      </c>
      <c r="E117" s="308" t="n">
        <v>107</v>
      </c>
    </row>
    <row r="118" customFormat="false" ht="15.75" hidden="false" customHeight="false" outlineLevel="0" collapsed="false">
      <c r="A118" s="290" t="s">
        <v>131</v>
      </c>
      <c r="B118" s="290" t="n">
        <v>79</v>
      </c>
      <c r="D118" s="290" t="s">
        <v>131</v>
      </c>
      <c r="E118" s="308" t="n">
        <v>79</v>
      </c>
    </row>
    <row r="119" customFormat="false" ht="15.75" hidden="false" customHeight="false" outlineLevel="0" collapsed="false">
      <c r="A119" s="290" t="s">
        <v>132</v>
      </c>
      <c r="B119" s="290" t="n">
        <v>7</v>
      </c>
      <c r="D119" s="290" t="s">
        <v>132</v>
      </c>
      <c r="E119" s="308" t="n">
        <v>7</v>
      </c>
    </row>
    <row r="120" customFormat="false" ht="15.75" hidden="false" customHeight="false" outlineLevel="0" collapsed="false">
      <c r="A120" s="290" t="s">
        <v>133</v>
      </c>
      <c r="B120" s="290" t="n">
        <v>65</v>
      </c>
      <c r="D120" s="290" t="s">
        <v>133</v>
      </c>
      <c r="E120" s="308" t="n">
        <v>65</v>
      </c>
    </row>
    <row r="121" customFormat="false" ht="15.75" hidden="false" customHeight="false" outlineLevel="0" collapsed="false">
      <c r="A121" s="290" t="s">
        <v>134</v>
      </c>
      <c r="B121" s="290" t="n">
        <v>65</v>
      </c>
      <c r="D121" s="290" t="s">
        <v>134</v>
      </c>
      <c r="E121" s="308" t="n">
        <v>65</v>
      </c>
    </row>
    <row r="122" customFormat="false" ht="15.75" hidden="false" customHeight="false" outlineLevel="0" collapsed="false">
      <c r="A122" s="290" t="s">
        <v>135</v>
      </c>
      <c r="B122" s="290" t="n">
        <v>102</v>
      </c>
      <c r="D122" s="290" t="s">
        <v>135</v>
      </c>
      <c r="E122" s="308" t="n">
        <v>102</v>
      </c>
    </row>
    <row r="123" customFormat="false" ht="15.75" hidden="false" customHeight="false" outlineLevel="0" collapsed="false">
      <c r="A123" s="290" t="s">
        <v>136</v>
      </c>
      <c r="B123" s="290" t="n">
        <v>102</v>
      </c>
      <c r="D123" s="290" t="s">
        <v>136</v>
      </c>
      <c r="E123" s="308" t="n">
        <v>102</v>
      </c>
    </row>
    <row r="124" customFormat="false" ht="15.75" hidden="false" customHeight="false" outlineLevel="0" collapsed="false">
      <c r="A124" s="290" t="s">
        <v>137</v>
      </c>
      <c r="B124" s="290" t="n">
        <v>53</v>
      </c>
      <c r="D124" s="290" t="s">
        <v>137</v>
      </c>
      <c r="E124" s="308" t="n">
        <v>53</v>
      </c>
    </row>
    <row r="125" customFormat="false" ht="15.75" hidden="false" customHeight="false" outlineLevel="0" collapsed="false">
      <c r="A125" s="290" t="s">
        <v>138</v>
      </c>
      <c r="B125" s="290" t="n">
        <v>54</v>
      </c>
      <c r="D125" s="290" t="s">
        <v>138</v>
      </c>
      <c r="E125" s="308" t="n">
        <v>54</v>
      </c>
    </row>
    <row r="126" customFormat="false" ht="15.75" hidden="false" customHeight="false" outlineLevel="0" collapsed="false">
      <c r="A126" s="290" t="s">
        <v>139</v>
      </c>
      <c r="B126" s="290" t="n">
        <v>8</v>
      </c>
      <c r="D126" s="290" t="s">
        <v>139</v>
      </c>
      <c r="E126" s="308" t="n">
        <v>8</v>
      </c>
    </row>
    <row r="127" customFormat="false" ht="15.75" hidden="false" customHeight="false" outlineLevel="0" collapsed="false">
      <c r="A127" s="290" t="s">
        <v>140</v>
      </c>
      <c r="B127" s="290" t="n">
        <v>16</v>
      </c>
      <c r="D127" s="290" t="s">
        <v>140</v>
      </c>
      <c r="E127" s="308" t="n">
        <v>16</v>
      </c>
    </row>
    <row r="128" customFormat="false" ht="15.75" hidden="false" customHeight="false" outlineLevel="0" collapsed="false">
      <c r="A128" s="290" t="s">
        <v>141</v>
      </c>
      <c r="B128" s="290" t="n">
        <v>27</v>
      </c>
      <c r="D128" s="290" t="s">
        <v>141</v>
      </c>
      <c r="E128" s="308" t="n">
        <v>27</v>
      </c>
    </row>
    <row r="129" customFormat="false" ht="15.75" hidden="false" customHeight="false" outlineLevel="0" collapsed="false">
      <c r="A129" s="290" t="s">
        <v>142</v>
      </c>
      <c r="B129" s="290" t="n">
        <v>68</v>
      </c>
      <c r="D129" s="290" t="s">
        <v>142</v>
      </c>
      <c r="E129" s="308" t="n">
        <v>68</v>
      </c>
    </row>
    <row r="130" customFormat="false" ht="15.75" hidden="false" customHeight="false" outlineLevel="0" collapsed="false">
      <c r="A130" s="290" t="s">
        <v>143</v>
      </c>
      <c r="B130" s="290" t="n">
        <v>56</v>
      </c>
      <c r="D130" s="290" t="s">
        <v>143</v>
      </c>
      <c r="E130" s="308" t="n">
        <v>56</v>
      </c>
    </row>
    <row r="131" customFormat="false" ht="15.75" hidden="false" customHeight="false" outlineLevel="0" collapsed="false">
      <c r="A131" s="290" t="s">
        <v>144</v>
      </c>
      <c r="B131" s="290" t="n">
        <v>78</v>
      </c>
      <c r="D131" s="290" t="s">
        <v>144</v>
      </c>
      <c r="E131" s="308" t="n">
        <v>78</v>
      </c>
    </row>
    <row r="132" customFormat="false" ht="15.75" hidden="false" customHeight="false" outlineLevel="0" collapsed="false">
      <c r="A132" s="290" t="s">
        <v>145</v>
      </c>
      <c r="B132" s="290" t="n">
        <v>71</v>
      </c>
      <c r="D132" s="290" t="s">
        <v>145</v>
      </c>
      <c r="E132" s="308" t="n">
        <v>71</v>
      </c>
    </row>
    <row r="133" customFormat="false" ht="15.75" hidden="false" customHeight="false" outlineLevel="0" collapsed="false">
      <c r="A133" s="290" t="s">
        <v>146</v>
      </c>
      <c r="B133" s="290" t="n">
        <v>71</v>
      </c>
      <c r="D133" s="290" t="s">
        <v>146</v>
      </c>
      <c r="E133" s="308" t="n">
        <v>71</v>
      </c>
    </row>
    <row r="134" customFormat="false" ht="15.75" hidden="false" customHeight="false" outlineLevel="0" collapsed="false">
      <c r="A134" s="290" t="s">
        <v>147</v>
      </c>
      <c r="B134" s="290" t="n">
        <v>77</v>
      </c>
      <c r="D134" s="290" t="s">
        <v>147</v>
      </c>
      <c r="E134" s="308" t="n">
        <v>77</v>
      </c>
    </row>
    <row r="135" customFormat="false" ht="15.75" hidden="false" customHeight="false" outlineLevel="0" collapsed="false">
      <c r="A135" s="290" t="s">
        <v>148</v>
      </c>
      <c r="B135" s="290" t="n">
        <v>14</v>
      </c>
      <c r="D135" s="290" t="s">
        <v>148</v>
      </c>
      <c r="E135" s="308" t="n">
        <v>14</v>
      </c>
    </row>
    <row r="136" customFormat="false" ht="15.75" hidden="false" customHeight="false" outlineLevel="0" collapsed="false">
      <c r="A136" s="290" t="s">
        <v>149</v>
      </c>
      <c r="B136" s="290" t="n">
        <v>92</v>
      </c>
      <c r="D136" s="290" t="s">
        <v>149</v>
      </c>
      <c r="E136" s="308" t="n">
        <v>92</v>
      </c>
    </row>
    <row r="137" customFormat="false" ht="15.75" hidden="false" customHeight="false" outlineLevel="0" collapsed="false">
      <c r="A137" s="290" t="s">
        <v>150</v>
      </c>
      <c r="B137" s="290" t="n">
        <v>76</v>
      </c>
      <c r="D137" s="290" t="s">
        <v>150</v>
      </c>
      <c r="E137" s="308" t="n">
        <v>76</v>
      </c>
    </row>
    <row r="138" customFormat="false" ht="15.75" hidden="false" customHeight="false" outlineLevel="0" collapsed="false">
      <c r="A138" s="290" t="s">
        <v>151</v>
      </c>
      <c r="B138" s="290" t="n">
        <v>34</v>
      </c>
      <c r="D138" s="290" t="s">
        <v>151</v>
      </c>
      <c r="E138" s="308" t="n">
        <v>34</v>
      </c>
    </row>
    <row r="139" customFormat="false" ht="15.75" hidden="false" customHeight="false" outlineLevel="0" collapsed="false">
      <c r="A139" s="290" t="s">
        <v>152</v>
      </c>
      <c r="B139" s="290" t="n">
        <v>91</v>
      </c>
      <c r="D139" s="290" t="s">
        <v>152</v>
      </c>
      <c r="E139" s="308" t="n">
        <v>91</v>
      </c>
    </row>
    <row r="140" customFormat="false" ht="15.75" hidden="false" customHeight="false" outlineLevel="0" collapsed="false">
      <c r="A140" s="290" t="s">
        <v>153</v>
      </c>
      <c r="B140" s="290" t="n">
        <v>91</v>
      </c>
      <c r="D140" s="290" t="s">
        <v>153</v>
      </c>
      <c r="E140" s="308" t="n">
        <v>91</v>
      </c>
    </row>
    <row r="141" customFormat="false" ht="15.75" hidden="false" customHeight="false" outlineLevel="0" collapsed="false">
      <c r="D141" s="309" t="s">
        <v>609</v>
      </c>
      <c r="E141" s="312" t="n">
        <v>-1</v>
      </c>
    </row>
    <row r="142" customFormat="false" ht="15.75" hidden="false" customHeight="false" outlineLevel="0" collapsed="false">
      <c r="D142" s="309" t="s">
        <v>610</v>
      </c>
      <c r="E142" s="312" t="n">
        <v>-1</v>
      </c>
    </row>
    <row r="143" customFormat="false" ht="15.75" hidden="false" customHeight="false" outlineLevel="0" collapsed="false">
      <c r="D143" s="309" t="s">
        <v>611</v>
      </c>
      <c r="E143" s="312" t="n">
        <v>-1</v>
      </c>
    </row>
    <row r="144" customFormat="false" ht="15.75" hidden="false" customHeight="false" outlineLevel="0" collapsed="false">
      <c r="D144" s="309" t="s">
        <v>612</v>
      </c>
      <c r="E144" s="312" t="n">
        <v>-1</v>
      </c>
    </row>
    <row r="145" customFormat="false" ht="15.75" hidden="false" customHeight="false" outlineLevel="0" collapsed="false">
      <c r="D145" s="309" t="s">
        <v>613</v>
      </c>
      <c r="E145" s="312" t="n">
        <v>-1</v>
      </c>
    </row>
    <row r="146" customFormat="false" ht="15.75" hidden="false" customHeight="false" outlineLevel="0" collapsed="false">
      <c r="D146" s="309" t="s">
        <v>614</v>
      </c>
      <c r="E146" s="312" t="n">
        <v>-1</v>
      </c>
    </row>
    <row r="147" customFormat="false" ht="15.75" hidden="false" customHeight="false" outlineLevel="0" collapsed="false">
      <c r="D147" s="309" t="s">
        <v>615</v>
      </c>
      <c r="E147" s="312" t="n">
        <v>-1</v>
      </c>
    </row>
    <row r="148" customFormat="false" ht="15.75" hidden="false" customHeight="false" outlineLevel="0" collapsed="false">
      <c r="D148" s="309" t="s">
        <v>616</v>
      </c>
      <c r="E148" s="312" t="n">
        <v>-1</v>
      </c>
    </row>
  </sheetData>
  <autoFilter ref="A2:B140"/>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8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75" zeroHeight="false" outlineLevelRow="0" outlineLevelCol="0"/>
  <cols>
    <col collapsed="false" customWidth="true" hidden="false" outlineLevel="0" max="1" min="1" style="0" width="13.5"/>
  </cols>
  <sheetData>
    <row r="1" customFormat="false" ht="15.75" hidden="false" customHeight="false" outlineLevel="0" collapsed="false">
      <c r="A1" s="290" t="s">
        <v>8</v>
      </c>
      <c r="B1" s="290" t="s">
        <v>608</v>
      </c>
      <c r="C1" s="290" t="s">
        <v>617</v>
      </c>
    </row>
    <row r="2" customFormat="false" ht="15.75" hidden="false" customHeight="false" outlineLevel="0" collapsed="false">
      <c r="A2" s="290" t="s">
        <v>12</v>
      </c>
      <c r="B2" s="290" t="n">
        <v>100</v>
      </c>
      <c r="C2" s="290"/>
    </row>
    <row r="3" customFormat="false" ht="15.75" hidden="false" customHeight="false" outlineLevel="0" collapsed="false">
      <c r="A3" s="290" t="s">
        <v>77</v>
      </c>
      <c r="B3" s="290" t="n">
        <v>40</v>
      </c>
      <c r="C3" s="290"/>
    </row>
    <row r="4" customFormat="false" ht="15.75" hidden="false" customHeight="false" outlineLevel="0" collapsed="false">
      <c r="A4" s="290" t="s">
        <v>78</v>
      </c>
      <c r="B4" s="290" t="n">
        <v>40</v>
      </c>
      <c r="C4" s="290"/>
    </row>
    <row r="5" customFormat="false" ht="15.75" hidden="false" customHeight="false" outlineLevel="0" collapsed="false">
      <c r="A5" s="290" t="s">
        <v>102</v>
      </c>
      <c r="B5" s="290" t="n">
        <v>24</v>
      </c>
      <c r="C5" s="290"/>
    </row>
    <row r="6" customFormat="false" ht="15.75" hidden="false" customHeight="false" outlineLevel="0" collapsed="false">
      <c r="A6" s="290" t="s">
        <v>103</v>
      </c>
      <c r="B6" s="290" t="n">
        <v>24</v>
      </c>
      <c r="C6" s="290"/>
    </row>
    <row r="7" customFormat="false" ht="15.75" hidden="false" customHeight="false" outlineLevel="0" collapsed="false">
      <c r="A7" s="290" t="s">
        <v>129</v>
      </c>
      <c r="B7" s="290" t="n">
        <v>20</v>
      </c>
      <c r="C7" s="290"/>
    </row>
    <row r="8" customFormat="false" ht="15.75" hidden="false" customHeight="false" outlineLevel="0" collapsed="false">
      <c r="A8" s="290" t="s">
        <v>93</v>
      </c>
      <c r="B8" s="290" t="n">
        <v>4</v>
      </c>
      <c r="C8" s="290"/>
    </row>
    <row r="9" customFormat="false" ht="15.75" hidden="false" customHeight="false" outlineLevel="0" collapsed="false">
      <c r="A9" s="290" t="s">
        <v>141</v>
      </c>
      <c r="B9" s="290" t="n">
        <v>27</v>
      </c>
      <c r="C9" s="290"/>
    </row>
    <row r="10" customFormat="false" ht="15.75" hidden="false" customHeight="false" outlineLevel="0" collapsed="false">
      <c r="A10" s="290" t="s">
        <v>48</v>
      </c>
      <c r="B10" s="290" t="n">
        <v>37</v>
      </c>
      <c r="C10" s="290"/>
    </row>
    <row r="11" customFormat="false" ht="15.75" hidden="false" customHeight="false" outlineLevel="0" collapsed="false">
      <c r="A11" s="290" t="s">
        <v>49</v>
      </c>
      <c r="B11" s="290" t="n">
        <v>37</v>
      </c>
      <c r="C11" s="290"/>
    </row>
    <row r="12" customFormat="false" ht="15.75" hidden="false" customHeight="false" outlineLevel="0" collapsed="false">
      <c r="A12" s="290" t="s">
        <v>43</v>
      </c>
      <c r="B12" s="290" t="n">
        <v>67</v>
      </c>
      <c r="C12" s="290"/>
    </row>
    <row r="13" customFormat="false" ht="15.75" hidden="false" customHeight="false" outlineLevel="0" collapsed="false">
      <c r="A13" s="290" t="s">
        <v>63</v>
      </c>
      <c r="B13" s="290" t="n">
        <v>47</v>
      </c>
      <c r="C13" s="290"/>
    </row>
    <row r="14" customFormat="false" ht="15.75" hidden="false" customHeight="false" outlineLevel="0" collapsed="false">
      <c r="A14" s="290" t="s">
        <v>68</v>
      </c>
      <c r="B14" s="290" t="n">
        <v>103</v>
      </c>
      <c r="C14" s="290"/>
    </row>
    <row r="15" customFormat="false" ht="15.75" hidden="false" customHeight="false" outlineLevel="0" collapsed="false">
      <c r="A15" s="290" t="s">
        <v>140</v>
      </c>
      <c r="B15" s="290" t="n">
        <v>16</v>
      </c>
      <c r="C15" s="290"/>
    </row>
    <row r="16" customFormat="false" ht="15.75" hidden="false" customHeight="false" outlineLevel="0" collapsed="false">
      <c r="A16" s="290" t="s">
        <v>46</v>
      </c>
      <c r="B16" s="290" t="n">
        <v>26</v>
      </c>
      <c r="C16" s="290"/>
    </row>
    <row r="17" customFormat="false" ht="15.75" hidden="false" customHeight="false" outlineLevel="0" collapsed="false">
      <c r="A17" s="290" t="s">
        <v>66</v>
      </c>
      <c r="B17" s="290" t="n">
        <v>49</v>
      </c>
      <c r="C17" s="290"/>
    </row>
    <row r="18" customFormat="false" ht="15.75" hidden="false" customHeight="false" outlineLevel="0" collapsed="false">
      <c r="A18" s="290" t="s">
        <v>80</v>
      </c>
      <c r="B18" s="290" t="n">
        <v>12</v>
      </c>
      <c r="C18" s="290"/>
    </row>
    <row r="19" customFormat="false" ht="15.75" hidden="false" customHeight="false" outlineLevel="0" collapsed="false">
      <c r="A19" s="290" t="s">
        <v>81</v>
      </c>
      <c r="B19" s="290" t="n">
        <v>12</v>
      </c>
      <c r="C19" s="290"/>
    </row>
    <row r="20" customFormat="false" ht="15.75" hidden="false" customHeight="false" outlineLevel="0" collapsed="false">
      <c r="A20" s="290" t="s">
        <v>143</v>
      </c>
      <c r="B20" s="290" t="n">
        <v>56</v>
      </c>
      <c r="C20" s="290"/>
    </row>
    <row r="21" customFormat="false" ht="15.75" hidden="false" customHeight="false" outlineLevel="0" collapsed="false">
      <c r="A21" s="290" t="s">
        <v>59</v>
      </c>
      <c r="B21" s="290" t="n">
        <v>5</v>
      </c>
      <c r="C21" s="290"/>
    </row>
    <row r="22" customFormat="false" ht="15.75" hidden="false" customHeight="false" outlineLevel="0" collapsed="false">
      <c r="A22" s="290" t="s">
        <v>28</v>
      </c>
      <c r="B22" s="290" t="n">
        <v>30</v>
      </c>
      <c r="C22" s="290"/>
    </row>
    <row r="23" customFormat="false" ht="15.75" hidden="false" customHeight="false" outlineLevel="0" collapsed="false">
      <c r="A23" s="290" t="s">
        <v>96</v>
      </c>
      <c r="B23" s="290" t="n">
        <v>63</v>
      </c>
      <c r="C23" s="290"/>
    </row>
    <row r="24" customFormat="false" ht="15.75" hidden="false" customHeight="false" outlineLevel="0" collapsed="false">
      <c r="A24" s="290" t="s">
        <v>114</v>
      </c>
      <c r="B24" s="290" t="n">
        <v>10</v>
      </c>
      <c r="C24" s="290"/>
    </row>
    <row r="25" customFormat="false" ht="15.75" hidden="false" customHeight="false" outlineLevel="0" collapsed="false">
      <c r="A25" s="290" t="s">
        <v>41</v>
      </c>
      <c r="B25" s="290" t="n">
        <v>62</v>
      </c>
      <c r="C25" s="290"/>
    </row>
    <row r="26" customFormat="false" ht="15.75" hidden="false" customHeight="false" outlineLevel="0" collapsed="false">
      <c r="A26" s="290" t="s">
        <v>64</v>
      </c>
      <c r="B26" s="290" t="n">
        <v>31</v>
      </c>
      <c r="C26" s="290"/>
    </row>
    <row r="27" customFormat="false" ht="15.75" hidden="false" customHeight="false" outlineLevel="0" collapsed="false">
      <c r="A27" s="290" t="s">
        <v>65</v>
      </c>
      <c r="B27" s="290" t="n">
        <v>31</v>
      </c>
      <c r="C27" s="290"/>
    </row>
    <row r="28" customFormat="false" ht="15.75" hidden="false" customHeight="false" outlineLevel="0" collapsed="false">
      <c r="A28" s="290" t="s">
        <v>90</v>
      </c>
      <c r="B28" s="290" t="n">
        <v>1</v>
      </c>
      <c r="C28" s="290"/>
    </row>
    <row r="29" customFormat="false" ht="15.75" hidden="false" customHeight="false" outlineLevel="0" collapsed="false">
      <c r="A29" s="290" t="s">
        <v>82</v>
      </c>
      <c r="B29" s="290" t="n">
        <v>101</v>
      </c>
      <c r="C29" s="290"/>
    </row>
    <row r="30" customFormat="false" ht="15.75" hidden="false" customHeight="false" outlineLevel="0" collapsed="false">
      <c r="A30" s="290" t="s">
        <v>83</v>
      </c>
      <c r="B30" s="290" t="n">
        <v>101</v>
      </c>
      <c r="C30" s="290"/>
    </row>
    <row r="31" customFormat="false" ht="15.75" hidden="false" customHeight="false" outlineLevel="0" collapsed="false">
      <c r="A31" s="290" t="s">
        <v>94</v>
      </c>
      <c r="B31" s="290" t="n">
        <v>46</v>
      </c>
      <c r="C31" s="290"/>
    </row>
    <row r="32" customFormat="false" ht="15.75" hidden="false" customHeight="false" outlineLevel="0" collapsed="false">
      <c r="A32" s="290" t="s">
        <v>71</v>
      </c>
      <c r="B32" s="290" t="n">
        <v>32</v>
      </c>
      <c r="C32" s="290"/>
    </row>
    <row r="33" customFormat="false" ht="15.75" hidden="false" customHeight="false" outlineLevel="0" collapsed="false">
      <c r="A33" s="290" t="s">
        <v>72</v>
      </c>
      <c r="B33" s="290" t="n">
        <v>32</v>
      </c>
      <c r="C33" s="290"/>
    </row>
    <row r="34" customFormat="false" ht="15.75" hidden="false" customHeight="false" outlineLevel="0" collapsed="false">
      <c r="A34" s="290" t="s">
        <v>135</v>
      </c>
      <c r="B34" s="290" t="n">
        <v>102</v>
      </c>
      <c r="C34" s="290"/>
    </row>
    <row r="35" customFormat="false" ht="15.75" hidden="false" customHeight="false" outlineLevel="0" collapsed="false">
      <c r="A35" s="290" t="s">
        <v>136</v>
      </c>
      <c r="B35" s="290" t="n">
        <v>102</v>
      </c>
      <c r="C35" s="290"/>
    </row>
    <row r="36" customFormat="false" ht="15.75" hidden="false" customHeight="false" outlineLevel="0" collapsed="false">
      <c r="A36" s="290" t="s">
        <v>117</v>
      </c>
      <c r="B36" s="290" t="n">
        <v>58</v>
      </c>
      <c r="C36" s="290"/>
    </row>
    <row r="37" customFormat="false" ht="15.75" hidden="false" customHeight="false" outlineLevel="0" collapsed="false">
      <c r="A37" s="290" t="s">
        <v>118</v>
      </c>
      <c r="B37" s="290" t="n">
        <v>58</v>
      </c>
      <c r="C37" s="290"/>
    </row>
    <row r="38" customFormat="false" ht="15.75" hidden="false" customHeight="false" outlineLevel="0" collapsed="false">
      <c r="A38" s="290" t="s">
        <v>51</v>
      </c>
      <c r="B38" s="290" t="n">
        <v>80</v>
      </c>
      <c r="C38" s="290"/>
    </row>
    <row r="39" customFormat="false" ht="15.75" hidden="false" customHeight="false" outlineLevel="0" collapsed="false">
      <c r="A39" s="290" t="s">
        <v>52</v>
      </c>
      <c r="B39" s="290" t="n">
        <v>80</v>
      </c>
      <c r="C39" s="290"/>
    </row>
    <row r="40" customFormat="false" ht="15.75" hidden="false" customHeight="false" outlineLevel="0" collapsed="false">
      <c r="A40" s="290" t="s">
        <v>151</v>
      </c>
      <c r="B40" s="290" t="n">
        <v>34</v>
      </c>
      <c r="C40" s="290"/>
    </row>
    <row r="41" customFormat="false" ht="15.75" hidden="false" customHeight="false" outlineLevel="0" collapsed="false">
      <c r="A41" s="290" t="s">
        <v>39</v>
      </c>
      <c r="B41" s="290" t="n">
        <v>83</v>
      </c>
      <c r="C41" s="290"/>
    </row>
    <row r="42" customFormat="false" ht="15.75" hidden="false" customHeight="false" outlineLevel="0" collapsed="false">
      <c r="A42" s="290" t="s">
        <v>104</v>
      </c>
      <c r="B42" s="290" t="n">
        <v>36</v>
      </c>
      <c r="C42" s="290"/>
    </row>
    <row r="43" customFormat="false" ht="15.75" hidden="false" customHeight="false" outlineLevel="0" collapsed="false">
      <c r="A43" s="290" t="s">
        <v>133</v>
      </c>
      <c r="B43" s="290" t="n">
        <v>65</v>
      </c>
      <c r="C43" s="290"/>
    </row>
    <row r="44" customFormat="false" ht="15.75" hidden="false" customHeight="false" outlineLevel="0" collapsed="false">
      <c r="A44" s="290" t="s">
        <v>134</v>
      </c>
      <c r="B44" s="290" t="n">
        <v>65</v>
      </c>
      <c r="C44" s="290"/>
    </row>
    <row r="45" customFormat="false" ht="15.75" hidden="false" customHeight="false" outlineLevel="0" collapsed="false">
      <c r="A45" s="290" t="s">
        <v>33</v>
      </c>
      <c r="B45" s="290" t="n">
        <v>44</v>
      </c>
      <c r="C45" s="290"/>
    </row>
    <row r="46" customFormat="false" ht="15.75" hidden="false" customHeight="false" outlineLevel="0" collapsed="false">
      <c r="A46" s="290" t="s">
        <v>18</v>
      </c>
      <c r="B46" s="290" t="n">
        <v>82</v>
      </c>
      <c r="C46" s="290"/>
    </row>
    <row r="47" customFormat="false" ht="15.75" hidden="false" customHeight="false" outlineLevel="0" collapsed="false">
      <c r="A47" s="290" t="s">
        <v>32</v>
      </c>
      <c r="B47" s="290" t="n">
        <v>2</v>
      </c>
      <c r="C47" s="290"/>
    </row>
    <row r="48" customFormat="false" ht="15.75" hidden="false" customHeight="false" outlineLevel="0" collapsed="false">
      <c r="A48" s="290" t="s">
        <v>42</v>
      </c>
      <c r="B48" s="290" t="n">
        <v>17</v>
      </c>
      <c r="C48" s="290"/>
    </row>
    <row r="49" customFormat="false" ht="15.75" hidden="false" customHeight="false" outlineLevel="0" collapsed="false">
      <c r="A49" s="290" t="s">
        <v>55</v>
      </c>
      <c r="B49" s="290" t="n">
        <v>93</v>
      </c>
      <c r="C49" s="290"/>
    </row>
    <row r="50" customFormat="false" ht="15.75" hidden="false" customHeight="false" outlineLevel="0" collapsed="false">
      <c r="A50" s="290" t="s">
        <v>124</v>
      </c>
      <c r="B50" s="290" t="n">
        <v>88</v>
      </c>
      <c r="C50" s="290"/>
    </row>
    <row r="51" customFormat="false" ht="15.75" hidden="false" customHeight="false" outlineLevel="0" collapsed="false">
      <c r="A51" s="290" t="s">
        <v>76</v>
      </c>
      <c r="B51" s="290" t="n">
        <v>88</v>
      </c>
      <c r="C51" s="290"/>
    </row>
    <row r="52" customFormat="false" ht="15.75" hidden="false" customHeight="false" outlineLevel="0" collapsed="false">
      <c r="A52" s="290" t="s">
        <v>101</v>
      </c>
      <c r="B52" s="290" t="n">
        <v>66</v>
      </c>
      <c r="C52" s="290"/>
    </row>
    <row r="53" customFormat="false" ht="15.75" hidden="false" customHeight="false" outlineLevel="0" collapsed="false">
      <c r="A53" s="290" t="s">
        <v>126</v>
      </c>
      <c r="B53" s="290" t="n">
        <v>48</v>
      </c>
      <c r="C53" s="290"/>
    </row>
    <row r="54" customFormat="false" ht="15.75" hidden="false" customHeight="false" outlineLevel="0" collapsed="false">
      <c r="A54" s="290" t="s">
        <v>127</v>
      </c>
      <c r="B54" s="290" t="n">
        <v>48</v>
      </c>
      <c r="C54" s="290"/>
    </row>
    <row r="55" customFormat="false" ht="15.75" hidden="false" customHeight="false" outlineLevel="0" collapsed="false">
      <c r="A55" s="290" t="s">
        <v>122</v>
      </c>
      <c r="B55" s="290" t="n">
        <v>85</v>
      </c>
      <c r="C55" s="290"/>
    </row>
    <row r="56" customFormat="false" ht="15.75" hidden="false" customHeight="false" outlineLevel="0" collapsed="false">
      <c r="A56" s="290" t="s">
        <v>123</v>
      </c>
      <c r="B56" s="290" t="n">
        <v>85</v>
      </c>
      <c r="C56" s="290"/>
    </row>
    <row r="57" customFormat="false" ht="15.75" hidden="false" customHeight="false" outlineLevel="0" collapsed="false">
      <c r="A57" s="290" t="s">
        <v>89</v>
      </c>
      <c r="B57" s="290" t="n">
        <v>61</v>
      </c>
      <c r="C57" s="290"/>
    </row>
    <row r="58" customFormat="false" ht="15.75" hidden="false" customHeight="false" outlineLevel="0" collapsed="false">
      <c r="A58" s="290" t="s">
        <v>91</v>
      </c>
      <c r="B58" s="290" t="n">
        <v>45</v>
      </c>
      <c r="C58" s="290"/>
    </row>
    <row r="59" customFormat="false" ht="15.75" hidden="false" customHeight="false" outlineLevel="0" collapsed="false">
      <c r="A59" s="290" t="s">
        <v>92</v>
      </c>
      <c r="B59" s="290" t="n">
        <v>45</v>
      </c>
      <c r="C59" s="290"/>
    </row>
    <row r="60" customFormat="false" ht="15.75" hidden="false" customHeight="false" outlineLevel="0" collapsed="false">
      <c r="A60" s="290" t="s">
        <v>61</v>
      </c>
      <c r="B60" s="290" t="n">
        <v>6</v>
      </c>
      <c r="C60" s="290"/>
    </row>
    <row r="61" customFormat="false" ht="15.75" hidden="false" customHeight="false" outlineLevel="0" collapsed="false">
      <c r="A61" s="290" t="s">
        <v>145</v>
      </c>
      <c r="B61" s="290" t="n">
        <v>71</v>
      </c>
      <c r="C61" s="290"/>
    </row>
    <row r="62" customFormat="false" ht="15.75" hidden="false" customHeight="false" outlineLevel="0" collapsed="false">
      <c r="A62" s="290" t="s">
        <v>146</v>
      </c>
      <c r="B62" s="290" t="n">
        <v>71</v>
      </c>
      <c r="C62" s="290"/>
    </row>
    <row r="63" customFormat="false" ht="15.75" hidden="false" customHeight="false" outlineLevel="0" collapsed="false">
      <c r="A63" s="290" t="s">
        <v>35</v>
      </c>
      <c r="B63" s="290" t="n">
        <v>3</v>
      </c>
      <c r="C63" s="290"/>
    </row>
    <row r="64" customFormat="false" ht="15.75" hidden="false" customHeight="false" outlineLevel="0" collapsed="false">
      <c r="A64" s="290" t="s">
        <v>44</v>
      </c>
      <c r="B64" s="290" t="n">
        <v>64</v>
      </c>
      <c r="C64" s="290"/>
    </row>
    <row r="65" customFormat="false" ht="15.75" hidden="false" customHeight="false" outlineLevel="0" collapsed="false">
      <c r="A65" s="290" t="s">
        <v>45</v>
      </c>
      <c r="B65" s="290" t="n">
        <v>64</v>
      </c>
      <c r="C65" s="290"/>
    </row>
    <row r="66" customFormat="false" ht="15.75" hidden="false" customHeight="false" outlineLevel="0" collapsed="false">
      <c r="A66" s="290" t="s">
        <v>132</v>
      </c>
      <c r="B66" s="290" t="n">
        <v>7</v>
      </c>
      <c r="C66" s="290"/>
    </row>
    <row r="67" customFormat="false" ht="15.75" hidden="false" customHeight="false" outlineLevel="0" collapsed="false">
      <c r="A67" s="290" t="s">
        <v>21</v>
      </c>
      <c r="B67" s="290" t="n">
        <v>110</v>
      </c>
      <c r="C67" s="290"/>
    </row>
    <row r="68" customFormat="false" ht="15.75" hidden="false" customHeight="false" outlineLevel="0" collapsed="false">
      <c r="A68" s="290" t="s">
        <v>60</v>
      </c>
      <c r="B68" s="290" t="n">
        <v>110</v>
      </c>
      <c r="C68" s="290"/>
    </row>
    <row r="69" customFormat="false" ht="15.75" hidden="false" customHeight="false" outlineLevel="0" collapsed="false">
      <c r="A69" s="290" t="s">
        <v>99</v>
      </c>
      <c r="B69" s="290" t="n">
        <v>90</v>
      </c>
      <c r="C69" s="290"/>
    </row>
    <row r="70" customFormat="false" ht="15.75" hidden="false" customHeight="false" outlineLevel="0" collapsed="false">
      <c r="A70" s="290" t="s">
        <v>100</v>
      </c>
      <c r="B70" s="290" t="n">
        <v>90</v>
      </c>
      <c r="C70" s="290"/>
    </row>
    <row r="71" customFormat="false" ht="15.75" hidden="false" customHeight="false" outlineLevel="0" collapsed="false">
      <c r="A71" s="290" t="s">
        <v>54</v>
      </c>
      <c r="B71" s="290" t="n">
        <v>94</v>
      </c>
      <c r="C71" s="290"/>
    </row>
    <row r="72" customFormat="false" ht="15.75" hidden="false" customHeight="false" outlineLevel="0" collapsed="false">
      <c r="A72" s="290" t="s">
        <v>29</v>
      </c>
      <c r="B72" s="290" t="n">
        <v>86</v>
      </c>
      <c r="C72" s="290"/>
    </row>
    <row r="73" customFormat="false" ht="15.75" hidden="false" customHeight="false" outlineLevel="0" collapsed="false">
      <c r="A73" s="290" t="s">
        <v>30</v>
      </c>
      <c r="B73" s="290" t="n">
        <v>86</v>
      </c>
      <c r="C73" s="290"/>
    </row>
    <row r="74" customFormat="false" ht="15.75" hidden="false" customHeight="false" outlineLevel="0" collapsed="false">
      <c r="A74" s="290" t="s">
        <v>53</v>
      </c>
      <c r="B74" s="290" t="n">
        <v>105</v>
      </c>
      <c r="C74" s="290"/>
    </row>
    <row r="75" customFormat="false" ht="15.75" hidden="false" customHeight="false" outlineLevel="0" collapsed="false">
      <c r="A75" s="290" t="s">
        <v>24</v>
      </c>
      <c r="B75" s="290" t="n">
        <v>96</v>
      </c>
      <c r="C75" s="290"/>
    </row>
    <row r="76" customFormat="false" ht="15.75" hidden="false" customHeight="false" outlineLevel="0" collapsed="false">
      <c r="A76" s="290" t="s">
        <v>31</v>
      </c>
      <c r="B76" s="290" t="n">
        <v>35</v>
      </c>
      <c r="C76" s="290"/>
    </row>
    <row r="77" customFormat="false" ht="15.75" hidden="false" customHeight="false" outlineLevel="0" collapsed="false">
      <c r="A77" s="290" t="s">
        <v>121</v>
      </c>
      <c r="B77" s="290" t="n">
        <v>59</v>
      </c>
      <c r="C77" s="290"/>
    </row>
    <row r="78" customFormat="false" ht="15.75" hidden="false" customHeight="false" outlineLevel="0" collapsed="false">
      <c r="A78" s="290" t="s">
        <v>130</v>
      </c>
      <c r="B78" s="290" t="n">
        <v>107</v>
      </c>
      <c r="C78" s="290"/>
    </row>
    <row r="79" customFormat="false" ht="15.75" hidden="false" customHeight="false" outlineLevel="0" collapsed="false">
      <c r="A79" s="290" t="s">
        <v>131</v>
      </c>
      <c r="B79" s="290" t="n">
        <v>79</v>
      </c>
      <c r="C79" s="290"/>
    </row>
    <row r="80" customFormat="false" ht="15.75" hidden="false" customHeight="false" outlineLevel="0" collapsed="false">
      <c r="A80" s="290" t="s">
        <v>148</v>
      </c>
      <c r="B80" s="290" t="n">
        <v>14</v>
      </c>
      <c r="C80" s="290"/>
    </row>
    <row r="81" customFormat="false" ht="15.75" hidden="false" customHeight="false" outlineLevel="0" collapsed="false">
      <c r="A81" s="290" t="s">
        <v>150</v>
      </c>
      <c r="B81" s="290" t="n">
        <v>76</v>
      </c>
      <c r="C81" s="290"/>
    </row>
    <row r="82" customFormat="false" ht="15.75" hidden="false" customHeight="false" outlineLevel="0" collapsed="false">
      <c r="A82" s="290" t="s">
        <v>95</v>
      </c>
      <c r="B82" s="290" t="n">
        <v>69</v>
      </c>
      <c r="C82" s="290"/>
    </row>
    <row r="83" customFormat="false" ht="15.75" hidden="false" customHeight="false" outlineLevel="0" collapsed="false">
      <c r="A83" s="290" t="s">
        <v>74</v>
      </c>
      <c r="B83" s="290" t="n">
        <v>15</v>
      </c>
      <c r="C83" s="290"/>
    </row>
    <row r="84" customFormat="false" ht="15.75" hidden="false" customHeight="false" outlineLevel="0" collapsed="false">
      <c r="A84" s="290" t="s">
        <v>85</v>
      </c>
      <c r="B84" s="290" t="n">
        <v>81</v>
      </c>
      <c r="C84" s="290"/>
    </row>
    <row r="85" customFormat="false" ht="15.75" hidden="false" customHeight="false" outlineLevel="0" collapsed="false">
      <c r="A85" s="290" t="s">
        <v>86</v>
      </c>
      <c r="B85" s="290" t="n">
        <v>81</v>
      </c>
      <c r="C85" s="290"/>
    </row>
    <row r="86" customFormat="false" ht="15.75" hidden="false" customHeight="false" outlineLevel="0" collapsed="false">
      <c r="A86" s="290" t="s">
        <v>87</v>
      </c>
      <c r="B86" s="290" t="n">
        <v>23</v>
      </c>
      <c r="C86" s="290"/>
    </row>
    <row r="87" customFormat="false" ht="15.75" hidden="false" customHeight="false" outlineLevel="0" collapsed="false">
      <c r="A87" s="290" t="s">
        <v>108</v>
      </c>
      <c r="B87" s="290" t="n">
        <v>29</v>
      </c>
      <c r="C87" s="290"/>
    </row>
    <row r="88" customFormat="false" ht="15.75" hidden="false" customHeight="false" outlineLevel="0" collapsed="false">
      <c r="A88" s="290" t="s">
        <v>152</v>
      </c>
      <c r="B88" s="290" t="n">
        <v>91</v>
      </c>
      <c r="C88" s="290"/>
    </row>
    <row r="89" customFormat="false" ht="15.75" hidden="false" customHeight="false" outlineLevel="0" collapsed="false">
      <c r="A89" s="290" t="s">
        <v>153</v>
      </c>
      <c r="B89" s="290" t="n">
        <v>91</v>
      </c>
      <c r="C89" s="290"/>
    </row>
    <row r="90" customFormat="false" ht="15.75" hidden="false" customHeight="false" outlineLevel="0" collapsed="false">
      <c r="A90" s="290" t="s">
        <v>144</v>
      </c>
      <c r="B90" s="290" t="n">
        <v>78</v>
      </c>
      <c r="C90" s="290"/>
    </row>
    <row r="91" customFormat="false" ht="15.75" hidden="false" customHeight="false" outlineLevel="0" collapsed="false">
      <c r="A91" s="290" t="s">
        <v>110</v>
      </c>
      <c r="B91" s="290" t="n">
        <v>38</v>
      </c>
      <c r="C91" s="290"/>
    </row>
    <row r="92" customFormat="false" ht="15.75" hidden="false" customHeight="false" outlineLevel="0" collapsed="false">
      <c r="A92" s="290" t="s">
        <v>57</v>
      </c>
      <c r="B92" s="290" t="n">
        <v>28</v>
      </c>
      <c r="C92" s="290"/>
    </row>
    <row r="93" customFormat="false" ht="15.75" hidden="false" customHeight="false" outlineLevel="0" collapsed="false">
      <c r="A93" s="290" t="s">
        <v>97</v>
      </c>
      <c r="B93" s="290" t="n">
        <v>104</v>
      </c>
      <c r="C93" s="290"/>
    </row>
    <row r="94" customFormat="false" ht="15.75" hidden="false" customHeight="false" outlineLevel="0" collapsed="false">
      <c r="A94" s="290" t="s">
        <v>98</v>
      </c>
      <c r="B94" s="290" t="n">
        <v>104</v>
      </c>
      <c r="C94" s="290"/>
    </row>
    <row r="95" customFormat="false" ht="15.75" hidden="false" customHeight="false" outlineLevel="0" collapsed="false">
      <c r="A95" s="290" t="s">
        <v>50</v>
      </c>
      <c r="B95" s="290" t="n">
        <v>51</v>
      </c>
      <c r="C95" s="290"/>
    </row>
    <row r="96" customFormat="false" ht="15.75" hidden="false" customHeight="false" outlineLevel="0" collapsed="false">
      <c r="A96" s="290" t="s">
        <v>22</v>
      </c>
      <c r="B96" s="290" t="n">
        <v>50</v>
      </c>
      <c r="C96" s="290"/>
    </row>
    <row r="97" customFormat="false" ht="15.75" hidden="false" customHeight="false" outlineLevel="0" collapsed="false">
      <c r="A97" s="290" t="s">
        <v>142</v>
      </c>
      <c r="B97" s="290" t="n">
        <v>68</v>
      </c>
      <c r="C97" s="290"/>
    </row>
    <row r="98" customFormat="false" ht="15.75" hidden="false" customHeight="false" outlineLevel="0" collapsed="false">
      <c r="A98" s="290" t="s">
        <v>106</v>
      </c>
      <c r="B98" s="290" t="n">
        <v>33</v>
      </c>
      <c r="C98" s="290"/>
    </row>
    <row r="99" customFormat="false" ht="15.75" hidden="false" customHeight="false" outlineLevel="0" collapsed="false">
      <c r="A99" s="290" t="s">
        <v>107</v>
      </c>
      <c r="B99" s="290" t="n">
        <v>33</v>
      </c>
      <c r="C99" s="290"/>
    </row>
    <row r="100" customFormat="false" ht="15.75" hidden="false" customHeight="false" outlineLevel="0" collapsed="false">
      <c r="A100" s="290" t="s">
        <v>13</v>
      </c>
      <c r="B100" s="290" t="n">
        <v>42</v>
      </c>
      <c r="C100" s="290"/>
    </row>
    <row r="101" customFormat="false" ht="15.75" hidden="false" customHeight="false" outlineLevel="0" collapsed="false">
      <c r="A101" s="290" t="s">
        <v>120</v>
      </c>
      <c r="B101" s="290" t="n">
        <v>60</v>
      </c>
      <c r="C101" s="290"/>
    </row>
    <row r="102" customFormat="false" ht="15.75" hidden="false" customHeight="false" outlineLevel="0" collapsed="false">
      <c r="A102" s="290" t="s">
        <v>62</v>
      </c>
      <c r="B102" s="290" t="n">
        <v>22</v>
      </c>
      <c r="C102" s="290"/>
    </row>
    <row r="103" customFormat="false" ht="15.75" hidden="false" customHeight="false" outlineLevel="0" collapsed="false">
      <c r="A103" s="290" t="s">
        <v>15</v>
      </c>
      <c r="B103" s="290" t="n">
        <v>98</v>
      </c>
      <c r="C103" s="290"/>
    </row>
    <row r="104" customFormat="false" ht="15.75" hidden="false" customHeight="false" outlineLevel="0" collapsed="false">
      <c r="A104" s="290" t="s">
        <v>147</v>
      </c>
      <c r="B104" s="290" t="n">
        <v>77</v>
      </c>
      <c r="C104" s="290"/>
    </row>
    <row r="105" customFormat="false" ht="15.75" hidden="false" customHeight="false" outlineLevel="0" collapsed="false">
      <c r="A105" s="290" t="s">
        <v>58</v>
      </c>
      <c r="B105" s="290" t="n">
        <v>57</v>
      </c>
      <c r="C105" s="290"/>
    </row>
    <row r="106" customFormat="false" ht="15.75" hidden="false" customHeight="false" outlineLevel="0" collapsed="false">
      <c r="A106" s="290" t="s">
        <v>79</v>
      </c>
      <c r="B106" s="290" t="n">
        <v>111</v>
      </c>
      <c r="C106" s="290"/>
    </row>
    <row r="107" customFormat="false" ht="15.75" hidden="false" customHeight="false" outlineLevel="0" collapsed="false">
      <c r="A107" s="290" t="s">
        <v>40</v>
      </c>
      <c r="B107" s="290" t="n">
        <v>19</v>
      </c>
      <c r="C107" s="290"/>
    </row>
    <row r="108" customFormat="false" ht="15.75" hidden="false" customHeight="false" outlineLevel="0" collapsed="false">
      <c r="A108" s="290" t="s">
        <v>139</v>
      </c>
      <c r="B108" s="290" t="n">
        <v>8</v>
      </c>
      <c r="C108" s="290"/>
    </row>
    <row r="109" customFormat="false" ht="15.75" hidden="false" customHeight="false" outlineLevel="0" collapsed="false">
      <c r="A109" s="290" t="s">
        <v>25</v>
      </c>
      <c r="B109" s="290" t="n">
        <v>84</v>
      </c>
      <c r="C109" s="290"/>
    </row>
    <row r="110" customFormat="false" ht="15.75" hidden="false" customHeight="false" outlineLevel="0" collapsed="false">
      <c r="A110" s="290" t="s">
        <v>27</v>
      </c>
      <c r="B110" s="290" t="n">
        <v>84</v>
      </c>
      <c r="C110" s="290"/>
    </row>
    <row r="111" customFormat="false" ht="15.75" hidden="false" customHeight="false" outlineLevel="0" collapsed="false">
      <c r="A111" s="290" t="s">
        <v>88</v>
      </c>
      <c r="B111" s="290" t="n">
        <v>89</v>
      </c>
      <c r="C111" s="290"/>
    </row>
    <row r="112" customFormat="false" ht="15.75" hidden="false" customHeight="false" outlineLevel="0" collapsed="false">
      <c r="A112" s="290" t="s">
        <v>75</v>
      </c>
      <c r="B112" s="290" t="n">
        <v>89</v>
      </c>
      <c r="C112" s="290"/>
    </row>
    <row r="113" customFormat="false" ht="15.75" hidden="false" customHeight="false" outlineLevel="0" collapsed="false">
      <c r="A113" s="290" t="s">
        <v>69</v>
      </c>
      <c r="B113" s="290" t="n">
        <v>13</v>
      </c>
      <c r="C113" s="290"/>
    </row>
    <row r="114" customFormat="false" ht="15.75" hidden="false" customHeight="false" outlineLevel="0" collapsed="false">
      <c r="A114" s="290" t="s">
        <v>70</v>
      </c>
      <c r="B114" s="290" t="n">
        <v>13</v>
      </c>
      <c r="C114" s="290"/>
    </row>
    <row r="115" customFormat="false" ht="15.75" hidden="false" customHeight="false" outlineLevel="0" collapsed="false">
      <c r="A115" s="290" t="s">
        <v>137</v>
      </c>
      <c r="B115" s="290" t="n">
        <v>53</v>
      </c>
      <c r="C115" s="290"/>
    </row>
    <row r="116" customFormat="false" ht="15.75" hidden="false" customHeight="false" outlineLevel="0" collapsed="false">
      <c r="A116" s="290" t="s">
        <v>138</v>
      </c>
      <c r="B116" s="290" t="n">
        <v>54</v>
      </c>
      <c r="C116" s="290"/>
    </row>
    <row r="117" customFormat="false" ht="15.75" hidden="false" customHeight="false" outlineLevel="0" collapsed="false">
      <c r="A117" s="290" t="s">
        <v>84</v>
      </c>
      <c r="B117" s="290" t="n">
        <v>75</v>
      </c>
      <c r="C117" s="290"/>
    </row>
    <row r="118" customFormat="false" ht="15.75" hidden="false" customHeight="false" outlineLevel="0" collapsed="false">
      <c r="A118" s="290" t="s">
        <v>125</v>
      </c>
      <c r="B118" s="290" t="n">
        <v>39</v>
      </c>
      <c r="C118" s="290"/>
    </row>
    <row r="119" customFormat="false" ht="15.75" hidden="false" customHeight="false" outlineLevel="0" collapsed="false">
      <c r="A119" s="290" t="s">
        <v>20</v>
      </c>
      <c r="B119" s="290" t="n">
        <v>73</v>
      </c>
      <c r="C119" s="290"/>
    </row>
    <row r="120" customFormat="false" ht="15.75" hidden="false" customHeight="false" outlineLevel="0" collapsed="false">
      <c r="A120" s="290" t="s">
        <v>149</v>
      </c>
      <c r="B120" s="290" t="n">
        <v>92</v>
      </c>
      <c r="C120" s="290"/>
    </row>
    <row r="121" customFormat="false" ht="15.75" hidden="false" customHeight="false" outlineLevel="0" collapsed="false">
      <c r="A121" s="290" t="s">
        <v>113</v>
      </c>
      <c r="B121" s="290" t="n">
        <v>108</v>
      </c>
      <c r="C121" s="290"/>
    </row>
    <row r="122" customFormat="false" ht="15.75" hidden="false" customHeight="false" outlineLevel="0" collapsed="false">
      <c r="A122" s="290" t="s">
        <v>111</v>
      </c>
      <c r="B122" s="290" t="n">
        <v>21</v>
      </c>
      <c r="C122" s="290"/>
    </row>
    <row r="123" customFormat="false" ht="15.75" hidden="false" customHeight="false" outlineLevel="0" collapsed="false">
      <c r="A123" s="290" t="s">
        <v>115</v>
      </c>
      <c r="B123" s="290" t="n">
        <v>11</v>
      </c>
      <c r="C123" s="290"/>
    </row>
    <row r="124" customFormat="false" ht="15.75" hidden="false" customHeight="false" outlineLevel="0" collapsed="false">
      <c r="A124" s="290" t="s">
        <v>36</v>
      </c>
      <c r="B124" s="290" t="n">
        <v>55</v>
      </c>
      <c r="C124" s="290"/>
    </row>
    <row r="125" customFormat="false" ht="15.75" hidden="false" customHeight="false" outlineLevel="0" collapsed="false">
      <c r="A125" s="290" t="s">
        <v>119</v>
      </c>
      <c r="B125" s="290" t="n">
        <v>95</v>
      </c>
      <c r="C125" s="290"/>
    </row>
    <row r="126" customFormat="false" ht="15.75" hidden="false" customHeight="false" outlineLevel="0" collapsed="false">
      <c r="A126" s="290" t="s">
        <v>73</v>
      </c>
      <c r="B126" s="290" t="n">
        <v>97</v>
      </c>
      <c r="C126" s="290"/>
    </row>
    <row r="127" customFormat="false" ht="15.75" hidden="false" customHeight="false" outlineLevel="0" collapsed="false">
      <c r="A127" s="290" t="s">
        <v>14</v>
      </c>
      <c r="B127" s="290" t="n">
        <v>74</v>
      </c>
      <c r="C127" s="290"/>
    </row>
    <row r="128" customFormat="false" ht="15.75" hidden="false" customHeight="false" outlineLevel="0" collapsed="false">
      <c r="A128" s="290" t="s">
        <v>26</v>
      </c>
      <c r="B128" s="290" t="n">
        <v>72</v>
      </c>
      <c r="C128" s="290"/>
    </row>
    <row r="129" customFormat="false" ht="15.75" hidden="false" customHeight="false" outlineLevel="0" collapsed="false">
      <c r="A129" s="290" t="s">
        <v>34</v>
      </c>
      <c r="B129" s="290" t="n">
        <v>25</v>
      </c>
      <c r="C129" s="290"/>
    </row>
    <row r="130" customFormat="false" ht="15.75" hidden="false" customHeight="false" outlineLevel="0" collapsed="false">
      <c r="A130" s="290" t="s">
        <v>109</v>
      </c>
      <c r="B130" s="290" t="n">
        <v>109</v>
      </c>
      <c r="C130" s="290"/>
    </row>
    <row r="131" customFormat="false" ht="15.75" hidden="false" customHeight="false" outlineLevel="0" collapsed="false">
      <c r="A131" s="290" t="s">
        <v>116</v>
      </c>
      <c r="B131" s="290" t="n">
        <v>87</v>
      </c>
      <c r="C131" s="290"/>
    </row>
    <row r="132" customFormat="false" ht="15.75" hidden="false" customHeight="false" outlineLevel="0" collapsed="false">
      <c r="A132" s="290" t="s">
        <v>67</v>
      </c>
      <c r="B132" s="290" t="n">
        <v>52</v>
      </c>
      <c r="C132" s="290"/>
    </row>
    <row r="133" customFormat="false" ht="15.75" hidden="false" customHeight="false" outlineLevel="0" collapsed="false">
      <c r="A133" s="290" t="s">
        <v>37</v>
      </c>
      <c r="B133" s="290" t="n">
        <v>41</v>
      </c>
      <c r="C133" s="290"/>
    </row>
    <row r="134" customFormat="false" ht="15.75" hidden="false" customHeight="false" outlineLevel="0" collapsed="false">
      <c r="A134" s="290" t="s">
        <v>105</v>
      </c>
      <c r="B134" s="290" t="n">
        <v>99</v>
      </c>
      <c r="C134" s="290"/>
    </row>
    <row r="135" customFormat="false" ht="15.75" hidden="false" customHeight="false" outlineLevel="0" collapsed="false">
      <c r="A135" s="290" t="s">
        <v>112</v>
      </c>
      <c r="B135" s="290" t="n">
        <v>106</v>
      </c>
      <c r="C135" s="290"/>
    </row>
    <row r="136" customFormat="false" ht="15.75" hidden="false" customHeight="false" outlineLevel="0" collapsed="false">
      <c r="A136" s="290" t="s">
        <v>38</v>
      </c>
      <c r="B136" s="290" t="n">
        <v>18</v>
      </c>
      <c r="C136" s="290"/>
    </row>
    <row r="137" customFormat="false" ht="15.75" hidden="false" customHeight="false" outlineLevel="0" collapsed="false">
      <c r="A137" s="290" t="s">
        <v>47</v>
      </c>
      <c r="B137" s="290" t="n">
        <v>43</v>
      </c>
      <c r="C137" s="290"/>
    </row>
    <row r="138" customFormat="false" ht="15.75" hidden="false" customHeight="false" outlineLevel="0" collapsed="false">
      <c r="A138" s="290" t="s">
        <v>56</v>
      </c>
      <c r="B138" s="290" t="n">
        <v>70</v>
      </c>
      <c r="C138" s="290"/>
    </row>
    <row r="139" customFormat="false" ht="15.75" hidden="false" customHeight="false" outlineLevel="0" collapsed="false">
      <c r="A139" s="290" t="s">
        <v>128</v>
      </c>
      <c r="B139" s="290" t="n">
        <v>9</v>
      </c>
      <c r="C139" s="290"/>
    </row>
    <row r="140" customFormat="false" ht="15.75" hidden="false" customHeight="false" outlineLevel="0" collapsed="false">
      <c r="A140" s="290"/>
      <c r="B140" s="290"/>
      <c r="C140" s="290"/>
    </row>
    <row r="141" customFormat="false" ht="15.75" hidden="false" customHeight="false" outlineLevel="0" collapsed="false">
      <c r="A141" s="290"/>
      <c r="B141" s="290"/>
      <c r="C141" s="290"/>
    </row>
    <row r="142" customFormat="false" ht="15.75" hidden="false" customHeight="false" outlineLevel="0" collapsed="false">
      <c r="A142" s="290"/>
      <c r="B142" s="290"/>
      <c r="C142" s="290"/>
    </row>
    <row r="143" customFormat="false" ht="15.75" hidden="false" customHeight="false" outlineLevel="0" collapsed="false">
      <c r="A143" s="290"/>
      <c r="B143" s="290"/>
      <c r="C143" s="290"/>
    </row>
    <row r="144" customFormat="false" ht="15.75" hidden="false" customHeight="false" outlineLevel="0" collapsed="false">
      <c r="A144" s="290"/>
      <c r="B144" s="290"/>
      <c r="C144" s="290"/>
    </row>
    <row r="145" customFormat="false" ht="15.75" hidden="false" customHeight="false" outlineLevel="0" collapsed="false">
      <c r="A145" s="290"/>
      <c r="B145" s="290"/>
      <c r="C145" s="290"/>
    </row>
    <row r="146" customFormat="false" ht="15.75" hidden="false" customHeight="false" outlineLevel="0" collapsed="false">
      <c r="A146" s="290"/>
      <c r="B146" s="290"/>
      <c r="C146" s="290"/>
    </row>
    <row r="147" customFormat="false" ht="15.75" hidden="false" customHeight="false" outlineLevel="0" collapsed="false">
      <c r="A147" s="290"/>
      <c r="B147" s="290"/>
      <c r="C147" s="290"/>
    </row>
    <row r="148" customFormat="false" ht="15.75" hidden="false" customHeight="false" outlineLevel="0" collapsed="false">
      <c r="A148" s="290"/>
      <c r="B148" s="290"/>
      <c r="C148" s="290"/>
    </row>
    <row r="149" customFormat="false" ht="15.75" hidden="false" customHeight="false" outlineLevel="0" collapsed="false">
      <c r="A149" s="290"/>
      <c r="B149" s="290"/>
      <c r="C149" s="290"/>
    </row>
    <row r="150" customFormat="false" ht="15.75" hidden="false" customHeight="false" outlineLevel="0" collapsed="false">
      <c r="A150" s="290"/>
      <c r="B150" s="290"/>
      <c r="C150" s="290"/>
    </row>
    <row r="151" customFormat="false" ht="15.75" hidden="false" customHeight="false" outlineLevel="0" collapsed="false">
      <c r="A151" s="290"/>
      <c r="B151" s="290"/>
      <c r="C151" s="290"/>
    </row>
    <row r="152" customFormat="false" ht="15.75" hidden="false" customHeight="false" outlineLevel="0" collapsed="false">
      <c r="A152" s="290"/>
      <c r="B152" s="290"/>
      <c r="C152" s="290"/>
    </row>
    <row r="153" customFormat="false" ht="15.75" hidden="false" customHeight="false" outlineLevel="0" collapsed="false">
      <c r="A153" s="290"/>
      <c r="B153" s="290"/>
      <c r="C153" s="290"/>
    </row>
    <row r="154" customFormat="false" ht="15.75" hidden="false" customHeight="false" outlineLevel="0" collapsed="false">
      <c r="A154" s="290"/>
      <c r="B154" s="290"/>
      <c r="C154" s="290"/>
    </row>
    <row r="155" customFormat="false" ht="15.75" hidden="false" customHeight="false" outlineLevel="0" collapsed="false">
      <c r="A155" s="290"/>
      <c r="B155" s="290"/>
      <c r="C155" s="290"/>
    </row>
    <row r="156" customFormat="false" ht="15.75" hidden="false" customHeight="false" outlineLevel="0" collapsed="false">
      <c r="A156" s="290"/>
      <c r="B156" s="290"/>
      <c r="C156" s="290"/>
    </row>
    <row r="157" customFormat="false" ht="15.75" hidden="false" customHeight="false" outlineLevel="0" collapsed="false">
      <c r="A157" s="290"/>
      <c r="B157" s="290"/>
      <c r="C157" s="290"/>
    </row>
    <row r="158" customFormat="false" ht="15.75" hidden="false" customHeight="false" outlineLevel="0" collapsed="false">
      <c r="A158" s="290"/>
      <c r="B158" s="290"/>
      <c r="C158" s="290"/>
    </row>
    <row r="159" customFormat="false" ht="15.75" hidden="false" customHeight="false" outlineLevel="0" collapsed="false">
      <c r="A159" s="290"/>
      <c r="B159" s="290"/>
      <c r="C159" s="290"/>
    </row>
    <row r="160" customFormat="false" ht="15.75" hidden="false" customHeight="false" outlineLevel="0" collapsed="false">
      <c r="A160" s="290"/>
      <c r="B160" s="290"/>
      <c r="C160" s="290"/>
    </row>
    <row r="161" customFormat="false" ht="15.75" hidden="false" customHeight="false" outlineLevel="0" collapsed="false">
      <c r="A161" s="290"/>
      <c r="B161" s="290"/>
      <c r="C161" s="290"/>
    </row>
    <row r="162" customFormat="false" ht="15.75" hidden="false" customHeight="false" outlineLevel="0" collapsed="false">
      <c r="A162" s="290"/>
      <c r="B162" s="290"/>
      <c r="C162" s="290"/>
    </row>
    <row r="163" customFormat="false" ht="15.75" hidden="false" customHeight="false" outlineLevel="0" collapsed="false">
      <c r="A163" s="290"/>
      <c r="B163" s="290"/>
      <c r="C163" s="290"/>
    </row>
    <row r="164" customFormat="false" ht="15.75" hidden="false" customHeight="false" outlineLevel="0" collapsed="false">
      <c r="A164" s="290"/>
      <c r="B164" s="290"/>
      <c r="C164" s="290"/>
    </row>
    <row r="165" customFormat="false" ht="15.75" hidden="false" customHeight="false" outlineLevel="0" collapsed="false">
      <c r="A165" s="290"/>
      <c r="B165" s="290"/>
      <c r="C165" s="290"/>
    </row>
    <row r="166" customFormat="false" ht="15.75" hidden="false" customHeight="false" outlineLevel="0" collapsed="false">
      <c r="A166" s="290"/>
      <c r="B166" s="290"/>
      <c r="C166" s="290"/>
    </row>
    <row r="167" customFormat="false" ht="15.75" hidden="false" customHeight="false" outlineLevel="0" collapsed="false">
      <c r="A167" s="290"/>
      <c r="B167" s="290"/>
      <c r="C167" s="290"/>
    </row>
    <row r="168" customFormat="false" ht="15.75" hidden="false" customHeight="false" outlineLevel="0" collapsed="false">
      <c r="A168" s="290"/>
      <c r="B168" s="290"/>
      <c r="C168" s="290"/>
    </row>
    <row r="169" customFormat="false" ht="15.75" hidden="false" customHeight="false" outlineLevel="0" collapsed="false">
      <c r="A169" s="290"/>
      <c r="B169" s="290"/>
      <c r="C169" s="290"/>
    </row>
    <row r="170" customFormat="false" ht="15.75" hidden="false" customHeight="false" outlineLevel="0" collapsed="false">
      <c r="A170" s="290"/>
      <c r="B170" s="290"/>
      <c r="C170" s="290"/>
    </row>
    <row r="171" customFormat="false" ht="15.75" hidden="false" customHeight="false" outlineLevel="0" collapsed="false">
      <c r="A171" s="290"/>
      <c r="B171" s="290"/>
      <c r="C171" s="290"/>
    </row>
    <row r="172" customFormat="false" ht="15.75" hidden="false" customHeight="false" outlineLevel="0" collapsed="false">
      <c r="A172" s="290"/>
      <c r="B172" s="290"/>
      <c r="C172" s="290"/>
    </row>
    <row r="173" customFormat="false" ht="15.75" hidden="false" customHeight="false" outlineLevel="0" collapsed="false">
      <c r="A173" s="290"/>
      <c r="B173" s="290"/>
      <c r="C173" s="290"/>
    </row>
    <row r="174" customFormat="false" ht="15.75" hidden="false" customHeight="false" outlineLevel="0" collapsed="false">
      <c r="A174" s="290"/>
      <c r="B174" s="290"/>
      <c r="C174" s="290"/>
    </row>
    <row r="175" customFormat="false" ht="15.75" hidden="false" customHeight="false" outlineLevel="0" collapsed="false">
      <c r="A175" s="290"/>
      <c r="B175" s="290"/>
      <c r="C175" s="290"/>
    </row>
    <row r="176" customFormat="false" ht="15.75" hidden="false" customHeight="false" outlineLevel="0" collapsed="false">
      <c r="A176" s="290"/>
      <c r="B176" s="290"/>
      <c r="C176" s="290"/>
    </row>
    <row r="177" customFormat="false" ht="15.75" hidden="false" customHeight="false" outlineLevel="0" collapsed="false">
      <c r="A177" s="290"/>
      <c r="B177" s="290"/>
      <c r="C177" s="290"/>
    </row>
    <row r="178" customFormat="false" ht="15.75" hidden="false" customHeight="false" outlineLevel="0" collapsed="false">
      <c r="A178" s="290"/>
      <c r="B178" s="290"/>
      <c r="C178" s="290"/>
    </row>
    <row r="179" customFormat="false" ht="15.75" hidden="false" customHeight="false" outlineLevel="0" collapsed="false">
      <c r="A179" s="290"/>
      <c r="B179" s="290"/>
      <c r="C179" s="290"/>
    </row>
    <row r="180" customFormat="false" ht="15.75" hidden="false" customHeight="false" outlineLevel="0" collapsed="false">
      <c r="A180" s="290"/>
      <c r="B180" s="290"/>
      <c r="C180" s="290"/>
    </row>
    <row r="181" customFormat="false" ht="15.75" hidden="false" customHeight="false" outlineLevel="0" collapsed="false">
      <c r="A181" s="290"/>
      <c r="B181" s="290"/>
      <c r="C181" s="290"/>
    </row>
    <row r="182" customFormat="false" ht="15.75" hidden="false" customHeight="false" outlineLevel="0" collapsed="false">
      <c r="A182" s="290"/>
      <c r="B182" s="290"/>
      <c r="C182" s="290"/>
    </row>
    <row r="183" customFormat="false" ht="15.75" hidden="false" customHeight="false" outlineLevel="0" collapsed="false">
      <c r="A183" s="290"/>
      <c r="B183" s="290"/>
      <c r="C183" s="290"/>
    </row>
    <row r="184" customFormat="false" ht="15.75" hidden="false" customHeight="false" outlineLevel="0" collapsed="false">
      <c r="A184" s="290"/>
      <c r="B184" s="290"/>
      <c r="C184" s="290"/>
    </row>
    <row r="185" customFormat="false" ht="15.75" hidden="false" customHeight="false" outlineLevel="0" collapsed="false">
      <c r="A185" s="290"/>
      <c r="B185" s="290"/>
      <c r="C185" s="290"/>
    </row>
    <row r="186" customFormat="false" ht="15.75" hidden="false" customHeight="false" outlineLevel="0" collapsed="false">
      <c r="A186" s="290"/>
      <c r="B186" s="290"/>
      <c r="C186" s="290"/>
    </row>
    <row r="187" customFormat="false" ht="15.75" hidden="false" customHeight="false" outlineLevel="0" collapsed="false">
      <c r="A187" s="290"/>
      <c r="B187" s="290"/>
      <c r="C187" s="290"/>
    </row>
    <row r="188" customFormat="false" ht="15.75" hidden="false" customHeight="false" outlineLevel="0" collapsed="false">
      <c r="A188" s="290"/>
      <c r="B188" s="290"/>
      <c r="C188" s="290"/>
    </row>
    <row r="189" customFormat="false" ht="15.75" hidden="false" customHeight="false" outlineLevel="0" collapsed="false">
      <c r="A189" s="290"/>
      <c r="B189" s="290"/>
      <c r="C189" s="290"/>
    </row>
    <row r="190" customFormat="false" ht="15.75" hidden="false" customHeight="false" outlineLevel="0" collapsed="false">
      <c r="A190" s="290"/>
      <c r="B190" s="290"/>
      <c r="C190" s="290"/>
    </row>
    <row r="191" customFormat="false" ht="15.75" hidden="false" customHeight="false" outlineLevel="0" collapsed="false">
      <c r="A191" s="290"/>
      <c r="B191" s="290"/>
      <c r="C191" s="290"/>
    </row>
    <row r="192" customFormat="false" ht="15.75" hidden="false" customHeight="false" outlineLevel="0" collapsed="false">
      <c r="A192" s="290"/>
      <c r="B192" s="290"/>
      <c r="C192" s="290"/>
    </row>
    <row r="193" customFormat="false" ht="15.75" hidden="false" customHeight="false" outlineLevel="0" collapsed="false">
      <c r="A193" s="290"/>
      <c r="B193" s="290"/>
      <c r="C193" s="290"/>
    </row>
    <row r="194" customFormat="false" ht="15.75" hidden="false" customHeight="false" outlineLevel="0" collapsed="false">
      <c r="A194" s="290"/>
      <c r="B194" s="290"/>
      <c r="C194" s="290"/>
    </row>
    <row r="195" customFormat="false" ht="15.75" hidden="false" customHeight="false" outlineLevel="0" collapsed="false">
      <c r="A195" s="290"/>
      <c r="B195" s="290"/>
      <c r="C195" s="290"/>
    </row>
    <row r="196" customFormat="false" ht="15.75" hidden="false" customHeight="false" outlineLevel="0" collapsed="false">
      <c r="A196" s="290"/>
      <c r="B196" s="290"/>
      <c r="C196" s="290"/>
    </row>
    <row r="197" customFormat="false" ht="15.75" hidden="false" customHeight="false" outlineLevel="0" collapsed="false">
      <c r="A197" s="290"/>
      <c r="B197" s="290"/>
      <c r="C197" s="290"/>
    </row>
    <row r="198" customFormat="false" ht="15.75" hidden="false" customHeight="false" outlineLevel="0" collapsed="false">
      <c r="A198" s="290"/>
      <c r="B198" s="290"/>
      <c r="C198" s="290"/>
    </row>
    <row r="199" customFormat="false" ht="15.75" hidden="false" customHeight="false" outlineLevel="0" collapsed="false">
      <c r="A199" s="290"/>
      <c r="B199" s="290"/>
      <c r="C199" s="290"/>
    </row>
    <row r="200" customFormat="false" ht="15.75" hidden="false" customHeight="false" outlineLevel="0" collapsed="false">
      <c r="A200" s="290"/>
      <c r="B200" s="290"/>
      <c r="C200" s="290"/>
    </row>
    <row r="201" customFormat="false" ht="15.75" hidden="false" customHeight="false" outlineLevel="0" collapsed="false">
      <c r="A201" s="290"/>
      <c r="B201" s="290"/>
      <c r="C201" s="290"/>
    </row>
    <row r="202" customFormat="false" ht="15.75" hidden="false" customHeight="false" outlineLevel="0" collapsed="false">
      <c r="A202" s="290"/>
      <c r="B202" s="290"/>
      <c r="C202" s="290"/>
    </row>
    <row r="203" customFormat="false" ht="15.75" hidden="false" customHeight="false" outlineLevel="0" collapsed="false">
      <c r="A203" s="290"/>
      <c r="B203" s="290"/>
      <c r="C203" s="290"/>
    </row>
    <row r="204" customFormat="false" ht="15.75" hidden="false" customHeight="false" outlineLevel="0" collapsed="false">
      <c r="A204" s="290"/>
      <c r="B204" s="290"/>
      <c r="C204" s="290"/>
    </row>
    <row r="205" customFormat="false" ht="15.75" hidden="false" customHeight="false" outlineLevel="0" collapsed="false">
      <c r="A205" s="290"/>
      <c r="B205" s="290"/>
      <c r="C205" s="290"/>
    </row>
    <row r="206" customFormat="false" ht="15.75" hidden="false" customHeight="false" outlineLevel="0" collapsed="false">
      <c r="A206" s="290"/>
      <c r="B206" s="290"/>
      <c r="C206" s="290"/>
    </row>
    <row r="207" customFormat="false" ht="15.75" hidden="false" customHeight="false" outlineLevel="0" collapsed="false">
      <c r="A207" s="290"/>
      <c r="B207" s="290"/>
      <c r="C207" s="290"/>
    </row>
    <row r="208" customFormat="false" ht="15.75" hidden="false" customHeight="false" outlineLevel="0" collapsed="false">
      <c r="A208" s="290"/>
      <c r="B208" s="290"/>
      <c r="C208" s="290"/>
    </row>
    <row r="209" customFormat="false" ht="15.75" hidden="false" customHeight="false" outlineLevel="0" collapsed="false">
      <c r="A209" s="290"/>
      <c r="B209" s="290"/>
      <c r="C209" s="290"/>
    </row>
    <row r="210" customFormat="false" ht="15.75" hidden="false" customHeight="false" outlineLevel="0" collapsed="false">
      <c r="A210" s="290"/>
      <c r="B210" s="290"/>
      <c r="C210" s="290"/>
    </row>
    <row r="211" customFormat="false" ht="15.75" hidden="false" customHeight="false" outlineLevel="0" collapsed="false">
      <c r="A211" s="290"/>
      <c r="B211" s="290"/>
      <c r="C211" s="290"/>
    </row>
    <row r="212" customFormat="false" ht="15.75" hidden="false" customHeight="false" outlineLevel="0" collapsed="false">
      <c r="A212" s="290"/>
      <c r="B212" s="290"/>
      <c r="C212" s="290"/>
    </row>
    <row r="213" customFormat="false" ht="15.75" hidden="false" customHeight="false" outlineLevel="0" collapsed="false">
      <c r="A213" s="290"/>
      <c r="B213" s="290"/>
      <c r="C213" s="290"/>
    </row>
    <row r="214" customFormat="false" ht="15.75" hidden="false" customHeight="false" outlineLevel="0" collapsed="false">
      <c r="A214" s="290"/>
      <c r="B214" s="290"/>
      <c r="C214" s="290"/>
    </row>
    <row r="215" customFormat="false" ht="15.75" hidden="false" customHeight="false" outlineLevel="0" collapsed="false">
      <c r="A215" s="290"/>
      <c r="B215" s="290"/>
      <c r="C215" s="290"/>
    </row>
    <row r="216" customFormat="false" ht="15.75" hidden="false" customHeight="false" outlineLevel="0" collapsed="false">
      <c r="A216" s="290"/>
      <c r="B216" s="290"/>
      <c r="C216" s="290"/>
    </row>
    <row r="217" customFormat="false" ht="15.75" hidden="false" customHeight="false" outlineLevel="0" collapsed="false">
      <c r="A217" s="290"/>
      <c r="B217" s="290"/>
      <c r="C217" s="290"/>
    </row>
    <row r="218" customFormat="false" ht="15.75" hidden="false" customHeight="false" outlineLevel="0" collapsed="false">
      <c r="A218" s="290"/>
      <c r="B218" s="290"/>
      <c r="C218" s="290"/>
    </row>
    <row r="219" customFormat="false" ht="15.75" hidden="false" customHeight="false" outlineLevel="0" collapsed="false">
      <c r="A219" s="290"/>
      <c r="B219" s="290"/>
      <c r="C219" s="290"/>
    </row>
    <row r="220" customFormat="false" ht="15.75" hidden="false" customHeight="false" outlineLevel="0" collapsed="false">
      <c r="A220" s="290"/>
      <c r="B220" s="290"/>
      <c r="C220" s="290"/>
    </row>
    <row r="221" customFormat="false" ht="15.75" hidden="false" customHeight="false" outlineLevel="0" collapsed="false">
      <c r="A221" s="290"/>
      <c r="B221" s="290"/>
      <c r="C221" s="290"/>
    </row>
    <row r="222" customFormat="false" ht="15.75" hidden="false" customHeight="false" outlineLevel="0" collapsed="false">
      <c r="A222" s="290"/>
      <c r="B222" s="290"/>
      <c r="C222" s="290"/>
    </row>
    <row r="223" customFormat="false" ht="15.75" hidden="false" customHeight="false" outlineLevel="0" collapsed="false">
      <c r="A223" s="290"/>
      <c r="B223" s="290"/>
      <c r="C223" s="290"/>
    </row>
    <row r="224" customFormat="false" ht="15.75" hidden="false" customHeight="false" outlineLevel="0" collapsed="false">
      <c r="A224" s="290"/>
      <c r="B224" s="290"/>
      <c r="C224" s="290"/>
    </row>
    <row r="225" customFormat="false" ht="15.75" hidden="false" customHeight="false" outlineLevel="0" collapsed="false">
      <c r="A225" s="290"/>
      <c r="B225" s="290"/>
      <c r="C225" s="290"/>
    </row>
    <row r="226" customFormat="false" ht="15.75" hidden="false" customHeight="false" outlineLevel="0" collapsed="false">
      <c r="A226" s="290"/>
      <c r="B226" s="290"/>
      <c r="C226" s="290"/>
    </row>
    <row r="227" customFormat="false" ht="15.75" hidden="false" customHeight="false" outlineLevel="0" collapsed="false">
      <c r="A227" s="290"/>
      <c r="B227" s="290"/>
      <c r="C227" s="290"/>
    </row>
    <row r="228" customFormat="false" ht="15.75" hidden="false" customHeight="false" outlineLevel="0" collapsed="false">
      <c r="A228" s="290"/>
      <c r="B228" s="290"/>
      <c r="C228" s="290"/>
    </row>
    <row r="229" customFormat="false" ht="15.75" hidden="false" customHeight="false" outlineLevel="0" collapsed="false">
      <c r="A229" s="290"/>
      <c r="B229" s="290"/>
      <c r="C229" s="290"/>
    </row>
    <row r="230" customFormat="false" ht="15.75" hidden="false" customHeight="false" outlineLevel="0" collapsed="false">
      <c r="A230" s="290"/>
      <c r="B230" s="290"/>
      <c r="C230" s="290"/>
    </row>
    <row r="231" customFormat="false" ht="15.75" hidden="false" customHeight="false" outlineLevel="0" collapsed="false">
      <c r="A231" s="290"/>
      <c r="B231" s="290"/>
      <c r="C231" s="290"/>
    </row>
    <row r="232" customFormat="false" ht="15.75" hidden="false" customHeight="false" outlineLevel="0" collapsed="false">
      <c r="A232" s="290"/>
      <c r="B232" s="290"/>
      <c r="C232" s="290"/>
    </row>
    <row r="233" customFormat="false" ht="15.75" hidden="false" customHeight="false" outlineLevel="0" collapsed="false">
      <c r="A233" s="290"/>
      <c r="B233" s="290"/>
      <c r="C233" s="290"/>
    </row>
    <row r="234" customFormat="false" ht="15.75" hidden="false" customHeight="false" outlineLevel="0" collapsed="false">
      <c r="A234" s="290"/>
      <c r="B234" s="290"/>
      <c r="C234" s="290"/>
    </row>
    <row r="235" customFormat="false" ht="15.75" hidden="false" customHeight="false" outlineLevel="0" collapsed="false">
      <c r="A235" s="290"/>
      <c r="B235" s="290"/>
      <c r="C235" s="290"/>
    </row>
    <row r="236" customFormat="false" ht="15.75" hidden="false" customHeight="false" outlineLevel="0" collapsed="false">
      <c r="A236" s="290"/>
      <c r="B236" s="290"/>
      <c r="C236" s="290"/>
    </row>
    <row r="237" customFormat="false" ht="15.75" hidden="false" customHeight="false" outlineLevel="0" collapsed="false">
      <c r="A237" s="290"/>
      <c r="B237" s="290"/>
      <c r="C237" s="290"/>
    </row>
    <row r="238" customFormat="false" ht="15.75" hidden="false" customHeight="false" outlineLevel="0" collapsed="false">
      <c r="A238" s="290"/>
      <c r="B238" s="290"/>
      <c r="C238" s="290"/>
    </row>
    <row r="239" customFormat="false" ht="15.75" hidden="false" customHeight="false" outlineLevel="0" collapsed="false">
      <c r="A239" s="290"/>
      <c r="B239" s="290"/>
      <c r="C239" s="290"/>
    </row>
    <row r="240" customFormat="false" ht="15.75" hidden="false" customHeight="false" outlineLevel="0" collapsed="false">
      <c r="A240" s="290"/>
      <c r="B240" s="290"/>
      <c r="C240" s="290"/>
    </row>
    <row r="241" customFormat="false" ht="15.75" hidden="false" customHeight="false" outlineLevel="0" collapsed="false">
      <c r="A241" s="290"/>
      <c r="B241" s="290"/>
      <c r="C241" s="290"/>
    </row>
    <row r="242" customFormat="false" ht="15.75" hidden="false" customHeight="false" outlineLevel="0" collapsed="false">
      <c r="A242" s="290"/>
      <c r="B242" s="290"/>
      <c r="C242" s="290"/>
    </row>
    <row r="243" customFormat="false" ht="15.75" hidden="false" customHeight="false" outlineLevel="0" collapsed="false">
      <c r="A243" s="290"/>
      <c r="B243" s="290"/>
      <c r="C243" s="290"/>
    </row>
    <row r="244" customFormat="false" ht="15.75" hidden="false" customHeight="false" outlineLevel="0" collapsed="false">
      <c r="A244" s="290"/>
      <c r="B244" s="290"/>
      <c r="C244" s="290"/>
    </row>
    <row r="245" customFormat="false" ht="15.75" hidden="false" customHeight="false" outlineLevel="0" collapsed="false">
      <c r="A245" s="290"/>
      <c r="B245" s="290"/>
      <c r="C245" s="290"/>
    </row>
    <row r="246" customFormat="false" ht="15.75" hidden="false" customHeight="false" outlineLevel="0" collapsed="false">
      <c r="A246" s="290"/>
      <c r="B246" s="290"/>
      <c r="C246" s="290"/>
    </row>
    <row r="247" customFormat="false" ht="15.75" hidden="false" customHeight="false" outlineLevel="0" collapsed="false">
      <c r="A247" s="290"/>
      <c r="B247" s="290"/>
      <c r="C247" s="290"/>
    </row>
    <row r="248" customFormat="false" ht="15.75" hidden="false" customHeight="false" outlineLevel="0" collapsed="false">
      <c r="A248" s="290"/>
      <c r="B248" s="290"/>
      <c r="C248" s="290"/>
    </row>
    <row r="249" customFormat="false" ht="15.75" hidden="false" customHeight="false" outlineLevel="0" collapsed="false">
      <c r="A249" s="290"/>
      <c r="B249" s="290"/>
      <c r="C249" s="290"/>
    </row>
    <row r="250" customFormat="false" ht="15.75" hidden="false" customHeight="false" outlineLevel="0" collapsed="false">
      <c r="A250" s="290"/>
      <c r="B250" s="290"/>
      <c r="C250" s="290"/>
    </row>
    <row r="251" customFormat="false" ht="15.75" hidden="false" customHeight="false" outlineLevel="0" collapsed="false">
      <c r="A251" s="290"/>
      <c r="B251" s="290"/>
      <c r="C251" s="290"/>
    </row>
    <row r="252" customFormat="false" ht="15.75" hidden="false" customHeight="false" outlineLevel="0" collapsed="false">
      <c r="A252" s="290"/>
      <c r="B252" s="290"/>
      <c r="C252" s="290"/>
    </row>
    <row r="253" customFormat="false" ht="15.75" hidden="false" customHeight="false" outlineLevel="0" collapsed="false">
      <c r="A253" s="290"/>
      <c r="B253" s="290"/>
      <c r="C253" s="290"/>
    </row>
    <row r="254" customFormat="false" ht="15.75" hidden="false" customHeight="false" outlineLevel="0" collapsed="false">
      <c r="A254" s="290"/>
      <c r="B254" s="290"/>
      <c r="C254" s="290"/>
    </row>
    <row r="255" customFormat="false" ht="15.75" hidden="false" customHeight="false" outlineLevel="0" collapsed="false">
      <c r="A255" s="290"/>
      <c r="B255" s="290"/>
      <c r="C255" s="290"/>
    </row>
    <row r="256" customFormat="false" ht="15.75" hidden="false" customHeight="false" outlineLevel="0" collapsed="false">
      <c r="A256" s="290"/>
      <c r="B256" s="290"/>
      <c r="C256" s="290"/>
    </row>
    <row r="257" customFormat="false" ht="15.75" hidden="false" customHeight="false" outlineLevel="0" collapsed="false">
      <c r="A257" s="290"/>
      <c r="B257" s="290"/>
      <c r="C257" s="290"/>
    </row>
    <row r="258" customFormat="false" ht="15.75" hidden="false" customHeight="false" outlineLevel="0" collapsed="false">
      <c r="A258" s="290"/>
      <c r="B258" s="290"/>
      <c r="C258" s="290"/>
    </row>
    <row r="259" customFormat="false" ht="15.75" hidden="false" customHeight="false" outlineLevel="0" collapsed="false">
      <c r="A259" s="290"/>
      <c r="B259" s="290"/>
      <c r="C259" s="290"/>
    </row>
    <row r="260" customFormat="false" ht="15.75" hidden="false" customHeight="false" outlineLevel="0" collapsed="false">
      <c r="A260" s="290"/>
      <c r="B260" s="290"/>
      <c r="C260" s="290"/>
    </row>
    <row r="261" customFormat="false" ht="15.75" hidden="false" customHeight="false" outlineLevel="0" collapsed="false">
      <c r="A261" s="290"/>
      <c r="B261" s="290"/>
      <c r="C261" s="290"/>
    </row>
    <row r="262" customFormat="false" ht="15.75" hidden="false" customHeight="false" outlineLevel="0" collapsed="false">
      <c r="A262" s="290"/>
      <c r="B262" s="290"/>
      <c r="C262" s="290"/>
    </row>
    <row r="263" customFormat="false" ht="15.75" hidden="false" customHeight="false" outlineLevel="0" collapsed="false">
      <c r="A263" s="290"/>
      <c r="B263" s="290"/>
      <c r="C263" s="290"/>
    </row>
    <row r="264" customFormat="false" ht="15.75" hidden="false" customHeight="false" outlineLevel="0" collapsed="false">
      <c r="A264" s="290"/>
      <c r="B264" s="290"/>
      <c r="C264" s="290"/>
    </row>
    <row r="265" customFormat="false" ht="15.75" hidden="false" customHeight="false" outlineLevel="0" collapsed="false">
      <c r="A265" s="290"/>
      <c r="B265" s="290"/>
      <c r="C265" s="290"/>
    </row>
    <row r="266" customFormat="false" ht="15.75" hidden="false" customHeight="false" outlineLevel="0" collapsed="false">
      <c r="A266" s="290"/>
      <c r="B266" s="290"/>
      <c r="C266" s="290"/>
    </row>
    <row r="267" customFormat="false" ht="15.75" hidden="false" customHeight="false" outlineLevel="0" collapsed="false">
      <c r="A267" s="290"/>
      <c r="B267" s="290"/>
      <c r="C267" s="290"/>
    </row>
    <row r="268" customFormat="false" ht="15.75" hidden="false" customHeight="false" outlineLevel="0" collapsed="false">
      <c r="A268" s="290"/>
      <c r="B268" s="290"/>
      <c r="C268" s="290"/>
    </row>
    <row r="269" customFormat="false" ht="15.75" hidden="false" customHeight="false" outlineLevel="0" collapsed="false">
      <c r="A269" s="290"/>
      <c r="B269" s="290"/>
      <c r="C269" s="290"/>
    </row>
    <row r="270" customFormat="false" ht="15.75" hidden="false" customHeight="false" outlineLevel="0" collapsed="false">
      <c r="A270" s="290"/>
      <c r="B270" s="290"/>
      <c r="C270" s="290"/>
    </row>
    <row r="271" customFormat="false" ht="15.75" hidden="false" customHeight="false" outlineLevel="0" collapsed="false">
      <c r="A271" s="290"/>
      <c r="B271" s="290"/>
      <c r="C271" s="290"/>
    </row>
    <row r="272" customFormat="false" ht="15.75" hidden="false" customHeight="false" outlineLevel="0" collapsed="false">
      <c r="A272" s="290"/>
      <c r="B272" s="290"/>
      <c r="C272" s="290"/>
    </row>
    <row r="273" customFormat="false" ht="15.75" hidden="false" customHeight="false" outlineLevel="0" collapsed="false">
      <c r="A273" s="290"/>
      <c r="B273" s="290"/>
      <c r="C273" s="290"/>
    </row>
    <row r="274" customFormat="false" ht="15.75" hidden="false" customHeight="false" outlineLevel="0" collapsed="false">
      <c r="A274" s="290"/>
      <c r="B274" s="290"/>
      <c r="C274" s="290"/>
    </row>
    <row r="275" customFormat="false" ht="15.75" hidden="false" customHeight="false" outlineLevel="0" collapsed="false">
      <c r="A275" s="290"/>
      <c r="B275" s="290"/>
      <c r="C275" s="290"/>
    </row>
    <row r="276" customFormat="false" ht="15.75" hidden="false" customHeight="false" outlineLevel="0" collapsed="false">
      <c r="A276" s="290"/>
      <c r="B276" s="290"/>
      <c r="C276" s="290"/>
    </row>
    <row r="277" customFormat="false" ht="15.75" hidden="false" customHeight="false" outlineLevel="0" collapsed="false">
      <c r="A277" s="290"/>
      <c r="B277" s="290"/>
      <c r="C277" s="290"/>
    </row>
    <row r="278" customFormat="false" ht="15.75" hidden="false" customHeight="false" outlineLevel="0" collapsed="false">
      <c r="A278" s="290"/>
      <c r="B278" s="290"/>
      <c r="C278" s="290"/>
    </row>
    <row r="279" customFormat="false" ht="15.75" hidden="false" customHeight="false" outlineLevel="0" collapsed="false">
      <c r="A279" s="290"/>
      <c r="B279" s="290"/>
      <c r="C279" s="290"/>
    </row>
    <row r="280" customFormat="false" ht="15.75" hidden="false" customHeight="false" outlineLevel="0" collapsed="false">
      <c r="A280" s="290"/>
      <c r="B280" s="290"/>
      <c r="C280" s="290"/>
    </row>
    <row r="281" customFormat="false" ht="15.75" hidden="false" customHeight="false" outlineLevel="0" collapsed="false">
      <c r="A281" s="290"/>
      <c r="B281" s="290"/>
      <c r="C281" s="290"/>
    </row>
    <row r="282" customFormat="false" ht="15.75" hidden="false" customHeight="false" outlineLevel="0" collapsed="false">
      <c r="A282" s="290"/>
      <c r="B282" s="290"/>
      <c r="C282" s="290"/>
    </row>
    <row r="283" customFormat="false" ht="15.75" hidden="false" customHeight="false" outlineLevel="0" collapsed="false">
      <c r="A283" s="290"/>
      <c r="B283" s="290"/>
      <c r="C283" s="290"/>
    </row>
    <row r="284" customFormat="false" ht="15.75" hidden="false" customHeight="false" outlineLevel="0" collapsed="false">
      <c r="A284" s="290"/>
      <c r="B284" s="290"/>
      <c r="C284" s="290"/>
    </row>
    <row r="285" customFormat="false" ht="15.75" hidden="false" customHeight="false" outlineLevel="0" collapsed="false">
      <c r="A285" s="290"/>
      <c r="B285" s="290"/>
      <c r="C285" s="290"/>
    </row>
    <row r="286" customFormat="false" ht="15.75" hidden="false" customHeight="false" outlineLevel="0" collapsed="false">
      <c r="A286" s="290"/>
      <c r="B286" s="290"/>
      <c r="C286" s="290"/>
    </row>
    <row r="287" customFormat="false" ht="15.75" hidden="false" customHeight="false" outlineLevel="0" collapsed="false">
      <c r="A287" s="290"/>
      <c r="B287" s="290"/>
      <c r="C287" s="290"/>
    </row>
    <row r="288" customFormat="false" ht="15.75" hidden="false" customHeight="false" outlineLevel="0" collapsed="false">
      <c r="A288" s="290"/>
      <c r="B288" s="290"/>
      <c r="C288" s="290"/>
    </row>
    <row r="289" customFormat="false" ht="15.75" hidden="false" customHeight="false" outlineLevel="0" collapsed="false">
      <c r="A289" s="290"/>
      <c r="B289" s="290"/>
      <c r="C289" s="290"/>
    </row>
    <row r="290" customFormat="false" ht="15.75" hidden="false" customHeight="false" outlineLevel="0" collapsed="false">
      <c r="A290" s="290"/>
      <c r="B290" s="290"/>
      <c r="C290" s="290"/>
    </row>
    <row r="291" customFormat="false" ht="15.75" hidden="false" customHeight="false" outlineLevel="0" collapsed="false">
      <c r="A291" s="290"/>
      <c r="B291" s="290"/>
      <c r="C291" s="290"/>
    </row>
    <row r="292" customFormat="false" ht="15.75" hidden="false" customHeight="false" outlineLevel="0" collapsed="false">
      <c r="A292" s="290"/>
      <c r="B292" s="290"/>
      <c r="C292" s="290"/>
    </row>
    <row r="293" customFormat="false" ht="15.75" hidden="false" customHeight="false" outlineLevel="0" collapsed="false">
      <c r="A293" s="290"/>
      <c r="B293" s="290"/>
      <c r="C293" s="290"/>
    </row>
    <row r="294" customFormat="false" ht="15.75" hidden="false" customHeight="false" outlineLevel="0" collapsed="false">
      <c r="A294" s="290"/>
      <c r="B294" s="290"/>
      <c r="C294" s="290"/>
    </row>
    <row r="295" customFormat="false" ht="15.75" hidden="false" customHeight="false" outlineLevel="0" collapsed="false">
      <c r="A295" s="290"/>
      <c r="B295" s="290"/>
      <c r="C295" s="290"/>
    </row>
    <row r="296" customFormat="false" ht="15.75" hidden="false" customHeight="false" outlineLevel="0" collapsed="false">
      <c r="A296" s="290"/>
      <c r="B296" s="290"/>
      <c r="C296" s="290"/>
    </row>
    <row r="297" customFormat="false" ht="15.75" hidden="false" customHeight="false" outlineLevel="0" collapsed="false">
      <c r="A297" s="290"/>
      <c r="B297" s="290"/>
      <c r="C297" s="290"/>
    </row>
    <row r="298" customFormat="false" ht="15.75" hidden="false" customHeight="false" outlineLevel="0" collapsed="false">
      <c r="A298" s="290"/>
      <c r="B298" s="290"/>
      <c r="C298" s="290"/>
    </row>
    <row r="299" customFormat="false" ht="15.75" hidden="false" customHeight="false" outlineLevel="0" collapsed="false">
      <c r="A299" s="290"/>
      <c r="B299" s="290"/>
      <c r="C299" s="290"/>
    </row>
    <row r="300" customFormat="false" ht="15.75" hidden="false" customHeight="false" outlineLevel="0" collapsed="false">
      <c r="A300" s="290"/>
      <c r="B300" s="290"/>
      <c r="C300" s="290"/>
    </row>
    <row r="301" customFormat="false" ht="15.75" hidden="false" customHeight="false" outlineLevel="0" collapsed="false">
      <c r="A301" s="290"/>
      <c r="B301" s="290"/>
      <c r="C301" s="290"/>
    </row>
    <row r="302" customFormat="false" ht="15.75" hidden="false" customHeight="false" outlineLevel="0" collapsed="false">
      <c r="A302" s="290"/>
      <c r="B302" s="290"/>
      <c r="C302" s="290"/>
    </row>
    <row r="303" customFormat="false" ht="15.75" hidden="false" customHeight="false" outlineLevel="0" collapsed="false">
      <c r="A303" s="290"/>
      <c r="B303" s="290"/>
      <c r="C303" s="290"/>
    </row>
    <row r="304" customFormat="false" ht="15.75" hidden="false" customHeight="false" outlineLevel="0" collapsed="false">
      <c r="A304" s="290"/>
      <c r="B304" s="290"/>
      <c r="C304" s="290"/>
    </row>
    <row r="305" customFormat="false" ht="15.75" hidden="false" customHeight="false" outlineLevel="0" collapsed="false">
      <c r="A305" s="290"/>
      <c r="B305" s="290"/>
      <c r="C305" s="290"/>
    </row>
    <row r="306" customFormat="false" ht="15.75" hidden="false" customHeight="false" outlineLevel="0" collapsed="false">
      <c r="A306" s="290"/>
      <c r="B306" s="290"/>
      <c r="C306" s="290"/>
    </row>
    <row r="307" customFormat="false" ht="15.75" hidden="false" customHeight="false" outlineLevel="0" collapsed="false">
      <c r="A307" s="290"/>
      <c r="B307" s="290"/>
      <c r="C307" s="290"/>
    </row>
    <row r="308" customFormat="false" ht="15.75" hidden="false" customHeight="false" outlineLevel="0" collapsed="false">
      <c r="A308" s="290"/>
      <c r="B308" s="290"/>
      <c r="C308" s="290"/>
    </row>
    <row r="309" customFormat="false" ht="15.75" hidden="false" customHeight="false" outlineLevel="0" collapsed="false">
      <c r="A309" s="290"/>
      <c r="B309" s="290"/>
      <c r="C309" s="290"/>
    </row>
    <row r="310" customFormat="false" ht="15.75" hidden="false" customHeight="false" outlineLevel="0" collapsed="false">
      <c r="A310" s="290"/>
      <c r="B310" s="290"/>
      <c r="C310" s="290"/>
    </row>
    <row r="311" customFormat="false" ht="15.75" hidden="false" customHeight="false" outlineLevel="0" collapsed="false">
      <c r="A311" s="290"/>
      <c r="B311" s="290"/>
      <c r="C311" s="290"/>
    </row>
    <row r="312" customFormat="false" ht="15.75" hidden="false" customHeight="false" outlineLevel="0" collapsed="false">
      <c r="A312" s="290"/>
      <c r="B312" s="290"/>
      <c r="C312" s="290"/>
    </row>
    <row r="313" customFormat="false" ht="15.75" hidden="false" customHeight="false" outlineLevel="0" collapsed="false">
      <c r="A313" s="290"/>
      <c r="B313" s="290"/>
      <c r="C313" s="290"/>
    </row>
    <row r="314" customFormat="false" ht="15.75" hidden="false" customHeight="false" outlineLevel="0" collapsed="false">
      <c r="A314" s="290"/>
      <c r="B314" s="290"/>
      <c r="C314" s="290"/>
    </row>
    <row r="315" customFormat="false" ht="15.75" hidden="false" customHeight="false" outlineLevel="0" collapsed="false">
      <c r="A315" s="290"/>
      <c r="B315" s="290"/>
      <c r="C315" s="290"/>
    </row>
    <row r="316" customFormat="false" ht="15.75" hidden="false" customHeight="false" outlineLevel="0" collapsed="false">
      <c r="A316" s="290"/>
      <c r="B316" s="290"/>
      <c r="C316" s="290"/>
    </row>
    <row r="317" customFormat="false" ht="15.75" hidden="false" customHeight="false" outlineLevel="0" collapsed="false">
      <c r="A317" s="290"/>
      <c r="B317" s="290"/>
      <c r="C317" s="290"/>
    </row>
    <row r="318" customFormat="false" ht="15.75" hidden="false" customHeight="false" outlineLevel="0" collapsed="false">
      <c r="A318" s="290"/>
      <c r="B318" s="290"/>
      <c r="C318" s="290"/>
    </row>
    <row r="319" customFormat="false" ht="15.75" hidden="false" customHeight="false" outlineLevel="0" collapsed="false">
      <c r="A319" s="290"/>
      <c r="B319" s="290"/>
      <c r="C319" s="290"/>
    </row>
    <row r="320" customFormat="false" ht="15.75" hidden="false" customHeight="false" outlineLevel="0" collapsed="false">
      <c r="A320" s="290"/>
      <c r="B320" s="290"/>
      <c r="C320" s="290"/>
    </row>
    <row r="321" customFormat="false" ht="15.75" hidden="false" customHeight="false" outlineLevel="0" collapsed="false">
      <c r="A321" s="290"/>
      <c r="B321" s="290"/>
      <c r="C321" s="290"/>
    </row>
    <row r="322" customFormat="false" ht="15.75" hidden="false" customHeight="false" outlineLevel="0" collapsed="false">
      <c r="A322" s="290"/>
      <c r="B322" s="290"/>
      <c r="C322" s="290"/>
    </row>
    <row r="323" customFormat="false" ht="15.75" hidden="false" customHeight="false" outlineLevel="0" collapsed="false">
      <c r="A323" s="290"/>
      <c r="B323" s="290"/>
      <c r="C323" s="290"/>
    </row>
    <row r="324" customFormat="false" ht="15.75" hidden="false" customHeight="false" outlineLevel="0" collapsed="false">
      <c r="A324" s="290"/>
      <c r="B324" s="290"/>
      <c r="C324" s="290"/>
    </row>
    <row r="325" customFormat="false" ht="15.75" hidden="false" customHeight="false" outlineLevel="0" collapsed="false">
      <c r="A325" s="290"/>
      <c r="B325" s="290"/>
      <c r="C325" s="290"/>
    </row>
    <row r="326" customFormat="false" ht="15.75" hidden="false" customHeight="false" outlineLevel="0" collapsed="false">
      <c r="A326" s="290"/>
      <c r="B326" s="290"/>
      <c r="C326" s="290"/>
    </row>
    <row r="327" customFormat="false" ht="15.75" hidden="false" customHeight="false" outlineLevel="0" collapsed="false">
      <c r="A327" s="290"/>
      <c r="B327" s="290"/>
      <c r="C327" s="290"/>
    </row>
    <row r="328" customFormat="false" ht="15.75" hidden="false" customHeight="false" outlineLevel="0" collapsed="false">
      <c r="A328" s="290"/>
      <c r="B328" s="290"/>
      <c r="C328" s="290"/>
    </row>
    <row r="329" customFormat="false" ht="15.75" hidden="false" customHeight="false" outlineLevel="0" collapsed="false">
      <c r="A329" s="290"/>
      <c r="B329" s="290"/>
      <c r="C329" s="290"/>
    </row>
    <row r="330" customFormat="false" ht="15.75" hidden="false" customHeight="false" outlineLevel="0" collapsed="false">
      <c r="A330" s="290"/>
      <c r="B330" s="290"/>
      <c r="C330" s="290"/>
    </row>
    <row r="331" customFormat="false" ht="15.75" hidden="false" customHeight="false" outlineLevel="0" collapsed="false">
      <c r="A331" s="290"/>
      <c r="B331" s="290"/>
      <c r="C331" s="290"/>
    </row>
    <row r="332" customFormat="false" ht="15.75" hidden="false" customHeight="false" outlineLevel="0" collapsed="false">
      <c r="A332" s="290"/>
      <c r="B332" s="290"/>
      <c r="C332" s="290"/>
    </row>
    <row r="333" customFormat="false" ht="15.75" hidden="false" customHeight="false" outlineLevel="0" collapsed="false">
      <c r="A333" s="290"/>
      <c r="B333" s="290"/>
      <c r="C333" s="290"/>
    </row>
    <row r="334" customFormat="false" ht="15.75" hidden="false" customHeight="false" outlineLevel="0" collapsed="false">
      <c r="A334" s="290"/>
      <c r="B334" s="290"/>
      <c r="C334" s="290"/>
    </row>
    <row r="335" customFormat="false" ht="15.75" hidden="false" customHeight="false" outlineLevel="0" collapsed="false">
      <c r="A335" s="290"/>
      <c r="B335" s="290"/>
      <c r="C335" s="290"/>
    </row>
    <row r="336" customFormat="false" ht="15.75" hidden="false" customHeight="false" outlineLevel="0" collapsed="false">
      <c r="A336" s="290"/>
      <c r="B336" s="290"/>
      <c r="C336" s="290"/>
    </row>
    <row r="337" customFormat="false" ht="15.75" hidden="false" customHeight="false" outlineLevel="0" collapsed="false">
      <c r="A337" s="290"/>
      <c r="B337" s="290"/>
      <c r="C337" s="290"/>
    </row>
    <row r="338" customFormat="false" ht="15.75" hidden="false" customHeight="false" outlineLevel="0" collapsed="false">
      <c r="A338" s="290"/>
      <c r="B338" s="290"/>
      <c r="C338" s="290"/>
    </row>
    <row r="339" customFormat="false" ht="15.75" hidden="false" customHeight="false" outlineLevel="0" collapsed="false">
      <c r="A339" s="290"/>
      <c r="B339" s="290"/>
      <c r="C339" s="290"/>
    </row>
    <row r="340" customFormat="false" ht="15.75" hidden="false" customHeight="false" outlineLevel="0" collapsed="false">
      <c r="A340" s="290"/>
      <c r="B340" s="290"/>
      <c r="C340" s="290"/>
    </row>
    <row r="341" customFormat="false" ht="15.75" hidden="false" customHeight="false" outlineLevel="0" collapsed="false">
      <c r="A341" s="290"/>
      <c r="B341" s="290"/>
      <c r="C341" s="290"/>
    </row>
    <row r="342" customFormat="false" ht="15.75" hidden="false" customHeight="false" outlineLevel="0" collapsed="false">
      <c r="A342" s="290"/>
      <c r="B342" s="290"/>
      <c r="C342" s="290"/>
    </row>
    <row r="343" customFormat="false" ht="15.75" hidden="false" customHeight="false" outlineLevel="0" collapsed="false">
      <c r="A343" s="290"/>
      <c r="B343" s="290"/>
      <c r="C343" s="290"/>
    </row>
    <row r="344" customFormat="false" ht="15.75" hidden="false" customHeight="false" outlineLevel="0" collapsed="false">
      <c r="A344" s="290"/>
      <c r="B344" s="290"/>
      <c r="C344" s="290"/>
    </row>
    <row r="345" customFormat="false" ht="15.75" hidden="false" customHeight="false" outlineLevel="0" collapsed="false">
      <c r="A345" s="290"/>
      <c r="B345" s="290"/>
      <c r="C345" s="290"/>
    </row>
    <row r="346" customFormat="false" ht="15.75" hidden="false" customHeight="false" outlineLevel="0" collapsed="false">
      <c r="A346" s="290"/>
      <c r="B346" s="290"/>
      <c r="C346" s="290"/>
    </row>
    <row r="347" customFormat="false" ht="15.75" hidden="false" customHeight="false" outlineLevel="0" collapsed="false">
      <c r="A347" s="290"/>
      <c r="B347" s="290"/>
      <c r="C347" s="290"/>
    </row>
    <row r="348" customFormat="false" ht="15.75" hidden="false" customHeight="false" outlineLevel="0" collapsed="false">
      <c r="A348" s="290"/>
      <c r="B348" s="290"/>
      <c r="C348" s="290"/>
    </row>
    <row r="349" customFormat="false" ht="15.75" hidden="false" customHeight="false" outlineLevel="0" collapsed="false">
      <c r="A349" s="290"/>
      <c r="B349" s="290"/>
      <c r="C349" s="290"/>
    </row>
    <row r="350" customFormat="false" ht="15.75" hidden="false" customHeight="false" outlineLevel="0" collapsed="false">
      <c r="A350" s="290"/>
      <c r="B350" s="290"/>
      <c r="C350" s="290"/>
    </row>
    <row r="351" customFormat="false" ht="15.75" hidden="false" customHeight="false" outlineLevel="0" collapsed="false">
      <c r="A351" s="290"/>
      <c r="B351" s="290"/>
      <c r="C351" s="290"/>
    </row>
    <row r="352" customFormat="false" ht="15.75" hidden="false" customHeight="false" outlineLevel="0" collapsed="false">
      <c r="A352" s="290"/>
      <c r="B352" s="290"/>
      <c r="C352" s="290"/>
    </row>
    <row r="353" customFormat="false" ht="15.75" hidden="false" customHeight="false" outlineLevel="0" collapsed="false">
      <c r="A353" s="290"/>
      <c r="B353" s="290"/>
      <c r="C353" s="290"/>
    </row>
    <row r="354" customFormat="false" ht="15.75" hidden="false" customHeight="false" outlineLevel="0" collapsed="false">
      <c r="A354" s="290"/>
      <c r="B354" s="290"/>
      <c r="C354" s="290"/>
    </row>
    <row r="355" customFormat="false" ht="15.75" hidden="false" customHeight="false" outlineLevel="0" collapsed="false">
      <c r="A355" s="290"/>
      <c r="B355" s="290"/>
      <c r="C355" s="290"/>
    </row>
    <row r="356" customFormat="false" ht="15.75" hidden="false" customHeight="false" outlineLevel="0" collapsed="false">
      <c r="A356" s="290"/>
      <c r="B356" s="290"/>
      <c r="C356" s="290"/>
    </row>
    <row r="357" customFormat="false" ht="15.75" hidden="false" customHeight="false" outlineLevel="0" collapsed="false">
      <c r="A357" s="290"/>
      <c r="B357" s="290"/>
      <c r="C357" s="290"/>
    </row>
    <row r="358" customFormat="false" ht="15.75" hidden="false" customHeight="false" outlineLevel="0" collapsed="false">
      <c r="A358" s="290"/>
      <c r="B358" s="290"/>
      <c r="C358" s="290"/>
    </row>
    <row r="359" customFormat="false" ht="15.75" hidden="false" customHeight="false" outlineLevel="0" collapsed="false">
      <c r="A359" s="290"/>
      <c r="B359" s="290"/>
      <c r="C359" s="290"/>
    </row>
    <row r="360" customFormat="false" ht="15.75" hidden="false" customHeight="false" outlineLevel="0" collapsed="false">
      <c r="A360" s="290"/>
      <c r="B360" s="290"/>
      <c r="C360" s="290"/>
    </row>
    <row r="361" customFormat="false" ht="15.75" hidden="false" customHeight="false" outlineLevel="0" collapsed="false">
      <c r="A361" s="290"/>
      <c r="B361" s="290"/>
      <c r="C361" s="290"/>
    </row>
    <row r="362" customFormat="false" ht="15.75" hidden="false" customHeight="false" outlineLevel="0" collapsed="false">
      <c r="A362" s="290"/>
      <c r="B362" s="290"/>
      <c r="C362" s="290"/>
    </row>
    <row r="363" customFormat="false" ht="15.75" hidden="false" customHeight="false" outlineLevel="0" collapsed="false">
      <c r="A363" s="290"/>
      <c r="B363" s="290"/>
      <c r="C363" s="290"/>
    </row>
    <row r="364" customFormat="false" ht="15.75" hidden="false" customHeight="false" outlineLevel="0" collapsed="false">
      <c r="A364" s="290"/>
      <c r="B364" s="290"/>
      <c r="C364" s="290"/>
    </row>
    <row r="365" customFormat="false" ht="15.75" hidden="false" customHeight="false" outlineLevel="0" collapsed="false">
      <c r="A365" s="290"/>
      <c r="B365" s="290"/>
      <c r="C365" s="290"/>
    </row>
    <row r="366" customFormat="false" ht="15.75" hidden="false" customHeight="false" outlineLevel="0" collapsed="false">
      <c r="A366" s="290"/>
      <c r="B366" s="290"/>
      <c r="C366" s="290"/>
    </row>
    <row r="367" customFormat="false" ht="15.75" hidden="false" customHeight="false" outlineLevel="0" collapsed="false">
      <c r="A367" s="290"/>
      <c r="B367" s="290"/>
      <c r="C367" s="290"/>
    </row>
    <row r="368" customFormat="false" ht="15.75" hidden="false" customHeight="false" outlineLevel="0" collapsed="false">
      <c r="A368" s="290"/>
      <c r="B368" s="290"/>
      <c r="C368" s="290"/>
    </row>
    <row r="369" customFormat="false" ht="15.75" hidden="false" customHeight="false" outlineLevel="0" collapsed="false">
      <c r="A369" s="290"/>
      <c r="B369" s="290"/>
      <c r="C369" s="290"/>
    </row>
    <row r="370" customFormat="false" ht="15.75" hidden="false" customHeight="false" outlineLevel="0" collapsed="false">
      <c r="A370" s="290"/>
      <c r="B370" s="290"/>
      <c r="C370" s="290"/>
    </row>
    <row r="371" customFormat="false" ht="15.75" hidden="false" customHeight="false" outlineLevel="0" collapsed="false">
      <c r="A371" s="290"/>
      <c r="B371" s="290"/>
      <c r="C371" s="290"/>
    </row>
    <row r="372" customFormat="false" ht="15.75" hidden="false" customHeight="false" outlineLevel="0" collapsed="false">
      <c r="A372" s="290"/>
      <c r="B372" s="290"/>
      <c r="C372" s="290"/>
    </row>
    <row r="373" customFormat="false" ht="15.75" hidden="false" customHeight="false" outlineLevel="0" collapsed="false">
      <c r="A373" s="290"/>
      <c r="B373" s="290"/>
      <c r="C373" s="290"/>
    </row>
    <row r="374" customFormat="false" ht="15.75" hidden="false" customHeight="false" outlineLevel="0" collapsed="false">
      <c r="A374" s="290"/>
      <c r="B374" s="290"/>
      <c r="C374" s="290"/>
    </row>
    <row r="375" customFormat="false" ht="15.75" hidden="false" customHeight="false" outlineLevel="0" collapsed="false">
      <c r="A375" s="290"/>
      <c r="B375" s="290"/>
      <c r="C375" s="290"/>
    </row>
    <row r="376" customFormat="false" ht="15.75" hidden="false" customHeight="false" outlineLevel="0" collapsed="false">
      <c r="A376" s="290"/>
      <c r="B376" s="290"/>
      <c r="C376" s="290"/>
    </row>
    <row r="377" customFormat="false" ht="15.75" hidden="false" customHeight="false" outlineLevel="0" collapsed="false">
      <c r="A377" s="290"/>
      <c r="B377" s="290"/>
      <c r="C377" s="290"/>
    </row>
    <row r="378" customFormat="false" ht="15.75" hidden="false" customHeight="false" outlineLevel="0" collapsed="false">
      <c r="A378" s="290"/>
      <c r="B378" s="290"/>
      <c r="C378" s="290"/>
    </row>
    <row r="379" customFormat="false" ht="15.75" hidden="false" customHeight="false" outlineLevel="0" collapsed="false">
      <c r="A379" s="290"/>
      <c r="B379" s="290"/>
      <c r="C379" s="290"/>
    </row>
    <row r="380" customFormat="false" ht="15.75" hidden="false" customHeight="false" outlineLevel="0" collapsed="false">
      <c r="A380" s="290"/>
      <c r="B380" s="290"/>
      <c r="C380" s="290"/>
    </row>
    <row r="381" customFormat="false" ht="15.75" hidden="false" customHeight="false" outlineLevel="0" collapsed="false">
      <c r="A381" s="290"/>
      <c r="B381" s="290"/>
      <c r="C381" s="290"/>
    </row>
    <row r="382" customFormat="false" ht="15.75" hidden="false" customHeight="false" outlineLevel="0" collapsed="false">
      <c r="A382" s="290"/>
      <c r="B382" s="290"/>
      <c r="C382" s="290"/>
    </row>
    <row r="383" customFormat="false" ht="15.75" hidden="false" customHeight="false" outlineLevel="0" collapsed="false">
      <c r="A383" s="290"/>
      <c r="B383" s="290"/>
      <c r="C383" s="290"/>
    </row>
    <row r="384" customFormat="false" ht="15.75" hidden="false" customHeight="false" outlineLevel="0" collapsed="false">
      <c r="A384" s="290"/>
      <c r="B384" s="290"/>
      <c r="C384" s="290"/>
    </row>
    <row r="385" customFormat="false" ht="15.75" hidden="false" customHeight="false" outlineLevel="0" collapsed="false">
      <c r="A385" s="290"/>
      <c r="B385" s="290"/>
      <c r="C385" s="290"/>
    </row>
    <row r="386" customFormat="false" ht="15.75" hidden="false" customHeight="false" outlineLevel="0" collapsed="false">
      <c r="A386" s="290"/>
      <c r="B386" s="290"/>
      <c r="C386" s="290"/>
    </row>
    <row r="387" customFormat="false" ht="15.75" hidden="false" customHeight="false" outlineLevel="0" collapsed="false">
      <c r="A387" s="290"/>
      <c r="B387" s="290"/>
      <c r="C387" s="290"/>
    </row>
    <row r="388" customFormat="false" ht="15.75" hidden="false" customHeight="false" outlineLevel="0" collapsed="false">
      <c r="A388" s="290"/>
      <c r="B388" s="290"/>
      <c r="C388" s="290"/>
    </row>
    <row r="389" customFormat="false" ht="15.75" hidden="false" customHeight="false" outlineLevel="0" collapsed="false">
      <c r="A389" s="290"/>
      <c r="B389" s="290"/>
      <c r="C389" s="290"/>
    </row>
    <row r="390" customFormat="false" ht="15.75" hidden="false" customHeight="false" outlineLevel="0" collapsed="false">
      <c r="A390" s="290"/>
      <c r="B390" s="290"/>
      <c r="C390" s="290"/>
    </row>
    <row r="391" customFormat="false" ht="15.75" hidden="false" customHeight="false" outlineLevel="0" collapsed="false">
      <c r="A391" s="290"/>
      <c r="B391" s="290"/>
      <c r="C391" s="290"/>
    </row>
    <row r="392" customFormat="false" ht="15.75" hidden="false" customHeight="false" outlineLevel="0" collapsed="false">
      <c r="A392" s="290"/>
      <c r="B392" s="290"/>
      <c r="C392" s="290"/>
    </row>
    <row r="393" customFormat="false" ht="15.75" hidden="false" customHeight="false" outlineLevel="0" collapsed="false">
      <c r="A393" s="290"/>
      <c r="B393" s="290"/>
      <c r="C393" s="290"/>
    </row>
    <row r="394" customFormat="false" ht="15.75" hidden="false" customHeight="false" outlineLevel="0" collapsed="false">
      <c r="A394" s="290"/>
      <c r="B394" s="290"/>
      <c r="C394" s="290"/>
    </row>
    <row r="395" customFormat="false" ht="15.75" hidden="false" customHeight="false" outlineLevel="0" collapsed="false">
      <c r="A395" s="290"/>
      <c r="B395" s="290"/>
      <c r="C395" s="290"/>
    </row>
    <row r="396" customFormat="false" ht="15.75" hidden="false" customHeight="false" outlineLevel="0" collapsed="false">
      <c r="A396" s="290"/>
      <c r="B396" s="290"/>
      <c r="C396" s="290"/>
    </row>
    <row r="397" customFormat="false" ht="15.75" hidden="false" customHeight="false" outlineLevel="0" collapsed="false">
      <c r="A397" s="290"/>
      <c r="B397" s="290"/>
      <c r="C397" s="290"/>
    </row>
    <row r="398" customFormat="false" ht="15.75" hidden="false" customHeight="false" outlineLevel="0" collapsed="false">
      <c r="A398" s="290"/>
      <c r="B398" s="290"/>
      <c r="C398" s="290"/>
    </row>
    <row r="399" customFormat="false" ht="15.75" hidden="false" customHeight="false" outlineLevel="0" collapsed="false">
      <c r="A399" s="290"/>
      <c r="B399" s="290"/>
      <c r="C399" s="290"/>
    </row>
    <row r="400" customFormat="false" ht="15.75" hidden="false" customHeight="false" outlineLevel="0" collapsed="false">
      <c r="A400" s="290"/>
      <c r="B400" s="290"/>
      <c r="C400" s="290"/>
    </row>
    <row r="401" customFormat="false" ht="15.75" hidden="false" customHeight="false" outlineLevel="0" collapsed="false">
      <c r="A401" s="290"/>
      <c r="B401" s="290"/>
      <c r="C401" s="290"/>
    </row>
    <row r="402" customFormat="false" ht="15.75" hidden="false" customHeight="false" outlineLevel="0" collapsed="false">
      <c r="A402" s="290"/>
      <c r="B402" s="290"/>
      <c r="C402" s="290"/>
    </row>
    <row r="403" customFormat="false" ht="15.75" hidden="false" customHeight="false" outlineLevel="0" collapsed="false">
      <c r="A403" s="290"/>
      <c r="B403" s="290"/>
      <c r="C403" s="290"/>
    </row>
    <row r="404" customFormat="false" ht="15.75" hidden="false" customHeight="false" outlineLevel="0" collapsed="false">
      <c r="A404" s="290"/>
      <c r="B404" s="290"/>
      <c r="C404" s="290"/>
    </row>
    <row r="405" customFormat="false" ht="15.75" hidden="false" customHeight="false" outlineLevel="0" collapsed="false">
      <c r="A405" s="290"/>
      <c r="B405" s="290"/>
      <c r="C405" s="290"/>
    </row>
    <row r="406" customFormat="false" ht="15.75" hidden="false" customHeight="false" outlineLevel="0" collapsed="false">
      <c r="A406" s="290"/>
      <c r="B406" s="290"/>
      <c r="C406" s="290"/>
    </row>
    <row r="407" customFormat="false" ht="15.75" hidden="false" customHeight="false" outlineLevel="0" collapsed="false">
      <c r="A407" s="290"/>
      <c r="B407" s="290"/>
      <c r="C407" s="290"/>
    </row>
    <row r="408" customFormat="false" ht="15.75" hidden="false" customHeight="false" outlineLevel="0" collapsed="false">
      <c r="A408" s="290"/>
      <c r="B408" s="290"/>
      <c r="C408" s="290"/>
    </row>
    <row r="409" customFormat="false" ht="15.75" hidden="false" customHeight="false" outlineLevel="0" collapsed="false">
      <c r="A409" s="290"/>
      <c r="B409" s="290"/>
      <c r="C409" s="290"/>
    </row>
    <row r="410" customFormat="false" ht="15.75" hidden="false" customHeight="false" outlineLevel="0" collapsed="false">
      <c r="A410" s="290"/>
      <c r="B410" s="290"/>
      <c r="C410" s="290"/>
    </row>
    <row r="411" customFormat="false" ht="15.75" hidden="false" customHeight="false" outlineLevel="0" collapsed="false">
      <c r="A411" s="290"/>
      <c r="B411" s="290"/>
      <c r="C411" s="290"/>
    </row>
    <row r="412" customFormat="false" ht="15.75" hidden="false" customHeight="false" outlineLevel="0" collapsed="false">
      <c r="A412" s="290"/>
      <c r="B412" s="290"/>
      <c r="C412" s="290"/>
    </row>
    <row r="413" customFormat="false" ht="15.75" hidden="false" customHeight="false" outlineLevel="0" collapsed="false">
      <c r="A413" s="290"/>
      <c r="B413" s="290"/>
      <c r="C413" s="290"/>
    </row>
    <row r="414" customFormat="false" ht="15.75" hidden="false" customHeight="false" outlineLevel="0" collapsed="false">
      <c r="A414" s="290"/>
      <c r="B414" s="290"/>
      <c r="C414" s="290"/>
    </row>
    <row r="415" customFormat="false" ht="15.75" hidden="false" customHeight="false" outlineLevel="0" collapsed="false">
      <c r="A415" s="290"/>
      <c r="B415" s="290"/>
      <c r="C415" s="290"/>
    </row>
    <row r="416" customFormat="false" ht="15.75" hidden="false" customHeight="false" outlineLevel="0" collapsed="false">
      <c r="A416" s="290"/>
      <c r="B416" s="290"/>
      <c r="C416" s="290"/>
    </row>
    <row r="417" customFormat="false" ht="15.75" hidden="false" customHeight="false" outlineLevel="0" collapsed="false">
      <c r="A417" s="290"/>
      <c r="B417" s="290"/>
      <c r="C417" s="290"/>
    </row>
    <row r="418" customFormat="false" ht="15.75" hidden="false" customHeight="false" outlineLevel="0" collapsed="false">
      <c r="A418" s="290"/>
      <c r="B418" s="290"/>
      <c r="C418" s="290"/>
    </row>
    <row r="419" customFormat="false" ht="15.75" hidden="false" customHeight="false" outlineLevel="0" collapsed="false">
      <c r="A419" s="290"/>
      <c r="B419" s="290"/>
      <c r="C419" s="290"/>
    </row>
    <row r="420" customFormat="false" ht="15.75" hidden="false" customHeight="false" outlineLevel="0" collapsed="false">
      <c r="A420" s="290"/>
      <c r="B420" s="290"/>
      <c r="C420" s="290"/>
    </row>
    <row r="421" customFormat="false" ht="15.75" hidden="false" customHeight="false" outlineLevel="0" collapsed="false">
      <c r="A421" s="290"/>
      <c r="B421" s="290"/>
      <c r="C421" s="290"/>
    </row>
    <row r="422" customFormat="false" ht="15.75" hidden="false" customHeight="false" outlineLevel="0" collapsed="false">
      <c r="A422" s="290"/>
      <c r="B422" s="290"/>
      <c r="C422" s="290"/>
    </row>
    <row r="423" customFormat="false" ht="15.75" hidden="false" customHeight="false" outlineLevel="0" collapsed="false">
      <c r="A423" s="290"/>
      <c r="B423" s="290"/>
      <c r="C423" s="290"/>
    </row>
    <row r="424" customFormat="false" ht="15.75" hidden="false" customHeight="false" outlineLevel="0" collapsed="false">
      <c r="A424" s="290"/>
      <c r="B424" s="290"/>
      <c r="C424" s="290"/>
    </row>
    <row r="425" customFormat="false" ht="15.75" hidden="false" customHeight="false" outlineLevel="0" collapsed="false">
      <c r="A425" s="290"/>
      <c r="B425" s="290"/>
      <c r="C425" s="290"/>
    </row>
    <row r="426" customFormat="false" ht="15.75" hidden="false" customHeight="false" outlineLevel="0" collapsed="false">
      <c r="A426" s="290"/>
      <c r="B426" s="290"/>
      <c r="C426" s="290"/>
    </row>
    <row r="427" customFormat="false" ht="15.75" hidden="false" customHeight="false" outlineLevel="0" collapsed="false">
      <c r="A427" s="290"/>
      <c r="B427" s="290"/>
      <c r="C427" s="290"/>
    </row>
    <row r="428" customFormat="false" ht="15.75" hidden="false" customHeight="false" outlineLevel="0" collapsed="false">
      <c r="A428" s="290"/>
      <c r="B428" s="290"/>
      <c r="C428" s="290"/>
    </row>
    <row r="429" customFormat="false" ht="15.75" hidden="false" customHeight="false" outlineLevel="0" collapsed="false">
      <c r="A429" s="290"/>
      <c r="B429" s="290"/>
      <c r="C429" s="290"/>
    </row>
    <row r="430" customFormat="false" ht="15.75" hidden="false" customHeight="false" outlineLevel="0" collapsed="false">
      <c r="A430" s="290"/>
      <c r="B430" s="290"/>
      <c r="C430" s="290"/>
    </row>
    <row r="431" customFormat="false" ht="15.75" hidden="false" customHeight="false" outlineLevel="0" collapsed="false">
      <c r="A431" s="290"/>
      <c r="B431" s="290"/>
      <c r="C431" s="290"/>
    </row>
    <row r="432" customFormat="false" ht="15.75" hidden="false" customHeight="false" outlineLevel="0" collapsed="false">
      <c r="A432" s="290"/>
      <c r="B432" s="290"/>
      <c r="C432" s="290"/>
    </row>
    <row r="433" customFormat="false" ht="15.75" hidden="false" customHeight="false" outlineLevel="0" collapsed="false">
      <c r="A433" s="290"/>
      <c r="B433" s="290"/>
      <c r="C433" s="290"/>
    </row>
    <row r="434" customFormat="false" ht="15.75" hidden="false" customHeight="false" outlineLevel="0" collapsed="false">
      <c r="A434" s="290"/>
      <c r="B434" s="290"/>
      <c r="C434" s="290"/>
    </row>
    <row r="435" customFormat="false" ht="15.75" hidden="false" customHeight="false" outlineLevel="0" collapsed="false">
      <c r="A435" s="290"/>
      <c r="B435" s="290"/>
      <c r="C435" s="290"/>
    </row>
    <row r="436" customFormat="false" ht="15.75" hidden="false" customHeight="false" outlineLevel="0" collapsed="false">
      <c r="A436" s="290"/>
      <c r="B436" s="290"/>
      <c r="C436" s="290"/>
    </row>
    <row r="437" customFormat="false" ht="15.75" hidden="false" customHeight="false" outlineLevel="0" collapsed="false">
      <c r="A437" s="290"/>
      <c r="B437" s="290"/>
      <c r="C437" s="290"/>
    </row>
    <row r="438" customFormat="false" ht="15.75" hidden="false" customHeight="false" outlineLevel="0" collapsed="false">
      <c r="A438" s="290"/>
      <c r="B438" s="290"/>
      <c r="C438" s="290"/>
    </row>
    <row r="439" customFormat="false" ht="15.75" hidden="false" customHeight="false" outlineLevel="0" collapsed="false">
      <c r="A439" s="290"/>
      <c r="B439" s="290"/>
      <c r="C439" s="290"/>
    </row>
    <row r="440" customFormat="false" ht="15.75" hidden="false" customHeight="false" outlineLevel="0" collapsed="false">
      <c r="A440" s="290"/>
      <c r="B440" s="290"/>
      <c r="C440" s="290"/>
    </row>
    <row r="441" customFormat="false" ht="15.75" hidden="false" customHeight="false" outlineLevel="0" collapsed="false">
      <c r="A441" s="290"/>
      <c r="B441" s="290"/>
      <c r="C441" s="290"/>
    </row>
    <row r="442" customFormat="false" ht="15.75" hidden="false" customHeight="false" outlineLevel="0" collapsed="false">
      <c r="A442" s="290"/>
      <c r="B442" s="290"/>
      <c r="C442" s="290"/>
    </row>
    <row r="443" customFormat="false" ht="15.75" hidden="false" customHeight="false" outlineLevel="0" collapsed="false">
      <c r="A443" s="290"/>
      <c r="B443" s="290"/>
      <c r="C443" s="290"/>
    </row>
    <row r="444" customFormat="false" ht="15.75" hidden="false" customHeight="false" outlineLevel="0" collapsed="false">
      <c r="A444" s="290"/>
      <c r="B444" s="290"/>
      <c r="C444" s="290"/>
    </row>
    <row r="445" customFormat="false" ht="15.75" hidden="false" customHeight="false" outlineLevel="0" collapsed="false">
      <c r="A445" s="290"/>
      <c r="B445" s="290"/>
      <c r="C445" s="290"/>
    </row>
    <row r="446" customFormat="false" ht="15.75" hidden="false" customHeight="false" outlineLevel="0" collapsed="false">
      <c r="A446" s="290"/>
      <c r="B446" s="290"/>
      <c r="C446" s="290"/>
    </row>
    <row r="447" customFormat="false" ht="15.75" hidden="false" customHeight="false" outlineLevel="0" collapsed="false">
      <c r="A447" s="290"/>
      <c r="B447" s="290"/>
      <c r="C447" s="290"/>
    </row>
    <row r="448" customFormat="false" ht="15.75" hidden="false" customHeight="false" outlineLevel="0" collapsed="false">
      <c r="A448" s="290"/>
      <c r="B448" s="290"/>
      <c r="C448" s="290"/>
    </row>
    <row r="449" customFormat="false" ht="15.75" hidden="false" customHeight="false" outlineLevel="0" collapsed="false">
      <c r="A449" s="290"/>
      <c r="B449" s="290"/>
      <c r="C449" s="290"/>
    </row>
    <row r="450" customFormat="false" ht="15.75" hidden="false" customHeight="false" outlineLevel="0" collapsed="false">
      <c r="A450" s="290"/>
      <c r="B450" s="290"/>
      <c r="C450" s="290"/>
    </row>
    <row r="451" customFormat="false" ht="15.75" hidden="false" customHeight="false" outlineLevel="0" collapsed="false">
      <c r="A451" s="290"/>
      <c r="B451" s="290"/>
      <c r="C451" s="290"/>
    </row>
    <row r="452" customFormat="false" ht="15.75" hidden="false" customHeight="false" outlineLevel="0" collapsed="false">
      <c r="A452" s="290"/>
      <c r="B452" s="290"/>
      <c r="C452" s="290"/>
    </row>
    <row r="453" customFormat="false" ht="15.75" hidden="false" customHeight="false" outlineLevel="0" collapsed="false">
      <c r="A453" s="290"/>
      <c r="B453" s="290"/>
      <c r="C453" s="290"/>
    </row>
    <row r="454" customFormat="false" ht="15.75" hidden="false" customHeight="false" outlineLevel="0" collapsed="false">
      <c r="A454" s="290"/>
      <c r="B454" s="290"/>
      <c r="C454" s="290"/>
    </row>
    <row r="455" customFormat="false" ht="15.75" hidden="false" customHeight="false" outlineLevel="0" collapsed="false">
      <c r="A455" s="290"/>
      <c r="B455" s="290"/>
      <c r="C455" s="290"/>
    </row>
    <row r="456" customFormat="false" ht="15.75" hidden="false" customHeight="false" outlineLevel="0" collapsed="false">
      <c r="A456" s="290"/>
      <c r="B456" s="290"/>
      <c r="C456" s="290"/>
    </row>
    <row r="457" customFormat="false" ht="15.75" hidden="false" customHeight="false" outlineLevel="0" collapsed="false">
      <c r="A457" s="290"/>
      <c r="B457" s="290"/>
      <c r="C457" s="290"/>
    </row>
    <row r="458" customFormat="false" ht="15.75" hidden="false" customHeight="false" outlineLevel="0" collapsed="false">
      <c r="A458" s="290"/>
      <c r="B458" s="290"/>
      <c r="C458" s="290"/>
    </row>
    <row r="459" customFormat="false" ht="15.75" hidden="false" customHeight="false" outlineLevel="0" collapsed="false">
      <c r="A459" s="290"/>
      <c r="B459" s="290"/>
      <c r="C459" s="290"/>
    </row>
    <row r="460" customFormat="false" ht="15.75" hidden="false" customHeight="false" outlineLevel="0" collapsed="false">
      <c r="A460" s="290"/>
      <c r="B460" s="290"/>
      <c r="C460" s="290"/>
    </row>
    <row r="461" customFormat="false" ht="15.75" hidden="false" customHeight="false" outlineLevel="0" collapsed="false">
      <c r="A461" s="290"/>
      <c r="B461" s="290"/>
      <c r="C461" s="290"/>
    </row>
    <row r="462" customFormat="false" ht="15.75" hidden="false" customHeight="false" outlineLevel="0" collapsed="false">
      <c r="A462" s="290"/>
      <c r="B462" s="290"/>
      <c r="C462" s="290"/>
    </row>
    <row r="463" customFormat="false" ht="15.75" hidden="false" customHeight="false" outlineLevel="0" collapsed="false">
      <c r="A463" s="290"/>
      <c r="B463" s="290"/>
      <c r="C463" s="290"/>
    </row>
    <row r="464" customFormat="false" ht="15.75" hidden="false" customHeight="false" outlineLevel="0" collapsed="false">
      <c r="A464" s="290"/>
      <c r="B464" s="290"/>
      <c r="C464" s="290"/>
    </row>
    <row r="465" customFormat="false" ht="15.75" hidden="false" customHeight="false" outlineLevel="0" collapsed="false">
      <c r="A465" s="290"/>
      <c r="B465" s="290"/>
      <c r="C465" s="290"/>
    </row>
    <row r="466" customFormat="false" ht="15.75" hidden="false" customHeight="false" outlineLevel="0" collapsed="false">
      <c r="A466" s="290"/>
      <c r="B466" s="290"/>
      <c r="C466" s="290"/>
    </row>
    <row r="467" customFormat="false" ht="15.75" hidden="false" customHeight="false" outlineLevel="0" collapsed="false">
      <c r="A467" s="290"/>
      <c r="B467" s="290"/>
      <c r="C467" s="290"/>
    </row>
    <row r="468" customFormat="false" ht="15.75" hidden="false" customHeight="false" outlineLevel="0" collapsed="false">
      <c r="A468" s="290"/>
      <c r="B468" s="290"/>
      <c r="C468" s="290"/>
    </row>
    <row r="469" customFormat="false" ht="15.75" hidden="false" customHeight="false" outlineLevel="0" collapsed="false">
      <c r="A469" s="290"/>
      <c r="B469" s="290"/>
      <c r="C469" s="290"/>
    </row>
    <row r="470" customFormat="false" ht="15.75" hidden="false" customHeight="false" outlineLevel="0" collapsed="false">
      <c r="A470" s="290"/>
      <c r="B470" s="290"/>
      <c r="C470" s="290"/>
    </row>
    <row r="471" customFormat="false" ht="15.75" hidden="false" customHeight="false" outlineLevel="0" collapsed="false">
      <c r="A471" s="290"/>
      <c r="B471" s="290"/>
      <c r="C471" s="290"/>
    </row>
    <row r="472" customFormat="false" ht="15.75" hidden="false" customHeight="false" outlineLevel="0" collapsed="false">
      <c r="A472" s="290"/>
      <c r="B472" s="290"/>
      <c r="C472" s="290"/>
    </row>
    <row r="473" customFormat="false" ht="15.75" hidden="false" customHeight="false" outlineLevel="0" collapsed="false">
      <c r="A473" s="290"/>
      <c r="B473" s="290"/>
      <c r="C473" s="290"/>
    </row>
    <row r="474" customFormat="false" ht="15.75" hidden="false" customHeight="false" outlineLevel="0" collapsed="false">
      <c r="A474" s="290"/>
      <c r="B474" s="290"/>
      <c r="C474" s="290"/>
    </row>
    <row r="475" customFormat="false" ht="15.75" hidden="false" customHeight="false" outlineLevel="0" collapsed="false">
      <c r="A475" s="290"/>
      <c r="B475" s="290"/>
      <c r="C475" s="290"/>
    </row>
    <row r="476" customFormat="false" ht="15.75" hidden="false" customHeight="false" outlineLevel="0" collapsed="false">
      <c r="A476" s="290"/>
      <c r="B476" s="290"/>
      <c r="C476" s="290"/>
    </row>
    <row r="477" customFormat="false" ht="15.75" hidden="false" customHeight="false" outlineLevel="0" collapsed="false">
      <c r="A477" s="290"/>
      <c r="B477" s="290"/>
      <c r="C477" s="290"/>
    </row>
    <row r="478" customFormat="false" ht="15.75" hidden="false" customHeight="false" outlineLevel="0" collapsed="false">
      <c r="A478" s="290"/>
      <c r="B478" s="290"/>
      <c r="C478" s="290"/>
    </row>
    <row r="479" customFormat="false" ht="15.75" hidden="false" customHeight="false" outlineLevel="0" collapsed="false">
      <c r="A479" s="290"/>
      <c r="B479" s="290"/>
      <c r="C479" s="290"/>
    </row>
    <row r="480" customFormat="false" ht="15.75" hidden="false" customHeight="false" outlineLevel="0" collapsed="false">
      <c r="A480" s="290"/>
      <c r="B480" s="290"/>
      <c r="C480" s="290"/>
    </row>
    <row r="481" customFormat="false" ht="15.75" hidden="false" customHeight="false" outlineLevel="0" collapsed="false">
      <c r="A481" s="290"/>
      <c r="B481" s="290"/>
      <c r="C481" s="290"/>
    </row>
    <row r="482" customFormat="false" ht="15.75" hidden="false" customHeight="false" outlineLevel="0" collapsed="false">
      <c r="A482" s="290"/>
      <c r="B482" s="290"/>
      <c r="C482" s="290"/>
    </row>
    <row r="483" customFormat="false" ht="15.75" hidden="false" customHeight="false" outlineLevel="0" collapsed="false">
      <c r="A483" s="290"/>
      <c r="B483" s="290"/>
      <c r="C483" s="290"/>
    </row>
    <row r="484" customFormat="false" ht="15.75" hidden="false" customHeight="false" outlineLevel="0" collapsed="false">
      <c r="A484" s="290"/>
      <c r="B484" s="290"/>
      <c r="C484" s="290"/>
    </row>
    <row r="485" customFormat="false" ht="15.75" hidden="false" customHeight="false" outlineLevel="0" collapsed="false">
      <c r="A485" s="290"/>
      <c r="B485" s="290"/>
      <c r="C485" s="290"/>
    </row>
    <row r="486" customFormat="false" ht="15.75" hidden="false" customHeight="false" outlineLevel="0" collapsed="false">
      <c r="A486" s="290"/>
      <c r="B486" s="290"/>
      <c r="C486" s="290"/>
    </row>
    <row r="487" customFormat="false" ht="15.75" hidden="false" customHeight="false" outlineLevel="0" collapsed="false">
      <c r="A487" s="290"/>
      <c r="B487" s="290"/>
      <c r="C487" s="290"/>
    </row>
    <row r="488" customFormat="false" ht="15.75" hidden="false" customHeight="false" outlineLevel="0" collapsed="false">
      <c r="A488" s="290"/>
      <c r="B488" s="290"/>
      <c r="C488" s="290"/>
    </row>
    <row r="489" customFormat="false" ht="15.75" hidden="false" customHeight="false" outlineLevel="0" collapsed="false">
      <c r="A489" s="290"/>
      <c r="B489" s="290"/>
      <c r="C489" s="290"/>
    </row>
    <row r="490" customFormat="false" ht="15.75" hidden="false" customHeight="false" outlineLevel="0" collapsed="false">
      <c r="A490" s="290"/>
      <c r="B490" s="290"/>
      <c r="C490" s="290"/>
    </row>
    <row r="491" customFormat="false" ht="15.75" hidden="false" customHeight="false" outlineLevel="0" collapsed="false">
      <c r="A491" s="290"/>
      <c r="B491" s="290"/>
      <c r="C491" s="290"/>
    </row>
    <row r="492" customFormat="false" ht="15.75" hidden="false" customHeight="false" outlineLevel="0" collapsed="false">
      <c r="A492" s="290"/>
      <c r="B492" s="290"/>
      <c r="C492" s="290"/>
    </row>
    <row r="493" customFormat="false" ht="15.75" hidden="false" customHeight="false" outlineLevel="0" collapsed="false">
      <c r="A493" s="290"/>
      <c r="B493" s="290"/>
      <c r="C493" s="290"/>
    </row>
    <row r="494" customFormat="false" ht="15.75" hidden="false" customHeight="false" outlineLevel="0" collapsed="false">
      <c r="A494" s="290"/>
      <c r="B494" s="290"/>
      <c r="C494" s="290"/>
    </row>
    <row r="495" customFormat="false" ht="15.75" hidden="false" customHeight="false" outlineLevel="0" collapsed="false">
      <c r="A495" s="290"/>
      <c r="B495" s="290"/>
      <c r="C495" s="290"/>
    </row>
    <row r="496" customFormat="false" ht="15.75" hidden="false" customHeight="false" outlineLevel="0" collapsed="false">
      <c r="A496" s="290"/>
      <c r="B496" s="290"/>
      <c r="C496" s="290"/>
    </row>
    <row r="497" customFormat="false" ht="15.75" hidden="false" customHeight="false" outlineLevel="0" collapsed="false">
      <c r="A497" s="290"/>
      <c r="B497" s="290"/>
      <c r="C497" s="290"/>
    </row>
    <row r="498" customFormat="false" ht="15.75" hidden="false" customHeight="false" outlineLevel="0" collapsed="false">
      <c r="A498" s="290"/>
      <c r="B498" s="290"/>
      <c r="C498" s="290"/>
    </row>
    <row r="499" customFormat="false" ht="15.75" hidden="false" customHeight="false" outlineLevel="0" collapsed="false">
      <c r="A499" s="290"/>
      <c r="B499" s="290"/>
      <c r="C499" s="290"/>
    </row>
    <row r="500" customFormat="false" ht="15.75" hidden="false" customHeight="false" outlineLevel="0" collapsed="false">
      <c r="A500" s="290"/>
      <c r="B500" s="290"/>
      <c r="C500" s="290"/>
    </row>
    <row r="501" customFormat="false" ht="15.75" hidden="false" customHeight="false" outlineLevel="0" collapsed="false">
      <c r="A501" s="290"/>
      <c r="B501" s="290"/>
      <c r="C501" s="290"/>
    </row>
    <row r="502" customFormat="false" ht="15.75" hidden="false" customHeight="false" outlineLevel="0" collapsed="false">
      <c r="A502" s="290"/>
      <c r="B502" s="290"/>
      <c r="C502" s="290"/>
    </row>
    <row r="503" customFormat="false" ht="15.75" hidden="false" customHeight="false" outlineLevel="0" collapsed="false">
      <c r="A503" s="290"/>
      <c r="B503" s="290"/>
      <c r="C503" s="290"/>
    </row>
    <row r="504" customFormat="false" ht="15.75" hidden="false" customHeight="false" outlineLevel="0" collapsed="false">
      <c r="A504" s="290"/>
      <c r="B504" s="290"/>
      <c r="C504" s="290"/>
    </row>
    <row r="505" customFormat="false" ht="15.75" hidden="false" customHeight="false" outlineLevel="0" collapsed="false">
      <c r="A505" s="290"/>
      <c r="B505" s="290"/>
      <c r="C505" s="290"/>
    </row>
    <row r="506" customFormat="false" ht="15.75" hidden="false" customHeight="false" outlineLevel="0" collapsed="false">
      <c r="A506" s="290"/>
      <c r="B506" s="290"/>
      <c r="C506" s="290"/>
    </row>
    <row r="507" customFormat="false" ht="15.75" hidden="false" customHeight="false" outlineLevel="0" collapsed="false">
      <c r="A507" s="290"/>
      <c r="B507" s="290"/>
      <c r="C507" s="290"/>
    </row>
    <row r="508" customFormat="false" ht="15.75" hidden="false" customHeight="false" outlineLevel="0" collapsed="false">
      <c r="A508" s="290"/>
      <c r="B508" s="290"/>
      <c r="C508" s="290"/>
    </row>
    <row r="509" customFormat="false" ht="15.75" hidden="false" customHeight="false" outlineLevel="0" collapsed="false">
      <c r="A509" s="290"/>
      <c r="B509" s="290"/>
      <c r="C509" s="290"/>
    </row>
    <row r="510" customFormat="false" ht="15.75" hidden="false" customHeight="false" outlineLevel="0" collapsed="false">
      <c r="A510" s="290"/>
      <c r="B510" s="290"/>
      <c r="C510" s="290"/>
    </row>
    <row r="511" customFormat="false" ht="15.75" hidden="false" customHeight="false" outlineLevel="0" collapsed="false">
      <c r="A511" s="290"/>
      <c r="B511" s="290"/>
      <c r="C511" s="290"/>
    </row>
    <row r="512" customFormat="false" ht="15.75" hidden="false" customHeight="false" outlineLevel="0" collapsed="false">
      <c r="A512" s="290"/>
      <c r="B512" s="290"/>
      <c r="C512" s="290"/>
    </row>
    <row r="513" customFormat="false" ht="15.75" hidden="false" customHeight="false" outlineLevel="0" collapsed="false">
      <c r="A513" s="290"/>
      <c r="B513" s="290"/>
      <c r="C513" s="290"/>
    </row>
    <row r="514" customFormat="false" ht="15.75" hidden="false" customHeight="false" outlineLevel="0" collapsed="false">
      <c r="A514" s="290"/>
      <c r="B514" s="290"/>
      <c r="C514" s="290"/>
    </row>
    <row r="515" customFormat="false" ht="15.75" hidden="false" customHeight="false" outlineLevel="0" collapsed="false">
      <c r="A515" s="290"/>
      <c r="B515" s="290"/>
      <c r="C515" s="290"/>
    </row>
    <row r="516" customFormat="false" ht="15.75" hidden="false" customHeight="false" outlineLevel="0" collapsed="false">
      <c r="A516" s="290"/>
      <c r="B516" s="290"/>
      <c r="C516" s="290"/>
    </row>
    <row r="517" customFormat="false" ht="15.75" hidden="false" customHeight="false" outlineLevel="0" collapsed="false">
      <c r="A517" s="290"/>
      <c r="B517" s="290"/>
      <c r="C517" s="290"/>
    </row>
    <row r="518" customFormat="false" ht="15.75" hidden="false" customHeight="false" outlineLevel="0" collapsed="false">
      <c r="A518" s="290"/>
      <c r="B518" s="290"/>
      <c r="C518" s="290"/>
    </row>
    <row r="519" customFormat="false" ht="15.75" hidden="false" customHeight="false" outlineLevel="0" collapsed="false">
      <c r="A519" s="290"/>
      <c r="B519" s="290"/>
      <c r="C519" s="290"/>
    </row>
    <row r="520" customFormat="false" ht="15.75" hidden="false" customHeight="false" outlineLevel="0" collapsed="false">
      <c r="A520" s="290"/>
      <c r="B520" s="290"/>
      <c r="C520" s="290"/>
    </row>
    <row r="521" customFormat="false" ht="15.75" hidden="false" customHeight="false" outlineLevel="0" collapsed="false">
      <c r="A521" s="290"/>
      <c r="B521" s="290"/>
      <c r="C521" s="290"/>
    </row>
    <row r="522" customFormat="false" ht="15.75" hidden="false" customHeight="false" outlineLevel="0" collapsed="false">
      <c r="A522" s="290"/>
      <c r="B522" s="290"/>
      <c r="C522" s="290"/>
    </row>
    <row r="523" customFormat="false" ht="15.75" hidden="false" customHeight="false" outlineLevel="0" collapsed="false">
      <c r="A523" s="290"/>
      <c r="B523" s="290"/>
      <c r="C523" s="290"/>
    </row>
    <row r="524" customFormat="false" ht="15.75" hidden="false" customHeight="false" outlineLevel="0" collapsed="false">
      <c r="A524" s="290"/>
      <c r="B524" s="290"/>
      <c r="C524" s="290"/>
    </row>
    <row r="525" customFormat="false" ht="15.75" hidden="false" customHeight="false" outlineLevel="0" collapsed="false">
      <c r="A525" s="290"/>
      <c r="B525" s="290"/>
      <c r="C525" s="290"/>
    </row>
    <row r="526" customFormat="false" ht="15.75" hidden="false" customHeight="false" outlineLevel="0" collapsed="false">
      <c r="A526" s="290"/>
      <c r="B526" s="290"/>
      <c r="C526" s="290"/>
    </row>
    <row r="527" customFormat="false" ht="15.75" hidden="false" customHeight="false" outlineLevel="0" collapsed="false">
      <c r="A527" s="290"/>
      <c r="B527" s="290"/>
      <c r="C527" s="290"/>
    </row>
    <row r="528" customFormat="false" ht="15.75" hidden="false" customHeight="false" outlineLevel="0" collapsed="false">
      <c r="A528" s="290"/>
      <c r="B528" s="290"/>
      <c r="C528" s="290"/>
    </row>
    <row r="529" customFormat="false" ht="15.75" hidden="false" customHeight="false" outlineLevel="0" collapsed="false">
      <c r="A529" s="290"/>
      <c r="B529" s="290"/>
      <c r="C529" s="290"/>
    </row>
    <row r="530" customFormat="false" ht="15.75" hidden="false" customHeight="false" outlineLevel="0" collapsed="false">
      <c r="A530" s="290"/>
      <c r="B530" s="290"/>
      <c r="C530" s="290"/>
    </row>
    <row r="531" customFormat="false" ht="15.75" hidden="false" customHeight="false" outlineLevel="0" collapsed="false">
      <c r="A531" s="290"/>
      <c r="B531" s="290"/>
      <c r="C531" s="290"/>
    </row>
    <row r="532" customFormat="false" ht="15.75" hidden="false" customHeight="false" outlineLevel="0" collapsed="false">
      <c r="A532" s="290"/>
      <c r="B532" s="290"/>
      <c r="C532" s="290"/>
    </row>
    <row r="533" customFormat="false" ht="15.75" hidden="false" customHeight="false" outlineLevel="0" collapsed="false">
      <c r="A533" s="290"/>
      <c r="B533" s="290"/>
      <c r="C533" s="290"/>
    </row>
    <row r="534" customFormat="false" ht="15.75" hidden="false" customHeight="false" outlineLevel="0" collapsed="false">
      <c r="A534" s="290"/>
      <c r="B534" s="290"/>
      <c r="C534" s="290"/>
    </row>
    <row r="535" customFormat="false" ht="15.75" hidden="false" customHeight="false" outlineLevel="0" collapsed="false">
      <c r="A535" s="290"/>
      <c r="B535" s="290"/>
      <c r="C535" s="290"/>
    </row>
    <row r="536" customFormat="false" ht="15.75" hidden="false" customHeight="false" outlineLevel="0" collapsed="false">
      <c r="A536" s="290"/>
      <c r="B536" s="290"/>
      <c r="C536" s="290"/>
    </row>
    <row r="537" customFormat="false" ht="15.75" hidden="false" customHeight="false" outlineLevel="0" collapsed="false">
      <c r="A537" s="290"/>
      <c r="B537" s="290"/>
      <c r="C537" s="290"/>
    </row>
    <row r="538" customFormat="false" ht="15.75" hidden="false" customHeight="false" outlineLevel="0" collapsed="false">
      <c r="A538" s="290"/>
      <c r="B538" s="290"/>
      <c r="C538" s="290"/>
    </row>
    <row r="539" customFormat="false" ht="15.75" hidden="false" customHeight="false" outlineLevel="0" collapsed="false">
      <c r="A539" s="290"/>
      <c r="B539" s="290"/>
      <c r="C539" s="290"/>
    </row>
    <row r="540" customFormat="false" ht="15.75" hidden="false" customHeight="false" outlineLevel="0" collapsed="false">
      <c r="A540" s="290"/>
      <c r="B540" s="290"/>
      <c r="C540" s="290"/>
    </row>
    <row r="541" customFormat="false" ht="15.75" hidden="false" customHeight="false" outlineLevel="0" collapsed="false">
      <c r="A541" s="290"/>
      <c r="B541" s="290"/>
      <c r="C541" s="290"/>
    </row>
    <row r="542" customFormat="false" ht="15.75" hidden="false" customHeight="false" outlineLevel="0" collapsed="false">
      <c r="A542" s="290"/>
      <c r="B542" s="290"/>
      <c r="C542" s="290"/>
    </row>
    <row r="543" customFormat="false" ht="15.75" hidden="false" customHeight="false" outlineLevel="0" collapsed="false">
      <c r="A543" s="290"/>
      <c r="B543" s="290"/>
      <c r="C543" s="290"/>
    </row>
    <row r="544" customFormat="false" ht="15.75" hidden="false" customHeight="false" outlineLevel="0" collapsed="false">
      <c r="A544" s="290"/>
      <c r="B544" s="290"/>
      <c r="C544" s="290"/>
    </row>
    <row r="545" customFormat="false" ht="15.75" hidden="false" customHeight="false" outlineLevel="0" collapsed="false">
      <c r="A545" s="290"/>
      <c r="B545" s="290"/>
      <c r="C545" s="290"/>
    </row>
    <row r="546" customFormat="false" ht="15.75" hidden="false" customHeight="false" outlineLevel="0" collapsed="false">
      <c r="A546" s="290"/>
      <c r="B546" s="290"/>
      <c r="C546" s="290"/>
    </row>
    <row r="547" customFormat="false" ht="15.75" hidden="false" customHeight="false" outlineLevel="0" collapsed="false">
      <c r="A547" s="290"/>
      <c r="B547" s="290"/>
      <c r="C547" s="290"/>
    </row>
    <row r="548" customFormat="false" ht="15.75" hidden="false" customHeight="false" outlineLevel="0" collapsed="false">
      <c r="A548" s="290"/>
      <c r="B548" s="290"/>
      <c r="C548" s="290"/>
    </row>
    <row r="549" customFormat="false" ht="15.75" hidden="false" customHeight="false" outlineLevel="0" collapsed="false">
      <c r="A549" s="290"/>
      <c r="B549" s="290"/>
      <c r="C549" s="290"/>
    </row>
    <row r="550" customFormat="false" ht="15.75" hidden="false" customHeight="false" outlineLevel="0" collapsed="false">
      <c r="A550" s="290"/>
      <c r="B550" s="290"/>
      <c r="C550" s="290"/>
    </row>
    <row r="551" customFormat="false" ht="15.75" hidden="false" customHeight="false" outlineLevel="0" collapsed="false">
      <c r="A551" s="290"/>
      <c r="B551" s="290"/>
      <c r="C551" s="290"/>
    </row>
    <row r="552" customFormat="false" ht="15.75" hidden="false" customHeight="false" outlineLevel="0" collapsed="false">
      <c r="A552" s="290"/>
      <c r="B552" s="290"/>
      <c r="C552" s="290"/>
    </row>
    <row r="553" customFormat="false" ht="15.75" hidden="false" customHeight="false" outlineLevel="0" collapsed="false">
      <c r="A553" s="290"/>
      <c r="B553" s="290"/>
      <c r="C553" s="290"/>
    </row>
    <row r="554" customFormat="false" ht="15.75" hidden="false" customHeight="false" outlineLevel="0" collapsed="false">
      <c r="A554" s="290"/>
      <c r="B554" s="290"/>
      <c r="C554" s="290"/>
    </row>
    <row r="555" customFormat="false" ht="15.75" hidden="false" customHeight="false" outlineLevel="0" collapsed="false">
      <c r="A555" s="290"/>
      <c r="B555" s="290"/>
      <c r="C555" s="290"/>
    </row>
    <row r="556" customFormat="false" ht="15.75" hidden="false" customHeight="false" outlineLevel="0" collapsed="false">
      <c r="A556" s="290"/>
      <c r="B556" s="290"/>
      <c r="C556" s="290"/>
    </row>
    <row r="557" customFormat="false" ht="15.75" hidden="false" customHeight="false" outlineLevel="0" collapsed="false">
      <c r="A557" s="290"/>
      <c r="B557" s="290"/>
      <c r="C557" s="290"/>
    </row>
    <row r="558" customFormat="false" ht="15.75" hidden="false" customHeight="false" outlineLevel="0" collapsed="false">
      <c r="A558" s="290"/>
      <c r="B558" s="290"/>
      <c r="C558" s="290"/>
    </row>
    <row r="559" customFormat="false" ht="15.75" hidden="false" customHeight="false" outlineLevel="0" collapsed="false">
      <c r="A559" s="290"/>
      <c r="B559" s="290"/>
      <c r="C559" s="290"/>
    </row>
    <row r="560" customFormat="false" ht="15.75" hidden="false" customHeight="false" outlineLevel="0" collapsed="false">
      <c r="A560" s="290"/>
      <c r="B560" s="290"/>
      <c r="C560" s="290"/>
    </row>
    <row r="561" customFormat="false" ht="15.75" hidden="false" customHeight="false" outlineLevel="0" collapsed="false">
      <c r="A561" s="290"/>
      <c r="B561" s="290"/>
      <c r="C561" s="290"/>
    </row>
    <row r="562" customFormat="false" ht="15.75" hidden="false" customHeight="false" outlineLevel="0" collapsed="false">
      <c r="A562" s="290"/>
      <c r="B562" s="290"/>
      <c r="C562" s="290"/>
    </row>
    <row r="563" customFormat="false" ht="15.75" hidden="false" customHeight="false" outlineLevel="0" collapsed="false">
      <c r="A563" s="290"/>
      <c r="B563" s="290"/>
      <c r="C563" s="290"/>
    </row>
    <row r="564" customFormat="false" ht="15.75" hidden="false" customHeight="false" outlineLevel="0" collapsed="false">
      <c r="A564" s="290"/>
      <c r="B564" s="290"/>
      <c r="C564" s="290"/>
    </row>
    <row r="565" customFormat="false" ht="15.75" hidden="false" customHeight="false" outlineLevel="0" collapsed="false">
      <c r="A565" s="290"/>
      <c r="B565" s="290"/>
      <c r="C565" s="290"/>
    </row>
    <row r="566" customFormat="false" ht="15.75" hidden="false" customHeight="false" outlineLevel="0" collapsed="false">
      <c r="A566" s="290"/>
      <c r="B566" s="290"/>
      <c r="C566" s="290"/>
    </row>
    <row r="567" customFormat="false" ht="15.75" hidden="false" customHeight="false" outlineLevel="0" collapsed="false">
      <c r="A567" s="290"/>
      <c r="B567" s="290"/>
      <c r="C567" s="290"/>
    </row>
    <row r="568" customFormat="false" ht="15.75" hidden="false" customHeight="false" outlineLevel="0" collapsed="false">
      <c r="A568" s="290"/>
      <c r="B568" s="290"/>
      <c r="C568" s="290"/>
    </row>
    <row r="569" customFormat="false" ht="15.75" hidden="false" customHeight="false" outlineLevel="0" collapsed="false">
      <c r="A569" s="290"/>
      <c r="B569" s="290"/>
      <c r="C569" s="290"/>
    </row>
    <row r="570" customFormat="false" ht="15.75" hidden="false" customHeight="false" outlineLevel="0" collapsed="false">
      <c r="A570" s="290"/>
      <c r="B570" s="290"/>
      <c r="C570" s="290"/>
    </row>
    <row r="571" customFormat="false" ht="15.75" hidden="false" customHeight="false" outlineLevel="0" collapsed="false">
      <c r="A571" s="290"/>
      <c r="B571" s="290"/>
      <c r="C571" s="290"/>
    </row>
    <row r="572" customFormat="false" ht="15.75" hidden="false" customHeight="false" outlineLevel="0" collapsed="false">
      <c r="A572" s="290"/>
      <c r="B572" s="290"/>
      <c r="C572" s="290"/>
    </row>
    <row r="573" customFormat="false" ht="15.75" hidden="false" customHeight="false" outlineLevel="0" collapsed="false">
      <c r="A573" s="290"/>
      <c r="B573" s="290"/>
      <c r="C573" s="290"/>
    </row>
    <row r="574" customFormat="false" ht="15.75" hidden="false" customHeight="false" outlineLevel="0" collapsed="false">
      <c r="A574" s="290"/>
      <c r="B574" s="290"/>
      <c r="C574" s="290"/>
    </row>
    <row r="575" customFormat="false" ht="15.75" hidden="false" customHeight="false" outlineLevel="0" collapsed="false">
      <c r="A575" s="290"/>
      <c r="B575" s="290"/>
      <c r="C575" s="290"/>
    </row>
    <row r="576" customFormat="false" ht="15.75" hidden="false" customHeight="false" outlineLevel="0" collapsed="false">
      <c r="A576" s="290"/>
      <c r="B576" s="290"/>
      <c r="C576" s="290"/>
    </row>
    <row r="577" customFormat="false" ht="15.75" hidden="false" customHeight="false" outlineLevel="0" collapsed="false">
      <c r="A577" s="290"/>
      <c r="B577" s="290"/>
      <c r="C577" s="290"/>
    </row>
    <row r="578" customFormat="false" ht="15.75" hidden="false" customHeight="false" outlineLevel="0" collapsed="false">
      <c r="A578" s="290"/>
      <c r="B578" s="290"/>
      <c r="C578" s="290"/>
    </row>
    <row r="579" customFormat="false" ht="15.75" hidden="false" customHeight="false" outlineLevel="0" collapsed="false">
      <c r="A579" s="290"/>
      <c r="B579" s="290"/>
      <c r="C579" s="290"/>
    </row>
    <row r="580" customFormat="false" ht="15.75" hidden="false" customHeight="false" outlineLevel="0" collapsed="false">
      <c r="A580" s="290"/>
      <c r="B580" s="290"/>
      <c r="C580" s="290"/>
    </row>
    <row r="581" customFormat="false" ht="15.75" hidden="false" customHeight="false" outlineLevel="0" collapsed="false">
      <c r="A581" s="290"/>
      <c r="B581" s="290"/>
      <c r="C581" s="290"/>
    </row>
    <row r="582" customFormat="false" ht="15.75" hidden="false" customHeight="false" outlineLevel="0" collapsed="false">
      <c r="A582" s="290"/>
      <c r="B582" s="290"/>
      <c r="C582" s="290"/>
    </row>
    <row r="583" customFormat="false" ht="15.75" hidden="false" customHeight="false" outlineLevel="0" collapsed="false">
      <c r="A583" s="290"/>
      <c r="B583" s="290"/>
      <c r="C583" s="290"/>
    </row>
    <row r="584" customFormat="false" ht="15.75" hidden="false" customHeight="false" outlineLevel="0" collapsed="false">
      <c r="A584" s="290"/>
      <c r="B584" s="290"/>
      <c r="C584" s="290"/>
    </row>
    <row r="585" customFormat="false" ht="15.75" hidden="false" customHeight="false" outlineLevel="0" collapsed="false">
      <c r="A585" s="290"/>
      <c r="B585" s="290"/>
      <c r="C585" s="290"/>
    </row>
    <row r="586" customFormat="false" ht="15.75" hidden="false" customHeight="false" outlineLevel="0" collapsed="false">
      <c r="A586" s="290"/>
      <c r="B586" s="290"/>
      <c r="C586" s="290"/>
    </row>
    <row r="587" customFormat="false" ht="15.75" hidden="false" customHeight="false" outlineLevel="0" collapsed="false">
      <c r="A587" s="290"/>
      <c r="B587" s="290"/>
      <c r="C587" s="290"/>
    </row>
    <row r="588" customFormat="false" ht="15.75" hidden="false" customHeight="false" outlineLevel="0" collapsed="false">
      <c r="A588" s="290"/>
      <c r="B588" s="290"/>
      <c r="C588" s="290"/>
    </row>
    <row r="589" customFormat="false" ht="15.75" hidden="false" customHeight="false" outlineLevel="0" collapsed="false">
      <c r="A589" s="290"/>
      <c r="B589" s="290"/>
      <c r="C589" s="290"/>
    </row>
    <row r="590" customFormat="false" ht="15.75" hidden="false" customHeight="false" outlineLevel="0" collapsed="false">
      <c r="A590" s="290"/>
      <c r="B590" s="290"/>
      <c r="C590" s="290"/>
    </row>
    <row r="591" customFormat="false" ht="15.75" hidden="false" customHeight="false" outlineLevel="0" collapsed="false">
      <c r="A591" s="290"/>
      <c r="B591" s="290"/>
      <c r="C591" s="290"/>
    </row>
    <row r="592" customFormat="false" ht="15.75" hidden="false" customHeight="false" outlineLevel="0" collapsed="false">
      <c r="A592" s="290"/>
      <c r="B592" s="290"/>
      <c r="C592" s="290"/>
    </row>
    <row r="593" customFormat="false" ht="15.75" hidden="false" customHeight="false" outlineLevel="0" collapsed="false">
      <c r="A593" s="290"/>
      <c r="B593" s="290"/>
      <c r="C593" s="290"/>
    </row>
    <row r="594" customFormat="false" ht="15.75" hidden="false" customHeight="false" outlineLevel="0" collapsed="false">
      <c r="A594" s="290"/>
      <c r="B594" s="290"/>
      <c r="C594" s="290"/>
    </row>
    <row r="595" customFormat="false" ht="15.75" hidden="false" customHeight="false" outlineLevel="0" collapsed="false">
      <c r="A595" s="290"/>
      <c r="B595" s="290"/>
      <c r="C595" s="290"/>
    </row>
    <row r="596" customFormat="false" ht="15.75" hidden="false" customHeight="false" outlineLevel="0" collapsed="false">
      <c r="A596" s="290"/>
      <c r="B596" s="290"/>
      <c r="C596" s="290"/>
    </row>
    <row r="597" customFormat="false" ht="15.75" hidden="false" customHeight="false" outlineLevel="0" collapsed="false">
      <c r="A597" s="290"/>
      <c r="B597" s="290"/>
      <c r="C597" s="290"/>
    </row>
    <row r="598" customFormat="false" ht="15.75" hidden="false" customHeight="false" outlineLevel="0" collapsed="false">
      <c r="A598" s="290"/>
      <c r="B598" s="290"/>
      <c r="C598" s="290"/>
    </row>
    <row r="599" customFormat="false" ht="15.75" hidden="false" customHeight="false" outlineLevel="0" collapsed="false">
      <c r="A599" s="290"/>
      <c r="B599" s="290"/>
      <c r="C599" s="290"/>
    </row>
    <row r="600" customFormat="false" ht="15.75" hidden="false" customHeight="false" outlineLevel="0" collapsed="false">
      <c r="A600" s="290"/>
      <c r="B600" s="290"/>
      <c r="C600" s="290"/>
    </row>
    <row r="601" customFormat="false" ht="15.75" hidden="false" customHeight="false" outlineLevel="0" collapsed="false">
      <c r="A601" s="290"/>
      <c r="B601" s="290"/>
      <c r="C601" s="290"/>
    </row>
    <row r="602" customFormat="false" ht="15.75" hidden="false" customHeight="false" outlineLevel="0" collapsed="false">
      <c r="A602" s="290"/>
      <c r="B602" s="290"/>
      <c r="C602" s="290"/>
    </row>
    <row r="603" customFormat="false" ht="15.75" hidden="false" customHeight="false" outlineLevel="0" collapsed="false">
      <c r="A603" s="290"/>
      <c r="B603" s="290"/>
      <c r="C603" s="290"/>
    </row>
    <row r="604" customFormat="false" ht="15.75" hidden="false" customHeight="false" outlineLevel="0" collapsed="false">
      <c r="A604" s="290"/>
      <c r="B604" s="290"/>
      <c r="C604" s="290"/>
    </row>
    <row r="605" customFormat="false" ht="15.75" hidden="false" customHeight="false" outlineLevel="0" collapsed="false">
      <c r="A605" s="290"/>
      <c r="B605" s="290"/>
      <c r="C605" s="290"/>
    </row>
    <row r="606" customFormat="false" ht="15.75" hidden="false" customHeight="false" outlineLevel="0" collapsed="false">
      <c r="A606" s="290"/>
      <c r="B606" s="290"/>
      <c r="C606" s="290"/>
    </row>
    <row r="607" customFormat="false" ht="15.75" hidden="false" customHeight="false" outlineLevel="0" collapsed="false">
      <c r="A607" s="290"/>
      <c r="B607" s="290"/>
      <c r="C607" s="290"/>
    </row>
    <row r="608" customFormat="false" ht="15.75" hidden="false" customHeight="false" outlineLevel="0" collapsed="false">
      <c r="A608" s="290"/>
      <c r="B608" s="290"/>
      <c r="C608" s="290"/>
    </row>
    <row r="609" customFormat="false" ht="15.75" hidden="false" customHeight="false" outlineLevel="0" collapsed="false">
      <c r="A609" s="290"/>
      <c r="B609" s="290"/>
      <c r="C609" s="290"/>
    </row>
    <row r="610" customFormat="false" ht="15.75" hidden="false" customHeight="false" outlineLevel="0" collapsed="false">
      <c r="A610" s="290"/>
      <c r="B610" s="290"/>
      <c r="C610" s="290"/>
    </row>
    <row r="611" customFormat="false" ht="15.75" hidden="false" customHeight="false" outlineLevel="0" collapsed="false">
      <c r="A611" s="290"/>
      <c r="B611" s="290"/>
      <c r="C611" s="290"/>
    </row>
    <row r="612" customFormat="false" ht="15.75" hidden="false" customHeight="false" outlineLevel="0" collapsed="false">
      <c r="A612" s="290"/>
      <c r="B612" s="290"/>
      <c r="C612" s="290"/>
    </row>
    <row r="613" customFormat="false" ht="15.75" hidden="false" customHeight="false" outlineLevel="0" collapsed="false">
      <c r="A613" s="290"/>
      <c r="B613" s="290"/>
      <c r="C613" s="290"/>
    </row>
    <row r="614" customFormat="false" ht="15.75" hidden="false" customHeight="false" outlineLevel="0" collapsed="false">
      <c r="A614" s="290"/>
      <c r="B614" s="290"/>
      <c r="C614" s="290"/>
    </row>
    <row r="615" customFormat="false" ht="15.75" hidden="false" customHeight="false" outlineLevel="0" collapsed="false">
      <c r="A615" s="290"/>
      <c r="B615" s="290"/>
      <c r="C615" s="290"/>
    </row>
    <row r="616" customFormat="false" ht="15.75" hidden="false" customHeight="false" outlineLevel="0" collapsed="false">
      <c r="A616" s="290"/>
      <c r="B616" s="290"/>
      <c r="C616" s="290"/>
    </row>
    <row r="617" customFormat="false" ht="15.75" hidden="false" customHeight="false" outlineLevel="0" collapsed="false">
      <c r="A617" s="290"/>
      <c r="B617" s="290"/>
      <c r="C617" s="290"/>
    </row>
    <row r="618" customFormat="false" ht="15.75" hidden="false" customHeight="false" outlineLevel="0" collapsed="false">
      <c r="A618" s="290"/>
      <c r="B618" s="290"/>
      <c r="C618" s="290"/>
    </row>
    <row r="619" customFormat="false" ht="15.75" hidden="false" customHeight="false" outlineLevel="0" collapsed="false">
      <c r="A619" s="290"/>
      <c r="B619" s="290"/>
      <c r="C619" s="290"/>
    </row>
    <row r="620" customFormat="false" ht="15.75" hidden="false" customHeight="false" outlineLevel="0" collapsed="false">
      <c r="A620" s="290"/>
      <c r="B620" s="290"/>
      <c r="C620" s="290"/>
    </row>
    <row r="621" customFormat="false" ht="15.75" hidden="false" customHeight="false" outlineLevel="0" collapsed="false">
      <c r="A621" s="290"/>
      <c r="B621" s="290"/>
      <c r="C621" s="290"/>
    </row>
    <row r="622" customFormat="false" ht="15.75" hidden="false" customHeight="false" outlineLevel="0" collapsed="false">
      <c r="A622" s="290"/>
      <c r="B622" s="290"/>
      <c r="C622" s="290"/>
    </row>
    <row r="623" customFormat="false" ht="15.75" hidden="false" customHeight="false" outlineLevel="0" collapsed="false">
      <c r="A623" s="290"/>
      <c r="B623" s="290"/>
      <c r="C623" s="290"/>
    </row>
    <row r="624" customFormat="false" ht="15.75" hidden="false" customHeight="false" outlineLevel="0" collapsed="false">
      <c r="A624" s="290"/>
      <c r="B624" s="290"/>
      <c r="C624" s="290"/>
    </row>
    <row r="625" customFormat="false" ht="15.75" hidden="false" customHeight="false" outlineLevel="0" collapsed="false">
      <c r="A625" s="290"/>
      <c r="B625" s="290"/>
      <c r="C625" s="290"/>
    </row>
    <row r="626" customFormat="false" ht="15.75" hidden="false" customHeight="false" outlineLevel="0" collapsed="false">
      <c r="A626" s="290"/>
      <c r="B626" s="290"/>
      <c r="C626" s="290"/>
    </row>
    <row r="627" customFormat="false" ht="15.75" hidden="false" customHeight="false" outlineLevel="0" collapsed="false">
      <c r="A627" s="290"/>
      <c r="B627" s="290"/>
      <c r="C627" s="290"/>
    </row>
    <row r="628" customFormat="false" ht="15.75" hidden="false" customHeight="false" outlineLevel="0" collapsed="false">
      <c r="A628" s="290"/>
      <c r="B628" s="290"/>
      <c r="C628" s="290"/>
    </row>
    <row r="629" customFormat="false" ht="15.75" hidden="false" customHeight="false" outlineLevel="0" collapsed="false">
      <c r="A629" s="290"/>
      <c r="B629" s="290"/>
      <c r="C629" s="290"/>
    </row>
    <row r="630" customFormat="false" ht="15.75" hidden="false" customHeight="false" outlineLevel="0" collapsed="false">
      <c r="A630" s="290"/>
      <c r="B630" s="290"/>
      <c r="C630" s="290"/>
    </row>
    <row r="631" customFormat="false" ht="15.75" hidden="false" customHeight="false" outlineLevel="0" collapsed="false">
      <c r="A631" s="290"/>
      <c r="B631" s="290"/>
      <c r="C631" s="290"/>
    </row>
    <row r="632" customFormat="false" ht="15.75" hidden="false" customHeight="false" outlineLevel="0" collapsed="false">
      <c r="A632" s="290"/>
      <c r="B632" s="290"/>
      <c r="C632" s="290"/>
    </row>
    <row r="633" customFormat="false" ht="15.75" hidden="false" customHeight="false" outlineLevel="0" collapsed="false">
      <c r="A633" s="290"/>
      <c r="B633" s="290"/>
      <c r="C633" s="290"/>
    </row>
    <row r="634" customFormat="false" ht="15.75" hidden="false" customHeight="false" outlineLevel="0" collapsed="false">
      <c r="A634" s="290"/>
      <c r="B634" s="290"/>
      <c r="C634" s="290"/>
    </row>
    <row r="635" customFormat="false" ht="15.75" hidden="false" customHeight="false" outlineLevel="0" collapsed="false">
      <c r="A635" s="290"/>
      <c r="B635" s="290"/>
      <c r="C635" s="290"/>
    </row>
    <row r="636" customFormat="false" ht="15.75" hidden="false" customHeight="false" outlineLevel="0" collapsed="false">
      <c r="A636" s="290"/>
      <c r="B636" s="290"/>
      <c r="C636" s="290"/>
    </row>
    <row r="637" customFormat="false" ht="15.75" hidden="false" customHeight="false" outlineLevel="0" collapsed="false">
      <c r="A637" s="290"/>
      <c r="B637" s="290"/>
      <c r="C637" s="290"/>
    </row>
    <row r="638" customFormat="false" ht="15.75" hidden="false" customHeight="false" outlineLevel="0" collapsed="false">
      <c r="A638" s="290"/>
      <c r="B638" s="290"/>
      <c r="C638" s="290"/>
    </row>
    <row r="639" customFormat="false" ht="15.75" hidden="false" customHeight="false" outlineLevel="0" collapsed="false">
      <c r="A639" s="290"/>
      <c r="B639" s="290"/>
      <c r="C639" s="290"/>
    </row>
    <row r="640" customFormat="false" ht="15.75" hidden="false" customHeight="false" outlineLevel="0" collapsed="false">
      <c r="A640" s="290"/>
      <c r="B640" s="290"/>
      <c r="C640" s="290"/>
    </row>
    <row r="641" customFormat="false" ht="15.75" hidden="false" customHeight="false" outlineLevel="0" collapsed="false">
      <c r="A641" s="290"/>
      <c r="B641" s="290"/>
      <c r="C641" s="290"/>
    </row>
    <row r="642" customFormat="false" ht="15.75" hidden="false" customHeight="false" outlineLevel="0" collapsed="false">
      <c r="A642" s="290"/>
      <c r="B642" s="290"/>
      <c r="C642" s="290"/>
    </row>
    <row r="643" customFormat="false" ht="15.75" hidden="false" customHeight="false" outlineLevel="0" collapsed="false">
      <c r="A643" s="290"/>
      <c r="B643" s="290"/>
      <c r="C643" s="290"/>
    </row>
    <row r="644" customFormat="false" ht="15.75" hidden="false" customHeight="false" outlineLevel="0" collapsed="false">
      <c r="A644" s="290"/>
      <c r="B644" s="290"/>
      <c r="C644" s="290"/>
    </row>
    <row r="645" customFormat="false" ht="15.75" hidden="false" customHeight="false" outlineLevel="0" collapsed="false">
      <c r="A645" s="290"/>
      <c r="B645" s="290"/>
      <c r="C645" s="290"/>
    </row>
    <row r="646" customFormat="false" ht="15.75" hidden="false" customHeight="false" outlineLevel="0" collapsed="false">
      <c r="A646" s="290"/>
      <c r="B646" s="290"/>
      <c r="C646" s="290"/>
    </row>
    <row r="647" customFormat="false" ht="15.75" hidden="false" customHeight="false" outlineLevel="0" collapsed="false">
      <c r="A647" s="290"/>
      <c r="B647" s="290"/>
      <c r="C647" s="290"/>
    </row>
    <row r="648" customFormat="false" ht="15.75" hidden="false" customHeight="false" outlineLevel="0" collapsed="false">
      <c r="A648" s="290"/>
      <c r="B648" s="290"/>
      <c r="C648" s="290"/>
    </row>
    <row r="649" customFormat="false" ht="15.75" hidden="false" customHeight="false" outlineLevel="0" collapsed="false">
      <c r="A649" s="290"/>
      <c r="B649" s="290"/>
      <c r="C649" s="290"/>
    </row>
    <row r="650" customFormat="false" ht="15.75" hidden="false" customHeight="false" outlineLevel="0" collapsed="false">
      <c r="A650" s="290"/>
      <c r="B650" s="290"/>
      <c r="C650" s="290"/>
    </row>
    <row r="651" customFormat="false" ht="15.75" hidden="false" customHeight="false" outlineLevel="0" collapsed="false">
      <c r="A651" s="290"/>
      <c r="B651" s="290"/>
      <c r="C651" s="290"/>
    </row>
    <row r="652" customFormat="false" ht="15.75" hidden="false" customHeight="false" outlineLevel="0" collapsed="false">
      <c r="A652" s="290"/>
      <c r="B652" s="290"/>
      <c r="C652" s="290"/>
    </row>
    <row r="653" customFormat="false" ht="15.75" hidden="false" customHeight="false" outlineLevel="0" collapsed="false">
      <c r="A653" s="290"/>
      <c r="B653" s="290"/>
      <c r="C653" s="290"/>
    </row>
    <row r="654" customFormat="false" ht="15.75" hidden="false" customHeight="false" outlineLevel="0" collapsed="false">
      <c r="A654" s="290"/>
      <c r="B654" s="290"/>
      <c r="C654" s="290"/>
    </row>
    <row r="655" customFormat="false" ht="15.75" hidden="false" customHeight="false" outlineLevel="0" collapsed="false">
      <c r="A655" s="290"/>
      <c r="B655" s="290"/>
      <c r="C655" s="290"/>
    </row>
    <row r="656" customFormat="false" ht="15.75" hidden="false" customHeight="false" outlineLevel="0" collapsed="false">
      <c r="A656" s="290"/>
      <c r="B656" s="290"/>
      <c r="C656" s="290"/>
    </row>
    <row r="657" customFormat="false" ht="15.75" hidden="false" customHeight="false" outlineLevel="0" collapsed="false">
      <c r="A657" s="290"/>
      <c r="B657" s="290"/>
      <c r="C657" s="290"/>
    </row>
    <row r="658" customFormat="false" ht="15.75" hidden="false" customHeight="false" outlineLevel="0" collapsed="false">
      <c r="A658" s="290"/>
      <c r="B658" s="290"/>
      <c r="C658" s="290"/>
    </row>
    <row r="659" customFormat="false" ht="15.75" hidden="false" customHeight="false" outlineLevel="0" collapsed="false">
      <c r="A659" s="290"/>
      <c r="B659" s="290"/>
      <c r="C659" s="290"/>
    </row>
    <row r="660" customFormat="false" ht="15.75" hidden="false" customHeight="false" outlineLevel="0" collapsed="false">
      <c r="A660" s="290"/>
      <c r="B660" s="290"/>
      <c r="C660" s="290"/>
    </row>
    <row r="661" customFormat="false" ht="15.75" hidden="false" customHeight="false" outlineLevel="0" collapsed="false">
      <c r="A661" s="290"/>
      <c r="B661" s="290"/>
      <c r="C661" s="290"/>
    </row>
    <row r="662" customFormat="false" ht="15.75" hidden="false" customHeight="false" outlineLevel="0" collapsed="false">
      <c r="A662" s="290"/>
      <c r="B662" s="290"/>
      <c r="C662" s="290"/>
    </row>
    <row r="663" customFormat="false" ht="15.75" hidden="false" customHeight="false" outlineLevel="0" collapsed="false">
      <c r="A663" s="290"/>
      <c r="B663" s="290"/>
      <c r="C663" s="290"/>
    </row>
    <row r="664" customFormat="false" ht="15.75" hidden="false" customHeight="false" outlineLevel="0" collapsed="false">
      <c r="A664" s="290"/>
      <c r="B664" s="290"/>
      <c r="C664" s="290"/>
    </row>
    <row r="665" customFormat="false" ht="15.75" hidden="false" customHeight="false" outlineLevel="0" collapsed="false">
      <c r="A665" s="290"/>
      <c r="B665" s="290"/>
      <c r="C665" s="290"/>
    </row>
    <row r="666" customFormat="false" ht="15.75" hidden="false" customHeight="false" outlineLevel="0" collapsed="false">
      <c r="A666" s="290"/>
      <c r="B666" s="290"/>
      <c r="C666" s="290"/>
    </row>
    <row r="667" customFormat="false" ht="15.75" hidden="false" customHeight="false" outlineLevel="0" collapsed="false">
      <c r="A667" s="290"/>
      <c r="B667" s="290"/>
      <c r="C667" s="290"/>
    </row>
    <row r="668" customFormat="false" ht="15.75" hidden="false" customHeight="false" outlineLevel="0" collapsed="false">
      <c r="A668" s="290"/>
      <c r="B668" s="290"/>
      <c r="C668" s="290"/>
    </row>
    <row r="669" customFormat="false" ht="15.75" hidden="false" customHeight="false" outlineLevel="0" collapsed="false">
      <c r="A669" s="290"/>
      <c r="B669" s="290"/>
      <c r="C669" s="290"/>
    </row>
    <row r="670" customFormat="false" ht="15.75" hidden="false" customHeight="false" outlineLevel="0" collapsed="false">
      <c r="A670" s="290"/>
      <c r="B670" s="290"/>
      <c r="C670" s="290"/>
    </row>
    <row r="671" customFormat="false" ht="15.75" hidden="false" customHeight="false" outlineLevel="0" collapsed="false">
      <c r="A671" s="290"/>
      <c r="B671" s="290"/>
      <c r="C671" s="290"/>
    </row>
    <row r="672" customFormat="false" ht="15.75" hidden="false" customHeight="false" outlineLevel="0" collapsed="false">
      <c r="A672" s="290"/>
      <c r="B672" s="290"/>
      <c r="C672" s="290"/>
    </row>
    <row r="673" customFormat="false" ht="15.75" hidden="false" customHeight="false" outlineLevel="0" collapsed="false">
      <c r="A673" s="290"/>
      <c r="B673" s="290"/>
      <c r="C673" s="290"/>
    </row>
    <row r="674" customFormat="false" ht="15.75" hidden="false" customHeight="false" outlineLevel="0" collapsed="false">
      <c r="A674" s="290"/>
      <c r="B674" s="290"/>
      <c r="C674" s="290"/>
    </row>
    <row r="675" customFormat="false" ht="15.75" hidden="false" customHeight="false" outlineLevel="0" collapsed="false">
      <c r="A675" s="290"/>
      <c r="B675" s="290"/>
      <c r="C675" s="290"/>
    </row>
    <row r="676" customFormat="false" ht="15.75" hidden="false" customHeight="false" outlineLevel="0" collapsed="false">
      <c r="A676" s="290"/>
      <c r="B676" s="290"/>
      <c r="C676" s="290"/>
    </row>
    <row r="677" customFormat="false" ht="15.75" hidden="false" customHeight="false" outlineLevel="0" collapsed="false">
      <c r="A677" s="290"/>
      <c r="B677" s="290"/>
      <c r="C677" s="290"/>
    </row>
    <row r="678" customFormat="false" ht="15.75" hidden="false" customHeight="false" outlineLevel="0" collapsed="false">
      <c r="A678" s="290"/>
      <c r="B678" s="290"/>
      <c r="C678" s="290"/>
    </row>
    <row r="679" customFormat="false" ht="15.75" hidden="false" customHeight="false" outlineLevel="0" collapsed="false">
      <c r="A679" s="290"/>
      <c r="B679" s="290"/>
      <c r="C679" s="290"/>
    </row>
    <row r="680" customFormat="false" ht="15.75" hidden="false" customHeight="false" outlineLevel="0" collapsed="false">
      <c r="A680" s="290"/>
      <c r="B680" s="290"/>
      <c r="C680" s="290"/>
    </row>
    <row r="681" customFormat="false" ht="15.75" hidden="false" customHeight="false" outlineLevel="0" collapsed="false">
      <c r="A681" s="290"/>
      <c r="B681" s="290"/>
      <c r="C681" s="290"/>
    </row>
    <row r="682" customFormat="false" ht="15.75" hidden="false" customHeight="false" outlineLevel="0" collapsed="false">
      <c r="A682" s="290"/>
      <c r="B682" s="290"/>
      <c r="C682" s="290"/>
    </row>
    <row r="683" customFormat="false" ht="15.75" hidden="false" customHeight="false" outlineLevel="0" collapsed="false">
      <c r="A683" s="290"/>
      <c r="B683" s="290"/>
      <c r="C683" s="290"/>
    </row>
    <row r="684" customFormat="false" ht="15.75" hidden="false" customHeight="false" outlineLevel="0" collapsed="false">
      <c r="A684" s="290"/>
      <c r="B684" s="290"/>
      <c r="C684" s="290"/>
    </row>
    <row r="685" customFormat="false" ht="15.75" hidden="false" customHeight="false" outlineLevel="0" collapsed="false">
      <c r="A685" s="290"/>
      <c r="B685" s="290"/>
      <c r="C685" s="290"/>
    </row>
    <row r="686" customFormat="false" ht="15.75" hidden="false" customHeight="false" outlineLevel="0" collapsed="false">
      <c r="A686" s="290"/>
      <c r="B686" s="290"/>
      <c r="C686" s="290"/>
    </row>
    <row r="687" customFormat="false" ht="15.75" hidden="false" customHeight="false" outlineLevel="0" collapsed="false">
      <c r="A687" s="290"/>
      <c r="B687" s="290"/>
      <c r="C687" s="290"/>
    </row>
    <row r="688" customFormat="false" ht="15.75" hidden="false" customHeight="false" outlineLevel="0" collapsed="false">
      <c r="A688" s="290"/>
      <c r="B688" s="290"/>
      <c r="C688" s="290"/>
    </row>
    <row r="689" customFormat="false" ht="15.75" hidden="false" customHeight="false" outlineLevel="0" collapsed="false">
      <c r="A689" s="290"/>
      <c r="B689" s="290"/>
      <c r="C689" s="290"/>
    </row>
    <row r="690" customFormat="false" ht="15.75" hidden="false" customHeight="false" outlineLevel="0" collapsed="false">
      <c r="A690" s="290"/>
      <c r="B690" s="290"/>
      <c r="C690" s="290"/>
    </row>
    <row r="691" customFormat="false" ht="15.75" hidden="false" customHeight="false" outlineLevel="0" collapsed="false">
      <c r="A691" s="290"/>
      <c r="B691" s="290"/>
      <c r="C691" s="290"/>
    </row>
    <row r="692" customFormat="false" ht="15.75" hidden="false" customHeight="false" outlineLevel="0" collapsed="false">
      <c r="A692" s="290"/>
      <c r="B692" s="290"/>
      <c r="C692" s="290"/>
    </row>
    <row r="693" customFormat="false" ht="15.75" hidden="false" customHeight="false" outlineLevel="0" collapsed="false">
      <c r="A693" s="290"/>
      <c r="B693" s="290"/>
      <c r="C693" s="290"/>
    </row>
    <row r="694" customFormat="false" ht="15.75" hidden="false" customHeight="false" outlineLevel="0" collapsed="false">
      <c r="A694" s="290"/>
      <c r="B694" s="290"/>
      <c r="C694" s="290"/>
    </row>
    <row r="695" customFormat="false" ht="15.75" hidden="false" customHeight="false" outlineLevel="0" collapsed="false">
      <c r="A695" s="290"/>
      <c r="B695" s="290"/>
      <c r="C695" s="290"/>
    </row>
    <row r="696" customFormat="false" ht="15.75" hidden="false" customHeight="false" outlineLevel="0" collapsed="false">
      <c r="A696" s="290"/>
      <c r="B696" s="290"/>
      <c r="C696" s="290"/>
    </row>
    <row r="697" customFormat="false" ht="15.75" hidden="false" customHeight="false" outlineLevel="0" collapsed="false">
      <c r="A697" s="290"/>
      <c r="B697" s="290"/>
      <c r="C697" s="290"/>
    </row>
    <row r="698" customFormat="false" ht="15.75" hidden="false" customHeight="false" outlineLevel="0" collapsed="false">
      <c r="A698" s="290"/>
      <c r="B698" s="290"/>
      <c r="C698" s="290"/>
    </row>
    <row r="699" customFormat="false" ht="15.75" hidden="false" customHeight="false" outlineLevel="0" collapsed="false">
      <c r="A699" s="290"/>
      <c r="B699" s="290"/>
      <c r="C699" s="290"/>
    </row>
    <row r="700" customFormat="false" ht="15.75" hidden="false" customHeight="false" outlineLevel="0" collapsed="false">
      <c r="A700" s="290"/>
      <c r="B700" s="290"/>
      <c r="C700" s="290"/>
    </row>
    <row r="701" customFormat="false" ht="15.75" hidden="false" customHeight="false" outlineLevel="0" collapsed="false">
      <c r="A701" s="290"/>
      <c r="B701" s="290"/>
      <c r="C701" s="290"/>
    </row>
    <row r="702" customFormat="false" ht="15.75" hidden="false" customHeight="false" outlineLevel="0" collapsed="false">
      <c r="A702" s="290"/>
      <c r="B702" s="290"/>
      <c r="C702" s="290"/>
    </row>
    <row r="703" customFormat="false" ht="15.75" hidden="false" customHeight="false" outlineLevel="0" collapsed="false">
      <c r="A703" s="290"/>
      <c r="B703" s="290"/>
      <c r="C703" s="290"/>
    </row>
    <row r="704" customFormat="false" ht="15.75" hidden="false" customHeight="false" outlineLevel="0" collapsed="false">
      <c r="A704" s="290"/>
      <c r="B704" s="290"/>
      <c r="C704" s="290"/>
    </row>
    <row r="705" customFormat="false" ht="15.75" hidden="false" customHeight="false" outlineLevel="0" collapsed="false">
      <c r="A705" s="290"/>
      <c r="B705" s="290"/>
      <c r="C705" s="290"/>
    </row>
    <row r="706" customFormat="false" ht="15.75" hidden="false" customHeight="false" outlineLevel="0" collapsed="false">
      <c r="A706" s="290"/>
      <c r="B706" s="290"/>
      <c r="C706" s="290"/>
    </row>
    <row r="707" customFormat="false" ht="15.75" hidden="false" customHeight="false" outlineLevel="0" collapsed="false">
      <c r="A707" s="290"/>
      <c r="B707" s="290"/>
      <c r="C707" s="290"/>
    </row>
    <row r="708" customFormat="false" ht="15.75" hidden="false" customHeight="false" outlineLevel="0" collapsed="false">
      <c r="A708" s="290"/>
      <c r="B708" s="290"/>
      <c r="C708" s="290"/>
    </row>
    <row r="709" customFormat="false" ht="15.75" hidden="false" customHeight="false" outlineLevel="0" collapsed="false">
      <c r="A709" s="290"/>
      <c r="B709" s="290"/>
      <c r="C709" s="290"/>
    </row>
    <row r="710" customFormat="false" ht="15.75" hidden="false" customHeight="false" outlineLevel="0" collapsed="false">
      <c r="A710" s="290"/>
      <c r="B710" s="290"/>
      <c r="C710" s="290"/>
    </row>
    <row r="711" customFormat="false" ht="15.75" hidden="false" customHeight="false" outlineLevel="0" collapsed="false">
      <c r="A711" s="290"/>
      <c r="B711" s="290"/>
      <c r="C711" s="290"/>
    </row>
    <row r="712" customFormat="false" ht="15.75" hidden="false" customHeight="false" outlineLevel="0" collapsed="false">
      <c r="A712" s="290"/>
      <c r="B712" s="290"/>
      <c r="C712" s="290"/>
    </row>
    <row r="713" customFormat="false" ht="15.75" hidden="false" customHeight="false" outlineLevel="0" collapsed="false">
      <c r="A713" s="290"/>
      <c r="B713" s="290"/>
      <c r="C713" s="290"/>
    </row>
    <row r="714" customFormat="false" ht="15.75" hidden="false" customHeight="false" outlineLevel="0" collapsed="false">
      <c r="A714" s="290"/>
      <c r="B714" s="290"/>
      <c r="C714" s="290"/>
    </row>
    <row r="715" customFormat="false" ht="15.75" hidden="false" customHeight="false" outlineLevel="0" collapsed="false">
      <c r="A715" s="290"/>
      <c r="B715" s="290"/>
      <c r="C715" s="290"/>
    </row>
    <row r="716" customFormat="false" ht="15.75" hidden="false" customHeight="false" outlineLevel="0" collapsed="false">
      <c r="A716" s="290"/>
      <c r="B716" s="290"/>
      <c r="C716" s="290"/>
    </row>
    <row r="717" customFormat="false" ht="15.75" hidden="false" customHeight="false" outlineLevel="0" collapsed="false">
      <c r="A717" s="290"/>
      <c r="B717" s="290"/>
      <c r="C717" s="290"/>
    </row>
    <row r="718" customFormat="false" ht="15.75" hidden="false" customHeight="false" outlineLevel="0" collapsed="false">
      <c r="A718" s="290"/>
      <c r="B718" s="290"/>
      <c r="C718" s="290"/>
    </row>
    <row r="719" customFormat="false" ht="15.75" hidden="false" customHeight="false" outlineLevel="0" collapsed="false">
      <c r="A719" s="290"/>
      <c r="B719" s="290"/>
      <c r="C719" s="290"/>
    </row>
    <row r="720" customFormat="false" ht="15.75" hidden="false" customHeight="false" outlineLevel="0" collapsed="false">
      <c r="A720" s="290"/>
      <c r="B720" s="290"/>
      <c r="C720" s="290"/>
    </row>
    <row r="721" customFormat="false" ht="15.75" hidden="false" customHeight="false" outlineLevel="0" collapsed="false">
      <c r="A721" s="290"/>
      <c r="B721" s="290"/>
      <c r="C721" s="290"/>
    </row>
    <row r="722" customFormat="false" ht="15.75" hidden="false" customHeight="false" outlineLevel="0" collapsed="false">
      <c r="A722" s="290"/>
      <c r="B722" s="290"/>
      <c r="C722" s="290"/>
    </row>
    <row r="723" customFormat="false" ht="15.75" hidden="false" customHeight="false" outlineLevel="0" collapsed="false">
      <c r="A723" s="290"/>
      <c r="B723" s="290"/>
      <c r="C723" s="290"/>
    </row>
    <row r="724" customFormat="false" ht="15.75" hidden="false" customHeight="false" outlineLevel="0" collapsed="false">
      <c r="A724" s="290"/>
      <c r="B724" s="290"/>
      <c r="C724" s="290"/>
    </row>
    <row r="725" customFormat="false" ht="15.75" hidden="false" customHeight="false" outlineLevel="0" collapsed="false">
      <c r="A725" s="290"/>
      <c r="B725" s="290"/>
      <c r="C725" s="290"/>
    </row>
    <row r="726" customFormat="false" ht="15.75" hidden="false" customHeight="false" outlineLevel="0" collapsed="false">
      <c r="A726" s="290"/>
      <c r="B726" s="290"/>
      <c r="C726" s="290"/>
    </row>
    <row r="727" customFormat="false" ht="15.75" hidden="false" customHeight="false" outlineLevel="0" collapsed="false">
      <c r="A727" s="290"/>
      <c r="B727" s="290"/>
      <c r="C727" s="290"/>
    </row>
    <row r="728" customFormat="false" ht="15.75" hidden="false" customHeight="false" outlineLevel="0" collapsed="false">
      <c r="A728" s="290"/>
      <c r="B728" s="290"/>
      <c r="C728" s="290"/>
    </row>
    <row r="729" customFormat="false" ht="15.75" hidden="false" customHeight="false" outlineLevel="0" collapsed="false">
      <c r="A729" s="290"/>
      <c r="B729" s="290"/>
      <c r="C729" s="290"/>
    </row>
    <row r="730" customFormat="false" ht="15.75" hidden="false" customHeight="false" outlineLevel="0" collapsed="false">
      <c r="A730" s="290"/>
      <c r="B730" s="290"/>
      <c r="C730" s="290"/>
    </row>
    <row r="731" customFormat="false" ht="15.75" hidden="false" customHeight="false" outlineLevel="0" collapsed="false">
      <c r="A731" s="290"/>
      <c r="B731" s="290"/>
      <c r="C731" s="290"/>
    </row>
    <row r="732" customFormat="false" ht="15.75" hidden="false" customHeight="false" outlineLevel="0" collapsed="false">
      <c r="A732" s="290"/>
      <c r="B732" s="290"/>
      <c r="C732" s="290"/>
    </row>
    <row r="733" customFormat="false" ht="15.75" hidden="false" customHeight="false" outlineLevel="0" collapsed="false">
      <c r="A733" s="290"/>
      <c r="B733" s="290"/>
      <c r="C733" s="290"/>
    </row>
    <row r="734" customFormat="false" ht="15.75" hidden="false" customHeight="false" outlineLevel="0" collapsed="false">
      <c r="A734" s="290"/>
      <c r="B734" s="290"/>
      <c r="C734" s="290"/>
    </row>
    <row r="735" customFormat="false" ht="15.75" hidden="false" customHeight="false" outlineLevel="0" collapsed="false">
      <c r="A735" s="290"/>
      <c r="B735" s="290"/>
      <c r="C735" s="290"/>
    </row>
    <row r="736" customFormat="false" ht="15.75" hidden="false" customHeight="false" outlineLevel="0" collapsed="false">
      <c r="A736" s="290"/>
      <c r="B736" s="290"/>
      <c r="C736" s="290"/>
    </row>
    <row r="737" customFormat="false" ht="15.75" hidden="false" customHeight="false" outlineLevel="0" collapsed="false">
      <c r="A737" s="290"/>
      <c r="B737" s="290"/>
      <c r="C737" s="290"/>
    </row>
    <row r="738" customFormat="false" ht="15.75" hidden="false" customHeight="false" outlineLevel="0" collapsed="false">
      <c r="A738" s="290"/>
      <c r="B738" s="290"/>
      <c r="C738" s="290"/>
    </row>
    <row r="739" customFormat="false" ht="15.75" hidden="false" customHeight="false" outlineLevel="0" collapsed="false">
      <c r="A739" s="290"/>
      <c r="B739" s="290"/>
      <c r="C739" s="290"/>
    </row>
    <row r="740" customFormat="false" ht="15.75" hidden="false" customHeight="false" outlineLevel="0" collapsed="false">
      <c r="A740" s="290"/>
      <c r="B740" s="290"/>
      <c r="C740" s="290"/>
    </row>
    <row r="741" customFormat="false" ht="15.75" hidden="false" customHeight="false" outlineLevel="0" collapsed="false">
      <c r="A741" s="290"/>
      <c r="B741" s="290"/>
      <c r="C741" s="290"/>
    </row>
    <row r="742" customFormat="false" ht="15.75" hidden="false" customHeight="false" outlineLevel="0" collapsed="false">
      <c r="A742" s="290"/>
      <c r="B742" s="290"/>
      <c r="C742" s="290"/>
    </row>
    <row r="743" customFormat="false" ht="15.75" hidden="false" customHeight="false" outlineLevel="0" collapsed="false">
      <c r="A743" s="290"/>
      <c r="B743" s="290"/>
      <c r="C743" s="290"/>
    </row>
    <row r="744" customFormat="false" ht="15.75" hidden="false" customHeight="false" outlineLevel="0" collapsed="false">
      <c r="A744" s="290"/>
      <c r="B744" s="290"/>
      <c r="C744" s="290"/>
    </row>
    <row r="745" customFormat="false" ht="15.75" hidden="false" customHeight="false" outlineLevel="0" collapsed="false">
      <c r="A745" s="290"/>
      <c r="B745" s="290"/>
      <c r="C745" s="290"/>
    </row>
    <row r="746" customFormat="false" ht="15.75" hidden="false" customHeight="false" outlineLevel="0" collapsed="false">
      <c r="A746" s="290"/>
      <c r="B746" s="290"/>
      <c r="C746" s="290"/>
    </row>
    <row r="747" customFormat="false" ht="15.75" hidden="false" customHeight="false" outlineLevel="0" collapsed="false">
      <c r="A747" s="290"/>
      <c r="B747" s="290"/>
      <c r="C747" s="290"/>
    </row>
    <row r="748" customFormat="false" ht="15.75" hidden="false" customHeight="false" outlineLevel="0" collapsed="false">
      <c r="A748" s="290"/>
      <c r="B748" s="290"/>
      <c r="C748" s="290"/>
    </row>
    <row r="749" customFormat="false" ht="15.75" hidden="false" customHeight="false" outlineLevel="0" collapsed="false">
      <c r="A749" s="290"/>
      <c r="B749" s="290"/>
      <c r="C749" s="290"/>
    </row>
    <row r="750" customFormat="false" ht="15.75" hidden="false" customHeight="false" outlineLevel="0" collapsed="false">
      <c r="A750" s="290"/>
      <c r="B750" s="290"/>
      <c r="C750" s="290"/>
    </row>
    <row r="751" customFormat="false" ht="15.75" hidden="false" customHeight="false" outlineLevel="0" collapsed="false">
      <c r="A751" s="290"/>
      <c r="B751" s="290"/>
      <c r="C751" s="290"/>
    </row>
    <row r="752" customFormat="false" ht="15.75" hidden="false" customHeight="false" outlineLevel="0" collapsed="false">
      <c r="A752" s="290"/>
      <c r="B752" s="290"/>
      <c r="C752" s="290"/>
    </row>
    <row r="753" customFormat="false" ht="15.75" hidden="false" customHeight="false" outlineLevel="0" collapsed="false">
      <c r="A753" s="290"/>
      <c r="B753" s="290"/>
      <c r="C753" s="290"/>
    </row>
    <row r="754" customFormat="false" ht="15.75" hidden="false" customHeight="false" outlineLevel="0" collapsed="false">
      <c r="A754" s="290"/>
      <c r="B754" s="290"/>
      <c r="C754" s="290"/>
    </row>
    <row r="755" customFormat="false" ht="15.75" hidden="false" customHeight="false" outlineLevel="0" collapsed="false">
      <c r="A755" s="290"/>
      <c r="B755" s="290"/>
      <c r="C755" s="290"/>
    </row>
    <row r="756" customFormat="false" ht="15.75" hidden="false" customHeight="false" outlineLevel="0" collapsed="false">
      <c r="A756" s="290"/>
      <c r="B756" s="290"/>
      <c r="C756" s="290"/>
    </row>
    <row r="757" customFormat="false" ht="15.75" hidden="false" customHeight="false" outlineLevel="0" collapsed="false">
      <c r="A757" s="290"/>
      <c r="B757" s="290"/>
      <c r="C757" s="290"/>
    </row>
    <row r="758" customFormat="false" ht="15.75" hidden="false" customHeight="false" outlineLevel="0" collapsed="false">
      <c r="A758" s="290"/>
      <c r="B758" s="290"/>
      <c r="C758" s="290"/>
    </row>
    <row r="759" customFormat="false" ht="15.75" hidden="false" customHeight="false" outlineLevel="0" collapsed="false">
      <c r="A759" s="290"/>
      <c r="B759" s="290"/>
      <c r="C759" s="290"/>
    </row>
    <row r="760" customFormat="false" ht="15.75" hidden="false" customHeight="false" outlineLevel="0" collapsed="false">
      <c r="A760" s="290"/>
      <c r="B760" s="290"/>
      <c r="C760" s="290"/>
    </row>
    <row r="761" customFormat="false" ht="15.75" hidden="false" customHeight="false" outlineLevel="0" collapsed="false">
      <c r="A761" s="290"/>
      <c r="B761" s="290"/>
      <c r="C761" s="290"/>
    </row>
    <row r="762" customFormat="false" ht="15.75" hidden="false" customHeight="false" outlineLevel="0" collapsed="false">
      <c r="A762" s="290"/>
      <c r="B762" s="290"/>
      <c r="C762" s="290"/>
    </row>
    <row r="763" customFormat="false" ht="15.75" hidden="false" customHeight="false" outlineLevel="0" collapsed="false">
      <c r="A763" s="290"/>
      <c r="B763" s="290"/>
      <c r="C763" s="290"/>
    </row>
    <row r="764" customFormat="false" ht="15.75" hidden="false" customHeight="false" outlineLevel="0" collapsed="false">
      <c r="A764" s="290"/>
      <c r="B764" s="290"/>
      <c r="C764" s="290"/>
    </row>
    <row r="765" customFormat="false" ht="15.75" hidden="false" customHeight="false" outlineLevel="0" collapsed="false">
      <c r="A765" s="290"/>
      <c r="B765" s="290"/>
      <c r="C765" s="290"/>
    </row>
    <row r="766" customFormat="false" ht="15.75" hidden="false" customHeight="false" outlineLevel="0" collapsed="false">
      <c r="A766" s="290"/>
      <c r="B766" s="290"/>
      <c r="C766" s="290"/>
    </row>
    <row r="767" customFormat="false" ht="15.75" hidden="false" customHeight="false" outlineLevel="0" collapsed="false">
      <c r="A767" s="290"/>
      <c r="B767" s="290"/>
      <c r="C767" s="290"/>
    </row>
    <row r="768" customFormat="false" ht="15.75" hidden="false" customHeight="false" outlineLevel="0" collapsed="false">
      <c r="A768" s="290"/>
      <c r="B768" s="290"/>
      <c r="C768" s="290"/>
    </row>
    <row r="769" customFormat="false" ht="15.75" hidden="false" customHeight="false" outlineLevel="0" collapsed="false">
      <c r="A769" s="290"/>
      <c r="B769" s="290"/>
      <c r="C769" s="290"/>
    </row>
    <row r="770" customFormat="false" ht="15.75" hidden="false" customHeight="false" outlineLevel="0" collapsed="false">
      <c r="A770" s="290"/>
      <c r="B770" s="290"/>
      <c r="C770" s="290"/>
    </row>
    <row r="771" customFormat="false" ht="15.75" hidden="false" customHeight="false" outlineLevel="0" collapsed="false">
      <c r="A771" s="290"/>
      <c r="B771" s="290"/>
      <c r="C771" s="290"/>
    </row>
    <row r="772" customFormat="false" ht="15.75" hidden="false" customHeight="false" outlineLevel="0" collapsed="false">
      <c r="A772" s="290"/>
      <c r="B772" s="290"/>
      <c r="C772" s="290"/>
    </row>
    <row r="773" customFormat="false" ht="15.75" hidden="false" customHeight="false" outlineLevel="0" collapsed="false">
      <c r="A773" s="290"/>
      <c r="B773" s="290"/>
      <c r="C773" s="290"/>
    </row>
    <row r="774" customFormat="false" ht="15.75" hidden="false" customHeight="false" outlineLevel="0" collapsed="false">
      <c r="A774" s="290"/>
      <c r="B774" s="290"/>
      <c r="C774" s="290"/>
    </row>
    <row r="775" customFormat="false" ht="15.75" hidden="false" customHeight="false" outlineLevel="0" collapsed="false">
      <c r="A775" s="290"/>
      <c r="B775" s="290"/>
      <c r="C775" s="290"/>
    </row>
    <row r="776" customFormat="false" ht="15.75" hidden="false" customHeight="false" outlineLevel="0" collapsed="false">
      <c r="A776" s="290"/>
      <c r="B776" s="290"/>
      <c r="C776" s="290"/>
    </row>
    <row r="777" customFormat="false" ht="15.75" hidden="false" customHeight="false" outlineLevel="0" collapsed="false">
      <c r="A777" s="290"/>
      <c r="B777" s="290"/>
      <c r="C777" s="290"/>
    </row>
    <row r="778" customFormat="false" ht="15.75" hidden="false" customHeight="false" outlineLevel="0" collapsed="false">
      <c r="A778" s="290"/>
      <c r="B778" s="290"/>
      <c r="C778" s="290"/>
    </row>
    <row r="779" customFormat="false" ht="15.75" hidden="false" customHeight="false" outlineLevel="0" collapsed="false">
      <c r="A779" s="290"/>
      <c r="B779" s="290"/>
      <c r="C779" s="290"/>
    </row>
    <row r="780" customFormat="false" ht="15.75" hidden="false" customHeight="false" outlineLevel="0" collapsed="false">
      <c r="A780" s="290"/>
      <c r="B780" s="290"/>
      <c r="C780" s="290"/>
    </row>
    <row r="781" customFormat="false" ht="15.75" hidden="false" customHeight="false" outlineLevel="0" collapsed="false">
      <c r="A781" s="290"/>
      <c r="B781" s="290"/>
      <c r="C781" s="290"/>
    </row>
    <row r="782" customFormat="false" ht="15.75" hidden="false" customHeight="false" outlineLevel="0" collapsed="false">
      <c r="A782" s="290"/>
      <c r="B782" s="290"/>
      <c r="C782" s="290"/>
    </row>
    <row r="783" customFormat="false" ht="15.75" hidden="false" customHeight="false" outlineLevel="0" collapsed="false">
      <c r="A783" s="290"/>
      <c r="B783" s="290"/>
      <c r="C783" s="290"/>
    </row>
    <row r="784" customFormat="false" ht="15.75" hidden="false" customHeight="false" outlineLevel="0" collapsed="false">
      <c r="A784" s="290"/>
      <c r="B784" s="290"/>
      <c r="C784" s="290"/>
    </row>
    <row r="785" customFormat="false" ht="15.75" hidden="false" customHeight="false" outlineLevel="0" collapsed="false">
      <c r="A785" s="290"/>
      <c r="B785" s="290"/>
      <c r="C785" s="290"/>
    </row>
    <row r="786" customFormat="false" ht="15.75" hidden="false" customHeight="false" outlineLevel="0" collapsed="false">
      <c r="A786" s="290"/>
      <c r="B786" s="290"/>
      <c r="C786" s="290"/>
    </row>
    <row r="787" customFormat="false" ht="15.75" hidden="false" customHeight="false" outlineLevel="0" collapsed="false">
      <c r="A787" s="290"/>
      <c r="B787" s="290"/>
      <c r="C787" s="290"/>
    </row>
    <row r="788" customFormat="false" ht="15.75" hidden="false" customHeight="false" outlineLevel="0" collapsed="false">
      <c r="A788" s="290"/>
      <c r="B788" s="290"/>
      <c r="C788" s="290"/>
    </row>
    <row r="789" customFormat="false" ht="15.75" hidden="false" customHeight="false" outlineLevel="0" collapsed="false">
      <c r="A789" s="290"/>
      <c r="B789" s="290"/>
      <c r="C789" s="290"/>
    </row>
    <row r="790" customFormat="false" ht="15.75" hidden="false" customHeight="false" outlineLevel="0" collapsed="false">
      <c r="A790" s="290"/>
      <c r="B790" s="290"/>
      <c r="C790" s="290"/>
    </row>
    <row r="791" customFormat="false" ht="15.75" hidden="false" customHeight="false" outlineLevel="0" collapsed="false">
      <c r="A791" s="290"/>
      <c r="B791" s="290"/>
      <c r="C791" s="290"/>
    </row>
    <row r="792" customFormat="false" ht="15.75" hidden="false" customHeight="false" outlineLevel="0" collapsed="false">
      <c r="A792" s="290"/>
      <c r="B792" s="290"/>
      <c r="C792" s="290"/>
    </row>
    <row r="793" customFormat="false" ht="15.75" hidden="false" customHeight="false" outlineLevel="0" collapsed="false">
      <c r="A793" s="290"/>
      <c r="B793" s="290"/>
      <c r="C793" s="290"/>
    </row>
    <row r="794" customFormat="false" ht="15.75" hidden="false" customHeight="false" outlineLevel="0" collapsed="false">
      <c r="A794" s="290"/>
      <c r="B794" s="290"/>
      <c r="C794" s="290"/>
    </row>
    <row r="795" customFormat="false" ht="15.75" hidden="false" customHeight="false" outlineLevel="0" collapsed="false">
      <c r="A795" s="290"/>
      <c r="B795" s="290"/>
      <c r="C795" s="290"/>
    </row>
    <row r="796" customFormat="false" ht="15.75" hidden="false" customHeight="false" outlineLevel="0" collapsed="false">
      <c r="A796" s="290"/>
      <c r="B796" s="290"/>
      <c r="C796" s="290"/>
    </row>
    <row r="797" customFormat="false" ht="15.75" hidden="false" customHeight="false" outlineLevel="0" collapsed="false">
      <c r="A797" s="290"/>
      <c r="B797" s="290"/>
      <c r="C797" s="290"/>
    </row>
    <row r="798" customFormat="false" ht="15.75" hidden="false" customHeight="false" outlineLevel="0" collapsed="false">
      <c r="A798" s="290"/>
      <c r="B798" s="290"/>
      <c r="C798" s="290"/>
    </row>
    <row r="799" customFormat="false" ht="15.75" hidden="false" customHeight="false" outlineLevel="0" collapsed="false">
      <c r="A799" s="290"/>
      <c r="B799" s="290"/>
      <c r="C799" s="290"/>
    </row>
    <row r="800" customFormat="false" ht="15.75" hidden="false" customHeight="false" outlineLevel="0" collapsed="false">
      <c r="A800" s="290"/>
      <c r="B800" s="290"/>
      <c r="C800" s="290"/>
    </row>
    <row r="801" customFormat="false" ht="15.75" hidden="false" customHeight="false" outlineLevel="0" collapsed="false">
      <c r="A801" s="290"/>
      <c r="B801" s="290"/>
      <c r="C801" s="290"/>
    </row>
    <row r="802" customFormat="false" ht="15.75" hidden="false" customHeight="false" outlineLevel="0" collapsed="false">
      <c r="A802" s="290"/>
      <c r="B802" s="290"/>
      <c r="C802" s="290"/>
    </row>
    <row r="803" customFormat="false" ht="15.75" hidden="false" customHeight="false" outlineLevel="0" collapsed="false">
      <c r="A803" s="290"/>
      <c r="B803" s="290"/>
      <c r="C803" s="290"/>
    </row>
    <row r="804" customFormat="false" ht="15.75" hidden="false" customHeight="false" outlineLevel="0" collapsed="false">
      <c r="A804" s="290"/>
      <c r="B804" s="290"/>
      <c r="C804" s="290"/>
    </row>
    <row r="805" customFormat="false" ht="15.75" hidden="false" customHeight="false" outlineLevel="0" collapsed="false">
      <c r="A805" s="290"/>
      <c r="B805" s="290"/>
      <c r="C805" s="290"/>
    </row>
    <row r="806" customFormat="false" ht="15.75" hidden="false" customHeight="false" outlineLevel="0" collapsed="false">
      <c r="A806" s="290"/>
      <c r="B806" s="290"/>
      <c r="C806" s="290"/>
    </row>
    <row r="807" customFormat="false" ht="15.75" hidden="false" customHeight="false" outlineLevel="0" collapsed="false">
      <c r="A807" s="290"/>
      <c r="B807" s="290"/>
      <c r="C807" s="290"/>
    </row>
    <row r="808" customFormat="false" ht="15.75" hidden="false" customHeight="false" outlineLevel="0" collapsed="false">
      <c r="A808" s="290"/>
      <c r="B808" s="290"/>
      <c r="C808" s="290"/>
    </row>
    <row r="809" customFormat="false" ht="15.75" hidden="false" customHeight="false" outlineLevel="0" collapsed="false">
      <c r="A809" s="290"/>
      <c r="B809" s="290"/>
      <c r="C809" s="290"/>
    </row>
    <row r="810" customFormat="false" ht="15.75" hidden="false" customHeight="false" outlineLevel="0" collapsed="false">
      <c r="A810" s="290"/>
      <c r="B810" s="290"/>
      <c r="C810" s="290"/>
    </row>
    <row r="811" customFormat="false" ht="15.75" hidden="false" customHeight="false" outlineLevel="0" collapsed="false">
      <c r="A811" s="290"/>
      <c r="B811" s="290"/>
      <c r="C811" s="290"/>
    </row>
    <row r="812" customFormat="false" ht="15.75" hidden="false" customHeight="false" outlineLevel="0" collapsed="false">
      <c r="A812" s="290"/>
      <c r="B812" s="290"/>
      <c r="C812" s="290"/>
    </row>
    <row r="813" customFormat="false" ht="15.75" hidden="false" customHeight="false" outlineLevel="0" collapsed="false">
      <c r="A813" s="290"/>
      <c r="B813" s="290"/>
      <c r="C813" s="290"/>
    </row>
    <row r="814" customFormat="false" ht="15.75" hidden="false" customHeight="false" outlineLevel="0" collapsed="false">
      <c r="A814" s="290"/>
      <c r="B814" s="290"/>
      <c r="C814" s="290"/>
    </row>
    <row r="815" customFormat="false" ht="15.75" hidden="false" customHeight="false" outlineLevel="0" collapsed="false">
      <c r="A815" s="290"/>
      <c r="B815" s="290"/>
      <c r="C815" s="290"/>
    </row>
    <row r="816" customFormat="false" ht="15.75" hidden="false" customHeight="false" outlineLevel="0" collapsed="false">
      <c r="A816" s="290"/>
      <c r="B816" s="290"/>
      <c r="C816" s="290"/>
    </row>
    <row r="817" customFormat="false" ht="15.75" hidden="false" customHeight="false" outlineLevel="0" collapsed="false">
      <c r="A817" s="290"/>
      <c r="B817" s="290"/>
      <c r="C817" s="290"/>
    </row>
    <row r="818" customFormat="false" ht="15.75" hidden="false" customHeight="false" outlineLevel="0" collapsed="false">
      <c r="A818" s="290"/>
      <c r="B818" s="290"/>
      <c r="C818" s="290"/>
    </row>
    <row r="819" customFormat="false" ht="15.75" hidden="false" customHeight="false" outlineLevel="0" collapsed="false">
      <c r="A819" s="290"/>
      <c r="B819" s="290"/>
      <c r="C819" s="290"/>
    </row>
    <row r="820" customFormat="false" ht="15.75" hidden="false" customHeight="false" outlineLevel="0" collapsed="false">
      <c r="A820" s="290"/>
      <c r="B820" s="290"/>
      <c r="C820" s="290"/>
    </row>
    <row r="821" customFormat="false" ht="15.75" hidden="false" customHeight="false" outlineLevel="0" collapsed="false">
      <c r="A821" s="290"/>
      <c r="B821" s="290"/>
      <c r="C821" s="290"/>
    </row>
    <row r="822" customFormat="false" ht="15.75" hidden="false" customHeight="false" outlineLevel="0" collapsed="false">
      <c r="A822" s="290"/>
      <c r="B822" s="290"/>
      <c r="C822" s="290"/>
    </row>
    <row r="823" customFormat="false" ht="15.75" hidden="false" customHeight="false" outlineLevel="0" collapsed="false">
      <c r="A823" s="290"/>
      <c r="B823" s="290"/>
      <c r="C823" s="290"/>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24"/>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75" zeroHeight="false" outlineLevelRow="0" outlineLevelCol="0"/>
  <cols>
    <col collapsed="false" customWidth="true" hidden="false" outlineLevel="0" max="1" min="1" style="0" width="5.5"/>
    <col collapsed="false" customWidth="true" hidden="false" outlineLevel="0" max="2" min="2" style="0" width="7.75"/>
    <col collapsed="false" customWidth="true" hidden="false" outlineLevel="0" max="3" min="3" style="0" width="123.01"/>
  </cols>
  <sheetData>
    <row r="1" customFormat="false" ht="15.75" hidden="false" customHeight="false" outlineLevel="0" collapsed="false">
      <c r="A1" s="3"/>
      <c r="B1" s="3" t="s">
        <v>618</v>
      </c>
      <c r="C1" s="6"/>
    </row>
    <row r="2" customFormat="false" ht="3" hidden="false" customHeight="true" outlineLevel="0" collapsed="false">
      <c r="B2" s="6"/>
      <c r="C2" s="6"/>
    </row>
    <row r="3" customFormat="false" ht="15.75" hidden="false" customHeight="false" outlineLevel="0" collapsed="false">
      <c r="A3" s="3"/>
      <c r="B3" s="3" t="s">
        <v>619</v>
      </c>
      <c r="C3" s="6"/>
    </row>
    <row r="4" customFormat="false" ht="3.75" hidden="false" customHeight="true" outlineLevel="0" collapsed="false">
      <c r="B4" s="6"/>
      <c r="C4" s="6"/>
    </row>
    <row r="5" customFormat="false" ht="15.75" hidden="false" customHeight="false" outlineLevel="0" collapsed="false">
      <c r="A5" s="3"/>
      <c r="B5" s="3" t="s">
        <v>620</v>
      </c>
      <c r="C5" s="6"/>
    </row>
    <row r="6" customFormat="false" ht="3" hidden="false" customHeight="true" outlineLevel="0" collapsed="false">
      <c r="B6" s="6"/>
      <c r="C6" s="6"/>
    </row>
    <row r="7" customFormat="false" ht="15.75" hidden="false" customHeight="false" outlineLevel="0" collapsed="false">
      <c r="A7" s="3"/>
      <c r="B7" s="3" t="s">
        <v>621</v>
      </c>
      <c r="C7" s="6"/>
    </row>
    <row r="8" customFormat="false" ht="3.75" hidden="false" customHeight="true" outlineLevel="0" collapsed="false">
      <c r="B8" s="6"/>
      <c r="C8" s="6"/>
    </row>
    <row r="9" customFormat="false" ht="15.75" hidden="false" customHeight="false" outlineLevel="0" collapsed="false">
      <c r="B9" s="6"/>
      <c r="C9" s="313" t="s">
        <v>622</v>
      </c>
    </row>
    <row r="10" customFormat="false" ht="7.5" hidden="false" customHeight="true" outlineLevel="0" collapsed="false">
      <c r="B10" s="6"/>
      <c r="C10" s="6"/>
    </row>
    <row r="11" customFormat="false" ht="15.75" hidden="false" customHeight="true" outlineLevel="0" collapsed="false">
      <c r="A11" s="3"/>
      <c r="B11" s="314" t="s">
        <v>623</v>
      </c>
      <c r="C11" s="314"/>
    </row>
    <row r="12" customFormat="false" ht="6" hidden="false" customHeight="true" outlineLevel="0" collapsed="false">
      <c r="B12" s="6"/>
      <c r="C12" s="6"/>
    </row>
    <row r="13" customFormat="false" ht="15.75" hidden="false" customHeight="false" outlineLevel="0" collapsed="false">
      <c r="B13" s="6"/>
      <c r="C13" s="3" t="s">
        <v>624</v>
      </c>
    </row>
    <row r="14" customFormat="false" ht="3" hidden="false" customHeight="true" outlineLevel="0" collapsed="false">
      <c r="B14" s="6"/>
      <c r="C14" s="6"/>
    </row>
    <row r="15" customFormat="false" ht="15.75" hidden="false" customHeight="false" outlineLevel="0" collapsed="false">
      <c r="B15" s="6"/>
      <c r="C15" s="3" t="s">
        <v>625</v>
      </c>
    </row>
    <row r="16" customFormat="false" ht="2.25" hidden="false" customHeight="true" outlineLevel="0" collapsed="false">
      <c r="B16" s="6"/>
      <c r="C16" s="6"/>
    </row>
    <row r="17" customFormat="false" ht="15.75" hidden="false" customHeight="false" outlineLevel="0" collapsed="false">
      <c r="B17" s="6"/>
      <c r="C17" s="3" t="s">
        <v>626</v>
      </c>
    </row>
    <row r="18" customFormat="false" ht="6" hidden="false" customHeight="true" outlineLevel="0" collapsed="false">
      <c r="B18" s="6"/>
      <c r="C18" s="6"/>
    </row>
    <row r="19" customFormat="false" ht="15.75" hidden="false" customHeight="true" outlineLevel="0" collapsed="false">
      <c r="A19" s="313"/>
      <c r="B19" s="314" t="s">
        <v>627</v>
      </c>
      <c r="C19" s="314"/>
    </row>
    <row r="20" customFormat="false" ht="1.5" hidden="false" customHeight="true" outlineLevel="0" collapsed="false">
      <c r="B20" s="6"/>
      <c r="C20" s="6"/>
    </row>
    <row r="21" customFormat="false" ht="15.75" hidden="false" customHeight="false" outlineLevel="0" collapsed="false">
      <c r="B21" s="6"/>
      <c r="C21" s="3" t="s">
        <v>628</v>
      </c>
    </row>
    <row r="22" customFormat="false" ht="15.75" hidden="false" customHeight="false" outlineLevel="0" collapsed="false">
      <c r="B22" s="6"/>
      <c r="C22" s="6"/>
    </row>
    <row r="23" customFormat="false" ht="15.75" hidden="false" customHeight="false" outlineLevel="0" collapsed="false">
      <c r="A23" s="3"/>
      <c r="B23" s="3" t="s">
        <v>629</v>
      </c>
      <c r="C23" s="6"/>
    </row>
    <row r="24" customFormat="false" ht="15.75" hidden="false" customHeight="false" outlineLevel="0" collapsed="false">
      <c r="B24" s="6"/>
      <c r="C24" s="6"/>
    </row>
  </sheetData>
  <mergeCells count="2">
    <mergeCell ref="B11:C11"/>
    <mergeCell ref="B19:C19"/>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R10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75" zeroHeight="false" outlineLevelRow="0" outlineLevelCol="0"/>
  <sheetData>
    <row r="1" customFormat="false" ht="15.75" hidden="false" customHeight="false" outlineLevel="0" collapsed="false">
      <c r="A1" s="68" t="s">
        <v>630</v>
      </c>
      <c r="B1" s="68"/>
      <c r="C1" s="68"/>
      <c r="D1" s="68"/>
      <c r="E1" s="68"/>
      <c r="G1" s="68" t="s">
        <v>631</v>
      </c>
      <c r="H1" s="68"/>
      <c r="I1" s="68"/>
      <c r="J1" s="68"/>
      <c r="L1" s="68" t="s">
        <v>632</v>
      </c>
      <c r="M1" s="68"/>
      <c r="N1" s="68"/>
      <c r="O1" s="68"/>
      <c r="P1" s="68"/>
      <c r="Q1" s="68"/>
      <c r="R1" s="3"/>
    </row>
    <row r="2" customFormat="false" ht="15.75" hidden="false" customHeight="false" outlineLevel="0" collapsed="false">
      <c r="A2" s="68" t="s">
        <v>633</v>
      </c>
      <c r="B2" s="68"/>
      <c r="D2" s="68" t="s">
        <v>634</v>
      </c>
      <c r="E2" s="68"/>
      <c r="G2" s="3" t="s">
        <v>635</v>
      </c>
      <c r="H2" s="3"/>
      <c r="I2" s="3" t="s">
        <v>636</v>
      </c>
      <c r="J2" s="3" t="s">
        <v>637</v>
      </c>
      <c r="L2" s="3" t="s">
        <v>638</v>
      </c>
      <c r="M2" s="3" t="s">
        <v>639</v>
      </c>
      <c r="N2" s="3" t="s">
        <v>640</v>
      </c>
      <c r="O2" s="3"/>
      <c r="P2" s="3" t="s">
        <v>641</v>
      </c>
      <c r="Q2" s="3" t="s">
        <v>642</v>
      </c>
      <c r="R2" s="3"/>
    </row>
    <row r="3" customFormat="false" ht="15.75" hidden="false" customHeight="false" outlineLevel="0" collapsed="false">
      <c r="A3" s="3" t="str">
        <f aca="false">IFERROR(__xludf.dummyfunction("ARRAYFORMULA(SPLIT(TRANSPOSE(IFERROR(SPLIT(ARRAYFORMULA(IFERROR(TEXTJOIN(CHAR(10), TRUE, IF('All Combos'!$C$3:$EJ$140='Parent Search'!$F$8, INDEX('All Combos'!$B$3:$B$140 &amp;"",""&amp;INDEX('All Combos'!$C$2:$EJ$2, , ),) ,"""")))), CHAR(10)))),"","",,))"),"Penking")</f>
        <v>Penking</v>
      </c>
      <c r="B3" s="6" t="str">
        <f aca="false">IFERROR(__xludf.dummyfunction("""COMPUTED_VALUE"""),"Pyrin Noct")</f>
        <v>Pyrin Noct</v>
      </c>
      <c r="D3" s="6" t="str">
        <f aca="false">IFERROR(__xludf.dummyfunction("unique(filter(ReverseSearchData!A3:B1001,countifs(ReverseSearchData!A3:A1001,ReverseSearchData!B3:B1001,ReverseSearchData!B3:B1001,ReverseSearchData!A3:A1001,row(ReverseSearchData!A3:A1001),""&lt;""&amp;row(ReverseSearchData!A3:A1001))=0))"),"Penking")</f>
        <v>Penking</v>
      </c>
      <c r="E3" s="6" t="str">
        <f aca="false">IFERROR(__xludf.dummyfunction("""COMPUTED_VALUE"""),"Pyrin Noct")</f>
        <v>Pyrin Noct</v>
      </c>
      <c r="G3" s="6" t="str">
        <f aca="false">IFERROR(__xludf.dummyfunction("IFERROR(CHOOSECOLS(IFERROR(FILTER(ReverseSearchData!$D$3:$E1001,ReverseSearchData!$D$3:$D1001='Parent Search'!$M$11),),2),)"),"")</f>
        <v/>
      </c>
      <c r="H3" s="6" t="str">
        <f aca="false">IFERROR(__xludf.dummyfunction("IFERROR(CHOOSECOLS(IFERROR(FILTER(ReverseSearchData!$D$3:$E1001,ReverseSearchData!$E$3:$E1001='Parent Search'!$M$11),),1))"),"Vanwyrm")</f>
        <v>Vanwyrm</v>
      </c>
      <c r="I3" s="6" t="str">
        <f aca="false">IFERROR(__xludf.dummyfunction("SORT(unique(TOCOL(D3:E1001)),1,TRUE)"),"Anubis")</f>
        <v>Anubis</v>
      </c>
      <c r="J3" s="6" t="str">
        <f aca="false">IFERROR(__xludf.dummyfunction("UNIQUE(TOCOL(ReverseSearchData!$G$3:$H1001,3))"),"Vanwyrm")</f>
        <v>Vanwyrm</v>
      </c>
      <c r="L3" s="1" t="e">
        <f aca="false" t="array" ref="L3:L1001">xlookup(A3:A1001,'Parent Search'!$S$6:$S$143,'Parent Search'!$T$6:$T$143,,0,1)</f>
        <v>#NAME?</v>
      </c>
      <c r="M3" s="1" t="e">
        <f aca="false" t="array" ref="M3:M1001">xlookup(B3:B1001,'Parent Search'!$S$6:$S$143,'Parent Search'!$U$6:$U$143,,0,1)</f>
        <v>#NAME?</v>
      </c>
      <c r="N3" s="1" t="e">
        <f aca="false" t="array" ref="N3:N1001">(L3:L1001=TRUE())*(M3:M1001=TRUE()) = 1</f>
        <v>#NAME?</v>
      </c>
      <c r="O3" s="3"/>
      <c r="P3" s="3" t="e">
        <f aca="false" t="array" ref="P3:P1001">IF(N3:N1001,A3:B1001,)</f>
        <v>#NAME?</v>
      </c>
      <c r="Q3" s="3"/>
      <c r="R3" s="3"/>
    </row>
    <row r="4" customFormat="false" ht="15.75" hidden="false" customHeight="false" outlineLevel="0" collapsed="false">
      <c r="A4" s="6" t="str">
        <f aca="false">IFERROR(__xludf.dummyfunction("""COMPUTED_VALUE"""),"Penking")</f>
        <v>Penking</v>
      </c>
      <c r="B4" s="6" t="str">
        <f aca="false">IFERROR(__xludf.dummyfunction("""COMPUTED_VALUE"""),"Ice Reptyro")</f>
        <v>Ice Reptyro</v>
      </c>
      <c r="D4" s="6" t="str">
        <f aca="false">IFERROR(__xludf.dummyfunction("""COMPUTED_VALUE"""),"Penking")</f>
        <v>Penking</v>
      </c>
      <c r="E4" s="6" t="str">
        <f aca="false">IFERROR(__xludf.dummyfunction("""COMPUTED_VALUE"""),"Ice Reptyro")</f>
        <v>Ice Reptyro</v>
      </c>
      <c r="H4" s="6" t="str">
        <f aca="false">IFERROR(__xludf.dummyfunction("""COMPUTED_VALUE"""),"Bushi")</f>
        <v>Bushi</v>
      </c>
      <c r="I4" s="6" t="str">
        <f aca="false">IFERROR(__xludf.dummyfunction("""COMPUTED_VALUE"""),"Astegon")</f>
        <v>Astegon</v>
      </c>
      <c r="J4" s="6" t="str">
        <f aca="false">IFERROR(__xludf.dummyfunction("""COMPUTED_VALUE"""),"Bushi")</f>
        <v>Bushi</v>
      </c>
      <c r="L4" s="1" t="e">
        <v>#NAME?</v>
      </c>
      <c r="M4" s="1" t="e">
        <v>#NAME?</v>
      </c>
      <c r="N4" s="1" t="e">
        <v>#NAME?</v>
      </c>
      <c r="O4" s="3"/>
      <c r="P4" s="3" t="e">
        <v>#NAME?</v>
      </c>
      <c r="Q4" s="3"/>
      <c r="R4" s="3"/>
    </row>
    <row r="5" customFormat="false" ht="15.75" hidden="false" customHeight="false" outlineLevel="0" collapsed="false">
      <c r="A5" s="6" t="str">
        <f aca="false">IFERROR(__xludf.dummyfunction("""COMPUTED_VALUE"""),"Penking")</f>
        <v>Penking</v>
      </c>
      <c r="B5" s="6" t="str">
        <f aca="false">IFERROR(__xludf.dummyfunction("""COMPUTED_VALUE"""),"Menasting")</f>
        <v>Menasting</v>
      </c>
      <c r="D5" s="6" t="str">
        <f aca="false">IFERROR(__xludf.dummyfunction("""COMPUTED_VALUE"""),"Penking")</f>
        <v>Penking</v>
      </c>
      <c r="E5" s="6" t="str">
        <f aca="false">IFERROR(__xludf.dummyfunction("""COMPUTED_VALUE"""),"Menasting")</f>
        <v>Menasting</v>
      </c>
      <c r="I5" s="6" t="str">
        <f aca="false">IFERROR(__xludf.dummyfunction("""COMPUTED_VALUE"""),"Azurobe")</f>
        <v>Azurobe</v>
      </c>
      <c r="L5" s="1" t="e">
        <v>#NAME?</v>
      </c>
      <c r="M5" s="1" t="e">
        <v>#NAME?</v>
      </c>
      <c r="N5" s="1" t="e">
        <v>#NAME?</v>
      </c>
      <c r="O5" s="3"/>
      <c r="P5" s="3" t="e">
        <v>#NAME?</v>
      </c>
      <c r="Q5" s="3"/>
      <c r="R5" s="3"/>
    </row>
    <row r="6" customFormat="false" ht="15.75" hidden="false" customHeight="false" outlineLevel="0" collapsed="false">
      <c r="A6" s="6" t="str">
        <f aca="false">IFERROR(__xludf.dummyfunction("""COMPUTED_VALUE"""),"Penking")</f>
        <v>Penking</v>
      </c>
      <c r="B6" s="6" t="str">
        <f aca="false">IFERROR(__xludf.dummyfunction("""COMPUTED_VALUE"""),"Lyleen")</f>
        <v>Lyleen</v>
      </c>
      <c r="D6" s="6" t="str">
        <f aca="false">IFERROR(__xludf.dummyfunction("""COMPUTED_VALUE"""),"Penking")</f>
        <v>Penking</v>
      </c>
      <c r="E6" s="6" t="str">
        <f aca="false">IFERROR(__xludf.dummyfunction("""COMPUTED_VALUE"""),"Lyleen")</f>
        <v>Lyleen</v>
      </c>
      <c r="I6" s="6" t="str">
        <f aca="false">IFERROR(__xludf.dummyfunction("""COMPUTED_VALUE"""),"Beakon")</f>
        <v>Beakon</v>
      </c>
      <c r="L6" s="1" t="e">
        <v>#NAME?</v>
      </c>
      <c r="M6" s="1" t="e">
        <v>#NAME?</v>
      </c>
      <c r="N6" s="1" t="e">
        <v>#NAME?</v>
      </c>
      <c r="O6" s="3"/>
      <c r="P6" s="3" t="e">
        <v>#NAME?</v>
      </c>
      <c r="Q6" s="3"/>
      <c r="R6" s="3"/>
    </row>
    <row r="7" customFormat="false" ht="15.75" hidden="false" customHeight="false" outlineLevel="0" collapsed="false">
      <c r="A7" s="6" t="str">
        <f aca="false">IFERROR(__xludf.dummyfunction("""COMPUTED_VALUE"""),"Mossanda")</f>
        <v>Mossanda</v>
      </c>
      <c r="B7" s="6" t="str">
        <f aca="false">IFERROR(__xludf.dummyfunction("""COMPUTED_VALUE"""),"Elizabee")</f>
        <v>Elizabee</v>
      </c>
      <c r="D7" s="6" t="str">
        <f aca="false">IFERROR(__xludf.dummyfunction("""COMPUTED_VALUE"""),"Mossanda")</f>
        <v>Mossanda</v>
      </c>
      <c r="E7" s="6" t="str">
        <f aca="false">IFERROR(__xludf.dummyfunction("""COMPUTED_VALUE"""),"Elizabee")</f>
        <v>Elizabee</v>
      </c>
      <c r="I7" s="6" t="str">
        <f aca="false">IFERROR(__xludf.dummyfunction("""COMPUTED_VALUE"""),"Blazamut")</f>
        <v>Blazamut</v>
      </c>
      <c r="L7" s="1" t="e">
        <v>#NAME?</v>
      </c>
      <c r="M7" s="1" t="e">
        <v>#NAME?</v>
      </c>
      <c r="N7" s="1" t="e">
        <v>#NAME?</v>
      </c>
      <c r="O7" s="3"/>
      <c r="P7" s="3" t="e">
        <v>#NAME?</v>
      </c>
      <c r="Q7" s="3"/>
      <c r="R7" s="3"/>
    </row>
    <row r="8" customFormat="false" ht="15.75" hidden="false" customHeight="false" outlineLevel="0" collapsed="false">
      <c r="A8" s="6" t="str">
        <f aca="false">IFERROR(__xludf.dummyfunction("""COMPUTED_VALUE"""),"Mossanda")</f>
        <v>Mossanda</v>
      </c>
      <c r="B8" s="6" t="str">
        <f aca="false">IFERROR(__xludf.dummyfunction("""COMPUTED_VALUE"""),"Reptyro")</f>
        <v>Reptyro</v>
      </c>
      <c r="D8" s="6" t="str">
        <f aca="false">IFERROR(__xludf.dummyfunction("""COMPUTED_VALUE"""),"Mossanda")</f>
        <v>Mossanda</v>
      </c>
      <c r="E8" s="6" t="str">
        <f aca="false">IFERROR(__xludf.dummyfunction("""COMPUTED_VALUE"""),"Reptyro")</f>
        <v>Reptyro</v>
      </c>
      <c r="I8" s="6" t="str">
        <f aca="false">IFERROR(__xludf.dummyfunction("""COMPUTED_VALUE"""),"Blazehowl")</f>
        <v>Blazehowl</v>
      </c>
      <c r="L8" s="1" t="e">
        <v>#NAME?</v>
      </c>
      <c r="M8" s="1" t="e">
        <v>#NAME?</v>
      </c>
      <c r="N8" s="1" t="e">
        <v>#NAME?</v>
      </c>
      <c r="O8" s="3"/>
      <c r="P8" s="3" t="e">
        <v>#NAME?</v>
      </c>
      <c r="Q8" s="3"/>
      <c r="R8" s="3"/>
    </row>
    <row r="9" customFormat="false" ht="15.75" hidden="false" customHeight="false" outlineLevel="0" collapsed="false">
      <c r="A9" s="6" t="str">
        <f aca="false">IFERROR(__xludf.dummyfunction("""COMPUTED_VALUE"""),"Mossanda")</f>
        <v>Mossanda</v>
      </c>
      <c r="B9" s="6" t="str">
        <f aca="false">IFERROR(__xludf.dummyfunction("""COMPUTED_VALUE"""),"Warsect")</f>
        <v>Warsect</v>
      </c>
      <c r="D9" s="6" t="str">
        <f aca="false">IFERROR(__xludf.dummyfunction("""COMPUTED_VALUE"""),"Mossanda")</f>
        <v>Mossanda</v>
      </c>
      <c r="E9" s="6" t="str">
        <f aca="false">IFERROR(__xludf.dummyfunction("""COMPUTED_VALUE"""),"Warsect")</f>
        <v>Warsect</v>
      </c>
      <c r="I9" s="6" t="str">
        <f aca="false">IFERROR(__xludf.dummyfunction("""COMPUTED_VALUE"""),"Blazehowl Noct")</f>
        <v>Blazehowl Noct</v>
      </c>
      <c r="L9" s="1" t="e">
        <v>#NAME?</v>
      </c>
      <c r="M9" s="1" t="e">
        <v>#NAME?</v>
      </c>
      <c r="N9" s="1" t="e">
        <v>#NAME?</v>
      </c>
      <c r="O9" s="3"/>
      <c r="P9" s="3" t="e">
        <v>#NAME?</v>
      </c>
      <c r="Q9" s="3"/>
      <c r="R9" s="3"/>
    </row>
    <row r="10" customFormat="false" ht="15.75" hidden="false" customHeight="false" outlineLevel="0" collapsed="false">
      <c r="A10" s="6" t="str">
        <f aca="false">IFERROR(__xludf.dummyfunction("""COMPUTED_VALUE"""),"Mossanda")</f>
        <v>Mossanda</v>
      </c>
      <c r="B10" s="6" t="str">
        <f aca="false">IFERROR(__xludf.dummyfunction("""COMPUTED_VALUE"""),"Quivern")</f>
        <v>Quivern</v>
      </c>
      <c r="D10" s="6" t="str">
        <f aca="false">IFERROR(__xludf.dummyfunction("""COMPUTED_VALUE"""),"Mossanda")</f>
        <v>Mossanda</v>
      </c>
      <c r="E10" s="6" t="str">
        <f aca="false">IFERROR(__xludf.dummyfunction("""COMPUTED_VALUE"""),"Quivern")</f>
        <v>Quivern</v>
      </c>
      <c r="I10" s="6" t="str">
        <f aca="false">IFERROR(__xludf.dummyfunction("""COMPUTED_VALUE"""),"Bushi")</f>
        <v>Bushi</v>
      </c>
      <c r="L10" s="1" t="e">
        <v>#NAME?</v>
      </c>
      <c r="M10" s="1" t="e">
        <v>#NAME?</v>
      </c>
      <c r="N10" s="1" t="e">
        <v>#NAME?</v>
      </c>
      <c r="O10" s="3"/>
      <c r="P10" s="3" t="e">
        <v>#NAME?</v>
      </c>
      <c r="Q10" s="3"/>
      <c r="R10" s="3"/>
    </row>
    <row r="11" customFormat="false" ht="15.75" hidden="false" customHeight="false" outlineLevel="0" collapsed="false">
      <c r="A11" s="6" t="str">
        <f aca="false">IFERROR(__xludf.dummyfunction("""COMPUTED_VALUE"""),"Mossanda")</f>
        <v>Mossanda</v>
      </c>
      <c r="B11" s="6" t="str">
        <f aca="false">IFERROR(__xludf.dummyfunction("""COMPUTED_VALUE"""),"Jormuntide Ignis")</f>
        <v>Jormuntide Ignis</v>
      </c>
      <c r="D11" s="6" t="str">
        <f aca="false">IFERROR(__xludf.dummyfunction("""COMPUTED_VALUE"""),"Mossanda")</f>
        <v>Mossanda</v>
      </c>
      <c r="E11" s="6" t="str">
        <f aca="false">IFERROR(__xludf.dummyfunction("""COMPUTED_VALUE"""),"Jormuntide Ignis")</f>
        <v>Jormuntide Ignis</v>
      </c>
      <c r="I11" s="6" t="str">
        <f aca="false">IFERROR(__xludf.dummyfunction("""COMPUTED_VALUE"""),"Cinnamoth")</f>
        <v>Cinnamoth</v>
      </c>
      <c r="L11" s="1" t="e">
        <v>#NAME?</v>
      </c>
      <c r="M11" s="1" t="e">
        <v>#NAME?</v>
      </c>
      <c r="N11" s="1" t="e">
        <v>#NAME?</v>
      </c>
      <c r="O11" s="3"/>
      <c r="P11" s="3" t="e">
        <v>#NAME?</v>
      </c>
      <c r="Q11" s="3"/>
      <c r="R11" s="3"/>
    </row>
    <row r="12" customFormat="false" ht="15.75" hidden="false" customHeight="false" outlineLevel="0" collapsed="false">
      <c r="A12" s="6" t="str">
        <f aca="false">IFERROR(__xludf.dummyfunction("""COMPUTED_VALUE"""),"Mossanda Lux")</f>
        <v>Mossanda Lux</v>
      </c>
      <c r="B12" s="6" t="str">
        <f aca="false">IFERROR(__xludf.dummyfunction("""COMPUTED_VALUE"""),"Pyrin")</f>
        <v>Pyrin</v>
      </c>
      <c r="D12" s="6" t="str">
        <f aca="false">IFERROR(__xludf.dummyfunction("""COMPUTED_VALUE"""),"Mossanda Lux")</f>
        <v>Mossanda Lux</v>
      </c>
      <c r="E12" s="6" t="str">
        <f aca="false">IFERROR(__xludf.dummyfunction("""COMPUTED_VALUE"""),"Pyrin")</f>
        <v>Pyrin</v>
      </c>
      <c r="I12" s="6" t="str">
        <f aca="false">IFERROR(__xludf.dummyfunction("""COMPUTED_VALUE"""),"Cryolinx")</f>
        <v>Cryolinx</v>
      </c>
      <c r="L12" s="1" t="e">
        <v>#NAME?</v>
      </c>
      <c r="M12" s="1" t="e">
        <v>#NAME?</v>
      </c>
      <c r="N12" s="1" t="e">
        <v>#NAME?</v>
      </c>
      <c r="O12" s="3"/>
      <c r="P12" s="3" t="e">
        <v>#NAME?</v>
      </c>
      <c r="Q12" s="3"/>
      <c r="R12" s="3"/>
    </row>
    <row r="13" customFormat="false" ht="15.75" hidden="false" customHeight="false" outlineLevel="0" collapsed="false">
      <c r="A13" s="6" t="str">
        <f aca="false">IFERROR(__xludf.dummyfunction("""COMPUTED_VALUE"""),"Mossanda Lux")</f>
        <v>Mossanda Lux</v>
      </c>
      <c r="B13" s="6" t="str">
        <f aca="false">IFERROR(__xludf.dummyfunction("""COMPUTED_VALUE"""),"Ragnahawk")</f>
        <v>Ragnahawk</v>
      </c>
      <c r="D13" s="6" t="str">
        <f aca="false">IFERROR(__xludf.dummyfunction("""COMPUTED_VALUE"""),"Mossanda Lux")</f>
        <v>Mossanda Lux</v>
      </c>
      <c r="E13" s="6" t="str">
        <f aca="false">IFERROR(__xludf.dummyfunction("""COMPUTED_VALUE"""),"Ragnahawk")</f>
        <v>Ragnahawk</v>
      </c>
      <c r="I13" s="6" t="str">
        <f aca="false">IFERROR(__xludf.dummyfunction("""COMPUTED_VALUE"""),"Elizabee")</f>
        <v>Elizabee</v>
      </c>
      <c r="L13" s="1" t="e">
        <v>#NAME?</v>
      </c>
      <c r="M13" s="1" t="e">
        <v>#NAME?</v>
      </c>
      <c r="N13" s="1" t="e">
        <v>#NAME?</v>
      </c>
      <c r="O13" s="3"/>
      <c r="P13" s="3" t="e">
        <v>#NAME?</v>
      </c>
      <c r="Q13" s="3"/>
      <c r="R13" s="3"/>
    </row>
    <row r="14" customFormat="false" ht="15.75" hidden="false" customHeight="false" outlineLevel="0" collapsed="false">
      <c r="A14" s="6" t="str">
        <f aca="false">IFERROR(__xludf.dummyfunction("""COMPUTED_VALUE"""),"Mossanda Lux")</f>
        <v>Mossanda Lux</v>
      </c>
      <c r="B14" s="6" t="str">
        <f aca="false">IFERROR(__xludf.dummyfunction("""COMPUTED_VALUE"""),"Faleris")</f>
        <v>Faleris</v>
      </c>
      <c r="D14" s="6" t="str">
        <f aca="false">IFERROR(__xludf.dummyfunction("""COMPUTED_VALUE"""),"Mossanda Lux")</f>
        <v>Mossanda Lux</v>
      </c>
      <c r="E14" s="6" t="str">
        <f aca="false">IFERROR(__xludf.dummyfunction("""COMPUTED_VALUE"""),"Faleris")</f>
        <v>Faleris</v>
      </c>
      <c r="I14" s="6" t="str">
        <f aca="false">IFERROR(__xludf.dummyfunction("""COMPUTED_VALUE"""),"Elphidran")</f>
        <v>Elphidran</v>
      </c>
      <c r="L14" s="1" t="e">
        <v>#NAME?</v>
      </c>
      <c r="M14" s="1" t="e">
        <v>#NAME?</v>
      </c>
      <c r="N14" s="1" t="e">
        <v>#NAME?</v>
      </c>
      <c r="O14" s="3"/>
      <c r="P14" s="3" t="e">
        <v>#NAME?</v>
      </c>
      <c r="Q14" s="3"/>
      <c r="R14" s="3"/>
    </row>
    <row r="15" customFormat="false" ht="15.75" hidden="false" customHeight="false" outlineLevel="0" collapsed="false">
      <c r="A15" s="6" t="str">
        <f aca="false">IFERROR(__xludf.dummyfunction("""COMPUTED_VALUE"""),"Nitewing")</f>
        <v>Nitewing</v>
      </c>
      <c r="B15" s="6" t="str">
        <f aca="false">IFERROR(__xludf.dummyfunction("""COMPUTED_VALUE"""),"Elizabee")</f>
        <v>Elizabee</v>
      </c>
      <c r="D15" s="6" t="str">
        <f aca="false">IFERROR(__xludf.dummyfunction("""COMPUTED_VALUE"""),"Nitewing")</f>
        <v>Nitewing</v>
      </c>
      <c r="E15" s="6" t="str">
        <f aca="false">IFERROR(__xludf.dummyfunction("""COMPUTED_VALUE"""),"Elizabee")</f>
        <v>Elizabee</v>
      </c>
      <c r="I15" s="6" t="str">
        <f aca="false">IFERROR(__xludf.dummyfunction("""COMPUTED_VALUE"""),"Elphidran Aqua")</f>
        <v>Elphidran Aqua</v>
      </c>
      <c r="L15" s="1" t="e">
        <v>#NAME?</v>
      </c>
      <c r="M15" s="1" t="e">
        <v>#NAME?</v>
      </c>
      <c r="N15" s="1" t="e">
        <v>#NAME?</v>
      </c>
      <c r="O15" s="3"/>
      <c r="P15" s="3" t="e">
        <v>#NAME?</v>
      </c>
      <c r="Q15" s="3"/>
      <c r="R15" s="3"/>
    </row>
    <row r="16" customFormat="false" ht="15.75" hidden="false" customHeight="false" outlineLevel="0" collapsed="false">
      <c r="A16" s="6" t="str">
        <f aca="false">IFERROR(__xludf.dummyfunction("""COMPUTED_VALUE"""),"Nitewing")</f>
        <v>Nitewing</v>
      </c>
      <c r="B16" s="6" t="str">
        <f aca="false">IFERROR(__xludf.dummyfunction("""COMPUTED_VALUE"""),"Pyrin")</f>
        <v>Pyrin</v>
      </c>
      <c r="D16" s="6" t="str">
        <f aca="false">IFERROR(__xludf.dummyfunction("""COMPUTED_VALUE"""),"Nitewing")</f>
        <v>Nitewing</v>
      </c>
      <c r="E16" s="6" t="str">
        <f aca="false">IFERROR(__xludf.dummyfunction("""COMPUTED_VALUE"""),"Pyrin")</f>
        <v>Pyrin</v>
      </c>
      <c r="I16" s="6" t="str">
        <f aca="false">IFERROR(__xludf.dummyfunction("""COMPUTED_VALUE"""),"Faleris")</f>
        <v>Faleris</v>
      </c>
      <c r="L16" s="1" t="e">
        <v>#NAME?</v>
      </c>
      <c r="M16" s="1" t="e">
        <v>#NAME?</v>
      </c>
      <c r="N16" s="1" t="e">
        <v>#NAME?</v>
      </c>
      <c r="O16" s="3"/>
      <c r="P16" s="3" t="e">
        <v>#NAME?</v>
      </c>
      <c r="Q16" s="3"/>
      <c r="R16" s="3"/>
    </row>
    <row r="17" customFormat="false" ht="15.75" hidden="false" customHeight="false" outlineLevel="0" collapsed="false">
      <c r="A17" s="6" t="str">
        <f aca="false">IFERROR(__xludf.dummyfunction("""COMPUTED_VALUE"""),"Nitewing")</f>
        <v>Nitewing</v>
      </c>
      <c r="B17" s="6" t="str">
        <f aca="false">IFERROR(__xludf.dummyfunction("""COMPUTED_VALUE"""),"Warsect")</f>
        <v>Warsect</v>
      </c>
      <c r="D17" s="6" t="str">
        <f aca="false">IFERROR(__xludf.dummyfunction("""COMPUTED_VALUE"""),"Nitewing")</f>
        <v>Nitewing</v>
      </c>
      <c r="E17" s="6" t="str">
        <f aca="false">IFERROR(__xludf.dummyfunction("""COMPUTED_VALUE"""),"Warsect")</f>
        <v>Warsect</v>
      </c>
      <c r="I17" s="6" t="str">
        <f aca="false">IFERROR(__xludf.dummyfunction("""COMPUTED_VALUE"""),"Foxcicle")</f>
        <v>Foxcicle</v>
      </c>
      <c r="L17" s="1" t="e">
        <v>#NAME?</v>
      </c>
      <c r="M17" s="1" t="e">
        <v>#NAME?</v>
      </c>
      <c r="N17" s="1" t="e">
        <v>#NAME?</v>
      </c>
      <c r="O17" s="3"/>
      <c r="P17" s="3" t="e">
        <v>#NAME?</v>
      </c>
      <c r="Q17" s="3"/>
      <c r="R17" s="3"/>
    </row>
    <row r="18" customFormat="false" ht="15.75" hidden="false" customHeight="false" outlineLevel="0" collapsed="false">
      <c r="A18" s="6" t="str">
        <f aca="false">IFERROR(__xludf.dummyfunction("""COMPUTED_VALUE"""),"Nitewing")</f>
        <v>Nitewing</v>
      </c>
      <c r="B18" s="6" t="str">
        <f aca="false">IFERROR(__xludf.dummyfunction("""COMPUTED_VALUE"""),"Quivern")</f>
        <v>Quivern</v>
      </c>
      <c r="D18" s="6" t="str">
        <f aca="false">IFERROR(__xludf.dummyfunction("""COMPUTED_VALUE"""),"Nitewing")</f>
        <v>Nitewing</v>
      </c>
      <c r="E18" s="6" t="str">
        <f aca="false">IFERROR(__xludf.dummyfunction("""COMPUTED_VALUE"""),"Quivern")</f>
        <v>Quivern</v>
      </c>
      <c r="I18" s="6" t="str">
        <f aca="false">IFERROR(__xludf.dummyfunction("""COMPUTED_VALUE"""),"Frostallion")</f>
        <v>Frostallion</v>
      </c>
      <c r="L18" s="1" t="e">
        <v>#NAME?</v>
      </c>
      <c r="M18" s="1" t="e">
        <v>#NAME?</v>
      </c>
      <c r="N18" s="1" t="e">
        <v>#NAME?</v>
      </c>
      <c r="O18" s="3"/>
      <c r="P18" s="3" t="e">
        <v>#NAME?</v>
      </c>
      <c r="Q18" s="3"/>
      <c r="R18" s="3"/>
    </row>
    <row r="19" customFormat="false" ht="15.75" hidden="false" customHeight="false" outlineLevel="0" collapsed="false">
      <c r="A19" s="6" t="str">
        <f aca="false">IFERROR(__xludf.dummyfunction("""COMPUTED_VALUE"""),"Incineram")</f>
        <v>Incineram</v>
      </c>
      <c r="B19" s="6" t="str">
        <f aca="false">IFERROR(__xludf.dummyfunction("""COMPUTED_VALUE"""),"Helzephyr")</f>
        <v>Helzephyr</v>
      </c>
      <c r="D19" s="6" t="str">
        <f aca="false">IFERROR(__xludf.dummyfunction("""COMPUTED_VALUE"""),"Incineram")</f>
        <v>Incineram</v>
      </c>
      <c r="E19" s="6" t="str">
        <f aca="false">IFERROR(__xludf.dummyfunction("""COMPUTED_VALUE"""),"Helzephyr")</f>
        <v>Helzephyr</v>
      </c>
      <c r="I19" s="6" t="str">
        <f aca="false">IFERROR(__xludf.dummyfunction("""COMPUTED_VALUE"""),"Frostallion Noct")</f>
        <v>Frostallion Noct</v>
      </c>
      <c r="L19" s="1" t="e">
        <v>#NAME?</v>
      </c>
      <c r="M19" s="1" t="e">
        <v>#NAME?</v>
      </c>
      <c r="N19" s="1" t="e">
        <v>#NAME?</v>
      </c>
      <c r="O19" s="3"/>
      <c r="P19" s="3" t="e">
        <v>#NAME?</v>
      </c>
      <c r="Q19" s="3"/>
      <c r="R19" s="3"/>
    </row>
    <row r="20" customFormat="false" ht="15.75" hidden="false" customHeight="false" outlineLevel="0" collapsed="false">
      <c r="A20" s="6" t="str">
        <f aca="false">IFERROR(__xludf.dummyfunction("""COMPUTED_VALUE"""),"Incineram Noct")</f>
        <v>Incineram Noct</v>
      </c>
      <c r="B20" s="6" t="str">
        <f aca="false">IFERROR(__xludf.dummyfunction("""COMPUTED_VALUE"""),"Helzephyr")</f>
        <v>Helzephyr</v>
      </c>
      <c r="D20" s="6" t="str">
        <f aca="false">IFERROR(__xludf.dummyfunction("""COMPUTED_VALUE"""),"Incineram Noct")</f>
        <v>Incineram Noct</v>
      </c>
      <c r="E20" s="6" t="str">
        <f aca="false">IFERROR(__xludf.dummyfunction("""COMPUTED_VALUE"""),"Helzephyr")</f>
        <v>Helzephyr</v>
      </c>
      <c r="I20" s="6" t="str">
        <f aca="false">IFERROR(__xludf.dummyfunction("""COMPUTED_VALUE"""),"Grintale")</f>
        <v>Grintale</v>
      </c>
      <c r="L20" s="1" t="e">
        <v>#NAME?</v>
      </c>
      <c r="M20" s="1" t="e">
        <v>#NAME?</v>
      </c>
      <c r="N20" s="1" t="e">
        <v>#NAME?</v>
      </c>
      <c r="O20" s="3"/>
      <c r="P20" s="3" t="e">
        <v>#NAME?</v>
      </c>
      <c r="Q20" s="3"/>
      <c r="R20" s="3"/>
    </row>
    <row r="21" customFormat="false" ht="15.75" hidden="false" customHeight="false" outlineLevel="0" collapsed="false">
      <c r="A21" s="6" t="str">
        <f aca="false">IFERROR(__xludf.dummyfunction("""COMPUTED_VALUE"""),"Incineram Noct")</f>
        <v>Incineram Noct</v>
      </c>
      <c r="B21" s="6" t="str">
        <f aca="false">IFERROR(__xludf.dummyfunction("""COMPUTED_VALUE"""),"Grizzbolt")</f>
        <v>Grizzbolt</v>
      </c>
      <c r="D21" s="6" t="str">
        <f aca="false">IFERROR(__xludf.dummyfunction("""COMPUTED_VALUE"""),"Incineram Noct")</f>
        <v>Incineram Noct</v>
      </c>
      <c r="E21" s="6" t="str">
        <f aca="false">IFERROR(__xludf.dummyfunction("""COMPUTED_VALUE"""),"Grizzbolt")</f>
        <v>Grizzbolt</v>
      </c>
      <c r="I21" s="6" t="str">
        <f aca="false">IFERROR(__xludf.dummyfunction("""COMPUTED_VALUE"""),"Grizzbolt")</f>
        <v>Grizzbolt</v>
      </c>
      <c r="L21" s="1" t="e">
        <v>#NAME?</v>
      </c>
      <c r="M21" s="1" t="e">
        <v>#NAME?</v>
      </c>
      <c r="N21" s="1" t="e">
        <v>#NAME?</v>
      </c>
      <c r="O21" s="3"/>
      <c r="P21" s="3" t="e">
        <v>#NAME?</v>
      </c>
      <c r="Q21" s="3"/>
      <c r="R21" s="3"/>
    </row>
    <row r="22" customFormat="false" ht="15.75" hidden="false" customHeight="false" outlineLevel="0" collapsed="false">
      <c r="A22" s="6" t="str">
        <f aca="false">IFERROR(__xludf.dummyfunction("""COMPUTED_VALUE"""),"Cinnamoth")</f>
        <v>Cinnamoth</v>
      </c>
      <c r="B22" s="6" t="str">
        <f aca="false">IFERROR(__xludf.dummyfunction("""COMPUTED_VALUE"""),"Relaxaurus")</f>
        <v>Relaxaurus</v>
      </c>
      <c r="D22" s="6" t="str">
        <f aca="false">IFERROR(__xludf.dummyfunction("""COMPUTED_VALUE"""),"Cinnamoth")</f>
        <v>Cinnamoth</v>
      </c>
      <c r="E22" s="6" t="str">
        <f aca="false">IFERROR(__xludf.dummyfunction("""COMPUTED_VALUE"""),"Relaxaurus")</f>
        <v>Relaxaurus</v>
      </c>
      <c r="I22" s="6" t="str">
        <f aca="false">IFERROR(__xludf.dummyfunction("""COMPUTED_VALUE"""),"Helzephyr")</f>
        <v>Helzephyr</v>
      </c>
      <c r="L22" s="1" t="e">
        <v>#NAME?</v>
      </c>
      <c r="M22" s="1" t="e">
        <v>#NAME?</v>
      </c>
      <c r="N22" s="1" t="e">
        <v>#NAME?</v>
      </c>
      <c r="O22" s="3"/>
      <c r="P22" s="3" t="e">
        <v>#NAME?</v>
      </c>
      <c r="Q22" s="3"/>
      <c r="R22" s="3"/>
    </row>
    <row r="23" customFormat="false" ht="15.75" hidden="false" customHeight="false" outlineLevel="0" collapsed="false">
      <c r="A23" s="6" t="str">
        <f aca="false">IFERROR(__xludf.dummyfunction("""COMPUTED_VALUE"""),"Cinnamoth")</f>
        <v>Cinnamoth</v>
      </c>
      <c r="B23" s="6" t="str">
        <f aca="false">IFERROR(__xludf.dummyfunction("""COMPUTED_VALUE"""),"Relaxaurus Lux")</f>
        <v>Relaxaurus Lux</v>
      </c>
      <c r="D23" s="6" t="str">
        <f aca="false">IFERROR(__xludf.dummyfunction("""COMPUTED_VALUE"""),"Cinnamoth")</f>
        <v>Cinnamoth</v>
      </c>
      <c r="E23" s="6" t="str">
        <f aca="false">IFERROR(__xludf.dummyfunction("""COMPUTED_VALUE"""),"Relaxaurus Lux")</f>
        <v>Relaxaurus Lux</v>
      </c>
      <c r="I23" s="6" t="str">
        <f aca="false">IFERROR(__xludf.dummyfunction("""COMPUTED_VALUE"""),"Ice Kingpaca")</f>
        <v>Ice Kingpaca</v>
      </c>
      <c r="L23" s="1" t="e">
        <v>#NAME?</v>
      </c>
      <c r="M23" s="1" t="e">
        <v>#NAME?</v>
      </c>
      <c r="N23" s="1" t="e">
        <v>#NAME?</v>
      </c>
      <c r="O23" s="3"/>
      <c r="P23" s="3" t="e">
        <v>#NAME?</v>
      </c>
      <c r="Q23" s="3"/>
      <c r="R23" s="3"/>
    </row>
    <row r="24" customFormat="false" ht="15.75" hidden="false" customHeight="false" outlineLevel="0" collapsed="false">
      <c r="A24" s="6" t="str">
        <f aca="false">IFERROR(__xludf.dummyfunction("""COMPUTED_VALUE"""),"Cinnamoth")</f>
        <v>Cinnamoth</v>
      </c>
      <c r="B24" s="6" t="str">
        <f aca="false">IFERROR(__xludf.dummyfunction("""COMPUTED_VALUE"""),"Mammorest Cryst")</f>
        <v>Mammorest Cryst</v>
      </c>
      <c r="D24" s="6" t="str">
        <f aca="false">IFERROR(__xludf.dummyfunction("""COMPUTED_VALUE"""),"Cinnamoth")</f>
        <v>Cinnamoth</v>
      </c>
      <c r="E24" s="6" t="str">
        <f aca="false">IFERROR(__xludf.dummyfunction("""COMPUTED_VALUE"""),"Mammorest Cryst")</f>
        <v>Mammorest Cryst</v>
      </c>
      <c r="I24" s="6" t="str">
        <f aca="false">IFERROR(__xludf.dummyfunction("""COMPUTED_VALUE"""),"Ice Reptyro")</f>
        <v>Ice Reptyro</v>
      </c>
      <c r="L24" s="1" t="e">
        <v>#NAME?</v>
      </c>
      <c r="M24" s="1" t="e">
        <v>#NAME?</v>
      </c>
      <c r="N24" s="1" t="e">
        <v>#NAME?</v>
      </c>
      <c r="O24" s="3"/>
      <c r="P24" s="3" t="e">
        <v>#NAME?</v>
      </c>
      <c r="Q24" s="3"/>
      <c r="R24" s="3"/>
    </row>
    <row r="25" customFormat="false" ht="15.75" hidden="false" customHeight="false" outlineLevel="0" collapsed="false">
      <c r="A25" s="6" t="str">
        <f aca="false">IFERROR(__xludf.dummyfunction("""COMPUTED_VALUE"""),"Cinnamoth")</f>
        <v>Cinnamoth</v>
      </c>
      <c r="B25" s="6" t="str">
        <f aca="false">IFERROR(__xludf.dummyfunction("""COMPUTED_VALUE"""),"Menasting")</f>
        <v>Menasting</v>
      </c>
      <c r="D25" s="6" t="str">
        <f aca="false">IFERROR(__xludf.dummyfunction("""COMPUTED_VALUE"""),"Cinnamoth")</f>
        <v>Cinnamoth</v>
      </c>
      <c r="E25" s="6" t="str">
        <f aca="false">IFERROR(__xludf.dummyfunction("""COMPUTED_VALUE"""),"Menasting")</f>
        <v>Menasting</v>
      </c>
      <c r="I25" s="6" t="str">
        <f aca="false">IFERROR(__xludf.dummyfunction("""COMPUTED_VALUE"""),"Incineram")</f>
        <v>Incineram</v>
      </c>
      <c r="L25" s="1" t="e">
        <v>#NAME?</v>
      </c>
      <c r="M25" s="1" t="e">
        <v>#NAME?</v>
      </c>
      <c r="N25" s="1" t="e">
        <v>#NAME?</v>
      </c>
      <c r="O25" s="3"/>
      <c r="P25" s="3" t="e">
        <v>#NAME?</v>
      </c>
      <c r="Q25" s="3"/>
      <c r="R25" s="3"/>
    </row>
    <row r="26" customFormat="false" ht="15.75" hidden="false" customHeight="false" outlineLevel="0" collapsed="false">
      <c r="A26" s="6" t="str">
        <f aca="false">IFERROR(__xludf.dummyfunction("""COMPUTED_VALUE"""),"Elizabee")</f>
        <v>Elizabee</v>
      </c>
      <c r="B26" s="6" t="str">
        <f aca="false">IFERROR(__xludf.dummyfunction("""COMPUTED_VALUE"""),"Mossanda")</f>
        <v>Mossanda</v>
      </c>
      <c r="D26" s="6" t="str">
        <f aca="false">IFERROR(__xludf.dummyfunction("""COMPUTED_VALUE"""),"Elizabee")</f>
        <v>Elizabee</v>
      </c>
      <c r="E26" s="6" t="str">
        <f aca="false">IFERROR(__xludf.dummyfunction("""COMPUTED_VALUE"""),"Sibelyx")</f>
        <v>Sibelyx</v>
      </c>
      <c r="I26" s="6" t="str">
        <f aca="false">IFERROR(__xludf.dummyfunction("""COMPUTED_VALUE"""),"Incineram Noct")</f>
        <v>Incineram Noct</v>
      </c>
      <c r="L26" s="1" t="e">
        <v>#NAME?</v>
      </c>
      <c r="M26" s="1" t="e">
        <v>#NAME?</v>
      </c>
      <c r="N26" s="1" t="e">
        <v>#NAME?</v>
      </c>
      <c r="O26" s="3"/>
      <c r="P26" s="3" t="e">
        <v>#NAME?</v>
      </c>
      <c r="Q26" s="3"/>
      <c r="R26" s="3"/>
    </row>
    <row r="27" customFormat="false" ht="15.75" hidden="false" customHeight="false" outlineLevel="0" collapsed="false">
      <c r="A27" s="6" t="str">
        <f aca="false">IFERROR(__xludf.dummyfunction("""COMPUTED_VALUE"""),"Elizabee")</f>
        <v>Elizabee</v>
      </c>
      <c r="B27" s="6" t="str">
        <f aca="false">IFERROR(__xludf.dummyfunction("""COMPUTED_VALUE"""),"Nitewing")</f>
        <v>Nitewing</v>
      </c>
      <c r="D27" s="6" t="str">
        <f aca="false">IFERROR(__xludf.dummyfunction("""COMPUTED_VALUE"""),"Elizabee")</f>
        <v>Elizabee</v>
      </c>
      <c r="E27" s="6" t="str">
        <f aca="false">IFERROR(__xludf.dummyfunction("""COMPUTED_VALUE"""),"Ice Kingpaca")</f>
        <v>Ice Kingpaca</v>
      </c>
      <c r="I27" s="6" t="str">
        <f aca="false">IFERROR(__xludf.dummyfunction("""COMPUTED_VALUE"""),"Jetragon")</f>
        <v>Jetragon</v>
      </c>
      <c r="L27" s="1" t="e">
        <v>#NAME?</v>
      </c>
      <c r="M27" s="1" t="e">
        <v>#NAME?</v>
      </c>
      <c r="N27" s="1" t="e">
        <v>#NAME?</v>
      </c>
      <c r="O27" s="3"/>
      <c r="P27" s="3" t="e">
        <v>#NAME?</v>
      </c>
      <c r="Q27" s="3"/>
      <c r="R27" s="3"/>
    </row>
    <row r="28" customFormat="false" ht="15.75" hidden="false" customHeight="false" outlineLevel="0" collapsed="false">
      <c r="A28" s="6" t="str">
        <f aca="false">IFERROR(__xludf.dummyfunction("""COMPUTED_VALUE"""),"Elizabee")</f>
        <v>Elizabee</v>
      </c>
      <c r="B28" s="6" t="str">
        <f aca="false">IFERROR(__xludf.dummyfunction("""COMPUTED_VALUE"""),"Sibelyx")</f>
        <v>Sibelyx</v>
      </c>
      <c r="D28" s="6" t="str">
        <f aca="false">IFERROR(__xludf.dummyfunction("""COMPUTED_VALUE"""),"Grintale")</f>
        <v>Grintale</v>
      </c>
      <c r="E28" s="6" t="str">
        <f aca="false">IFERROR(__xludf.dummyfunction("""COMPUTED_VALUE"""),"Pyrin Noct")</f>
        <v>Pyrin Noct</v>
      </c>
      <c r="I28" s="6" t="str">
        <f aca="false">IFERROR(__xludf.dummyfunction("""COMPUTED_VALUE"""),"Jormuntide")</f>
        <v>Jormuntide</v>
      </c>
      <c r="L28" s="1" t="e">
        <v>#NAME?</v>
      </c>
      <c r="M28" s="1" t="e">
        <v>#NAME?</v>
      </c>
      <c r="N28" s="1" t="e">
        <v>#NAME?</v>
      </c>
      <c r="O28" s="3"/>
      <c r="P28" s="3" t="e">
        <v>#NAME?</v>
      </c>
      <c r="Q28" s="3"/>
      <c r="R28" s="3"/>
    </row>
    <row r="29" customFormat="false" ht="15.75" hidden="false" customHeight="false" outlineLevel="0" collapsed="false">
      <c r="A29" s="6" t="str">
        <f aca="false">IFERROR(__xludf.dummyfunction("""COMPUTED_VALUE"""),"Elizabee")</f>
        <v>Elizabee</v>
      </c>
      <c r="B29" s="6" t="str">
        <f aca="false">IFERROR(__xludf.dummyfunction("""COMPUTED_VALUE"""),"Ice Kingpaca")</f>
        <v>Ice Kingpaca</v>
      </c>
      <c r="D29" s="6" t="str">
        <f aca="false">IFERROR(__xludf.dummyfunction("""COMPUTED_VALUE"""),"Grintale")</f>
        <v>Grintale</v>
      </c>
      <c r="E29" s="6" t="str">
        <f aca="false">IFERROR(__xludf.dummyfunction("""COMPUTED_VALUE"""),"Relaxaurus Lux")</f>
        <v>Relaxaurus Lux</v>
      </c>
      <c r="I29" s="6" t="str">
        <f aca="false">IFERROR(__xludf.dummyfunction("""COMPUTED_VALUE"""),"Jormuntide Ignis")</f>
        <v>Jormuntide Ignis</v>
      </c>
      <c r="L29" s="1" t="e">
        <v>#NAME?</v>
      </c>
      <c r="M29" s="1" t="e">
        <v>#NAME?</v>
      </c>
      <c r="N29" s="1" t="e">
        <v>#NAME?</v>
      </c>
      <c r="O29" s="3"/>
      <c r="P29" s="3" t="e">
        <v>#NAME?</v>
      </c>
      <c r="Q29" s="3"/>
      <c r="R29" s="3"/>
    </row>
    <row r="30" customFormat="false" ht="15.75" hidden="false" customHeight="false" outlineLevel="0" collapsed="false">
      <c r="A30" s="6" t="str">
        <f aca="false">IFERROR(__xludf.dummyfunction("""COMPUTED_VALUE"""),"Grintale")</f>
        <v>Grintale</v>
      </c>
      <c r="B30" s="6" t="str">
        <f aca="false">IFERROR(__xludf.dummyfunction("""COMPUTED_VALUE"""),"Pyrin Noct")</f>
        <v>Pyrin Noct</v>
      </c>
      <c r="D30" s="6" t="str">
        <f aca="false">IFERROR(__xludf.dummyfunction("""COMPUTED_VALUE"""),"Grintale")</f>
        <v>Grintale</v>
      </c>
      <c r="E30" s="6" t="str">
        <f aca="false">IFERROR(__xludf.dummyfunction("""COMPUTED_VALUE"""),"Menasting")</f>
        <v>Menasting</v>
      </c>
      <c r="I30" s="6" t="str">
        <f aca="false">IFERROR(__xludf.dummyfunction("""COMPUTED_VALUE"""),"Katress")</f>
        <v>Katress</v>
      </c>
      <c r="L30" s="1" t="e">
        <v>#NAME?</v>
      </c>
      <c r="M30" s="1" t="e">
        <v>#NAME?</v>
      </c>
      <c r="N30" s="1" t="e">
        <v>#NAME?</v>
      </c>
      <c r="O30" s="3"/>
      <c r="P30" s="3" t="e">
        <v>#NAME?</v>
      </c>
      <c r="Q30" s="3"/>
      <c r="R30" s="3"/>
    </row>
    <row r="31" customFormat="false" ht="15.75" hidden="false" customHeight="false" outlineLevel="0" collapsed="false">
      <c r="A31" s="6" t="str">
        <f aca="false">IFERROR(__xludf.dummyfunction("""COMPUTED_VALUE"""),"Grintale")</f>
        <v>Grintale</v>
      </c>
      <c r="B31" s="6" t="str">
        <f aca="false">IFERROR(__xludf.dummyfunction("""COMPUTED_VALUE"""),"Relaxaurus Lux")</f>
        <v>Relaxaurus Lux</v>
      </c>
      <c r="D31" s="6" t="str">
        <f aca="false">IFERROR(__xludf.dummyfunction("""COMPUTED_VALUE"""),"Grintale")</f>
        <v>Grintale</v>
      </c>
      <c r="E31" s="6" t="str">
        <f aca="false">IFERROR(__xludf.dummyfunction("""COMPUTED_VALUE"""),"Lyleen")</f>
        <v>Lyleen</v>
      </c>
      <c r="I31" s="6" t="str">
        <f aca="false">IFERROR(__xludf.dummyfunction("""COMPUTED_VALUE"""),"Kingpaca")</f>
        <v>Kingpaca</v>
      </c>
      <c r="L31" s="1" t="e">
        <v>#NAME?</v>
      </c>
      <c r="M31" s="1" t="e">
        <v>#NAME?</v>
      </c>
      <c r="N31" s="1" t="e">
        <v>#NAME?</v>
      </c>
      <c r="O31" s="3"/>
      <c r="P31" s="3" t="e">
        <v>#NAME?</v>
      </c>
      <c r="Q31" s="3"/>
      <c r="R31" s="3"/>
    </row>
    <row r="32" customFormat="false" ht="15.75" hidden="false" customHeight="false" outlineLevel="0" collapsed="false">
      <c r="A32" s="6" t="str">
        <f aca="false">IFERROR(__xludf.dummyfunction("""COMPUTED_VALUE"""),"Grintale")</f>
        <v>Grintale</v>
      </c>
      <c r="B32" s="6" t="str">
        <f aca="false">IFERROR(__xludf.dummyfunction("""COMPUTED_VALUE"""),"Menasting")</f>
        <v>Menasting</v>
      </c>
      <c r="D32" s="6" t="str">
        <f aca="false">IFERROR(__xludf.dummyfunction("""COMPUTED_VALUE"""),"Sweepa")</f>
        <v>Sweepa</v>
      </c>
      <c r="E32" s="6" t="str">
        <f aca="false">IFERROR(__xludf.dummyfunction("""COMPUTED_VALUE"""),"Pyrin")</f>
        <v>Pyrin</v>
      </c>
      <c r="I32" s="6" t="str">
        <f aca="false">IFERROR(__xludf.dummyfunction("""COMPUTED_VALUE"""),"Lyleen")</f>
        <v>Lyleen</v>
      </c>
      <c r="L32" s="1" t="e">
        <v>#NAME?</v>
      </c>
      <c r="M32" s="1" t="e">
        <v>#NAME?</v>
      </c>
      <c r="N32" s="1" t="e">
        <v>#NAME?</v>
      </c>
      <c r="O32" s="3"/>
      <c r="P32" s="3" t="e">
        <v>#NAME?</v>
      </c>
      <c r="Q32" s="3"/>
      <c r="R32" s="3"/>
    </row>
    <row r="33" customFormat="false" ht="15.75" hidden="false" customHeight="false" outlineLevel="0" collapsed="false">
      <c r="A33" s="6" t="str">
        <f aca="false">IFERROR(__xludf.dummyfunction("""COMPUTED_VALUE"""),"Grintale")</f>
        <v>Grintale</v>
      </c>
      <c r="B33" s="6" t="str">
        <f aca="false">IFERROR(__xludf.dummyfunction("""COMPUTED_VALUE"""),"Lyleen")</f>
        <v>Lyleen</v>
      </c>
      <c r="D33" s="6" t="str">
        <f aca="false">IFERROR(__xludf.dummyfunction("""COMPUTED_VALUE"""),"Sweepa")</f>
        <v>Sweepa</v>
      </c>
      <c r="E33" s="6" t="str">
        <f aca="false">IFERROR(__xludf.dummyfunction("""COMPUTED_VALUE"""),"Warsect")</f>
        <v>Warsect</v>
      </c>
      <c r="I33" s="6" t="str">
        <f aca="false">IFERROR(__xludf.dummyfunction("""COMPUTED_VALUE"""),"Lyleen Noct")</f>
        <v>Lyleen Noct</v>
      </c>
      <c r="L33" s="1" t="e">
        <v>#NAME?</v>
      </c>
      <c r="M33" s="1" t="e">
        <v>#NAME?</v>
      </c>
      <c r="N33" s="1" t="e">
        <v>#NAME?</v>
      </c>
      <c r="O33" s="3"/>
      <c r="P33" s="3" t="e">
        <v>#NAME?</v>
      </c>
      <c r="Q33" s="3"/>
      <c r="R33" s="3"/>
    </row>
    <row r="34" customFormat="false" ht="15.75" hidden="false" customHeight="false" outlineLevel="0" collapsed="false">
      <c r="A34" s="6" t="str">
        <f aca="false">IFERROR(__xludf.dummyfunction("""COMPUTED_VALUE"""),"Sweepa")</f>
        <v>Sweepa</v>
      </c>
      <c r="B34" s="6" t="str">
        <f aca="false">IFERROR(__xludf.dummyfunction("""COMPUTED_VALUE"""),"Pyrin")</f>
        <v>Pyrin</v>
      </c>
      <c r="D34" s="6" t="str">
        <f aca="false">IFERROR(__xludf.dummyfunction("""COMPUTED_VALUE"""),"Sweepa")</f>
        <v>Sweepa</v>
      </c>
      <c r="E34" s="6" t="str">
        <f aca="false">IFERROR(__xludf.dummyfunction("""COMPUTED_VALUE"""),"Quivern")</f>
        <v>Quivern</v>
      </c>
      <c r="I34" s="6" t="str">
        <f aca="false">IFERROR(__xludf.dummyfunction("""COMPUTED_VALUE"""),"Mammorest")</f>
        <v>Mammorest</v>
      </c>
      <c r="L34" s="1" t="e">
        <v>#NAME?</v>
      </c>
      <c r="M34" s="1" t="e">
        <v>#NAME?</v>
      </c>
      <c r="N34" s="1" t="e">
        <v>#NAME?</v>
      </c>
      <c r="O34" s="3"/>
      <c r="P34" s="3" t="e">
        <v>#NAME?</v>
      </c>
      <c r="Q34" s="3"/>
      <c r="R34" s="3"/>
    </row>
    <row r="35" customFormat="false" ht="15.75" hidden="false" customHeight="false" outlineLevel="0" collapsed="false">
      <c r="A35" s="6" t="str">
        <f aca="false">IFERROR(__xludf.dummyfunction("""COMPUTED_VALUE"""),"Sweepa")</f>
        <v>Sweepa</v>
      </c>
      <c r="B35" s="6" t="str">
        <f aca="false">IFERROR(__xludf.dummyfunction("""COMPUTED_VALUE"""),"Warsect")</f>
        <v>Warsect</v>
      </c>
      <c r="D35" s="6" t="str">
        <f aca="false">IFERROR(__xludf.dummyfunction("""COMPUTED_VALUE"""),"Sweepa")</f>
        <v>Sweepa</v>
      </c>
      <c r="E35" s="6" t="str">
        <f aca="false">IFERROR(__xludf.dummyfunction("""COMPUTED_VALUE"""),"Faleris")</f>
        <v>Faleris</v>
      </c>
      <c r="I35" s="6" t="str">
        <f aca="false">IFERROR(__xludf.dummyfunction("""COMPUTED_VALUE"""),"Mammorest Cryst")</f>
        <v>Mammorest Cryst</v>
      </c>
      <c r="L35" s="1" t="e">
        <v>#NAME?</v>
      </c>
      <c r="M35" s="1" t="e">
        <v>#NAME?</v>
      </c>
      <c r="N35" s="1" t="e">
        <v>#NAME?</v>
      </c>
      <c r="O35" s="3"/>
      <c r="P35" s="3" t="e">
        <v>#NAME?</v>
      </c>
      <c r="Q35" s="3"/>
      <c r="R35" s="3"/>
    </row>
    <row r="36" customFormat="false" ht="15.75" hidden="false" customHeight="false" outlineLevel="0" collapsed="false">
      <c r="A36" s="6" t="str">
        <f aca="false">IFERROR(__xludf.dummyfunction("""COMPUTED_VALUE"""),"Sweepa")</f>
        <v>Sweepa</v>
      </c>
      <c r="B36" s="6" t="str">
        <f aca="false">IFERROR(__xludf.dummyfunction("""COMPUTED_VALUE"""),"Quivern")</f>
        <v>Quivern</v>
      </c>
      <c r="D36" s="6" t="str">
        <f aca="false">IFERROR(__xludf.dummyfunction("""COMPUTED_VALUE"""),"Univolt")</f>
        <v>Univolt</v>
      </c>
      <c r="E36" s="6" t="str">
        <f aca="false">IFERROR(__xludf.dummyfunction("""COMPUTED_VALUE"""),"Paladius")</f>
        <v>Paladius</v>
      </c>
      <c r="I36" s="6" t="str">
        <f aca="false">IFERROR(__xludf.dummyfunction("""COMPUTED_VALUE"""),"Menasting")</f>
        <v>Menasting</v>
      </c>
      <c r="L36" s="1" t="e">
        <v>#NAME?</v>
      </c>
      <c r="M36" s="1" t="e">
        <v>#NAME?</v>
      </c>
      <c r="N36" s="1" t="e">
        <v>#NAME?</v>
      </c>
      <c r="O36" s="3"/>
      <c r="P36" s="3" t="e">
        <v>#NAME?</v>
      </c>
      <c r="Q36" s="3"/>
      <c r="R36" s="3"/>
    </row>
    <row r="37" customFormat="false" ht="15.75" hidden="false" customHeight="false" outlineLevel="0" collapsed="false">
      <c r="A37" s="6" t="str">
        <f aca="false">IFERROR(__xludf.dummyfunction("""COMPUTED_VALUE"""),"Sweepa")</f>
        <v>Sweepa</v>
      </c>
      <c r="B37" s="6" t="str">
        <f aca="false">IFERROR(__xludf.dummyfunction("""COMPUTED_VALUE"""),"Faleris")</f>
        <v>Faleris</v>
      </c>
      <c r="D37" s="6" t="str">
        <f aca="false">IFERROR(__xludf.dummyfunction("""COMPUTED_VALUE"""),"Univolt")</f>
        <v>Univolt</v>
      </c>
      <c r="E37" s="6" t="str">
        <f aca="false">IFERROR(__xludf.dummyfunction("""COMPUTED_VALUE"""),"Necromus")</f>
        <v>Necromus</v>
      </c>
      <c r="I37" s="6" t="str">
        <f aca="false">IFERROR(__xludf.dummyfunction("""COMPUTED_VALUE"""),"Mossanda")</f>
        <v>Mossanda</v>
      </c>
      <c r="L37" s="1" t="e">
        <v>#NAME?</v>
      </c>
      <c r="M37" s="1" t="e">
        <v>#NAME?</v>
      </c>
      <c r="N37" s="1" t="e">
        <v>#NAME?</v>
      </c>
      <c r="O37" s="3"/>
      <c r="P37" s="3" t="e">
        <v>#NAME?</v>
      </c>
      <c r="Q37" s="3"/>
      <c r="R37" s="3"/>
    </row>
    <row r="38" customFormat="false" ht="15.75" hidden="false" customHeight="false" outlineLevel="0" collapsed="false">
      <c r="A38" s="6" t="str">
        <f aca="false">IFERROR(__xludf.dummyfunction("""COMPUTED_VALUE"""),"Univolt")</f>
        <v>Univolt</v>
      </c>
      <c r="B38" s="6" t="str">
        <f aca="false">IFERROR(__xludf.dummyfunction("""COMPUTED_VALUE"""),"Paladius")</f>
        <v>Paladius</v>
      </c>
      <c r="D38" s="6" t="str">
        <f aca="false">IFERROR(__xludf.dummyfunction("""COMPUTED_VALUE"""),"Univolt")</f>
        <v>Univolt</v>
      </c>
      <c r="E38" s="6" t="str">
        <f aca="false">IFERROR(__xludf.dummyfunction("""COMPUTED_VALUE"""),"Frostallion Noct")</f>
        <v>Frostallion Noct</v>
      </c>
      <c r="I38" s="6" t="str">
        <f aca="false">IFERROR(__xludf.dummyfunction("""COMPUTED_VALUE"""),"Mossanda Lux")</f>
        <v>Mossanda Lux</v>
      </c>
      <c r="L38" s="1" t="e">
        <v>#NAME?</v>
      </c>
      <c r="M38" s="1" t="e">
        <v>#NAME?</v>
      </c>
      <c r="N38" s="1" t="e">
        <v>#NAME?</v>
      </c>
      <c r="O38" s="3"/>
      <c r="P38" s="3" t="e">
        <v>#NAME?</v>
      </c>
      <c r="Q38" s="3"/>
      <c r="R38" s="3"/>
    </row>
    <row r="39" customFormat="false" ht="15.75" hidden="false" customHeight="false" outlineLevel="0" collapsed="false">
      <c r="A39" s="6" t="str">
        <f aca="false">IFERROR(__xludf.dummyfunction("""COMPUTED_VALUE"""),"Univolt")</f>
        <v>Univolt</v>
      </c>
      <c r="B39" s="6" t="str">
        <f aca="false">IFERROR(__xludf.dummyfunction("""COMPUTED_VALUE"""),"Necromus")</f>
        <v>Necromus</v>
      </c>
      <c r="D39" s="6" t="str">
        <f aca="false">IFERROR(__xludf.dummyfunction("""COMPUTED_VALUE"""),"Univolt")</f>
        <v>Univolt</v>
      </c>
      <c r="E39" s="6" t="str">
        <f aca="false">IFERROR(__xludf.dummyfunction("""COMPUTED_VALUE"""),"Jetragon")</f>
        <v>Jetragon</v>
      </c>
      <c r="I39" s="6" t="str">
        <f aca="false">IFERROR(__xludf.dummyfunction("""COMPUTED_VALUE"""),"Necromus")</f>
        <v>Necromus</v>
      </c>
      <c r="L39" s="1" t="e">
        <v>#NAME?</v>
      </c>
      <c r="M39" s="1" t="e">
        <v>#NAME?</v>
      </c>
      <c r="N39" s="1" t="e">
        <v>#NAME?</v>
      </c>
      <c r="O39" s="3"/>
      <c r="P39" s="3" t="e">
        <v>#NAME?</v>
      </c>
      <c r="Q39" s="3"/>
      <c r="R39" s="3"/>
    </row>
    <row r="40" customFormat="false" ht="15.75" hidden="false" customHeight="false" outlineLevel="0" collapsed="false">
      <c r="A40" s="6" t="str">
        <f aca="false">IFERROR(__xludf.dummyfunction("""COMPUTED_VALUE"""),"Univolt")</f>
        <v>Univolt</v>
      </c>
      <c r="B40" s="6" t="str">
        <f aca="false">IFERROR(__xludf.dummyfunction("""COMPUTED_VALUE"""),"Frostallion Noct")</f>
        <v>Frostallion Noct</v>
      </c>
      <c r="D40" s="6" t="str">
        <f aca="false">IFERROR(__xludf.dummyfunction("""COMPUTED_VALUE"""),"Foxcicle")</f>
        <v>Foxcicle</v>
      </c>
      <c r="E40" s="6" t="str">
        <f aca="false">IFERROR(__xludf.dummyfunction("""COMPUTED_VALUE"""),"Blazamut")</f>
        <v>Blazamut</v>
      </c>
      <c r="I40" s="6" t="str">
        <f aca="false">IFERROR(__xludf.dummyfunction("""COMPUTED_VALUE"""),"Nitewing")</f>
        <v>Nitewing</v>
      </c>
      <c r="L40" s="1" t="e">
        <v>#NAME?</v>
      </c>
      <c r="M40" s="1" t="e">
        <v>#NAME?</v>
      </c>
      <c r="N40" s="1" t="e">
        <v>#NAME?</v>
      </c>
      <c r="O40" s="3"/>
      <c r="P40" s="3" t="e">
        <v>#NAME?</v>
      </c>
      <c r="Q40" s="3"/>
      <c r="R40" s="3"/>
    </row>
    <row r="41" customFormat="false" ht="15.75" hidden="false" customHeight="false" outlineLevel="0" collapsed="false">
      <c r="A41" s="6" t="str">
        <f aca="false">IFERROR(__xludf.dummyfunction("""COMPUTED_VALUE"""),"Univolt")</f>
        <v>Univolt</v>
      </c>
      <c r="B41" s="6" t="str">
        <f aca="false">IFERROR(__xludf.dummyfunction("""COMPUTED_VALUE"""),"Jetragon")</f>
        <v>Jetragon</v>
      </c>
      <c r="D41" s="6" t="str">
        <f aca="false">IFERROR(__xludf.dummyfunction("""COMPUTED_VALUE"""),"Pyrin Noct")</f>
        <v>Pyrin Noct</v>
      </c>
      <c r="E41" s="6" t="str">
        <f aca="false">IFERROR(__xludf.dummyfunction("""COMPUTED_VALUE"""),"Elphidran")</f>
        <v>Elphidran</v>
      </c>
      <c r="I41" s="6" t="str">
        <f aca="false">IFERROR(__xludf.dummyfunction("""COMPUTED_VALUE"""),"Orserk")</f>
        <v>Orserk</v>
      </c>
      <c r="L41" s="1" t="e">
        <v>#NAME?</v>
      </c>
      <c r="M41" s="1" t="e">
        <v>#NAME?</v>
      </c>
      <c r="N41" s="1" t="e">
        <v>#NAME?</v>
      </c>
      <c r="O41" s="3"/>
      <c r="P41" s="3" t="e">
        <v>#NAME?</v>
      </c>
      <c r="Q41" s="3"/>
      <c r="R41" s="3"/>
    </row>
    <row r="42" customFormat="false" ht="15.75" hidden="false" customHeight="false" outlineLevel="0" collapsed="false">
      <c r="A42" s="6" t="str">
        <f aca="false">IFERROR(__xludf.dummyfunction("""COMPUTED_VALUE"""),"Foxcicle")</f>
        <v>Foxcicle</v>
      </c>
      <c r="B42" s="6" t="str">
        <f aca="false">IFERROR(__xludf.dummyfunction("""COMPUTED_VALUE"""),"Blazamut")</f>
        <v>Blazamut</v>
      </c>
      <c r="D42" s="6" t="str">
        <f aca="false">IFERROR(__xludf.dummyfunction("""COMPUTED_VALUE"""),"Pyrin Noct")</f>
        <v>Pyrin Noct</v>
      </c>
      <c r="E42" s="6" t="str">
        <f aca="false">IFERROR(__xludf.dummyfunction("""COMPUTED_VALUE"""),"Elphidran Aqua")</f>
        <v>Elphidran Aqua</v>
      </c>
      <c r="I42" s="6" t="str">
        <f aca="false">IFERROR(__xludf.dummyfunction("""COMPUTED_VALUE"""),"Paladius")</f>
        <v>Paladius</v>
      </c>
      <c r="L42" s="1" t="e">
        <v>#NAME?</v>
      </c>
      <c r="M42" s="1" t="e">
        <v>#NAME?</v>
      </c>
      <c r="N42" s="1" t="e">
        <v>#NAME?</v>
      </c>
      <c r="O42" s="3"/>
      <c r="P42" s="3" t="e">
        <v>#NAME?</v>
      </c>
      <c r="Q42" s="3"/>
      <c r="R42" s="3"/>
    </row>
    <row r="43" customFormat="false" ht="15.75" hidden="false" customHeight="false" outlineLevel="0" collapsed="false">
      <c r="A43" s="6" t="str">
        <f aca="false">IFERROR(__xludf.dummyfunction("""COMPUTED_VALUE"""),"Pyrin")</f>
        <v>Pyrin</v>
      </c>
      <c r="B43" s="6" t="str">
        <f aca="false">IFERROR(__xludf.dummyfunction("""COMPUTED_VALUE"""),"Mossanda Lux")</f>
        <v>Mossanda Lux</v>
      </c>
      <c r="D43" s="6" t="str">
        <f aca="false">IFERROR(__xludf.dummyfunction("""COMPUTED_VALUE"""),"Rayhound")</f>
        <v>Rayhound</v>
      </c>
      <c r="E43" s="6" t="str">
        <f aca="false">IFERROR(__xludf.dummyfunction("""COMPUTED_VALUE"""),"Blazamut")</f>
        <v>Blazamut</v>
      </c>
      <c r="I43" s="6" t="str">
        <f aca="false">IFERROR(__xludf.dummyfunction("""COMPUTED_VALUE"""),"Penking")</f>
        <v>Penking</v>
      </c>
      <c r="L43" s="1" t="e">
        <v>#NAME?</v>
      </c>
      <c r="M43" s="1" t="e">
        <v>#NAME?</v>
      </c>
      <c r="N43" s="1" t="e">
        <v>#NAME?</v>
      </c>
      <c r="O43" s="3"/>
      <c r="P43" s="3" t="e">
        <v>#NAME?</v>
      </c>
      <c r="Q43" s="3"/>
      <c r="R43" s="3"/>
    </row>
    <row r="44" customFormat="false" ht="15.75" hidden="false" customHeight="false" outlineLevel="0" collapsed="false">
      <c r="A44" s="6" t="str">
        <f aca="false">IFERROR(__xludf.dummyfunction("""COMPUTED_VALUE"""),"Pyrin")</f>
        <v>Pyrin</v>
      </c>
      <c r="B44" s="6" t="str">
        <f aca="false">IFERROR(__xludf.dummyfunction("""COMPUTED_VALUE"""),"Nitewing")</f>
        <v>Nitewing</v>
      </c>
      <c r="D44" s="6" t="str">
        <f aca="false">IFERROR(__xludf.dummyfunction("""COMPUTED_VALUE"""),"Rayhound")</f>
        <v>Rayhound</v>
      </c>
      <c r="E44" s="6" t="str">
        <f aca="false">IFERROR(__xludf.dummyfunction("""COMPUTED_VALUE"""),"Suzaku Aqua")</f>
        <v>Suzaku Aqua</v>
      </c>
      <c r="I44" s="6" t="str">
        <f aca="false">IFERROR(__xludf.dummyfunction("""COMPUTED_VALUE"""),"Pyrin")</f>
        <v>Pyrin</v>
      </c>
      <c r="L44" s="1" t="e">
        <v>#NAME?</v>
      </c>
      <c r="M44" s="1" t="e">
        <v>#NAME?</v>
      </c>
      <c r="N44" s="1" t="e">
        <v>#NAME?</v>
      </c>
      <c r="O44" s="3"/>
      <c r="P44" s="3" t="e">
        <v>#NAME?</v>
      </c>
      <c r="Q44" s="3"/>
      <c r="R44" s="3"/>
    </row>
    <row r="45" customFormat="false" ht="15.75" hidden="false" customHeight="false" outlineLevel="0" collapsed="false">
      <c r="A45" s="6" t="str">
        <f aca="false">IFERROR(__xludf.dummyfunction("""COMPUTED_VALUE"""),"Pyrin")</f>
        <v>Pyrin</v>
      </c>
      <c r="B45" s="6" t="str">
        <f aca="false">IFERROR(__xludf.dummyfunction("""COMPUTED_VALUE"""),"Sweepa")</f>
        <v>Sweepa</v>
      </c>
      <c r="D45" s="6" t="str">
        <f aca="false">IFERROR(__xludf.dummyfunction("""COMPUTED_VALUE"""),"Surfent")</f>
        <v>Surfent</v>
      </c>
      <c r="E45" s="6" t="str">
        <f aca="false">IFERROR(__xludf.dummyfunction("""COMPUTED_VALUE"""),"Beakon")</f>
        <v>Beakon</v>
      </c>
      <c r="I45" s="6" t="str">
        <f aca="false">IFERROR(__xludf.dummyfunction("""COMPUTED_VALUE"""),"Pyrin Noct")</f>
        <v>Pyrin Noct</v>
      </c>
      <c r="L45" s="1" t="e">
        <v>#NAME?</v>
      </c>
      <c r="M45" s="1" t="e">
        <v>#NAME?</v>
      </c>
      <c r="N45" s="1" t="e">
        <v>#NAME?</v>
      </c>
      <c r="O45" s="3"/>
      <c r="P45" s="3" t="e">
        <v>#NAME?</v>
      </c>
      <c r="Q45" s="3"/>
      <c r="R45" s="3"/>
    </row>
    <row r="46" customFormat="false" ht="15.75" hidden="false" customHeight="false" outlineLevel="0" collapsed="false">
      <c r="A46" s="6" t="str">
        <f aca="false">IFERROR(__xludf.dummyfunction("""COMPUTED_VALUE"""),"Pyrin Noct")</f>
        <v>Pyrin Noct</v>
      </c>
      <c r="B46" s="6" t="str">
        <f aca="false">IFERROR(__xludf.dummyfunction("""COMPUTED_VALUE"""),"Penking")</f>
        <v>Penking</v>
      </c>
      <c r="D46" s="6" t="str">
        <f aca="false">IFERROR(__xludf.dummyfunction("""COMPUTED_VALUE"""),"Surfent")</f>
        <v>Surfent</v>
      </c>
      <c r="E46" s="6" t="str">
        <f aca="false">IFERROR(__xludf.dummyfunction("""COMPUTED_VALUE"""),"Helzephyr")</f>
        <v>Helzephyr</v>
      </c>
      <c r="I46" s="6" t="str">
        <f aca="false">IFERROR(__xludf.dummyfunction("""COMPUTED_VALUE"""),"Quivern")</f>
        <v>Quivern</v>
      </c>
      <c r="L46" s="1" t="e">
        <v>#NAME?</v>
      </c>
      <c r="M46" s="1" t="e">
        <v>#NAME?</v>
      </c>
      <c r="N46" s="1" t="e">
        <v>#NAME?</v>
      </c>
      <c r="O46" s="3"/>
      <c r="P46" s="3" t="e">
        <v>#NAME?</v>
      </c>
      <c r="Q46" s="3"/>
      <c r="R46" s="3"/>
    </row>
    <row r="47" customFormat="false" ht="15.75" hidden="false" customHeight="false" outlineLevel="0" collapsed="false">
      <c r="A47" s="6" t="str">
        <f aca="false">IFERROR(__xludf.dummyfunction("""COMPUTED_VALUE"""),"Pyrin Noct")</f>
        <v>Pyrin Noct</v>
      </c>
      <c r="B47" s="6" t="str">
        <f aca="false">IFERROR(__xludf.dummyfunction("""COMPUTED_VALUE"""),"Grintale")</f>
        <v>Grintale</v>
      </c>
      <c r="D47" s="6" t="str">
        <f aca="false">IFERROR(__xludf.dummyfunction("""COMPUTED_VALUE"""),"Surfent")</f>
        <v>Surfent</v>
      </c>
      <c r="E47" s="6" t="str">
        <f aca="false">IFERROR(__xludf.dummyfunction("""COMPUTED_VALUE"""),"Grizzbolt")</f>
        <v>Grizzbolt</v>
      </c>
      <c r="I47" s="6" t="str">
        <f aca="false">IFERROR(__xludf.dummyfunction("""COMPUTED_VALUE"""),"Ragnahawk")</f>
        <v>Ragnahawk</v>
      </c>
      <c r="L47" s="1" t="e">
        <v>#NAME?</v>
      </c>
      <c r="M47" s="1" t="e">
        <v>#NAME?</v>
      </c>
      <c r="N47" s="1" t="e">
        <v>#NAME?</v>
      </c>
      <c r="O47" s="3"/>
      <c r="P47" s="3" t="e">
        <v>#NAME?</v>
      </c>
      <c r="Q47" s="3"/>
      <c r="R47" s="3"/>
    </row>
    <row r="48" customFormat="false" ht="15.75" hidden="false" customHeight="false" outlineLevel="0" collapsed="false">
      <c r="A48" s="6" t="str">
        <f aca="false">IFERROR(__xludf.dummyfunction("""COMPUTED_VALUE"""),"Pyrin Noct")</f>
        <v>Pyrin Noct</v>
      </c>
      <c r="B48" s="6" t="str">
        <f aca="false">IFERROR(__xludf.dummyfunction("""COMPUTED_VALUE"""),"Elphidran")</f>
        <v>Elphidran</v>
      </c>
      <c r="D48" s="6" t="str">
        <f aca="false">IFERROR(__xludf.dummyfunction("""COMPUTED_VALUE"""),"Surfent")</f>
        <v>Surfent</v>
      </c>
      <c r="E48" s="6" t="str">
        <f aca="false">IFERROR(__xludf.dummyfunction("""COMPUTED_VALUE"""),"Lyleen Noct")</f>
        <v>Lyleen Noct</v>
      </c>
      <c r="I48" s="6" t="str">
        <f aca="false">IFERROR(__xludf.dummyfunction("""COMPUTED_VALUE"""),"Rayhound")</f>
        <v>Rayhound</v>
      </c>
      <c r="L48" s="1" t="e">
        <v>#NAME?</v>
      </c>
      <c r="M48" s="1" t="e">
        <v>#NAME?</v>
      </c>
      <c r="N48" s="1" t="e">
        <v>#NAME?</v>
      </c>
      <c r="O48" s="3"/>
      <c r="P48" s="3" t="e">
        <v>#NAME?</v>
      </c>
      <c r="Q48" s="3"/>
      <c r="R48" s="3"/>
    </row>
    <row r="49" customFormat="false" ht="15.75" hidden="false" customHeight="false" outlineLevel="0" collapsed="false">
      <c r="A49" s="6" t="str">
        <f aca="false">IFERROR(__xludf.dummyfunction("""COMPUTED_VALUE"""),"Pyrin Noct")</f>
        <v>Pyrin Noct</v>
      </c>
      <c r="B49" s="6" t="str">
        <f aca="false">IFERROR(__xludf.dummyfunction("""COMPUTED_VALUE"""),"Elphidran Aqua")</f>
        <v>Elphidran Aqua</v>
      </c>
      <c r="D49" s="6" t="str">
        <f aca="false">IFERROR(__xludf.dummyfunction("""COMPUTED_VALUE"""),"Surfent Terra")</f>
        <v>Surfent Terra</v>
      </c>
      <c r="E49" s="6" t="str">
        <f aca="false">IFERROR(__xludf.dummyfunction("""COMPUTED_VALUE"""),"Beakon")</f>
        <v>Beakon</v>
      </c>
      <c r="I49" s="6" t="str">
        <f aca="false">IFERROR(__xludf.dummyfunction("""COMPUTED_VALUE"""),"Relaxaurus")</f>
        <v>Relaxaurus</v>
      </c>
      <c r="L49" s="1" t="e">
        <v>#NAME?</v>
      </c>
      <c r="M49" s="1" t="e">
        <v>#NAME?</v>
      </c>
      <c r="N49" s="1" t="e">
        <v>#NAME?</v>
      </c>
      <c r="O49" s="3"/>
      <c r="P49" s="3" t="e">
        <v>#NAME?</v>
      </c>
      <c r="Q49" s="3"/>
      <c r="R49" s="3"/>
    </row>
    <row r="50" customFormat="false" ht="15.75" hidden="false" customHeight="false" outlineLevel="0" collapsed="false">
      <c r="A50" s="6" t="str">
        <f aca="false">IFERROR(__xludf.dummyfunction("""COMPUTED_VALUE"""),"Rayhound")</f>
        <v>Rayhound</v>
      </c>
      <c r="B50" s="6" t="str">
        <f aca="false">IFERROR(__xludf.dummyfunction("""COMPUTED_VALUE"""),"Blazamut")</f>
        <v>Blazamut</v>
      </c>
      <c r="D50" s="6" t="str">
        <f aca="false">IFERROR(__xludf.dummyfunction("""COMPUTED_VALUE"""),"Surfent Terra")</f>
        <v>Surfent Terra</v>
      </c>
      <c r="E50" s="6" t="str">
        <f aca="false">IFERROR(__xludf.dummyfunction("""COMPUTED_VALUE"""),"Ice Reptyro")</f>
        <v>Ice Reptyro</v>
      </c>
      <c r="I50" s="6" t="str">
        <f aca="false">IFERROR(__xludf.dummyfunction("""COMPUTED_VALUE"""),"Relaxaurus Lux")</f>
        <v>Relaxaurus Lux</v>
      </c>
      <c r="L50" s="1" t="e">
        <v>#NAME?</v>
      </c>
      <c r="M50" s="1" t="e">
        <v>#NAME?</v>
      </c>
      <c r="N50" s="1" t="e">
        <v>#NAME?</v>
      </c>
      <c r="O50" s="3"/>
      <c r="P50" s="3" t="e">
        <v>#NAME?</v>
      </c>
      <c r="Q50" s="3"/>
      <c r="R50" s="3"/>
    </row>
    <row r="51" customFormat="false" ht="15.75" hidden="false" customHeight="false" outlineLevel="0" collapsed="false">
      <c r="A51" s="6" t="str">
        <f aca="false">IFERROR(__xludf.dummyfunction("""COMPUTED_VALUE"""),"Rayhound")</f>
        <v>Rayhound</v>
      </c>
      <c r="B51" s="6" t="str">
        <f aca="false">IFERROR(__xludf.dummyfunction("""COMPUTED_VALUE"""),"Suzaku Aqua")</f>
        <v>Suzaku Aqua</v>
      </c>
      <c r="D51" s="6" t="str">
        <f aca="false">IFERROR(__xludf.dummyfunction("""COMPUTED_VALUE"""),"Surfent Terra")</f>
        <v>Surfent Terra</v>
      </c>
      <c r="E51" s="6" t="str">
        <f aca="false">IFERROR(__xludf.dummyfunction("""COMPUTED_VALUE"""),"Grizzbolt")</f>
        <v>Grizzbolt</v>
      </c>
      <c r="I51" s="6" t="str">
        <f aca="false">IFERROR(__xludf.dummyfunction("""COMPUTED_VALUE"""),"Reptyro")</f>
        <v>Reptyro</v>
      </c>
      <c r="L51" s="1" t="e">
        <v>#NAME?</v>
      </c>
      <c r="M51" s="1" t="e">
        <v>#NAME?</v>
      </c>
      <c r="N51" s="1" t="e">
        <v>#NAME?</v>
      </c>
      <c r="O51" s="3"/>
      <c r="P51" s="3" t="e">
        <v>#NAME?</v>
      </c>
      <c r="Q51" s="3"/>
      <c r="R51" s="3"/>
    </row>
    <row r="52" customFormat="false" ht="15.75" hidden="false" customHeight="false" outlineLevel="0" collapsed="false">
      <c r="A52" s="6" t="str">
        <f aca="false">IFERROR(__xludf.dummyfunction("""COMPUTED_VALUE"""),"Surfent")</f>
        <v>Surfent</v>
      </c>
      <c r="B52" s="6" t="str">
        <f aca="false">IFERROR(__xludf.dummyfunction("""COMPUTED_VALUE"""),"Beakon")</f>
        <v>Beakon</v>
      </c>
      <c r="D52" s="6" t="str">
        <f aca="false">IFERROR(__xludf.dummyfunction("""COMPUTED_VALUE"""),"Surfent Terra")</f>
        <v>Surfent Terra</v>
      </c>
      <c r="E52" s="6" t="str">
        <f aca="false">IFERROR(__xludf.dummyfunction("""COMPUTED_VALUE"""),"Lyleen Noct")</f>
        <v>Lyleen Noct</v>
      </c>
      <c r="I52" s="6" t="str">
        <f aca="false">IFERROR(__xludf.dummyfunction("""COMPUTED_VALUE"""),"Shadowbeak")</f>
        <v>Shadowbeak</v>
      </c>
      <c r="L52" s="1" t="e">
        <v>#NAME?</v>
      </c>
      <c r="M52" s="1" t="e">
        <v>#NAME?</v>
      </c>
      <c r="N52" s="1" t="e">
        <v>#NAME?</v>
      </c>
      <c r="O52" s="3"/>
      <c r="P52" s="3" t="e">
        <v>#NAME?</v>
      </c>
      <c r="Q52" s="3"/>
      <c r="R52" s="3"/>
    </row>
    <row r="53" customFormat="false" ht="15.75" hidden="false" customHeight="false" outlineLevel="0" collapsed="false">
      <c r="A53" s="6" t="str">
        <f aca="false">IFERROR(__xludf.dummyfunction("""COMPUTED_VALUE"""),"Surfent")</f>
        <v>Surfent</v>
      </c>
      <c r="B53" s="6" t="str">
        <f aca="false">IFERROR(__xludf.dummyfunction("""COMPUTED_VALUE"""),"Helzephyr")</f>
        <v>Helzephyr</v>
      </c>
      <c r="D53" s="6" t="str">
        <f aca="false">IFERROR(__xludf.dummyfunction("""COMPUTED_VALUE"""),"Tombat")</f>
        <v>Tombat</v>
      </c>
      <c r="E53" s="6" t="str">
        <f aca="false">IFERROR(__xludf.dummyfunction("""COMPUTED_VALUE"""),"Blazamut")</f>
        <v>Blazamut</v>
      </c>
      <c r="I53" s="6" t="str">
        <f aca="false">IFERROR(__xludf.dummyfunction("""COMPUTED_VALUE"""),"Sibelyx")</f>
        <v>Sibelyx</v>
      </c>
      <c r="L53" s="1" t="e">
        <v>#NAME?</v>
      </c>
      <c r="M53" s="1" t="e">
        <v>#NAME?</v>
      </c>
      <c r="N53" s="1" t="e">
        <v>#NAME?</v>
      </c>
      <c r="O53" s="3"/>
      <c r="P53" s="3" t="e">
        <v>#NAME?</v>
      </c>
      <c r="Q53" s="3"/>
      <c r="R53" s="3"/>
    </row>
    <row r="54" customFormat="false" ht="15.75" hidden="false" customHeight="false" outlineLevel="0" collapsed="false">
      <c r="A54" s="6" t="str">
        <f aca="false">IFERROR(__xludf.dummyfunction("""COMPUTED_VALUE"""),"Surfent")</f>
        <v>Surfent</v>
      </c>
      <c r="B54" s="6" t="str">
        <f aca="false">IFERROR(__xludf.dummyfunction("""COMPUTED_VALUE"""),"Grizzbolt")</f>
        <v>Grizzbolt</v>
      </c>
      <c r="D54" s="6" t="str">
        <f aca="false">IFERROR(__xludf.dummyfunction("""COMPUTED_VALUE"""),"Tombat")</f>
        <v>Tombat</v>
      </c>
      <c r="E54" s="6" t="str">
        <f aca="false">IFERROR(__xludf.dummyfunction("""COMPUTED_VALUE"""),"Suzaku Aqua")</f>
        <v>Suzaku Aqua</v>
      </c>
      <c r="I54" s="6" t="str">
        <f aca="false">IFERROR(__xludf.dummyfunction("""COMPUTED_VALUE"""),"Surfent")</f>
        <v>Surfent</v>
      </c>
      <c r="L54" s="1" t="e">
        <v>#NAME?</v>
      </c>
      <c r="M54" s="1" t="e">
        <v>#NAME?</v>
      </c>
      <c r="N54" s="1" t="e">
        <v>#NAME?</v>
      </c>
      <c r="O54" s="3"/>
      <c r="P54" s="3" t="e">
        <v>#NAME?</v>
      </c>
      <c r="Q54" s="3"/>
      <c r="R54" s="3"/>
    </row>
    <row r="55" customFormat="false" ht="15.75" hidden="false" customHeight="false" outlineLevel="0" collapsed="false">
      <c r="A55" s="6" t="str">
        <f aca="false">IFERROR(__xludf.dummyfunction("""COMPUTED_VALUE"""),"Surfent")</f>
        <v>Surfent</v>
      </c>
      <c r="B55" s="6" t="str">
        <f aca="false">IFERROR(__xludf.dummyfunction("""COMPUTED_VALUE"""),"Lyleen Noct")</f>
        <v>Lyleen Noct</v>
      </c>
      <c r="D55" s="6" t="str">
        <f aca="false">IFERROR(__xludf.dummyfunction("""COMPUTED_VALUE"""),"Vanwyrm")</f>
        <v>Vanwyrm</v>
      </c>
      <c r="E55" s="6" t="str">
        <f aca="false">IFERROR(__xludf.dummyfunction("""COMPUTED_VALUE"""),"Frostallion")</f>
        <v>Frostallion</v>
      </c>
      <c r="I55" s="6" t="str">
        <f aca="false">IFERROR(__xludf.dummyfunction("""COMPUTED_VALUE"""),"Surfent Terra")</f>
        <v>Surfent Terra</v>
      </c>
      <c r="L55" s="1" t="e">
        <v>#NAME?</v>
      </c>
      <c r="M55" s="1" t="e">
        <v>#NAME?</v>
      </c>
      <c r="N55" s="1" t="e">
        <v>#NAME?</v>
      </c>
      <c r="O55" s="3"/>
      <c r="P55" s="3" t="e">
        <v>#NAME?</v>
      </c>
      <c r="Q55" s="3"/>
      <c r="R55" s="3"/>
    </row>
    <row r="56" customFormat="false" ht="15.75" hidden="false" customHeight="false" outlineLevel="0" collapsed="false">
      <c r="A56" s="6" t="str">
        <f aca="false">IFERROR(__xludf.dummyfunction("""COMPUTED_VALUE"""),"Surfent Terra")</f>
        <v>Surfent Terra</v>
      </c>
      <c r="B56" s="6" t="str">
        <f aca="false">IFERROR(__xludf.dummyfunction("""COMPUTED_VALUE"""),"Beakon")</f>
        <v>Beakon</v>
      </c>
      <c r="D56" s="6" t="str">
        <f aca="false">IFERROR(__xludf.dummyfunction("""COMPUTED_VALUE"""),"Vanwyrm")</f>
        <v>Vanwyrm</v>
      </c>
      <c r="E56" s="6" t="str">
        <f aca="false">IFERROR(__xludf.dummyfunction("""COMPUTED_VALUE"""),"Frostallion Noct")</f>
        <v>Frostallion Noct</v>
      </c>
      <c r="I56" s="6" t="str">
        <f aca="false">IFERROR(__xludf.dummyfunction("""COMPUTED_VALUE"""),"Suzaku")</f>
        <v>Suzaku</v>
      </c>
      <c r="L56" s="1" t="e">
        <v>#NAME?</v>
      </c>
      <c r="M56" s="1" t="e">
        <v>#NAME?</v>
      </c>
      <c r="N56" s="1" t="e">
        <v>#NAME?</v>
      </c>
      <c r="O56" s="3"/>
      <c r="P56" s="3" t="e">
        <v>#NAME?</v>
      </c>
      <c r="Q56" s="3"/>
      <c r="R56" s="3"/>
    </row>
    <row r="57" customFormat="false" ht="15.75" hidden="false" customHeight="false" outlineLevel="0" collapsed="false">
      <c r="A57" s="6" t="str">
        <f aca="false">IFERROR(__xludf.dummyfunction("""COMPUTED_VALUE"""),"Surfent Terra")</f>
        <v>Surfent Terra</v>
      </c>
      <c r="B57" s="6" t="str">
        <f aca="false">IFERROR(__xludf.dummyfunction("""COMPUTED_VALUE"""),"Ice Reptyro")</f>
        <v>Ice Reptyro</v>
      </c>
      <c r="D57" s="6" t="str">
        <f aca="false">IFERROR(__xludf.dummyfunction("""COMPUTED_VALUE"""),"Vanwyrm")</f>
        <v>Vanwyrm</v>
      </c>
      <c r="E57" s="6" t="str">
        <f aca="false">IFERROR(__xludf.dummyfunction("""COMPUTED_VALUE"""),"Jetragon")</f>
        <v>Jetragon</v>
      </c>
      <c r="I57" s="6" t="str">
        <f aca="false">IFERROR(__xludf.dummyfunction("""COMPUTED_VALUE"""),"Suzaku Aqua")</f>
        <v>Suzaku Aqua</v>
      </c>
      <c r="L57" s="1" t="e">
        <v>#NAME?</v>
      </c>
      <c r="M57" s="1" t="e">
        <v>#NAME?</v>
      </c>
      <c r="N57" s="1" t="e">
        <v>#NAME?</v>
      </c>
      <c r="O57" s="3"/>
      <c r="P57" s="3" t="e">
        <v>#NAME?</v>
      </c>
      <c r="Q57" s="3"/>
      <c r="R57" s="3"/>
    </row>
    <row r="58" customFormat="false" ht="15.75" hidden="false" customHeight="false" outlineLevel="0" collapsed="false">
      <c r="A58" s="6" t="str">
        <f aca="false">IFERROR(__xludf.dummyfunction("""COMPUTED_VALUE"""),"Surfent Terra")</f>
        <v>Surfent Terra</v>
      </c>
      <c r="B58" s="6" t="str">
        <f aca="false">IFERROR(__xludf.dummyfunction("""COMPUTED_VALUE"""),"Grizzbolt")</f>
        <v>Grizzbolt</v>
      </c>
      <c r="D58" s="6" t="str">
        <f aca="false">IFERROR(__xludf.dummyfunction("""COMPUTED_VALUE"""),"Vanwyrm Cryst")</f>
        <v>Vanwyrm Cryst</v>
      </c>
      <c r="E58" s="6" t="str">
        <f aca="false">IFERROR(__xludf.dummyfunction("""COMPUTED_VALUE"""),"Cryolinx")</f>
        <v>Cryolinx</v>
      </c>
      <c r="I58" s="6" t="str">
        <f aca="false">IFERROR(__xludf.dummyfunction("""COMPUTED_VALUE"""),"Sweepa")</f>
        <v>Sweepa</v>
      </c>
      <c r="L58" s="1" t="e">
        <v>#NAME?</v>
      </c>
      <c r="M58" s="1" t="e">
        <v>#NAME?</v>
      </c>
      <c r="N58" s="1" t="e">
        <v>#NAME?</v>
      </c>
      <c r="O58" s="3"/>
      <c r="P58" s="3" t="e">
        <v>#NAME?</v>
      </c>
      <c r="Q58" s="3"/>
      <c r="R58" s="3"/>
    </row>
    <row r="59" customFormat="false" ht="15.75" hidden="false" customHeight="false" outlineLevel="0" collapsed="false">
      <c r="A59" s="6" t="str">
        <f aca="false">IFERROR(__xludf.dummyfunction("""COMPUTED_VALUE"""),"Surfent Terra")</f>
        <v>Surfent Terra</v>
      </c>
      <c r="B59" s="6" t="str">
        <f aca="false">IFERROR(__xludf.dummyfunction("""COMPUTED_VALUE"""),"Lyleen Noct")</f>
        <v>Lyleen Noct</v>
      </c>
      <c r="D59" s="6" t="str">
        <f aca="false">IFERROR(__xludf.dummyfunction("""COMPUTED_VALUE"""),"Vanwyrm Cryst")</f>
        <v>Vanwyrm Cryst</v>
      </c>
      <c r="E59" s="6" t="str">
        <f aca="false">IFERROR(__xludf.dummyfunction("""COMPUTED_VALUE"""),"Astegon")</f>
        <v>Astegon</v>
      </c>
      <c r="I59" s="6" t="str">
        <f aca="false">IFERROR(__xludf.dummyfunction("""COMPUTED_VALUE"""),"Tombat")</f>
        <v>Tombat</v>
      </c>
      <c r="L59" s="1" t="e">
        <v>#NAME?</v>
      </c>
      <c r="M59" s="1" t="e">
        <v>#NAME?</v>
      </c>
      <c r="N59" s="1" t="e">
        <v>#NAME?</v>
      </c>
      <c r="O59" s="3"/>
      <c r="P59" s="3" t="e">
        <v>#NAME?</v>
      </c>
      <c r="Q59" s="3"/>
      <c r="R59" s="3"/>
    </row>
    <row r="60" customFormat="false" ht="15.75" hidden="false" customHeight="false" outlineLevel="0" collapsed="false">
      <c r="A60" s="6" t="str">
        <f aca="false">IFERROR(__xludf.dummyfunction("""COMPUTED_VALUE"""),"Tombat")</f>
        <v>Tombat</v>
      </c>
      <c r="B60" s="6" t="str">
        <f aca="false">IFERROR(__xludf.dummyfunction("""COMPUTED_VALUE"""),"Blazamut")</f>
        <v>Blazamut</v>
      </c>
      <c r="D60" s="6" t="str">
        <f aca="false">IFERROR(__xludf.dummyfunction("""COMPUTED_VALUE"""),"Vanwyrm Cryst")</f>
        <v>Vanwyrm Cryst</v>
      </c>
      <c r="E60" s="6" t="str">
        <f aca="false">IFERROR(__xludf.dummyfunction("""COMPUTED_VALUE"""),"Orserk")</f>
        <v>Orserk</v>
      </c>
      <c r="I60" s="6" t="str">
        <f aca="false">IFERROR(__xludf.dummyfunction("""COMPUTED_VALUE"""),"Univolt")</f>
        <v>Univolt</v>
      </c>
      <c r="L60" s="1" t="e">
        <v>#NAME?</v>
      </c>
      <c r="M60" s="1" t="e">
        <v>#NAME?</v>
      </c>
      <c r="N60" s="1" t="e">
        <v>#NAME?</v>
      </c>
      <c r="O60" s="3"/>
      <c r="P60" s="3" t="e">
        <v>#NAME?</v>
      </c>
      <c r="Q60" s="3"/>
      <c r="R60" s="3"/>
    </row>
    <row r="61" customFormat="false" ht="15.75" hidden="false" customHeight="false" outlineLevel="0" collapsed="false">
      <c r="A61" s="6" t="str">
        <f aca="false">IFERROR(__xludf.dummyfunction("""COMPUTED_VALUE"""),"Tombat")</f>
        <v>Tombat</v>
      </c>
      <c r="B61" s="6" t="str">
        <f aca="false">IFERROR(__xludf.dummyfunction("""COMPUTED_VALUE"""),"Suzaku Aqua")</f>
        <v>Suzaku Aqua</v>
      </c>
      <c r="D61" s="6" t="str">
        <f aca="false">IFERROR(__xludf.dummyfunction("""COMPUTED_VALUE"""),"Bushi")</f>
        <v>Bushi</v>
      </c>
      <c r="E61" s="6" t="str">
        <f aca="false">IFERROR(__xludf.dummyfunction("""COMPUTED_VALUE"""),"Cryolinx")</f>
        <v>Cryolinx</v>
      </c>
      <c r="I61" s="6" t="str">
        <f aca="false">IFERROR(__xludf.dummyfunction("""COMPUTED_VALUE"""),"Vanwyrm")</f>
        <v>Vanwyrm</v>
      </c>
      <c r="L61" s="1" t="e">
        <v>#NAME?</v>
      </c>
      <c r="M61" s="1" t="e">
        <v>#NAME?</v>
      </c>
      <c r="N61" s="1" t="e">
        <v>#NAME?</v>
      </c>
      <c r="O61" s="3"/>
      <c r="P61" s="3" t="e">
        <v>#NAME?</v>
      </c>
      <c r="Q61" s="3"/>
      <c r="R61" s="3"/>
    </row>
    <row r="62" customFormat="false" ht="15.75" hidden="false" customHeight="false" outlineLevel="0" collapsed="false">
      <c r="A62" s="6" t="str">
        <f aca="false">IFERROR(__xludf.dummyfunction("""COMPUTED_VALUE"""),"Vanwyrm")</f>
        <v>Vanwyrm</v>
      </c>
      <c r="B62" s="6" t="str">
        <f aca="false">IFERROR(__xludf.dummyfunction("""COMPUTED_VALUE"""),"Frostallion")</f>
        <v>Frostallion</v>
      </c>
      <c r="D62" s="6" t="str">
        <f aca="false">IFERROR(__xludf.dummyfunction("""COMPUTED_VALUE"""),"Bushi")</f>
        <v>Bushi</v>
      </c>
      <c r="E62" s="6" t="str">
        <f aca="false">IFERROR(__xludf.dummyfunction("""COMPUTED_VALUE"""),"Orserk")</f>
        <v>Orserk</v>
      </c>
      <c r="I62" s="6" t="str">
        <f aca="false">IFERROR(__xludf.dummyfunction("""COMPUTED_VALUE"""),"Vanwyrm Cryst")</f>
        <v>Vanwyrm Cryst</v>
      </c>
      <c r="L62" s="1" t="e">
        <v>#NAME?</v>
      </c>
      <c r="M62" s="1" t="e">
        <v>#NAME?</v>
      </c>
      <c r="N62" s="1" t="e">
        <v>#NAME?</v>
      </c>
      <c r="O62" s="3"/>
      <c r="P62" s="3" t="e">
        <v>#NAME?</v>
      </c>
      <c r="Q62" s="3"/>
      <c r="R62" s="3"/>
    </row>
    <row r="63" customFormat="false" ht="15.75" hidden="false" customHeight="false" outlineLevel="0" collapsed="false">
      <c r="A63" s="6" t="str">
        <f aca="false">IFERROR(__xludf.dummyfunction("""COMPUTED_VALUE"""),"Vanwyrm")</f>
        <v>Vanwyrm</v>
      </c>
      <c r="B63" s="6" t="str">
        <f aca="false">IFERROR(__xludf.dummyfunction("""COMPUTED_VALUE"""),"Frostallion Noct")</f>
        <v>Frostallion Noct</v>
      </c>
      <c r="D63" s="6" t="str">
        <f aca="false">IFERROR(__xludf.dummyfunction("""COMPUTED_VALUE"""),"Bushi")</f>
        <v>Bushi</v>
      </c>
      <c r="E63" s="6" t="str">
        <f aca="false">IFERROR(__xludf.dummyfunction("""COMPUTED_VALUE"""),"Frostallion")</f>
        <v>Frostallion</v>
      </c>
      <c r="I63" s="6" t="str">
        <f aca="false">IFERROR(__xludf.dummyfunction("""COMPUTED_VALUE"""),"Warsect")</f>
        <v>Warsect</v>
      </c>
      <c r="L63" s="1" t="e">
        <v>#NAME?</v>
      </c>
      <c r="M63" s="1" t="e">
        <v>#NAME?</v>
      </c>
      <c r="N63" s="1" t="e">
        <v>#NAME?</v>
      </c>
      <c r="O63" s="3"/>
      <c r="P63" s="3" t="e">
        <v>#NAME?</v>
      </c>
      <c r="Q63" s="3"/>
      <c r="R63" s="3"/>
    </row>
    <row r="64" customFormat="false" ht="15.75" hidden="false" customHeight="false" outlineLevel="0" collapsed="false">
      <c r="A64" s="6" t="str">
        <f aca="false">IFERROR(__xludf.dummyfunction("""COMPUTED_VALUE"""),"Vanwyrm")</f>
        <v>Vanwyrm</v>
      </c>
      <c r="B64" s="6" t="str">
        <f aca="false">IFERROR(__xludf.dummyfunction("""COMPUTED_VALUE"""),"Jetragon")</f>
        <v>Jetragon</v>
      </c>
      <c r="D64" s="6" t="str">
        <f aca="false">IFERROR(__xludf.dummyfunction("""COMPUTED_VALUE"""),"Beakon")</f>
        <v>Beakon</v>
      </c>
      <c r="E64" s="6" t="str">
        <f aca="false">IFERROR(__xludf.dummyfunction("""COMPUTED_VALUE"""),"Elphidran")</f>
        <v>Elphidran</v>
      </c>
      <c r="I64" s="6" t="str">
        <f aca="false">IFERROR(__xludf.dummyfunction("""COMPUTED_VALUE"""),"Wumpo")</f>
        <v>Wumpo</v>
      </c>
      <c r="L64" s="1" t="e">
        <v>#NAME?</v>
      </c>
      <c r="M64" s="1" t="e">
        <v>#NAME?</v>
      </c>
      <c r="N64" s="1" t="e">
        <v>#NAME?</v>
      </c>
      <c r="O64" s="3"/>
      <c r="P64" s="3" t="e">
        <v>#NAME?</v>
      </c>
      <c r="Q64" s="3"/>
      <c r="R64" s="3"/>
    </row>
    <row r="65" customFormat="false" ht="15.75" hidden="false" customHeight="false" outlineLevel="0" collapsed="false">
      <c r="A65" s="6" t="str">
        <f aca="false">IFERROR(__xludf.dummyfunction("""COMPUTED_VALUE"""),"Vanwyrm Cryst")</f>
        <v>Vanwyrm Cryst</v>
      </c>
      <c r="B65" s="6" t="str">
        <f aca="false">IFERROR(__xludf.dummyfunction("""COMPUTED_VALUE"""),"Cryolinx")</f>
        <v>Cryolinx</v>
      </c>
      <c r="D65" s="6" t="str">
        <f aca="false">IFERROR(__xludf.dummyfunction("""COMPUTED_VALUE"""),"Beakon")</f>
        <v>Beakon</v>
      </c>
      <c r="E65" s="6" t="str">
        <f aca="false">IFERROR(__xludf.dummyfunction("""COMPUTED_VALUE"""),"Elphidran Aqua")</f>
        <v>Elphidran Aqua</v>
      </c>
      <c r="I65" s="6" t="str">
        <f aca="false">IFERROR(__xludf.dummyfunction("""COMPUTED_VALUE"""),"Wumpo Botan")</f>
        <v>Wumpo Botan</v>
      </c>
      <c r="L65" s="1" t="e">
        <v>#NAME?</v>
      </c>
      <c r="M65" s="1" t="e">
        <v>#NAME?</v>
      </c>
      <c r="N65" s="1" t="e">
        <v>#NAME?</v>
      </c>
      <c r="O65" s="3"/>
      <c r="P65" s="3" t="e">
        <v>#NAME?</v>
      </c>
      <c r="Q65" s="3"/>
      <c r="R65" s="3"/>
    </row>
    <row r="66" customFormat="false" ht="15.75" hidden="false" customHeight="false" outlineLevel="0" collapsed="false">
      <c r="A66" s="6" t="str">
        <f aca="false">IFERROR(__xludf.dummyfunction("""COMPUTED_VALUE"""),"Vanwyrm Cryst")</f>
        <v>Vanwyrm Cryst</v>
      </c>
      <c r="B66" s="6" t="str">
        <f aca="false">IFERROR(__xludf.dummyfunction("""COMPUTED_VALUE"""),"Astegon")</f>
        <v>Astegon</v>
      </c>
      <c r="D66" s="6" t="str">
        <f aca="false">IFERROR(__xludf.dummyfunction("""COMPUTED_VALUE"""),"Ragnahawk")</f>
        <v>Ragnahawk</v>
      </c>
      <c r="E66" s="6" t="str">
        <f aca="false">IFERROR(__xludf.dummyfunction("""COMPUTED_VALUE"""),"Ragnahawk")</f>
        <v>Ragnahawk</v>
      </c>
      <c r="I66" s="6"/>
      <c r="L66" s="1" t="e">
        <v>#NAME?</v>
      </c>
      <c r="M66" s="1" t="e">
        <v>#NAME?</v>
      </c>
      <c r="N66" s="1" t="e">
        <v>#NAME?</v>
      </c>
      <c r="O66" s="3"/>
      <c r="P66" s="3" t="e">
        <v>#NAME?</v>
      </c>
      <c r="Q66" s="3"/>
      <c r="R66" s="3"/>
    </row>
    <row r="67" customFormat="false" ht="15.75" hidden="false" customHeight="false" outlineLevel="0" collapsed="false">
      <c r="A67" s="6" t="str">
        <f aca="false">IFERROR(__xludf.dummyfunction("""COMPUTED_VALUE"""),"Vanwyrm Cryst")</f>
        <v>Vanwyrm Cryst</v>
      </c>
      <c r="B67" s="6" t="str">
        <f aca="false">IFERROR(__xludf.dummyfunction("""COMPUTED_VALUE"""),"Orserk")</f>
        <v>Orserk</v>
      </c>
      <c r="D67" s="6" t="str">
        <f aca="false">IFERROR(__xludf.dummyfunction("""COMPUTED_VALUE"""),"Ragnahawk")</f>
        <v>Ragnahawk</v>
      </c>
      <c r="E67" s="6" t="str">
        <f aca="false">IFERROR(__xludf.dummyfunction("""COMPUTED_VALUE"""),"Faleris")</f>
        <v>Faleris</v>
      </c>
      <c r="L67" s="1" t="e">
        <v>#NAME?</v>
      </c>
      <c r="M67" s="1" t="e">
        <v>#NAME?</v>
      </c>
      <c r="N67" s="1" t="e">
        <v>#NAME?</v>
      </c>
      <c r="O67" s="3"/>
      <c r="P67" s="3" t="e">
        <v>#NAME?</v>
      </c>
      <c r="Q67" s="3"/>
      <c r="R67" s="3"/>
    </row>
    <row r="68" customFormat="false" ht="15.75" hidden="false" customHeight="false" outlineLevel="0" collapsed="false">
      <c r="A68" s="6" t="str">
        <f aca="false">IFERROR(__xludf.dummyfunction("""COMPUTED_VALUE"""),"Bushi")</f>
        <v>Bushi</v>
      </c>
      <c r="B68" s="6" t="str">
        <f aca="false">IFERROR(__xludf.dummyfunction("""COMPUTED_VALUE"""),"Cryolinx")</f>
        <v>Cryolinx</v>
      </c>
      <c r="D68" s="6" t="str">
        <f aca="false">IFERROR(__xludf.dummyfunction("""COMPUTED_VALUE"""),"Katress")</f>
        <v>Katress</v>
      </c>
      <c r="E68" s="6" t="str">
        <f aca="false">IFERROR(__xludf.dummyfunction("""COMPUTED_VALUE"""),"Suzaku")</f>
        <v>Suzaku</v>
      </c>
      <c r="L68" s="1" t="e">
        <v>#NAME?</v>
      </c>
      <c r="M68" s="1" t="e">
        <v>#NAME?</v>
      </c>
      <c r="N68" s="1" t="e">
        <v>#NAME?</v>
      </c>
      <c r="O68" s="3"/>
      <c r="P68" s="3" t="e">
        <v>#NAME?</v>
      </c>
      <c r="Q68" s="3"/>
      <c r="R68" s="3"/>
    </row>
    <row r="69" customFormat="false" ht="15.75" hidden="false" customHeight="false" outlineLevel="0" collapsed="false">
      <c r="A69" s="6" t="str">
        <f aca="false">IFERROR(__xludf.dummyfunction("""COMPUTED_VALUE"""),"Bushi")</f>
        <v>Bushi</v>
      </c>
      <c r="B69" s="6" t="str">
        <f aca="false">IFERROR(__xludf.dummyfunction("""COMPUTED_VALUE"""),"Orserk")</f>
        <v>Orserk</v>
      </c>
      <c r="D69" s="6" t="str">
        <f aca="false">IFERROR(__xludf.dummyfunction("""COMPUTED_VALUE"""),"Katress")</f>
        <v>Katress</v>
      </c>
      <c r="E69" s="6" t="str">
        <f aca="false">IFERROR(__xludf.dummyfunction("""COMPUTED_VALUE"""),"Shadowbeak")</f>
        <v>Shadowbeak</v>
      </c>
      <c r="L69" s="1" t="e">
        <v>#NAME?</v>
      </c>
      <c r="M69" s="1" t="e">
        <v>#NAME?</v>
      </c>
      <c r="N69" s="1" t="e">
        <v>#NAME?</v>
      </c>
      <c r="O69" s="3"/>
      <c r="P69" s="3" t="e">
        <v>#NAME?</v>
      </c>
      <c r="Q69" s="3"/>
      <c r="R69" s="3"/>
    </row>
    <row r="70" customFormat="false" ht="15.75" hidden="false" customHeight="false" outlineLevel="0" collapsed="false">
      <c r="A70" s="6" t="str">
        <f aca="false">IFERROR(__xludf.dummyfunction("""COMPUTED_VALUE"""),"Bushi")</f>
        <v>Bushi</v>
      </c>
      <c r="B70" s="6" t="str">
        <f aca="false">IFERROR(__xludf.dummyfunction("""COMPUTED_VALUE"""),"Frostallion")</f>
        <v>Frostallion</v>
      </c>
      <c r="D70" s="6" t="str">
        <f aca="false">IFERROR(__xludf.dummyfunction("""COMPUTED_VALUE"""),"Katress")</f>
        <v>Katress</v>
      </c>
      <c r="E70" s="6" t="str">
        <f aca="false">IFERROR(__xludf.dummyfunction("""COMPUTED_VALUE"""),"Paladius")</f>
        <v>Paladius</v>
      </c>
      <c r="L70" s="1" t="e">
        <v>#NAME?</v>
      </c>
      <c r="M70" s="1" t="e">
        <v>#NAME?</v>
      </c>
      <c r="N70" s="1" t="e">
        <v>#NAME?</v>
      </c>
      <c r="O70" s="3"/>
      <c r="P70" s="3" t="e">
        <v>#NAME?</v>
      </c>
      <c r="Q70" s="3"/>
      <c r="R70" s="3"/>
    </row>
    <row r="71" customFormat="false" ht="15.75" hidden="false" customHeight="false" outlineLevel="0" collapsed="false">
      <c r="A71" s="6" t="str">
        <f aca="false">IFERROR(__xludf.dummyfunction("""COMPUTED_VALUE"""),"Beakon")</f>
        <v>Beakon</v>
      </c>
      <c r="B71" s="6" t="str">
        <f aca="false">IFERROR(__xludf.dummyfunction("""COMPUTED_VALUE"""),"Surfent")</f>
        <v>Surfent</v>
      </c>
      <c r="D71" s="6" t="str">
        <f aca="false">IFERROR(__xludf.dummyfunction("""COMPUTED_VALUE"""),"Katress")</f>
        <v>Katress</v>
      </c>
      <c r="E71" s="6" t="str">
        <f aca="false">IFERROR(__xludf.dummyfunction("""COMPUTED_VALUE"""),"Necromus")</f>
        <v>Necromus</v>
      </c>
      <c r="L71" s="1" t="e">
        <v>#NAME?</v>
      </c>
      <c r="M71" s="1" t="e">
        <v>#NAME?</v>
      </c>
      <c r="N71" s="1" t="e">
        <v>#NAME?</v>
      </c>
      <c r="O71" s="3"/>
      <c r="P71" s="3" t="e">
        <v>#NAME?</v>
      </c>
      <c r="Q71" s="3"/>
      <c r="R71" s="3"/>
    </row>
    <row r="72" customFormat="false" ht="15.75" hidden="false" customHeight="false" outlineLevel="0" collapsed="false">
      <c r="A72" s="6" t="str">
        <f aca="false">IFERROR(__xludf.dummyfunction("""COMPUTED_VALUE"""),"Beakon")</f>
        <v>Beakon</v>
      </c>
      <c r="B72" s="6" t="str">
        <f aca="false">IFERROR(__xludf.dummyfunction("""COMPUTED_VALUE"""),"Surfent Terra")</f>
        <v>Surfent Terra</v>
      </c>
      <c r="D72" s="6" t="str">
        <f aca="false">IFERROR(__xludf.dummyfunction("""COMPUTED_VALUE"""),"Sibelyx")</f>
        <v>Sibelyx</v>
      </c>
      <c r="E72" s="6" t="str">
        <f aca="false">IFERROR(__xludf.dummyfunction("""COMPUTED_VALUE"""),"Reptyro")</f>
        <v>Reptyro</v>
      </c>
      <c r="L72" s="1" t="e">
        <v>#NAME?</v>
      </c>
      <c r="M72" s="1" t="e">
        <v>#NAME?</v>
      </c>
      <c r="N72" s="1" t="e">
        <v>#NAME?</v>
      </c>
      <c r="O72" s="3"/>
      <c r="P72" s="3" t="e">
        <v>#NAME?</v>
      </c>
      <c r="Q72" s="3"/>
      <c r="R72" s="3"/>
    </row>
    <row r="73" customFormat="false" ht="15.75" hidden="false" customHeight="false" outlineLevel="0" collapsed="false">
      <c r="A73" s="6" t="str">
        <f aca="false">IFERROR(__xludf.dummyfunction("""COMPUTED_VALUE"""),"Beakon")</f>
        <v>Beakon</v>
      </c>
      <c r="B73" s="6" t="str">
        <f aca="false">IFERROR(__xludf.dummyfunction("""COMPUTED_VALUE"""),"Elphidran")</f>
        <v>Elphidran</v>
      </c>
      <c r="D73" s="6" t="str">
        <f aca="false">IFERROR(__xludf.dummyfunction("""COMPUTED_VALUE"""),"Sibelyx")</f>
        <v>Sibelyx</v>
      </c>
      <c r="E73" s="6" t="str">
        <f aca="false">IFERROR(__xludf.dummyfunction("""COMPUTED_VALUE"""),"Mammorest")</f>
        <v>Mammorest</v>
      </c>
      <c r="L73" s="1" t="e">
        <v>#NAME?</v>
      </c>
      <c r="M73" s="1" t="e">
        <v>#NAME?</v>
      </c>
      <c r="N73" s="1" t="e">
        <v>#NAME?</v>
      </c>
      <c r="O73" s="3"/>
      <c r="P73" s="3" t="e">
        <v>#NAME?</v>
      </c>
      <c r="Q73" s="3"/>
      <c r="R73" s="3"/>
    </row>
    <row r="74" customFormat="false" ht="15.75" hidden="false" customHeight="false" outlineLevel="0" collapsed="false">
      <c r="A74" s="6" t="str">
        <f aca="false">IFERROR(__xludf.dummyfunction("""COMPUTED_VALUE"""),"Beakon")</f>
        <v>Beakon</v>
      </c>
      <c r="B74" s="6" t="str">
        <f aca="false">IFERROR(__xludf.dummyfunction("""COMPUTED_VALUE"""),"Elphidran Aqua")</f>
        <v>Elphidran Aqua</v>
      </c>
      <c r="D74" s="6" t="str">
        <f aca="false">IFERROR(__xludf.dummyfunction("""COMPUTED_VALUE"""),"Sibelyx")</f>
        <v>Sibelyx</v>
      </c>
      <c r="E74" s="6" t="str">
        <f aca="false">IFERROR(__xludf.dummyfunction("""COMPUTED_VALUE"""),"Jormuntide")</f>
        <v>Jormuntide</v>
      </c>
      <c r="L74" s="1" t="e">
        <v>#NAME?</v>
      </c>
      <c r="M74" s="1" t="e">
        <v>#NAME?</v>
      </c>
      <c r="N74" s="1" t="e">
        <v>#NAME?</v>
      </c>
      <c r="O74" s="3"/>
      <c r="P74" s="3" t="e">
        <v>#NAME?</v>
      </c>
      <c r="Q74" s="3"/>
      <c r="R74" s="3"/>
    </row>
    <row r="75" customFormat="false" ht="15.75" hidden="false" customHeight="false" outlineLevel="0" collapsed="false">
      <c r="A75" s="6" t="str">
        <f aca="false">IFERROR(__xludf.dummyfunction("""COMPUTED_VALUE"""),"Ragnahawk")</f>
        <v>Ragnahawk</v>
      </c>
      <c r="B75" s="6" t="str">
        <f aca="false">IFERROR(__xludf.dummyfunction("""COMPUTED_VALUE"""),"Mossanda Lux")</f>
        <v>Mossanda Lux</v>
      </c>
      <c r="D75" s="6" t="str">
        <f aca="false">IFERROR(__xludf.dummyfunction("""COMPUTED_VALUE"""),"Sibelyx")</f>
        <v>Sibelyx</v>
      </c>
      <c r="E75" s="6" t="str">
        <f aca="false">IFERROR(__xludf.dummyfunction("""COMPUTED_VALUE"""),"Jormuntide Ignis")</f>
        <v>Jormuntide Ignis</v>
      </c>
      <c r="L75" s="1" t="e">
        <v>#NAME?</v>
      </c>
      <c r="M75" s="1" t="e">
        <v>#NAME?</v>
      </c>
      <c r="N75" s="1" t="e">
        <v>#NAME?</v>
      </c>
      <c r="O75" s="3"/>
      <c r="P75" s="3" t="e">
        <v>#NAME?</v>
      </c>
      <c r="Q75" s="3"/>
      <c r="R75" s="3"/>
    </row>
    <row r="76" customFormat="false" ht="15.75" hidden="false" customHeight="false" outlineLevel="0" collapsed="false">
      <c r="A76" s="6" t="str">
        <f aca="false">IFERROR(__xludf.dummyfunction("""COMPUTED_VALUE"""),"Ragnahawk")</f>
        <v>Ragnahawk</v>
      </c>
      <c r="B76" s="6" t="str">
        <f aca="false">IFERROR(__xludf.dummyfunction("""COMPUTED_VALUE"""),"Ragnahawk")</f>
        <v>Ragnahawk</v>
      </c>
      <c r="D76" s="6" t="str">
        <f aca="false">IFERROR(__xludf.dummyfunction("""COMPUTED_VALUE"""),"Elphidran")</f>
        <v>Elphidran</v>
      </c>
      <c r="E76" s="6" t="str">
        <f aca="false">IFERROR(__xludf.dummyfunction("""COMPUTED_VALUE"""),"Ice Reptyro")</f>
        <v>Ice Reptyro</v>
      </c>
      <c r="L76" s="1" t="e">
        <v>#NAME?</v>
      </c>
      <c r="M76" s="1" t="e">
        <v>#NAME?</v>
      </c>
      <c r="N76" s="1" t="e">
        <v>#NAME?</v>
      </c>
      <c r="O76" s="3"/>
      <c r="P76" s="3" t="e">
        <v>#NAME?</v>
      </c>
      <c r="Q76" s="3"/>
      <c r="R76" s="3"/>
    </row>
    <row r="77" customFormat="false" ht="15.75" hidden="false" customHeight="false" outlineLevel="0" collapsed="false">
      <c r="A77" s="6" t="str">
        <f aca="false">IFERROR(__xludf.dummyfunction("""COMPUTED_VALUE"""),"Ragnahawk")</f>
        <v>Ragnahawk</v>
      </c>
      <c r="B77" s="6" t="str">
        <f aca="false">IFERROR(__xludf.dummyfunction("""COMPUTED_VALUE"""),"Faleris")</f>
        <v>Faleris</v>
      </c>
      <c r="D77" s="6" t="str">
        <f aca="false">IFERROR(__xludf.dummyfunction("""COMPUTED_VALUE"""),"Elphidran")</f>
        <v>Elphidran</v>
      </c>
      <c r="E77" s="6" t="str">
        <f aca="false">IFERROR(__xludf.dummyfunction("""COMPUTED_VALUE"""),"Lyleen Noct")</f>
        <v>Lyleen Noct</v>
      </c>
      <c r="L77" s="1" t="e">
        <v>#NAME?</v>
      </c>
      <c r="M77" s="1" t="e">
        <v>#NAME?</v>
      </c>
      <c r="N77" s="1" t="e">
        <v>#NAME?</v>
      </c>
      <c r="O77" s="3"/>
      <c r="P77" s="3" t="e">
        <v>#NAME?</v>
      </c>
      <c r="Q77" s="3"/>
      <c r="R77" s="3"/>
    </row>
    <row r="78" customFormat="false" ht="15.75" hidden="false" customHeight="false" outlineLevel="0" collapsed="false">
      <c r="A78" s="6" t="str">
        <f aca="false">IFERROR(__xludf.dummyfunction("""COMPUTED_VALUE"""),"Katress")</f>
        <v>Katress</v>
      </c>
      <c r="B78" s="6" t="str">
        <f aca="false">IFERROR(__xludf.dummyfunction("""COMPUTED_VALUE"""),"Suzaku")</f>
        <v>Suzaku</v>
      </c>
      <c r="D78" s="6" t="str">
        <f aca="false">IFERROR(__xludf.dummyfunction("""COMPUTED_VALUE"""),"Elphidran Aqua")</f>
        <v>Elphidran Aqua</v>
      </c>
      <c r="E78" s="6" t="str">
        <f aca="false">IFERROR(__xludf.dummyfunction("""COMPUTED_VALUE"""),"Ice Reptyro")</f>
        <v>Ice Reptyro</v>
      </c>
      <c r="L78" s="1" t="e">
        <v>#NAME?</v>
      </c>
      <c r="M78" s="1" t="e">
        <v>#NAME?</v>
      </c>
      <c r="N78" s="1" t="e">
        <v>#NAME?</v>
      </c>
      <c r="O78" s="3"/>
      <c r="P78" s="3" t="e">
        <v>#NAME?</v>
      </c>
      <c r="Q78" s="3"/>
      <c r="R78" s="3"/>
    </row>
    <row r="79" customFormat="false" ht="15.75" hidden="false" customHeight="false" outlineLevel="0" collapsed="false">
      <c r="A79" s="6" t="str">
        <f aca="false">IFERROR(__xludf.dummyfunction("""COMPUTED_VALUE"""),"Katress")</f>
        <v>Katress</v>
      </c>
      <c r="B79" s="6" t="str">
        <f aca="false">IFERROR(__xludf.dummyfunction("""COMPUTED_VALUE"""),"Shadowbeak")</f>
        <v>Shadowbeak</v>
      </c>
      <c r="D79" s="6" t="str">
        <f aca="false">IFERROR(__xludf.dummyfunction("""COMPUTED_VALUE"""),"Elphidran Aqua")</f>
        <v>Elphidran Aqua</v>
      </c>
      <c r="E79" s="6" t="str">
        <f aca="false">IFERROR(__xludf.dummyfunction("""COMPUTED_VALUE"""),"Lyleen")</f>
        <v>Lyleen</v>
      </c>
      <c r="L79" s="1" t="e">
        <v>#NAME?</v>
      </c>
      <c r="M79" s="1" t="e">
        <v>#NAME?</v>
      </c>
      <c r="N79" s="1" t="e">
        <v>#NAME?</v>
      </c>
      <c r="O79" s="3"/>
      <c r="P79" s="3" t="e">
        <v>#NAME?</v>
      </c>
      <c r="Q79" s="3"/>
      <c r="R79" s="3"/>
    </row>
    <row r="80" customFormat="false" ht="15.75" hidden="false" customHeight="false" outlineLevel="0" collapsed="false">
      <c r="A80" s="6" t="str">
        <f aca="false">IFERROR(__xludf.dummyfunction("""COMPUTED_VALUE"""),"Katress")</f>
        <v>Katress</v>
      </c>
      <c r="B80" s="6" t="str">
        <f aca="false">IFERROR(__xludf.dummyfunction("""COMPUTED_VALUE"""),"Paladius")</f>
        <v>Paladius</v>
      </c>
      <c r="D80" s="6" t="str">
        <f aca="false">IFERROR(__xludf.dummyfunction("""COMPUTED_VALUE"""),"Azurobe")</f>
        <v>Azurobe</v>
      </c>
      <c r="E80" s="6" t="str">
        <f aca="false">IFERROR(__xludf.dummyfunction("""COMPUTED_VALUE"""),"Relaxaurus")</f>
        <v>Relaxaurus</v>
      </c>
      <c r="L80" s="1" t="e">
        <v>#NAME?</v>
      </c>
      <c r="M80" s="1" t="e">
        <v>#NAME?</v>
      </c>
      <c r="N80" s="1" t="e">
        <v>#NAME?</v>
      </c>
      <c r="O80" s="3"/>
      <c r="P80" s="3" t="e">
        <v>#NAME?</v>
      </c>
      <c r="Q80" s="3"/>
      <c r="R80" s="3"/>
    </row>
    <row r="81" customFormat="false" ht="15.75" hidden="false" customHeight="false" outlineLevel="0" collapsed="false">
      <c r="A81" s="6" t="str">
        <f aca="false">IFERROR(__xludf.dummyfunction("""COMPUTED_VALUE"""),"Katress")</f>
        <v>Katress</v>
      </c>
      <c r="B81" s="6" t="str">
        <f aca="false">IFERROR(__xludf.dummyfunction("""COMPUTED_VALUE"""),"Necromus")</f>
        <v>Necromus</v>
      </c>
      <c r="D81" s="6" t="str">
        <f aca="false">IFERROR(__xludf.dummyfunction("""COMPUTED_VALUE"""),"Azurobe")</f>
        <v>Azurobe</v>
      </c>
      <c r="E81" s="6" t="str">
        <f aca="false">IFERROR(__xludf.dummyfunction("""COMPUTED_VALUE"""),"Relaxaurus Lux")</f>
        <v>Relaxaurus Lux</v>
      </c>
      <c r="L81" s="1" t="e">
        <v>#NAME?</v>
      </c>
      <c r="M81" s="1" t="e">
        <v>#NAME?</v>
      </c>
      <c r="N81" s="1" t="e">
        <v>#NAME?</v>
      </c>
      <c r="O81" s="3"/>
      <c r="P81" s="3" t="e">
        <v>#NAME?</v>
      </c>
      <c r="Q81" s="3"/>
      <c r="R81" s="3"/>
    </row>
    <row r="82" customFormat="false" ht="15.75" hidden="false" customHeight="false" outlineLevel="0" collapsed="false">
      <c r="A82" s="6" t="str">
        <f aca="false">IFERROR(__xludf.dummyfunction("""COMPUTED_VALUE"""),"Sibelyx")</f>
        <v>Sibelyx</v>
      </c>
      <c r="B82" s="6" t="str">
        <f aca="false">IFERROR(__xludf.dummyfunction("""COMPUTED_VALUE"""),"Elizabee")</f>
        <v>Elizabee</v>
      </c>
      <c r="D82" s="6" t="str">
        <f aca="false">IFERROR(__xludf.dummyfunction("""COMPUTED_VALUE"""),"Azurobe")</f>
        <v>Azurobe</v>
      </c>
      <c r="E82" s="6" t="str">
        <f aca="false">IFERROR(__xludf.dummyfunction("""COMPUTED_VALUE"""),"Menasting")</f>
        <v>Menasting</v>
      </c>
      <c r="L82" s="1" t="e">
        <v>#NAME?</v>
      </c>
      <c r="M82" s="1" t="e">
        <v>#NAME?</v>
      </c>
      <c r="N82" s="1" t="e">
        <v>#NAME?</v>
      </c>
      <c r="O82" s="3"/>
      <c r="P82" s="3" t="e">
        <v>#NAME?</v>
      </c>
      <c r="Q82" s="3"/>
      <c r="R82" s="3"/>
    </row>
    <row r="83" customFormat="false" ht="15.75" hidden="false" customHeight="false" outlineLevel="0" collapsed="false">
      <c r="A83" s="6" t="str">
        <f aca="false">IFERROR(__xludf.dummyfunction("""COMPUTED_VALUE"""),"Sibelyx")</f>
        <v>Sibelyx</v>
      </c>
      <c r="B83" s="6" t="str">
        <f aca="false">IFERROR(__xludf.dummyfunction("""COMPUTED_VALUE"""),"Reptyro")</f>
        <v>Reptyro</v>
      </c>
      <c r="D83" s="6" t="str">
        <f aca="false">IFERROR(__xludf.dummyfunction("""COMPUTED_VALUE"""),"Azurobe")</f>
        <v>Azurobe</v>
      </c>
      <c r="E83" s="6" t="str">
        <f aca="false">IFERROR(__xludf.dummyfunction("""COMPUTED_VALUE"""),"Lyleen")</f>
        <v>Lyleen</v>
      </c>
      <c r="L83" s="1" t="e">
        <v>#NAME?</v>
      </c>
      <c r="M83" s="1" t="e">
        <v>#NAME?</v>
      </c>
      <c r="N83" s="1" t="e">
        <v>#NAME?</v>
      </c>
      <c r="O83" s="3"/>
      <c r="P83" s="3" t="e">
        <v>#NAME?</v>
      </c>
      <c r="Q83" s="3"/>
      <c r="R83" s="3"/>
    </row>
    <row r="84" customFormat="false" ht="15.75" hidden="false" customHeight="false" outlineLevel="0" collapsed="false">
      <c r="A84" s="6" t="str">
        <f aca="false">IFERROR(__xludf.dummyfunction("""COMPUTED_VALUE"""),"Sibelyx")</f>
        <v>Sibelyx</v>
      </c>
      <c r="B84" s="6" t="str">
        <f aca="false">IFERROR(__xludf.dummyfunction("""COMPUTED_VALUE"""),"Mammorest")</f>
        <v>Mammorest</v>
      </c>
      <c r="D84" s="6" t="str">
        <f aca="false">IFERROR(__xludf.dummyfunction("""COMPUTED_VALUE"""),"Blazehowl")</f>
        <v>Blazehowl</v>
      </c>
      <c r="E84" s="6" t="str">
        <f aca="false">IFERROR(__xludf.dummyfunction("""COMPUTED_VALUE"""),"Suzaku")</f>
        <v>Suzaku</v>
      </c>
      <c r="L84" s="1" t="e">
        <v>#NAME?</v>
      </c>
      <c r="M84" s="1" t="e">
        <v>#NAME?</v>
      </c>
      <c r="N84" s="1" t="e">
        <v>#NAME?</v>
      </c>
      <c r="O84" s="3"/>
      <c r="P84" s="3" t="e">
        <v>#NAME?</v>
      </c>
      <c r="Q84" s="3"/>
      <c r="R84" s="3"/>
    </row>
    <row r="85" customFormat="false" ht="15.75" hidden="false" customHeight="false" outlineLevel="0" collapsed="false">
      <c r="A85" s="6" t="str">
        <f aca="false">IFERROR(__xludf.dummyfunction("""COMPUTED_VALUE"""),"Sibelyx")</f>
        <v>Sibelyx</v>
      </c>
      <c r="B85" s="6" t="str">
        <f aca="false">IFERROR(__xludf.dummyfunction("""COMPUTED_VALUE"""),"Jormuntide")</f>
        <v>Jormuntide</v>
      </c>
      <c r="D85" s="6" t="str">
        <f aca="false">IFERROR(__xludf.dummyfunction("""COMPUTED_VALUE"""),"Blazehowl")</f>
        <v>Blazehowl</v>
      </c>
      <c r="E85" s="6" t="str">
        <f aca="false">IFERROR(__xludf.dummyfunction("""COMPUTED_VALUE"""),"Shadowbeak")</f>
        <v>Shadowbeak</v>
      </c>
      <c r="L85" s="1" t="e">
        <v>#NAME?</v>
      </c>
      <c r="M85" s="1" t="e">
        <v>#NAME?</v>
      </c>
      <c r="N85" s="1" t="e">
        <v>#NAME?</v>
      </c>
      <c r="O85" s="3"/>
      <c r="P85" s="3" t="e">
        <v>#NAME?</v>
      </c>
      <c r="Q85" s="3"/>
      <c r="R85" s="3"/>
    </row>
    <row r="86" customFormat="false" ht="15.75" hidden="false" customHeight="false" outlineLevel="0" collapsed="false">
      <c r="A86" s="6" t="str">
        <f aca="false">IFERROR(__xludf.dummyfunction("""COMPUTED_VALUE"""),"Sibelyx")</f>
        <v>Sibelyx</v>
      </c>
      <c r="B86" s="6" t="str">
        <f aca="false">IFERROR(__xludf.dummyfunction("""COMPUTED_VALUE"""),"Jormuntide Ignis")</f>
        <v>Jormuntide Ignis</v>
      </c>
      <c r="D86" s="6" t="str">
        <f aca="false">IFERROR(__xludf.dummyfunction("""COMPUTED_VALUE"""),"Blazehowl")</f>
        <v>Blazehowl</v>
      </c>
      <c r="E86" s="6" t="str">
        <f aca="false">IFERROR(__xludf.dummyfunction("""COMPUTED_VALUE"""),"Necromus")</f>
        <v>Necromus</v>
      </c>
      <c r="L86" s="1" t="e">
        <v>#NAME?</v>
      </c>
      <c r="M86" s="1" t="e">
        <v>#NAME?</v>
      </c>
      <c r="N86" s="1" t="e">
        <v>#NAME?</v>
      </c>
      <c r="O86" s="3"/>
      <c r="P86" s="3" t="e">
        <v>#NAME?</v>
      </c>
      <c r="Q86" s="3"/>
      <c r="R86" s="3"/>
    </row>
    <row r="87" customFormat="false" ht="15.75" hidden="false" customHeight="false" outlineLevel="0" collapsed="false">
      <c r="A87" s="6" t="str">
        <f aca="false">IFERROR(__xludf.dummyfunction("""COMPUTED_VALUE"""),"Elphidran")</f>
        <v>Elphidran</v>
      </c>
      <c r="B87" s="6" t="str">
        <f aca="false">IFERROR(__xludf.dummyfunction("""COMPUTED_VALUE"""),"Pyrin Noct")</f>
        <v>Pyrin Noct</v>
      </c>
      <c r="D87" s="6" t="str">
        <f aca="false">IFERROR(__xludf.dummyfunction("""COMPUTED_VALUE"""),"Blazehowl Noct")</f>
        <v>Blazehowl Noct</v>
      </c>
      <c r="E87" s="6" t="str">
        <f aca="false">IFERROR(__xludf.dummyfunction("""COMPUTED_VALUE"""),"Paladius")</f>
        <v>Paladius</v>
      </c>
      <c r="L87" s="1" t="e">
        <v>#NAME?</v>
      </c>
      <c r="M87" s="1" t="e">
        <v>#NAME?</v>
      </c>
      <c r="N87" s="1" t="e">
        <v>#NAME?</v>
      </c>
      <c r="O87" s="3"/>
      <c r="P87" s="3" t="e">
        <v>#NAME?</v>
      </c>
      <c r="Q87" s="3"/>
      <c r="R87" s="3"/>
    </row>
    <row r="88" customFormat="false" ht="15.75" hidden="false" customHeight="false" outlineLevel="0" collapsed="false">
      <c r="A88" s="6" t="str">
        <f aca="false">IFERROR(__xludf.dummyfunction("""COMPUTED_VALUE"""),"Elphidran")</f>
        <v>Elphidran</v>
      </c>
      <c r="B88" s="6" t="str">
        <f aca="false">IFERROR(__xludf.dummyfunction("""COMPUTED_VALUE"""),"Beakon")</f>
        <v>Beakon</v>
      </c>
      <c r="D88" s="6" t="str">
        <f aca="false">IFERROR(__xludf.dummyfunction("""COMPUTED_VALUE"""),"Blazehowl Noct")</f>
        <v>Blazehowl Noct</v>
      </c>
      <c r="E88" s="6" t="str">
        <f aca="false">IFERROR(__xludf.dummyfunction("""COMPUTED_VALUE"""),"Frostallion Noct")</f>
        <v>Frostallion Noct</v>
      </c>
      <c r="L88" s="1" t="e">
        <v>#NAME?</v>
      </c>
      <c r="M88" s="1" t="e">
        <v>#NAME?</v>
      </c>
      <c r="N88" s="1" t="e">
        <v>#NAME?</v>
      </c>
      <c r="O88" s="3"/>
      <c r="P88" s="3" t="e">
        <v>#NAME?</v>
      </c>
      <c r="Q88" s="3"/>
      <c r="R88" s="3"/>
    </row>
    <row r="89" customFormat="false" ht="15.75" hidden="false" customHeight="false" outlineLevel="0" collapsed="false">
      <c r="A89" s="6" t="str">
        <f aca="false">IFERROR(__xludf.dummyfunction("""COMPUTED_VALUE"""),"Elphidran")</f>
        <v>Elphidran</v>
      </c>
      <c r="B89" s="6" t="str">
        <f aca="false">IFERROR(__xludf.dummyfunction("""COMPUTED_VALUE"""),"Ice Reptyro")</f>
        <v>Ice Reptyro</v>
      </c>
      <c r="D89" s="6" t="str">
        <f aca="false">IFERROR(__xludf.dummyfunction("""COMPUTED_VALUE"""),"Blazehowl Noct")</f>
        <v>Blazehowl Noct</v>
      </c>
      <c r="E89" s="6" t="str">
        <f aca="false">IFERROR(__xludf.dummyfunction("""COMPUTED_VALUE"""),"Jetragon")</f>
        <v>Jetragon</v>
      </c>
      <c r="L89" s="1" t="e">
        <v>#NAME?</v>
      </c>
      <c r="M89" s="1" t="e">
        <v>#NAME?</v>
      </c>
      <c r="N89" s="1" t="e">
        <v>#NAME?</v>
      </c>
      <c r="O89" s="3"/>
      <c r="P89" s="3" t="e">
        <v>#NAME?</v>
      </c>
      <c r="Q89" s="3"/>
      <c r="R89" s="3"/>
    </row>
    <row r="90" customFormat="false" ht="15.75" hidden="false" customHeight="false" outlineLevel="0" collapsed="false">
      <c r="A90" s="6" t="str">
        <f aca="false">IFERROR(__xludf.dummyfunction("""COMPUTED_VALUE"""),"Elphidran")</f>
        <v>Elphidran</v>
      </c>
      <c r="B90" s="6" t="str">
        <f aca="false">IFERROR(__xludf.dummyfunction("""COMPUTED_VALUE"""),"Lyleen Noct")</f>
        <v>Lyleen Noct</v>
      </c>
      <c r="D90" s="6" t="str">
        <f aca="false">IFERROR(__xludf.dummyfunction("""COMPUTED_VALUE"""),"Relaxaurus")</f>
        <v>Relaxaurus</v>
      </c>
      <c r="E90" s="6" t="str">
        <f aca="false">IFERROR(__xludf.dummyfunction("""COMPUTED_VALUE"""),"Kingpaca")</f>
        <v>Kingpaca</v>
      </c>
      <c r="L90" s="1" t="e">
        <v>#NAME?</v>
      </c>
      <c r="M90" s="1" t="e">
        <v>#NAME?</v>
      </c>
      <c r="N90" s="1" t="e">
        <v>#NAME?</v>
      </c>
      <c r="O90" s="3"/>
      <c r="P90" s="3" t="e">
        <v>#NAME?</v>
      </c>
      <c r="Q90" s="3"/>
      <c r="R90" s="3"/>
    </row>
    <row r="91" customFormat="false" ht="15.75" hidden="false" customHeight="false" outlineLevel="0" collapsed="false">
      <c r="A91" s="6" t="str">
        <f aca="false">IFERROR(__xludf.dummyfunction("""COMPUTED_VALUE"""),"Elphidran Aqua")</f>
        <v>Elphidran Aqua</v>
      </c>
      <c r="B91" s="6" t="str">
        <f aca="false">IFERROR(__xludf.dummyfunction("""COMPUTED_VALUE"""),"Pyrin Noct")</f>
        <v>Pyrin Noct</v>
      </c>
      <c r="D91" s="6" t="str">
        <f aca="false">IFERROR(__xludf.dummyfunction("""COMPUTED_VALUE"""),"Relaxaurus")</f>
        <v>Relaxaurus</v>
      </c>
      <c r="E91" s="6" t="str">
        <f aca="false">IFERROR(__xludf.dummyfunction("""COMPUTED_VALUE"""),"Wumpo Botan")</f>
        <v>Wumpo Botan</v>
      </c>
      <c r="L91" s="1" t="e">
        <v>#NAME?</v>
      </c>
      <c r="M91" s="1" t="e">
        <v>#NAME?</v>
      </c>
      <c r="N91" s="1" t="e">
        <v>#NAME?</v>
      </c>
      <c r="O91" s="3"/>
      <c r="P91" s="3" t="e">
        <v>#NAME?</v>
      </c>
      <c r="Q91" s="3"/>
      <c r="R91" s="3"/>
    </row>
    <row r="92" customFormat="false" ht="15.75" hidden="false" customHeight="false" outlineLevel="0" collapsed="false">
      <c r="A92" s="6" t="str">
        <f aca="false">IFERROR(__xludf.dummyfunction("""COMPUTED_VALUE"""),"Elphidran Aqua")</f>
        <v>Elphidran Aqua</v>
      </c>
      <c r="B92" s="6" t="str">
        <f aca="false">IFERROR(__xludf.dummyfunction("""COMPUTED_VALUE"""),"Beakon")</f>
        <v>Beakon</v>
      </c>
      <c r="D92" s="6" t="str">
        <f aca="false">IFERROR(__xludf.dummyfunction("""COMPUTED_VALUE"""),"Relaxaurus Lux")</f>
        <v>Relaxaurus Lux</v>
      </c>
      <c r="E92" s="6" t="str">
        <f aca="false">IFERROR(__xludf.dummyfunction("""COMPUTED_VALUE"""),"Wumpo Botan")</f>
        <v>Wumpo Botan</v>
      </c>
      <c r="L92" s="1" t="e">
        <v>#NAME?</v>
      </c>
      <c r="M92" s="1" t="e">
        <v>#NAME?</v>
      </c>
      <c r="N92" s="1" t="e">
        <v>#NAME?</v>
      </c>
      <c r="O92" s="3"/>
      <c r="P92" s="3" t="e">
        <v>#NAME?</v>
      </c>
      <c r="Q92" s="3"/>
      <c r="R92" s="3"/>
    </row>
    <row r="93" customFormat="false" ht="15.75" hidden="false" customHeight="false" outlineLevel="0" collapsed="false">
      <c r="A93" s="6" t="str">
        <f aca="false">IFERROR(__xludf.dummyfunction("""COMPUTED_VALUE"""),"Elphidran Aqua")</f>
        <v>Elphidran Aqua</v>
      </c>
      <c r="B93" s="6" t="str">
        <f aca="false">IFERROR(__xludf.dummyfunction("""COMPUTED_VALUE"""),"Ice Reptyro")</f>
        <v>Ice Reptyro</v>
      </c>
      <c r="D93" s="6" t="str">
        <f aca="false">IFERROR(__xludf.dummyfunction("""COMPUTED_VALUE"""),"Reptyro")</f>
        <v>Reptyro</v>
      </c>
      <c r="E93" s="6" t="str">
        <f aca="false">IFERROR(__xludf.dummyfunction("""COMPUTED_VALUE"""),"Ice Kingpaca")</f>
        <v>Ice Kingpaca</v>
      </c>
      <c r="L93" s="1" t="e">
        <v>#NAME?</v>
      </c>
      <c r="M93" s="1" t="e">
        <v>#NAME?</v>
      </c>
      <c r="N93" s="1" t="e">
        <v>#NAME?</v>
      </c>
      <c r="O93" s="3"/>
      <c r="P93" s="3" t="e">
        <v>#NAME?</v>
      </c>
      <c r="Q93" s="3"/>
      <c r="R93" s="3"/>
    </row>
    <row r="94" customFormat="false" ht="15.75" hidden="false" customHeight="false" outlineLevel="0" collapsed="false">
      <c r="A94" s="6" t="str">
        <f aca="false">IFERROR(__xludf.dummyfunction("""COMPUTED_VALUE"""),"Elphidran Aqua")</f>
        <v>Elphidran Aqua</v>
      </c>
      <c r="B94" s="6" t="str">
        <f aca="false">IFERROR(__xludf.dummyfunction("""COMPUTED_VALUE"""),"Lyleen")</f>
        <v>Lyleen</v>
      </c>
      <c r="D94" s="6" t="str">
        <f aca="false">IFERROR(__xludf.dummyfunction("""COMPUTED_VALUE"""),"Reptyro")</f>
        <v>Reptyro</v>
      </c>
      <c r="E94" s="6" t="str">
        <f aca="false">IFERROR(__xludf.dummyfunction("""COMPUTED_VALUE"""),"Wumpo")</f>
        <v>Wumpo</v>
      </c>
      <c r="L94" s="1" t="e">
        <v>#NAME?</v>
      </c>
      <c r="M94" s="1" t="e">
        <v>#NAME?</v>
      </c>
      <c r="N94" s="1" t="e">
        <v>#NAME?</v>
      </c>
      <c r="O94" s="3"/>
      <c r="P94" s="3" t="e">
        <v>#NAME?</v>
      </c>
      <c r="Q94" s="3"/>
      <c r="R94" s="3"/>
    </row>
    <row r="95" customFormat="false" ht="15.75" hidden="false" customHeight="false" outlineLevel="0" collapsed="false">
      <c r="A95" s="6" t="str">
        <f aca="false">IFERROR(__xludf.dummyfunction("""COMPUTED_VALUE"""),"Azurobe")</f>
        <v>Azurobe</v>
      </c>
      <c r="B95" s="6" t="str">
        <f aca="false">IFERROR(__xludf.dummyfunction("""COMPUTED_VALUE"""),"Relaxaurus")</f>
        <v>Relaxaurus</v>
      </c>
      <c r="D95" s="6" t="str">
        <f aca="false">IFERROR(__xludf.dummyfunction("""COMPUTED_VALUE"""),"Kingpaca")</f>
        <v>Kingpaca</v>
      </c>
      <c r="E95" s="6" t="str">
        <f aca="false">IFERROR(__xludf.dummyfunction("""COMPUTED_VALUE"""),"Mammorest")</f>
        <v>Mammorest</v>
      </c>
      <c r="L95" s="1" t="e">
        <v>#NAME?</v>
      </c>
      <c r="M95" s="1" t="e">
        <v>#NAME?</v>
      </c>
      <c r="N95" s="1" t="e">
        <v>#NAME?</v>
      </c>
      <c r="O95" s="3"/>
      <c r="P95" s="3" t="e">
        <v>#NAME?</v>
      </c>
      <c r="Q95" s="3"/>
      <c r="R95" s="3"/>
    </row>
    <row r="96" customFormat="false" ht="15.75" hidden="false" customHeight="false" outlineLevel="0" collapsed="false">
      <c r="A96" s="6" t="str">
        <f aca="false">IFERROR(__xludf.dummyfunction("""COMPUTED_VALUE"""),"Azurobe")</f>
        <v>Azurobe</v>
      </c>
      <c r="B96" s="6" t="str">
        <f aca="false">IFERROR(__xludf.dummyfunction("""COMPUTED_VALUE"""),"Relaxaurus Lux")</f>
        <v>Relaxaurus Lux</v>
      </c>
      <c r="D96" s="6" t="str">
        <f aca="false">IFERROR(__xludf.dummyfunction("""COMPUTED_VALUE"""),"Kingpaca")</f>
        <v>Kingpaca</v>
      </c>
      <c r="E96" s="6" t="str">
        <f aca="false">IFERROR(__xludf.dummyfunction("""COMPUTED_VALUE"""),"Mammorest Cryst")</f>
        <v>Mammorest Cryst</v>
      </c>
      <c r="L96" s="1" t="e">
        <v>#NAME?</v>
      </c>
      <c r="M96" s="1" t="e">
        <v>#NAME?</v>
      </c>
      <c r="N96" s="1" t="e">
        <v>#NAME?</v>
      </c>
      <c r="O96" s="3"/>
      <c r="P96" s="3" t="e">
        <v>#NAME?</v>
      </c>
      <c r="Q96" s="3"/>
      <c r="R96" s="3"/>
    </row>
    <row r="97" customFormat="false" ht="15.75" hidden="false" customHeight="false" outlineLevel="0" collapsed="false">
      <c r="A97" s="6" t="str">
        <f aca="false">IFERROR(__xludf.dummyfunction("""COMPUTED_VALUE"""),"Azurobe")</f>
        <v>Azurobe</v>
      </c>
      <c r="B97" s="6" t="str">
        <f aca="false">IFERROR(__xludf.dummyfunction("""COMPUTED_VALUE"""),"Menasting")</f>
        <v>Menasting</v>
      </c>
      <c r="D97" s="6" t="str">
        <f aca="false">IFERROR(__xludf.dummyfunction("""COMPUTED_VALUE"""),"Kingpaca")</f>
        <v>Kingpaca</v>
      </c>
      <c r="E97" s="6" t="str">
        <f aca="false">IFERROR(__xludf.dummyfunction("""COMPUTED_VALUE"""),"Jormuntide")</f>
        <v>Jormuntide</v>
      </c>
      <c r="L97" s="1" t="e">
        <v>#NAME?</v>
      </c>
      <c r="M97" s="1" t="e">
        <v>#NAME?</v>
      </c>
      <c r="N97" s="1" t="e">
        <v>#NAME?</v>
      </c>
      <c r="O97" s="3"/>
      <c r="P97" s="3" t="e">
        <v>#NAME?</v>
      </c>
      <c r="Q97" s="3"/>
      <c r="R97" s="3"/>
    </row>
    <row r="98" customFormat="false" ht="15.75" hidden="false" customHeight="false" outlineLevel="0" collapsed="false">
      <c r="A98" s="6" t="str">
        <f aca="false">IFERROR(__xludf.dummyfunction("""COMPUTED_VALUE"""),"Azurobe")</f>
        <v>Azurobe</v>
      </c>
      <c r="B98" s="6" t="str">
        <f aca="false">IFERROR(__xludf.dummyfunction("""COMPUTED_VALUE"""),"Lyleen")</f>
        <v>Lyleen</v>
      </c>
      <c r="D98" s="6" t="str">
        <f aca="false">IFERROR(__xludf.dummyfunction("""COMPUTED_VALUE"""),"Kingpaca")</f>
        <v>Kingpaca</v>
      </c>
      <c r="E98" s="6" t="str">
        <f aca="false">IFERROR(__xludf.dummyfunction("""COMPUTED_VALUE"""),"Jormuntide Ignis")</f>
        <v>Jormuntide Ignis</v>
      </c>
      <c r="L98" s="1" t="e">
        <v>#NAME?</v>
      </c>
      <c r="M98" s="1" t="e">
        <v>#NAME?</v>
      </c>
      <c r="N98" s="1" t="e">
        <v>#NAME?</v>
      </c>
      <c r="O98" s="3"/>
      <c r="P98" s="3" t="e">
        <v>#NAME?</v>
      </c>
      <c r="Q98" s="3"/>
      <c r="R98" s="3"/>
    </row>
    <row r="99" customFormat="false" ht="15.75" hidden="false" customHeight="false" outlineLevel="0" collapsed="false">
      <c r="A99" s="6" t="str">
        <f aca="false">IFERROR(__xludf.dummyfunction("""COMPUTED_VALUE"""),"Cryolinx")</f>
        <v>Cryolinx</v>
      </c>
      <c r="B99" s="6" t="str">
        <f aca="false">IFERROR(__xludf.dummyfunction("""COMPUTED_VALUE"""),"Vanwyrm Cryst")</f>
        <v>Vanwyrm Cryst</v>
      </c>
      <c r="D99" s="6" t="str">
        <f aca="false">IFERROR(__xludf.dummyfunction("""COMPUTED_VALUE"""),"Ice Kingpaca")</f>
        <v>Ice Kingpaca</v>
      </c>
      <c r="E99" s="6" t="str">
        <f aca="false">IFERROR(__xludf.dummyfunction("""COMPUTED_VALUE"""),"Warsect")</f>
        <v>Warsect</v>
      </c>
      <c r="L99" s="1" t="e">
        <v>#NAME?</v>
      </c>
      <c r="M99" s="1" t="e">
        <v>#NAME?</v>
      </c>
      <c r="N99" s="1" t="e">
        <v>#NAME?</v>
      </c>
      <c r="O99" s="3"/>
      <c r="P99" s="3" t="e">
        <v>#NAME?</v>
      </c>
      <c r="Q99" s="3"/>
      <c r="R99" s="3"/>
    </row>
    <row r="100" customFormat="false" ht="15.75" hidden="false" customHeight="false" outlineLevel="0" collapsed="false">
      <c r="A100" s="6" t="str">
        <f aca="false">IFERROR(__xludf.dummyfunction("""COMPUTED_VALUE"""),"Cryolinx")</f>
        <v>Cryolinx</v>
      </c>
      <c r="B100" s="6" t="str">
        <f aca="false">IFERROR(__xludf.dummyfunction("""COMPUTED_VALUE"""),"Bushi")</f>
        <v>Bushi</v>
      </c>
      <c r="D100" s="6" t="str">
        <f aca="false">IFERROR(__xludf.dummyfunction("""COMPUTED_VALUE"""),"Ice Kingpaca")</f>
        <v>Ice Kingpaca</v>
      </c>
      <c r="E100" s="6" t="str">
        <f aca="false">IFERROR(__xludf.dummyfunction("""COMPUTED_VALUE"""),"Jormuntide")</f>
        <v>Jormuntide</v>
      </c>
      <c r="L100" s="1" t="e">
        <v>#NAME?</v>
      </c>
      <c r="M100" s="1" t="e">
        <v>#NAME?</v>
      </c>
      <c r="N100" s="1" t="e">
        <v>#NAME?</v>
      </c>
      <c r="O100" s="3"/>
      <c r="P100" s="3" t="e">
        <v>#NAME?</v>
      </c>
      <c r="Q100" s="3"/>
      <c r="R100" s="3"/>
    </row>
    <row r="101" customFormat="false" ht="15.75" hidden="false" customHeight="false" outlineLevel="0" collapsed="false">
      <c r="A101" s="6" t="str">
        <f aca="false">IFERROR(__xludf.dummyfunction("""COMPUTED_VALUE"""),"Blazehowl")</f>
        <v>Blazehowl</v>
      </c>
      <c r="B101" s="6" t="str">
        <f aca="false">IFERROR(__xludf.dummyfunction("""COMPUTED_VALUE"""),"Suzaku")</f>
        <v>Suzaku</v>
      </c>
      <c r="D101" s="6" t="str">
        <f aca="false">IFERROR(__xludf.dummyfunction("""COMPUTED_VALUE"""),"Ice Kingpaca")</f>
        <v>Ice Kingpaca</v>
      </c>
      <c r="E101" s="6" t="str">
        <f aca="false">IFERROR(__xludf.dummyfunction("""COMPUTED_VALUE"""),"Jormuntide Ignis")</f>
        <v>Jormuntide Ignis</v>
      </c>
      <c r="L101" s="1" t="e">
        <v>#NAME?</v>
      </c>
      <c r="M101" s="1" t="e">
        <v>#NAME?</v>
      </c>
      <c r="N101" s="1" t="e">
        <v>#NAME?</v>
      </c>
      <c r="O101" s="3"/>
      <c r="P101" s="3" t="e">
        <v>#NAME?</v>
      </c>
      <c r="Q101" s="3"/>
      <c r="R101" s="3"/>
    </row>
    <row r="102" customFormat="false" ht="15.75" hidden="false" customHeight="false" outlineLevel="0" collapsed="false">
      <c r="A102" s="6" t="str">
        <f aca="false">IFERROR(__xludf.dummyfunction("""COMPUTED_VALUE"""),"Blazehowl")</f>
        <v>Blazehowl</v>
      </c>
      <c r="B102" s="6" t="str">
        <f aca="false">IFERROR(__xludf.dummyfunction("""COMPUTED_VALUE"""),"Shadowbeak")</f>
        <v>Shadowbeak</v>
      </c>
      <c r="D102" s="6" t="str">
        <f aca="false">IFERROR(__xludf.dummyfunction("""COMPUTED_VALUE"""),"Mammorest")</f>
        <v>Mammorest</v>
      </c>
      <c r="E102" s="6" t="str">
        <f aca="false">IFERROR(__xludf.dummyfunction("""COMPUTED_VALUE"""),"Wumpo Botan")</f>
        <v>Wumpo Botan</v>
      </c>
      <c r="L102" s="1" t="e">
        <v>#NAME?</v>
      </c>
      <c r="M102" s="1" t="e">
        <v>#NAME?</v>
      </c>
      <c r="N102" s="1" t="e">
        <v>#NAME?</v>
      </c>
      <c r="O102" s="3"/>
      <c r="P102" s="3" t="e">
        <v>#NAME?</v>
      </c>
      <c r="Q102" s="3"/>
      <c r="R102" s="3"/>
    </row>
    <row r="103" customFormat="false" ht="15.75" hidden="false" customHeight="false" outlineLevel="0" collapsed="false">
      <c r="A103" s="6" t="str">
        <f aca="false">IFERROR(__xludf.dummyfunction("""COMPUTED_VALUE"""),"Blazehowl")</f>
        <v>Blazehowl</v>
      </c>
      <c r="B103" s="6" t="str">
        <f aca="false">IFERROR(__xludf.dummyfunction("""COMPUTED_VALUE"""),"Necromus")</f>
        <v>Necromus</v>
      </c>
      <c r="D103" s="6" t="str">
        <f aca="false">IFERROR(__xludf.dummyfunction("""COMPUTED_VALUE"""),"Mammorest Cryst")</f>
        <v>Mammorest Cryst</v>
      </c>
      <c r="E103" s="6" t="str">
        <f aca="false">IFERROR(__xludf.dummyfunction("""COMPUTED_VALUE"""),"Wumpo")</f>
        <v>Wumpo</v>
      </c>
      <c r="L103" s="1" t="e">
        <v>#NAME?</v>
      </c>
      <c r="M103" s="1" t="e">
        <v>#NAME?</v>
      </c>
      <c r="N103" s="1" t="e">
        <v>#NAME?</v>
      </c>
      <c r="O103" s="3"/>
      <c r="P103" s="3" t="e">
        <v>#NAME?</v>
      </c>
      <c r="Q103" s="3"/>
      <c r="R103" s="3"/>
    </row>
    <row r="104" customFormat="false" ht="15.75" hidden="false" customHeight="false" outlineLevel="0" collapsed="false">
      <c r="A104" s="6" t="str">
        <f aca="false">IFERROR(__xludf.dummyfunction("""COMPUTED_VALUE"""),"Blazehowl Noct")</f>
        <v>Blazehowl Noct</v>
      </c>
      <c r="B104" s="6" t="str">
        <f aca="false">IFERROR(__xludf.dummyfunction("""COMPUTED_VALUE"""),"Paladius")</f>
        <v>Paladius</v>
      </c>
      <c r="D104" s="6" t="str">
        <f aca="false">IFERROR(__xludf.dummyfunction("""COMPUTED_VALUE"""),"Mammorest Cryst")</f>
        <v>Mammorest Cryst</v>
      </c>
      <c r="E104" s="6" t="str">
        <f aca="false">IFERROR(__xludf.dummyfunction("""COMPUTED_VALUE"""),"Wumpo Botan")</f>
        <v>Wumpo Botan</v>
      </c>
      <c r="L104" s="1" t="e">
        <v>#NAME?</v>
      </c>
      <c r="M104" s="1" t="e">
        <v>#NAME?</v>
      </c>
      <c r="N104" s="1" t="e">
        <v>#NAME?</v>
      </c>
      <c r="O104" s="3"/>
      <c r="P104" s="3" t="e">
        <v>#NAME?</v>
      </c>
      <c r="Q104" s="3"/>
      <c r="R104" s="3"/>
    </row>
    <row r="105" customFormat="false" ht="15.75" hidden="false" customHeight="false" outlineLevel="0" collapsed="false">
      <c r="A105" s="6" t="str">
        <f aca="false">IFERROR(__xludf.dummyfunction("""COMPUTED_VALUE"""),"Blazehowl Noct")</f>
        <v>Blazehowl Noct</v>
      </c>
      <c r="B105" s="6" t="str">
        <f aca="false">IFERROR(__xludf.dummyfunction("""COMPUTED_VALUE"""),"Frostallion Noct")</f>
        <v>Frostallion Noct</v>
      </c>
      <c r="D105" s="6" t="str">
        <f aca="false">IFERROR(__xludf.dummyfunction("""COMPUTED_VALUE"""),"Wumpo")</f>
        <v>Wumpo</v>
      </c>
      <c r="E105" s="6" t="str">
        <f aca="false">IFERROR(__xludf.dummyfunction("""COMPUTED_VALUE"""),"Jormuntide")</f>
        <v>Jormuntide</v>
      </c>
      <c r="L105" s="1" t="e">
        <v>#NAME?</v>
      </c>
      <c r="M105" s="1" t="e">
        <v>#NAME?</v>
      </c>
      <c r="N105" s="1" t="e">
        <v>#NAME?</v>
      </c>
      <c r="O105" s="3"/>
      <c r="P105" s="3" t="e">
        <v>#NAME?</v>
      </c>
      <c r="Q105" s="3"/>
      <c r="R105" s="3"/>
    </row>
    <row r="106" customFormat="false" ht="15.75" hidden="false" customHeight="false" outlineLevel="0" collapsed="false">
      <c r="A106" s="6" t="str">
        <f aca="false">IFERROR(__xludf.dummyfunction("""COMPUTED_VALUE"""),"Blazehowl Noct")</f>
        <v>Blazehowl Noct</v>
      </c>
      <c r="B106" s="6" t="str">
        <f aca="false">IFERROR(__xludf.dummyfunction("""COMPUTED_VALUE"""),"Jetragon")</f>
        <v>Jetragon</v>
      </c>
      <c r="D106" s="6" t="str">
        <f aca="false">IFERROR(__xludf.dummyfunction("""COMPUTED_VALUE"""),"Wumpo")</f>
        <v>Wumpo</v>
      </c>
      <c r="E106" s="6" t="str">
        <f aca="false">IFERROR(__xludf.dummyfunction("""COMPUTED_VALUE"""),"Jormuntide Ignis")</f>
        <v>Jormuntide Ignis</v>
      </c>
      <c r="L106" s="1" t="e">
        <v>#NAME?</v>
      </c>
      <c r="M106" s="1" t="e">
        <v>#NAME?</v>
      </c>
      <c r="N106" s="1" t="e">
        <v>#NAME?</v>
      </c>
      <c r="O106" s="3"/>
      <c r="P106" s="3" t="e">
        <v>#NAME?</v>
      </c>
      <c r="Q106" s="3"/>
      <c r="R106" s="3"/>
    </row>
    <row r="107" customFormat="false" ht="15.75" hidden="false" customHeight="false" outlineLevel="0" collapsed="false">
      <c r="A107" s="6" t="str">
        <f aca="false">IFERROR(__xludf.dummyfunction("""COMPUTED_VALUE"""),"Relaxaurus")</f>
        <v>Relaxaurus</v>
      </c>
      <c r="B107" s="6" t="str">
        <f aca="false">IFERROR(__xludf.dummyfunction("""COMPUTED_VALUE"""),"Cinnamoth")</f>
        <v>Cinnamoth</v>
      </c>
      <c r="D107" s="6" t="str">
        <f aca="false">IFERROR(__xludf.dummyfunction("""COMPUTED_VALUE"""),"Helzephyr")</f>
        <v>Helzephyr</v>
      </c>
      <c r="E107" s="6" t="str">
        <f aca="false">IFERROR(__xludf.dummyfunction("""COMPUTED_VALUE"""),"Anubis")</f>
        <v>Anubis</v>
      </c>
      <c r="L107" s="1" t="e">
        <v>#NAME?</v>
      </c>
      <c r="M107" s="1" t="e">
        <v>#NAME?</v>
      </c>
      <c r="N107" s="1" t="e">
        <v>#NAME?</v>
      </c>
      <c r="O107" s="3"/>
      <c r="P107" s="3" t="e">
        <v>#NAME?</v>
      </c>
      <c r="Q107" s="3"/>
      <c r="R107" s="3"/>
    </row>
    <row r="108" customFormat="false" ht="15.75" hidden="false" customHeight="false" outlineLevel="0" collapsed="false">
      <c r="A108" s="6" t="str">
        <f aca="false">IFERROR(__xludf.dummyfunction("""COMPUTED_VALUE"""),"Relaxaurus")</f>
        <v>Relaxaurus</v>
      </c>
      <c r="B108" s="6" t="str">
        <f aca="false">IFERROR(__xludf.dummyfunction("""COMPUTED_VALUE"""),"Azurobe")</f>
        <v>Azurobe</v>
      </c>
      <c r="D108" s="6" t="str">
        <f aca="false">IFERROR(__xludf.dummyfunction("""COMPUTED_VALUE"""),"Anubis")</f>
        <v>Anubis</v>
      </c>
      <c r="E108" s="6" t="str">
        <f aca="false">IFERROR(__xludf.dummyfunction("""COMPUTED_VALUE"""),"Grizzbolt")</f>
        <v>Grizzbolt</v>
      </c>
      <c r="L108" s="1" t="e">
        <v>#NAME?</v>
      </c>
      <c r="M108" s="1" t="e">
        <v>#NAME?</v>
      </c>
      <c r="N108" s="1" t="e">
        <v>#NAME?</v>
      </c>
      <c r="O108" s="3"/>
      <c r="P108" s="3" t="e">
        <v>#NAME?</v>
      </c>
      <c r="Q108" s="3"/>
      <c r="R108" s="3"/>
    </row>
    <row r="109" customFormat="false" ht="15.75" hidden="false" customHeight="false" outlineLevel="0" collapsed="false">
      <c r="A109" s="6" t="str">
        <f aca="false">IFERROR(__xludf.dummyfunction("""COMPUTED_VALUE"""),"Relaxaurus")</f>
        <v>Relaxaurus</v>
      </c>
      <c r="B109" s="6" t="str">
        <f aca="false">IFERROR(__xludf.dummyfunction("""COMPUTED_VALUE"""),"Kingpaca")</f>
        <v>Kingpaca</v>
      </c>
      <c r="D109" s="6" t="str">
        <f aca="false">IFERROR(__xludf.dummyfunction("""COMPUTED_VALUE"""),"Anubis")</f>
        <v>Anubis</v>
      </c>
      <c r="E109" s="6" t="str">
        <f aca="false">IFERROR(__xludf.dummyfunction("""COMPUTED_VALUE"""),"Lyleen Noct")</f>
        <v>Lyleen Noct</v>
      </c>
      <c r="L109" s="1" t="e">
        <v>#NAME?</v>
      </c>
      <c r="M109" s="1" t="e">
        <v>#NAME?</v>
      </c>
      <c r="N109" s="1" t="e">
        <v>#NAME?</v>
      </c>
      <c r="O109" s="3"/>
      <c r="P109" s="3" t="e">
        <v>#NAME?</v>
      </c>
      <c r="Q109" s="3"/>
      <c r="R109" s="3"/>
    </row>
    <row r="110" customFormat="false" ht="15.75" hidden="false" customHeight="false" outlineLevel="0" collapsed="false">
      <c r="A110" s="6" t="str">
        <f aca="false">IFERROR(__xludf.dummyfunction("""COMPUTED_VALUE"""),"Relaxaurus")</f>
        <v>Relaxaurus</v>
      </c>
      <c r="B110" s="6" t="str">
        <f aca="false">IFERROR(__xludf.dummyfunction("""COMPUTED_VALUE"""),"Wumpo Botan")</f>
        <v>Wumpo Botan</v>
      </c>
      <c r="D110" s="6"/>
      <c r="E110" s="6"/>
      <c r="L110" s="1" t="e">
        <v>#NAME?</v>
      </c>
      <c r="M110" s="1" t="e">
        <v>#NAME?</v>
      </c>
      <c r="N110" s="1" t="e">
        <v>#NAME?</v>
      </c>
      <c r="O110" s="3"/>
      <c r="P110" s="3" t="e">
        <v>#NAME?</v>
      </c>
      <c r="Q110" s="3"/>
      <c r="R110" s="3"/>
    </row>
    <row r="111" customFormat="false" ht="15.75" hidden="false" customHeight="false" outlineLevel="0" collapsed="false">
      <c r="A111" s="6" t="str">
        <f aca="false">IFERROR(__xludf.dummyfunction("""COMPUTED_VALUE"""),"Relaxaurus Lux")</f>
        <v>Relaxaurus Lux</v>
      </c>
      <c r="B111" s="6" t="str">
        <f aca="false">IFERROR(__xludf.dummyfunction("""COMPUTED_VALUE"""),"Cinnamoth")</f>
        <v>Cinnamoth</v>
      </c>
      <c r="L111" s="1" t="e">
        <v>#NAME?</v>
      </c>
      <c r="M111" s="1" t="e">
        <v>#NAME?</v>
      </c>
      <c r="N111" s="1" t="e">
        <v>#NAME?</v>
      </c>
      <c r="O111" s="3"/>
      <c r="P111" s="3" t="e">
        <v>#NAME?</v>
      </c>
      <c r="Q111" s="3"/>
      <c r="R111" s="3"/>
    </row>
    <row r="112" customFormat="false" ht="15.75" hidden="false" customHeight="false" outlineLevel="0" collapsed="false">
      <c r="A112" s="6" t="str">
        <f aca="false">IFERROR(__xludf.dummyfunction("""COMPUTED_VALUE"""),"Relaxaurus Lux")</f>
        <v>Relaxaurus Lux</v>
      </c>
      <c r="B112" s="6" t="str">
        <f aca="false">IFERROR(__xludf.dummyfunction("""COMPUTED_VALUE"""),"Grintale")</f>
        <v>Grintale</v>
      </c>
      <c r="L112" s="1" t="e">
        <v>#NAME?</v>
      </c>
      <c r="M112" s="1" t="e">
        <v>#NAME?</v>
      </c>
      <c r="N112" s="1" t="e">
        <v>#NAME?</v>
      </c>
      <c r="O112" s="3"/>
      <c r="P112" s="3" t="e">
        <v>#NAME?</v>
      </c>
      <c r="Q112" s="3"/>
      <c r="R112" s="3"/>
    </row>
    <row r="113" customFormat="false" ht="15.75" hidden="false" customHeight="false" outlineLevel="0" collapsed="false">
      <c r="A113" s="6" t="str">
        <f aca="false">IFERROR(__xludf.dummyfunction("""COMPUTED_VALUE"""),"Relaxaurus Lux")</f>
        <v>Relaxaurus Lux</v>
      </c>
      <c r="B113" s="6" t="str">
        <f aca="false">IFERROR(__xludf.dummyfunction("""COMPUTED_VALUE"""),"Azurobe")</f>
        <v>Azurobe</v>
      </c>
      <c r="L113" s="1" t="e">
        <v>#NAME?</v>
      </c>
      <c r="M113" s="1" t="e">
        <v>#NAME?</v>
      </c>
      <c r="N113" s="1" t="e">
        <v>#NAME?</v>
      </c>
      <c r="O113" s="3"/>
      <c r="P113" s="3" t="e">
        <v>#NAME?</v>
      </c>
      <c r="Q113" s="3"/>
      <c r="R113" s="3"/>
    </row>
    <row r="114" customFormat="false" ht="15.75" hidden="false" customHeight="false" outlineLevel="0" collapsed="false">
      <c r="A114" s="6" t="str">
        <f aca="false">IFERROR(__xludf.dummyfunction("""COMPUTED_VALUE"""),"Relaxaurus Lux")</f>
        <v>Relaxaurus Lux</v>
      </c>
      <c r="B114" s="6" t="str">
        <f aca="false">IFERROR(__xludf.dummyfunction("""COMPUTED_VALUE"""),"Wumpo Botan")</f>
        <v>Wumpo Botan</v>
      </c>
      <c r="L114" s="1" t="e">
        <v>#NAME?</v>
      </c>
      <c r="M114" s="1" t="e">
        <v>#NAME?</v>
      </c>
      <c r="N114" s="1" t="e">
        <v>#NAME?</v>
      </c>
      <c r="O114" s="3"/>
      <c r="P114" s="3" t="e">
        <v>#NAME?</v>
      </c>
      <c r="Q114" s="3"/>
      <c r="R114" s="3"/>
    </row>
    <row r="115" customFormat="false" ht="15.75" hidden="false" customHeight="false" outlineLevel="0" collapsed="false">
      <c r="A115" s="6" t="str">
        <f aca="false">IFERROR(__xludf.dummyfunction("""COMPUTED_VALUE"""),"Reptyro")</f>
        <v>Reptyro</v>
      </c>
      <c r="B115" s="6" t="str">
        <f aca="false">IFERROR(__xludf.dummyfunction("""COMPUTED_VALUE"""),"Mossanda")</f>
        <v>Mossanda</v>
      </c>
      <c r="L115" s="1" t="e">
        <v>#NAME?</v>
      </c>
      <c r="M115" s="1" t="e">
        <v>#NAME?</v>
      </c>
      <c r="N115" s="1" t="e">
        <v>#NAME?</v>
      </c>
      <c r="O115" s="3"/>
      <c r="P115" s="3" t="e">
        <v>#NAME?</v>
      </c>
      <c r="Q115" s="3"/>
      <c r="R115" s="3"/>
    </row>
    <row r="116" customFormat="false" ht="15.75" hidden="false" customHeight="false" outlineLevel="0" collapsed="false">
      <c r="A116" s="6" t="str">
        <f aca="false">IFERROR(__xludf.dummyfunction("""COMPUTED_VALUE"""),"Reptyro")</f>
        <v>Reptyro</v>
      </c>
      <c r="B116" s="6" t="str">
        <f aca="false">IFERROR(__xludf.dummyfunction("""COMPUTED_VALUE"""),"Sibelyx")</f>
        <v>Sibelyx</v>
      </c>
      <c r="L116" s="1" t="e">
        <v>#NAME?</v>
      </c>
      <c r="M116" s="1" t="e">
        <v>#NAME?</v>
      </c>
      <c r="N116" s="1" t="e">
        <v>#NAME?</v>
      </c>
      <c r="O116" s="3"/>
      <c r="P116" s="3" t="e">
        <v>#NAME?</v>
      </c>
      <c r="Q116" s="3"/>
      <c r="R116" s="3"/>
    </row>
    <row r="117" customFormat="false" ht="15.75" hidden="false" customHeight="false" outlineLevel="0" collapsed="false">
      <c r="A117" s="6" t="str">
        <f aca="false">IFERROR(__xludf.dummyfunction("""COMPUTED_VALUE"""),"Reptyro")</f>
        <v>Reptyro</v>
      </c>
      <c r="B117" s="6" t="str">
        <f aca="false">IFERROR(__xludf.dummyfunction("""COMPUTED_VALUE"""),"Ice Kingpaca")</f>
        <v>Ice Kingpaca</v>
      </c>
      <c r="L117" s="1" t="e">
        <v>#NAME?</v>
      </c>
      <c r="M117" s="1" t="e">
        <v>#NAME?</v>
      </c>
      <c r="N117" s="1" t="e">
        <v>#NAME?</v>
      </c>
      <c r="O117" s="3"/>
      <c r="P117" s="3" t="e">
        <v>#NAME?</v>
      </c>
      <c r="Q117" s="3"/>
      <c r="R117" s="3"/>
    </row>
    <row r="118" customFormat="false" ht="15.75" hidden="false" customHeight="false" outlineLevel="0" collapsed="false">
      <c r="A118" s="6" t="str">
        <f aca="false">IFERROR(__xludf.dummyfunction("""COMPUTED_VALUE"""),"Reptyro")</f>
        <v>Reptyro</v>
      </c>
      <c r="B118" s="6" t="str">
        <f aca="false">IFERROR(__xludf.dummyfunction("""COMPUTED_VALUE"""),"Wumpo")</f>
        <v>Wumpo</v>
      </c>
      <c r="L118" s="1" t="e">
        <v>#NAME?</v>
      </c>
      <c r="M118" s="1" t="e">
        <v>#NAME?</v>
      </c>
      <c r="N118" s="1" t="e">
        <v>#NAME?</v>
      </c>
      <c r="O118" s="3"/>
      <c r="P118" s="3" t="e">
        <v>#NAME?</v>
      </c>
      <c r="Q118" s="3"/>
      <c r="R118" s="3"/>
    </row>
    <row r="119" customFormat="false" ht="15.75" hidden="false" customHeight="false" outlineLevel="0" collapsed="false">
      <c r="A119" s="6" t="str">
        <f aca="false">IFERROR(__xludf.dummyfunction("""COMPUTED_VALUE"""),"Ice Reptyro")</f>
        <v>Ice Reptyro</v>
      </c>
      <c r="B119" s="6" t="str">
        <f aca="false">IFERROR(__xludf.dummyfunction("""COMPUTED_VALUE"""),"Penking")</f>
        <v>Penking</v>
      </c>
      <c r="L119" s="1" t="e">
        <v>#NAME?</v>
      </c>
      <c r="M119" s="1" t="e">
        <v>#NAME?</v>
      </c>
      <c r="N119" s="1" t="e">
        <v>#NAME?</v>
      </c>
      <c r="O119" s="3"/>
      <c r="P119" s="3" t="e">
        <v>#NAME?</v>
      </c>
      <c r="Q119" s="3"/>
      <c r="R119" s="3"/>
    </row>
    <row r="120" customFormat="false" ht="15.75" hidden="false" customHeight="false" outlineLevel="0" collapsed="false">
      <c r="A120" s="6" t="str">
        <f aca="false">IFERROR(__xludf.dummyfunction("""COMPUTED_VALUE"""),"Ice Reptyro")</f>
        <v>Ice Reptyro</v>
      </c>
      <c r="B120" s="6" t="str">
        <f aca="false">IFERROR(__xludf.dummyfunction("""COMPUTED_VALUE"""),"Surfent Terra")</f>
        <v>Surfent Terra</v>
      </c>
      <c r="L120" s="1" t="e">
        <v>#NAME?</v>
      </c>
      <c r="M120" s="1" t="e">
        <v>#NAME?</v>
      </c>
      <c r="N120" s="1" t="e">
        <v>#NAME?</v>
      </c>
      <c r="O120" s="3"/>
      <c r="P120" s="3" t="e">
        <v>#NAME?</v>
      </c>
      <c r="Q120" s="3"/>
      <c r="R120" s="3"/>
    </row>
    <row r="121" customFormat="false" ht="15.75" hidden="false" customHeight="false" outlineLevel="0" collapsed="false">
      <c r="A121" s="6" t="str">
        <f aca="false">IFERROR(__xludf.dummyfunction("""COMPUTED_VALUE"""),"Ice Reptyro")</f>
        <v>Ice Reptyro</v>
      </c>
      <c r="B121" s="6" t="str">
        <f aca="false">IFERROR(__xludf.dummyfunction("""COMPUTED_VALUE"""),"Elphidran")</f>
        <v>Elphidran</v>
      </c>
      <c r="L121" s="1" t="e">
        <v>#NAME?</v>
      </c>
      <c r="M121" s="1" t="e">
        <v>#NAME?</v>
      </c>
      <c r="N121" s="1" t="e">
        <v>#NAME?</v>
      </c>
      <c r="O121" s="3"/>
      <c r="P121" s="3" t="e">
        <v>#NAME?</v>
      </c>
      <c r="Q121" s="3"/>
      <c r="R121" s="3"/>
    </row>
    <row r="122" customFormat="false" ht="15.75" hidden="false" customHeight="false" outlineLevel="0" collapsed="false">
      <c r="A122" s="6" t="str">
        <f aca="false">IFERROR(__xludf.dummyfunction("""COMPUTED_VALUE"""),"Ice Reptyro")</f>
        <v>Ice Reptyro</v>
      </c>
      <c r="B122" s="6" t="str">
        <f aca="false">IFERROR(__xludf.dummyfunction("""COMPUTED_VALUE"""),"Elphidran Aqua")</f>
        <v>Elphidran Aqua</v>
      </c>
      <c r="L122" s="1" t="e">
        <v>#NAME?</v>
      </c>
      <c r="M122" s="1" t="e">
        <v>#NAME?</v>
      </c>
      <c r="N122" s="1" t="e">
        <v>#NAME?</v>
      </c>
      <c r="O122" s="3"/>
      <c r="P122" s="3" t="e">
        <v>#NAME?</v>
      </c>
      <c r="Q122" s="3"/>
      <c r="R122" s="3"/>
    </row>
    <row r="123" customFormat="false" ht="15.75" hidden="false" customHeight="false" outlineLevel="0" collapsed="false">
      <c r="A123" s="6" t="str">
        <f aca="false">IFERROR(__xludf.dummyfunction("""COMPUTED_VALUE"""),"Kingpaca")</f>
        <v>Kingpaca</v>
      </c>
      <c r="B123" s="6" t="str">
        <f aca="false">IFERROR(__xludf.dummyfunction("""COMPUTED_VALUE"""),"Relaxaurus")</f>
        <v>Relaxaurus</v>
      </c>
      <c r="L123" s="1" t="e">
        <v>#NAME?</v>
      </c>
      <c r="M123" s="1" t="e">
        <v>#NAME?</v>
      </c>
      <c r="N123" s="1" t="e">
        <v>#NAME?</v>
      </c>
      <c r="O123" s="3"/>
      <c r="P123" s="3" t="e">
        <v>#NAME?</v>
      </c>
      <c r="Q123" s="3"/>
      <c r="R123" s="3"/>
    </row>
    <row r="124" customFormat="false" ht="15.75" hidden="false" customHeight="false" outlineLevel="0" collapsed="false">
      <c r="A124" s="6" t="str">
        <f aca="false">IFERROR(__xludf.dummyfunction("""COMPUTED_VALUE"""),"Kingpaca")</f>
        <v>Kingpaca</v>
      </c>
      <c r="B124" s="6" t="str">
        <f aca="false">IFERROR(__xludf.dummyfunction("""COMPUTED_VALUE"""),"Mammorest")</f>
        <v>Mammorest</v>
      </c>
      <c r="L124" s="1" t="e">
        <v>#NAME?</v>
      </c>
      <c r="M124" s="1" t="e">
        <v>#NAME?</v>
      </c>
      <c r="N124" s="1" t="e">
        <v>#NAME?</v>
      </c>
      <c r="O124" s="3"/>
      <c r="P124" s="3" t="e">
        <v>#NAME?</v>
      </c>
      <c r="Q124" s="3"/>
      <c r="R124" s="3"/>
    </row>
    <row r="125" customFormat="false" ht="15.75" hidden="false" customHeight="false" outlineLevel="0" collapsed="false">
      <c r="A125" s="6" t="str">
        <f aca="false">IFERROR(__xludf.dummyfunction("""COMPUTED_VALUE"""),"Kingpaca")</f>
        <v>Kingpaca</v>
      </c>
      <c r="B125" s="6" t="str">
        <f aca="false">IFERROR(__xludf.dummyfunction("""COMPUTED_VALUE"""),"Mammorest Cryst")</f>
        <v>Mammorest Cryst</v>
      </c>
      <c r="L125" s="1" t="e">
        <v>#NAME?</v>
      </c>
      <c r="M125" s="1" t="e">
        <v>#NAME?</v>
      </c>
      <c r="N125" s="1" t="e">
        <v>#NAME?</v>
      </c>
      <c r="O125" s="3"/>
      <c r="P125" s="3" t="e">
        <v>#NAME?</v>
      </c>
      <c r="Q125" s="3"/>
      <c r="R125" s="3"/>
    </row>
    <row r="126" customFormat="false" ht="15.75" hidden="false" customHeight="false" outlineLevel="0" collapsed="false">
      <c r="A126" s="6" t="str">
        <f aca="false">IFERROR(__xludf.dummyfunction("""COMPUTED_VALUE"""),"Kingpaca")</f>
        <v>Kingpaca</v>
      </c>
      <c r="B126" s="6" t="str">
        <f aca="false">IFERROR(__xludf.dummyfunction("""COMPUTED_VALUE"""),"Jormuntide")</f>
        <v>Jormuntide</v>
      </c>
      <c r="L126" s="1" t="e">
        <v>#NAME?</v>
      </c>
      <c r="M126" s="1" t="e">
        <v>#NAME?</v>
      </c>
      <c r="N126" s="1" t="e">
        <v>#NAME?</v>
      </c>
      <c r="O126" s="3"/>
      <c r="P126" s="3" t="e">
        <v>#NAME?</v>
      </c>
      <c r="Q126" s="3"/>
      <c r="R126" s="3"/>
    </row>
    <row r="127" customFormat="false" ht="15.75" hidden="false" customHeight="false" outlineLevel="0" collapsed="false">
      <c r="A127" s="6" t="str">
        <f aca="false">IFERROR(__xludf.dummyfunction("""COMPUTED_VALUE"""),"Kingpaca")</f>
        <v>Kingpaca</v>
      </c>
      <c r="B127" s="6" t="str">
        <f aca="false">IFERROR(__xludf.dummyfunction("""COMPUTED_VALUE"""),"Jormuntide Ignis")</f>
        <v>Jormuntide Ignis</v>
      </c>
      <c r="L127" s="1" t="e">
        <v>#NAME?</v>
      </c>
      <c r="M127" s="1" t="e">
        <v>#NAME?</v>
      </c>
      <c r="N127" s="1" t="e">
        <v>#NAME?</v>
      </c>
      <c r="O127" s="3"/>
      <c r="P127" s="3" t="e">
        <v>#NAME?</v>
      </c>
      <c r="Q127" s="3"/>
      <c r="R127" s="3"/>
    </row>
    <row r="128" customFormat="false" ht="15.75" hidden="false" customHeight="false" outlineLevel="0" collapsed="false">
      <c r="A128" s="6" t="str">
        <f aca="false">IFERROR(__xludf.dummyfunction("""COMPUTED_VALUE"""),"Ice Kingpaca")</f>
        <v>Ice Kingpaca</v>
      </c>
      <c r="B128" s="6" t="str">
        <f aca="false">IFERROR(__xludf.dummyfunction("""COMPUTED_VALUE"""),"Elizabee")</f>
        <v>Elizabee</v>
      </c>
      <c r="L128" s="1" t="e">
        <v>#NAME?</v>
      </c>
      <c r="M128" s="1" t="e">
        <v>#NAME?</v>
      </c>
      <c r="N128" s="1" t="e">
        <v>#NAME?</v>
      </c>
      <c r="O128" s="3"/>
      <c r="P128" s="3" t="e">
        <v>#NAME?</v>
      </c>
      <c r="Q128" s="3"/>
      <c r="R128" s="3"/>
    </row>
    <row r="129" customFormat="false" ht="15.75" hidden="false" customHeight="false" outlineLevel="0" collapsed="false">
      <c r="A129" s="6" t="str">
        <f aca="false">IFERROR(__xludf.dummyfunction("""COMPUTED_VALUE"""),"Ice Kingpaca")</f>
        <v>Ice Kingpaca</v>
      </c>
      <c r="B129" s="6" t="str">
        <f aca="false">IFERROR(__xludf.dummyfunction("""COMPUTED_VALUE"""),"Reptyro")</f>
        <v>Reptyro</v>
      </c>
      <c r="L129" s="1" t="e">
        <v>#NAME?</v>
      </c>
      <c r="M129" s="1" t="e">
        <v>#NAME?</v>
      </c>
      <c r="N129" s="1" t="e">
        <v>#NAME?</v>
      </c>
      <c r="O129" s="3"/>
      <c r="P129" s="3" t="e">
        <v>#NAME?</v>
      </c>
      <c r="Q129" s="3"/>
      <c r="R129" s="3"/>
    </row>
    <row r="130" customFormat="false" ht="15.75" hidden="false" customHeight="false" outlineLevel="0" collapsed="false">
      <c r="A130" s="6" t="str">
        <f aca="false">IFERROR(__xludf.dummyfunction("""COMPUTED_VALUE"""),"Ice Kingpaca")</f>
        <v>Ice Kingpaca</v>
      </c>
      <c r="B130" s="6" t="str">
        <f aca="false">IFERROR(__xludf.dummyfunction("""COMPUTED_VALUE"""),"Warsect")</f>
        <v>Warsect</v>
      </c>
      <c r="L130" s="1" t="e">
        <v>#NAME?</v>
      </c>
      <c r="M130" s="1" t="e">
        <v>#NAME?</v>
      </c>
      <c r="N130" s="1" t="e">
        <v>#NAME?</v>
      </c>
      <c r="O130" s="3"/>
      <c r="P130" s="3" t="e">
        <v>#NAME?</v>
      </c>
      <c r="Q130" s="3"/>
      <c r="R130" s="3"/>
    </row>
    <row r="131" customFormat="false" ht="15.75" hidden="false" customHeight="false" outlineLevel="0" collapsed="false">
      <c r="A131" s="6" t="str">
        <f aca="false">IFERROR(__xludf.dummyfunction("""COMPUTED_VALUE"""),"Ice Kingpaca")</f>
        <v>Ice Kingpaca</v>
      </c>
      <c r="B131" s="6" t="str">
        <f aca="false">IFERROR(__xludf.dummyfunction("""COMPUTED_VALUE"""),"Jormuntide")</f>
        <v>Jormuntide</v>
      </c>
      <c r="L131" s="1" t="e">
        <v>#NAME?</v>
      </c>
      <c r="M131" s="1" t="e">
        <v>#NAME?</v>
      </c>
      <c r="N131" s="1" t="e">
        <v>#NAME?</v>
      </c>
      <c r="O131" s="3"/>
      <c r="P131" s="3" t="e">
        <v>#NAME?</v>
      </c>
      <c r="Q131" s="3"/>
      <c r="R131" s="3"/>
    </row>
    <row r="132" customFormat="false" ht="15.75" hidden="false" customHeight="false" outlineLevel="0" collapsed="false">
      <c r="A132" s="6" t="str">
        <f aca="false">IFERROR(__xludf.dummyfunction("""COMPUTED_VALUE"""),"Ice Kingpaca")</f>
        <v>Ice Kingpaca</v>
      </c>
      <c r="B132" s="6" t="str">
        <f aca="false">IFERROR(__xludf.dummyfunction("""COMPUTED_VALUE"""),"Jormuntide Ignis")</f>
        <v>Jormuntide Ignis</v>
      </c>
      <c r="L132" s="1" t="e">
        <v>#NAME?</v>
      </c>
      <c r="M132" s="1" t="e">
        <v>#NAME?</v>
      </c>
      <c r="N132" s="1" t="e">
        <v>#NAME?</v>
      </c>
      <c r="O132" s="3"/>
      <c r="P132" s="3" t="e">
        <v>#NAME?</v>
      </c>
      <c r="Q132" s="3"/>
      <c r="R132" s="3"/>
    </row>
    <row r="133" customFormat="false" ht="15.75" hidden="false" customHeight="false" outlineLevel="0" collapsed="false">
      <c r="A133" s="6" t="str">
        <f aca="false">IFERROR(__xludf.dummyfunction("""COMPUTED_VALUE"""),"Mammorest")</f>
        <v>Mammorest</v>
      </c>
      <c r="B133" s="6" t="str">
        <f aca="false">IFERROR(__xludf.dummyfunction("""COMPUTED_VALUE"""),"Sibelyx")</f>
        <v>Sibelyx</v>
      </c>
      <c r="L133" s="1" t="e">
        <v>#NAME?</v>
      </c>
      <c r="M133" s="1" t="e">
        <v>#NAME?</v>
      </c>
      <c r="N133" s="1" t="e">
        <v>#NAME?</v>
      </c>
      <c r="O133" s="3"/>
      <c r="P133" s="3" t="e">
        <v>#NAME?</v>
      </c>
      <c r="Q133" s="3"/>
      <c r="R133" s="3"/>
    </row>
    <row r="134" customFormat="false" ht="15.75" hidden="false" customHeight="false" outlineLevel="0" collapsed="false">
      <c r="A134" s="6" t="str">
        <f aca="false">IFERROR(__xludf.dummyfunction("""COMPUTED_VALUE"""),"Mammorest")</f>
        <v>Mammorest</v>
      </c>
      <c r="B134" s="6" t="str">
        <f aca="false">IFERROR(__xludf.dummyfunction("""COMPUTED_VALUE"""),"Kingpaca")</f>
        <v>Kingpaca</v>
      </c>
      <c r="L134" s="1" t="e">
        <v>#NAME?</v>
      </c>
      <c r="M134" s="1" t="e">
        <v>#NAME?</v>
      </c>
      <c r="N134" s="1" t="e">
        <v>#NAME?</v>
      </c>
      <c r="O134" s="3"/>
      <c r="P134" s="3" t="e">
        <v>#NAME?</v>
      </c>
      <c r="Q134" s="3"/>
      <c r="R134" s="3"/>
    </row>
    <row r="135" customFormat="false" ht="15.75" hidden="false" customHeight="false" outlineLevel="0" collapsed="false">
      <c r="A135" s="6" t="str">
        <f aca="false">IFERROR(__xludf.dummyfunction("""COMPUTED_VALUE"""),"Mammorest")</f>
        <v>Mammorest</v>
      </c>
      <c r="B135" s="6" t="str">
        <f aca="false">IFERROR(__xludf.dummyfunction("""COMPUTED_VALUE"""),"Wumpo Botan")</f>
        <v>Wumpo Botan</v>
      </c>
      <c r="L135" s="1" t="e">
        <v>#NAME?</v>
      </c>
      <c r="M135" s="1" t="e">
        <v>#NAME?</v>
      </c>
      <c r="N135" s="1" t="e">
        <v>#NAME?</v>
      </c>
      <c r="O135" s="3"/>
      <c r="P135" s="3" t="e">
        <v>#NAME?</v>
      </c>
      <c r="Q135" s="3"/>
      <c r="R135" s="3"/>
    </row>
    <row r="136" customFormat="false" ht="15.75" hidden="false" customHeight="false" outlineLevel="0" collapsed="false">
      <c r="A136" s="6" t="str">
        <f aca="false">IFERROR(__xludf.dummyfunction("""COMPUTED_VALUE"""),"Mammorest Cryst")</f>
        <v>Mammorest Cryst</v>
      </c>
      <c r="B136" s="6" t="str">
        <f aca="false">IFERROR(__xludf.dummyfunction("""COMPUTED_VALUE"""),"Cinnamoth")</f>
        <v>Cinnamoth</v>
      </c>
      <c r="L136" s="1" t="e">
        <v>#NAME?</v>
      </c>
      <c r="M136" s="1" t="e">
        <v>#NAME?</v>
      </c>
      <c r="N136" s="1" t="e">
        <v>#NAME?</v>
      </c>
      <c r="O136" s="3"/>
      <c r="P136" s="3" t="e">
        <v>#NAME?</v>
      </c>
      <c r="Q136" s="3"/>
      <c r="R136" s="3"/>
    </row>
    <row r="137" customFormat="false" ht="15.75" hidden="false" customHeight="false" outlineLevel="0" collapsed="false">
      <c r="A137" s="6" t="str">
        <f aca="false">IFERROR(__xludf.dummyfunction("""COMPUTED_VALUE"""),"Mammorest Cryst")</f>
        <v>Mammorest Cryst</v>
      </c>
      <c r="B137" s="6" t="str">
        <f aca="false">IFERROR(__xludf.dummyfunction("""COMPUTED_VALUE"""),"Kingpaca")</f>
        <v>Kingpaca</v>
      </c>
      <c r="L137" s="1" t="e">
        <v>#NAME?</v>
      </c>
      <c r="M137" s="1" t="e">
        <v>#NAME?</v>
      </c>
      <c r="N137" s="1" t="e">
        <v>#NAME?</v>
      </c>
      <c r="O137" s="3"/>
      <c r="P137" s="3" t="e">
        <v>#NAME?</v>
      </c>
      <c r="Q137" s="3"/>
      <c r="R137" s="3"/>
    </row>
    <row r="138" customFormat="false" ht="15.75" hidden="false" customHeight="false" outlineLevel="0" collapsed="false">
      <c r="A138" s="6" t="str">
        <f aca="false">IFERROR(__xludf.dummyfunction("""COMPUTED_VALUE"""),"Mammorest Cryst")</f>
        <v>Mammorest Cryst</v>
      </c>
      <c r="B138" s="6" t="str">
        <f aca="false">IFERROR(__xludf.dummyfunction("""COMPUTED_VALUE"""),"Wumpo")</f>
        <v>Wumpo</v>
      </c>
      <c r="L138" s="1" t="e">
        <v>#NAME?</v>
      </c>
      <c r="M138" s="1" t="e">
        <v>#NAME?</v>
      </c>
      <c r="N138" s="1" t="e">
        <v>#NAME?</v>
      </c>
      <c r="O138" s="3"/>
      <c r="P138" s="3" t="e">
        <v>#NAME?</v>
      </c>
      <c r="Q138" s="3"/>
      <c r="R138" s="3"/>
    </row>
    <row r="139" customFormat="false" ht="15.75" hidden="false" customHeight="false" outlineLevel="0" collapsed="false">
      <c r="A139" s="6" t="str">
        <f aca="false">IFERROR(__xludf.dummyfunction("""COMPUTED_VALUE"""),"Mammorest Cryst")</f>
        <v>Mammorest Cryst</v>
      </c>
      <c r="B139" s="6" t="str">
        <f aca="false">IFERROR(__xludf.dummyfunction("""COMPUTED_VALUE"""),"Wumpo Botan")</f>
        <v>Wumpo Botan</v>
      </c>
      <c r="L139" s="1" t="e">
        <v>#NAME?</v>
      </c>
      <c r="M139" s="1" t="e">
        <v>#NAME?</v>
      </c>
      <c r="N139" s="1" t="e">
        <v>#NAME?</v>
      </c>
      <c r="O139" s="3"/>
      <c r="P139" s="3" t="e">
        <v>#NAME?</v>
      </c>
      <c r="Q139" s="3"/>
      <c r="R139" s="3"/>
    </row>
    <row r="140" customFormat="false" ht="15.75" hidden="false" customHeight="false" outlineLevel="0" collapsed="false">
      <c r="A140" s="6" t="str">
        <f aca="false">IFERROR(__xludf.dummyfunction("""COMPUTED_VALUE"""),"Wumpo")</f>
        <v>Wumpo</v>
      </c>
      <c r="B140" s="6" t="str">
        <f aca="false">IFERROR(__xludf.dummyfunction("""COMPUTED_VALUE"""),"Reptyro")</f>
        <v>Reptyro</v>
      </c>
      <c r="L140" s="1" t="e">
        <v>#NAME?</v>
      </c>
      <c r="M140" s="1" t="e">
        <v>#NAME?</v>
      </c>
      <c r="N140" s="1" t="e">
        <v>#NAME?</v>
      </c>
      <c r="O140" s="3"/>
      <c r="P140" s="3" t="e">
        <v>#NAME?</v>
      </c>
      <c r="Q140" s="3"/>
      <c r="R140" s="3"/>
    </row>
    <row r="141" customFormat="false" ht="15.75" hidden="false" customHeight="false" outlineLevel="0" collapsed="false">
      <c r="A141" s="6" t="str">
        <f aca="false">IFERROR(__xludf.dummyfunction("""COMPUTED_VALUE"""),"Wumpo")</f>
        <v>Wumpo</v>
      </c>
      <c r="B141" s="6" t="str">
        <f aca="false">IFERROR(__xludf.dummyfunction("""COMPUTED_VALUE"""),"Mammorest Cryst")</f>
        <v>Mammorest Cryst</v>
      </c>
      <c r="L141" s="1" t="e">
        <v>#NAME?</v>
      </c>
      <c r="M141" s="1" t="e">
        <v>#NAME?</v>
      </c>
      <c r="N141" s="1" t="e">
        <v>#NAME?</v>
      </c>
      <c r="O141" s="3"/>
      <c r="P141" s="3" t="e">
        <v>#NAME?</v>
      </c>
      <c r="Q141" s="3"/>
      <c r="R141" s="3"/>
    </row>
    <row r="142" customFormat="false" ht="15.75" hidden="false" customHeight="false" outlineLevel="0" collapsed="false">
      <c r="A142" s="6" t="str">
        <f aca="false">IFERROR(__xludf.dummyfunction("""COMPUTED_VALUE"""),"Wumpo")</f>
        <v>Wumpo</v>
      </c>
      <c r="B142" s="6" t="str">
        <f aca="false">IFERROR(__xludf.dummyfunction("""COMPUTED_VALUE"""),"Jormuntide")</f>
        <v>Jormuntide</v>
      </c>
      <c r="L142" s="1" t="e">
        <v>#NAME?</v>
      </c>
      <c r="M142" s="1" t="e">
        <v>#NAME?</v>
      </c>
      <c r="N142" s="1" t="e">
        <v>#NAME?</v>
      </c>
      <c r="O142" s="3"/>
      <c r="P142" s="3" t="e">
        <v>#NAME?</v>
      </c>
      <c r="Q142" s="3"/>
      <c r="R142" s="3"/>
    </row>
    <row r="143" customFormat="false" ht="15.75" hidden="false" customHeight="false" outlineLevel="0" collapsed="false">
      <c r="A143" s="6" t="str">
        <f aca="false">IFERROR(__xludf.dummyfunction("""COMPUTED_VALUE"""),"Wumpo")</f>
        <v>Wumpo</v>
      </c>
      <c r="B143" s="6" t="str">
        <f aca="false">IFERROR(__xludf.dummyfunction("""COMPUTED_VALUE"""),"Jormuntide Ignis")</f>
        <v>Jormuntide Ignis</v>
      </c>
      <c r="L143" s="1" t="e">
        <v>#NAME?</v>
      </c>
      <c r="M143" s="1" t="e">
        <v>#NAME?</v>
      </c>
      <c r="N143" s="1" t="e">
        <v>#NAME?</v>
      </c>
      <c r="O143" s="3"/>
      <c r="P143" s="3" t="e">
        <v>#NAME?</v>
      </c>
      <c r="Q143" s="3"/>
      <c r="R143" s="3"/>
    </row>
    <row r="144" customFormat="false" ht="15.75" hidden="false" customHeight="false" outlineLevel="0" collapsed="false">
      <c r="A144" s="6" t="str">
        <f aca="false">IFERROR(__xludf.dummyfunction("""COMPUTED_VALUE"""),"Wumpo Botan")</f>
        <v>Wumpo Botan</v>
      </c>
      <c r="B144" s="6" t="str">
        <f aca="false">IFERROR(__xludf.dummyfunction("""COMPUTED_VALUE"""),"Relaxaurus")</f>
        <v>Relaxaurus</v>
      </c>
      <c r="L144" s="1" t="e">
        <v>#NAME?</v>
      </c>
      <c r="M144" s="1" t="e">
        <v>#NAME?</v>
      </c>
      <c r="N144" s="1" t="e">
        <v>#NAME?</v>
      </c>
      <c r="O144" s="3"/>
      <c r="P144" s="3" t="e">
        <v>#NAME?</v>
      </c>
      <c r="Q144" s="3"/>
      <c r="R144" s="3"/>
    </row>
    <row r="145" customFormat="false" ht="15.75" hidden="false" customHeight="false" outlineLevel="0" collapsed="false">
      <c r="A145" s="6" t="str">
        <f aca="false">IFERROR(__xludf.dummyfunction("""COMPUTED_VALUE"""),"Wumpo Botan")</f>
        <v>Wumpo Botan</v>
      </c>
      <c r="B145" s="6" t="str">
        <f aca="false">IFERROR(__xludf.dummyfunction("""COMPUTED_VALUE"""),"Relaxaurus Lux")</f>
        <v>Relaxaurus Lux</v>
      </c>
      <c r="L145" s="1" t="e">
        <v>#NAME?</v>
      </c>
      <c r="M145" s="1" t="e">
        <v>#NAME?</v>
      </c>
      <c r="N145" s="1" t="e">
        <v>#NAME?</v>
      </c>
      <c r="O145" s="3"/>
      <c r="P145" s="3" t="e">
        <v>#NAME?</v>
      </c>
      <c r="Q145" s="3"/>
      <c r="R145" s="3"/>
    </row>
    <row r="146" customFormat="false" ht="15.75" hidden="false" customHeight="false" outlineLevel="0" collapsed="false">
      <c r="A146" s="6" t="str">
        <f aca="false">IFERROR(__xludf.dummyfunction("""COMPUTED_VALUE"""),"Wumpo Botan")</f>
        <v>Wumpo Botan</v>
      </c>
      <c r="B146" s="6" t="str">
        <f aca="false">IFERROR(__xludf.dummyfunction("""COMPUTED_VALUE"""),"Mammorest")</f>
        <v>Mammorest</v>
      </c>
      <c r="L146" s="1" t="e">
        <v>#NAME?</v>
      </c>
      <c r="M146" s="1" t="e">
        <v>#NAME?</v>
      </c>
      <c r="N146" s="1" t="e">
        <v>#NAME?</v>
      </c>
      <c r="O146" s="3"/>
      <c r="P146" s="3" t="e">
        <v>#NAME?</v>
      </c>
      <c r="Q146" s="3"/>
      <c r="R146" s="3"/>
    </row>
    <row r="147" customFormat="false" ht="15.75" hidden="false" customHeight="false" outlineLevel="0" collapsed="false">
      <c r="A147" s="6" t="str">
        <f aca="false">IFERROR(__xludf.dummyfunction("""COMPUTED_VALUE"""),"Wumpo Botan")</f>
        <v>Wumpo Botan</v>
      </c>
      <c r="B147" s="6" t="str">
        <f aca="false">IFERROR(__xludf.dummyfunction("""COMPUTED_VALUE"""),"Mammorest Cryst")</f>
        <v>Mammorest Cryst</v>
      </c>
      <c r="L147" s="1" t="e">
        <v>#NAME?</v>
      </c>
      <c r="M147" s="1" t="e">
        <v>#NAME?</v>
      </c>
      <c r="N147" s="1" t="e">
        <v>#NAME?</v>
      </c>
      <c r="O147" s="3"/>
      <c r="P147" s="3" t="e">
        <v>#NAME?</v>
      </c>
      <c r="Q147" s="3"/>
      <c r="R147" s="3"/>
    </row>
    <row r="148" customFormat="false" ht="15.75" hidden="false" customHeight="false" outlineLevel="0" collapsed="false">
      <c r="A148" s="6" t="str">
        <f aca="false">IFERROR(__xludf.dummyfunction("""COMPUTED_VALUE"""),"Warsect")</f>
        <v>Warsect</v>
      </c>
      <c r="B148" s="6" t="str">
        <f aca="false">IFERROR(__xludf.dummyfunction("""COMPUTED_VALUE"""),"Mossanda")</f>
        <v>Mossanda</v>
      </c>
      <c r="L148" s="1" t="e">
        <v>#NAME?</v>
      </c>
      <c r="M148" s="1" t="e">
        <v>#NAME?</v>
      </c>
      <c r="N148" s="1" t="e">
        <v>#NAME?</v>
      </c>
      <c r="O148" s="3"/>
      <c r="P148" s="3" t="e">
        <v>#NAME?</v>
      </c>
      <c r="Q148" s="3"/>
      <c r="R148" s="3"/>
    </row>
    <row r="149" customFormat="false" ht="15.75" hidden="false" customHeight="false" outlineLevel="0" collapsed="false">
      <c r="A149" s="6" t="str">
        <f aca="false">IFERROR(__xludf.dummyfunction("""COMPUTED_VALUE"""),"Warsect")</f>
        <v>Warsect</v>
      </c>
      <c r="B149" s="6" t="str">
        <f aca="false">IFERROR(__xludf.dummyfunction("""COMPUTED_VALUE"""),"Nitewing")</f>
        <v>Nitewing</v>
      </c>
      <c r="L149" s="1" t="e">
        <v>#NAME?</v>
      </c>
      <c r="M149" s="1" t="e">
        <v>#NAME?</v>
      </c>
      <c r="N149" s="1" t="e">
        <v>#NAME?</v>
      </c>
      <c r="O149" s="3"/>
      <c r="P149" s="3" t="e">
        <v>#NAME?</v>
      </c>
      <c r="Q149" s="3"/>
      <c r="R149" s="3"/>
    </row>
    <row r="150" customFormat="false" ht="15.75" hidden="false" customHeight="false" outlineLevel="0" collapsed="false">
      <c r="A150" s="6" t="str">
        <f aca="false">IFERROR(__xludf.dummyfunction("""COMPUTED_VALUE"""),"Warsect")</f>
        <v>Warsect</v>
      </c>
      <c r="B150" s="6" t="str">
        <f aca="false">IFERROR(__xludf.dummyfunction("""COMPUTED_VALUE"""),"Sweepa")</f>
        <v>Sweepa</v>
      </c>
      <c r="L150" s="1" t="e">
        <v>#NAME?</v>
      </c>
      <c r="M150" s="1" t="e">
        <v>#NAME?</v>
      </c>
      <c r="N150" s="1" t="e">
        <v>#NAME?</v>
      </c>
      <c r="O150" s="3"/>
      <c r="P150" s="3" t="e">
        <v>#NAME?</v>
      </c>
      <c r="Q150" s="3"/>
      <c r="R150" s="3"/>
    </row>
    <row r="151" customFormat="false" ht="15.75" hidden="false" customHeight="false" outlineLevel="0" collapsed="false">
      <c r="A151" s="6" t="str">
        <f aca="false">IFERROR(__xludf.dummyfunction("""COMPUTED_VALUE"""),"Warsect")</f>
        <v>Warsect</v>
      </c>
      <c r="B151" s="6" t="str">
        <f aca="false">IFERROR(__xludf.dummyfunction("""COMPUTED_VALUE"""),"Ice Kingpaca")</f>
        <v>Ice Kingpaca</v>
      </c>
      <c r="L151" s="1" t="e">
        <v>#NAME?</v>
      </c>
      <c r="M151" s="1" t="e">
        <v>#NAME?</v>
      </c>
      <c r="N151" s="1" t="e">
        <v>#NAME?</v>
      </c>
      <c r="O151" s="3"/>
      <c r="P151" s="3" t="e">
        <v>#NAME?</v>
      </c>
      <c r="Q151" s="3"/>
      <c r="R151" s="3"/>
    </row>
    <row r="152" customFormat="false" ht="15.75" hidden="false" customHeight="false" outlineLevel="0" collapsed="false">
      <c r="A152" s="6" t="str">
        <f aca="false">IFERROR(__xludf.dummyfunction("""COMPUTED_VALUE"""),"Quivern")</f>
        <v>Quivern</v>
      </c>
      <c r="B152" s="6" t="str">
        <f aca="false">IFERROR(__xludf.dummyfunction("""COMPUTED_VALUE"""),"Mossanda")</f>
        <v>Mossanda</v>
      </c>
      <c r="L152" s="1" t="e">
        <v>#NAME?</v>
      </c>
      <c r="M152" s="1" t="e">
        <v>#NAME?</v>
      </c>
      <c r="N152" s="1" t="e">
        <v>#NAME?</v>
      </c>
      <c r="O152" s="3"/>
      <c r="P152" s="3" t="e">
        <v>#NAME?</v>
      </c>
      <c r="Q152" s="3"/>
      <c r="R152" s="3"/>
    </row>
    <row r="153" customFormat="false" ht="15.75" hidden="false" customHeight="false" outlineLevel="0" collapsed="false">
      <c r="A153" s="6" t="str">
        <f aca="false">IFERROR(__xludf.dummyfunction("""COMPUTED_VALUE"""),"Quivern")</f>
        <v>Quivern</v>
      </c>
      <c r="B153" s="6" t="str">
        <f aca="false">IFERROR(__xludf.dummyfunction("""COMPUTED_VALUE"""),"Nitewing")</f>
        <v>Nitewing</v>
      </c>
      <c r="L153" s="1" t="e">
        <v>#NAME?</v>
      </c>
      <c r="M153" s="1" t="e">
        <v>#NAME?</v>
      </c>
      <c r="N153" s="1" t="e">
        <v>#NAME?</v>
      </c>
      <c r="O153" s="3"/>
      <c r="P153" s="3" t="e">
        <v>#NAME?</v>
      </c>
      <c r="Q153" s="3"/>
      <c r="R153" s="3"/>
    </row>
    <row r="154" customFormat="false" ht="15.75" hidden="false" customHeight="false" outlineLevel="0" collapsed="false">
      <c r="A154" s="6" t="str">
        <f aca="false">IFERROR(__xludf.dummyfunction("""COMPUTED_VALUE"""),"Quivern")</f>
        <v>Quivern</v>
      </c>
      <c r="B154" s="6" t="str">
        <f aca="false">IFERROR(__xludf.dummyfunction("""COMPUTED_VALUE"""),"Sweepa")</f>
        <v>Sweepa</v>
      </c>
      <c r="L154" s="1" t="e">
        <v>#NAME?</v>
      </c>
      <c r="M154" s="1" t="e">
        <v>#NAME?</v>
      </c>
      <c r="N154" s="1" t="e">
        <v>#NAME?</v>
      </c>
      <c r="O154" s="3"/>
      <c r="P154" s="3" t="e">
        <v>#NAME?</v>
      </c>
      <c r="Q154" s="3"/>
      <c r="R154" s="3"/>
    </row>
    <row r="155" customFormat="false" ht="15.75" hidden="false" customHeight="false" outlineLevel="0" collapsed="false">
      <c r="A155" s="6" t="str">
        <f aca="false">IFERROR(__xludf.dummyfunction("""COMPUTED_VALUE"""),"Blazamut")</f>
        <v>Blazamut</v>
      </c>
      <c r="B155" s="6" t="str">
        <f aca="false">IFERROR(__xludf.dummyfunction("""COMPUTED_VALUE"""),"Foxcicle")</f>
        <v>Foxcicle</v>
      </c>
      <c r="L155" s="1" t="e">
        <v>#NAME?</v>
      </c>
      <c r="M155" s="1" t="e">
        <v>#NAME?</v>
      </c>
      <c r="N155" s="1" t="e">
        <v>#NAME?</v>
      </c>
      <c r="O155" s="3"/>
      <c r="P155" s="3" t="e">
        <v>#NAME?</v>
      </c>
      <c r="Q155" s="3"/>
      <c r="R155" s="3"/>
    </row>
    <row r="156" customFormat="false" ht="15.75" hidden="false" customHeight="false" outlineLevel="0" collapsed="false">
      <c r="A156" s="6" t="str">
        <f aca="false">IFERROR(__xludf.dummyfunction("""COMPUTED_VALUE"""),"Blazamut")</f>
        <v>Blazamut</v>
      </c>
      <c r="B156" s="6" t="str">
        <f aca="false">IFERROR(__xludf.dummyfunction("""COMPUTED_VALUE"""),"Rayhound")</f>
        <v>Rayhound</v>
      </c>
      <c r="L156" s="1" t="e">
        <v>#NAME?</v>
      </c>
      <c r="M156" s="1" t="e">
        <v>#NAME?</v>
      </c>
      <c r="N156" s="1" t="e">
        <v>#NAME?</v>
      </c>
      <c r="O156" s="3"/>
      <c r="P156" s="3" t="e">
        <v>#NAME?</v>
      </c>
      <c r="Q156" s="3"/>
      <c r="R156" s="3"/>
    </row>
    <row r="157" customFormat="false" ht="15.75" hidden="false" customHeight="false" outlineLevel="0" collapsed="false">
      <c r="A157" s="6" t="str">
        <f aca="false">IFERROR(__xludf.dummyfunction("""COMPUTED_VALUE"""),"Blazamut")</f>
        <v>Blazamut</v>
      </c>
      <c r="B157" s="6" t="str">
        <f aca="false">IFERROR(__xludf.dummyfunction("""COMPUTED_VALUE"""),"Tombat")</f>
        <v>Tombat</v>
      </c>
      <c r="L157" s="1" t="e">
        <v>#NAME?</v>
      </c>
      <c r="M157" s="1" t="e">
        <v>#NAME?</v>
      </c>
      <c r="N157" s="1" t="e">
        <v>#NAME?</v>
      </c>
      <c r="O157" s="3"/>
      <c r="P157" s="3" t="e">
        <v>#NAME?</v>
      </c>
      <c r="Q157" s="3"/>
      <c r="R157" s="3"/>
    </row>
    <row r="158" customFormat="false" ht="15.75" hidden="false" customHeight="false" outlineLevel="0" collapsed="false">
      <c r="A158" s="6" t="str">
        <f aca="false">IFERROR(__xludf.dummyfunction("""COMPUTED_VALUE"""),"Helzephyr")</f>
        <v>Helzephyr</v>
      </c>
      <c r="B158" s="6" t="str">
        <f aca="false">IFERROR(__xludf.dummyfunction("""COMPUTED_VALUE"""),"Incineram")</f>
        <v>Incineram</v>
      </c>
      <c r="L158" s="1" t="e">
        <v>#NAME?</v>
      </c>
      <c r="M158" s="1" t="e">
        <v>#NAME?</v>
      </c>
      <c r="N158" s="1" t="e">
        <v>#NAME?</v>
      </c>
      <c r="O158" s="3"/>
      <c r="P158" s="3" t="e">
        <v>#NAME?</v>
      </c>
      <c r="Q158" s="3"/>
      <c r="R158" s="3"/>
    </row>
    <row r="159" customFormat="false" ht="15.75" hidden="false" customHeight="false" outlineLevel="0" collapsed="false">
      <c r="A159" s="6" t="str">
        <f aca="false">IFERROR(__xludf.dummyfunction("""COMPUTED_VALUE"""),"Helzephyr")</f>
        <v>Helzephyr</v>
      </c>
      <c r="B159" s="6" t="str">
        <f aca="false">IFERROR(__xludf.dummyfunction("""COMPUTED_VALUE"""),"Incineram Noct")</f>
        <v>Incineram Noct</v>
      </c>
      <c r="L159" s="1" t="e">
        <v>#NAME?</v>
      </c>
      <c r="M159" s="1" t="e">
        <v>#NAME?</v>
      </c>
      <c r="N159" s="1" t="e">
        <v>#NAME?</v>
      </c>
      <c r="O159" s="3"/>
      <c r="P159" s="3" t="e">
        <v>#NAME?</v>
      </c>
      <c r="Q159" s="3"/>
      <c r="R159" s="3"/>
    </row>
    <row r="160" customFormat="false" ht="15.75" hidden="false" customHeight="false" outlineLevel="0" collapsed="false">
      <c r="A160" s="6" t="str">
        <f aca="false">IFERROR(__xludf.dummyfunction("""COMPUTED_VALUE"""),"Helzephyr")</f>
        <v>Helzephyr</v>
      </c>
      <c r="B160" s="6" t="str">
        <f aca="false">IFERROR(__xludf.dummyfunction("""COMPUTED_VALUE"""),"Surfent")</f>
        <v>Surfent</v>
      </c>
      <c r="L160" s="1" t="e">
        <v>#NAME?</v>
      </c>
      <c r="M160" s="1" t="e">
        <v>#NAME?</v>
      </c>
      <c r="N160" s="1" t="e">
        <v>#NAME?</v>
      </c>
      <c r="O160" s="3"/>
      <c r="P160" s="3" t="e">
        <v>#NAME?</v>
      </c>
      <c r="Q160" s="3"/>
      <c r="R160" s="3"/>
    </row>
    <row r="161" customFormat="false" ht="15.75" hidden="false" customHeight="false" outlineLevel="0" collapsed="false">
      <c r="A161" s="6" t="str">
        <f aca="false">IFERROR(__xludf.dummyfunction("""COMPUTED_VALUE"""),"Helzephyr")</f>
        <v>Helzephyr</v>
      </c>
      <c r="B161" s="6" t="str">
        <f aca="false">IFERROR(__xludf.dummyfunction("""COMPUTED_VALUE"""),"Anubis")</f>
        <v>Anubis</v>
      </c>
      <c r="L161" s="1" t="e">
        <v>#NAME?</v>
      </c>
      <c r="M161" s="1" t="e">
        <v>#NAME?</v>
      </c>
      <c r="N161" s="1" t="e">
        <v>#NAME?</v>
      </c>
      <c r="O161" s="3"/>
      <c r="P161" s="3" t="e">
        <v>#NAME?</v>
      </c>
      <c r="Q161" s="3"/>
      <c r="R161" s="3"/>
    </row>
    <row r="162" customFormat="false" ht="15.75" hidden="false" customHeight="false" outlineLevel="0" collapsed="false">
      <c r="A162" s="6" t="str">
        <f aca="false">IFERROR(__xludf.dummyfunction("""COMPUTED_VALUE"""),"Astegon")</f>
        <v>Astegon</v>
      </c>
      <c r="B162" s="6" t="str">
        <f aca="false">IFERROR(__xludf.dummyfunction("""COMPUTED_VALUE"""),"Vanwyrm Cryst")</f>
        <v>Vanwyrm Cryst</v>
      </c>
      <c r="L162" s="1" t="e">
        <v>#NAME?</v>
      </c>
      <c r="M162" s="1" t="e">
        <v>#NAME?</v>
      </c>
      <c r="N162" s="1" t="e">
        <v>#NAME?</v>
      </c>
      <c r="O162" s="3"/>
      <c r="P162" s="3" t="e">
        <v>#NAME?</v>
      </c>
      <c r="Q162" s="3"/>
      <c r="R162" s="3"/>
    </row>
    <row r="163" customFormat="false" ht="15.75" hidden="false" customHeight="false" outlineLevel="0" collapsed="false">
      <c r="A163" s="6" t="str">
        <f aca="false">IFERROR(__xludf.dummyfunction("""COMPUTED_VALUE"""),"Menasting")</f>
        <v>Menasting</v>
      </c>
      <c r="B163" s="6" t="str">
        <f aca="false">IFERROR(__xludf.dummyfunction("""COMPUTED_VALUE"""),"Penking")</f>
        <v>Penking</v>
      </c>
      <c r="L163" s="1" t="e">
        <v>#NAME?</v>
      </c>
      <c r="M163" s="1" t="e">
        <v>#NAME?</v>
      </c>
      <c r="N163" s="1" t="e">
        <v>#NAME?</v>
      </c>
      <c r="O163" s="3"/>
      <c r="P163" s="3" t="e">
        <v>#NAME?</v>
      </c>
      <c r="Q163" s="3"/>
      <c r="R163" s="3"/>
    </row>
    <row r="164" customFormat="false" ht="15.75" hidden="false" customHeight="false" outlineLevel="0" collapsed="false">
      <c r="A164" s="6" t="str">
        <f aca="false">IFERROR(__xludf.dummyfunction("""COMPUTED_VALUE"""),"Menasting")</f>
        <v>Menasting</v>
      </c>
      <c r="B164" s="6" t="str">
        <f aca="false">IFERROR(__xludf.dummyfunction("""COMPUTED_VALUE"""),"Cinnamoth")</f>
        <v>Cinnamoth</v>
      </c>
      <c r="L164" s="1" t="e">
        <v>#NAME?</v>
      </c>
      <c r="M164" s="1" t="e">
        <v>#NAME?</v>
      </c>
      <c r="N164" s="1" t="e">
        <v>#NAME?</v>
      </c>
      <c r="O164" s="3"/>
      <c r="P164" s="3" t="e">
        <v>#NAME?</v>
      </c>
      <c r="Q164" s="3"/>
      <c r="R164" s="3"/>
    </row>
    <row r="165" customFormat="false" ht="15.75" hidden="false" customHeight="false" outlineLevel="0" collapsed="false">
      <c r="A165" s="6" t="str">
        <f aca="false">IFERROR(__xludf.dummyfunction("""COMPUTED_VALUE"""),"Menasting")</f>
        <v>Menasting</v>
      </c>
      <c r="B165" s="6" t="str">
        <f aca="false">IFERROR(__xludf.dummyfunction("""COMPUTED_VALUE"""),"Grintale")</f>
        <v>Grintale</v>
      </c>
      <c r="L165" s="1" t="e">
        <v>#NAME?</v>
      </c>
      <c r="M165" s="1" t="e">
        <v>#NAME?</v>
      </c>
      <c r="N165" s="1" t="e">
        <v>#NAME?</v>
      </c>
      <c r="O165" s="3"/>
      <c r="P165" s="3" t="e">
        <v>#NAME?</v>
      </c>
      <c r="Q165" s="3"/>
      <c r="R165" s="3"/>
    </row>
    <row r="166" customFormat="false" ht="15.75" hidden="false" customHeight="false" outlineLevel="0" collapsed="false">
      <c r="A166" s="6" t="str">
        <f aca="false">IFERROR(__xludf.dummyfunction("""COMPUTED_VALUE"""),"Menasting")</f>
        <v>Menasting</v>
      </c>
      <c r="B166" s="6" t="str">
        <f aca="false">IFERROR(__xludf.dummyfunction("""COMPUTED_VALUE"""),"Azurobe")</f>
        <v>Azurobe</v>
      </c>
      <c r="L166" s="1" t="e">
        <v>#NAME?</v>
      </c>
      <c r="M166" s="1" t="e">
        <v>#NAME?</v>
      </c>
      <c r="N166" s="1" t="e">
        <v>#NAME?</v>
      </c>
      <c r="O166" s="3"/>
      <c r="P166" s="3" t="e">
        <v>#NAME?</v>
      </c>
      <c r="Q166" s="3"/>
      <c r="R166" s="3"/>
    </row>
    <row r="167" customFormat="false" ht="15.75" hidden="false" customHeight="false" outlineLevel="0" collapsed="false">
      <c r="A167" s="6" t="str">
        <f aca="false">IFERROR(__xludf.dummyfunction("""COMPUTED_VALUE"""),"Anubis")</f>
        <v>Anubis</v>
      </c>
      <c r="B167" s="6" t="str">
        <f aca="false">IFERROR(__xludf.dummyfunction("""COMPUTED_VALUE"""),"Helzephyr")</f>
        <v>Helzephyr</v>
      </c>
      <c r="L167" s="1" t="e">
        <v>#NAME?</v>
      </c>
      <c r="M167" s="1" t="e">
        <v>#NAME?</v>
      </c>
      <c r="N167" s="1" t="e">
        <v>#NAME?</v>
      </c>
      <c r="O167" s="3"/>
      <c r="P167" s="3" t="e">
        <v>#NAME?</v>
      </c>
      <c r="Q167" s="3"/>
      <c r="R167" s="3"/>
    </row>
    <row r="168" customFormat="false" ht="15.75" hidden="false" customHeight="false" outlineLevel="0" collapsed="false">
      <c r="A168" s="6" t="str">
        <f aca="false">IFERROR(__xludf.dummyfunction("""COMPUTED_VALUE"""),"Anubis")</f>
        <v>Anubis</v>
      </c>
      <c r="B168" s="6" t="str">
        <f aca="false">IFERROR(__xludf.dummyfunction("""COMPUTED_VALUE"""),"Grizzbolt")</f>
        <v>Grizzbolt</v>
      </c>
      <c r="L168" s="1" t="e">
        <v>#NAME?</v>
      </c>
      <c r="M168" s="1" t="e">
        <v>#NAME?</v>
      </c>
      <c r="N168" s="1" t="e">
        <v>#NAME?</v>
      </c>
      <c r="O168" s="3"/>
      <c r="P168" s="3" t="e">
        <v>#NAME?</v>
      </c>
      <c r="Q168" s="3"/>
      <c r="R168" s="3"/>
    </row>
    <row r="169" customFormat="false" ht="15.75" hidden="false" customHeight="false" outlineLevel="0" collapsed="false">
      <c r="A169" s="6" t="str">
        <f aca="false">IFERROR(__xludf.dummyfunction("""COMPUTED_VALUE"""),"Anubis")</f>
        <v>Anubis</v>
      </c>
      <c r="B169" s="6" t="str">
        <f aca="false">IFERROR(__xludf.dummyfunction("""COMPUTED_VALUE"""),"Lyleen Noct")</f>
        <v>Lyleen Noct</v>
      </c>
      <c r="L169" s="1" t="e">
        <v>#NAME?</v>
      </c>
      <c r="M169" s="1" t="e">
        <v>#NAME?</v>
      </c>
      <c r="N169" s="1" t="e">
        <v>#NAME?</v>
      </c>
      <c r="O169" s="3"/>
      <c r="P169" s="3" t="e">
        <v>#NAME?</v>
      </c>
      <c r="Q169" s="3"/>
      <c r="R169" s="3"/>
    </row>
    <row r="170" customFormat="false" ht="15.75" hidden="false" customHeight="false" outlineLevel="0" collapsed="false">
      <c r="A170" s="6" t="str">
        <f aca="false">IFERROR(__xludf.dummyfunction("""COMPUTED_VALUE"""),"Jormuntide")</f>
        <v>Jormuntide</v>
      </c>
      <c r="B170" s="6" t="str">
        <f aca="false">IFERROR(__xludf.dummyfunction("""COMPUTED_VALUE"""),"Sibelyx")</f>
        <v>Sibelyx</v>
      </c>
      <c r="L170" s="1" t="e">
        <v>#NAME?</v>
      </c>
      <c r="M170" s="1" t="e">
        <v>#NAME?</v>
      </c>
      <c r="N170" s="1" t="e">
        <v>#NAME?</v>
      </c>
      <c r="O170" s="3"/>
      <c r="P170" s="3" t="e">
        <v>#NAME?</v>
      </c>
      <c r="Q170" s="3"/>
      <c r="R170" s="3"/>
    </row>
    <row r="171" customFormat="false" ht="15.75" hidden="false" customHeight="false" outlineLevel="0" collapsed="false">
      <c r="A171" s="6" t="str">
        <f aca="false">IFERROR(__xludf.dummyfunction("""COMPUTED_VALUE"""),"Jormuntide")</f>
        <v>Jormuntide</v>
      </c>
      <c r="B171" s="6" t="str">
        <f aca="false">IFERROR(__xludf.dummyfunction("""COMPUTED_VALUE"""),"Kingpaca")</f>
        <v>Kingpaca</v>
      </c>
      <c r="L171" s="1" t="e">
        <v>#NAME?</v>
      </c>
      <c r="M171" s="1" t="e">
        <v>#NAME?</v>
      </c>
      <c r="N171" s="1" t="e">
        <v>#NAME?</v>
      </c>
      <c r="O171" s="3"/>
      <c r="P171" s="3" t="e">
        <v>#NAME?</v>
      </c>
      <c r="Q171" s="3"/>
      <c r="R171" s="3"/>
    </row>
    <row r="172" customFormat="false" ht="15.75" hidden="false" customHeight="false" outlineLevel="0" collapsed="false">
      <c r="A172" s="6" t="str">
        <f aca="false">IFERROR(__xludf.dummyfunction("""COMPUTED_VALUE"""),"Jormuntide")</f>
        <v>Jormuntide</v>
      </c>
      <c r="B172" s="6" t="str">
        <f aca="false">IFERROR(__xludf.dummyfunction("""COMPUTED_VALUE"""),"Ice Kingpaca")</f>
        <v>Ice Kingpaca</v>
      </c>
      <c r="L172" s="1" t="e">
        <v>#NAME?</v>
      </c>
      <c r="M172" s="1" t="e">
        <v>#NAME?</v>
      </c>
      <c r="N172" s="1" t="e">
        <v>#NAME?</v>
      </c>
      <c r="O172" s="3"/>
      <c r="P172" s="3" t="e">
        <v>#NAME?</v>
      </c>
      <c r="Q172" s="3"/>
      <c r="R172" s="3"/>
    </row>
    <row r="173" customFormat="false" ht="15.75" hidden="false" customHeight="false" outlineLevel="0" collapsed="false">
      <c r="A173" s="6" t="str">
        <f aca="false">IFERROR(__xludf.dummyfunction("""COMPUTED_VALUE"""),"Jormuntide")</f>
        <v>Jormuntide</v>
      </c>
      <c r="B173" s="6" t="str">
        <f aca="false">IFERROR(__xludf.dummyfunction("""COMPUTED_VALUE"""),"Wumpo")</f>
        <v>Wumpo</v>
      </c>
      <c r="L173" s="1" t="e">
        <v>#NAME?</v>
      </c>
      <c r="M173" s="1" t="e">
        <v>#NAME?</v>
      </c>
      <c r="N173" s="1" t="e">
        <v>#NAME?</v>
      </c>
      <c r="O173" s="3"/>
      <c r="P173" s="3" t="e">
        <v>#NAME?</v>
      </c>
      <c r="Q173" s="3"/>
      <c r="R173" s="3"/>
    </row>
    <row r="174" customFormat="false" ht="15.75" hidden="false" customHeight="false" outlineLevel="0" collapsed="false">
      <c r="A174" s="6" t="str">
        <f aca="false">IFERROR(__xludf.dummyfunction("""COMPUTED_VALUE"""),"Jormuntide Ignis")</f>
        <v>Jormuntide Ignis</v>
      </c>
      <c r="B174" s="6" t="str">
        <f aca="false">IFERROR(__xludf.dummyfunction("""COMPUTED_VALUE"""),"Mossanda")</f>
        <v>Mossanda</v>
      </c>
      <c r="L174" s="1" t="e">
        <v>#NAME?</v>
      </c>
      <c r="M174" s="1" t="e">
        <v>#NAME?</v>
      </c>
      <c r="N174" s="1" t="e">
        <v>#NAME?</v>
      </c>
      <c r="O174" s="3"/>
      <c r="P174" s="3" t="e">
        <v>#NAME?</v>
      </c>
      <c r="Q174" s="3"/>
      <c r="R174" s="3"/>
    </row>
    <row r="175" customFormat="false" ht="15.75" hidden="false" customHeight="false" outlineLevel="0" collapsed="false">
      <c r="A175" s="6" t="str">
        <f aca="false">IFERROR(__xludf.dummyfunction("""COMPUTED_VALUE"""),"Jormuntide Ignis")</f>
        <v>Jormuntide Ignis</v>
      </c>
      <c r="B175" s="6" t="str">
        <f aca="false">IFERROR(__xludf.dummyfunction("""COMPUTED_VALUE"""),"Sibelyx")</f>
        <v>Sibelyx</v>
      </c>
      <c r="L175" s="1" t="e">
        <v>#NAME?</v>
      </c>
      <c r="M175" s="1" t="e">
        <v>#NAME?</v>
      </c>
      <c r="N175" s="1" t="e">
        <v>#NAME?</v>
      </c>
      <c r="O175" s="3"/>
      <c r="P175" s="3" t="e">
        <v>#NAME?</v>
      </c>
      <c r="Q175" s="3"/>
      <c r="R175" s="3"/>
    </row>
    <row r="176" customFormat="false" ht="15.75" hidden="false" customHeight="false" outlineLevel="0" collapsed="false">
      <c r="A176" s="6" t="str">
        <f aca="false">IFERROR(__xludf.dummyfunction("""COMPUTED_VALUE"""),"Jormuntide Ignis")</f>
        <v>Jormuntide Ignis</v>
      </c>
      <c r="B176" s="6" t="str">
        <f aca="false">IFERROR(__xludf.dummyfunction("""COMPUTED_VALUE"""),"Kingpaca")</f>
        <v>Kingpaca</v>
      </c>
      <c r="L176" s="1" t="e">
        <v>#NAME?</v>
      </c>
      <c r="M176" s="1" t="e">
        <v>#NAME?</v>
      </c>
      <c r="N176" s="1" t="e">
        <v>#NAME?</v>
      </c>
      <c r="O176" s="3"/>
      <c r="P176" s="3" t="e">
        <v>#NAME?</v>
      </c>
      <c r="Q176" s="3"/>
      <c r="R176" s="3"/>
    </row>
    <row r="177" customFormat="false" ht="15.75" hidden="false" customHeight="false" outlineLevel="0" collapsed="false">
      <c r="A177" s="6" t="str">
        <f aca="false">IFERROR(__xludf.dummyfunction("""COMPUTED_VALUE"""),"Jormuntide Ignis")</f>
        <v>Jormuntide Ignis</v>
      </c>
      <c r="B177" s="6" t="str">
        <f aca="false">IFERROR(__xludf.dummyfunction("""COMPUTED_VALUE"""),"Ice Kingpaca")</f>
        <v>Ice Kingpaca</v>
      </c>
      <c r="L177" s="1" t="e">
        <v>#NAME?</v>
      </c>
      <c r="M177" s="1" t="e">
        <v>#NAME?</v>
      </c>
      <c r="N177" s="1" t="e">
        <v>#NAME?</v>
      </c>
      <c r="O177" s="3"/>
      <c r="P177" s="3" t="e">
        <v>#NAME?</v>
      </c>
      <c r="Q177" s="3"/>
      <c r="R177" s="3"/>
    </row>
    <row r="178" customFormat="false" ht="15.75" hidden="false" customHeight="false" outlineLevel="0" collapsed="false">
      <c r="A178" s="6" t="str">
        <f aca="false">IFERROR(__xludf.dummyfunction("""COMPUTED_VALUE"""),"Jormuntide Ignis")</f>
        <v>Jormuntide Ignis</v>
      </c>
      <c r="B178" s="6" t="str">
        <f aca="false">IFERROR(__xludf.dummyfunction("""COMPUTED_VALUE"""),"Wumpo")</f>
        <v>Wumpo</v>
      </c>
      <c r="L178" s="1" t="e">
        <v>#NAME?</v>
      </c>
      <c r="M178" s="1" t="e">
        <v>#NAME?</v>
      </c>
      <c r="N178" s="1" t="e">
        <v>#NAME?</v>
      </c>
      <c r="O178" s="3"/>
      <c r="P178" s="3" t="e">
        <v>#NAME?</v>
      </c>
      <c r="Q178" s="3"/>
      <c r="R178" s="3"/>
    </row>
    <row r="179" customFormat="false" ht="15.75" hidden="false" customHeight="false" outlineLevel="0" collapsed="false">
      <c r="A179" s="6" t="str">
        <f aca="false">IFERROR(__xludf.dummyfunction("""COMPUTED_VALUE"""),"Suzaku")</f>
        <v>Suzaku</v>
      </c>
      <c r="B179" s="6" t="str">
        <f aca="false">IFERROR(__xludf.dummyfunction("""COMPUTED_VALUE"""),"Katress")</f>
        <v>Katress</v>
      </c>
      <c r="L179" s="1" t="e">
        <v>#NAME?</v>
      </c>
      <c r="M179" s="1" t="e">
        <v>#NAME?</v>
      </c>
      <c r="N179" s="1" t="e">
        <v>#NAME?</v>
      </c>
      <c r="O179" s="3"/>
      <c r="P179" s="3" t="e">
        <v>#NAME?</v>
      </c>
      <c r="Q179" s="3"/>
      <c r="R179" s="3"/>
    </row>
    <row r="180" customFormat="false" ht="15.75" hidden="false" customHeight="false" outlineLevel="0" collapsed="false">
      <c r="A180" s="6" t="str">
        <f aca="false">IFERROR(__xludf.dummyfunction("""COMPUTED_VALUE"""),"Suzaku")</f>
        <v>Suzaku</v>
      </c>
      <c r="B180" s="6" t="str">
        <f aca="false">IFERROR(__xludf.dummyfunction("""COMPUTED_VALUE"""),"Blazehowl")</f>
        <v>Blazehowl</v>
      </c>
      <c r="L180" s="1" t="e">
        <v>#NAME?</v>
      </c>
      <c r="M180" s="1" t="e">
        <v>#NAME?</v>
      </c>
      <c r="N180" s="1" t="e">
        <v>#NAME?</v>
      </c>
      <c r="O180" s="3"/>
      <c r="P180" s="3" t="e">
        <v>#NAME?</v>
      </c>
      <c r="Q180" s="3"/>
      <c r="R180" s="3"/>
    </row>
    <row r="181" customFormat="false" ht="15.75" hidden="false" customHeight="false" outlineLevel="0" collapsed="false">
      <c r="A181" s="6" t="str">
        <f aca="false">IFERROR(__xludf.dummyfunction("""COMPUTED_VALUE"""),"Suzaku Aqua")</f>
        <v>Suzaku Aqua</v>
      </c>
      <c r="B181" s="6" t="str">
        <f aca="false">IFERROR(__xludf.dummyfunction("""COMPUTED_VALUE"""),"Rayhound")</f>
        <v>Rayhound</v>
      </c>
      <c r="L181" s="1" t="e">
        <v>#NAME?</v>
      </c>
      <c r="M181" s="1" t="e">
        <v>#NAME?</v>
      </c>
      <c r="N181" s="1" t="e">
        <v>#NAME?</v>
      </c>
      <c r="O181" s="3"/>
      <c r="P181" s="3" t="e">
        <v>#NAME?</v>
      </c>
      <c r="Q181" s="3"/>
      <c r="R181" s="3"/>
    </row>
    <row r="182" customFormat="false" ht="15.75" hidden="false" customHeight="false" outlineLevel="0" collapsed="false">
      <c r="A182" s="6" t="str">
        <f aca="false">IFERROR(__xludf.dummyfunction("""COMPUTED_VALUE"""),"Suzaku Aqua")</f>
        <v>Suzaku Aqua</v>
      </c>
      <c r="B182" s="6" t="str">
        <f aca="false">IFERROR(__xludf.dummyfunction("""COMPUTED_VALUE"""),"Tombat")</f>
        <v>Tombat</v>
      </c>
      <c r="L182" s="1" t="e">
        <v>#NAME?</v>
      </c>
      <c r="M182" s="1" t="e">
        <v>#NAME?</v>
      </c>
      <c r="N182" s="1" t="e">
        <v>#NAME?</v>
      </c>
      <c r="O182" s="3"/>
      <c r="P182" s="3" t="e">
        <v>#NAME?</v>
      </c>
      <c r="Q182" s="3"/>
      <c r="R182" s="3"/>
    </row>
    <row r="183" customFormat="false" ht="15.75" hidden="false" customHeight="false" outlineLevel="0" collapsed="false">
      <c r="A183" s="6" t="str">
        <f aca="false">IFERROR(__xludf.dummyfunction("""COMPUTED_VALUE"""),"Grizzbolt")</f>
        <v>Grizzbolt</v>
      </c>
      <c r="B183" s="6" t="str">
        <f aca="false">IFERROR(__xludf.dummyfunction("""COMPUTED_VALUE"""),"Incineram Noct")</f>
        <v>Incineram Noct</v>
      </c>
      <c r="L183" s="1" t="e">
        <v>#NAME?</v>
      </c>
      <c r="M183" s="1" t="e">
        <v>#NAME?</v>
      </c>
      <c r="N183" s="1" t="e">
        <v>#NAME?</v>
      </c>
      <c r="O183" s="3"/>
      <c r="P183" s="3" t="e">
        <v>#NAME?</v>
      </c>
      <c r="Q183" s="3"/>
      <c r="R183" s="3"/>
    </row>
    <row r="184" customFormat="false" ht="15.75" hidden="false" customHeight="false" outlineLevel="0" collapsed="false">
      <c r="A184" s="6" t="str">
        <f aca="false">IFERROR(__xludf.dummyfunction("""COMPUTED_VALUE"""),"Grizzbolt")</f>
        <v>Grizzbolt</v>
      </c>
      <c r="B184" s="6" t="str">
        <f aca="false">IFERROR(__xludf.dummyfunction("""COMPUTED_VALUE"""),"Surfent")</f>
        <v>Surfent</v>
      </c>
      <c r="L184" s="1" t="e">
        <v>#NAME?</v>
      </c>
      <c r="M184" s="1" t="e">
        <v>#NAME?</v>
      </c>
      <c r="N184" s="1" t="e">
        <v>#NAME?</v>
      </c>
      <c r="O184" s="3"/>
      <c r="P184" s="3" t="e">
        <v>#NAME?</v>
      </c>
      <c r="Q184" s="3"/>
      <c r="R184" s="3"/>
    </row>
    <row r="185" customFormat="false" ht="15.75" hidden="false" customHeight="false" outlineLevel="0" collapsed="false">
      <c r="A185" s="6" t="str">
        <f aca="false">IFERROR(__xludf.dummyfunction("""COMPUTED_VALUE"""),"Grizzbolt")</f>
        <v>Grizzbolt</v>
      </c>
      <c r="B185" s="6" t="str">
        <f aca="false">IFERROR(__xludf.dummyfunction("""COMPUTED_VALUE"""),"Surfent Terra")</f>
        <v>Surfent Terra</v>
      </c>
      <c r="L185" s="1" t="e">
        <v>#NAME?</v>
      </c>
      <c r="M185" s="1" t="e">
        <v>#NAME?</v>
      </c>
      <c r="N185" s="1" t="e">
        <v>#NAME?</v>
      </c>
      <c r="O185" s="3"/>
      <c r="P185" s="3" t="e">
        <v>#NAME?</v>
      </c>
      <c r="Q185" s="3"/>
      <c r="R185" s="3"/>
    </row>
    <row r="186" customFormat="false" ht="15.75" hidden="false" customHeight="false" outlineLevel="0" collapsed="false">
      <c r="A186" s="6" t="str">
        <f aca="false">IFERROR(__xludf.dummyfunction("""COMPUTED_VALUE"""),"Grizzbolt")</f>
        <v>Grizzbolt</v>
      </c>
      <c r="B186" s="6" t="str">
        <f aca="false">IFERROR(__xludf.dummyfunction("""COMPUTED_VALUE"""),"Anubis")</f>
        <v>Anubis</v>
      </c>
      <c r="L186" s="1" t="e">
        <v>#NAME?</v>
      </c>
      <c r="M186" s="1" t="e">
        <v>#NAME?</v>
      </c>
      <c r="N186" s="1" t="e">
        <v>#NAME?</v>
      </c>
      <c r="O186" s="3"/>
      <c r="P186" s="3" t="e">
        <v>#NAME?</v>
      </c>
      <c r="Q186" s="3"/>
      <c r="R186" s="3"/>
    </row>
    <row r="187" customFormat="false" ht="15.75" hidden="false" customHeight="false" outlineLevel="0" collapsed="false">
      <c r="A187" s="6" t="str">
        <f aca="false">IFERROR(__xludf.dummyfunction("""COMPUTED_VALUE"""),"Lyleen")</f>
        <v>Lyleen</v>
      </c>
      <c r="B187" s="6" t="str">
        <f aca="false">IFERROR(__xludf.dummyfunction("""COMPUTED_VALUE"""),"Penking")</f>
        <v>Penking</v>
      </c>
      <c r="L187" s="1" t="e">
        <v>#NAME?</v>
      </c>
      <c r="M187" s="1" t="e">
        <v>#NAME?</v>
      </c>
      <c r="N187" s="1" t="e">
        <v>#NAME?</v>
      </c>
      <c r="O187" s="3"/>
      <c r="P187" s="3" t="e">
        <v>#NAME?</v>
      </c>
      <c r="Q187" s="3"/>
      <c r="R187" s="3"/>
    </row>
    <row r="188" customFormat="false" ht="15.75" hidden="false" customHeight="false" outlineLevel="0" collapsed="false">
      <c r="A188" s="6" t="str">
        <f aca="false">IFERROR(__xludf.dummyfunction("""COMPUTED_VALUE"""),"Lyleen")</f>
        <v>Lyleen</v>
      </c>
      <c r="B188" s="6" t="str">
        <f aca="false">IFERROR(__xludf.dummyfunction("""COMPUTED_VALUE"""),"Grintale")</f>
        <v>Grintale</v>
      </c>
      <c r="L188" s="1" t="e">
        <v>#NAME?</v>
      </c>
      <c r="M188" s="1" t="e">
        <v>#NAME?</v>
      </c>
      <c r="N188" s="1" t="e">
        <v>#NAME?</v>
      </c>
      <c r="O188" s="3"/>
      <c r="P188" s="3" t="e">
        <v>#NAME?</v>
      </c>
      <c r="Q188" s="3"/>
      <c r="R188" s="3"/>
    </row>
    <row r="189" customFormat="false" ht="15.75" hidden="false" customHeight="false" outlineLevel="0" collapsed="false">
      <c r="A189" s="6" t="str">
        <f aca="false">IFERROR(__xludf.dummyfunction("""COMPUTED_VALUE"""),"Lyleen")</f>
        <v>Lyleen</v>
      </c>
      <c r="B189" s="6" t="str">
        <f aca="false">IFERROR(__xludf.dummyfunction("""COMPUTED_VALUE"""),"Elphidran Aqua")</f>
        <v>Elphidran Aqua</v>
      </c>
      <c r="L189" s="1" t="e">
        <v>#NAME?</v>
      </c>
      <c r="M189" s="1" t="e">
        <v>#NAME?</v>
      </c>
      <c r="N189" s="1" t="e">
        <v>#NAME?</v>
      </c>
      <c r="O189" s="3"/>
      <c r="P189" s="3" t="e">
        <v>#NAME?</v>
      </c>
      <c r="Q189" s="3"/>
      <c r="R189" s="3"/>
    </row>
    <row r="190" customFormat="false" ht="15.75" hidden="false" customHeight="false" outlineLevel="0" collapsed="false">
      <c r="A190" s="6" t="str">
        <f aca="false">IFERROR(__xludf.dummyfunction("""COMPUTED_VALUE"""),"Lyleen")</f>
        <v>Lyleen</v>
      </c>
      <c r="B190" s="6" t="str">
        <f aca="false">IFERROR(__xludf.dummyfunction("""COMPUTED_VALUE"""),"Azurobe")</f>
        <v>Azurobe</v>
      </c>
      <c r="L190" s="1" t="e">
        <v>#NAME?</v>
      </c>
      <c r="M190" s="1" t="e">
        <v>#NAME?</v>
      </c>
      <c r="N190" s="1" t="e">
        <v>#NAME?</v>
      </c>
      <c r="O190" s="3"/>
      <c r="P190" s="3" t="e">
        <v>#NAME?</v>
      </c>
      <c r="Q190" s="3"/>
      <c r="R190" s="3"/>
    </row>
    <row r="191" customFormat="false" ht="15.75" hidden="false" customHeight="false" outlineLevel="0" collapsed="false">
      <c r="A191" s="6" t="str">
        <f aca="false">IFERROR(__xludf.dummyfunction("""COMPUTED_VALUE"""),"Lyleen Noct")</f>
        <v>Lyleen Noct</v>
      </c>
      <c r="B191" s="6" t="str">
        <f aca="false">IFERROR(__xludf.dummyfunction("""COMPUTED_VALUE"""),"Surfent")</f>
        <v>Surfent</v>
      </c>
      <c r="L191" s="1" t="e">
        <v>#NAME?</v>
      </c>
      <c r="M191" s="1" t="e">
        <v>#NAME?</v>
      </c>
      <c r="N191" s="1" t="e">
        <v>#NAME?</v>
      </c>
      <c r="O191" s="3"/>
      <c r="P191" s="3" t="e">
        <v>#NAME?</v>
      </c>
      <c r="Q191" s="3"/>
      <c r="R191" s="3"/>
    </row>
    <row r="192" customFormat="false" ht="15.75" hidden="false" customHeight="false" outlineLevel="0" collapsed="false">
      <c r="A192" s="6" t="str">
        <f aca="false">IFERROR(__xludf.dummyfunction("""COMPUTED_VALUE"""),"Lyleen Noct")</f>
        <v>Lyleen Noct</v>
      </c>
      <c r="B192" s="6" t="str">
        <f aca="false">IFERROR(__xludf.dummyfunction("""COMPUTED_VALUE"""),"Surfent Terra")</f>
        <v>Surfent Terra</v>
      </c>
      <c r="L192" s="1" t="e">
        <v>#NAME?</v>
      </c>
      <c r="M192" s="1" t="e">
        <v>#NAME?</v>
      </c>
      <c r="N192" s="1" t="e">
        <v>#NAME?</v>
      </c>
      <c r="O192" s="3"/>
      <c r="P192" s="3" t="e">
        <v>#NAME?</v>
      </c>
      <c r="Q192" s="3"/>
      <c r="R192" s="3"/>
    </row>
    <row r="193" customFormat="false" ht="15.75" hidden="false" customHeight="false" outlineLevel="0" collapsed="false">
      <c r="A193" s="6" t="str">
        <f aca="false">IFERROR(__xludf.dummyfunction("""COMPUTED_VALUE"""),"Lyleen Noct")</f>
        <v>Lyleen Noct</v>
      </c>
      <c r="B193" s="6" t="str">
        <f aca="false">IFERROR(__xludf.dummyfunction("""COMPUTED_VALUE"""),"Elphidran")</f>
        <v>Elphidran</v>
      </c>
      <c r="L193" s="1" t="e">
        <v>#NAME?</v>
      </c>
      <c r="M193" s="1" t="e">
        <v>#NAME?</v>
      </c>
      <c r="N193" s="1" t="e">
        <v>#NAME?</v>
      </c>
      <c r="O193" s="3"/>
      <c r="P193" s="3" t="e">
        <v>#NAME?</v>
      </c>
      <c r="Q193" s="3"/>
      <c r="R193" s="3"/>
    </row>
    <row r="194" customFormat="false" ht="15.75" hidden="false" customHeight="false" outlineLevel="0" collapsed="false">
      <c r="A194" s="6" t="str">
        <f aca="false">IFERROR(__xludf.dummyfunction("""COMPUTED_VALUE"""),"Lyleen Noct")</f>
        <v>Lyleen Noct</v>
      </c>
      <c r="B194" s="6" t="str">
        <f aca="false">IFERROR(__xludf.dummyfunction("""COMPUTED_VALUE"""),"Anubis")</f>
        <v>Anubis</v>
      </c>
      <c r="L194" s="1" t="e">
        <v>#NAME?</v>
      </c>
      <c r="M194" s="1" t="e">
        <v>#NAME?</v>
      </c>
      <c r="N194" s="1" t="e">
        <v>#NAME?</v>
      </c>
      <c r="O194" s="3"/>
      <c r="P194" s="3" t="e">
        <v>#NAME?</v>
      </c>
      <c r="Q194" s="3"/>
      <c r="R194" s="3"/>
    </row>
    <row r="195" customFormat="false" ht="15.75" hidden="false" customHeight="false" outlineLevel="0" collapsed="false">
      <c r="A195" s="6" t="str">
        <f aca="false">IFERROR(__xludf.dummyfunction("""COMPUTED_VALUE"""),"Faleris")</f>
        <v>Faleris</v>
      </c>
      <c r="B195" s="6" t="str">
        <f aca="false">IFERROR(__xludf.dummyfunction("""COMPUTED_VALUE"""),"Mossanda Lux")</f>
        <v>Mossanda Lux</v>
      </c>
      <c r="L195" s="1" t="e">
        <v>#NAME?</v>
      </c>
      <c r="M195" s="1" t="e">
        <v>#NAME?</v>
      </c>
      <c r="N195" s="1" t="e">
        <v>#NAME?</v>
      </c>
      <c r="O195" s="3"/>
      <c r="P195" s="3" t="e">
        <v>#NAME?</v>
      </c>
      <c r="Q195" s="3"/>
      <c r="R195" s="3"/>
    </row>
    <row r="196" customFormat="false" ht="15.75" hidden="false" customHeight="false" outlineLevel="0" collapsed="false">
      <c r="A196" s="6" t="str">
        <f aca="false">IFERROR(__xludf.dummyfunction("""COMPUTED_VALUE"""),"Faleris")</f>
        <v>Faleris</v>
      </c>
      <c r="B196" s="6" t="str">
        <f aca="false">IFERROR(__xludf.dummyfunction("""COMPUTED_VALUE"""),"Sweepa")</f>
        <v>Sweepa</v>
      </c>
      <c r="L196" s="1" t="e">
        <v>#NAME?</v>
      </c>
      <c r="M196" s="1" t="e">
        <v>#NAME?</v>
      </c>
      <c r="N196" s="1" t="e">
        <v>#NAME?</v>
      </c>
      <c r="O196" s="3"/>
      <c r="P196" s="3" t="e">
        <v>#NAME?</v>
      </c>
      <c r="Q196" s="3"/>
      <c r="R196" s="3"/>
    </row>
    <row r="197" customFormat="false" ht="15.75" hidden="false" customHeight="false" outlineLevel="0" collapsed="false">
      <c r="A197" s="6" t="str">
        <f aca="false">IFERROR(__xludf.dummyfunction("""COMPUTED_VALUE"""),"Faleris")</f>
        <v>Faleris</v>
      </c>
      <c r="B197" s="6" t="str">
        <f aca="false">IFERROR(__xludf.dummyfunction("""COMPUTED_VALUE"""),"Ragnahawk")</f>
        <v>Ragnahawk</v>
      </c>
      <c r="L197" s="1" t="e">
        <v>#NAME?</v>
      </c>
      <c r="M197" s="1" t="e">
        <v>#NAME?</v>
      </c>
      <c r="N197" s="1" t="e">
        <v>#NAME?</v>
      </c>
      <c r="O197" s="3"/>
      <c r="P197" s="3" t="e">
        <v>#NAME?</v>
      </c>
      <c r="Q197" s="3"/>
      <c r="R197" s="3"/>
    </row>
    <row r="198" customFormat="false" ht="15.75" hidden="false" customHeight="false" outlineLevel="0" collapsed="false">
      <c r="A198" s="6" t="str">
        <f aca="false">IFERROR(__xludf.dummyfunction("""COMPUTED_VALUE"""),"Orserk")</f>
        <v>Orserk</v>
      </c>
      <c r="B198" s="6" t="str">
        <f aca="false">IFERROR(__xludf.dummyfunction("""COMPUTED_VALUE"""),"Vanwyrm Cryst")</f>
        <v>Vanwyrm Cryst</v>
      </c>
      <c r="L198" s="1" t="e">
        <v>#NAME?</v>
      </c>
      <c r="M198" s="1" t="e">
        <v>#NAME?</v>
      </c>
      <c r="N198" s="1" t="e">
        <v>#NAME?</v>
      </c>
      <c r="O198" s="3"/>
      <c r="P198" s="3" t="e">
        <v>#NAME?</v>
      </c>
      <c r="Q198" s="3"/>
      <c r="R198" s="3"/>
    </row>
    <row r="199" customFormat="false" ht="15.75" hidden="false" customHeight="false" outlineLevel="0" collapsed="false">
      <c r="A199" s="6" t="str">
        <f aca="false">IFERROR(__xludf.dummyfunction("""COMPUTED_VALUE"""),"Orserk")</f>
        <v>Orserk</v>
      </c>
      <c r="B199" s="6" t="str">
        <f aca="false">IFERROR(__xludf.dummyfunction("""COMPUTED_VALUE"""),"Bushi")</f>
        <v>Bushi</v>
      </c>
      <c r="L199" s="1" t="e">
        <v>#NAME?</v>
      </c>
      <c r="M199" s="1" t="e">
        <v>#NAME?</v>
      </c>
      <c r="N199" s="1" t="e">
        <v>#NAME?</v>
      </c>
      <c r="O199" s="3"/>
      <c r="P199" s="3" t="e">
        <v>#NAME?</v>
      </c>
      <c r="Q199" s="3"/>
      <c r="R199" s="3"/>
    </row>
    <row r="200" customFormat="false" ht="15.75" hidden="false" customHeight="false" outlineLevel="0" collapsed="false">
      <c r="A200" s="6" t="str">
        <f aca="false">IFERROR(__xludf.dummyfunction("""COMPUTED_VALUE"""),"Shadowbeak")</f>
        <v>Shadowbeak</v>
      </c>
      <c r="B200" s="6" t="str">
        <f aca="false">IFERROR(__xludf.dummyfunction("""COMPUTED_VALUE"""),"Katress")</f>
        <v>Katress</v>
      </c>
      <c r="L200" s="1" t="e">
        <v>#NAME?</v>
      </c>
      <c r="M200" s="1" t="e">
        <v>#NAME?</v>
      </c>
      <c r="N200" s="1" t="e">
        <v>#NAME?</v>
      </c>
      <c r="O200" s="3"/>
      <c r="P200" s="3" t="e">
        <v>#NAME?</v>
      </c>
      <c r="Q200" s="3"/>
      <c r="R200" s="3"/>
    </row>
    <row r="201" customFormat="false" ht="15.75" hidden="false" customHeight="false" outlineLevel="0" collapsed="false">
      <c r="A201" s="6" t="str">
        <f aca="false">IFERROR(__xludf.dummyfunction("""COMPUTED_VALUE"""),"Shadowbeak")</f>
        <v>Shadowbeak</v>
      </c>
      <c r="B201" s="6" t="str">
        <f aca="false">IFERROR(__xludf.dummyfunction("""COMPUTED_VALUE"""),"Blazehowl")</f>
        <v>Blazehowl</v>
      </c>
      <c r="L201" s="1" t="e">
        <v>#NAME?</v>
      </c>
      <c r="M201" s="1" t="e">
        <v>#NAME?</v>
      </c>
      <c r="N201" s="1" t="e">
        <v>#NAME?</v>
      </c>
      <c r="O201" s="3"/>
      <c r="P201" s="3" t="e">
        <v>#NAME?</v>
      </c>
      <c r="Q201" s="3"/>
      <c r="R201" s="3"/>
    </row>
    <row r="202" customFormat="false" ht="15.75" hidden="false" customHeight="false" outlineLevel="0" collapsed="false">
      <c r="A202" s="6" t="str">
        <f aca="false">IFERROR(__xludf.dummyfunction("""COMPUTED_VALUE"""),"Paladius")</f>
        <v>Paladius</v>
      </c>
      <c r="B202" s="6" t="str">
        <f aca="false">IFERROR(__xludf.dummyfunction("""COMPUTED_VALUE"""),"Univolt")</f>
        <v>Univolt</v>
      </c>
      <c r="L202" s="1" t="e">
        <v>#NAME?</v>
      </c>
      <c r="M202" s="1" t="e">
        <v>#NAME?</v>
      </c>
      <c r="N202" s="1" t="e">
        <v>#NAME?</v>
      </c>
      <c r="O202" s="3"/>
      <c r="P202" s="3" t="e">
        <v>#NAME?</v>
      </c>
      <c r="Q202" s="3"/>
      <c r="R202" s="3"/>
    </row>
    <row r="203" customFormat="false" ht="15.75" hidden="false" customHeight="false" outlineLevel="0" collapsed="false">
      <c r="A203" s="6" t="str">
        <f aca="false">IFERROR(__xludf.dummyfunction("""COMPUTED_VALUE"""),"Paladius")</f>
        <v>Paladius</v>
      </c>
      <c r="B203" s="6" t="str">
        <f aca="false">IFERROR(__xludf.dummyfunction("""COMPUTED_VALUE"""),"Katress")</f>
        <v>Katress</v>
      </c>
      <c r="L203" s="1" t="e">
        <v>#NAME?</v>
      </c>
      <c r="M203" s="1" t="e">
        <v>#NAME?</v>
      </c>
      <c r="N203" s="1" t="e">
        <v>#NAME?</v>
      </c>
      <c r="O203" s="3"/>
      <c r="P203" s="3" t="e">
        <v>#NAME?</v>
      </c>
      <c r="Q203" s="3"/>
      <c r="R203" s="3"/>
    </row>
    <row r="204" customFormat="false" ht="15.75" hidden="false" customHeight="false" outlineLevel="0" collapsed="false">
      <c r="A204" s="6" t="str">
        <f aca="false">IFERROR(__xludf.dummyfunction("""COMPUTED_VALUE"""),"Paladius")</f>
        <v>Paladius</v>
      </c>
      <c r="B204" s="6" t="str">
        <f aca="false">IFERROR(__xludf.dummyfunction("""COMPUTED_VALUE"""),"Blazehowl Noct")</f>
        <v>Blazehowl Noct</v>
      </c>
      <c r="L204" s="1" t="e">
        <v>#NAME?</v>
      </c>
      <c r="M204" s="1" t="e">
        <v>#NAME?</v>
      </c>
      <c r="N204" s="1" t="e">
        <v>#NAME?</v>
      </c>
      <c r="O204" s="3"/>
      <c r="P204" s="3" t="e">
        <v>#NAME?</v>
      </c>
      <c r="Q204" s="3"/>
      <c r="R204" s="3"/>
    </row>
    <row r="205" customFormat="false" ht="15.75" hidden="false" customHeight="false" outlineLevel="0" collapsed="false">
      <c r="A205" s="6" t="str">
        <f aca="false">IFERROR(__xludf.dummyfunction("""COMPUTED_VALUE"""),"Necromus")</f>
        <v>Necromus</v>
      </c>
      <c r="B205" s="6" t="str">
        <f aca="false">IFERROR(__xludf.dummyfunction("""COMPUTED_VALUE"""),"Univolt")</f>
        <v>Univolt</v>
      </c>
      <c r="L205" s="1" t="e">
        <v>#NAME?</v>
      </c>
      <c r="M205" s="1" t="e">
        <v>#NAME?</v>
      </c>
      <c r="N205" s="1" t="e">
        <v>#NAME?</v>
      </c>
      <c r="O205" s="3"/>
      <c r="P205" s="3" t="e">
        <v>#NAME?</v>
      </c>
      <c r="Q205" s="3"/>
      <c r="R205" s="3"/>
    </row>
    <row r="206" customFormat="false" ht="15.75" hidden="false" customHeight="false" outlineLevel="0" collapsed="false">
      <c r="A206" s="6" t="str">
        <f aca="false">IFERROR(__xludf.dummyfunction("""COMPUTED_VALUE"""),"Necromus")</f>
        <v>Necromus</v>
      </c>
      <c r="B206" s="6" t="str">
        <f aca="false">IFERROR(__xludf.dummyfunction("""COMPUTED_VALUE"""),"Katress")</f>
        <v>Katress</v>
      </c>
      <c r="L206" s="1" t="e">
        <v>#NAME?</v>
      </c>
      <c r="M206" s="1" t="e">
        <v>#NAME?</v>
      </c>
      <c r="N206" s="1" t="e">
        <v>#NAME?</v>
      </c>
      <c r="O206" s="3"/>
      <c r="P206" s="3" t="e">
        <v>#NAME?</v>
      </c>
      <c r="Q206" s="3"/>
      <c r="R206" s="3"/>
    </row>
    <row r="207" customFormat="false" ht="15.75" hidden="false" customHeight="false" outlineLevel="0" collapsed="false">
      <c r="A207" s="6" t="str">
        <f aca="false">IFERROR(__xludf.dummyfunction("""COMPUTED_VALUE"""),"Necromus")</f>
        <v>Necromus</v>
      </c>
      <c r="B207" s="6" t="str">
        <f aca="false">IFERROR(__xludf.dummyfunction("""COMPUTED_VALUE"""),"Blazehowl")</f>
        <v>Blazehowl</v>
      </c>
      <c r="L207" s="1" t="e">
        <v>#NAME?</v>
      </c>
      <c r="M207" s="1" t="e">
        <v>#NAME?</v>
      </c>
      <c r="N207" s="1" t="e">
        <v>#NAME?</v>
      </c>
      <c r="O207" s="3"/>
      <c r="P207" s="3" t="e">
        <v>#NAME?</v>
      </c>
      <c r="Q207" s="3"/>
      <c r="R207" s="3"/>
    </row>
    <row r="208" customFormat="false" ht="15.75" hidden="false" customHeight="false" outlineLevel="0" collapsed="false">
      <c r="A208" s="6" t="str">
        <f aca="false">IFERROR(__xludf.dummyfunction("""COMPUTED_VALUE"""),"Frostallion")</f>
        <v>Frostallion</v>
      </c>
      <c r="B208" s="6" t="str">
        <f aca="false">IFERROR(__xludf.dummyfunction("""COMPUTED_VALUE"""),"Vanwyrm")</f>
        <v>Vanwyrm</v>
      </c>
      <c r="L208" s="1" t="e">
        <v>#NAME?</v>
      </c>
      <c r="M208" s="1" t="e">
        <v>#NAME?</v>
      </c>
      <c r="N208" s="1" t="e">
        <v>#NAME?</v>
      </c>
      <c r="O208" s="3"/>
      <c r="P208" s="3" t="e">
        <v>#NAME?</v>
      </c>
      <c r="Q208" s="3"/>
      <c r="R208" s="3"/>
    </row>
    <row r="209" customFormat="false" ht="15.75" hidden="false" customHeight="false" outlineLevel="0" collapsed="false">
      <c r="A209" s="6" t="str">
        <f aca="false">IFERROR(__xludf.dummyfunction("""COMPUTED_VALUE"""),"Frostallion")</f>
        <v>Frostallion</v>
      </c>
      <c r="B209" s="6" t="str">
        <f aca="false">IFERROR(__xludf.dummyfunction("""COMPUTED_VALUE"""),"Bushi")</f>
        <v>Bushi</v>
      </c>
      <c r="L209" s="1" t="e">
        <v>#NAME?</v>
      </c>
      <c r="M209" s="1" t="e">
        <v>#NAME?</v>
      </c>
      <c r="N209" s="1" t="e">
        <v>#NAME?</v>
      </c>
      <c r="O209" s="3"/>
      <c r="P209" s="3" t="e">
        <v>#NAME?</v>
      </c>
      <c r="Q209" s="3"/>
      <c r="R209" s="3"/>
    </row>
    <row r="210" customFormat="false" ht="15.75" hidden="false" customHeight="false" outlineLevel="0" collapsed="false">
      <c r="A210" s="6" t="str">
        <f aca="false">IFERROR(__xludf.dummyfunction("""COMPUTED_VALUE"""),"Frostallion Noct")</f>
        <v>Frostallion Noct</v>
      </c>
      <c r="B210" s="6" t="str">
        <f aca="false">IFERROR(__xludf.dummyfunction("""COMPUTED_VALUE"""),"Univolt")</f>
        <v>Univolt</v>
      </c>
      <c r="L210" s="1" t="e">
        <v>#NAME?</v>
      </c>
      <c r="M210" s="1" t="e">
        <v>#NAME?</v>
      </c>
      <c r="N210" s="1" t="e">
        <v>#NAME?</v>
      </c>
      <c r="O210" s="3"/>
      <c r="P210" s="3" t="e">
        <v>#NAME?</v>
      </c>
      <c r="Q210" s="3"/>
      <c r="R210" s="3"/>
    </row>
    <row r="211" customFormat="false" ht="15.75" hidden="false" customHeight="false" outlineLevel="0" collapsed="false">
      <c r="A211" s="6" t="str">
        <f aca="false">IFERROR(__xludf.dummyfunction("""COMPUTED_VALUE"""),"Frostallion Noct")</f>
        <v>Frostallion Noct</v>
      </c>
      <c r="B211" s="6" t="str">
        <f aca="false">IFERROR(__xludf.dummyfunction("""COMPUTED_VALUE"""),"Vanwyrm")</f>
        <v>Vanwyrm</v>
      </c>
      <c r="L211" s="1" t="e">
        <v>#NAME?</v>
      </c>
      <c r="M211" s="1" t="e">
        <v>#NAME?</v>
      </c>
      <c r="N211" s="1" t="e">
        <v>#NAME?</v>
      </c>
      <c r="O211" s="3"/>
      <c r="P211" s="3" t="e">
        <v>#NAME?</v>
      </c>
      <c r="Q211" s="3"/>
      <c r="R211" s="3"/>
    </row>
    <row r="212" customFormat="false" ht="15.75" hidden="false" customHeight="false" outlineLevel="0" collapsed="false">
      <c r="A212" s="6" t="str">
        <f aca="false">IFERROR(__xludf.dummyfunction("""COMPUTED_VALUE"""),"Frostallion Noct")</f>
        <v>Frostallion Noct</v>
      </c>
      <c r="B212" s="6" t="str">
        <f aca="false">IFERROR(__xludf.dummyfunction("""COMPUTED_VALUE"""),"Blazehowl Noct")</f>
        <v>Blazehowl Noct</v>
      </c>
      <c r="L212" s="1" t="e">
        <v>#NAME?</v>
      </c>
      <c r="M212" s="1" t="e">
        <v>#NAME?</v>
      </c>
      <c r="N212" s="1" t="e">
        <v>#NAME?</v>
      </c>
      <c r="O212" s="3"/>
      <c r="P212" s="3" t="e">
        <v>#NAME?</v>
      </c>
      <c r="Q212" s="3"/>
      <c r="R212" s="3"/>
    </row>
    <row r="213" customFormat="false" ht="15.75" hidden="false" customHeight="false" outlineLevel="0" collapsed="false">
      <c r="A213" s="6" t="str">
        <f aca="false">IFERROR(__xludf.dummyfunction("""COMPUTED_VALUE"""),"Jetragon")</f>
        <v>Jetragon</v>
      </c>
      <c r="B213" s="6" t="str">
        <f aca="false">IFERROR(__xludf.dummyfunction("""COMPUTED_VALUE"""),"Univolt")</f>
        <v>Univolt</v>
      </c>
      <c r="L213" s="1" t="e">
        <v>#NAME?</v>
      </c>
      <c r="M213" s="1" t="e">
        <v>#NAME?</v>
      </c>
      <c r="N213" s="1" t="e">
        <v>#NAME?</v>
      </c>
      <c r="O213" s="3"/>
      <c r="P213" s="3" t="e">
        <v>#NAME?</v>
      </c>
      <c r="Q213" s="3"/>
      <c r="R213" s="3"/>
    </row>
    <row r="214" customFormat="false" ht="15.75" hidden="false" customHeight="false" outlineLevel="0" collapsed="false">
      <c r="A214" s="6" t="str">
        <f aca="false">IFERROR(__xludf.dummyfunction("""COMPUTED_VALUE"""),"Jetragon")</f>
        <v>Jetragon</v>
      </c>
      <c r="B214" s="6" t="str">
        <f aca="false">IFERROR(__xludf.dummyfunction("""COMPUTED_VALUE"""),"Vanwyrm")</f>
        <v>Vanwyrm</v>
      </c>
      <c r="L214" s="1" t="e">
        <v>#NAME?</v>
      </c>
      <c r="M214" s="1" t="e">
        <v>#NAME?</v>
      </c>
      <c r="N214" s="1" t="e">
        <v>#NAME?</v>
      </c>
      <c r="O214" s="3"/>
      <c r="P214" s="3" t="e">
        <v>#NAME?</v>
      </c>
      <c r="Q214" s="3"/>
      <c r="R214" s="3"/>
    </row>
    <row r="215" customFormat="false" ht="15.75" hidden="false" customHeight="false" outlineLevel="0" collapsed="false">
      <c r="A215" s="6" t="str">
        <f aca="false">IFERROR(__xludf.dummyfunction("""COMPUTED_VALUE"""),"Jetragon")</f>
        <v>Jetragon</v>
      </c>
      <c r="B215" s="6" t="str">
        <f aca="false">IFERROR(__xludf.dummyfunction("""COMPUTED_VALUE"""),"Blazehowl Noct")</f>
        <v>Blazehowl Noct</v>
      </c>
      <c r="L215" s="1" t="e">
        <v>#NAME?</v>
      </c>
      <c r="M215" s="1" t="e">
        <v>#NAME?</v>
      </c>
      <c r="N215" s="1" t="e">
        <v>#NAME?</v>
      </c>
      <c r="O215" s="3"/>
      <c r="P215" s="3" t="e">
        <v>#NAME?</v>
      </c>
      <c r="Q215" s="3"/>
      <c r="R215" s="3"/>
    </row>
    <row r="216" customFormat="false" ht="15.75" hidden="false" customHeight="false" outlineLevel="0" collapsed="false">
      <c r="L216" s="3" t="e">
        <v>#NAME?</v>
      </c>
      <c r="M216" s="3" t="e">
        <v>#NAME?</v>
      </c>
      <c r="N216" s="1" t="e">
        <v>#NAME?</v>
      </c>
      <c r="O216" s="3"/>
      <c r="P216" s="3" t="e">
        <v>#NAME?</v>
      </c>
      <c r="Q216" s="3"/>
      <c r="R216" s="3"/>
    </row>
    <row r="217" customFormat="false" ht="15.75" hidden="false" customHeight="false" outlineLevel="0" collapsed="false">
      <c r="L217" s="3" t="e">
        <v>#NAME?</v>
      </c>
      <c r="M217" s="3" t="e">
        <v>#NAME?</v>
      </c>
      <c r="N217" s="1" t="e">
        <v>#NAME?</v>
      </c>
      <c r="O217" s="3"/>
      <c r="P217" s="3" t="e">
        <v>#NAME?</v>
      </c>
      <c r="Q217" s="3"/>
      <c r="R217" s="3"/>
    </row>
    <row r="218" customFormat="false" ht="15.75" hidden="false" customHeight="false" outlineLevel="0" collapsed="false">
      <c r="L218" s="3" t="e">
        <v>#NAME?</v>
      </c>
      <c r="M218" s="3" t="e">
        <v>#NAME?</v>
      </c>
      <c r="N218" s="1" t="e">
        <v>#NAME?</v>
      </c>
      <c r="O218" s="3"/>
      <c r="P218" s="3" t="e">
        <v>#NAME?</v>
      </c>
      <c r="Q218" s="3"/>
      <c r="R218" s="3"/>
    </row>
    <row r="219" customFormat="false" ht="15.75" hidden="false" customHeight="false" outlineLevel="0" collapsed="false">
      <c r="L219" s="3" t="e">
        <v>#NAME?</v>
      </c>
      <c r="M219" s="3" t="e">
        <v>#NAME?</v>
      </c>
      <c r="N219" s="1" t="e">
        <v>#NAME?</v>
      </c>
      <c r="O219" s="3"/>
      <c r="P219" s="3" t="e">
        <v>#NAME?</v>
      </c>
      <c r="Q219" s="3"/>
      <c r="R219" s="3"/>
    </row>
    <row r="220" customFormat="false" ht="15.75" hidden="false" customHeight="false" outlineLevel="0" collapsed="false">
      <c r="L220" s="3" t="e">
        <v>#NAME?</v>
      </c>
      <c r="M220" s="3" t="e">
        <v>#NAME?</v>
      </c>
      <c r="N220" s="1" t="e">
        <v>#NAME?</v>
      </c>
      <c r="O220" s="3"/>
      <c r="P220" s="3" t="e">
        <v>#NAME?</v>
      </c>
      <c r="Q220" s="3"/>
      <c r="R220" s="3"/>
    </row>
    <row r="221" customFormat="false" ht="15.75" hidden="false" customHeight="false" outlineLevel="0" collapsed="false">
      <c r="L221" s="3" t="e">
        <v>#NAME?</v>
      </c>
      <c r="M221" s="3" t="e">
        <v>#NAME?</v>
      </c>
      <c r="N221" s="1" t="e">
        <v>#NAME?</v>
      </c>
      <c r="O221" s="3"/>
      <c r="P221" s="3" t="e">
        <v>#NAME?</v>
      </c>
      <c r="Q221" s="3"/>
      <c r="R221" s="3"/>
    </row>
    <row r="222" customFormat="false" ht="15.75" hidden="false" customHeight="false" outlineLevel="0" collapsed="false">
      <c r="L222" s="3" t="e">
        <v>#NAME?</v>
      </c>
      <c r="M222" s="3" t="e">
        <v>#NAME?</v>
      </c>
      <c r="N222" s="1" t="e">
        <v>#NAME?</v>
      </c>
      <c r="O222" s="3"/>
      <c r="P222" s="3" t="e">
        <v>#NAME?</v>
      </c>
      <c r="Q222" s="3"/>
      <c r="R222" s="3"/>
    </row>
    <row r="223" customFormat="false" ht="15.75" hidden="false" customHeight="false" outlineLevel="0" collapsed="false">
      <c r="L223" s="3" t="e">
        <v>#NAME?</v>
      </c>
      <c r="M223" s="3" t="e">
        <v>#NAME?</v>
      </c>
      <c r="N223" s="1" t="e">
        <v>#NAME?</v>
      </c>
      <c r="O223" s="3"/>
      <c r="P223" s="3" t="e">
        <v>#NAME?</v>
      </c>
      <c r="Q223" s="3"/>
      <c r="R223" s="3"/>
    </row>
    <row r="224" customFormat="false" ht="15.75" hidden="false" customHeight="false" outlineLevel="0" collapsed="false">
      <c r="L224" s="3" t="e">
        <v>#NAME?</v>
      </c>
      <c r="M224" s="3" t="e">
        <v>#NAME?</v>
      </c>
      <c r="N224" s="1" t="e">
        <v>#NAME?</v>
      </c>
      <c r="O224" s="3"/>
      <c r="P224" s="3" t="e">
        <v>#NAME?</v>
      </c>
      <c r="Q224" s="3"/>
      <c r="R224" s="3"/>
    </row>
    <row r="225" customFormat="false" ht="15.75" hidden="false" customHeight="false" outlineLevel="0" collapsed="false">
      <c r="L225" s="3" t="e">
        <v>#NAME?</v>
      </c>
      <c r="M225" s="3" t="e">
        <v>#NAME?</v>
      </c>
      <c r="N225" s="1" t="e">
        <v>#NAME?</v>
      </c>
      <c r="O225" s="3"/>
      <c r="P225" s="3" t="e">
        <v>#NAME?</v>
      </c>
      <c r="Q225" s="3"/>
      <c r="R225" s="3"/>
    </row>
    <row r="226" customFormat="false" ht="15.75" hidden="false" customHeight="false" outlineLevel="0" collapsed="false">
      <c r="L226" s="3" t="e">
        <v>#NAME?</v>
      </c>
      <c r="M226" s="3" t="e">
        <v>#NAME?</v>
      </c>
      <c r="N226" s="1" t="e">
        <v>#NAME?</v>
      </c>
      <c r="O226" s="3"/>
      <c r="P226" s="3" t="e">
        <v>#NAME?</v>
      </c>
      <c r="Q226" s="3"/>
      <c r="R226" s="3"/>
    </row>
    <row r="227" customFormat="false" ht="15.75" hidden="false" customHeight="false" outlineLevel="0" collapsed="false">
      <c r="L227" s="3" t="e">
        <v>#NAME?</v>
      </c>
      <c r="M227" s="3" t="e">
        <v>#NAME?</v>
      </c>
      <c r="N227" s="1" t="e">
        <v>#NAME?</v>
      </c>
      <c r="O227" s="3"/>
      <c r="P227" s="3" t="e">
        <v>#NAME?</v>
      </c>
      <c r="Q227" s="3"/>
      <c r="R227" s="3"/>
    </row>
    <row r="228" customFormat="false" ht="15.75" hidden="false" customHeight="false" outlineLevel="0" collapsed="false">
      <c r="L228" s="3" t="e">
        <v>#NAME?</v>
      </c>
      <c r="M228" s="3" t="e">
        <v>#NAME?</v>
      </c>
      <c r="N228" s="1" t="e">
        <v>#NAME?</v>
      </c>
      <c r="O228" s="3"/>
      <c r="P228" s="3" t="e">
        <v>#NAME?</v>
      </c>
      <c r="Q228" s="3"/>
      <c r="R228" s="3"/>
    </row>
    <row r="229" customFormat="false" ht="15.75" hidden="false" customHeight="false" outlineLevel="0" collapsed="false">
      <c r="L229" s="3" t="e">
        <v>#NAME?</v>
      </c>
      <c r="M229" s="3" t="e">
        <v>#NAME?</v>
      </c>
      <c r="N229" s="1" t="e">
        <v>#NAME?</v>
      </c>
      <c r="O229" s="3"/>
      <c r="P229" s="3" t="e">
        <v>#NAME?</v>
      </c>
      <c r="Q229" s="3"/>
      <c r="R229" s="3"/>
    </row>
    <row r="230" customFormat="false" ht="15.75" hidden="false" customHeight="false" outlineLevel="0" collapsed="false">
      <c r="L230" s="3" t="e">
        <v>#NAME?</v>
      </c>
      <c r="M230" s="3" t="e">
        <v>#NAME?</v>
      </c>
      <c r="N230" s="1" t="e">
        <v>#NAME?</v>
      </c>
      <c r="O230" s="3"/>
      <c r="P230" s="3" t="e">
        <v>#NAME?</v>
      </c>
      <c r="Q230" s="3"/>
      <c r="R230" s="3"/>
    </row>
    <row r="231" customFormat="false" ht="15.75" hidden="false" customHeight="false" outlineLevel="0" collapsed="false">
      <c r="L231" s="3" t="e">
        <v>#NAME?</v>
      </c>
      <c r="M231" s="3" t="e">
        <v>#NAME?</v>
      </c>
      <c r="N231" s="1" t="e">
        <v>#NAME?</v>
      </c>
      <c r="O231" s="3"/>
      <c r="P231" s="3" t="e">
        <v>#NAME?</v>
      </c>
      <c r="Q231" s="3"/>
      <c r="R231" s="3"/>
    </row>
    <row r="232" customFormat="false" ht="15.75" hidden="false" customHeight="false" outlineLevel="0" collapsed="false">
      <c r="L232" s="3" t="e">
        <v>#NAME?</v>
      </c>
      <c r="M232" s="3" t="e">
        <v>#NAME?</v>
      </c>
      <c r="N232" s="1" t="e">
        <v>#NAME?</v>
      </c>
      <c r="O232" s="3"/>
      <c r="P232" s="3" t="e">
        <v>#NAME?</v>
      </c>
      <c r="Q232" s="3"/>
      <c r="R232" s="3"/>
    </row>
    <row r="233" customFormat="false" ht="15.75" hidden="false" customHeight="false" outlineLevel="0" collapsed="false">
      <c r="L233" s="3" t="e">
        <v>#NAME?</v>
      </c>
      <c r="M233" s="3" t="e">
        <v>#NAME?</v>
      </c>
      <c r="N233" s="1" t="e">
        <v>#NAME?</v>
      </c>
      <c r="O233" s="3"/>
      <c r="P233" s="3" t="e">
        <v>#NAME?</v>
      </c>
      <c r="Q233" s="3"/>
      <c r="R233" s="3"/>
    </row>
    <row r="234" customFormat="false" ht="15.75" hidden="false" customHeight="false" outlineLevel="0" collapsed="false">
      <c r="L234" s="3" t="e">
        <v>#NAME?</v>
      </c>
      <c r="M234" s="3" t="e">
        <v>#NAME?</v>
      </c>
      <c r="N234" s="1" t="e">
        <v>#NAME?</v>
      </c>
      <c r="O234" s="3"/>
      <c r="P234" s="3" t="e">
        <v>#NAME?</v>
      </c>
      <c r="Q234" s="3"/>
      <c r="R234" s="3"/>
    </row>
    <row r="235" customFormat="false" ht="15.75" hidden="false" customHeight="false" outlineLevel="0" collapsed="false">
      <c r="L235" s="3" t="e">
        <v>#NAME?</v>
      </c>
      <c r="M235" s="3" t="e">
        <v>#NAME?</v>
      </c>
      <c r="N235" s="1" t="e">
        <v>#NAME?</v>
      </c>
      <c r="O235" s="3"/>
      <c r="P235" s="3" t="e">
        <v>#NAME?</v>
      </c>
      <c r="Q235" s="3"/>
      <c r="R235" s="3"/>
    </row>
    <row r="236" customFormat="false" ht="15.75" hidden="false" customHeight="false" outlineLevel="0" collapsed="false">
      <c r="L236" s="3" t="e">
        <v>#NAME?</v>
      </c>
      <c r="M236" s="3" t="e">
        <v>#NAME?</v>
      </c>
      <c r="N236" s="1" t="e">
        <v>#NAME?</v>
      </c>
      <c r="O236" s="3"/>
      <c r="P236" s="3" t="e">
        <v>#NAME?</v>
      </c>
      <c r="Q236" s="3"/>
      <c r="R236" s="3"/>
    </row>
    <row r="237" customFormat="false" ht="15.75" hidden="false" customHeight="false" outlineLevel="0" collapsed="false">
      <c r="L237" s="3" t="e">
        <v>#NAME?</v>
      </c>
      <c r="M237" s="3" t="e">
        <v>#NAME?</v>
      </c>
      <c r="N237" s="1" t="e">
        <v>#NAME?</v>
      </c>
      <c r="O237" s="3"/>
      <c r="P237" s="3" t="e">
        <v>#NAME?</v>
      </c>
      <c r="Q237" s="3"/>
      <c r="R237" s="3"/>
    </row>
    <row r="238" customFormat="false" ht="15.75" hidden="false" customHeight="false" outlineLevel="0" collapsed="false">
      <c r="L238" s="3" t="e">
        <v>#NAME?</v>
      </c>
      <c r="M238" s="3" t="e">
        <v>#NAME?</v>
      </c>
      <c r="N238" s="1" t="e">
        <v>#NAME?</v>
      </c>
      <c r="O238" s="3"/>
      <c r="P238" s="3" t="e">
        <v>#NAME?</v>
      </c>
      <c r="Q238" s="3"/>
      <c r="R238" s="3"/>
    </row>
    <row r="239" customFormat="false" ht="15.75" hidden="false" customHeight="false" outlineLevel="0" collapsed="false">
      <c r="L239" s="3" t="e">
        <v>#NAME?</v>
      </c>
      <c r="M239" s="3" t="e">
        <v>#NAME?</v>
      </c>
      <c r="N239" s="1" t="e">
        <v>#NAME?</v>
      </c>
      <c r="O239" s="3"/>
      <c r="P239" s="3" t="e">
        <v>#NAME?</v>
      </c>
      <c r="Q239" s="3"/>
      <c r="R239" s="3"/>
    </row>
    <row r="240" customFormat="false" ht="15.75" hidden="false" customHeight="false" outlineLevel="0" collapsed="false">
      <c r="L240" s="3" t="e">
        <v>#NAME?</v>
      </c>
      <c r="M240" s="3" t="e">
        <v>#NAME?</v>
      </c>
      <c r="N240" s="1" t="e">
        <v>#NAME?</v>
      </c>
      <c r="O240" s="3"/>
      <c r="P240" s="3" t="e">
        <v>#NAME?</v>
      </c>
      <c r="Q240" s="3"/>
      <c r="R240" s="3"/>
    </row>
    <row r="241" customFormat="false" ht="15.75" hidden="false" customHeight="false" outlineLevel="0" collapsed="false">
      <c r="L241" s="3" t="e">
        <v>#NAME?</v>
      </c>
      <c r="M241" s="3" t="e">
        <v>#NAME?</v>
      </c>
      <c r="N241" s="1" t="e">
        <v>#NAME?</v>
      </c>
      <c r="O241" s="3"/>
      <c r="P241" s="3" t="e">
        <v>#NAME?</v>
      </c>
      <c r="Q241" s="3"/>
      <c r="R241" s="3"/>
    </row>
    <row r="242" customFormat="false" ht="15.75" hidden="false" customHeight="false" outlineLevel="0" collapsed="false">
      <c r="L242" s="3" t="e">
        <v>#NAME?</v>
      </c>
      <c r="M242" s="3" t="e">
        <v>#NAME?</v>
      </c>
      <c r="N242" s="1" t="e">
        <v>#NAME?</v>
      </c>
      <c r="O242" s="3"/>
      <c r="P242" s="3" t="e">
        <v>#NAME?</v>
      </c>
      <c r="Q242" s="3"/>
      <c r="R242" s="3"/>
    </row>
    <row r="243" customFormat="false" ht="15.75" hidden="false" customHeight="false" outlineLevel="0" collapsed="false">
      <c r="L243" s="3" t="e">
        <v>#NAME?</v>
      </c>
      <c r="M243" s="3" t="e">
        <v>#NAME?</v>
      </c>
      <c r="N243" s="1" t="e">
        <v>#NAME?</v>
      </c>
      <c r="O243" s="3"/>
      <c r="P243" s="3" t="e">
        <v>#NAME?</v>
      </c>
      <c r="Q243" s="3"/>
      <c r="R243" s="3"/>
    </row>
    <row r="244" customFormat="false" ht="15.75" hidden="false" customHeight="false" outlineLevel="0" collapsed="false">
      <c r="L244" s="3" t="e">
        <v>#NAME?</v>
      </c>
      <c r="M244" s="3" t="e">
        <v>#NAME?</v>
      </c>
      <c r="N244" s="1" t="e">
        <v>#NAME?</v>
      </c>
      <c r="O244" s="3"/>
      <c r="P244" s="3" t="e">
        <v>#NAME?</v>
      </c>
      <c r="Q244" s="3"/>
      <c r="R244" s="3"/>
    </row>
    <row r="245" customFormat="false" ht="15.75" hidden="false" customHeight="false" outlineLevel="0" collapsed="false">
      <c r="L245" s="3" t="e">
        <v>#NAME?</v>
      </c>
      <c r="M245" s="3" t="e">
        <v>#NAME?</v>
      </c>
      <c r="N245" s="1" t="e">
        <v>#NAME?</v>
      </c>
      <c r="O245" s="3"/>
      <c r="P245" s="3" t="e">
        <v>#NAME?</v>
      </c>
      <c r="Q245" s="3"/>
      <c r="R245" s="3"/>
    </row>
    <row r="246" customFormat="false" ht="15.75" hidden="false" customHeight="false" outlineLevel="0" collapsed="false">
      <c r="L246" s="3" t="e">
        <v>#NAME?</v>
      </c>
      <c r="M246" s="3" t="e">
        <v>#NAME?</v>
      </c>
      <c r="N246" s="1" t="e">
        <v>#NAME?</v>
      </c>
      <c r="O246" s="3"/>
      <c r="P246" s="3" t="e">
        <v>#NAME?</v>
      </c>
      <c r="Q246" s="3"/>
      <c r="R246" s="3"/>
    </row>
    <row r="247" customFormat="false" ht="15.75" hidden="false" customHeight="false" outlineLevel="0" collapsed="false">
      <c r="L247" s="3" t="e">
        <v>#NAME?</v>
      </c>
      <c r="M247" s="3" t="e">
        <v>#NAME?</v>
      </c>
      <c r="N247" s="1" t="e">
        <v>#NAME?</v>
      </c>
      <c r="O247" s="3"/>
      <c r="P247" s="3" t="e">
        <v>#NAME?</v>
      </c>
      <c r="Q247" s="3"/>
      <c r="R247" s="3"/>
    </row>
    <row r="248" customFormat="false" ht="15.75" hidden="false" customHeight="false" outlineLevel="0" collapsed="false">
      <c r="L248" s="3" t="e">
        <v>#NAME?</v>
      </c>
      <c r="M248" s="3" t="e">
        <v>#NAME?</v>
      </c>
      <c r="N248" s="1" t="e">
        <v>#NAME?</v>
      </c>
      <c r="O248" s="3"/>
      <c r="P248" s="3" t="e">
        <v>#NAME?</v>
      </c>
      <c r="Q248" s="3"/>
      <c r="R248" s="3"/>
    </row>
    <row r="249" customFormat="false" ht="15.75" hidden="false" customHeight="false" outlineLevel="0" collapsed="false">
      <c r="L249" s="3" t="e">
        <v>#NAME?</v>
      </c>
      <c r="M249" s="3" t="e">
        <v>#NAME?</v>
      </c>
      <c r="N249" s="1" t="e">
        <v>#NAME?</v>
      </c>
      <c r="O249" s="3"/>
      <c r="P249" s="3" t="e">
        <v>#NAME?</v>
      </c>
      <c r="Q249" s="3"/>
      <c r="R249" s="3"/>
    </row>
    <row r="250" customFormat="false" ht="15.75" hidden="false" customHeight="false" outlineLevel="0" collapsed="false">
      <c r="L250" s="3" t="e">
        <v>#NAME?</v>
      </c>
      <c r="M250" s="3" t="e">
        <v>#NAME?</v>
      </c>
      <c r="N250" s="1" t="e">
        <v>#NAME?</v>
      </c>
      <c r="O250" s="3"/>
      <c r="P250" s="3" t="e">
        <v>#NAME?</v>
      </c>
      <c r="Q250" s="3"/>
      <c r="R250" s="3"/>
    </row>
    <row r="251" customFormat="false" ht="15.75" hidden="false" customHeight="false" outlineLevel="0" collapsed="false">
      <c r="L251" s="3" t="e">
        <v>#NAME?</v>
      </c>
      <c r="M251" s="3" t="e">
        <v>#NAME?</v>
      </c>
      <c r="N251" s="1" t="e">
        <v>#NAME?</v>
      </c>
      <c r="O251" s="3"/>
      <c r="P251" s="3" t="e">
        <v>#NAME?</v>
      </c>
      <c r="Q251" s="3"/>
      <c r="R251" s="3"/>
    </row>
    <row r="252" customFormat="false" ht="15.75" hidden="false" customHeight="false" outlineLevel="0" collapsed="false">
      <c r="L252" s="3" t="e">
        <v>#NAME?</v>
      </c>
      <c r="M252" s="3" t="e">
        <v>#NAME?</v>
      </c>
      <c r="N252" s="1" t="e">
        <v>#NAME?</v>
      </c>
      <c r="O252" s="3"/>
      <c r="P252" s="3" t="e">
        <v>#NAME?</v>
      </c>
      <c r="Q252" s="3"/>
      <c r="R252" s="3"/>
    </row>
    <row r="253" customFormat="false" ht="15.75" hidden="false" customHeight="false" outlineLevel="0" collapsed="false">
      <c r="L253" s="3" t="e">
        <v>#NAME?</v>
      </c>
      <c r="M253" s="3" t="e">
        <v>#NAME?</v>
      </c>
      <c r="N253" s="1" t="e">
        <v>#NAME?</v>
      </c>
      <c r="O253" s="3"/>
      <c r="P253" s="3" t="e">
        <v>#NAME?</v>
      </c>
      <c r="Q253" s="3"/>
      <c r="R253" s="3"/>
    </row>
    <row r="254" customFormat="false" ht="15.75" hidden="false" customHeight="false" outlineLevel="0" collapsed="false">
      <c r="L254" s="3" t="e">
        <v>#NAME?</v>
      </c>
      <c r="M254" s="3" t="e">
        <v>#NAME?</v>
      </c>
      <c r="N254" s="1" t="e">
        <v>#NAME?</v>
      </c>
      <c r="O254" s="3"/>
      <c r="P254" s="3" t="e">
        <v>#NAME?</v>
      </c>
      <c r="Q254" s="3"/>
      <c r="R254" s="3"/>
    </row>
    <row r="255" customFormat="false" ht="15.75" hidden="false" customHeight="false" outlineLevel="0" collapsed="false">
      <c r="L255" s="3" t="e">
        <v>#NAME?</v>
      </c>
      <c r="M255" s="3" t="e">
        <v>#NAME?</v>
      </c>
      <c r="N255" s="1" t="e">
        <v>#NAME?</v>
      </c>
      <c r="O255" s="3"/>
      <c r="P255" s="3" t="e">
        <v>#NAME?</v>
      </c>
      <c r="Q255" s="3"/>
      <c r="R255" s="3"/>
    </row>
    <row r="256" customFormat="false" ht="15.75" hidden="false" customHeight="false" outlineLevel="0" collapsed="false">
      <c r="L256" s="3" t="e">
        <v>#NAME?</v>
      </c>
      <c r="M256" s="3" t="e">
        <v>#NAME?</v>
      </c>
      <c r="N256" s="1" t="e">
        <v>#NAME?</v>
      </c>
      <c r="O256" s="3"/>
      <c r="P256" s="3" t="e">
        <v>#NAME?</v>
      </c>
      <c r="Q256" s="3"/>
      <c r="R256" s="3"/>
    </row>
    <row r="257" customFormat="false" ht="15.75" hidden="false" customHeight="false" outlineLevel="0" collapsed="false">
      <c r="L257" s="3" t="e">
        <v>#NAME?</v>
      </c>
      <c r="M257" s="3" t="e">
        <v>#NAME?</v>
      </c>
      <c r="N257" s="1" t="e">
        <v>#NAME?</v>
      </c>
      <c r="O257" s="3"/>
      <c r="P257" s="3" t="e">
        <v>#NAME?</v>
      </c>
      <c r="Q257" s="3"/>
      <c r="R257" s="3"/>
    </row>
    <row r="258" customFormat="false" ht="15.75" hidden="false" customHeight="false" outlineLevel="0" collapsed="false">
      <c r="L258" s="3" t="e">
        <v>#NAME?</v>
      </c>
      <c r="M258" s="3" t="e">
        <v>#NAME?</v>
      </c>
      <c r="N258" s="1" t="e">
        <v>#NAME?</v>
      </c>
      <c r="O258" s="3"/>
      <c r="P258" s="3" t="e">
        <v>#NAME?</v>
      </c>
      <c r="Q258" s="3"/>
      <c r="R258" s="3"/>
    </row>
    <row r="259" customFormat="false" ht="15.75" hidden="false" customHeight="false" outlineLevel="0" collapsed="false">
      <c r="L259" s="3" t="e">
        <v>#NAME?</v>
      </c>
      <c r="M259" s="3" t="e">
        <v>#NAME?</v>
      </c>
      <c r="N259" s="1" t="e">
        <v>#NAME?</v>
      </c>
      <c r="O259" s="3"/>
      <c r="P259" s="3" t="e">
        <v>#NAME?</v>
      </c>
      <c r="Q259" s="3"/>
      <c r="R259" s="3"/>
    </row>
    <row r="260" customFormat="false" ht="15.75" hidden="false" customHeight="false" outlineLevel="0" collapsed="false">
      <c r="L260" s="3" t="e">
        <v>#NAME?</v>
      </c>
      <c r="M260" s="3" t="e">
        <v>#NAME?</v>
      </c>
      <c r="N260" s="1" t="e">
        <v>#NAME?</v>
      </c>
      <c r="O260" s="3"/>
      <c r="P260" s="3" t="e">
        <v>#NAME?</v>
      </c>
      <c r="Q260" s="3"/>
      <c r="R260" s="3"/>
    </row>
    <row r="261" customFormat="false" ht="15.75" hidden="false" customHeight="false" outlineLevel="0" collapsed="false">
      <c r="L261" s="3" t="e">
        <v>#NAME?</v>
      </c>
      <c r="M261" s="3" t="e">
        <v>#NAME?</v>
      </c>
      <c r="N261" s="1" t="e">
        <v>#NAME?</v>
      </c>
      <c r="O261" s="3"/>
      <c r="P261" s="3" t="e">
        <v>#NAME?</v>
      </c>
      <c r="Q261" s="3"/>
      <c r="R261" s="3"/>
    </row>
    <row r="262" customFormat="false" ht="15.75" hidden="false" customHeight="false" outlineLevel="0" collapsed="false">
      <c r="L262" s="3" t="e">
        <v>#NAME?</v>
      </c>
      <c r="M262" s="3" t="e">
        <v>#NAME?</v>
      </c>
      <c r="N262" s="1" t="e">
        <v>#NAME?</v>
      </c>
      <c r="O262" s="3"/>
      <c r="P262" s="3" t="e">
        <v>#NAME?</v>
      </c>
      <c r="Q262" s="3"/>
      <c r="R262" s="3"/>
    </row>
    <row r="263" customFormat="false" ht="15.75" hidden="false" customHeight="false" outlineLevel="0" collapsed="false">
      <c r="L263" s="3" t="e">
        <v>#NAME?</v>
      </c>
      <c r="M263" s="3" t="e">
        <v>#NAME?</v>
      </c>
      <c r="N263" s="1" t="e">
        <v>#NAME?</v>
      </c>
      <c r="O263" s="3"/>
      <c r="P263" s="3" t="e">
        <v>#NAME?</v>
      </c>
      <c r="Q263" s="3"/>
      <c r="R263" s="3"/>
    </row>
    <row r="264" customFormat="false" ht="15.75" hidden="false" customHeight="false" outlineLevel="0" collapsed="false">
      <c r="L264" s="3" t="e">
        <v>#NAME?</v>
      </c>
      <c r="M264" s="3" t="e">
        <v>#NAME?</v>
      </c>
      <c r="N264" s="1" t="e">
        <v>#NAME?</v>
      </c>
      <c r="O264" s="3"/>
      <c r="P264" s="3" t="e">
        <v>#NAME?</v>
      </c>
      <c r="Q264" s="3"/>
      <c r="R264" s="3"/>
    </row>
    <row r="265" customFormat="false" ht="15.75" hidden="false" customHeight="false" outlineLevel="0" collapsed="false">
      <c r="L265" s="3" t="e">
        <v>#NAME?</v>
      </c>
      <c r="M265" s="3" t="e">
        <v>#NAME?</v>
      </c>
      <c r="N265" s="1" t="e">
        <v>#NAME?</v>
      </c>
      <c r="O265" s="3"/>
      <c r="P265" s="3" t="e">
        <v>#NAME?</v>
      </c>
      <c r="Q265" s="3"/>
      <c r="R265" s="3"/>
    </row>
    <row r="266" customFormat="false" ht="15.75" hidden="false" customHeight="false" outlineLevel="0" collapsed="false">
      <c r="L266" s="3" t="e">
        <v>#NAME?</v>
      </c>
      <c r="M266" s="3" t="e">
        <v>#NAME?</v>
      </c>
      <c r="N266" s="1" t="e">
        <v>#NAME?</v>
      </c>
      <c r="O266" s="3"/>
      <c r="P266" s="3" t="e">
        <v>#NAME?</v>
      </c>
      <c r="Q266" s="3"/>
      <c r="R266" s="3"/>
    </row>
    <row r="267" customFormat="false" ht="15.75" hidden="false" customHeight="false" outlineLevel="0" collapsed="false">
      <c r="L267" s="3" t="e">
        <v>#NAME?</v>
      </c>
      <c r="M267" s="3" t="e">
        <v>#NAME?</v>
      </c>
      <c r="N267" s="1" t="e">
        <v>#NAME?</v>
      </c>
      <c r="O267" s="3"/>
      <c r="P267" s="3" t="e">
        <v>#NAME?</v>
      </c>
      <c r="Q267" s="3"/>
      <c r="R267" s="3"/>
    </row>
    <row r="268" customFormat="false" ht="15.75" hidden="false" customHeight="false" outlineLevel="0" collapsed="false">
      <c r="L268" s="3" t="e">
        <v>#NAME?</v>
      </c>
      <c r="M268" s="3" t="e">
        <v>#NAME?</v>
      </c>
      <c r="N268" s="1" t="e">
        <v>#NAME?</v>
      </c>
      <c r="O268" s="3"/>
      <c r="P268" s="3" t="e">
        <v>#NAME?</v>
      </c>
      <c r="Q268" s="3"/>
      <c r="R268" s="3"/>
    </row>
    <row r="269" customFormat="false" ht="15.75" hidden="false" customHeight="false" outlineLevel="0" collapsed="false">
      <c r="L269" s="3" t="e">
        <v>#NAME?</v>
      </c>
      <c r="M269" s="3" t="e">
        <v>#NAME?</v>
      </c>
      <c r="N269" s="1" t="e">
        <v>#NAME?</v>
      </c>
      <c r="O269" s="3"/>
      <c r="P269" s="3" t="e">
        <v>#NAME?</v>
      </c>
      <c r="Q269" s="3"/>
      <c r="R269" s="3"/>
    </row>
    <row r="270" customFormat="false" ht="15.75" hidden="false" customHeight="false" outlineLevel="0" collapsed="false">
      <c r="L270" s="3" t="e">
        <v>#NAME?</v>
      </c>
      <c r="M270" s="3" t="e">
        <v>#NAME?</v>
      </c>
      <c r="N270" s="1" t="e">
        <v>#NAME?</v>
      </c>
      <c r="O270" s="3"/>
      <c r="P270" s="3" t="e">
        <v>#NAME?</v>
      </c>
      <c r="Q270" s="3"/>
      <c r="R270" s="3"/>
    </row>
    <row r="271" customFormat="false" ht="15.75" hidden="false" customHeight="false" outlineLevel="0" collapsed="false">
      <c r="L271" s="3" t="e">
        <v>#NAME?</v>
      </c>
      <c r="M271" s="3" t="e">
        <v>#NAME?</v>
      </c>
      <c r="N271" s="1" t="e">
        <v>#NAME?</v>
      </c>
      <c r="O271" s="3"/>
      <c r="P271" s="3" t="e">
        <v>#NAME?</v>
      </c>
      <c r="Q271" s="3"/>
      <c r="R271" s="3"/>
    </row>
    <row r="272" customFormat="false" ht="15.75" hidden="false" customHeight="false" outlineLevel="0" collapsed="false">
      <c r="L272" s="3" t="e">
        <v>#NAME?</v>
      </c>
      <c r="M272" s="3" t="e">
        <v>#NAME?</v>
      </c>
      <c r="N272" s="1" t="e">
        <v>#NAME?</v>
      </c>
      <c r="O272" s="3"/>
      <c r="P272" s="3" t="e">
        <v>#NAME?</v>
      </c>
      <c r="Q272" s="3"/>
      <c r="R272" s="3"/>
    </row>
    <row r="273" customFormat="false" ht="15.75" hidden="false" customHeight="false" outlineLevel="0" collapsed="false">
      <c r="L273" s="3" t="e">
        <v>#NAME?</v>
      </c>
      <c r="M273" s="3" t="e">
        <v>#NAME?</v>
      </c>
      <c r="N273" s="1" t="e">
        <v>#NAME?</v>
      </c>
      <c r="O273" s="3"/>
      <c r="P273" s="3" t="e">
        <v>#NAME?</v>
      </c>
      <c r="Q273" s="3"/>
      <c r="R273" s="3"/>
    </row>
    <row r="274" customFormat="false" ht="15.75" hidden="false" customHeight="false" outlineLevel="0" collapsed="false">
      <c r="L274" s="3" t="e">
        <v>#NAME?</v>
      </c>
      <c r="M274" s="3" t="e">
        <v>#NAME?</v>
      </c>
      <c r="N274" s="1" t="e">
        <v>#NAME?</v>
      </c>
      <c r="O274" s="3"/>
      <c r="P274" s="3" t="e">
        <v>#NAME?</v>
      </c>
      <c r="Q274" s="3"/>
      <c r="R274" s="3"/>
    </row>
    <row r="275" customFormat="false" ht="15.75" hidden="false" customHeight="false" outlineLevel="0" collapsed="false">
      <c r="L275" s="3" t="e">
        <v>#NAME?</v>
      </c>
      <c r="M275" s="3" t="e">
        <v>#NAME?</v>
      </c>
      <c r="N275" s="1" t="e">
        <v>#NAME?</v>
      </c>
      <c r="O275" s="3"/>
      <c r="P275" s="3" t="e">
        <v>#NAME?</v>
      </c>
      <c r="Q275" s="3"/>
      <c r="R275" s="3"/>
    </row>
    <row r="276" customFormat="false" ht="15.75" hidden="false" customHeight="false" outlineLevel="0" collapsed="false">
      <c r="L276" s="3" t="e">
        <v>#NAME?</v>
      </c>
      <c r="M276" s="3" t="e">
        <v>#NAME?</v>
      </c>
      <c r="N276" s="1" t="e">
        <v>#NAME?</v>
      </c>
      <c r="O276" s="3"/>
      <c r="P276" s="3" t="e">
        <v>#NAME?</v>
      </c>
      <c r="Q276" s="3"/>
      <c r="R276" s="3"/>
    </row>
    <row r="277" customFormat="false" ht="15.75" hidden="false" customHeight="false" outlineLevel="0" collapsed="false">
      <c r="L277" s="3" t="e">
        <v>#NAME?</v>
      </c>
      <c r="M277" s="3" t="e">
        <v>#NAME?</v>
      </c>
      <c r="N277" s="1" t="e">
        <v>#NAME?</v>
      </c>
      <c r="O277" s="3"/>
      <c r="P277" s="3" t="e">
        <v>#NAME?</v>
      </c>
      <c r="Q277" s="3"/>
      <c r="R277" s="3"/>
    </row>
    <row r="278" customFormat="false" ht="15.75" hidden="false" customHeight="false" outlineLevel="0" collapsed="false">
      <c r="L278" s="3" t="e">
        <v>#NAME?</v>
      </c>
      <c r="M278" s="3" t="e">
        <v>#NAME?</v>
      </c>
      <c r="N278" s="1" t="e">
        <v>#NAME?</v>
      </c>
      <c r="O278" s="3"/>
      <c r="P278" s="3" t="e">
        <v>#NAME?</v>
      </c>
      <c r="Q278" s="3"/>
      <c r="R278" s="3"/>
    </row>
    <row r="279" customFormat="false" ht="15.75" hidden="false" customHeight="false" outlineLevel="0" collapsed="false">
      <c r="L279" s="3" t="e">
        <v>#NAME?</v>
      </c>
      <c r="M279" s="3" t="e">
        <v>#NAME?</v>
      </c>
      <c r="N279" s="1" t="e">
        <v>#NAME?</v>
      </c>
      <c r="O279" s="3"/>
      <c r="P279" s="3" t="e">
        <v>#NAME?</v>
      </c>
      <c r="Q279" s="3"/>
      <c r="R279" s="3"/>
    </row>
    <row r="280" customFormat="false" ht="15.75" hidden="false" customHeight="false" outlineLevel="0" collapsed="false">
      <c r="L280" s="3" t="e">
        <v>#NAME?</v>
      </c>
      <c r="M280" s="3" t="e">
        <v>#NAME?</v>
      </c>
      <c r="N280" s="1" t="e">
        <v>#NAME?</v>
      </c>
      <c r="O280" s="3"/>
      <c r="P280" s="3" t="e">
        <v>#NAME?</v>
      </c>
      <c r="Q280" s="3"/>
      <c r="R280" s="3"/>
    </row>
    <row r="281" customFormat="false" ht="15.75" hidden="false" customHeight="false" outlineLevel="0" collapsed="false">
      <c r="L281" s="3" t="e">
        <v>#NAME?</v>
      </c>
      <c r="M281" s="3" t="e">
        <v>#NAME?</v>
      </c>
      <c r="N281" s="1" t="e">
        <v>#NAME?</v>
      </c>
      <c r="O281" s="3"/>
      <c r="P281" s="3" t="e">
        <v>#NAME?</v>
      </c>
      <c r="Q281" s="3"/>
      <c r="R281" s="3"/>
    </row>
    <row r="282" customFormat="false" ht="15.75" hidden="false" customHeight="false" outlineLevel="0" collapsed="false">
      <c r="L282" s="3" t="e">
        <v>#NAME?</v>
      </c>
      <c r="M282" s="3" t="e">
        <v>#NAME?</v>
      </c>
      <c r="N282" s="1" t="e">
        <v>#NAME?</v>
      </c>
      <c r="O282" s="3"/>
      <c r="P282" s="3" t="e">
        <v>#NAME?</v>
      </c>
      <c r="Q282" s="3"/>
      <c r="R282" s="3"/>
    </row>
    <row r="283" customFormat="false" ht="15.75" hidden="false" customHeight="false" outlineLevel="0" collapsed="false">
      <c r="L283" s="3" t="e">
        <v>#NAME?</v>
      </c>
      <c r="M283" s="3" t="e">
        <v>#NAME?</v>
      </c>
      <c r="N283" s="1" t="e">
        <v>#NAME?</v>
      </c>
      <c r="O283" s="3"/>
      <c r="P283" s="3" t="e">
        <v>#NAME?</v>
      </c>
      <c r="Q283" s="3"/>
      <c r="R283" s="3"/>
    </row>
    <row r="284" customFormat="false" ht="15.75" hidden="false" customHeight="false" outlineLevel="0" collapsed="false">
      <c r="L284" s="3" t="e">
        <v>#NAME?</v>
      </c>
      <c r="M284" s="3" t="e">
        <v>#NAME?</v>
      </c>
      <c r="N284" s="1" t="e">
        <v>#NAME?</v>
      </c>
      <c r="O284" s="3"/>
      <c r="P284" s="3" t="e">
        <v>#NAME?</v>
      </c>
      <c r="Q284" s="3"/>
      <c r="R284" s="3"/>
    </row>
    <row r="285" customFormat="false" ht="15.75" hidden="false" customHeight="false" outlineLevel="0" collapsed="false">
      <c r="L285" s="3" t="e">
        <v>#NAME?</v>
      </c>
      <c r="M285" s="3" t="e">
        <v>#NAME?</v>
      </c>
      <c r="N285" s="1" t="e">
        <v>#NAME?</v>
      </c>
      <c r="O285" s="3"/>
      <c r="P285" s="3" t="e">
        <v>#NAME?</v>
      </c>
      <c r="Q285" s="3"/>
      <c r="R285" s="3"/>
    </row>
    <row r="286" customFormat="false" ht="15.75" hidden="false" customHeight="false" outlineLevel="0" collapsed="false">
      <c r="L286" s="3" t="e">
        <v>#NAME?</v>
      </c>
      <c r="M286" s="3" t="e">
        <v>#NAME?</v>
      </c>
      <c r="N286" s="1" t="e">
        <v>#NAME?</v>
      </c>
      <c r="O286" s="3"/>
      <c r="P286" s="3" t="e">
        <v>#NAME?</v>
      </c>
      <c r="Q286" s="3"/>
      <c r="R286" s="3"/>
    </row>
    <row r="287" customFormat="false" ht="15.75" hidden="false" customHeight="false" outlineLevel="0" collapsed="false">
      <c r="L287" s="3" t="e">
        <v>#NAME?</v>
      </c>
      <c r="M287" s="3" t="e">
        <v>#NAME?</v>
      </c>
      <c r="N287" s="1" t="e">
        <v>#NAME?</v>
      </c>
      <c r="O287" s="3"/>
      <c r="P287" s="3" t="e">
        <v>#NAME?</v>
      </c>
      <c r="Q287" s="3"/>
      <c r="R287" s="3"/>
    </row>
    <row r="288" customFormat="false" ht="15.75" hidden="false" customHeight="false" outlineLevel="0" collapsed="false">
      <c r="L288" s="3" t="e">
        <v>#NAME?</v>
      </c>
      <c r="M288" s="3" t="e">
        <v>#NAME?</v>
      </c>
      <c r="N288" s="1" t="e">
        <v>#NAME?</v>
      </c>
      <c r="O288" s="3"/>
      <c r="P288" s="3" t="e">
        <v>#NAME?</v>
      </c>
      <c r="Q288" s="3"/>
      <c r="R288" s="3"/>
    </row>
    <row r="289" customFormat="false" ht="15.75" hidden="false" customHeight="false" outlineLevel="0" collapsed="false">
      <c r="L289" s="3" t="e">
        <v>#NAME?</v>
      </c>
      <c r="M289" s="3" t="e">
        <v>#NAME?</v>
      </c>
      <c r="N289" s="1" t="e">
        <v>#NAME?</v>
      </c>
      <c r="O289" s="3"/>
      <c r="P289" s="3" t="e">
        <v>#NAME?</v>
      </c>
      <c r="Q289" s="3"/>
      <c r="R289" s="3"/>
    </row>
    <row r="290" customFormat="false" ht="15.75" hidden="false" customHeight="false" outlineLevel="0" collapsed="false">
      <c r="L290" s="3" t="e">
        <v>#NAME?</v>
      </c>
      <c r="M290" s="3" t="e">
        <v>#NAME?</v>
      </c>
      <c r="N290" s="1" t="e">
        <v>#NAME?</v>
      </c>
      <c r="O290" s="3"/>
      <c r="P290" s="3" t="e">
        <v>#NAME?</v>
      </c>
      <c r="Q290" s="3"/>
      <c r="R290" s="3"/>
    </row>
    <row r="291" customFormat="false" ht="15.75" hidden="false" customHeight="false" outlineLevel="0" collapsed="false">
      <c r="L291" s="3" t="e">
        <v>#NAME?</v>
      </c>
      <c r="M291" s="3" t="e">
        <v>#NAME?</v>
      </c>
      <c r="N291" s="1" t="e">
        <v>#NAME?</v>
      </c>
      <c r="O291" s="3"/>
      <c r="P291" s="3" t="e">
        <v>#NAME?</v>
      </c>
      <c r="Q291" s="3"/>
      <c r="R291" s="3"/>
    </row>
    <row r="292" customFormat="false" ht="15.75" hidden="false" customHeight="false" outlineLevel="0" collapsed="false">
      <c r="L292" s="3" t="e">
        <v>#NAME?</v>
      </c>
      <c r="M292" s="3" t="e">
        <v>#NAME?</v>
      </c>
      <c r="N292" s="1" t="e">
        <v>#NAME?</v>
      </c>
      <c r="O292" s="3"/>
      <c r="P292" s="3" t="e">
        <v>#NAME?</v>
      </c>
      <c r="Q292" s="3"/>
      <c r="R292" s="3"/>
    </row>
    <row r="293" customFormat="false" ht="15.75" hidden="false" customHeight="false" outlineLevel="0" collapsed="false">
      <c r="L293" s="3" t="e">
        <v>#NAME?</v>
      </c>
      <c r="M293" s="3" t="e">
        <v>#NAME?</v>
      </c>
      <c r="N293" s="1" t="e">
        <v>#NAME?</v>
      </c>
      <c r="O293" s="3"/>
      <c r="P293" s="3" t="e">
        <v>#NAME?</v>
      </c>
      <c r="Q293" s="3"/>
      <c r="R293" s="3"/>
    </row>
    <row r="294" customFormat="false" ht="15.75" hidden="false" customHeight="false" outlineLevel="0" collapsed="false">
      <c r="L294" s="3" t="e">
        <v>#NAME?</v>
      </c>
      <c r="M294" s="3" t="e">
        <v>#NAME?</v>
      </c>
      <c r="N294" s="1" t="e">
        <v>#NAME?</v>
      </c>
      <c r="O294" s="3"/>
      <c r="P294" s="3" t="e">
        <v>#NAME?</v>
      </c>
      <c r="Q294" s="3"/>
      <c r="R294" s="3"/>
    </row>
    <row r="295" customFormat="false" ht="15.75" hidden="false" customHeight="false" outlineLevel="0" collapsed="false">
      <c r="L295" s="3" t="e">
        <v>#NAME?</v>
      </c>
      <c r="M295" s="3" t="e">
        <v>#NAME?</v>
      </c>
      <c r="N295" s="1" t="e">
        <v>#NAME?</v>
      </c>
      <c r="O295" s="3"/>
      <c r="P295" s="3" t="e">
        <v>#NAME?</v>
      </c>
      <c r="Q295" s="3"/>
      <c r="R295" s="3"/>
    </row>
    <row r="296" customFormat="false" ht="15.75" hidden="false" customHeight="false" outlineLevel="0" collapsed="false">
      <c r="L296" s="3" t="e">
        <v>#NAME?</v>
      </c>
      <c r="M296" s="3" t="e">
        <v>#NAME?</v>
      </c>
      <c r="N296" s="1" t="e">
        <v>#NAME?</v>
      </c>
      <c r="O296" s="3"/>
      <c r="P296" s="3" t="e">
        <v>#NAME?</v>
      </c>
      <c r="Q296" s="3"/>
      <c r="R296" s="3"/>
    </row>
    <row r="297" customFormat="false" ht="15.75" hidden="false" customHeight="false" outlineLevel="0" collapsed="false">
      <c r="L297" s="3" t="e">
        <v>#NAME?</v>
      </c>
      <c r="M297" s="3" t="e">
        <v>#NAME?</v>
      </c>
      <c r="N297" s="1" t="e">
        <v>#NAME?</v>
      </c>
      <c r="O297" s="3"/>
      <c r="P297" s="3" t="e">
        <v>#NAME?</v>
      </c>
      <c r="Q297" s="3"/>
      <c r="R297" s="3"/>
    </row>
    <row r="298" customFormat="false" ht="15.75" hidden="false" customHeight="false" outlineLevel="0" collapsed="false">
      <c r="L298" s="3" t="e">
        <v>#NAME?</v>
      </c>
      <c r="M298" s="3" t="e">
        <v>#NAME?</v>
      </c>
      <c r="N298" s="1" t="e">
        <v>#NAME?</v>
      </c>
      <c r="O298" s="3"/>
      <c r="P298" s="3" t="e">
        <v>#NAME?</v>
      </c>
      <c r="Q298" s="3"/>
      <c r="R298" s="3"/>
    </row>
    <row r="299" customFormat="false" ht="15.75" hidden="false" customHeight="false" outlineLevel="0" collapsed="false">
      <c r="L299" s="3" t="e">
        <v>#NAME?</v>
      </c>
      <c r="M299" s="3" t="e">
        <v>#NAME?</v>
      </c>
      <c r="N299" s="1" t="e">
        <v>#NAME?</v>
      </c>
      <c r="O299" s="3"/>
      <c r="P299" s="3" t="e">
        <v>#NAME?</v>
      </c>
      <c r="Q299" s="3"/>
      <c r="R299" s="3"/>
    </row>
    <row r="300" customFormat="false" ht="15.75" hidden="false" customHeight="false" outlineLevel="0" collapsed="false">
      <c r="L300" s="3" t="e">
        <v>#NAME?</v>
      </c>
      <c r="M300" s="3" t="e">
        <v>#NAME?</v>
      </c>
      <c r="N300" s="1" t="e">
        <v>#NAME?</v>
      </c>
      <c r="O300" s="3"/>
      <c r="P300" s="3" t="e">
        <v>#NAME?</v>
      </c>
      <c r="Q300" s="3"/>
      <c r="R300" s="3"/>
    </row>
    <row r="301" customFormat="false" ht="15.75" hidden="false" customHeight="false" outlineLevel="0" collapsed="false">
      <c r="L301" s="3" t="e">
        <v>#NAME?</v>
      </c>
      <c r="M301" s="3" t="e">
        <v>#NAME?</v>
      </c>
      <c r="N301" s="1" t="e">
        <v>#NAME?</v>
      </c>
      <c r="O301" s="3"/>
      <c r="P301" s="3" t="e">
        <v>#NAME?</v>
      </c>
      <c r="Q301" s="3"/>
      <c r="R301" s="3"/>
    </row>
    <row r="302" customFormat="false" ht="15.75" hidden="false" customHeight="false" outlineLevel="0" collapsed="false">
      <c r="L302" s="3" t="e">
        <v>#NAME?</v>
      </c>
      <c r="M302" s="3" t="e">
        <v>#NAME?</v>
      </c>
      <c r="N302" s="1" t="e">
        <v>#NAME?</v>
      </c>
      <c r="O302" s="3"/>
      <c r="P302" s="3" t="e">
        <v>#NAME?</v>
      </c>
      <c r="Q302" s="3"/>
      <c r="R302" s="3"/>
    </row>
    <row r="303" customFormat="false" ht="15.75" hidden="false" customHeight="false" outlineLevel="0" collapsed="false">
      <c r="L303" s="3" t="e">
        <v>#NAME?</v>
      </c>
      <c r="M303" s="3" t="e">
        <v>#NAME?</v>
      </c>
      <c r="N303" s="1" t="e">
        <v>#NAME?</v>
      </c>
      <c r="O303" s="3"/>
      <c r="P303" s="3" t="e">
        <v>#NAME?</v>
      </c>
      <c r="Q303" s="3"/>
      <c r="R303" s="3"/>
    </row>
    <row r="304" customFormat="false" ht="15.75" hidden="false" customHeight="false" outlineLevel="0" collapsed="false">
      <c r="L304" s="3" t="e">
        <v>#NAME?</v>
      </c>
      <c r="M304" s="3" t="e">
        <v>#NAME?</v>
      </c>
      <c r="N304" s="1" t="e">
        <v>#NAME?</v>
      </c>
      <c r="O304" s="3"/>
      <c r="P304" s="3" t="e">
        <v>#NAME?</v>
      </c>
      <c r="Q304" s="3"/>
      <c r="R304" s="3"/>
    </row>
    <row r="305" customFormat="false" ht="15.75" hidden="false" customHeight="false" outlineLevel="0" collapsed="false">
      <c r="L305" s="3" t="e">
        <v>#NAME?</v>
      </c>
      <c r="M305" s="3" t="e">
        <v>#NAME?</v>
      </c>
      <c r="N305" s="1" t="e">
        <v>#NAME?</v>
      </c>
      <c r="O305" s="3"/>
      <c r="P305" s="3" t="e">
        <v>#NAME?</v>
      </c>
      <c r="Q305" s="3"/>
      <c r="R305" s="3"/>
    </row>
    <row r="306" customFormat="false" ht="15.75" hidden="false" customHeight="false" outlineLevel="0" collapsed="false">
      <c r="L306" s="3" t="e">
        <v>#NAME?</v>
      </c>
      <c r="M306" s="3" t="e">
        <v>#NAME?</v>
      </c>
      <c r="N306" s="1" t="e">
        <v>#NAME?</v>
      </c>
      <c r="O306" s="3"/>
      <c r="P306" s="3" t="e">
        <v>#NAME?</v>
      </c>
      <c r="Q306" s="3"/>
      <c r="R306" s="3"/>
    </row>
    <row r="307" customFormat="false" ht="15.75" hidden="false" customHeight="false" outlineLevel="0" collapsed="false">
      <c r="L307" s="3" t="e">
        <v>#NAME?</v>
      </c>
      <c r="M307" s="3" t="e">
        <v>#NAME?</v>
      </c>
      <c r="N307" s="1" t="e">
        <v>#NAME?</v>
      </c>
      <c r="O307" s="3"/>
      <c r="P307" s="3" t="e">
        <v>#NAME?</v>
      </c>
      <c r="Q307" s="3"/>
      <c r="R307" s="3"/>
    </row>
    <row r="308" customFormat="false" ht="15.75" hidden="false" customHeight="false" outlineLevel="0" collapsed="false">
      <c r="L308" s="3" t="e">
        <v>#NAME?</v>
      </c>
      <c r="M308" s="3" t="e">
        <v>#NAME?</v>
      </c>
      <c r="N308" s="1" t="e">
        <v>#NAME?</v>
      </c>
      <c r="O308" s="3"/>
      <c r="P308" s="3" t="e">
        <v>#NAME?</v>
      </c>
      <c r="Q308" s="3"/>
      <c r="R308" s="3"/>
    </row>
    <row r="309" customFormat="false" ht="15.75" hidden="false" customHeight="false" outlineLevel="0" collapsed="false">
      <c r="L309" s="3" t="e">
        <v>#NAME?</v>
      </c>
      <c r="M309" s="3" t="e">
        <v>#NAME?</v>
      </c>
      <c r="N309" s="1" t="e">
        <v>#NAME?</v>
      </c>
      <c r="O309" s="3"/>
      <c r="P309" s="3" t="e">
        <v>#NAME?</v>
      </c>
      <c r="Q309" s="3"/>
      <c r="R309" s="3"/>
    </row>
    <row r="310" customFormat="false" ht="15.75" hidden="false" customHeight="false" outlineLevel="0" collapsed="false">
      <c r="L310" s="3" t="e">
        <v>#NAME?</v>
      </c>
      <c r="M310" s="3" t="e">
        <v>#NAME?</v>
      </c>
      <c r="N310" s="1" t="e">
        <v>#NAME?</v>
      </c>
      <c r="O310" s="3"/>
      <c r="P310" s="3" t="e">
        <v>#NAME?</v>
      </c>
      <c r="Q310" s="3"/>
      <c r="R310" s="3"/>
    </row>
    <row r="311" customFormat="false" ht="15.75" hidden="false" customHeight="false" outlineLevel="0" collapsed="false">
      <c r="L311" s="3" t="e">
        <v>#NAME?</v>
      </c>
      <c r="M311" s="3" t="e">
        <v>#NAME?</v>
      </c>
      <c r="N311" s="1" t="e">
        <v>#NAME?</v>
      </c>
      <c r="O311" s="3"/>
      <c r="P311" s="3" t="e">
        <v>#NAME?</v>
      </c>
      <c r="Q311" s="3"/>
      <c r="R311" s="3"/>
    </row>
    <row r="312" customFormat="false" ht="15.75" hidden="false" customHeight="false" outlineLevel="0" collapsed="false">
      <c r="L312" s="3" t="e">
        <v>#NAME?</v>
      </c>
      <c r="M312" s="3" t="e">
        <v>#NAME?</v>
      </c>
      <c r="N312" s="1" t="e">
        <v>#NAME?</v>
      </c>
      <c r="O312" s="3"/>
      <c r="P312" s="3" t="e">
        <v>#NAME?</v>
      </c>
      <c r="Q312" s="3"/>
      <c r="R312" s="3"/>
    </row>
    <row r="313" customFormat="false" ht="15.75" hidden="false" customHeight="false" outlineLevel="0" collapsed="false">
      <c r="L313" s="3" t="e">
        <v>#NAME?</v>
      </c>
      <c r="M313" s="3" t="e">
        <v>#NAME?</v>
      </c>
      <c r="N313" s="1" t="e">
        <v>#NAME?</v>
      </c>
      <c r="O313" s="3"/>
      <c r="P313" s="3" t="e">
        <v>#NAME?</v>
      </c>
      <c r="Q313" s="3"/>
      <c r="R313" s="3"/>
    </row>
    <row r="314" customFormat="false" ht="15.75" hidden="false" customHeight="false" outlineLevel="0" collapsed="false">
      <c r="L314" s="3" t="e">
        <v>#NAME?</v>
      </c>
      <c r="M314" s="3" t="e">
        <v>#NAME?</v>
      </c>
      <c r="N314" s="1" t="e">
        <v>#NAME?</v>
      </c>
      <c r="O314" s="3"/>
      <c r="P314" s="3" t="e">
        <v>#NAME?</v>
      </c>
      <c r="Q314" s="3"/>
      <c r="R314" s="3"/>
    </row>
    <row r="315" customFormat="false" ht="15.75" hidden="false" customHeight="false" outlineLevel="0" collapsed="false">
      <c r="L315" s="3" t="e">
        <v>#NAME?</v>
      </c>
      <c r="M315" s="3" t="e">
        <v>#NAME?</v>
      </c>
      <c r="N315" s="1" t="e">
        <v>#NAME?</v>
      </c>
      <c r="O315" s="3"/>
      <c r="P315" s="3" t="e">
        <v>#NAME?</v>
      </c>
      <c r="Q315" s="3"/>
      <c r="R315" s="3"/>
    </row>
    <row r="316" customFormat="false" ht="15.75" hidden="false" customHeight="false" outlineLevel="0" collapsed="false">
      <c r="L316" s="3" t="e">
        <v>#NAME?</v>
      </c>
      <c r="M316" s="3" t="e">
        <v>#NAME?</v>
      </c>
      <c r="N316" s="1" t="e">
        <v>#NAME?</v>
      </c>
      <c r="O316" s="3"/>
      <c r="P316" s="3" t="e">
        <v>#NAME?</v>
      </c>
      <c r="Q316" s="3"/>
      <c r="R316" s="3"/>
    </row>
    <row r="317" customFormat="false" ht="15.75" hidden="false" customHeight="false" outlineLevel="0" collapsed="false">
      <c r="L317" s="3" t="e">
        <v>#NAME?</v>
      </c>
      <c r="M317" s="3" t="e">
        <v>#NAME?</v>
      </c>
      <c r="N317" s="1" t="e">
        <v>#NAME?</v>
      </c>
      <c r="O317" s="3"/>
      <c r="P317" s="3" t="e">
        <v>#NAME?</v>
      </c>
      <c r="Q317" s="3"/>
      <c r="R317" s="3"/>
    </row>
    <row r="318" customFormat="false" ht="15.75" hidden="false" customHeight="false" outlineLevel="0" collapsed="false">
      <c r="L318" s="3" t="e">
        <v>#NAME?</v>
      </c>
      <c r="M318" s="3" t="e">
        <v>#NAME?</v>
      </c>
      <c r="N318" s="1" t="e">
        <v>#NAME?</v>
      </c>
      <c r="O318" s="3"/>
      <c r="P318" s="3" t="e">
        <v>#NAME?</v>
      </c>
      <c r="Q318" s="3"/>
      <c r="R318" s="3"/>
    </row>
    <row r="319" customFormat="false" ht="15.75" hidden="false" customHeight="false" outlineLevel="0" collapsed="false">
      <c r="L319" s="3" t="e">
        <v>#NAME?</v>
      </c>
      <c r="M319" s="3" t="e">
        <v>#NAME?</v>
      </c>
      <c r="N319" s="1" t="e">
        <v>#NAME?</v>
      </c>
      <c r="O319" s="3"/>
      <c r="P319" s="3" t="e">
        <v>#NAME?</v>
      </c>
      <c r="Q319" s="3"/>
      <c r="R319" s="3"/>
    </row>
    <row r="320" customFormat="false" ht="15.75" hidden="false" customHeight="false" outlineLevel="0" collapsed="false">
      <c r="L320" s="3" t="e">
        <v>#NAME?</v>
      </c>
      <c r="M320" s="3" t="e">
        <v>#NAME?</v>
      </c>
      <c r="N320" s="1" t="e">
        <v>#NAME?</v>
      </c>
      <c r="O320" s="3"/>
      <c r="P320" s="3" t="e">
        <v>#NAME?</v>
      </c>
      <c r="Q320" s="3"/>
      <c r="R320" s="3"/>
    </row>
    <row r="321" customFormat="false" ht="15.75" hidden="false" customHeight="false" outlineLevel="0" collapsed="false">
      <c r="L321" s="3" t="e">
        <v>#NAME?</v>
      </c>
      <c r="M321" s="3" t="e">
        <v>#NAME?</v>
      </c>
      <c r="N321" s="1" t="e">
        <v>#NAME?</v>
      </c>
      <c r="O321" s="3"/>
      <c r="P321" s="3" t="e">
        <v>#NAME?</v>
      </c>
      <c r="Q321" s="3"/>
      <c r="R321" s="3"/>
    </row>
    <row r="322" customFormat="false" ht="15.75" hidden="false" customHeight="false" outlineLevel="0" collapsed="false">
      <c r="L322" s="3" t="e">
        <v>#NAME?</v>
      </c>
      <c r="M322" s="3" t="e">
        <v>#NAME?</v>
      </c>
      <c r="N322" s="1" t="e">
        <v>#NAME?</v>
      </c>
      <c r="O322" s="3"/>
      <c r="P322" s="3" t="e">
        <v>#NAME?</v>
      </c>
      <c r="Q322" s="3"/>
      <c r="R322" s="3"/>
    </row>
    <row r="323" customFormat="false" ht="15.75" hidden="false" customHeight="false" outlineLevel="0" collapsed="false">
      <c r="L323" s="3" t="e">
        <v>#NAME?</v>
      </c>
      <c r="M323" s="3" t="e">
        <v>#NAME?</v>
      </c>
      <c r="N323" s="1" t="e">
        <v>#NAME?</v>
      </c>
      <c r="O323" s="3"/>
      <c r="P323" s="3" t="e">
        <v>#NAME?</v>
      </c>
      <c r="Q323" s="3"/>
      <c r="R323" s="3"/>
    </row>
    <row r="324" customFormat="false" ht="15.75" hidden="false" customHeight="false" outlineLevel="0" collapsed="false">
      <c r="L324" s="3" t="e">
        <v>#NAME?</v>
      </c>
      <c r="M324" s="3" t="e">
        <v>#NAME?</v>
      </c>
      <c r="N324" s="1" t="e">
        <v>#NAME?</v>
      </c>
      <c r="O324" s="3"/>
      <c r="P324" s="3" t="e">
        <v>#NAME?</v>
      </c>
      <c r="Q324" s="3"/>
      <c r="R324" s="3"/>
    </row>
    <row r="325" customFormat="false" ht="15.75" hidden="false" customHeight="false" outlineLevel="0" collapsed="false">
      <c r="L325" s="3" t="e">
        <v>#NAME?</v>
      </c>
      <c r="M325" s="3" t="e">
        <v>#NAME?</v>
      </c>
      <c r="N325" s="1" t="e">
        <v>#NAME?</v>
      </c>
      <c r="O325" s="3"/>
      <c r="P325" s="3" t="e">
        <v>#NAME?</v>
      </c>
      <c r="Q325" s="3"/>
      <c r="R325" s="3"/>
    </row>
    <row r="326" customFormat="false" ht="15.75" hidden="false" customHeight="false" outlineLevel="0" collapsed="false">
      <c r="L326" s="3" t="e">
        <v>#NAME?</v>
      </c>
      <c r="M326" s="3" t="e">
        <v>#NAME?</v>
      </c>
      <c r="N326" s="1" t="e">
        <v>#NAME?</v>
      </c>
      <c r="O326" s="3"/>
      <c r="P326" s="3" t="e">
        <v>#NAME?</v>
      </c>
      <c r="Q326" s="3"/>
      <c r="R326" s="3"/>
    </row>
    <row r="327" customFormat="false" ht="15.75" hidden="false" customHeight="false" outlineLevel="0" collapsed="false">
      <c r="L327" s="3" t="e">
        <v>#NAME?</v>
      </c>
      <c r="M327" s="3" t="e">
        <v>#NAME?</v>
      </c>
      <c r="N327" s="1" t="e">
        <v>#NAME?</v>
      </c>
      <c r="O327" s="3"/>
      <c r="P327" s="3" t="e">
        <v>#NAME?</v>
      </c>
      <c r="Q327" s="3"/>
      <c r="R327" s="3"/>
    </row>
    <row r="328" customFormat="false" ht="15.75" hidden="false" customHeight="false" outlineLevel="0" collapsed="false">
      <c r="L328" s="3" t="e">
        <v>#NAME?</v>
      </c>
      <c r="M328" s="3" t="e">
        <v>#NAME?</v>
      </c>
      <c r="N328" s="1" t="e">
        <v>#NAME?</v>
      </c>
      <c r="O328" s="3"/>
      <c r="P328" s="3" t="e">
        <v>#NAME?</v>
      </c>
      <c r="Q328" s="3"/>
      <c r="R328" s="3"/>
    </row>
    <row r="329" customFormat="false" ht="15.75" hidden="false" customHeight="false" outlineLevel="0" collapsed="false">
      <c r="L329" s="3" t="e">
        <v>#NAME?</v>
      </c>
      <c r="M329" s="3" t="e">
        <v>#NAME?</v>
      </c>
      <c r="N329" s="1" t="e">
        <v>#NAME?</v>
      </c>
      <c r="O329" s="3"/>
      <c r="P329" s="3" t="e">
        <v>#NAME?</v>
      </c>
      <c r="Q329" s="3"/>
      <c r="R329" s="3"/>
    </row>
    <row r="330" customFormat="false" ht="15.75" hidden="false" customHeight="false" outlineLevel="0" collapsed="false">
      <c r="L330" s="3" t="e">
        <v>#NAME?</v>
      </c>
      <c r="M330" s="3" t="e">
        <v>#NAME?</v>
      </c>
      <c r="N330" s="1" t="e">
        <v>#NAME?</v>
      </c>
      <c r="O330" s="3"/>
      <c r="P330" s="3" t="e">
        <v>#NAME?</v>
      </c>
      <c r="Q330" s="3"/>
      <c r="R330" s="3"/>
    </row>
    <row r="331" customFormat="false" ht="15.75" hidden="false" customHeight="false" outlineLevel="0" collapsed="false">
      <c r="L331" s="3" t="e">
        <v>#NAME?</v>
      </c>
      <c r="M331" s="3" t="e">
        <v>#NAME?</v>
      </c>
      <c r="N331" s="1" t="e">
        <v>#NAME?</v>
      </c>
      <c r="O331" s="3"/>
      <c r="P331" s="3" t="e">
        <v>#NAME?</v>
      </c>
      <c r="Q331" s="3"/>
      <c r="R331" s="3"/>
    </row>
    <row r="332" customFormat="false" ht="15.75" hidden="false" customHeight="false" outlineLevel="0" collapsed="false">
      <c r="L332" s="3" t="e">
        <v>#NAME?</v>
      </c>
      <c r="M332" s="3" t="e">
        <v>#NAME?</v>
      </c>
      <c r="N332" s="1" t="e">
        <v>#NAME?</v>
      </c>
      <c r="O332" s="3"/>
      <c r="P332" s="3" t="e">
        <v>#NAME?</v>
      </c>
      <c r="Q332" s="3"/>
      <c r="R332" s="3"/>
    </row>
    <row r="333" customFormat="false" ht="15.75" hidden="false" customHeight="false" outlineLevel="0" collapsed="false">
      <c r="L333" s="3" t="e">
        <v>#NAME?</v>
      </c>
      <c r="M333" s="3" t="e">
        <v>#NAME?</v>
      </c>
      <c r="N333" s="1" t="e">
        <v>#NAME?</v>
      </c>
      <c r="O333" s="3"/>
      <c r="P333" s="3" t="e">
        <v>#NAME?</v>
      </c>
      <c r="Q333" s="3"/>
      <c r="R333" s="3"/>
    </row>
    <row r="334" customFormat="false" ht="15.75" hidden="false" customHeight="false" outlineLevel="0" collapsed="false">
      <c r="L334" s="3" t="e">
        <v>#NAME?</v>
      </c>
      <c r="M334" s="3" t="e">
        <v>#NAME?</v>
      </c>
      <c r="N334" s="1" t="e">
        <v>#NAME?</v>
      </c>
      <c r="O334" s="3"/>
      <c r="P334" s="3" t="e">
        <v>#NAME?</v>
      </c>
      <c r="Q334" s="3"/>
      <c r="R334" s="3"/>
    </row>
    <row r="335" customFormat="false" ht="15.75" hidden="false" customHeight="false" outlineLevel="0" collapsed="false">
      <c r="L335" s="3" t="e">
        <v>#NAME?</v>
      </c>
      <c r="M335" s="3" t="e">
        <v>#NAME?</v>
      </c>
      <c r="N335" s="1" t="e">
        <v>#NAME?</v>
      </c>
      <c r="O335" s="3"/>
      <c r="P335" s="3" t="e">
        <v>#NAME?</v>
      </c>
      <c r="Q335" s="3"/>
      <c r="R335" s="3"/>
    </row>
    <row r="336" customFormat="false" ht="15.75" hidden="false" customHeight="false" outlineLevel="0" collapsed="false">
      <c r="L336" s="3" t="e">
        <v>#NAME?</v>
      </c>
      <c r="M336" s="3" t="e">
        <v>#NAME?</v>
      </c>
      <c r="N336" s="1" t="e">
        <v>#NAME?</v>
      </c>
      <c r="O336" s="3"/>
      <c r="P336" s="3" t="e">
        <v>#NAME?</v>
      </c>
      <c r="Q336" s="3"/>
      <c r="R336" s="3"/>
    </row>
    <row r="337" customFormat="false" ht="15.75" hidden="false" customHeight="false" outlineLevel="0" collapsed="false">
      <c r="L337" s="3" t="e">
        <v>#NAME?</v>
      </c>
      <c r="M337" s="3" t="e">
        <v>#NAME?</v>
      </c>
      <c r="N337" s="1" t="e">
        <v>#NAME?</v>
      </c>
      <c r="O337" s="3"/>
      <c r="P337" s="3" t="e">
        <v>#NAME?</v>
      </c>
      <c r="Q337" s="3"/>
      <c r="R337" s="3"/>
    </row>
    <row r="338" customFormat="false" ht="15.75" hidden="false" customHeight="false" outlineLevel="0" collapsed="false">
      <c r="L338" s="3" t="e">
        <v>#NAME?</v>
      </c>
      <c r="M338" s="3" t="e">
        <v>#NAME?</v>
      </c>
      <c r="N338" s="1" t="e">
        <v>#NAME?</v>
      </c>
      <c r="O338" s="3"/>
      <c r="P338" s="3" t="e">
        <v>#NAME?</v>
      </c>
      <c r="Q338" s="3"/>
      <c r="R338" s="3"/>
    </row>
    <row r="339" customFormat="false" ht="15.75" hidden="false" customHeight="false" outlineLevel="0" collapsed="false">
      <c r="L339" s="3" t="e">
        <v>#NAME?</v>
      </c>
      <c r="M339" s="3" t="e">
        <v>#NAME?</v>
      </c>
      <c r="N339" s="1" t="e">
        <v>#NAME?</v>
      </c>
      <c r="O339" s="3"/>
      <c r="P339" s="3" t="e">
        <v>#NAME?</v>
      </c>
      <c r="Q339" s="3"/>
      <c r="R339" s="3"/>
    </row>
    <row r="340" customFormat="false" ht="15.75" hidden="false" customHeight="false" outlineLevel="0" collapsed="false">
      <c r="L340" s="3" t="e">
        <v>#NAME?</v>
      </c>
      <c r="M340" s="3" t="e">
        <v>#NAME?</v>
      </c>
      <c r="N340" s="1" t="e">
        <v>#NAME?</v>
      </c>
      <c r="O340" s="3"/>
      <c r="P340" s="3" t="e">
        <v>#NAME?</v>
      </c>
      <c r="Q340" s="3"/>
      <c r="R340" s="3"/>
    </row>
    <row r="341" customFormat="false" ht="15.75" hidden="false" customHeight="false" outlineLevel="0" collapsed="false">
      <c r="L341" s="3" t="e">
        <v>#NAME?</v>
      </c>
      <c r="M341" s="3" t="e">
        <v>#NAME?</v>
      </c>
      <c r="N341" s="1" t="e">
        <v>#NAME?</v>
      </c>
      <c r="O341" s="3"/>
      <c r="P341" s="3" t="e">
        <v>#NAME?</v>
      </c>
      <c r="Q341" s="3"/>
      <c r="R341" s="3"/>
    </row>
    <row r="342" customFormat="false" ht="15.75" hidden="false" customHeight="false" outlineLevel="0" collapsed="false">
      <c r="L342" s="3" t="e">
        <v>#NAME?</v>
      </c>
      <c r="M342" s="3" t="e">
        <v>#NAME?</v>
      </c>
      <c r="N342" s="1" t="e">
        <v>#NAME?</v>
      </c>
      <c r="O342" s="3"/>
      <c r="P342" s="3" t="e">
        <v>#NAME?</v>
      </c>
      <c r="Q342" s="3"/>
      <c r="R342" s="3"/>
    </row>
    <row r="343" customFormat="false" ht="15.75" hidden="false" customHeight="false" outlineLevel="0" collapsed="false">
      <c r="L343" s="3" t="e">
        <v>#NAME?</v>
      </c>
      <c r="M343" s="3" t="e">
        <v>#NAME?</v>
      </c>
      <c r="N343" s="1" t="e">
        <v>#NAME?</v>
      </c>
      <c r="O343" s="3"/>
      <c r="P343" s="3" t="e">
        <v>#NAME?</v>
      </c>
      <c r="Q343" s="3"/>
      <c r="R343" s="3"/>
    </row>
    <row r="344" customFormat="false" ht="15.75" hidden="false" customHeight="false" outlineLevel="0" collapsed="false">
      <c r="L344" s="3" t="e">
        <v>#NAME?</v>
      </c>
      <c r="M344" s="3" t="e">
        <v>#NAME?</v>
      </c>
      <c r="N344" s="1" t="e">
        <v>#NAME?</v>
      </c>
      <c r="O344" s="3"/>
      <c r="P344" s="3" t="e">
        <v>#NAME?</v>
      </c>
      <c r="Q344" s="3"/>
      <c r="R344" s="3"/>
    </row>
    <row r="345" customFormat="false" ht="15.75" hidden="false" customHeight="false" outlineLevel="0" collapsed="false">
      <c r="L345" s="3" t="e">
        <v>#NAME?</v>
      </c>
      <c r="M345" s="3" t="e">
        <v>#NAME?</v>
      </c>
      <c r="N345" s="1" t="e">
        <v>#NAME?</v>
      </c>
      <c r="O345" s="3"/>
      <c r="P345" s="3" t="e">
        <v>#NAME?</v>
      </c>
      <c r="Q345" s="3"/>
      <c r="R345" s="3"/>
    </row>
    <row r="346" customFormat="false" ht="15.75" hidden="false" customHeight="false" outlineLevel="0" collapsed="false">
      <c r="L346" s="3" t="e">
        <v>#NAME?</v>
      </c>
      <c r="M346" s="3" t="e">
        <v>#NAME?</v>
      </c>
      <c r="N346" s="1" t="e">
        <v>#NAME?</v>
      </c>
      <c r="O346" s="3"/>
      <c r="P346" s="3" t="e">
        <v>#NAME?</v>
      </c>
      <c r="Q346" s="3"/>
      <c r="R346" s="3"/>
    </row>
    <row r="347" customFormat="false" ht="15.75" hidden="false" customHeight="false" outlineLevel="0" collapsed="false">
      <c r="L347" s="3" t="e">
        <v>#NAME?</v>
      </c>
      <c r="M347" s="3" t="e">
        <v>#NAME?</v>
      </c>
      <c r="N347" s="1" t="e">
        <v>#NAME?</v>
      </c>
      <c r="O347" s="3"/>
      <c r="P347" s="3" t="e">
        <v>#NAME?</v>
      </c>
      <c r="Q347" s="3"/>
      <c r="R347" s="3"/>
    </row>
    <row r="348" customFormat="false" ht="15.75" hidden="false" customHeight="false" outlineLevel="0" collapsed="false">
      <c r="L348" s="3" t="e">
        <v>#NAME?</v>
      </c>
      <c r="M348" s="3" t="e">
        <v>#NAME?</v>
      </c>
      <c r="N348" s="1" t="e">
        <v>#NAME?</v>
      </c>
      <c r="O348" s="3"/>
      <c r="P348" s="3" t="e">
        <v>#NAME?</v>
      </c>
      <c r="Q348" s="3"/>
      <c r="R348" s="3"/>
    </row>
    <row r="349" customFormat="false" ht="15.75" hidden="false" customHeight="false" outlineLevel="0" collapsed="false">
      <c r="L349" s="3" t="e">
        <v>#NAME?</v>
      </c>
      <c r="M349" s="3" t="e">
        <v>#NAME?</v>
      </c>
      <c r="N349" s="1" t="e">
        <v>#NAME?</v>
      </c>
      <c r="O349" s="3"/>
      <c r="P349" s="3" t="e">
        <v>#NAME?</v>
      </c>
      <c r="Q349" s="3"/>
      <c r="R349" s="3"/>
    </row>
    <row r="350" customFormat="false" ht="15.75" hidden="false" customHeight="false" outlineLevel="0" collapsed="false">
      <c r="L350" s="3" t="e">
        <v>#NAME?</v>
      </c>
      <c r="M350" s="3" t="e">
        <v>#NAME?</v>
      </c>
      <c r="N350" s="1" t="e">
        <v>#NAME?</v>
      </c>
      <c r="O350" s="3"/>
      <c r="P350" s="3" t="e">
        <v>#NAME?</v>
      </c>
      <c r="Q350" s="3"/>
      <c r="R350" s="3"/>
    </row>
    <row r="351" customFormat="false" ht="15.75" hidden="false" customHeight="false" outlineLevel="0" collapsed="false">
      <c r="L351" s="3" t="e">
        <v>#NAME?</v>
      </c>
      <c r="M351" s="3" t="e">
        <v>#NAME?</v>
      </c>
      <c r="N351" s="1" t="e">
        <v>#NAME?</v>
      </c>
      <c r="O351" s="3"/>
      <c r="P351" s="3" t="e">
        <v>#NAME?</v>
      </c>
      <c r="Q351" s="3"/>
      <c r="R351" s="3"/>
    </row>
    <row r="352" customFormat="false" ht="15.75" hidden="false" customHeight="false" outlineLevel="0" collapsed="false">
      <c r="L352" s="3" t="e">
        <v>#NAME?</v>
      </c>
      <c r="M352" s="3" t="e">
        <v>#NAME?</v>
      </c>
      <c r="N352" s="1" t="e">
        <v>#NAME?</v>
      </c>
      <c r="O352" s="3"/>
      <c r="P352" s="3" t="e">
        <v>#NAME?</v>
      </c>
      <c r="Q352" s="3"/>
      <c r="R352" s="3"/>
    </row>
    <row r="353" customFormat="false" ht="15.75" hidden="false" customHeight="false" outlineLevel="0" collapsed="false">
      <c r="L353" s="3" t="e">
        <v>#NAME?</v>
      </c>
      <c r="M353" s="3" t="e">
        <v>#NAME?</v>
      </c>
      <c r="N353" s="1" t="e">
        <v>#NAME?</v>
      </c>
      <c r="O353" s="3"/>
      <c r="P353" s="3" t="e">
        <v>#NAME?</v>
      </c>
      <c r="Q353" s="3"/>
      <c r="R353" s="3"/>
    </row>
    <row r="354" customFormat="false" ht="15.75" hidden="false" customHeight="false" outlineLevel="0" collapsed="false">
      <c r="L354" s="3" t="e">
        <v>#NAME?</v>
      </c>
      <c r="M354" s="3" t="e">
        <v>#NAME?</v>
      </c>
      <c r="N354" s="1" t="e">
        <v>#NAME?</v>
      </c>
      <c r="O354" s="3"/>
      <c r="P354" s="3" t="e">
        <v>#NAME?</v>
      </c>
      <c r="Q354" s="3"/>
      <c r="R354" s="3"/>
    </row>
    <row r="355" customFormat="false" ht="15.75" hidden="false" customHeight="false" outlineLevel="0" collapsed="false">
      <c r="L355" s="3" t="e">
        <v>#NAME?</v>
      </c>
      <c r="M355" s="3" t="e">
        <v>#NAME?</v>
      </c>
      <c r="N355" s="1" t="e">
        <v>#NAME?</v>
      </c>
      <c r="O355" s="3"/>
      <c r="P355" s="3" t="e">
        <v>#NAME?</v>
      </c>
      <c r="Q355" s="3"/>
      <c r="R355" s="3"/>
    </row>
    <row r="356" customFormat="false" ht="15.75" hidden="false" customHeight="false" outlineLevel="0" collapsed="false">
      <c r="L356" s="3" t="e">
        <v>#NAME?</v>
      </c>
      <c r="M356" s="3" t="e">
        <v>#NAME?</v>
      </c>
      <c r="N356" s="1" t="e">
        <v>#NAME?</v>
      </c>
      <c r="O356" s="3"/>
      <c r="P356" s="3" t="e">
        <v>#NAME?</v>
      </c>
      <c r="Q356" s="3"/>
      <c r="R356" s="3"/>
    </row>
    <row r="357" customFormat="false" ht="15.75" hidden="false" customHeight="false" outlineLevel="0" collapsed="false">
      <c r="L357" s="3" t="e">
        <v>#NAME?</v>
      </c>
      <c r="M357" s="3" t="e">
        <v>#NAME?</v>
      </c>
      <c r="N357" s="1" t="e">
        <v>#NAME?</v>
      </c>
      <c r="O357" s="3"/>
      <c r="P357" s="3" t="e">
        <v>#NAME?</v>
      </c>
      <c r="Q357" s="3"/>
      <c r="R357" s="3"/>
    </row>
    <row r="358" customFormat="false" ht="15.75" hidden="false" customHeight="false" outlineLevel="0" collapsed="false">
      <c r="L358" s="3" t="e">
        <v>#NAME?</v>
      </c>
      <c r="M358" s="3" t="e">
        <v>#NAME?</v>
      </c>
      <c r="N358" s="1" t="e">
        <v>#NAME?</v>
      </c>
      <c r="O358" s="3"/>
      <c r="P358" s="3" t="e">
        <v>#NAME?</v>
      </c>
      <c r="Q358" s="3"/>
      <c r="R358" s="3"/>
    </row>
    <row r="359" customFormat="false" ht="15.75" hidden="false" customHeight="false" outlineLevel="0" collapsed="false">
      <c r="L359" s="3" t="e">
        <v>#NAME?</v>
      </c>
      <c r="M359" s="3" t="e">
        <v>#NAME?</v>
      </c>
      <c r="N359" s="1" t="e">
        <v>#NAME?</v>
      </c>
      <c r="O359" s="3"/>
      <c r="P359" s="3" t="e">
        <v>#NAME?</v>
      </c>
      <c r="Q359" s="3"/>
      <c r="R359" s="3"/>
    </row>
    <row r="360" customFormat="false" ht="15.75" hidden="false" customHeight="false" outlineLevel="0" collapsed="false">
      <c r="L360" s="3" t="e">
        <v>#NAME?</v>
      </c>
      <c r="M360" s="3" t="e">
        <v>#NAME?</v>
      </c>
      <c r="N360" s="1" t="e">
        <v>#NAME?</v>
      </c>
      <c r="O360" s="3"/>
      <c r="P360" s="3" t="e">
        <v>#NAME?</v>
      </c>
      <c r="Q360" s="3"/>
      <c r="R360" s="3"/>
    </row>
    <row r="361" customFormat="false" ht="15.75" hidden="false" customHeight="false" outlineLevel="0" collapsed="false">
      <c r="L361" s="3" t="e">
        <v>#NAME?</v>
      </c>
      <c r="M361" s="3" t="e">
        <v>#NAME?</v>
      </c>
      <c r="N361" s="1" t="e">
        <v>#NAME?</v>
      </c>
      <c r="O361" s="3"/>
      <c r="P361" s="3" t="e">
        <v>#NAME?</v>
      </c>
      <c r="Q361" s="3"/>
      <c r="R361" s="3"/>
    </row>
    <row r="362" customFormat="false" ht="15.75" hidden="false" customHeight="false" outlineLevel="0" collapsed="false">
      <c r="L362" s="3" t="e">
        <v>#NAME?</v>
      </c>
      <c r="M362" s="3" t="e">
        <v>#NAME?</v>
      </c>
      <c r="N362" s="1" t="e">
        <v>#NAME?</v>
      </c>
      <c r="O362" s="3"/>
      <c r="P362" s="3" t="e">
        <v>#NAME?</v>
      </c>
      <c r="Q362" s="3"/>
      <c r="R362" s="3"/>
    </row>
    <row r="363" customFormat="false" ht="15.75" hidden="false" customHeight="false" outlineLevel="0" collapsed="false">
      <c r="L363" s="3" t="e">
        <v>#NAME?</v>
      </c>
      <c r="M363" s="3" t="e">
        <v>#NAME?</v>
      </c>
      <c r="N363" s="1" t="e">
        <v>#NAME?</v>
      </c>
      <c r="O363" s="3"/>
      <c r="P363" s="3" t="e">
        <v>#NAME?</v>
      </c>
      <c r="Q363" s="3"/>
      <c r="R363" s="3"/>
    </row>
    <row r="364" customFormat="false" ht="15.75" hidden="false" customHeight="false" outlineLevel="0" collapsed="false">
      <c r="L364" s="3" t="e">
        <v>#NAME?</v>
      </c>
      <c r="M364" s="3" t="e">
        <v>#NAME?</v>
      </c>
      <c r="N364" s="1" t="e">
        <v>#NAME?</v>
      </c>
      <c r="O364" s="3"/>
      <c r="P364" s="3" t="e">
        <v>#NAME?</v>
      </c>
      <c r="Q364" s="3"/>
      <c r="R364" s="3"/>
    </row>
    <row r="365" customFormat="false" ht="15.75" hidden="false" customHeight="false" outlineLevel="0" collapsed="false">
      <c r="L365" s="3" t="e">
        <v>#NAME?</v>
      </c>
      <c r="M365" s="3" t="e">
        <v>#NAME?</v>
      </c>
      <c r="N365" s="1" t="e">
        <v>#NAME?</v>
      </c>
      <c r="O365" s="3"/>
      <c r="P365" s="3" t="e">
        <v>#NAME?</v>
      </c>
      <c r="Q365" s="3"/>
      <c r="R365" s="3"/>
    </row>
    <row r="366" customFormat="false" ht="15.75" hidden="false" customHeight="false" outlineLevel="0" collapsed="false">
      <c r="L366" s="3" t="e">
        <v>#NAME?</v>
      </c>
      <c r="M366" s="3" t="e">
        <v>#NAME?</v>
      </c>
      <c r="N366" s="1" t="e">
        <v>#NAME?</v>
      </c>
      <c r="O366" s="3"/>
      <c r="P366" s="3" t="e">
        <v>#NAME?</v>
      </c>
      <c r="Q366" s="3"/>
      <c r="R366" s="3"/>
    </row>
    <row r="367" customFormat="false" ht="15.75" hidden="false" customHeight="false" outlineLevel="0" collapsed="false">
      <c r="L367" s="3" t="e">
        <v>#NAME?</v>
      </c>
      <c r="M367" s="3" t="e">
        <v>#NAME?</v>
      </c>
      <c r="N367" s="1" t="e">
        <v>#NAME?</v>
      </c>
      <c r="O367" s="3"/>
      <c r="P367" s="3" t="e">
        <v>#NAME?</v>
      </c>
      <c r="Q367" s="3"/>
      <c r="R367" s="3"/>
    </row>
    <row r="368" customFormat="false" ht="15.75" hidden="false" customHeight="false" outlineLevel="0" collapsed="false">
      <c r="L368" s="3" t="e">
        <v>#NAME?</v>
      </c>
      <c r="M368" s="3" t="e">
        <v>#NAME?</v>
      </c>
      <c r="N368" s="1" t="e">
        <v>#NAME?</v>
      </c>
      <c r="O368" s="3"/>
      <c r="P368" s="3" t="e">
        <v>#NAME?</v>
      </c>
      <c r="Q368" s="3"/>
      <c r="R368" s="3"/>
    </row>
    <row r="369" customFormat="false" ht="15.75" hidden="false" customHeight="false" outlineLevel="0" collapsed="false">
      <c r="L369" s="3" t="e">
        <v>#NAME?</v>
      </c>
      <c r="M369" s="3" t="e">
        <v>#NAME?</v>
      </c>
      <c r="N369" s="1" t="e">
        <v>#NAME?</v>
      </c>
      <c r="O369" s="3"/>
      <c r="P369" s="3" t="e">
        <v>#NAME?</v>
      </c>
      <c r="Q369" s="3"/>
      <c r="R369" s="3"/>
    </row>
    <row r="370" customFormat="false" ht="15.75" hidden="false" customHeight="false" outlineLevel="0" collapsed="false">
      <c r="L370" s="3" t="e">
        <v>#NAME?</v>
      </c>
      <c r="M370" s="3" t="e">
        <v>#NAME?</v>
      </c>
      <c r="N370" s="1" t="e">
        <v>#NAME?</v>
      </c>
      <c r="O370" s="3"/>
      <c r="P370" s="3" t="e">
        <v>#NAME?</v>
      </c>
      <c r="Q370" s="3"/>
      <c r="R370" s="3"/>
    </row>
    <row r="371" customFormat="false" ht="15.75" hidden="false" customHeight="false" outlineLevel="0" collapsed="false">
      <c r="L371" s="3" t="e">
        <v>#NAME?</v>
      </c>
      <c r="M371" s="3" t="e">
        <v>#NAME?</v>
      </c>
      <c r="N371" s="1" t="e">
        <v>#NAME?</v>
      </c>
      <c r="O371" s="3"/>
      <c r="P371" s="3" t="e">
        <v>#NAME?</v>
      </c>
      <c r="Q371" s="3"/>
      <c r="R371" s="3"/>
    </row>
    <row r="372" customFormat="false" ht="15.75" hidden="false" customHeight="false" outlineLevel="0" collapsed="false">
      <c r="L372" s="3" t="e">
        <v>#NAME?</v>
      </c>
      <c r="M372" s="3" t="e">
        <v>#NAME?</v>
      </c>
      <c r="N372" s="1" t="e">
        <v>#NAME?</v>
      </c>
      <c r="O372" s="3"/>
      <c r="P372" s="3" t="e">
        <v>#NAME?</v>
      </c>
      <c r="Q372" s="3"/>
      <c r="R372" s="3"/>
    </row>
    <row r="373" customFormat="false" ht="15.75" hidden="false" customHeight="false" outlineLevel="0" collapsed="false">
      <c r="L373" s="3" t="e">
        <v>#NAME?</v>
      </c>
      <c r="M373" s="3" t="e">
        <v>#NAME?</v>
      </c>
      <c r="N373" s="1" t="e">
        <v>#NAME?</v>
      </c>
      <c r="O373" s="3"/>
      <c r="P373" s="3" t="e">
        <v>#NAME?</v>
      </c>
      <c r="Q373" s="3"/>
      <c r="R373" s="3"/>
    </row>
    <row r="374" customFormat="false" ht="15.75" hidden="false" customHeight="false" outlineLevel="0" collapsed="false">
      <c r="L374" s="3" t="e">
        <v>#NAME?</v>
      </c>
      <c r="M374" s="3" t="e">
        <v>#NAME?</v>
      </c>
      <c r="N374" s="1" t="e">
        <v>#NAME?</v>
      </c>
      <c r="O374" s="3"/>
      <c r="P374" s="3" t="e">
        <v>#NAME?</v>
      </c>
      <c r="Q374" s="3"/>
      <c r="R374" s="3"/>
    </row>
    <row r="375" customFormat="false" ht="15.75" hidden="false" customHeight="false" outlineLevel="0" collapsed="false">
      <c r="L375" s="3" t="e">
        <v>#NAME?</v>
      </c>
      <c r="M375" s="3" t="e">
        <v>#NAME?</v>
      </c>
      <c r="N375" s="1" t="e">
        <v>#NAME?</v>
      </c>
      <c r="O375" s="3"/>
      <c r="P375" s="3" t="e">
        <v>#NAME?</v>
      </c>
      <c r="Q375" s="3"/>
      <c r="R375" s="3"/>
    </row>
    <row r="376" customFormat="false" ht="15.75" hidden="false" customHeight="false" outlineLevel="0" collapsed="false">
      <c r="L376" s="3" t="e">
        <v>#NAME?</v>
      </c>
      <c r="M376" s="3" t="e">
        <v>#NAME?</v>
      </c>
      <c r="N376" s="1" t="e">
        <v>#NAME?</v>
      </c>
      <c r="O376" s="3"/>
      <c r="P376" s="3" t="e">
        <v>#NAME?</v>
      </c>
      <c r="Q376" s="3"/>
      <c r="R376" s="3"/>
    </row>
    <row r="377" customFormat="false" ht="15.75" hidden="false" customHeight="false" outlineLevel="0" collapsed="false">
      <c r="L377" s="3" t="e">
        <v>#NAME?</v>
      </c>
      <c r="M377" s="3" t="e">
        <v>#NAME?</v>
      </c>
      <c r="N377" s="1" t="e">
        <v>#NAME?</v>
      </c>
      <c r="O377" s="3"/>
      <c r="P377" s="3" t="e">
        <v>#NAME?</v>
      </c>
      <c r="Q377" s="3"/>
      <c r="R377" s="3"/>
    </row>
    <row r="378" customFormat="false" ht="15.75" hidden="false" customHeight="false" outlineLevel="0" collapsed="false">
      <c r="L378" s="3" t="e">
        <v>#NAME?</v>
      </c>
      <c r="M378" s="3" t="e">
        <v>#NAME?</v>
      </c>
      <c r="N378" s="1" t="e">
        <v>#NAME?</v>
      </c>
      <c r="O378" s="3"/>
      <c r="P378" s="3" t="e">
        <v>#NAME?</v>
      </c>
      <c r="Q378" s="3"/>
      <c r="R378" s="3"/>
    </row>
    <row r="379" customFormat="false" ht="15.75" hidden="false" customHeight="false" outlineLevel="0" collapsed="false">
      <c r="L379" s="3" t="e">
        <v>#NAME?</v>
      </c>
      <c r="M379" s="3" t="e">
        <v>#NAME?</v>
      </c>
      <c r="N379" s="1" t="e">
        <v>#NAME?</v>
      </c>
      <c r="O379" s="3"/>
      <c r="P379" s="3" t="e">
        <v>#NAME?</v>
      </c>
      <c r="Q379" s="3"/>
      <c r="R379" s="3"/>
    </row>
    <row r="380" customFormat="false" ht="15.75" hidden="false" customHeight="false" outlineLevel="0" collapsed="false">
      <c r="L380" s="3" t="e">
        <v>#NAME?</v>
      </c>
      <c r="M380" s="3" t="e">
        <v>#NAME?</v>
      </c>
      <c r="N380" s="1" t="e">
        <v>#NAME?</v>
      </c>
      <c r="O380" s="3"/>
      <c r="P380" s="3" t="e">
        <v>#NAME?</v>
      </c>
      <c r="Q380" s="3"/>
      <c r="R380" s="3"/>
    </row>
    <row r="381" customFormat="false" ht="15.75" hidden="false" customHeight="false" outlineLevel="0" collapsed="false">
      <c r="L381" s="3" t="e">
        <v>#NAME?</v>
      </c>
      <c r="M381" s="3" t="e">
        <v>#NAME?</v>
      </c>
      <c r="N381" s="1" t="e">
        <v>#NAME?</v>
      </c>
      <c r="O381" s="3"/>
      <c r="P381" s="3" t="e">
        <v>#NAME?</v>
      </c>
      <c r="Q381" s="3"/>
      <c r="R381" s="3"/>
    </row>
    <row r="382" customFormat="false" ht="15.75" hidden="false" customHeight="false" outlineLevel="0" collapsed="false">
      <c r="L382" s="3" t="e">
        <v>#NAME?</v>
      </c>
      <c r="M382" s="3" t="e">
        <v>#NAME?</v>
      </c>
      <c r="N382" s="1" t="e">
        <v>#NAME?</v>
      </c>
      <c r="O382" s="3"/>
      <c r="P382" s="3" t="e">
        <v>#NAME?</v>
      </c>
      <c r="Q382" s="3"/>
      <c r="R382" s="3"/>
    </row>
    <row r="383" customFormat="false" ht="15.75" hidden="false" customHeight="false" outlineLevel="0" collapsed="false">
      <c r="L383" s="3" t="e">
        <v>#NAME?</v>
      </c>
      <c r="M383" s="3" t="e">
        <v>#NAME?</v>
      </c>
      <c r="N383" s="1" t="e">
        <v>#NAME?</v>
      </c>
      <c r="O383" s="3"/>
      <c r="P383" s="3" t="e">
        <v>#NAME?</v>
      </c>
      <c r="Q383" s="3"/>
      <c r="R383" s="3"/>
    </row>
    <row r="384" customFormat="false" ht="15.75" hidden="false" customHeight="false" outlineLevel="0" collapsed="false">
      <c r="L384" s="3" t="e">
        <v>#NAME?</v>
      </c>
      <c r="M384" s="3" t="e">
        <v>#NAME?</v>
      </c>
      <c r="N384" s="1" t="e">
        <v>#NAME?</v>
      </c>
      <c r="O384" s="3"/>
      <c r="P384" s="3" t="e">
        <v>#NAME?</v>
      </c>
      <c r="Q384" s="3"/>
      <c r="R384" s="3"/>
    </row>
    <row r="385" customFormat="false" ht="15.75" hidden="false" customHeight="false" outlineLevel="0" collapsed="false">
      <c r="L385" s="3" t="e">
        <v>#NAME?</v>
      </c>
      <c r="M385" s="3" t="e">
        <v>#NAME?</v>
      </c>
      <c r="N385" s="1" t="e">
        <v>#NAME?</v>
      </c>
      <c r="O385" s="3"/>
      <c r="P385" s="3" t="e">
        <v>#NAME?</v>
      </c>
      <c r="Q385" s="3"/>
      <c r="R385" s="3"/>
    </row>
    <row r="386" customFormat="false" ht="15.75" hidden="false" customHeight="false" outlineLevel="0" collapsed="false">
      <c r="L386" s="3" t="e">
        <v>#NAME?</v>
      </c>
      <c r="M386" s="3" t="e">
        <v>#NAME?</v>
      </c>
      <c r="N386" s="1" t="e">
        <v>#NAME?</v>
      </c>
      <c r="O386" s="3"/>
      <c r="P386" s="3" t="e">
        <v>#NAME?</v>
      </c>
      <c r="Q386" s="3"/>
      <c r="R386" s="3"/>
    </row>
    <row r="387" customFormat="false" ht="15.75" hidden="false" customHeight="false" outlineLevel="0" collapsed="false">
      <c r="L387" s="3" t="e">
        <v>#NAME?</v>
      </c>
      <c r="M387" s="3" t="e">
        <v>#NAME?</v>
      </c>
      <c r="N387" s="1" t="e">
        <v>#NAME?</v>
      </c>
      <c r="O387" s="3"/>
      <c r="P387" s="3" t="e">
        <v>#NAME?</v>
      </c>
      <c r="Q387" s="3"/>
      <c r="R387" s="3"/>
    </row>
    <row r="388" customFormat="false" ht="15.75" hidden="false" customHeight="false" outlineLevel="0" collapsed="false">
      <c r="L388" s="3" t="e">
        <v>#NAME?</v>
      </c>
      <c r="M388" s="3" t="e">
        <v>#NAME?</v>
      </c>
      <c r="N388" s="1" t="e">
        <v>#NAME?</v>
      </c>
      <c r="O388" s="3"/>
      <c r="P388" s="3" t="e">
        <v>#NAME?</v>
      </c>
      <c r="Q388" s="3"/>
      <c r="R388" s="3"/>
    </row>
    <row r="389" customFormat="false" ht="15.75" hidden="false" customHeight="false" outlineLevel="0" collapsed="false">
      <c r="L389" s="3" t="e">
        <v>#NAME?</v>
      </c>
      <c r="M389" s="3" t="e">
        <v>#NAME?</v>
      </c>
      <c r="N389" s="1" t="e">
        <v>#NAME?</v>
      </c>
      <c r="O389" s="3"/>
      <c r="P389" s="3" t="e">
        <v>#NAME?</v>
      </c>
      <c r="Q389" s="3"/>
      <c r="R389" s="3"/>
    </row>
    <row r="390" customFormat="false" ht="15.75" hidden="false" customHeight="false" outlineLevel="0" collapsed="false">
      <c r="L390" s="3" t="e">
        <v>#NAME?</v>
      </c>
      <c r="M390" s="3" t="e">
        <v>#NAME?</v>
      </c>
      <c r="N390" s="1" t="e">
        <v>#NAME?</v>
      </c>
      <c r="O390" s="3"/>
      <c r="P390" s="3" t="e">
        <v>#NAME?</v>
      </c>
      <c r="Q390" s="3"/>
      <c r="R390" s="3"/>
    </row>
    <row r="391" customFormat="false" ht="15.75" hidden="false" customHeight="false" outlineLevel="0" collapsed="false">
      <c r="L391" s="3" t="e">
        <v>#NAME?</v>
      </c>
      <c r="M391" s="3" t="e">
        <v>#NAME?</v>
      </c>
      <c r="N391" s="1" t="e">
        <v>#NAME?</v>
      </c>
      <c r="O391" s="3"/>
      <c r="P391" s="3" t="e">
        <v>#NAME?</v>
      </c>
      <c r="Q391" s="3"/>
      <c r="R391" s="3"/>
    </row>
    <row r="392" customFormat="false" ht="15.75" hidden="false" customHeight="false" outlineLevel="0" collapsed="false">
      <c r="L392" s="3" t="e">
        <v>#NAME?</v>
      </c>
      <c r="M392" s="3" t="e">
        <v>#NAME?</v>
      </c>
      <c r="N392" s="1" t="e">
        <v>#NAME?</v>
      </c>
      <c r="O392" s="3"/>
      <c r="P392" s="3" t="e">
        <v>#NAME?</v>
      </c>
      <c r="Q392" s="3"/>
      <c r="R392" s="3"/>
    </row>
    <row r="393" customFormat="false" ht="15.75" hidden="false" customHeight="false" outlineLevel="0" collapsed="false">
      <c r="L393" s="3" t="e">
        <v>#NAME?</v>
      </c>
      <c r="M393" s="3" t="e">
        <v>#NAME?</v>
      </c>
      <c r="N393" s="1" t="e">
        <v>#NAME?</v>
      </c>
      <c r="O393" s="3"/>
      <c r="P393" s="3" t="e">
        <v>#NAME?</v>
      </c>
      <c r="Q393" s="3"/>
      <c r="R393" s="3"/>
    </row>
    <row r="394" customFormat="false" ht="15.75" hidden="false" customHeight="false" outlineLevel="0" collapsed="false">
      <c r="L394" s="3" t="e">
        <v>#NAME?</v>
      </c>
      <c r="M394" s="3" t="e">
        <v>#NAME?</v>
      </c>
      <c r="N394" s="1" t="e">
        <v>#NAME?</v>
      </c>
      <c r="O394" s="3"/>
      <c r="P394" s="3" t="e">
        <v>#NAME?</v>
      </c>
      <c r="Q394" s="3"/>
      <c r="R394" s="3"/>
    </row>
    <row r="395" customFormat="false" ht="15.75" hidden="false" customHeight="false" outlineLevel="0" collapsed="false">
      <c r="L395" s="3" t="e">
        <v>#NAME?</v>
      </c>
      <c r="M395" s="3" t="e">
        <v>#NAME?</v>
      </c>
      <c r="N395" s="1" t="e">
        <v>#NAME?</v>
      </c>
      <c r="O395" s="3"/>
      <c r="P395" s="3" t="e">
        <v>#NAME?</v>
      </c>
      <c r="Q395" s="3"/>
      <c r="R395" s="3"/>
    </row>
    <row r="396" customFormat="false" ht="15.75" hidden="false" customHeight="false" outlineLevel="0" collapsed="false">
      <c r="L396" s="3" t="e">
        <v>#NAME?</v>
      </c>
      <c r="M396" s="3" t="e">
        <v>#NAME?</v>
      </c>
      <c r="N396" s="1" t="e">
        <v>#NAME?</v>
      </c>
      <c r="O396" s="3"/>
      <c r="P396" s="3" t="e">
        <v>#NAME?</v>
      </c>
      <c r="Q396" s="3"/>
      <c r="R396" s="3"/>
    </row>
    <row r="397" customFormat="false" ht="15.75" hidden="false" customHeight="false" outlineLevel="0" collapsed="false">
      <c r="L397" s="3" t="e">
        <v>#NAME?</v>
      </c>
      <c r="M397" s="3" t="e">
        <v>#NAME?</v>
      </c>
      <c r="N397" s="1" t="e">
        <v>#NAME?</v>
      </c>
      <c r="O397" s="3"/>
      <c r="P397" s="3" t="e">
        <v>#NAME?</v>
      </c>
      <c r="Q397" s="3"/>
      <c r="R397" s="3"/>
    </row>
    <row r="398" customFormat="false" ht="15.75" hidden="false" customHeight="false" outlineLevel="0" collapsed="false">
      <c r="L398" s="3" t="e">
        <v>#NAME?</v>
      </c>
      <c r="M398" s="3" t="e">
        <v>#NAME?</v>
      </c>
      <c r="N398" s="1" t="e">
        <v>#NAME?</v>
      </c>
      <c r="O398" s="3"/>
      <c r="P398" s="3" t="e">
        <v>#NAME?</v>
      </c>
      <c r="Q398" s="3"/>
      <c r="R398" s="3"/>
    </row>
    <row r="399" customFormat="false" ht="15.75" hidden="false" customHeight="false" outlineLevel="0" collapsed="false">
      <c r="L399" s="3" t="e">
        <v>#NAME?</v>
      </c>
      <c r="M399" s="3" t="e">
        <v>#NAME?</v>
      </c>
      <c r="N399" s="1" t="e">
        <v>#NAME?</v>
      </c>
      <c r="O399" s="3"/>
      <c r="P399" s="3" t="e">
        <v>#NAME?</v>
      </c>
      <c r="Q399" s="3"/>
      <c r="R399" s="3"/>
    </row>
    <row r="400" customFormat="false" ht="15.75" hidden="false" customHeight="false" outlineLevel="0" collapsed="false">
      <c r="L400" s="3" t="e">
        <v>#NAME?</v>
      </c>
      <c r="M400" s="3" t="e">
        <v>#NAME?</v>
      </c>
      <c r="N400" s="1" t="e">
        <v>#NAME?</v>
      </c>
      <c r="O400" s="3"/>
      <c r="P400" s="3" t="e">
        <v>#NAME?</v>
      </c>
      <c r="Q400" s="3"/>
      <c r="R400" s="3"/>
    </row>
    <row r="401" customFormat="false" ht="15.75" hidden="false" customHeight="false" outlineLevel="0" collapsed="false">
      <c r="L401" s="3" t="e">
        <v>#NAME?</v>
      </c>
      <c r="M401" s="3" t="e">
        <v>#NAME?</v>
      </c>
      <c r="N401" s="1" t="e">
        <v>#NAME?</v>
      </c>
      <c r="O401" s="3"/>
      <c r="P401" s="3" t="e">
        <v>#NAME?</v>
      </c>
      <c r="Q401" s="3"/>
      <c r="R401" s="3"/>
    </row>
    <row r="402" customFormat="false" ht="15.75" hidden="false" customHeight="false" outlineLevel="0" collapsed="false">
      <c r="L402" s="3" t="e">
        <v>#NAME?</v>
      </c>
      <c r="M402" s="3" t="e">
        <v>#NAME?</v>
      </c>
      <c r="N402" s="1" t="e">
        <v>#NAME?</v>
      </c>
      <c r="O402" s="3"/>
      <c r="P402" s="3" t="e">
        <v>#NAME?</v>
      </c>
      <c r="Q402" s="3"/>
      <c r="R402" s="3"/>
    </row>
    <row r="403" customFormat="false" ht="15.75" hidden="false" customHeight="false" outlineLevel="0" collapsed="false">
      <c r="L403" s="3" t="e">
        <v>#NAME?</v>
      </c>
      <c r="M403" s="3" t="e">
        <v>#NAME?</v>
      </c>
      <c r="N403" s="1" t="e">
        <v>#NAME?</v>
      </c>
      <c r="O403" s="3"/>
      <c r="P403" s="3" t="e">
        <v>#NAME?</v>
      </c>
      <c r="Q403" s="3"/>
      <c r="R403" s="3"/>
    </row>
    <row r="404" customFormat="false" ht="15.75" hidden="false" customHeight="false" outlineLevel="0" collapsed="false">
      <c r="L404" s="3" t="e">
        <v>#NAME?</v>
      </c>
      <c r="M404" s="3" t="e">
        <v>#NAME?</v>
      </c>
      <c r="N404" s="1" t="e">
        <v>#NAME?</v>
      </c>
      <c r="O404" s="3"/>
      <c r="P404" s="3" t="e">
        <v>#NAME?</v>
      </c>
      <c r="Q404" s="3"/>
      <c r="R404" s="3"/>
    </row>
    <row r="405" customFormat="false" ht="15.75" hidden="false" customHeight="false" outlineLevel="0" collapsed="false">
      <c r="L405" s="3" t="e">
        <v>#NAME?</v>
      </c>
      <c r="M405" s="3" t="e">
        <v>#NAME?</v>
      </c>
      <c r="N405" s="1" t="e">
        <v>#NAME?</v>
      </c>
      <c r="O405" s="3"/>
      <c r="P405" s="3" t="e">
        <v>#NAME?</v>
      </c>
      <c r="Q405" s="3"/>
      <c r="R405" s="3"/>
    </row>
    <row r="406" customFormat="false" ht="15.75" hidden="false" customHeight="false" outlineLevel="0" collapsed="false">
      <c r="L406" s="3" t="e">
        <v>#NAME?</v>
      </c>
      <c r="M406" s="3" t="e">
        <v>#NAME?</v>
      </c>
      <c r="N406" s="1" t="e">
        <v>#NAME?</v>
      </c>
      <c r="O406" s="3"/>
      <c r="P406" s="3" t="e">
        <v>#NAME?</v>
      </c>
      <c r="Q406" s="3"/>
      <c r="R406" s="3"/>
    </row>
    <row r="407" customFormat="false" ht="15.75" hidden="false" customHeight="false" outlineLevel="0" collapsed="false">
      <c r="L407" s="3" t="e">
        <v>#NAME?</v>
      </c>
      <c r="M407" s="3" t="e">
        <v>#NAME?</v>
      </c>
      <c r="N407" s="1" t="e">
        <v>#NAME?</v>
      </c>
      <c r="O407" s="3"/>
      <c r="P407" s="3" t="e">
        <v>#NAME?</v>
      </c>
      <c r="Q407" s="3"/>
      <c r="R407" s="3"/>
    </row>
    <row r="408" customFormat="false" ht="15.75" hidden="false" customHeight="false" outlineLevel="0" collapsed="false">
      <c r="L408" s="3" t="e">
        <v>#NAME?</v>
      </c>
      <c r="M408" s="3" t="e">
        <v>#NAME?</v>
      </c>
      <c r="N408" s="1" t="e">
        <v>#NAME?</v>
      </c>
      <c r="O408" s="3"/>
      <c r="P408" s="3" t="e">
        <v>#NAME?</v>
      </c>
      <c r="Q408" s="3"/>
      <c r="R408" s="3"/>
    </row>
    <row r="409" customFormat="false" ht="15.75" hidden="false" customHeight="false" outlineLevel="0" collapsed="false">
      <c r="L409" s="3" t="e">
        <v>#NAME?</v>
      </c>
      <c r="M409" s="3" t="e">
        <v>#NAME?</v>
      </c>
      <c r="N409" s="1" t="e">
        <v>#NAME?</v>
      </c>
      <c r="O409" s="3"/>
      <c r="P409" s="3" t="e">
        <v>#NAME?</v>
      </c>
      <c r="Q409" s="3"/>
      <c r="R409" s="3"/>
    </row>
    <row r="410" customFormat="false" ht="15.75" hidden="false" customHeight="false" outlineLevel="0" collapsed="false">
      <c r="L410" s="3" t="e">
        <v>#NAME?</v>
      </c>
      <c r="M410" s="3" t="e">
        <v>#NAME?</v>
      </c>
      <c r="N410" s="1" t="e">
        <v>#NAME?</v>
      </c>
      <c r="O410" s="3"/>
      <c r="P410" s="3" t="e">
        <v>#NAME?</v>
      </c>
      <c r="Q410" s="3"/>
      <c r="R410" s="3"/>
    </row>
    <row r="411" customFormat="false" ht="15.75" hidden="false" customHeight="false" outlineLevel="0" collapsed="false">
      <c r="L411" s="3" t="e">
        <v>#NAME?</v>
      </c>
      <c r="M411" s="3" t="e">
        <v>#NAME?</v>
      </c>
      <c r="N411" s="1" t="e">
        <v>#NAME?</v>
      </c>
      <c r="O411" s="3"/>
      <c r="P411" s="3" t="e">
        <v>#NAME?</v>
      </c>
      <c r="Q411" s="3"/>
      <c r="R411" s="3"/>
    </row>
    <row r="412" customFormat="false" ht="15.75" hidden="false" customHeight="false" outlineLevel="0" collapsed="false">
      <c r="L412" s="3" t="e">
        <v>#NAME?</v>
      </c>
      <c r="M412" s="3" t="e">
        <v>#NAME?</v>
      </c>
      <c r="N412" s="1" t="e">
        <v>#NAME?</v>
      </c>
      <c r="O412" s="3"/>
      <c r="P412" s="3" t="e">
        <v>#NAME?</v>
      </c>
      <c r="Q412" s="3"/>
      <c r="R412" s="3"/>
    </row>
    <row r="413" customFormat="false" ht="15.75" hidden="false" customHeight="false" outlineLevel="0" collapsed="false">
      <c r="L413" s="3" t="e">
        <v>#NAME?</v>
      </c>
      <c r="M413" s="3" t="e">
        <v>#NAME?</v>
      </c>
      <c r="N413" s="1" t="e">
        <v>#NAME?</v>
      </c>
      <c r="O413" s="3"/>
      <c r="P413" s="3" t="e">
        <v>#NAME?</v>
      </c>
      <c r="Q413" s="3"/>
      <c r="R413" s="3"/>
    </row>
    <row r="414" customFormat="false" ht="15.75" hidden="false" customHeight="false" outlineLevel="0" collapsed="false">
      <c r="L414" s="3" t="e">
        <v>#NAME?</v>
      </c>
      <c r="M414" s="3" t="e">
        <v>#NAME?</v>
      </c>
      <c r="N414" s="1" t="e">
        <v>#NAME?</v>
      </c>
      <c r="O414" s="3"/>
      <c r="P414" s="3" t="e">
        <v>#NAME?</v>
      </c>
      <c r="Q414" s="3"/>
      <c r="R414" s="3"/>
    </row>
    <row r="415" customFormat="false" ht="15.75" hidden="false" customHeight="false" outlineLevel="0" collapsed="false">
      <c r="L415" s="3" t="e">
        <v>#NAME?</v>
      </c>
      <c r="M415" s="3" t="e">
        <v>#NAME?</v>
      </c>
      <c r="N415" s="1" t="e">
        <v>#NAME?</v>
      </c>
      <c r="O415" s="3"/>
      <c r="P415" s="3" t="e">
        <v>#NAME?</v>
      </c>
      <c r="Q415" s="3"/>
      <c r="R415" s="3"/>
    </row>
    <row r="416" customFormat="false" ht="15.75" hidden="false" customHeight="false" outlineLevel="0" collapsed="false">
      <c r="L416" s="3" t="e">
        <v>#NAME?</v>
      </c>
      <c r="M416" s="3" t="e">
        <v>#NAME?</v>
      </c>
      <c r="N416" s="1" t="e">
        <v>#NAME?</v>
      </c>
      <c r="O416" s="3"/>
      <c r="P416" s="3" t="e">
        <v>#NAME?</v>
      </c>
      <c r="Q416" s="3"/>
      <c r="R416" s="3"/>
    </row>
    <row r="417" customFormat="false" ht="15.75" hidden="false" customHeight="false" outlineLevel="0" collapsed="false">
      <c r="L417" s="3" t="e">
        <v>#NAME?</v>
      </c>
      <c r="M417" s="3" t="e">
        <v>#NAME?</v>
      </c>
      <c r="N417" s="1" t="e">
        <v>#NAME?</v>
      </c>
      <c r="O417" s="3"/>
      <c r="P417" s="3" t="e">
        <v>#NAME?</v>
      </c>
      <c r="Q417" s="3"/>
      <c r="R417" s="3"/>
    </row>
    <row r="418" customFormat="false" ht="15.75" hidden="false" customHeight="false" outlineLevel="0" collapsed="false">
      <c r="L418" s="3" t="e">
        <v>#NAME?</v>
      </c>
      <c r="M418" s="3" t="e">
        <v>#NAME?</v>
      </c>
      <c r="N418" s="1" t="e">
        <v>#NAME?</v>
      </c>
      <c r="O418" s="3"/>
      <c r="P418" s="3" t="e">
        <v>#NAME?</v>
      </c>
      <c r="Q418" s="3"/>
      <c r="R418" s="3"/>
    </row>
    <row r="419" customFormat="false" ht="15.75" hidden="false" customHeight="false" outlineLevel="0" collapsed="false">
      <c r="L419" s="3" t="e">
        <v>#NAME?</v>
      </c>
      <c r="M419" s="3" t="e">
        <v>#NAME?</v>
      </c>
      <c r="N419" s="1" t="e">
        <v>#NAME?</v>
      </c>
      <c r="O419" s="3"/>
      <c r="P419" s="3" t="e">
        <v>#NAME?</v>
      </c>
      <c r="Q419" s="3"/>
      <c r="R419" s="3"/>
    </row>
    <row r="420" customFormat="false" ht="15.75" hidden="false" customHeight="false" outlineLevel="0" collapsed="false">
      <c r="L420" s="3" t="e">
        <v>#NAME?</v>
      </c>
      <c r="M420" s="3" t="e">
        <v>#NAME?</v>
      </c>
      <c r="N420" s="1" t="e">
        <v>#NAME?</v>
      </c>
      <c r="O420" s="3"/>
      <c r="P420" s="3" t="e">
        <v>#NAME?</v>
      </c>
      <c r="Q420" s="3"/>
      <c r="R420" s="3"/>
    </row>
    <row r="421" customFormat="false" ht="15.75" hidden="false" customHeight="false" outlineLevel="0" collapsed="false">
      <c r="L421" s="3" t="e">
        <v>#NAME?</v>
      </c>
      <c r="M421" s="3" t="e">
        <v>#NAME?</v>
      </c>
      <c r="N421" s="1" t="e">
        <v>#NAME?</v>
      </c>
      <c r="O421" s="3"/>
      <c r="P421" s="3" t="e">
        <v>#NAME?</v>
      </c>
      <c r="Q421" s="3"/>
      <c r="R421" s="3"/>
    </row>
    <row r="422" customFormat="false" ht="15.75" hidden="false" customHeight="false" outlineLevel="0" collapsed="false">
      <c r="L422" s="3" t="e">
        <v>#NAME?</v>
      </c>
      <c r="M422" s="3" t="e">
        <v>#NAME?</v>
      </c>
      <c r="N422" s="1" t="e">
        <v>#NAME?</v>
      </c>
      <c r="O422" s="3"/>
      <c r="P422" s="3" t="e">
        <v>#NAME?</v>
      </c>
      <c r="Q422" s="3"/>
      <c r="R422" s="3"/>
    </row>
    <row r="423" customFormat="false" ht="15.75" hidden="false" customHeight="false" outlineLevel="0" collapsed="false">
      <c r="L423" s="3" t="e">
        <v>#NAME?</v>
      </c>
      <c r="M423" s="3" t="e">
        <v>#NAME?</v>
      </c>
      <c r="N423" s="1" t="e">
        <v>#NAME?</v>
      </c>
      <c r="O423" s="3"/>
      <c r="P423" s="3" t="e">
        <v>#NAME?</v>
      </c>
      <c r="Q423" s="3"/>
      <c r="R423" s="3"/>
    </row>
    <row r="424" customFormat="false" ht="15.75" hidden="false" customHeight="false" outlineLevel="0" collapsed="false">
      <c r="L424" s="3" t="e">
        <v>#NAME?</v>
      </c>
      <c r="M424" s="3" t="e">
        <v>#NAME?</v>
      </c>
      <c r="N424" s="1" t="e">
        <v>#NAME?</v>
      </c>
      <c r="O424" s="3"/>
      <c r="P424" s="3" t="e">
        <v>#NAME?</v>
      </c>
      <c r="Q424" s="3"/>
      <c r="R424" s="3"/>
    </row>
    <row r="425" customFormat="false" ht="15.75" hidden="false" customHeight="false" outlineLevel="0" collapsed="false">
      <c r="L425" s="3" t="e">
        <v>#NAME?</v>
      </c>
      <c r="M425" s="3" t="e">
        <v>#NAME?</v>
      </c>
      <c r="N425" s="1" t="e">
        <v>#NAME?</v>
      </c>
      <c r="O425" s="3"/>
      <c r="P425" s="3" t="e">
        <v>#NAME?</v>
      </c>
      <c r="Q425" s="3"/>
      <c r="R425" s="3"/>
    </row>
    <row r="426" customFormat="false" ht="15.75" hidden="false" customHeight="false" outlineLevel="0" collapsed="false">
      <c r="L426" s="3" t="e">
        <v>#NAME?</v>
      </c>
      <c r="M426" s="3" t="e">
        <v>#NAME?</v>
      </c>
      <c r="N426" s="1" t="e">
        <v>#NAME?</v>
      </c>
      <c r="O426" s="3"/>
      <c r="P426" s="3" t="e">
        <v>#NAME?</v>
      </c>
      <c r="Q426" s="3"/>
      <c r="R426" s="3"/>
    </row>
    <row r="427" customFormat="false" ht="15.75" hidden="false" customHeight="false" outlineLevel="0" collapsed="false">
      <c r="L427" s="3" t="e">
        <v>#NAME?</v>
      </c>
      <c r="M427" s="3" t="e">
        <v>#NAME?</v>
      </c>
      <c r="N427" s="1" t="e">
        <v>#NAME?</v>
      </c>
      <c r="O427" s="3"/>
      <c r="P427" s="3" t="e">
        <v>#NAME?</v>
      </c>
      <c r="Q427" s="3"/>
      <c r="R427" s="3"/>
    </row>
    <row r="428" customFormat="false" ht="15.75" hidden="false" customHeight="false" outlineLevel="0" collapsed="false">
      <c r="L428" s="3" t="e">
        <v>#NAME?</v>
      </c>
      <c r="M428" s="3" t="e">
        <v>#NAME?</v>
      </c>
      <c r="N428" s="1" t="e">
        <v>#NAME?</v>
      </c>
      <c r="O428" s="3"/>
      <c r="P428" s="3" t="e">
        <v>#NAME?</v>
      </c>
      <c r="Q428" s="3"/>
      <c r="R428" s="3"/>
    </row>
    <row r="429" customFormat="false" ht="15.75" hidden="false" customHeight="false" outlineLevel="0" collapsed="false">
      <c r="L429" s="3" t="e">
        <v>#NAME?</v>
      </c>
      <c r="M429" s="3" t="e">
        <v>#NAME?</v>
      </c>
      <c r="N429" s="1" t="e">
        <v>#NAME?</v>
      </c>
      <c r="O429" s="3"/>
      <c r="P429" s="3" t="e">
        <v>#NAME?</v>
      </c>
      <c r="Q429" s="3"/>
      <c r="R429" s="3"/>
    </row>
    <row r="430" customFormat="false" ht="15.75" hidden="false" customHeight="false" outlineLevel="0" collapsed="false">
      <c r="L430" s="3" t="e">
        <v>#NAME?</v>
      </c>
      <c r="M430" s="3" t="e">
        <v>#NAME?</v>
      </c>
      <c r="N430" s="1" t="e">
        <v>#NAME?</v>
      </c>
      <c r="O430" s="3"/>
      <c r="P430" s="3" t="e">
        <v>#NAME?</v>
      </c>
      <c r="Q430" s="3"/>
      <c r="R430" s="3"/>
    </row>
    <row r="431" customFormat="false" ht="15.75" hidden="false" customHeight="false" outlineLevel="0" collapsed="false">
      <c r="L431" s="3" t="e">
        <v>#NAME?</v>
      </c>
      <c r="M431" s="3" t="e">
        <v>#NAME?</v>
      </c>
      <c r="N431" s="1" t="e">
        <v>#NAME?</v>
      </c>
      <c r="O431" s="3"/>
      <c r="P431" s="3" t="e">
        <v>#NAME?</v>
      </c>
      <c r="Q431" s="3"/>
      <c r="R431" s="3"/>
    </row>
    <row r="432" customFormat="false" ht="15.75" hidden="false" customHeight="false" outlineLevel="0" collapsed="false">
      <c r="L432" s="3" t="e">
        <v>#NAME?</v>
      </c>
      <c r="M432" s="3" t="e">
        <v>#NAME?</v>
      </c>
      <c r="N432" s="1" t="e">
        <v>#NAME?</v>
      </c>
      <c r="O432" s="3"/>
      <c r="P432" s="3" t="e">
        <v>#NAME?</v>
      </c>
      <c r="Q432" s="3"/>
      <c r="R432" s="3"/>
    </row>
    <row r="433" customFormat="false" ht="15.75" hidden="false" customHeight="false" outlineLevel="0" collapsed="false">
      <c r="L433" s="3" t="e">
        <v>#NAME?</v>
      </c>
      <c r="M433" s="3" t="e">
        <v>#NAME?</v>
      </c>
      <c r="N433" s="1" t="e">
        <v>#NAME?</v>
      </c>
      <c r="O433" s="3"/>
      <c r="P433" s="3" t="e">
        <v>#NAME?</v>
      </c>
      <c r="Q433" s="3"/>
      <c r="R433" s="3"/>
    </row>
    <row r="434" customFormat="false" ht="15.75" hidden="false" customHeight="false" outlineLevel="0" collapsed="false">
      <c r="L434" s="3" t="e">
        <v>#NAME?</v>
      </c>
      <c r="M434" s="3" t="e">
        <v>#NAME?</v>
      </c>
      <c r="N434" s="1" t="e">
        <v>#NAME?</v>
      </c>
      <c r="O434" s="3"/>
      <c r="P434" s="3" t="e">
        <v>#NAME?</v>
      </c>
      <c r="Q434" s="3"/>
      <c r="R434" s="3"/>
    </row>
    <row r="435" customFormat="false" ht="15.75" hidden="false" customHeight="false" outlineLevel="0" collapsed="false">
      <c r="L435" s="3" t="e">
        <v>#NAME?</v>
      </c>
      <c r="M435" s="3" t="e">
        <v>#NAME?</v>
      </c>
      <c r="N435" s="1" t="e">
        <v>#NAME?</v>
      </c>
      <c r="O435" s="3"/>
      <c r="P435" s="3" t="e">
        <v>#NAME?</v>
      </c>
      <c r="Q435" s="3"/>
      <c r="R435" s="3"/>
    </row>
    <row r="436" customFormat="false" ht="15.75" hidden="false" customHeight="false" outlineLevel="0" collapsed="false">
      <c r="L436" s="3" t="e">
        <v>#NAME?</v>
      </c>
      <c r="M436" s="3" t="e">
        <v>#NAME?</v>
      </c>
      <c r="N436" s="1" t="e">
        <v>#NAME?</v>
      </c>
      <c r="O436" s="3"/>
      <c r="P436" s="3" t="e">
        <v>#NAME?</v>
      </c>
      <c r="Q436" s="3"/>
      <c r="R436" s="3"/>
    </row>
    <row r="437" customFormat="false" ht="15.75" hidden="false" customHeight="false" outlineLevel="0" collapsed="false">
      <c r="L437" s="3" t="e">
        <v>#NAME?</v>
      </c>
      <c r="M437" s="3" t="e">
        <v>#NAME?</v>
      </c>
      <c r="N437" s="1" t="e">
        <v>#NAME?</v>
      </c>
      <c r="O437" s="3"/>
      <c r="P437" s="3" t="e">
        <v>#NAME?</v>
      </c>
      <c r="Q437" s="3"/>
      <c r="R437" s="3"/>
    </row>
    <row r="438" customFormat="false" ht="15.75" hidden="false" customHeight="false" outlineLevel="0" collapsed="false">
      <c r="L438" s="3" t="e">
        <v>#NAME?</v>
      </c>
      <c r="M438" s="3" t="e">
        <v>#NAME?</v>
      </c>
      <c r="N438" s="1" t="e">
        <v>#NAME?</v>
      </c>
      <c r="O438" s="3"/>
      <c r="P438" s="3" t="e">
        <v>#NAME?</v>
      </c>
      <c r="Q438" s="3"/>
      <c r="R438" s="3"/>
    </row>
    <row r="439" customFormat="false" ht="15.75" hidden="false" customHeight="false" outlineLevel="0" collapsed="false">
      <c r="L439" s="3" t="e">
        <v>#NAME?</v>
      </c>
      <c r="M439" s="3" t="e">
        <v>#NAME?</v>
      </c>
      <c r="N439" s="1" t="e">
        <v>#NAME?</v>
      </c>
      <c r="O439" s="3"/>
      <c r="P439" s="3" t="e">
        <v>#NAME?</v>
      </c>
      <c r="Q439" s="3"/>
      <c r="R439" s="3"/>
    </row>
    <row r="440" customFormat="false" ht="15.75" hidden="false" customHeight="false" outlineLevel="0" collapsed="false">
      <c r="L440" s="3" t="e">
        <v>#NAME?</v>
      </c>
      <c r="M440" s="3" t="e">
        <v>#NAME?</v>
      </c>
      <c r="N440" s="1" t="e">
        <v>#NAME?</v>
      </c>
      <c r="O440" s="3"/>
      <c r="P440" s="3" t="e">
        <v>#NAME?</v>
      </c>
      <c r="Q440" s="3"/>
      <c r="R440" s="3"/>
    </row>
    <row r="441" customFormat="false" ht="15.75" hidden="false" customHeight="false" outlineLevel="0" collapsed="false">
      <c r="L441" s="3" t="e">
        <v>#NAME?</v>
      </c>
      <c r="M441" s="3" t="e">
        <v>#NAME?</v>
      </c>
      <c r="N441" s="1" t="e">
        <v>#NAME?</v>
      </c>
      <c r="O441" s="3"/>
      <c r="P441" s="3" t="e">
        <v>#NAME?</v>
      </c>
      <c r="Q441" s="3"/>
      <c r="R441" s="3"/>
    </row>
    <row r="442" customFormat="false" ht="15.75" hidden="false" customHeight="false" outlineLevel="0" collapsed="false">
      <c r="L442" s="3" t="e">
        <v>#NAME?</v>
      </c>
      <c r="M442" s="3" t="e">
        <v>#NAME?</v>
      </c>
      <c r="N442" s="1" t="e">
        <v>#NAME?</v>
      </c>
      <c r="O442" s="3"/>
      <c r="P442" s="3" t="e">
        <v>#NAME?</v>
      </c>
      <c r="Q442" s="3"/>
      <c r="R442" s="3"/>
    </row>
    <row r="443" customFormat="false" ht="15.75" hidden="false" customHeight="false" outlineLevel="0" collapsed="false">
      <c r="L443" s="3" t="e">
        <v>#NAME?</v>
      </c>
      <c r="M443" s="3" t="e">
        <v>#NAME?</v>
      </c>
      <c r="N443" s="1" t="e">
        <v>#NAME?</v>
      </c>
      <c r="O443" s="3"/>
      <c r="P443" s="3" t="e">
        <v>#NAME?</v>
      </c>
      <c r="Q443" s="3"/>
      <c r="R443" s="3"/>
    </row>
    <row r="444" customFormat="false" ht="15.75" hidden="false" customHeight="false" outlineLevel="0" collapsed="false">
      <c r="L444" s="3" t="e">
        <v>#NAME?</v>
      </c>
      <c r="M444" s="3" t="e">
        <v>#NAME?</v>
      </c>
      <c r="N444" s="1" t="e">
        <v>#NAME?</v>
      </c>
      <c r="O444" s="3"/>
      <c r="P444" s="3" t="e">
        <v>#NAME?</v>
      </c>
      <c r="Q444" s="3"/>
      <c r="R444" s="3"/>
    </row>
    <row r="445" customFormat="false" ht="15.75" hidden="false" customHeight="false" outlineLevel="0" collapsed="false">
      <c r="L445" s="3" t="e">
        <v>#NAME?</v>
      </c>
      <c r="M445" s="3" t="e">
        <v>#NAME?</v>
      </c>
      <c r="N445" s="1" t="e">
        <v>#NAME?</v>
      </c>
      <c r="O445" s="3"/>
      <c r="P445" s="3" t="e">
        <v>#NAME?</v>
      </c>
      <c r="Q445" s="3"/>
      <c r="R445" s="3"/>
    </row>
    <row r="446" customFormat="false" ht="15.75" hidden="false" customHeight="false" outlineLevel="0" collapsed="false">
      <c r="L446" s="3" t="e">
        <v>#NAME?</v>
      </c>
      <c r="M446" s="3" t="e">
        <v>#NAME?</v>
      </c>
      <c r="N446" s="1" t="e">
        <v>#NAME?</v>
      </c>
      <c r="O446" s="3"/>
      <c r="P446" s="3" t="e">
        <v>#NAME?</v>
      </c>
      <c r="Q446" s="3"/>
      <c r="R446" s="3"/>
    </row>
    <row r="447" customFormat="false" ht="15.75" hidden="false" customHeight="false" outlineLevel="0" collapsed="false">
      <c r="L447" s="3" t="e">
        <v>#NAME?</v>
      </c>
      <c r="M447" s="3" t="e">
        <v>#NAME?</v>
      </c>
      <c r="N447" s="1" t="e">
        <v>#NAME?</v>
      </c>
      <c r="O447" s="3"/>
      <c r="P447" s="3" t="e">
        <v>#NAME?</v>
      </c>
      <c r="Q447" s="3"/>
      <c r="R447" s="3"/>
    </row>
    <row r="448" customFormat="false" ht="15.75" hidden="false" customHeight="false" outlineLevel="0" collapsed="false">
      <c r="L448" s="3" t="e">
        <v>#NAME?</v>
      </c>
      <c r="M448" s="3" t="e">
        <v>#NAME?</v>
      </c>
      <c r="N448" s="1" t="e">
        <v>#NAME?</v>
      </c>
      <c r="O448" s="3"/>
      <c r="P448" s="3" t="e">
        <v>#NAME?</v>
      </c>
      <c r="Q448" s="3"/>
      <c r="R448" s="3"/>
    </row>
    <row r="449" customFormat="false" ht="15.75" hidden="false" customHeight="false" outlineLevel="0" collapsed="false">
      <c r="L449" s="3" t="e">
        <v>#NAME?</v>
      </c>
      <c r="M449" s="3" t="e">
        <v>#NAME?</v>
      </c>
      <c r="N449" s="1" t="e">
        <v>#NAME?</v>
      </c>
      <c r="O449" s="3"/>
      <c r="P449" s="3" t="e">
        <v>#NAME?</v>
      </c>
      <c r="Q449" s="3"/>
      <c r="R449" s="3"/>
    </row>
    <row r="450" customFormat="false" ht="15.75" hidden="false" customHeight="false" outlineLevel="0" collapsed="false">
      <c r="L450" s="3" t="e">
        <v>#NAME?</v>
      </c>
      <c r="M450" s="3" t="e">
        <v>#NAME?</v>
      </c>
      <c r="N450" s="1" t="e">
        <v>#NAME?</v>
      </c>
      <c r="O450" s="3"/>
      <c r="P450" s="3" t="e">
        <v>#NAME?</v>
      </c>
      <c r="Q450" s="3"/>
      <c r="R450" s="3"/>
    </row>
    <row r="451" customFormat="false" ht="15.75" hidden="false" customHeight="false" outlineLevel="0" collapsed="false">
      <c r="L451" s="3" t="e">
        <v>#NAME?</v>
      </c>
      <c r="M451" s="3" t="e">
        <v>#NAME?</v>
      </c>
      <c r="N451" s="1" t="e">
        <v>#NAME?</v>
      </c>
      <c r="O451" s="3"/>
      <c r="P451" s="3" t="e">
        <v>#NAME?</v>
      </c>
      <c r="Q451" s="3"/>
      <c r="R451" s="3"/>
    </row>
    <row r="452" customFormat="false" ht="15.75" hidden="false" customHeight="false" outlineLevel="0" collapsed="false">
      <c r="L452" s="3" t="e">
        <v>#NAME?</v>
      </c>
      <c r="M452" s="3" t="e">
        <v>#NAME?</v>
      </c>
      <c r="N452" s="1" t="e">
        <v>#NAME?</v>
      </c>
      <c r="O452" s="3"/>
      <c r="P452" s="3" t="e">
        <v>#NAME?</v>
      </c>
      <c r="Q452" s="3"/>
      <c r="R452" s="3"/>
    </row>
    <row r="453" customFormat="false" ht="15.75" hidden="false" customHeight="false" outlineLevel="0" collapsed="false">
      <c r="L453" s="3" t="e">
        <v>#NAME?</v>
      </c>
      <c r="M453" s="3" t="e">
        <v>#NAME?</v>
      </c>
      <c r="N453" s="1" t="e">
        <v>#NAME?</v>
      </c>
      <c r="O453" s="3"/>
      <c r="P453" s="3" t="e">
        <v>#NAME?</v>
      </c>
      <c r="Q453" s="3"/>
      <c r="R453" s="3"/>
    </row>
    <row r="454" customFormat="false" ht="15.75" hidden="false" customHeight="false" outlineLevel="0" collapsed="false">
      <c r="L454" s="3" t="e">
        <v>#NAME?</v>
      </c>
      <c r="M454" s="3" t="e">
        <v>#NAME?</v>
      </c>
      <c r="N454" s="1" t="e">
        <v>#NAME?</v>
      </c>
      <c r="O454" s="3"/>
      <c r="P454" s="3" t="e">
        <v>#NAME?</v>
      </c>
      <c r="Q454" s="3"/>
      <c r="R454" s="3"/>
    </row>
    <row r="455" customFormat="false" ht="15.75" hidden="false" customHeight="false" outlineLevel="0" collapsed="false">
      <c r="L455" s="3" t="e">
        <v>#NAME?</v>
      </c>
      <c r="M455" s="3" t="e">
        <v>#NAME?</v>
      </c>
      <c r="N455" s="1" t="e">
        <v>#NAME?</v>
      </c>
      <c r="O455" s="3"/>
      <c r="P455" s="3" t="e">
        <v>#NAME?</v>
      </c>
      <c r="Q455" s="3"/>
      <c r="R455" s="3"/>
    </row>
    <row r="456" customFormat="false" ht="15.75" hidden="false" customHeight="false" outlineLevel="0" collapsed="false">
      <c r="L456" s="3" t="e">
        <v>#NAME?</v>
      </c>
      <c r="M456" s="3" t="e">
        <v>#NAME?</v>
      </c>
      <c r="N456" s="1" t="e">
        <v>#NAME?</v>
      </c>
      <c r="O456" s="3"/>
      <c r="P456" s="3" t="e">
        <v>#NAME?</v>
      </c>
      <c r="Q456" s="3"/>
      <c r="R456" s="3"/>
    </row>
    <row r="457" customFormat="false" ht="15.75" hidden="false" customHeight="false" outlineLevel="0" collapsed="false">
      <c r="L457" s="3" t="e">
        <v>#NAME?</v>
      </c>
      <c r="M457" s="3" t="e">
        <v>#NAME?</v>
      </c>
      <c r="N457" s="1" t="e">
        <v>#NAME?</v>
      </c>
      <c r="O457" s="3"/>
      <c r="P457" s="3" t="e">
        <v>#NAME?</v>
      </c>
      <c r="Q457" s="3"/>
      <c r="R457" s="3"/>
    </row>
    <row r="458" customFormat="false" ht="15.75" hidden="false" customHeight="false" outlineLevel="0" collapsed="false">
      <c r="L458" s="3" t="e">
        <v>#NAME?</v>
      </c>
      <c r="M458" s="3" t="e">
        <v>#NAME?</v>
      </c>
      <c r="N458" s="1" t="e">
        <v>#NAME?</v>
      </c>
      <c r="O458" s="3"/>
      <c r="P458" s="3" t="e">
        <v>#NAME?</v>
      </c>
      <c r="Q458" s="3"/>
      <c r="R458" s="3"/>
    </row>
    <row r="459" customFormat="false" ht="15.75" hidden="false" customHeight="false" outlineLevel="0" collapsed="false">
      <c r="L459" s="3" t="e">
        <v>#NAME?</v>
      </c>
      <c r="M459" s="3" t="e">
        <v>#NAME?</v>
      </c>
      <c r="N459" s="1" t="e">
        <v>#NAME?</v>
      </c>
      <c r="O459" s="3"/>
      <c r="P459" s="3" t="e">
        <v>#NAME?</v>
      </c>
      <c r="Q459" s="3"/>
      <c r="R459" s="3"/>
    </row>
    <row r="460" customFormat="false" ht="15.75" hidden="false" customHeight="false" outlineLevel="0" collapsed="false">
      <c r="L460" s="3" t="e">
        <v>#NAME?</v>
      </c>
      <c r="M460" s="3" t="e">
        <v>#NAME?</v>
      </c>
      <c r="N460" s="1" t="e">
        <v>#NAME?</v>
      </c>
      <c r="O460" s="3"/>
      <c r="P460" s="3" t="e">
        <v>#NAME?</v>
      </c>
      <c r="Q460" s="3"/>
      <c r="R460" s="3"/>
    </row>
    <row r="461" customFormat="false" ht="15.75" hidden="false" customHeight="false" outlineLevel="0" collapsed="false">
      <c r="L461" s="3" t="e">
        <v>#NAME?</v>
      </c>
      <c r="M461" s="3" t="e">
        <v>#NAME?</v>
      </c>
      <c r="N461" s="1" t="e">
        <v>#NAME?</v>
      </c>
      <c r="O461" s="3"/>
      <c r="P461" s="3" t="e">
        <v>#NAME?</v>
      </c>
      <c r="Q461" s="3"/>
      <c r="R461" s="3"/>
    </row>
    <row r="462" customFormat="false" ht="15.75" hidden="false" customHeight="false" outlineLevel="0" collapsed="false">
      <c r="L462" s="3" t="e">
        <v>#NAME?</v>
      </c>
      <c r="M462" s="3" t="e">
        <v>#NAME?</v>
      </c>
      <c r="N462" s="1" t="e">
        <v>#NAME?</v>
      </c>
      <c r="O462" s="3"/>
      <c r="P462" s="3" t="e">
        <v>#NAME?</v>
      </c>
      <c r="Q462" s="3"/>
      <c r="R462" s="3"/>
    </row>
    <row r="463" customFormat="false" ht="15.75" hidden="false" customHeight="false" outlineLevel="0" collapsed="false">
      <c r="L463" s="3" t="e">
        <v>#NAME?</v>
      </c>
      <c r="M463" s="3" t="e">
        <v>#NAME?</v>
      </c>
      <c r="N463" s="1" t="e">
        <v>#NAME?</v>
      </c>
      <c r="O463" s="3"/>
      <c r="P463" s="3" t="e">
        <v>#NAME?</v>
      </c>
      <c r="Q463" s="3"/>
      <c r="R463" s="3"/>
    </row>
    <row r="464" customFormat="false" ht="15.75" hidden="false" customHeight="false" outlineLevel="0" collapsed="false">
      <c r="L464" s="3" t="e">
        <v>#NAME?</v>
      </c>
      <c r="M464" s="3" t="e">
        <v>#NAME?</v>
      </c>
      <c r="N464" s="1" t="e">
        <v>#NAME?</v>
      </c>
      <c r="O464" s="3"/>
      <c r="P464" s="3" t="e">
        <v>#NAME?</v>
      </c>
      <c r="Q464" s="3"/>
      <c r="R464" s="3"/>
    </row>
    <row r="465" customFormat="false" ht="15.75" hidden="false" customHeight="false" outlineLevel="0" collapsed="false">
      <c r="L465" s="3" t="e">
        <v>#NAME?</v>
      </c>
      <c r="M465" s="3" t="e">
        <v>#NAME?</v>
      </c>
      <c r="N465" s="1" t="e">
        <v>#NAME?</v>
      </c>
      <c r="O465" s="3"/>
      <c r="P465" s="3" t="e">
        <v>#NAME?</v>
      </c>
      <c r="Q465" s="3"/>
      <c r="R465" s="3"/>
    </row>
    <row r="466" customFormat="false" ht="15.75" hidden="false" customHeight="false" outlineLevel="0" collapsed="false">
      <c r="L466" s="3" t="e">
        <v>#NAME?</v>
      </c>
      <c r="M466" s="3" t="e">
        <v>#NAME?</v>
      </c>
      <c r="N466" s="1" t="e">
        <v>#NAME?</v>
      </c>
      <c r="O466" s="3"/>
      <c r="P466" s="3" t="e">
        <v>#NAME?</v>
      </c>
      <c r="Q466" s="3"/>
      <c r="R466" s="3"/>
    </row>
    <row r="467" customFormat="false" ht="15.75" hidden="false" customHeight="false" outlineLevel="0" collapsed="false">
      <c r="L467" s="3" t="e">
        <v>#NAME?</v>
      </c>
      <c r="M467" s="3" t="e">
        <v>#NAME?</v>
      </c>
      <c r="N467" s="1" t="e">
        <v>#NAME?</v>
      </c>
      <c r="O467" s="3"/>
      <c r="P467" s="3" t="e">
        <v>#NAME?</v>
      </c>
      <c r="Q467" s="3"/>
      <c r="R467" s="3"/>
    </row>
    <row r="468" customFormat="false" ht="15.75" hidden="false" customHeight="false" outlineLevel="0" collapsed="false">
      <c r="L468" s="3" t="e">
        <v>#NAME?</v>
      </c>
      <c r="M468" s="3" t="e">
        <v>#NAME?</v>
      </c>
      <c r="N468" s="1" t="e">
        <v>#NAME?</v>
      </c>
      <c r="O468" s="3"/>
      <c r="P468" s="3" t="e">
        <v>#NAME?</v>
      </c>
      <c r="Q468" s="3"/>
      <c r="R468" s="3"/>
    </row>
    <row r="469" customFormat="false" ht="15.75" hidden="false" customHeight="false" outlineLevel="0" collapsed="false">
      <c r="L469" s="3" t="e">
        <v>#NAME?</v>
      </c>
      <c r="M469" s="3" t="e">
        <v>#NAME?</v>
      </c>
      <c r="N469" s="1" t="e">
        <v>#NAME?</v>
      </c>
      <c r="O469" s="3"/>
      <c r="P469" s="3" t="e">
        <v>#NAME?</v>
      </c>
      <c r="Q469" s="3"/>
      <c r="R469" s="3"/>
    </row>
    <row r="470" customFormat="false" ht="15.75" hidden="false" customHeight="false" outlineLevel="0" collapsed="false">
      <c r="L470" s="3" t="e">
        <v>#NAME?</v>
      </c>
      <c r="M470" s="3" t="e">
        <v>#NAME?</v>
      </c>
      <c r="N470" s="1" t="e">
        <v>#NAME?</v>
      </c>
      <c r="O470" s="3"/>
      <c r="P470" s="3" t="e">
        <v>#NAME?</v>
      </c>
      <c r="Q470" s="3"/>
      <c r="R470" s="3"/>
    </row>
    <row r="471" customFormat="false" ht="15.75" hidden="false" customHeight="false" outlineLevel="0" collapsed="false">
      <c r="L471" s="3" t="e">
        <v>#NAME?</v>
      </c>
      <c r="M471" s="3" t="e">
        <v>#NAME?</v>
      </c>
      <c r="N471" s="1" t="e">
        <v>#NAME?</v>
      </c>
      <c r="O471" s="3"/>
      <c r="P471" s="3" t="e">
        <v>#NAME?</v>
      </c>
      <c r="Q471" s="3"/>
      <c r="R471" s="3"/>
    </row>
    <row r="472" customFormat="false" ht="15.75" hidden="false" customHeight="false" outlineLevel="0" collapsed="false">
      <c r="L472" s="3" t="e">
        <v>#NAME?</v>
      </c>
      <c r="M472" s="3" t="e">
        <v>#NAME?</v>
      </c>
      <c r="N472" s="1" t="e">
        <v>#NAME?</v>
      </c>
      <c r="O472" s="3"/>
      <c r="P472" s="3" t="e">
        <v>#NAME?</v>
      </c>
      <c r="Q472" s="3"/>
      <c r="R472" s="3"/>
    </row>
    <row r="473" customFormat="false" ht="15.75" hidden="false" customHeight="false" outlineLevel="0" collapsed="false">
      <c r="L473" s="3" t="e">
        <v>#NAME?</v>
      </c>
      <c r="M473" s="3" t="e">
        <v>#NAME?</v>
      </c>
      <c r="N473" s="1" t="e">
        <v>#NAME?</v>
      </c>
      <c r="O473" s="3"/>
      <c r="P473" s="3" t="e">
        <v>#NAME?</v>
      </c>
      <c r="Q473" s="3"/>
      <c r="R473" s="3"/>
    </row>
    <row r="474" customFormat="false" ht="15.75" hidden="false" customHeight="false" outlineLevel="0" collapsed="false">
      <c r="L474" s="3" t="e">
        <v>#NAME?</v>
      </c>
      <c r="M474" s="3" t="e">
        <v>#NAME?</v>
      </c>
      <c r="N474" s="1" t="e">
        <v>#NAME?</v>
      </c>
      <c r="O474" s="3"/>
      <c r="P474" s="3" t="e">
        <v>#NAME?</v>
      </c>
      <c r="Q474" s="3"/>
      <c r="R474" s="3"/>
    </row>
    <row r="475" customFormat="false" ht="15.75" hidden="false" customHeight="false" outlineLevel="0" collapsed="false">
      <c r="L475" s="3" t="e">
        <v>#NAME?</v>
      </c>
      <c r="M475" s="3" t="e">
        <v>#NAME?</v>
      </c>
      <c r="N475" s="1" t="e">
        <v>#NAME?</v>
      </c>
      <c r="O475" s="3"/>
      <c r="P475" s="3" t="e">
        <v>#NAME?</v>
      </c>
      <c r="Q475" s="3"/>
      <c r="R475" s="3"/>
    </row>
    <row r="476" customFormat="false" ht="15.75" hidden="false" customHeight="false" outlineLevel="0" collapsed="false">
      <c r="L476" s="3" t="e">
        <v>#NAME?</v>
      </c>
      <c r="M476" s="3" t="e">
        <v>#NAME?</v>
      </c>
      <c r="N476" s="1" t="e">
        <v>#NAME?</v>
      </c>
      <c r="O476" s="3"/>
      <c r="P476" s="3" t="e">
        <v>#NAME?</v>
      </c>
      <c r="Q476" s="3"/>
      <c r="R476" s="3"/>
    </row>
    <row r="477" customFormat="false" ht="15.75" hidden="false" customHeight="false" outlineLevel="0" collapsed="false">
      <c r="L477" s="3" t="e">
        <v>#NAME?</v>
      </c>
      <c r="M477" s="3" t="e">
        <v>#NAME?</v>
      </c>
      <c r="N477" s="1" t="e">
        <v>#NAME?</v>
      </c>
      <c r="O477" s="3"/>
      <c r="P477" s="3" t="e">
        <v>#NAME?</v>
      </c>
      <c r="Q477" s="3"/>
      <c r="R477" s="3"/>
    </row>
    <row r="478" customFormat="false" ht="15.75" hidden="false" customHeight="false" outlineLevel="0" collapsed="false">
      <c r="L478" s="3" t="e">
        <v>#NAME?</v>
      </c>
      <c r="M478" s="3" t="e">
        <v>#NAME?</v>
      </c>
      <c r="N478" s="1" t="e">
        <v>#NAME?</v>
      </c>
      <c r="O478" s="3"/>
      <c r="P478" s="3" t="e">
        <v>#NAME?</v>
      </c>
      <c r="Q478" s="3"/>
      <c r="R478" s="3"/>
    </row>
    <row r="479" customFormat="false" ht="15.75" hidden="false" customHeight="false" outlineLevel="0" collapsed="false">
      <c r="L479" s="3" t="e">
        <v>#NAME?</v>
      </c>
      <c r="M479" s="3" t="e">
        <v>#NAME?</v>
      </c>
      <c r="N479" s="1" t="e">
        <v>#NAME?</v>
      </c>
      <c r="O479" s="3"/>
      <c r="P479" s="3" t="e">
        <v>#NAME?</v>
      </c>
      <c r="Q479" s="3"/>
      <c r="R479" s="3"/>
    </row>
    <row r="480" customFormat="false" ht="15.75" hidden="false" customHeight="false" outlineLevel="0" collapsed="false">
      <c r="L480" s="3" t="e">
        <v>#NAME?</v>
      </c>
      <c r="M480" s="3" t="e">
        <v>#NAME?</v>
      </c>
      <c r="N480" s="1" t="e">
        <v>#NAME?</v>
      </c>
      <c r="O480" s="3"/>
      <c r="P480" s="3" t="e">
        <v>#NAME?</v>
      </c>
      <c r="Q480" s="3"/>
      <c r="R480" s="3"/>
    </row>
    <row r="481" customFormat="false" ht="15.75" hidden="false" customHeight="false" outlineLevel="0" collapsed="false">
      <c r="L481" s="3" t="e">
        <v>#NAME?</v>
      </c>
      <c r="M481" s="3" t="e">
        <v>#NAME?</v>
      </c>
      <c r="N481" s="1" t="e">
        <v>#NAME?</v>
      </c>
      <c r="O481" s="3"/>
      <c r="P481" s="3" t="e">
        <v>#NAME?</v>
      </c>
      <c r="Q481" s="3"/>
      <c r="R481" s="3"/>
    </row>
    <row r="482" customFormat="false" ht="15.75" hidden="false" customHeight="false" outlineLevel="0" collapsed="false">
      <c r="L482" s="3" t="e">
        <v>#NAME?</v>
      </c>
      <c r="M482" s="3" t="e">
        <v>#NAME?</v>
      </c>
      <c r="N482" s="1" t="e">
        <v>#NAME?</v>
      </c>
      <c r="O482" s="3"/>
      <c r="P482" s="3" t="e">
        <v>#NAME?</v>
      </c>
      <c r="Q482" s="3"/>
      <c r="R482" s="3"/>
    </row>
    <row r="483" customFormat="false" ht="15.75" hidden="false" customHeight="false" outlineLevel="0" collapsed="false">
      <c r="L483" s="3" t="e">
        <v>#NAME?</v>
      </c>
      <c r="M483" s="3" t="e">
        <v>#NAME?</v>
      </c>
      <c r="N483" s="1" t="e">
        <v>#NAME?</v>
      </c>
      <c r="O483" s="3"/>
      <c r="P483" s="3" t="e">
        <v>#NAME?</v>
      </c>
      <c r="Q483" s="3"/>
      <c r="R483" s="3"/>
    </row>
    <row r="484" customFormat="false" ht="15.75" hidden="false" customHeight="false" outlineLevel="0" collapsed="false">
      <c r="L484" s="3" t="e">
        <v>#NAME?</v>
      </c>
      <c r="M484" s="3" t="e">
        <v>#NAME?</v>
      </c>
      <c r="N484" s="1" t="e">
        <v>#NAME?</v>
      </c>
      <c r="O484" s="3"/>
      <c r="P484" s="3" t="e">
        <v>#NAME?</v>
      </c>
      <c r="Q484" s="3"/>
      <c r="R484" s="3"/>
    </row>
    <row r="485" customFormat="false" ht="15.75" hidden="false" customHeight="false" outlineLevel="0" collapsed="false">
      <c r="L485" s="3" t="e">
        <v>#NAME?</v>
      </c>
      <c r="M485" s="3" t="e">
        <v>#NAME?</v>
      </c>
      <c r="N485" s="1" t="e">
        <v>#NAME?</v>
      </c>
      <c r="O485" s="3"/>
      <c r="P485" s="3" t="e">
        <v>#NAME?</v>
      </c>
      <c r="Q485" s="3"/>
      <c r="R485" s="3"/>
    </row>
    <row r="486" customFormat="false" ht="15.75" hidden="false" customHeight="false" outlineLevel="0" collapsed="false">
      <c r="L486" s="3" t="e">
        <v>#NAME?</v>
      </c>
      <c r="M486" s="3" t="e">
        <v>#NAME?</v>
      </c>
      <c r="N486" s="1" t="e">
        <v>#NAME?</v>
      </c>
      <c r="O486" s="3"/>
      <c r="P486" s="3" t="e">
        <v>#NAME?</v>
      </c>
      <c r="Q486" s="3"/>
      <c r="R486" s="3"/>
    </row>
    <row r="487" customFormat="false" ht="15.75" hidden="false" customHeight="false" outlineLevel="0" collapsed="false">
      <c r="L487" s="3" t="e">
        <v>#NAME?</v>
      </c>
      <c r="M487" s="3" t="e">
        <v>#NAME?</v>
      </c>
      <c r="N487" s="1" t="e">
        <v>#NAME?</v>
      </c>
      <c r="O487" s="3"/>
      <c r="P487" s="3" t="e">
        <v>#NAME?</v>
      </c>
      <c r="Q487" s="3"/>
      <c r="R487" s="3"/>
    </row>
    <row r="488" customFormat="false" ht="15.75" hidden="false" customHeight="false" outlineLevel="0" collapsed="false">
      <c r="L488" s="3" t="e">
        <v>#NAME?</v>
      </c>
      <c r="M488" s="3" t="e">
        <v>#NAME?</v>
      </c>
      <c r="N488" s="1" t="e">
        <v>#NAME?</v>
      </c>
      <c r="O488" s="3"/>
      <c r="P488" s="3" t="e">
        <v>#NAME?</v>
      </c>
      <c r="Q488" s="3"/>
      <c r="R488" s="3"/>
    </row>
    <row r="489" customFormat="false" ht="15.75" hidden="false" customHeight="false" outlineLevel="0" collapsed="false">
      <c r="L489" s="3" t="e">
        <v>#NAME?</v>
      </c>
      <c r="M489" s="3" t="e">
        <v>#NAME?</v>
      </c>
      <c r="N489" s="1" t="e">
        <v>#NAME?</v>
      </c>
      <c r="O489" s="3"/>
      <c r="P489" s="3" t="e">
        <v>#NAME?</v>
      </c>
      <c r="Q489" s="3"/>
      <c r="R489" s="3"/>
    </row>
    <row r="490" customFormat="false" ht="15.75" hidden="false" customHeight="false" outlineLevel="0" collapsed="false">
      <c r="L490" s="3" t="e">
        <v>#NAME?</v>
      </c>
      <c r="M490" s="3" t="e">
        <v>#NAME?</v>
      </c>
      <c r="N490" s="1" t="e">
        <v>#NAME?</v>
      </c>
      <c r="O490" s="3"/>
      <c r="P490" s="3" t="e">
        <v>#NAME?</v>
      </c>
      <c r="Q490" s="3"/>
      <c r="R490" s="3"/>
    </row>
    <row r="491" customFormat="false" ht="15.75" hidden="false" customHeight="false" outlineLevel="0" collapsed="false">
      <c r="L491" s="3" t="e">
        <v>#NAME?</v>
      </c>
      <c r="M491" s="3" t="e">
        <v>#NAME?</v>
      </c>
      <c r="N491" s="1" t="e">
        <v>#NAME?</v>
      </c>
      <c r="O491" s="3"/>
      <c r="P491" s="3" t="e">
        <v>#NAME?</v>
      </c>
      <c r="Q491" s="3"/>
      <c r="R491" s="3"/>
    </row>
    <row r="492" customFormat="false" ht="15.75" hidden="false" customHeight="false" outlineLevel="0" collapsed="false">
      <c r="L492" s="3" t="e">
        <v>#NAME?</v>
      </c>
      <c r="M492" s="3" t="e">
        <v>#NAME?</v>
      </c>
      <c r="N492" s="1" t="e">
        <v>#NAME?</v>
      </c>
      <c r="O492" s="3"/>
      <c r="P492" s="3" t="e">
        <v>#NAME?</v>
      </c>
      <c r="Q492" s="3"/>
      <c r="R492" s="3"/>
    </row>
    <row r="493" customFormat="false" ht="15.75" hidden="false" customHeight="false" outlineLevel="0" collapsed="false">
      <c r="L493" s="3" t="e">
        <v>#NAME?</v>
      </c>
      <c r="M493" s="3" t="e">
        <v>#NAME?</v>
      </c>
      <c r="N493" s="1" t="e">
        <v>#NAME?</v>
      </c>
      <c r="O493" s="3"/>
      <c r="P493" s="3" t="e">
        <v>#NAME?</v>
      </c>
      <c r="Q493" s="3"/>
      <c r="R493" s="3"/>
    </row>
    <row r="494" customFormat="false" ht="15.75" hidden="false" customHeight="false" outlineLevel="0" collapsed="false">
      <c r="L494" s="3" t="e">
        <v>#NAME?</v>
      </c>
      <c r="M494" s="3" t="e">
        <v>#NAME?</v>
      </c>
      <c r="N494" s="1" t="e">
        <v>#NAME?</v>
      </c>
      <c r="O494" s="3"/>
      <c r="P494" s="3" t="e">
        <v>#NAME?</v>
      </c>
      <c r="Q494" s="3"/>
      <c r="R494" s="3"/>
    </row>
    <row r="495" customFormat="false" ht="15.75" hidden="false" customHeight="false" outlineLevel="0" collapsed="false">
      <c r="L495" s="3" t="e">
        <v>#NAME?</v>
      </c>
      <c r="M495" s="3" t="e">
        <v>#NAME?</v>
      </c>
      <c r="N495" s="1" t="e">
        <v>#NAME?</v>
      </c>
      <c r="O495" s="3"/>
      <c r="P495" s="3" t="e">
        <v>#NAME?</v>
      </c>
      <c r="Q495" s="3"/>
      <c r="R495" s="3"/>
    </row>
    <row r="496" customFormat="false" ht="15.75" hidden="false" customHeight="false" outlineLevel="0" collapsed="false">
      <c r="L496" s="3" t="e">
        <v>#NAME?</v>
      </c>
      <c r="M496" s="3" t="e">
        <v>#NAME?</v>
      </c>
      <c r="N496" s="1" t="e">
        <v>#NAME?</v>
      </c>
      <c r="O496" s="3"/>
      <c r="P496" s="3" t="e">
        <v>#NAME?</v>
      </c>
      <c r="Q496" s="3"/>
      <c r="R496" s="3"/>
    </row>
    <row r="497" customFormat="false" ht="15.75" hidden="false" customHeight="false" outlineLevel="0" collapsed="false">
      <c r="L497" s="3" t="e">
        <v>#NAME?</v>
      </c>
      <c r="M497" s="3" t="e">
        <v>#NAME?</v>
      </c>
      <c r="N497" s="1" t="e">
        <v>#NAME?</v>
      </c>
      <c r="O497" s="3"/>
      <c r="P497" s="3" t="e">
        <v>#NAME?</v>
      </c>
      <c r="Q497" s="3"/>
      <c r="R497" s="3"/>
    </row>
    <row r="498" customFormat="false" ht="15.75" hidden="false" customHeight="false" outlineLevel="0" collapsed="false">
      <c r="L498" s="3" t="e">
        <v>#NAME?</v>
      </c>
      <c r="M498" s="3" t="e">
        <v>#NAME?</v>
      </c>
      <c r="N498" s="1" t="e">
        <v>#NAME?</v>
      </c>
      <c r="O498" s="3"/>
      <c r="P498" s="3" t="e">
        <v>#NAME?</v>
      </c>
      <c r="Q498" s="3"/>
      <c r="R498" s="3"/>
    </row>
    <row r="499" customFormat="false" ht="15.75" hidden="false" customHeight="false" outlineLevel="0" collapsed="false">
      <c r="L499" s="3" t="e">
        <v>#NAME?</v>
      </c>
      <c r="M499" s="3" t="e">
        <v>#NAME?</v>
      </c>
      <c r="N499" s="1" t="e">
        <v>#NAME?</v>
      </c>
      <c r="O499" s="3"/>
      <c r="P499" s="3" t="e">
        <v>#NAME?</v>
      </c>
      <c r="Q499" s="3"/>
      <c r="R499" s="3"/>
    </row>
    <row r="500" customFormat="false" ht="15.75" hidden="false" customHeight="false" outlineLevel="0" collapsed="false">
      <c r="L500" s="3" t="e">
        <v>#NAME?</v>
      </c>
      <c r="M500" s="3" t="e">
        <v>#NAME?</v>
      </c>
      <c r="N500" s="1" t="e">
        <v>#NAME?</v>
      </c>
      <c r="O500" s="3"/>
      <c r="P500" s="3" t="e">
        <v>#NAME?</v>
      </c>
      <c r="Q500" s="3"/>
      <c r="R500" s="3"/>
    </row>
    <row r="501" customFormat="false" ht="15.75" hidden="false" customHeight="false" outlineLevel="0" collapsed="false">
      <c r="L501" s="3" t="e">
        <v>#NAME?</v>
      </c>
      <c r="M501" s="3" t="e">
        <v>#NAME?</v>
      </c>
      <c r="N501" s="1" t="e">
        <v>#NAME?</v>
      </c>
      <c r="O501" s="3"/>
      <c r="P501" s="3" t="e">
        <v>#NAME?</v>
      </c>
      <c r="Q501" s="3"/>
      <c r="R501" s="3"/>
    </row>
    <row r="502" customFormat="false" ht="15.75" hidden="false" customHeight="false" outlineLevel="0" collapsed="false">
      <c r="L502" s="3" t="e">
        <v>#NAME?</v>
      </c>
      <c r="M502" s="3" t="e">
        <v>#NAME?</v>
      </c>
      <c r="N502" s="1" t="e">
        <v>#NAME?</v>
      </c>
      <c r="O502" s="3"/>
      <c r="P502" s="3" t="e">
        <v>#NAME?</v>
      </c>
      <c r="Q502" s="3"/>
      <c r="R502" s="3"/>
    </row>
    <row r="503" customFormat="false" ht="15.75" hidden="false" customHeight="false" outlineLevel="0" collapsed="false">
      <c r="L503" s="3" t="e">
        <v>#NAME?</v>
      </c>
      <c r="M503" s="3" t="e">
        <v>#NAME?</v>
      </c>
      <c r="N503" s="1" t="e">
        <v>#NAME?</v>
      </c>
      <c r="O503" s="3"/>
      <c r="P503" s="3" t="e">
        <v>#NAME?</v>
      </c>
      <c r="Q503" s="3"/>
      <c r="R503" s="3"/>
    </row>
    <row r="504" customFormat="false" ht="15.75" hidden="false" customHeight="false" outlineLevel="0" collapsed="false">
      <c r="L504" s="3" t="e">
        <v>#NAME?</v>
      </c>
      <c r="M504" s="3" t="e">
        <v>#NAME?</v>
      </c>
      <c r="N504" s="1" t="e">
        <v>#NAME?</v>
      </c>
      <c r="O504" s="3"/>
      <c r="P504" s="3" t="e">
        <v>#NAME?</v>
      </c>
      <c r="Q504" s="3"/>
      <c r="R504" s="3"/>
    </row>
    <row r="505" customFormat="false" ht="15.75" hidden="false" customHeight="false" outlineLevel="0" collapsed="false">
      <c r="L505" s="3" t="e">
        <v>#NAME?</v>
      </c>
      <c r="M505" s="3" t="e">
        <v>#NAME?</v>
      </c>
      <c r="N505" s="1" t="e">
        <v>#NAME?</v>
      </c>
      <c r="O505" s="3"/>
      <c r="P505" s="3" t="e">
        <v>#NAME?</v>
      </c>
      <c r="Q505" s="3"/>
      <c r="R505" s="3"/>
    </row>
    <row r="506" customFormat="false" ht="15.75" hidden="false" customHeight="false" outlineLevel="0" collapsed="false">
      <c r="L506" s="3" t="e">
        <v>#NAME?</v>
      </c>
      <c r="M506" s="3" t="e">
        <v>#NAME?</v>
      </c>
      <c r="N506" s="1" t="e">
        <v>#NAME?</v>
      </c>
      <c r="O506" s="3"/>
      <c r="P506" s="3" t="e">
        <v>#NAME?</v>
      </c>
      <c r="Q506" s="3"/>
      <c r="R506" s="3"/>
    </row>
    <row r="507" customFormat="false" ht="15.75" hidden="false" customHeight="false" outlineLevel="0" collapsed="false">
      <c r="L507" s="3" t="e">
        <v>#NAME?</v>
      </c>
      <c r="M507" s="3" t="e">
        <v>#NAME?</v>
      </c>
      <c r="N507" s="1" t="e">
        <v>#NAME?</v>
      </c>
      <c r="O507" s="3"/>
      <c r="P507" s="3" t="e">
        <v>#NAME?</v>
      </c>
      <c r="Q507" s="3"/>
      <c r="R507" s="3"/>
    </row>
    <row r="508" customFormat="false" ht="15.75" hidden="false" customHeight="false" outlineLevel="0" collapsed="false">
      <c r="L508" s="3" t="e">
        <v>#NAME?</v>
      </c>
      <c r="M508" s="3" t="e">
        <v>#NAME?</v>
      </c>
      <c r="N508" s="1" t="e">
        <v>#NAME?</v>
      </c>
      <c r="O508" s="3"/>
      <c r="P508" s="3" t="e">
        <v>#NAME?</v>
      </c>
      <c r="Q508" s="3"/>
      <c r="R508" s="3"/>
    </row>
    <row r="509" customFormat="false" ht="15.75" hidden="false" customHeight="false" outlineLevel="0" collapsed="false">
      <c r="L509" s="3" t="e">
        <v>#NAME?</v>
      </c>
      <c r="M509" s="3" t="e">
        <v>#NAME?</v>
      </c>
      <c r="N509" s="1" t="e">
        <v>#NAME?</v>
      </c>
      <c r="O509" s="3"/>
      <c r="P509" s="3" t="e">
        <v>#NAME?</v>
      </c>
      <c r="Q509" s="3"/>
      <c r="R509" s="3"/>
    </row>
    <row r="510" customFormat="false" ht="15.75" hidden="false" customHeight="false" outlineLevel="0" collapsed="false">
      <c r="L510" s="3" t="e">
        <v>#NAME?</v>
      </c>
      <c r="M510" s="3" t="e">
        <v>#NAME?</v>
      </c>
      <c r="N510" s="1" t="e">
        <v>#NAME?</v>
      </c>
      <c r="O510" s="3"/>
      <c r="P510" s="3" t="e">
        <v>#NAME?</v>
      </c>
      <c r="Q510" s="3"/>
      <c r="R510" s="3"/>
    </row>
    <row r="511" customFormat="false" ht="15.75" hidden="false" customHeight="false" outlineLevel="0" collapsed="false">
      <c r="L511" s="3" t="e">
        <v>#NAME?</v>
      </c>
      <c r="M511" s="3" t="e">
        <v>#NAME?</v>
      </c>
      <c r="N511" s="1" t="e">
        <v>#NAME?</v>
      </c>
      <c r="O511" s="3"/>
      <c r="P511" s="3" t="e">
        <v>#NAME?</v>
      </c>
      <c r="Q511" s="3"/>
      <c r="R511" s="3"/>
    </row>
    <row r="512" customFormat="false" ht="15.75" hidden="false" customHeight="false" outlineLevel="0" collapsed="false">
      <c r="L512" s="3" t="e">
        <v>#NAME?</v>
      </c>
      <c r="M512" s="3" t="e">
        <v>#NAME?</v>
      </c>
      <c r="N512" s="1" t="e">
        <v>#NAME?</v>
      </c>
      <c r="O512" s="3"/>
      <c r="P512" s="3" t="e">
        <v>#NAME?</v>
      </c>
      <c r="Q512" s="3"/>
      <c r="R512" s="3"/>
    </row>
    <row r="513" customFormat="false" ht="15.75" hidden="false" customHeight="false" outlineLevel="0" collapsed="false">
      <c r="L513" s="3" t="e">
        <v>#NAME?</v>
      </c>
      <c r="M513" s="3" t="e">
        <v>#NAME?</v>
      </c>
      <c r="N513" s="1" t="e">
        <v>#NAME?</v>
      </c>
      <c r="O513" s="3"/>
      <c r="P513" s="3" t="e">
        <v>#NAME?</v>
      </c>
      <c r="Q513" s="3"/>
      <c r="R513" s="3"/>
    </row>
    <row r="514" customFormat="false" ht="15.75" hidden="false" customHeight="false" outlineLevel="0" collapsed="false">
      <c r="L514" s="3" t="e">
        <v>#NAME?</v>
      </c>
      <c r="M514" s="3" t="e">
        <v>#NAME?</v>
      </c>
      <c r="N514" s="1" t="e">
        <v>#NAME?</v>
      </c>
      <c r="O514" s="3"/>
      <c r="P514" s="3" t="e">
        <v>#NAME?</v>
      </c>
      <c r="Q514" s="3"/>
      <c r="R514" s="3"/>
    </row>
    <row r="515" customFormat="false" ht="15.75" hidden="false" customHeight="false" outlineLevel="0" collapsed="false">
      <c r="L515" s="3" t="e">
        <v>#NAME?</v>
      </c>
      <c r="M515" s="3" t="e">
        <v>#NAME?</v>
      </c>
      <c r="N515" s="1" t="e">
        <v>#NAME?</v>
      </c>
      <c r="O515" s="3"/>
      <c r="P515" s="3" t="e">
        <v>#NAME?</v>
      </c>
      <c r="Q515" s="3"/>
      <c r="R515" s="3"/>
    </row>
    <row r="516" customFormat="false" ht="15.75" hidden="false" customHeight="false" outlineLevel="0" collapsed="false">
      <c r="L516" s="3" t="e">
        <v>#NAME?</v>
      </c>
      <c r="M516" s="3" t="e">
        <v>#NAME?</v>
      </c>
      <c r="N516" s="1" t="e">
        <v>#NAME?</v>
      </c>
      <c r="O516" s="3"/>
      <c r="P516" s="3" t="e">
        <v>#NAME?</v>
      </c>
      <c r="Q516" s="3"/>
      <c r="R516" s="3"/>
    </row>
    <row r="517" customFormat="false" ht="15.75" hidden="false" customHeight="false" outlineLevel="0" collapsed="false">
      <c r="L517" s="3" t="e">
        <v>#NAME?</v>
      </c>
      <c r="M517" s="3" t="e">
        <v>#NAME?</v>
      </c>
      <c r="N517" s="1" t="e">
        <v>#NAME?</v>
      </c>
      <c r="O517" s="3"/>
      <c r="P517" s="3" t="e">
        <v>#NAME?</v>
      </c>
      <c r="Q517" s="3"/>
      <c r="R517" s="3"/>
    </row>
    <row r="518" customFormat="false" ht="15.75" hidden="false" customHeight="false" outlineLevel="0" collapsed="false">
      <c r="L518" s="3" t="e">
        <v>#NAME?</v>
      </c>
      <c r="M518" s="3" t="e">
        <v>#NAME?</v>
      </c>
      <c r="N518" s="1" t="e">
        <v>#NAME?</v>
      </c>
      <c r="O518" s="3"/>
      <c r="P518" s="3" t="e">
        <v>#NAME?</v>
      </c>
      <c r="Q518" s="3"/>
      <c r="R518" s="3"/>
    </row>
    <row r="519" customFormat="false" ht="15.75" hidden="false" customHeight="false" outlineLevel="0" collapsed="false">
      <c r="L519" s="3" t="e">
        <v>#NAME?</v>
      </c>
      <c r="M519" s="3" t="e">
        <v>#NAME?</v>
      </c>
      <c r="N519" s="1" t="e">
        <v>#NAME?</v>
      </c>
      <c r="O519" s="3"/>
      <c r="P519" s="3" t="e">
        <v>#NAME?</v>
      </c>
      <c r="Q519" s="3"/>
      <c r="R519" s="3"/>
    </row>
    <row r="520" customFormat="false" ht="15.75" hidden="false" customHeight="false" outlineLevel="0" collapsed="false">
      <c r="L520" s="3" t="e">
        <v>#NAME?</v>
      </c>
      <c r="M520" s="3" t="e">
        <v>#NAME?</v>
      </c>
      <c r="N520" s="1" t="e">
        <v>#NAME?</v>
      </c>
      <c r="O520" s="3"/>
      <c r="P520" s="3" t="e">
        <v>#NAME?</v>
      </c>
      <c r="Q520" s="3"/>
      <c r="R520" s="3"/>
    </row>
    <row r="521" customFormat="false" ht="15.75" hidden="false" customHeight="false" outlineLevel="0" collapsed="false">
      <c r="L521" s="3" t="e">
        <v>#NAME?</v>
      </c>
      <c r="M521" s="3" t="e">
        <v>#NAME?</v>
      </c>
      <c r="N521" s="1" t="e">
        <v>#NAME?</v>
      </c>
      <c r="O521" s="3"/>
      <c r="P521" s="3" t="e">
        <v>#NAME?</v>
      </c>
      <c r="Q521" s="3"/>
      <c r="R521" s="3"/>
    </row>
    <row r="522" customFormat="false" ht="15.75" hidden="false" customHeight="false" outlineLevel="0" collapsed="false">
      <c r="L522" s="3" t="e">
        <v>#NAME?</v>
      </c>
      <c r="M522" s="3" t="e">
        <v>#NAME?</v>
      </c>
      <c r="N522" s="1" t="e">
        <v>#NAME?</v>
      </c>
      <c r="O522" s="3"/>
      <c r="P522" s="3" t="e">
        <v>#NAME?</v>
      </c>
      <c r="Q522" s="3"/>
      <c r="R522" s="3"/>
    </row>
    <row r="523" customFormat="false" ht="15.75" hidden="false" customHeight="false" outlineLevel="0" collapsed="false">
      <c r="L523" s="3" t="e">
        <v>#NAME?</v>
      </c>
      <c r="M523" s="3" t="e">
        <v>#NAME?</v>
      </c>
      <c r="N523" s="1" t="e">
        <v>#NAME?</v>
      </c>
      <c r="O523" s="3"/>
      <c r="P523" s="3" t="e">
        <v>#NAME?</v>
      </c>
      <c r="Q523" s="3"/>
      <c r="R523" s="3"/>
    </row>
    <row r="524" customFormat="false" ht="15.75" hidden="false" customHeight="false" outlineLevel="0" collapsed="false">
      <c r="L524" s="3" t="e">
        <v>#NAME?</v>
      </c>
      <c r="M524" s="3" t="e">
        <v>#NAME?</v>
      </c>
      <c r="N524" s="1" t="e">
        <v>#NAME?</v>
      </c>
      <c r="O524" s="3"/>
      <c r="P524" s="3" t="e">
        <v>#NAME?</v>
      </c>
      <c r="Q524" s="3"/>
      <c r="R524" s="3"/>
    </row>
    <row r="525" customFormat="false" ht="15.75" hidden="false" customHeight="false" outlineLevel="0" collapsed="false">
      <c r="L525" s="3" t="e">
        <v>#NAME?</v>
      </c>
      <c r="M525" s="3" t="e">
        <v>#NAME?</v>
      </c>
      <c r="N525" s="1" t="e">
        <v>#NAME?</v>
      </c>
      <c r="O525" s="3"/>
      <c r="P525" s="3" t="e">
        <v>#NAME?</v>
      </c>
      <c r="Q525" s="3"/>
      <c r="R525" s="3"/>
    </row>
    <row r="526" customFormat="false" ht="15.75" hidden="false" customHeight="false" outlineLevel="0" collapsed="false">
      <c r="L526" s="3" t="e">
        <v>#NAME?</v>
      </c>
      <c r="M526" s="3" t="e">
        <v>#NAME?</v>
      </c>
      <c r="N526" s="1" t="e">
        <v>#NAME?</v>
      </c>
      <c r="O526" s="3"/>
      <c r="P526" s="3" t="e">
        <v>#NAME?</v>
      </c>
      <c r="Q526" s="3"/>
      <c r="R526" s="3"/>
    </row>
    <row r="527" customFormat="false" ht="15.75" hidden="false" customHeight="false" outlineLevel="0" collapsed="false">
      <c r="L527" s="3" t="e">
        <v>#NAME?</v>
      </c>
      <c r="M527" s="3" t="e">
        <v>#NAME?</v>
      </c>
      <c r="N527" s="1" t="e">
        <v>#NAME?</v>
      </c>
      <c r="O527" s="3"/>
      <c r="P527" s="3" t="e">
        <v>#NAME?</v>
      </c>
      <c r="Q527" s="3"/>
      <c r="R527" s="3"/>
    </row>
    <row r="528" customFormat="false" ht="15.75" hidden="false" customHeight="false" outlineLevel="0" collapsed="false">
      <c r="L528" s="3" t="e">
        <v>#NAME?</v>
      </c>
      <c r="M528" s="3" t="e">
        <v>#NAME?</v>
      </c>
      <c r="N528" s="1" t="e">
        <v>#NAME?</v>
      </c>
      <c r="O528" s="3"/>
      <c r="P528" s="3" t="e">
        <v>#NAME?</v>
      </c>
      <c r="Q528" s="3"/>
      <c r="R528" s="3"/>
    </row>
    <row r="529" customFormat="false" ht="15.75" hidden="false" customHeight="false" outlineLevel="0" collapsed="false">
      <c r="L529" s="3" t="e">
        <v>#NAME?</v>
      </c>
      <c r="M529" s="3" t="e">
        <v>#NAME?</v>
      </c>
      <c r="N529" s="1" t="e">
        <v>#NAME?</v>
      </c>
      <c r="O529" s="3"/>
      <c r="P529" s="3" t="e">
        <v>#NAME?</v>
      </c>
      <c r="Q529" s="3"/>
      <c r="R529" s="3"/>
    </row>
    <row r="530" customFormat="false" ht="15.75" hidden="false" customHeight="false" outlineLevel="0" collapsed="false">
      <c r="L530" s="3" t="e">
        <v>#NAME?</v>
      </c>
      <c r="M530" s="3" t="e">
        <v>#NAME?</v>
      </c>
      <c r="N530" s="1" t="e">
        <v>#NAME?</v>
      </c>
      <c r="O530" s="3"/>
      <c r="P530" s="3" t="e">
        <v>#NAME?</v>
      </c>
      <c r="Q530" s="3"/>
      <c r="R530" s="3"/>
    </row>
    <row r="531" customFormat="false" ht="15.75" hidden="false" customHeight="false" outlineLevel="0" collapsed="false">
      <c r="L531" s="3" t="e">
        <v>#NAME?</v>
      </c>
      <c r="M531" s="3" t="e">
        <v>#NAME?</v>
      </c>
      <c r="N531" s="1" t="e">
        <v>#NAME?</v>
      </c>
      <c r="O531" s="3"/>
      <c r="P531" s="3" t="e">
        <v>#NAME?</v>
      </c>
      <c r="Q531" s="3"/>
      <c r="R531" s="3"/>
    </row>
    <row r="532" customFormat="false" ht="15.75" hidden="false" customHeight="false" outlineLevel="0" collapsed="false">
      <c r="L532" s="3" t="e">
        <v>#NAME?</v>
      </c>
      <c r="M532" s="3" t="e">
        <v>#NAME?</v>
      </c>
      <c r="N532" s="1" t="e">
        <v>#NAME?</v>
      </c>
      <c r="O532" s="3"/>
      <c r="P532" s="3" t="e">
        <v>#NAME?</v>
      </c>
      <c r="Q532" s="3"/>
      <c r="R532" s="3"/>
    </row>
    <row r="533" customFormat="false" ht="15.75" hidden="false" customHeight="false" outlineLevel="0" collapsed="false">
      <c r="L533" s="3" t="e">
        <v>#NAME?</v>
      </c>
      <c r="M533" s="3" t="e">
        <v>#NAME?</v>
      </c>
      <c r="N533" s="1" t="e">
        <v>#NAME?</v>
      </c>
      <c r="O533" s="3"/>
      <c r="P533" s="3" t="e">
        <v>#NAME?</v>
      </c>
      <c r="Q533" s="3"/>
      <c r="R533" s="3"/>
    </row>
    <row r="534" customFormat="false" ht="15.75" hidden="false" customHeight="false" outlineLevel="0" collapsed="false">
      <c r="L534" s="3" t="e">
        <v>#NAME?</v>
      </c>
      <c r="M534" s="3" t="e">
        <v>#NAME?</v>
      </c>
      <c r="N534" s="1" t="e">
        <v>#NAME?</v>
      </c>
      <c r="O534" s="3"/>
      <c r="P534" s="3" t="e">
        <v>#NAME?</v>
      </c>
      <c r="Q534" s="3"/>
      <c r="R534" s="3"/>
    </row>
    <row r="535" customFormat="false" ht="15.75" hidden="false" customHeight="false" outlineLevel="0" collapsed="false">
      <c r="L535" s="3" t="e">
        <v>#NAME?</v>
      </c>
      <c r="M535" s="3" t="e">
        <v>#NAME?</v>
      </c>
      <c r="N535" s="1" t="e">
        <v>#NAME?</v>
      </c>
      <c r="O535" s="3"/>
      <c r="P535" s="3" t="e">
        <v>#NAME?</v>
      </c>
      <c r="Q535" s="3"/>
      <c r="R535" s="3"/>
    </row>
    <row r="536" customFormat="false" ht="15.75" hidden="false" customHeight="false" outlineLevel="0" collapsed="false">
      <c r="L536" s="3" t="e">
        <v>#NAME?</v>
      </c>
      <c r="M536" s="3" t="e">
        <v>#NAME?</v>
      </c>
      <c r="N536" s="1" t="e">
        <v>#NAME?</v>
      </c>
      <c r="O536" s="3"/>
      <c r="P536" s="3" t="e">
        <v>#NAME?</v>
      </c>
      <c r="Q536" s="3"/>
      <c r="R536" s="3"/>
    </row>
    <row r="537" customFormat="false" ht="15.75" hidden="false" customHeight="false" outlineLevel="0" collapsed="false">
      <c r="L537" s="3" t="e">
        <v>#NAME?</v>
      </c>
      <c r="M537" s="3" t="e">
        <v>#NAME?</v>
      </c>
      <c r="N537" s="1" t="e">
        <v>#NAME?</v>
      </c>
      <c r="O537" s="3"/>
      <c r="P537" s="3" t="e">
        <v>#NAME?</v>
      </c>
      <c r="Q537" s="3"/>
      <c r="R537" s="3"/>
    </row>
    <row r="538" customFormat="false" ht="15.75" hidden="false" customHeight="false" outlineLevel="0" collapsed="false">
      <c r="L538" s="3" t="e">
        <v>#NAME?</v>
      </c>
      <c r="M538" s="3" t="e">
        <v>#NAME?</v>
      </c>
      <c r="N538" s="1" t="e">
        <v>#NAME?</v>
      </c>
      <c r="O538" s="3"/>
      <c r="P538" s="3" t="e">
        <v>#NAME?</v>
      </c>
      <c r="Q538" s="3"/>
      <c r="R538" s="3"/>
    </row>
    <row r="539" customFormat="false" ht="15.75" hidden="false" customHeight="false" outlineLevel="0" collapsed="false">
      <c r="L539" s="3" t="e">
        <v>#NAME?</v>
      </c>
      <c r="M539" s="3" t="e">
        <v>#NAME?</v>
      </c>
      <c r="N539" s="1" t="e">
        <v>#NAME?</v>
      </c>
      <c r="O539" s="3"/>
      <c r="P539" s="3" t="e">
        <v>#NAME?</v>
      </c>
      <c r="Q539" s="3"/>
      <c r="R539" s="3"/>
    </row>
    <row r="540" customFormat="false" ht="15.75" hidden="false" customHeight="false" outlineLevel="0" collapsed="false">
      <c r="L540" s="3" t="e">
        <v>#NAME?</v>
      </c>
      <c r="M540" s="3" t="e">
        <v>#NAME?</v>
      </c>
      <c r="N540" s="1" t="e">
        <v>#NAME?</v>
      </c>
      <c r="O540" s="3"/>
      <c r="P540" s="3" t="e">
        <v>#NAME?</v>
      </c>
      <c r="Q540" s="3"/>
      <c r="R540" s="3"/>
    </row>
    <row r="541" customFormat="false" ht="15.75" hidden="false" customHeight="false" outlineLevel="0" collapsed="false">
      <c r="L541" s="3" t="e">
        <v>#NAME?</v>
      </c>
      <c r="M541" s="3" t="e">
        <v>#NAME?</v>
      </c>
      <c r="N541" s="1" t="e">
        <v>#NAME?</v>
      </c>
      <c r="O541" s="3"/>
      <c r="P541" s="3" t="e">
        <v>#NAME?</v>
      </c>
      <c r="Q541" s="3"/>
      <c r="R541" s="3"/>
    </row>
    <row r="542" customFormat="false" ht="15.75" hidden="false" customHeight="false" outlineLevel="0" collapsed="false">
      <c r="L542" s="3" t="e">
        <v>#NAME?</v>
      </c>
      <c r="M542" s="3" t="e">
        <v>#NAME?</v>
      </c>
      <c r="N542" s="1" t="e">
        <v>#NAME?</v>
      </c>
      <c r="O542" s="3"/>
      <c r="P542" s="3" t="e">
        <v>#NAME?</v>
      </c>
      <c r="Q542" s="3"/>
      <c r="R542" s="3"/>
    </row>
    <row r="543" customFormat="false" ht="15.75" hidden="false" customHeight="false" outlineLevel="0" collapsed="false">
      <c r="L543" s="3" t="e">
        <v>#NAME?</v>
      </c>
      <c r="M543" s="3" t="e">
        <v>#NAME?</v>
      </c>
      <c r="N543" s="1" t="e">
        <v>#NAME?</v>
      </c>
      <c r="O543" s="3"/>
      <c r="P543" s="3" t="e">
        <v>#NAME?</v>
      </c>
      <c r="Q543" s="3"/>
      <c r="R543" s="3"/>
    </row>
    <row r="544" customFormat="false" ht="15.75" hidden="false" customHeight="false" outlineLevel="0" collapsed="false">
      <c r="L544" s="3" t="e">
        <v>#NAME?</v>
      </c>
      <c r="M544" s="3" t="e">
        <v>#NAME?</v>
      </c>
      <c r="N544" s="1" t="e">
        <v>#NAME?</v>
      </c>
      <c r="O544" s="3"/>
      <c r="P544" s="3" t="e">
        <v>#NAME?</v>
      </c>
      <c r="Q544" s="3"/>
      <c r="R544" s="3"/>
    </row>
    <row r="545" customFormat="false" ht="15.75" hidden="false" customHeight="false" outlineLevel="0" collapsed="false">
      <c r="L545" s="3" t="e">
        <v>#NAME?</v>
      </c>
      <c r="M545" s="3" t="e">
        <v>#NAME?</v>
      </c>
      <c r="N545" s="1" t="e">
        <v>#NAME?</v>
      </c>
      <c r="O545" s="3"/>
      <c r="P545" s="3" t="e">
        <v>#NAME?</v>
      </c>
      <c r="Q545" s="3"/>
      <c r="R545" s="3"/>
    </row>
    <row r="546" customFormat="false" ht="15.75" hidden="false" customHeight="false" outlineLevel="0" collapsed="false">
      <c r="L546" s="3" t="e">
        <v>#NAME?</v>
      </c>
      <c r="M546" s="3" t="e">
        <v>#NAME?</v>
      </c>
      <c r="N546" s="1" t="e">
        <v>#NAME?</v>
      </c>
      <c r="O546" s="3"/>
      <c r="P546" s="3" t="e">
        <v>#NAME?</v>
      </c>
      <c r="Q546" s="3"/>
      <c r="R546" s="3"/>
    </row>
    <row r="547" customFormat="false" ht="15.75" hidden="false" customHeight="false" outlineLevel="0" collapsed="false">
      <c r="L547" s="3" t="e">
        <v>#NAME?</v>
      </c>
      <c r="M547" s="3" t="e">
        <v>#NAME?</v>
      </c>
      <c r="N547" s="1" t="e">
        <v>#NAME?</v>
      </c>
      <c r="O547" s="3"/>
      <c r="P547" s="3" t="e">
        <v>#NAME?</v>
      </c>
      <c r="Q547" s="3"/>
      <c r="R547" s="3"/>
    </row>
    <row r="548" customFormat="false" ht="15.75" hidden="false" customHeight="false" outlineLevel="0" collapsed="false">
      <c r="L548" s="3" t="e">
        <v>#NAME?</v>
      </c>
      <c r="M548" s="3" t="e">
        <v>#NAME?</v>
      </c>
      <c r="N548" s="1" t="e">
        <v>#NAME?</v>
      </c>
      <c r="O548" s="3"/>
      <c r="P548" s="3" t="e">
        <v>#NAME?</v>
      </c>
      <c r="Q548" s="3"/>
      <c r="R548" s="3"/>
    </row>
    <row r="549" customFormat="false" ht="15.75" hidden="false" customHeight="false" outlineLevel="0" collapsed="false">
      <c r="L549" s="3" t="e">
        <v>#NAME?</v>
      </c>
      <c r="M549" s="3" t="e">
        <v>#NAME?</v>
      </c>
      <c r="N549" s="1" t="e">
        <v>#NAME?</v>
      </c>
      <c r="O549" s="3"/>
      <c r="P549" s="3" t="e">
        <v>#NAME?</v>
      </c>
      <c r="Q549" s="3"/>
      <c r="R549" s="3"/>
    </row>
    <row r="550" customFormat="false" ht="15.75" hidden="false" customHeight="false" outlineLevel="0" collapsed="false">
      <c r="L550" s="3" t="e">
        <v>#NAME?</v>
      </c>
      <c r="M550" s="3" t="e">
        <v>#NAME?</v>
      </c>
      <c r="N550" s="1" t="e">
        <v>#NAME?</v>
      </c>
      <c r="O550" s="3"/>
      <c r="P550" s="3" t="e">
        <v>#NAME?</v>
      </c>
      <c r="Q550" s="3"/>
      <c r="R550" s="3"/>
    </row>
    <row r="551" customFormat="false" ht="15.75" hidden="false" customHeight="false" outlineLevel="0" collapsed="false">
      <c r="L551" s="3" t="e">
        <v>#NAME?</v>
      </c>
      <c r="M551" s="3" t="e">
        <v>#NAME?</v>
      </c>
      <c r="N551" s="1" t="e">
        <v>#NAME?</v>
      </c>
      <c r="O551" s="3"/>
      <c r="P551" s="3" t="e">
        <v>#NAME?</v>
      </c>
      <c r="Q551" s="3"/>
      <c r="R551" s="3"/>
    </row>
    <row r="552" customFormat="false" ht="15.75" hidden="false" customHeight="false" outlineLevel="0" collapsed="false">
      <c r="L552" s="3" t="e">
        <v>#NAME?</v>
      </c>
      <c r="M552" s="3" t="e">
        <v>#NAME?</v>
      </c>
      <c r="N552" s="1" t="e">
        <v>#NAME?</v>
      </c>
      <c r="O552" s="3"/>
      <c r="P552" s="3" t="e">
        <v>#NAME?</v>
      </c>
      <c r="Q552" s="3"/>
      <c r="R552" s="3"/>
    </row>
    <row r="553" customFormat="false" ht="15.75" hidden="false" customHeight="false" outlineLevel="0" collapsed="false">
      <c r="L553" s="3" t="e">
        <v>#NAME?</v>
      </c>
      <c r="M553" s="3" t="e">
        <v>#NAME?</v>
      </c>
      <c r="N553" s="1" t="e">
        <v>#NAME?</v>
      </c>
      <c r="O553" s="3"/>
      <c r="P553" s="3" t="e">
        <v>#NAME?</v>
      </c>
      <c r="Q553" s="3"/>
      <c r="R553" s="3"/>
    </row>
    <row r="554" customFormat="false" ht="15.75" hidden="false" customHeight="false" outlineLevel="0" collapsed="false">
      <c r="L554" s="3" t="e">
        <v>#NAME?</v>
      </c>
      <c r="M554" s="3" t="e">
        <v>#NAME?</v>
      </c>
      <c r="N554" s="1" t="e">
        <v>#NAME?</v>
      </c>
      <c r="O554" s="3"/>
      <c r="P554" s="3" t="e">
        <v>#NAME?</v>
      </c>
      <c r="Q554" s="3"/>
      <c r="R554" s="3"/>
    </row>
    <row r="555" customFormat="false" ht="15.75" hidden="false" customHeight="false" outlineLevel="0" collapsed="false">
      <c r="L555" s="3" t="e">
        <v>#NAME?</v>
      </c>
      <c r="M555" s="3" t="e">
        <v>#NAME?</v>
      </c>
      <c r="N555" s="1" t="e">
        <v>#NAME?</v>
      </c>
      <c r="O555" s="3"/>
      <c r="P555" s="3" t="e">
        <v>#NAME?</v>
      </c>
      <c r="Q555" s="3"/>
      <c r="R555" s="3"/>
    </row>
    <row r="556" customFormat="false" ht="15.75" hidden="false" customHeight="false" outlineLevel="0" collapsed="false">
      <c r="L556" s="3" t="e">
        <v>#NAME?</v>
      </c>
      <c r="M556" s="3" t="e">
        <v>#NAME?</v>
      </c>
      <c r="N556" s="1" t="e">
        <v>#NAME?</v>
      </c>
      <c r="O556" s="3"/>
      <c r="P556" s="3" t="e">
        <v>#NAME?</v>
      </c>
      <c r="Q556" s="3"/>
      <c r="R556" s="3"/>
    </row>
    <row r="557" customFormat="false" ht="15.75" hidden="false" customHeight="false" outlineLevel="0" collapsed="false">
      <c r="L557" s="3" t="e">
        <v>#NAME?</v>
      </c>
      <c r="M557" s="3" t="e">
        <v>#NAME?</v>
      </c>
      <c r="N557" s="1" t="e">
        <v>#NAME?</v>
      </c>
      <c r="O557" s="3"/>
      <c r="P557" s="3" t="e">
        <v>#NAME?</v>
      </c>
      <c r="Q557" s="3"/>
      <c r="R557" s="3"/>
    </row>
    <row r="558" customFormat="false" ht="15.75" hidden="false" customHeight="false" outlineLevel="0" collapsed="false">
      <c r="L558" s="3" t="e">
        <v>#NAME?</v>
      </c>
      <c r="M558" s="3" t="e">
        <v>#NAME?</v>
      </c>
      <c r="N558" s="1" t="e">
        <v>#NAME?</v>
      </c>
      <c r="O558" s="3"/>
      <c r="P558" s="3" t="e">
        <v>#NAME?</v>
      </c>
      <c r="Q558" s="3"/>
      <c r="R558" s="3"/>
    </row>
    <row r="559" customFormat="false" ht="15.75" hidden="false" customHeight="false" outlineLevel="0" collapsed="false">
      <c r="L559" s="3" t="e">
        <v>#NAME?</v>
      </c>
      <c r="M559" s="3" t="e">
        <v>#NAME?</v>
      </c>
      <c r="N559" s="1" t="e">
        <v>#NAME?</v>
      </c>
      <c r="O559" s="3"/>
      <c r="P559" s="3" t="e">
        <v>#NAME?</v>
      </c>
      <c r="Q559" s="3"/>
      <c r="R559" s="3"/>
    </row>
    <row r="560" customFormat="false" ht="15.75" hidden="false" customHeight="false" outlineLevel="0" collapsed="false">
      <c r="L560" s="3" t="e">
        <v>#NAME?</v>
      </c>
      <c r="M560" s="3" t="e">
        <v>#NAME?</v>
      </c>
      <c r="N560" s="1" t="e">
        <v>#NAME?</v>
      </c>
      <c r="O560" s="3"/>
      <c r="P560" s="3" t="e">
        <v>#NAME?</v>
      </c>
      <c r="Q560" s="3"/>
      <c r="R560" s="3"/>
    </row>
    <row r="561" customFormat="false" ht="15.75" hidden="false" customHeight="false" outlineLevel="0" collapsed="false">
      <c r="L561" s="3" t="e">
        <v>#NAME?</v>
      </c>
      <c r="M561" s="3" t="e">
        <v>#NAME?</v>
      </c>
      <c r="N561" s="1" t="e">
        <v>#NAME?</v>
      </c>
      <c r="O561" s="3"/>
      <c r="P561" s="3" t="e">
        <v>#NAME?</v>
      </c>
      <c r="Q561" s="3"/>
      <c r="R561" s="3"/>
    </row>
    <row r="562" customFormat="false" ht="15.75" hidden="false" customHeight="false" outlineLevel="0" collapsed="false">
      <c r="L562" s="3" t="e">
        <v>#NAME?</v>
      </c>
      <c r="M562" s="3" t="e">
        <v>#NAME?</v>
      </c>
      <c r="N562" s="1" t="e">
        <v>#NAME?</v>
      </c>
      <c r="O562" s="3"/>
      <c r="P562" s="3" t="e">
        <v>#NAME?</v>
      </c>
      <c r="Q562" s="3"/>
      <c r="R562" s="3"/>
    </row>
    <row r="563" customFormat="false" ht="15.75" hidden="false" customHeight="false" outlineLevel="0" collapsed="false">
      <c r="L563" s="3" t="e">
        <v>#NAME?</v>
      </c>
      <c r="M563" s="3" t="e">
        <v>#NAME?</v>
      </c>
      <c r="N563" s="1" t="e">
        <v>#NAME?</v>
      </c>
      <c r="O563" s="3"/>
      <c r="P563" s="3" t="e">
        <v>#NAME?</v>
      </c>
      <c r="Q563" s="3"/>
      <c r="R563" s="3"/>
    </row>
    <row r="564" customFormat="false" ht="15.75" hidden="false" customHeight="false" outlineLevel="0" collapsed="false">
      <c r="L564" s="3" t="e">
        <v>#NAME?</v>
      </c>
      <c r="M564" s="3" t="e">
        <v>#NAME?</v>
      </c>
      <c r="N564" s="1" t="e">
        <v>#NAME?</v>
      </c>
      <c r="O564" s="3"/>
      <c r="P564" s="3" t="e">
        <v>#NAME?</v>
      </c>
      <c r="Q564" s="3"/>
      <c r="R564" s="3"/>
    </row>
    <row r="565" customFormat="false" ht="15.75" hidden="false" customHeight="false" outlineLevel="0" collapsed="false">
      <c r="L565" s="3" t="e">
        <v>#NAME?</v>
      </c>
      <c r="M565" s="3" t="e">
        <v>#NAME?</v>
      </c>
      <c r="N565" s="1" t="e">
        <v>#NAME?</v>
      </c>
      <c r="O565" s="3"/>
      <c r="P565" s="3" t="e">
        <v>#NAME?</v>
      </c>
      <c r="Q565" s="3"/>
      <c r="R565" s="3"/>
    </row>
    <row r="566" customFormat="false" ht="15.75" hidden="false" customHeight="false" outlineLevel="0" collapsed="false">
      <c r="L566" s="3" t="e">
        <v>#NAME?</v>
      </c>
      <c r="M566" s="3" t="e">
        <v>#NAME?</v>
      </c>
      <c r="N566" s="1" t="e">
        <v>#NAME?</v>
      </c>
      <c r="O566" s="3"/>
      <c r="P566" s="3" t="e">
        <v>#NAME?</v>
      </c>
      <c r="Q566" s="3"/>
      <c r="R566" s="3"/>
    </row>
    <row r="567" customFormat="false" ht="15.75" hidden="false" customHeight="false" outlineLevel="0" collapsed="false">
      <c r="L567" s="3" t="e">
        <v>#NAME?</v>
      </c>
      <c r="M567" s="3" t="e">
        <v>#NAME?</v>
      </c>
      <c r="N567" s="1" t="e">
        <v>#NAME?</v>
      </c>
      <c r="O567" s="3"/>
      <c r="P567" s="3" t="e">
        <v>#NAME?</v>
      </c>
      <c r="Q567" s="3"/>
      <c r="R567" s="3"/>
    </row>
    <row r="568" customFormat="false" ht="15.75" hidden="false" customHeight="false" outlineLevel="0" collapsed="false">
      <c r="L568" s="3" t="e">
        <v>#NAME?</v>
      </c>
      <c r="M568" s="3" t="e">
        <v>#NAME?</v>
      </c>
      <c r="N568" s="1" t="e">
        <v>#NAME?</v>
      </c>
      <c r="O568" s="3"/>
      <c r="P568" s="3" t="e">
        <v>#NAME?</v>
      </c>
      <c r="Q568" s="3"/>
      <c r="R568" s="3"/>
    </row>
    <row r="569" customFormat="false" ht="15.75" hidden="false" customHeight="false" outlineLevel="0" collapsed="false">
      <c r="L569" s="3" t="e">
        <v>#NAME?</v>
      </c>
      <c r="M569" s="3" t="e">
        <v>#NAME?</v>
      </c>
      <c r="N569" s="1" t="e">
        <v>#NAME?</v>
      </c>
      <c r="O569" s="3"/>
      <c r="P569" s="3" t="e">
        <v>#NAME?</v>
      </c>
      <c r="Q569" s="3"/>
      <c r="R569" s="3"/>
    </row>
    <row r="570" customFormat="false" ht="15.75" hidden="false" customHeight="false" outlineLevel="0" collapsed="false">
      <c r="L570" s="3" t="e">
        <v>#NAME?</v>
      </c>
      <c r="M570" s="3" t="e">
        <v>#NAME?</v>
      </c>
      <c r="N570" s="1" t="e">
        <v>#NAME?</v>
      </c>
      <c r="O570" s="3"/>
      <c r="P570" s="3" t="e">
        <v>#NAME?</v>
      </c>
      <c r="Q570" s="3"/>
      <c r="R570" s="3"/>
    </row>
    <row r="571" customFormat="false" ht="15.75" hidden="false" customHeight="false" outlineLevel="0" collapsed="false">
      <c r="L571" s="3" t="e">
        <v>#NAME?</v>
      </c>
      <c r="M571" s="3" t="e">
        <v>#NAME?</v>
      </c>
      <c r="N571" s="1" t="e">
        <v>#NAME?</v>
      </c>
      <c r="O571" s="3"/>
      <c r="P571" s="3" t="e">
        <v>#NAME?</v>
      </c>
      <c r="Q571" s="3"/>
      <c r="R571" s="3"/>
    </row>
    <row r="572" customFormat="false" ht="15.75" hidden="false" customHeight="false" outlineLevel="0" collapsed="false">
      <c r="L572" s="3" t="e">
        <v>#NAME?</v>
      </c>
      <c r="M572" s="3" t="e">
        <v>#NAME?</v>
      </c>
      <c r="N572" s="1" t="e">
        <v>#NAME?</v>
      </c>
      <c r="O572" s="3"/>
      <c r="P572" s="3" t="e">
        <v>#NAME?</v>
      </c>
      <c r="Q572" s="3"/>
      <c r="R572" s="3"/>
    </row>
    <row r="573" customFormat="false" ht="15.75" hidden="false" customHeight="false" outlineLevel="0" collapsed="false">
      <c r="L573" s="3" t="e">
        <v>#NAME?</v>
      </c>
      <c r="M573" s="3" t="e">
        <v>#NAME?</v>
      </c>
      <c r="N573" s="1" t="e">
        <v>#NAME?</v>
      </c>
      <c r="O573" s="3"/>
      <c r="P573" s="3" t="e">
        <v>#NAME?</v>
      </c>
      <c r="Q573" s="3"/>
      <c r="R573" s="3"/>
    </row>
    <row r="574" customFormat="false" ht="15.75" hidden="false" customHeight="false" outlineLevel="0" collapsed="false">
      <c r="L574" s="3" t="e">
        <v>#NAME?</v>
      </c>
      <c r="M574" s="3" t="e">
        <v>#NAME?</v>
      </c>
      <c r="N574" s="1" t="e">
        <v>#NAME?</v>
      </c>
      <c r="O574" s="3"/>
      <c r="P574" s="3" t="e">
        <v>#NAME?</v>
      </c>
      <c r="Q574" s="3"/>
      <c r="R574" s="3"/>
    </row>
    <row r="575" customFormat="false" ht="15.75" hidden="false" customHeight="false" outlineLevel="0" collapsed="false">
      <c r="L575" s="3" t="e">
        <v>#NAME?</v>
      </c>
      <c r="M575" s="3" t="e">
        <v>#NAME?</v>
      </c>
      <c r="N575" s="1" t="e">
        <v>#NAME?</v>
      </c>
      <c r="O575" s="3"/>
      <c r="P575" s="3" t="e">
        <v>#NAME?</v>
      </c>
      <c r="Q575" s="3"/>
      <c r="R575" s="3"/>
    </row>
    <row r="576" customFormat="false" ht="15.75" hidden="false" customHeight="false" outlineLevel="0" collapsed="false">
      <c r="L576" s="3" t="e">
        <v>#NAME?</v>
      </c>
      <c r="M576" s="3" t="e">
        <v>#NAME?</v>
      </c>
      <c r="N576" s="1" t="e">
        <v>#NAME?</v>
      </c>
      <c r="O576" s="3"/>
      <c r="P576" s="3" t="e">
        <v>#NAME?</v>
      </c>
      <c r="Q576" s="3"/>
      <c r="R576" s="3"/>
    </row>
    <row r="577" customFormat="false" ht="15.75" hidden="false" customHeight="false" outlineLevel="0" collapsed="false">
      <c r="L577" s="3" t="e">
        <v>#NAME?</v>
      </c>
      <c r="M577" s="3" t="e">
        <v>#NAME?</v>
      </c>
      <c r="N577" s="1" t="e">
        <v>#NAME?</v>
      </c>
      <c r="O577" s="3"/>
      <c r="P577" s="3" t="e">
        <v>#NAME?</v>
      </c>
      <c r="Q577" s="3"/>
      <c r="R577" s="3"/>
    </row>
    <row r="578" customFormat="false" ht="15.75" hidden="false" customHeight="false" outlineLevel="0" collapsed="false">
      <c r="L578" s="3" t="e">
        <v>#NAME?</v>
      </c>
      <c r="M578" s="3" t="e">
        <v>#NAME?</v>
      </c>
      <c r="N578" s="1" t="e">
        <v>#NAME?</v>
      </c>
      <c r="O578" s="3"/>
      <c r="P578" s="3" t="e">
        <v>#NAME?</v>
      </c>
      <c r="Q578" s="3"/>
      <c r="R578" s="3"/>
    </row>
    <row r="579" customFormat="false" ht="15.75" hidden="false" customHeight="false" outlineLevel="0" collapsed="false">
      <c r="L579" s="3" t="e">
        <v>#NAME?</v>
      </c>
      <c r="M579" s="3" t="e">
        <v>#NAME?</v>
      </c>
      <c r="N579" s="1" t="e">
        <v>#NAME?</v>
      </c>
      <c r="O579" s="3"/>
      <c r="P579" s="3" t="e">
        <v>#NAME?</v>
      </c>
      <c r="Q579" s="3"/>
      <c r="R579" s="3"/>
    </row>
    <row r="580" customFormat="false" ht="15.75" hidden="false" customHeight="false" outlineLevel="0" collapsed="false">
      <c r="L580" s="3" t="e">
        <v>#NAME?</v>
      </c>
      <c r="M580" s="3" t="e">
        <v>#NAME?</v>
      </c>
      <c r="N580" s="1" t="e">
        <v>#NAME?</v>
      </c>
      <c r="O580" s="3"/>
      <c r="P580" s="3" t="e">
        <v>#NAME?</v>
      </c>
      <c r="Q580" s="3"/>
      <c r="R580" s="3"/>
    </row>
    <row r="581" customFormat="false" ht="15.75" hidden="false" customHeight="false" outlineLevel="0" collapsed="false">
      <c r="L581" s="3" t="e">
        <v>#NAME?</v>
      </c>
      <c r="M581" s="3" t="e">
        <v>#NAME?</v>
      </c>
      <c r="N581" s="1" t="e">
        <v>#NAME?</v>
      </c>
      <c r="O581" s="3"/>
      <c r="P581" s="3" t="e">
        <v>#NAME?</v>
      </c>
      <c r="Q581" s="3"/>
      <c r="R581" s="3"/>
    </row>
    <row r="582" customFormat="false" ht="15.75" hidden="false" customHeight="false" outlineLevel="0" collapsed="false">
      <c r="L582" s="3" t="e">
        <v>#NAME?</v>
      </c>
      <c r="M582" s="3" t="e">
        <v>#NAME?</v>
      </c>
      <c r="N582" s="1" t="e">
        <v>#NAME?</v>
      </c>
      <c r="O582" s="3"/>
      <c r="P582" s="3" t="e">
        <v>#NAME?</v>
      </c>
      <c r="Q582" s="3"/>
      <c r="R582" s="3"/>
    </row>
    <row r="583" customFormat="false" ht="15.75" hidden="false" customHeight="false" outlineLevel="0" collapsed="false">
      <c r="L583" s="3" t="e">
        <v>#NAME?</v>
      </c>
      <c r="M583" s="3" t="e">
        <v>#NAME?</v>
      </c>
      <c r="N583" s="1" t="e">
        <v>#NAME?</v>
      </c>
      <c r="O583" s="3"/>
      <c r="P583" s="3" t="e">
        <v>#NAME?</v>
      </c>
      <c r="Q583" s="3"/>
      <c r="R583" s="3"/>
    </row>
    <row r="584" customFormat="false" ht="15.75" hidden="false" customHeight="false" outlineLevel="0" collapsed="false">
      <c r="L584" s="3" t="e">
        <v>#NAME?</v>
      </c>
      <c r="M584" s="3" t="e">
        <v>#NAME?</v>
      </c>
      <c r="N584" s="1" t="e">
        <v>#NAME?</v>
      </c>
      <c r="O584" s="3"/>
      <c r="P584" s="3" t="e">
        <v>#NAME?</v>
      </c>
      <c r="Q584" s="3"/>
      <c r="R584" s="3"/>
    </row>
    <row r="585" customFormat="false" ht="15.75" hidden="false" customHeight="false" outlineLevel="0" collapsed="false">
      <c r="L585" s="3" t="e">
        <v>#NAME?</v>
      </c>
      <c r="M585" s="3" t="e">
        <v>#NAME?</v>
      </c>
      <c r="N585" s="1" t="e">
        <v>#NAME?</v>
      </c>
      <c r="O585" s="3"/>
      <c r="P585" s="3" t="e">
        <v>#NAME?</v>
      </c>
      <c r="Q585" s="3"/>
      <c r="R585" s="3"/>
    </row>
    <row r="586" customFormat="false" ht="15.75" hidden="false" customHeight="false" outlineLevel="0" collapsed="false">
      <c r="L586" s="3" t="e">
        <v>#NAME?</v>
      </c>
      <c r="M586" s="3" t="e">
        <v>#NAME?</v>
      </c>
      <c r="N586" s="1" t="e">
        <v>#NAME?</v>
      </c>
      <c r="O586" s="3"/>
      <c r="P586" s="3" t="e">
        <v>#NAME?</v>
      </c>
      <c r="Q586" s="3"/>
      <c r="R586" s="3"/>
    </row>
    <row r="587" customFormat="false" ht="15.75" hidden="false" customHeight="false" outlineLevel="0" collapsed="false">
      <c r="L587" s="3" t="e">
        <v>#NAME?</v>
      </c>
      <c r="M587" s="3" t="e">
        <v>#NAME?</v>
      </c>
      <c r="N587" s="1" t="e">
        <v>#NAME?</v>
      </c>
      <c r="O587" s="3"/>
      <c r="P587" s="3" t="e">
        <v>#NAME?</v>
      </c>
      <c r="Q587" s="3"/>
      <c r="R587" s="3"/>
    </row>
    <row r="588" customFormat="false" ht="15.75" hidden="false" customHeight="false" outlineLevel="0" collapsed="false">
      <c r="L588" s="3" t="e">
        <v>#NAME?</v>
      </c>
      <c r="M588" s="3" t="e">
        <v>#NAME?</v>
      </c>
      <c r="N588" s="1" t="e">
        <v>#NAME?</v>
      </c>
      <c r="O588" s="3"/>
      <c r="P588" s="3" t="e">
        <v>#NAME?</v>
      </c>
      <c r="Q588" s="3"/>
      <c r="R588" s="3"/>
    </row>
    <row r="589" customFormat="false" ht="15.75" hidden="false" customHeight="false" outlineLevel="0" collapsed="false">
      <c r="L589" s="3" t="e">
        <v>#NAME?</v>
      </c>
      <c r="M589" s="3" t="e">
        <v>#NAME?</v>
      </c>
      <c r="N589" s="1" t="e">
        <v>#NAME?</v>
      </c>
      <c r="O589" s="3"/>
      <c r="P589" s="3" t="e">
        <v>#NAME?</v>
      </c>
      <c r="Q589" s="3"/>
      <c r="R589" s="3"/>
    </row>
    <row r="590" customFormat="false" ht="15.75" hidden="false" customHeight="false" outlineLevel="0" collapsed="false">
      <c r="L590" s="3" t="e">
        <v>#NAME?</v>
      </c>
      <c r="M590" s="3" t="e">
        <v>#NAME?</v>
      </c>
      <c r="N590" s="1" t="e">
        <v>#NAME?</v>
      </c>
      <c r="O590" s="3"/>
      <c r="P590" s="3" t="e">
        <v>#NAME?</v>
      </c>
      <c r="Q590" s="3"/>
      <c r="R590" s="3"/>
    </row>
    <row r="591" customFormat="false" ht="15.75" hidden="false" customHeight="false" outlineLevel="0" collapsed="false">
      <c r="L591" s="3" t="e">
        <v>#NAME?</v>
      </c>
      <c r="M591" s="3" t="e">
        <v>#NAME?</v>
      </c>
      <c r="N591" s="1" t="e">
        <v>#NAME?</v>
      </c>
      <c r="O591" s="3"/>
      <c r="P591" s="3" t="e">
        <v>#NAME?</v>
      </c>
      <c r="Q591" s="3"/>
      <c r="R591" s="3"/>
    </row>
    <row r="592" customFormat="false" ht="15.75" hidden="false" customHeight="false" outlineLevel="0" collapsed="false">
      <c r="L592" s="3" t="e">
        <v>#NAME?</v>
      </c>
      <c r="M592" s="3" t="e">
        <v>#NAME?</v>
      </c>
      <c r="N592" s="1" t="e">
        <v>#NAME?</v>
      </c>
      <c r="O592" s="3"/>
      <c r="P592" s="3" t="e">
        <v>#NAME?</v>
      </c>
      <c r="Q592" s="3"/>
      <c r="R592" s="3"/>
    </row>
    <row r="593" customFormat="false" ht="15.75" hidden="false" customHeight="false" outlineLevel="0" collapsed="false">
      <c r="L593" s="3" t="e">
        <v>#NAME?</v>
      </c>
      <c r="M593" s="3" t="e">
        <v>#NAME?</v>
      </c>
      <c r="N593" s="1" t="e">
        <v>#NAME?</v>
      </c>
      <c r="O593" s="3"/>
      <c r="P593" s="3" t="e">
        <v>#NAME?</v>
      </c>
      <c r="Q593" s="3"/>
      <c r="R593" s="3"/>
    </row>
    <row r="594" customFormat="false" ht="15.75" hidden="false" customHeight="false" outlineLevel="0" collapsed="false">
      <c r="L594" s="3" t="e">
        <v>#NAME?</v>
      </c>
      <c r="M594" s="3" t="e">
        <v>#NAME?</v>
      </c>
      <c r="N594" s="1" t="e">
        <v>#NAME?</v>
      </c>
      <c r="O594" s="3"/>
      <c r="P594" s="3" t="e">
        <v>#NAME?</v>
      </c>
      <c r="Q594" s="3"/>
      <c r="R594" s="3"/>
    </row>
    <row r="595" customFormat="false" ht="15.75" hidden="false" customHeight="false" outlineLevel="0" collapsed="false">
      <c r="L595" s="3" t="e">
        <v>#NAME?</v>
      </c>
      <c r="M595" s="3" t="e">
        <v>#NAME?</v>
      </c>
      <c r="N595" s="1" t="e">
        <v>#NAME?</v>
      </c>
      <c r="O595" s="3"/>
      <c r="P595" s="3" t="e">
        <v>#NAME?</v>
      </c>
      <c r="Q595" s="3"/>
      <c r="R595" s="3"/>
    </row>
    <row r="596" customFormat="false" ht="15.75" hidden="false" customHeight="false" outlineLevel="0" collapsed="false">
      <c r="L596" s="3" t="e">
        <v>#NAME?</v>
      </c>
      <c r="M596" s="3" t="e">
        <v>#NAME?</v>
      </c>
      <c r="N596" s="1" t="e">
        <v>#NAME?</v>
      </c>
      <c r="O596" s="3"/>
      <c r="P596" s="3" t="e">
        <v>#NAME?</v>
      </c>
      <c r="Q596" s="3"/>
      <c r="R596" s="3"/>
    </row>
    <row r="597" customFormat="false" ht="15.75" hidden="false" customHeight="false" outlineLevel="0" collapsed="false">
      <c r="L597" s="3" t="e">
        <v>#NAME?</v>
      </c>
      <c r="M597" s="3" t="e">
        <v>#NAME?</v>
      </c>
      <c r="N597" s="1" t="e">
        <v>#NAME?</v>
      </c>
      <c r="O597" s="3"/>
      <c r="P597" s="3" t="e">
        <v>#NAME?</v>
      </c>
      <c r="Q597" s="3"/>
      <c r="R597" s="3"/>
    </row>
    <row r="598" customFormat="false" ht="15.75" hidden="false" customHeight="false" outlineLevel="0" collapsed="false">
      <c r="L598" s="3" t="e">
        <v>#NAME?</v>
      </c>
      <c r="M598" s="3" t="e">
        <v>#NAME?</v>
      </c>
      <c r="N598" s="1" t="e">
        <v>#NAME?</v>
      </c>
      <c r="O598" s="3"/>
      <c r="P598" s="3" t="e">
        <v>#NAME?</v>
      </c>
      <c r="Q598" s="3"/>
      <c r="R598" s="3"/>
    </row>
    <row r="599" customFormat="false" ht="15.75" hidden="false" customHeight="false" outlineLevel="0" collapsed="false">
      <c r="L599" s="3" t="e">
        <v>#NAME?</v>
      </c>
      <c r="M599" s="3" t="e">
        <v>#NAME?</v>
      </c>
      <c r="N599" s="1" t="e">
        <v>#NAME?</v>
      </c>
      <c r="O599" s="3"/>
      <c r="P599" s="3" t="e">
        <v>#NAME?</v>
      </c>
      <c r="Q599" s="3"/>
      <c r="R599" s="3"/>
    </row>
    <row r="600" customFormat="false" ht="15.75" hidden="false" customHeight="false" outlineLevel="0" collapsed="false">
      <c r="L600" s="3" t="e">
        <v>#NAME?</v>
      </c>
      <c r="M600" s="3" t="e">
        <v>#NAME?</v>
      </c>
      <c r="N600" s="1" t="e">
        <v>#NAME?</v>
      </c>
      <c r="O600" s="3"/>
      <c r="P600" s="3" t="e">
        <v>#NAME?</v>
      </c>
      <c r="Q600" s="3"/>
      <c r="R600" s="3"/>
    </row>
    <row r="601" customFormat="false" ht="15.75" hidden="false" customHeight="false" outlineLevel="0" collapsed="false">
      <c r="L601" s="3" t="e">
        <v>#NAME?</v>
      </c>
      <c r="M601" s="3" t="e">
        <v>#NAME?</v>
      </c>
      <c r="N601" s="1" t="e">
        <v>#NAME?</v>
      </c>
      <c r="O601" s="3"/>
      <c r="P601" s="3" t="e">
        <v>#NAME?</v>
      </c>
      <c r="Q601" s="3"/>
      <c r="R601" s="3"/>
    </row>
    <row r="602" customFormat="false" ht="15.75" hidden="false" customHeight="false" outlineLevel="0" collapsed="false">
      <c r="L602" s="3" t="e">
        <v>#NAME?</v>
      </c>
      <c r="M602" s="3" t="e">
        <v>#NAME?</v>
      </c>
      <c r="N602" s="1" t="e">
        <v>#NAME?</v>
      </c>
      <c r="O602" s="3"/>
      <c r="P602" s="3" t="e">
        <v>#NAME?</v>
      </c>
      <c r="Q602" s="3"/>
      <c r="R602" s="3"/>
    </row>
    <row r="603" customFormat="false" ht="15.75" hidden="false" customHeight="false" outlineLevel="0" collapsed="false">
      <c r="L603" s="3" t="e">
        <v>#NAME?</v>
      </c>
      <c r="M603" s="3" t="e">
        <v>#NAME?</v>
      </c>
      <c r="N603" s="1" t="e">
        <v>#NAME?</v>
      </c>
      <c r="O603" s="3"/>
      <c r="P603" s="3" t="e">
        <v>#NAME?</v>
      </c>
      <c r="Q603" s="3"/>
      <c r="R603" s="3"/>
    </row>
    <row r="604" customFormat="false" ht="15.75" hidden="false" customHeight="false" outlineLevel="0" collapsed="false">
      <c r="L604" s="3" t="e">
        <v>#NAME?</v>
      </c>
      <c r="M604" s="3" t="e">
        <v>#NAME?</v>
      </c>
      <c r="N604" s="1" t="e">
        <v>#NAME?</v>
      </c>
      <c r="O604" s="3"/>
      <c r="P604" s="3" t="e">
        <v>#NAME?</v>
      </c>
      <c r="Q604" s="3"/>
      <c r="R604" s="3"/>
    </row>
    <row r="605" customFormat="false" ht="15.75" hidden="false" customHeight="false" outlineLevel="0" collapsed="false">
      <c r="L605" s="3" t="e">
        <v>#NAME?</v>
      </c>
      <c r="M605" s="3" t="e">
        <v>#NAME?</v>
      </c>
      <c r="N605" s="1" t="e">
        <v>#NAME?</v>
      </c>
      <c r="O605" s="3"/>
      <c r="P605" s="3" t="e">
        <v>#NAME?</v>
      </c>
      <c r="Q605" s="3"/>
      <c r="R605" s="3"/>
    </row>
    <row r="606" customFormat="false" ht="15.75" hidden="false" customHeight="false" outlineLevel="0" collapsed="false">
      <c r="L606" s="3" t="e">
        <v>#NAME?</v>
      </c>
      <c r="M606" s="3" t="e">
        <v>#NAME?</v>
      </c>
      <c r="N606" s="1" t="e">
        <v>#NAME?</v>
      </c>
      <c r="O606" s="3"/>
      <c r="P606" s="3" t="e">
        <v>#NAME?</v>
      </c>
      <c r="Q606" s="3"/>
      <c r="R606" s="3"/>
    </row>
    <row r="607" customFormat="false" ht="15.75" hidden="false" customHeight="false" outlineLevel="0" collapsed="false">
      <c r="L607" s="3" t="e">
        <v>#NAME?</v>
      </c>
      <c r="M607" s="3" t="e">
        <v>#NAME?</v>
      </c>
      <c r="N607" s="1" t="e">
        <v>#NAME?</v>
      </c>
      <c r="O607" s="3"/>
      <c r="P607" s="3" t="e">
        <v>#NAME?</v>
      </c>
      <c r="Q607" s="3"/>
      <c r="R607" s="3"/>
    </row>
    <row r="608" customFormat="false" ht="15.75" hidden="false" customHeight="false" outlineLevel="0" collapsed="false">
      <c r="L608" s="3" t="e">
        <v>#NAME?</v>
      </c>
      <c r="M608" s="3" t="e">
        <v>#NAME?</v>
      </c>
      <c r="N608" s="1" t="e">
        <v>#NAME?</v>
      </c>
      <c r="O608" s="3"/>
      <c r="P608" s="3" t="e">
        <v>#NAME?</v>
      </c>
      <c r="Q608" s="3"/>
      <c r="R608" s="3"/>
    </row>
    <row r="609" customFormat="false" ht="15.75" hidden="false" customHeight="false" outlineLevel="0" collapsed="false">
      <c r="L609" s="3" t="e">
        <v>#NAME?</v>
      </c>
      <c r="M609" s="3" t="e">
        <v>#NAME?</v>
      </c>
      <c r="N609" s="1" t="e">
        <v>#NAME?</v>
      </c>
      <c r="O609" s="3"/>
      <c r="P609" s="3" t="e">
        <v>#NAME?</v>
      </c>
      <c r="Q609" s="3"/>
      <c r="R609" s="3"/>
    </row>
    <row r="610" customFormat="false" ht="15.75" hidden="false" customHeight="false" outlineLevel="0" collapsed="false">
      <c r="L610" s="3" t="e">
        <v>#NAME?</v>
      </c>
      <c r="M610" s="3" t="e">
        <v>#NAME?</v>
      </c>
      <c r="N610" s="1" t="e">
        <v>#NAME?</v>
      </c>
      <c r="O610" s="3"/>
      <c r="P610" s="3" t="e">
        <v>#NAME?</v>
      </c>
      <c r="Q610" s="3"/>
      <c r="R610" s="3"/>
    </row>
    <row r="611" customFormat="false" ht="15.75" hidden="false" customHeight="false" outlineLevel="0" collapsed="false">
      <c r="L611" s="3" t="e">
        <v>#NAME?</v>
      </c>
      <c r="M611" s="3" t="e">
        <v>#NAME?</v>
      </c>
      <c r="N611" s="1" t="e">
        <v>#NAME?</v>
      </c>
      <c r="O611" s="3"/>
      <c r="P611" s="3" t="e">
        <v>#NAME?</v>
      </c>
      <c r="Q611" s="3"/>
      <c r="R611" s="3"/>
    </row>
    <row r="612" customFormat="false" ht="15.75" hidden="false" customHeight="false" outlineLevel="0" collapsed="false">
      <c r="L612" s="3" t="e">
        <v>#NAME?</v>
      </c>
      <c r="M612" s="3" t="e">
        <v>#NAME?</v>
      </c>
      <c r="N612" s="1" t="e">
        <v>#NAME?</v>
      </c>
      <c r="O612" s="3"/>
      <c r="P612" s="3" t="e">
        <v>#NAME?</v>
      </c>
      <c r="Q612" s="3"/>
      <c r="R612" s="3"/>
    </row>
    <row r="613" customFormat="false" ht="15.75" hidden="false" customHeight="false" outlineLevel="0" collapsed="false">
      <c r="L613" s="3" t="e">
        <v>#NAME?</v>
      </c>
      <c r="M613" s="3" t="e">
        <v>#NAME?</v>
      </c>
      <c r="N613" s="1" t="e">
        <v>#NAME?</v>
      </c>
      <c r="O613" s="3"/>
      <c r="P613" s="3" t="e">
        <v>#NAME?</v>
      </c>
      <c r="Q613" s="3"/>
      <c r="R613" s="3"/>
    </row>
    <row r="614" customFormat="false" ht="15.75" hidden="false" customHeight="false" outlineLevel="0" collapsed="false">
      <c r="L614" s="3" t="e">
        <v>#NAME?</v>
      </c>
      <c r="M614" s="3" t="e">
        <v>#NAME?</v>
      </c>
      <c r="N614" s="1" t="e">
        <v>#NAME?</v>
      </c>
      <c r="O614" s="3"/>
      <c r="P614" s="3" t="e">
        <v>#NAME?</v>
      </c>
      <c r="Q614" s="3"/>
      <c r="R614" s="3"/>
    </row>
    <row r="615" customFormat="false" ht="15.75" hidden="false" customHeight="false" outlineLevel="0" collapsed="false">
      <c r="L615" s="3" t="e">
        <v>#NAME?</v>
      </c>
      <c r="M615" s="3" t="e">
        <v>#NAME?</v>
      </c>
      <c r="N615" s="1" t="e">
        <v>#NAME?</v>
      </c>
      <c r="O615" s="3"/>
      <c r="P615" s="3" t="e">
        <v>#NAME?</v>
      </c>
      <c r="Q615" s="3"/>
      <c r="R615" s="3"/>
    </row>
    <row r="616" customFormat="false" ht="15.75" hidden="false" customHeight="false" outlineLevel="0" collapsed="false">
      <c r="L616" s="3" t="e">
        <v>#NAME?</v>
      </c>
      <c r="M616" s="3" t="e">
        <v>#NAME?</v>
      </c>
      <c r="N616" s="1" t="e">
        <v>#NAME?</v>
      </c>
      <c r="O616" s="3"/>
      <c r="P616" s="3" t="e">
        <v>#NAME?</v>
      </c>
      <c r="Q616" s="3"/>
      <c r="R616" s="3"/>
    </row>
    <row r="617" customFormat="false" ht="15.75" hidden="false" customHeight="false" outlineLevel="0" collapsed="false">
      <c r="L617" s="3" t="e">
        <v>#NAME?</v>
      </c>
      <c r="M617" s="3" t="e">
        <v>#NAME?</v>
      </c>
      <c r="N617" s="1" t="e">
        <v>#NAME?</v>
      </c>
      <c r="O617" s="3"/>
      <c r="P617" s="3" t="e">
        <v>#NAME?</v>
      </c>
      <c r="Q617" s="3"/>
      <c r="R617" s="3"/>
    </row>
    <row r="618" customFormat="false" ht="15.75" hidden="false" customHeight="false" outlineLevel="0" collapsed="false">
      <c r="L618" s="3" t="e">
        <v>#NAME?</v>
      </c>
      <c r="M618" s="3" t="e">
        <v>#NAME?</v>
      </c>
      <c r="N618" s="1" t="e">
        <v>#NAME?</v>
      </c>
      <c r="O618" s="3"/>
      <c r="P618" s="3" t="e">
        <v>#NAME?</v>
      </c>
      <c r="Q618" s="3"/>
      <c r="R618" s="3"/>
    </row>
    <row r="619" customFormat="false" ht="15.75" hidden="false" customHeight="false" outlineLevel="0" collapsed="false">
      <c r="L619" s="3" t="e">
        <v>#NAME?</v>
      </c>
      <c r="M619" s="3" t="e">
        <v>#NAME?</v>
      </c>
      <c r="N619" s="1" t="e">
        <v>#NAME?</v>
      </c>
      <c r="O619" s="3"/>
      <c r="P619" s="3" t="e">
        <v>#NAME?</v>
      </c>
      <c r="Q619" s="3"/>
      <c r="R619" s="3"/>
    </row>
    <row r="620" customFormat="false" ht="15.75" hidden="false" customHeight="false" outlineLevel="0" collapsed="false">
      <c r="L620" s="3" t="e">
        <v>#NAME?</v>
      </c>
      <c r="M620" s="3" t="e">
        <v>#NAME?</v>
      </c>
      <c r="N620" s="1" t="e">
        <v>#NAME?</v>
      </c>
      <c r="O620" s="3"/>
      <c r="P620" s="3" t="e">
        <v>#NAME?</v>
      </c>
      <c r="Q620" s="3"/>
      <c r="R620" s="3"/>
    </row>
    <row r="621" customFormat="false" ht="15.75" hidden="false" customHeight="false" outlineLevel="0" collapsed="false">
      <c r="L621" s="3" t="e">
        <v>#NAME?</v>
      </c>
      <c r="M621" s="3" t="e">
        <v>#NAME?</v>
      </c>
      <c r="N621" s="1" t="e">
        <v>#NAME?</v>
      </c>
      <c r="O621" s="3"/>
      <c r="P621" s="3" t="e">
        <v>#NAME?</v>
      </c>
      <c r="Q621" s="3"/>
      <c r="R621" s="3"/>
    </row>
    <row r="622" customFormat="false" ht="15.75" hidden="false" customHeight="false" outlineLevel="0" collapsed="false">
      <c r="L622" s="3" t="e">
        <v>#NAME?</v>
      </c>
      <c r="M622" s="3" t="e">
        <v>#NAME?</v>
      </c>
      <c r="N622" s="1" t="e">
        <v>#NAME?</v>
      </c>
      <c r="O622" s="3"/>
      <c r="P622" s="3" t="e">
        <v>#NAME?</v>
      </c>
      <c r="Q622" s="3"/>
      <c r="R622" s="3"/>
    </row>
    <row r="623" customFormat="false" ht="15.75" hidden="false" customHeight="false" outlineLevel="0" collapsed="false">
      <c r="L623" s="3" t="e">
        <v>#NAME?</v>
      </c>
      <c r="M623" s="3" t="e">
        <v>#NAME?</v>
      </c>
      <c r="N623" s="1" t="e">
        <v>#NAME?</v>
      </c>
      <c r="O623" s="3"/>
      <c r="P623" s="3" t="e">
        <v>#NAME?</v>
      </c>
      <c r="Q623" s="3"/>
      <c r="R623" s="3"/>
    </row>
    <row r="624" customFormat="false" ht="15.75" hidden="false" customHeight="false" outlineLevel="0" collapsed="false">
      <c r="L624" s="3" t="e">
        <v>#NAME?</v>
      </c>
      <c r="M624" s="3" t="e">
        <v>#NAME?</v>
      </c>
      <c r="N624" s="1" t="e">
        <v>#NAME?</v>
      </c>
      <c r="O624" s="3"/>
      <c r="P624" s="3" t="e">
        <v>#NAME?</v>
      </c>
      <c r="Q624" s="3"/>
      <c r="R624" s="3"/>
    </row>
    <row r="625" customFormat="false" ht="15.75" hidden="false" customHeight="false" outlineLevel="0" collapsed="false">
      <c r="L625" s="3" t="e">
        <v>#NAME?</v>
      </c>
      <c r="M625" s="3" t="e">
        <v>#NAME?</v>
      </c>
      <c r="N625" s="1" t="e">
        <v>#NAME?</v>
      </c>
      <c r="O625" s="3"/>
      <c r="P625" s="3" t="e">
        <v>#NAME?</v>
      </c>
      <c r="Q625" s="3"/>
      <c r="R625" s="3"/>
    </row>
    <row r="626" customFormat="false" ht="15.75" hidden="false" customHeight="false" outlineLevel="0" collapsed="false">
      <c r="L626" s="3" t="e">
        <v>#NAME?</v>
      </c>
      <c r="M626" s="3" t="e">
        <v>#NAME?</v>
      </c>
      <c r="N626" s="1" t="e">
        <v>#NAME?</v>
      </c>
      <c r="O626" s="3"/>
      <c r="P626" s="3" t="e">
        <v>#NAME?</v>
      </c>
      <c r="Q626" s="3"/>
      <c r="R626" s="3"/>
    </row>
    <row r="627" customFormat="false" ht="15.75" hidden="false" customHeight="false" outlineLevel="0" collapsed="false">
      <c r="L627" s="3" t="e">
        <v>#NAME?</v>
      </c>
      <c r="M627" s="3" t="e">
        <v>#NAME?</v>
      </c>
      <c r="N627" s="1" t="e">
        <v>#NAME?</v>
      </c>
      <c r="O627" s="3"/>
      <c r="P627" s="3" t="e">
        <v>#NAME?</v>
      </c>
      <c r="Q627" s="3"/>
      <c r="R627" s="3"/>
    </row>
    <row r="628" customFormat="false" ht="15.75" hidden="false" customHeight="false" outlineLevel="0" collapsed="false">
      <c r="L628" s="3" t="e">
        <v>#NAME?</v>
      </c>
      <c r="M628" s="3" t="e">
        <v>#NAME?</v>
      </c>
      <c r="N628" s="1" t="e">
        <v>#NAME?</v>
      </c>
      <c r="O628" s="3"/>
      <c r="P628" s="3" t="e">
        <v>#NAME?</v>
      </c>
      <c r="Q628" s="3"/>
      <c r="R628" s="3"/>
    </row>
    <row r="629" customFormat="false" ht="15.75" hidden="false" customHeight="false" outlineLevel="0" collapsed="false">
      <c r="L629" s="3" t="e">
        <v>#NAME?</v>
      </c>
      <c r="M629" s="3" t="e">
        <v>#NAME?</v>
      </c>
      <c r="N629" s="1" t="e">
        <v>#NAME?</v>
      </c>
      <c r="O629" s="3"/>
      <c r="P629" s="3" t="e">
        <v>#NAME?</v>
      </c>
      <c r="Q629" s="3"/>
      <c r="R629" s="3"/>
    </row>
    <row r="630" customFormat="false" ht="15.75" hidden="false" customHeight="false" outlineLevel="0" collapsed="false">
      <c r="L630" s="3" t="e">
        <v>#NAME?</v>
      </c>
      <c r="M630" s="3" t="e">
        <v>#NAME?</v>
      </c>
      <c r="N630" s="1" t="e">
        <v>#NAME?</v>
      </c>
      <c r="O630" s="3"/>
      <c r="P630" s="3" t="e">
        <v>#NAME?</v>
      </c>
      <c r="Q630" s="3"/>
      <c r="R630" s="3"/>
    </row>
    <row r="631" customFormat="false" ht="15.75" hidden="false" customHeight="false" outlineLevel="0" collapsed="false">
      <c r="L631" s="3" t="e">
        <v>#NAME?</v>
      </c>
      <c r="M631" s="3" t="e">
        <v>#NAME?</v>
      </c>
      <c r="N631" s="1" t="e">
        <v>#NAME?</v>
      </c>
      <c r="O631" s="3"/>
      <c r="P631" s="3" t="e">
        <v>#NAME?</v>
      </c>
      <c r="Q631" s="3"/>
      <c r="R631" s="3"/>
    </row>
    <row r="632" customFormat="false" ht="15.75" hidden="false" customHeight="false" outlineLevel="0" collapsed="false">
      <c r="L632" s="3" t="e">
        <v>#NAME?</v>
      </c>
      <c r="M632" s="3" t="e">
        <v>#NAME?</v>
      </c>
      <c r="N632" s="1" t="e">
        <v>#NAME?</v>
      </c>
      <c r="O632" s="3"/>
      <c r="P632" s="3" t="e">
        <v>#NAME?</v>
      </c>
      <c r="Q632" s="3"/>
      <c r="R632" s="3"/>
    </row>
    <row r="633" customFormat="false" ht="15.75" hidden="false" customHeight="false" outlineLevel="0" collapsed="false">
      <c r="L633" s="3" t="e">
        <v>#NAME?</v>
      </c>
      <c r="M633" s="3" t="e">
        <v>#NAME?</v>
      </c>
      <c r="N633" s="1" t="e">
        <v>#NAME?</v>
      </c>
      <c r="O633" s="3"/>
      <c r="P633" s="3" t="e">
        <v>#NAME?</v>
      </c>
      <c r="Q633" s="3"/>
      <c r="R633" s="3"/>
    </row>
    <row r="634" customFormat="false" ht="15.75" hidden="false" customHeight="false" outlineLevel="0" collapsed="false">
      <c r="L634" s="3" t="e">
        <v>#NAME?</v>
      </c>
      <c r="M634" s="3" t="e">
        <v>#NAME?</v>
      </c>
      <c r="N634" s="1" t="e">
        <v>#NAME?</v>
      </c>
      <c r="O634" s="3"/>
      <c r="P634" s="3" t="e">
        <v>#NAME?</v>
      </c>
      <c r="Q634" s="3"/>
      <c r="R634" s="3"/>
    </row>
    <row r="635" customFormat="false" ht="15.75" hidden="false" customHeight="false" outlineLevel="0" collapsed="false">
      <c r="L635" s="3" t="e">
        <v>#NAME?</v>
      </c>
      <c r="M635" s="3" t="e">
        <v>#NAME?</v>
      </c>
      <c r="N635" s="1" t="e">
        <v>#NAME?</v>
      </c>
      <c r="O635" s="3"/>
      <c r="P635" s="3" t="e">
        <v>#NAME?</v>
      </c>
      <c r="Q635" s="3"/>
      <c r="R635" s="3"/>
    </row>
    <row r="636" customFormat="false" ht="15.75" hidden="false" customHeight="false" outlineLevel="0" collapsed="false">
      <c r="L636" s="3" t="e">
        <v>#NAME?</v>
      </c>
      <c r="M636" s="3" t="e">
        <v>#NAME?</v>
      </c>
      <c r="N636" s="1" t="e">
        <v>#NAME?</v>
      </c>
      <c r="O636" s="3"/>
      <c r="P636" s="3" t="e">
        <v>#NAME?</v>
      </c>
      <c r="Q636" s="3"/>
      <c r="R636" s="3"/>
    </row>
    <row r="637" customFormat="false" ht="15.75" hidden="false" customHeight="false" outlineLevel="0" collapsed="false">
      <c r="L637" s="3" t="e">
        <v>#NAME?</v>
      </c>
      <c r="M637" s="3" t="e">
        <v>#NAME?</v>
      </c>
      <c r="N637" s="1" t="e">
        <v>#NAME?</v>
      </c>
      <c r="O637" s="3"/>
      <c r="P637" s="3" t="e">
        <v>#NAME?</v>
      </c>
      <c r="Q637" s="3"/>
      <c r="R637" s="3"/>
    </row>
    <row r="638" customFormat="false" ht="15.75" hidden="false" customHeight="false" outlineLevel="0" collapsed="false">
      <c r="L638" s="3" t="e">
        <v>#NAME?</v>
      </c>
      <c r="M638" s="3" t="e">
        <v>#NAME?</v>
      </c>
      <c r="N638" s="1" t="e">
        <v>#NAME?</v>
      </c>
      <c r="O638" s="3"/>
      <c r="P638" s="3" t="e">
        <v>#NAME?</v>
      </c>
      <c r="Q638" s="3"/>
      <c r="R638" s="3"/>
    </row>
    <row r="639" customFormat="false" ht="15.75" hidden="false" customHeight="false" outlineLevel="0" collapsed="false">
      <c r="L639" s="3" t="e">
        <v>#NAME?</v>
      </c>
      <c r="M639" s="3" t="e">
        <v>#NAME?</v>
      </c>
      <c r="N639" s="1" t="e">
        <v>#NAME?</v>
      </c>
      <c r="O639" s="3"/>
      <c r="P639" s="3" t="e">
        <v>#NAME?</v>
      </c>
      <c r="Q639" s="3"/>
      <c r="R639" s="3"/>
    </row>
    <row r="640" customFormat="false" ht="15.75" hidden="false" customHeight="false" outlineLevel="0" collapsed="false">
      <c r="L640" s="3" t="e">
        <v>#NAME?</v>
      </c>
      <c r="M640" s="3" t="e">
        <v>#NAME?</v>
      </c>
      <c r="N640" s="1" t="e">
        <v>#NAME?</v>
      </c>
      <c r="O640" s="3"/>
      <c r="P640" s="3" t="e">
        <v>#NAME?</v>
      </c>
      <c r="Q640" s="3"/>
      <c r="R640" s="3"/>
    </row>
    <row r="641" customFormat="false" ht="15.75" hidden="false" customHeight="false" outlineLevel="0" collapsed="false">
      <c r="L641" s="3" t="e">
        <v>#NAME?</v>
      </c>
      <c r="M641" s="3" t="e">
        <v>#NAME?</v>
      </c>
      <c r="N641" s="1" t="e">
        <v>#NAME?</v>
      </c>
      <c r="O641" s="3"/>
      <c r="P641" s="3" t="e">
        <v>#NAME?</v>
      </c>
      <c r="Q641" s="3"/>
      <c r="R641" s="3"/>
    </row>
    <row r="642" customFormat="false" ht="15.75" hidden="false" customHeight="false" outlineLevel="0" collapsed="false">
      <c r="L642" s="3" t="e">
        <v>#NAME?</v>
      </c>
      <c r="M642" s="3" t="e">
        <v>#NAME?</v>
      </c>
      <c r="N642" s="1" t="e">
        <v>#NAME?</v>
      </c>
      <c r="O642" s="3"/>
      <c r="P642" s="3" t="e">
        <v>#NAME?</v>
      </c>
      <c r="Q642" s="3"/>
      <c r="R642" s="3"/>
    </row>
    <row r="643" customFormat="false" ht="15.75" hidden="false" customHeight="false" outlineLevel="0" collapsed="false">
      <c r="L643" s="3" t="e">
        <v>#NAME?</v>
      </c>
      <c r="M643" s="3" t="e">
        <v>#NAME?</v>
      </c>
      <c r="N643" s="1" t="e">
        <v>#NAME?</v>
      </c>
      <c r="O643" s="3"/>
      <c r="P643" s="3" t="e">
        <v>#NAME?</v>
      </c>
      <c r="Q643" s="3"/>
      <c r="R643" s="3"/>
    </row>
    <row r="644" customFormat="false" ht="15.75" hidden="false" customHeight="false" outlineLevel="0" collapsed="false">
      <c r="L644" s="3" t="e">
        <v>#NAME?</v>
      </c>
      <c r="M644" s="3" t="e">
        <v>#NAME?</v>
      </c>
      <c r="N644" s="1" t="e">
        <v>#NAME?</v>
      </c>
      <c r="O644" s="3"/>
      <c r="P644" s="3" t="e">
        <v>#NAME?</v>
      </c>
      <c r="Q644" s="3"/>
      <c r="R644" s="3"/>
    </row>
    <row r="645" customFormat="false" ht="15.75" hidden="false" customHeight="false" outlineLevel="0" collapsed="false">
      <c r="L645" s="3" t="e">
        <v>#NAME?</v>
      </c>
      <c r="M645" s="3" t="e">
        <v>#NAME?</v>
      </c>
      <c r="N645" s="1" t="e">
        <v>#NAME?</v>
      </c>
      <c r="O645" s="3"/>
      <c r="P645" s="3" t="e">
        <v>#NAME?</v>
      </c>
      <c r="Q645" s="3"/>
      <c r="R645" s="3"/>
    </row>
    <row r="646" customFormat="false" ht="15.75" hidden="false" customHeight="false" outlineLevel="0" collapsed="false">
      <c r="L646" s="3" t="e">
        <v>#NAME?</v>
      </c>
      <c r="M646" s="3" t="e">
        <v>#NAME?</v>
      </c>
      <c r="N646" s="1" t="e">
        <v>#NAME?</v>
      </c>
      <c r="O646" s="3"/>
      <c r="P646" s="3" t="e">
        <v>#NAME?</v>
      </c>
      <c r="Q646" s="3"/>
      <c r="R646" s="3"/>
    </row>
    <row r="647" customFormat="false" ht="15.75" hidden="false" customHeight="false" outlineLevel="0" collapsed="false">
      <c r="L647" s="3" t="e">
        <v>#NAME?</v>
      </c>
      <c r="M647" s="3" t="e">
        <v>#NAME?</v>
      </c>
      <c r="N647" s="1" t="e">
        <v>#NAME?</v>
      </c>
      <c r="O647" s="3"/>
      <c r="P647" s="3" t="e">
        <v>#NAME?</v>
      </c>
      <c r="Q647" s="3"/>
      <c r="R647" s="3"/>
    </row>
    <row r="648" customFormat="false" ht="15.75" hidden="false" customHeight="false" outlineLevel="0" collapsed="false">
      <c r="L648" s="3" t="e">
        <v>#NAME?</v>
      </c>
      <c r="M648" s="3" t="e">
        <v>#NAME?</v>
      </c>
      <c r="N648" s="1" t="e">
        <v>#NAME?</v>
      </c>
      <c r="O648" s="3"/>
      <c r="P648" s="3" t="e">
        <v>#NAME?</v>
      </c>
      <c r="Q648" s="3"/>
      <c r="R648" s="3"/>
    </row>
    <row r="649" customFormat="false" ht="15.75" hidden="false" customHeight="false" outlineLevel="0" collapsed="false">
      <c r="L649" s="3" t="e">
        <v>#NAME?</v>
      </c>
      <c r="M649" s="3" t="e">
        <v>#NAME?</v>
      </c>
      <c r="N649" s="1" t="e">
        <v>#NAME?</v>
      </c>
      <c r="O649" s="3"/>
      <c r="P649" s="3" t="e">
        <v>#NAME?</v>
      </c>
      <c r="Q649" s="3"/>
      <c r="R649" s="3"/>
    </row>
    <row r="650" customFormat="false" ht="15.75" hidden="false" customHeight="false" outlineLevel="0" collapsed="false">
      <c r="L650" s="3" t="e">
        <v>#NAME?</v>
      </c>
      <c r="M650" s="3" t="e">
        <v>#NAME?</v>
      </c>
      <c r="N650" s="1" t="e">
        <v>#NAME?</v>
      </c>
      <c r="O650" s="3"/>
      <c r="P650" s="3" t="e">
        <v>#NAME?</v>
      </c>
      <c r="Q650" s="3"/>
      <c r="R650" s="3"/>
    </row>
    <row r="651" customFormat="false" ht="15.75" hidden="false" customHeight="false" outlineLevel="0" collapsed="false">
      <c r="L651" s="3" t="e">
        <v>#NAME?</v>
      </c>
      <c r="M651" s="3" t="e">
        <v>#NAME?</v>
      </c>
      <c r="N651" s="1" t="e">
        <v>#NAME?</v>
      </c>
      <c r="O651" s="3"/>
      <c r="P651" s="3" t="e">
        <v>#NAME?</v>
      </c>
      <c r="Q651" s="3"/>
      <c r="R651" s="3"/>
    </row>
    <row r="652" customFormat="false" ht="15.75" hidden="false" customHeight="false" outlineLevel="0" collapsed="false">
      <c r="L652" s="3" t="e">
        <v>#NAME?</v>
      </c>
      <c r="M652" s="3" t="e">
        <v>#NAME?</v>
      </c>
      <c r="N652" s="1" t="e">
        <v>#NAME?</v>
      </c>
      <c r="O652" s="3"/>
      <c r="P652" s="3" t="e">
        <v>#NAME?</v>
      </c>
      <c r="Q652" s="3"/>
      <c r="R652" s="3"/>
    </row>
    <row r="653" customFormat="false" ht="15.75" hidden="false" customHeight="false" outlineLevel="0" collapsed="false">
      <c r="L653" s="3" t="e">
        <v>#NAME?</v>
      </c>
      <c r="M653" s="3" t="e">
        <v>#NAME?</v>
      </c>
      <c r="N653" s="1" t="e">
        <v>#NAME?</v>
      </c>
      <c r="O653" s="3"/>
      <c r="P653" s="3" t="e">
        <v>#NAME?</v>
      </c>
      <c r="Q653" s="3"/>
      <c r="R653" s="3"/>
    </row>
    <row r="654" customFormat="false" ht="15.75" hidden="false" customHeight="false" outlineLevel="0" collapsed="false">
      <c r="L654" s="3" t="e">
        <v>#NAME?</v>
      </c>
      <c r="M654" s="3" t="e">
        <v>#NAME?</v>
      </c>
      <c r="N654" s="1" t="e">
        <v>#NAME?</v>
      </c>
      <c r="O654" s="3"/>
      <c r="P654" s="3" t="e">
        <v>#NAME?</v>
      </c>
      <c r="Q654" s="3"/>
      <c r="R654" s="3"/>
    </row>
    <row r="655" customFormat="false" ht="15.75" hidden="false" customHeight="false" outlineLevel="0" collapsed="false">
      <c r="L655" s="3" t="e">
        <v>#NAME?</v>
      </c>
      <c r="M655" s="3" t="e">
        <v>#NAME?</v>
      </c>
      <c r="N655" s="1" t="e">
        <v>#NAME?</v>
      </c>
      <c r="O655" s="3"/>
      <c r="P655" s="3" t="e">
        <v>#NAME?</v>
      </c>
      <c r="Q655" s="3"/>
      <c r="R655" s="3"/>
    </row>
    <row r="656" customFormat="false" ht="15.75" hidden="false" customHeight="false" outlineLevel="0" collapsed="false">
      <c r="L656" s="3" t="e">
        <v>#NAME?</v>
      </c>
      <c r="M656" s="3" t="e">
        <v>#NAME?</v>
      </c>
      <c r="N656" s="1" t="e">
        <v>#NAME?</v>
      </c>
      <c r="O656" s="3"/>
      <c r="P656" s="3" t="e">
        <v>#NAME?</v>
      </c>
      <c r="Q656" s="3"/>
      <c r="R656" s="3"/>
    </row>
    <row r="657" customFormat="false" ht="15.75" hidden="false" customHeight="false" outlineLevel="0" collapsed="false">
      <c r="L657" s="3" t="e">
        <v>#NAME?</v>
      </c>
      <c r="M657" s="3" t="e">
        <v>#NAME?</v>
      </c>
      <c r="N657" s="1" t="e">
        <v>#NAME?</v>
      </c>
      <c r="O657" s="3"/>
      <c r="P657" s="3" t="e">
        <v>#NAME?</v>
      </c>
      <c r="Q657" s="3"/>
      <c r="R657" s="3"/>
    </row>
    <row r="658" customFormat="false" ht="15.75" hidden="false" customHeight="false" outlineLevel="0" collapsed="false">
      <c r="L658" s="3" t="e">
        <v>#NAME?</v>
      </c>
      <c r="M658" s="3" t="e">
        <v>#NAME?</v>
      </c>
      <c r="N658" s="1" t="e">
        <v>#NAME?</v>
      </c>
      <c r="O658" s="3"/>
      <c r="P658" s="3" t="e">
        <v>#NAME?</v>
      </c>
      <c r="Q658" s="3"/>
      <c r="R658" s="3"/>
    </row>
    <row r="659" customFormat="false" ht="15.75" hidden="false" customHeight="false" outlineLevel="0" collapsed="false">
      <c r="L659" s="3" t="e">
        <v>#NAME?</v>
      </c>
      <c r="M659" s="3" t="e">
        <v>#NAME?</v>
      </c>
      <c r="N659" s="1" t="e">
        <v>#NAME?</v>
      </c>
      <c r="O659" s="3"/>
      <c r="P659" s="3" t="e">
        <v>#NAME?</v>
      </c>
      <c r="Q659" s="3"/>
      <c r="R659" s="3"/>
    </row>
    <row r="660" customFormat="false" ht="15.75" hidden="false" customHeight="false" outlineLevel="0" collapsed="false">
      <c r="L660" s="3" t="e">
        <v>#NAME?</v>
      </c>
      <c r="M660" s="3" t="e">
        <v>#NAME?</v>
      </c>
      <c r="N660" s="1" t="e">
        <v>#NAME?</v>
      </c>
      <c r="O660" s="3"/>
      <c r="P660" s="3" t="e">
        <v>#NAME?</v>
      </c>
      <c r="Q660" s="3"/>
      <c r="R660" s="3"/>
    </row>
    <row r="661" customFormat="false" ht="15.75" hidden="false" customHeight="false" outlineLevel="0" collapsed="false">
      <c r="L661" s="3" t="e">
        <v>#NAME?</v>
      </c>
      <c r="M661" s="3" t="e">
        <v>#NAME?</v>
      </c>
      <c r="N661" s="1" t="e">
        <v>#NAME?</v>
      </c>
      <c r="O661" s="3"/>
      <c r="P661" s="3" t="e">
        <v>#NAME?</v>
      </c>
      <c r="Q661" s="3"/>
      <c r="R661" s="3"/>
    </row>
    <row r="662" customFormat="false" ht="15.75" hidden="false" customHeight="false" outlineLevel="0" collapsed="false">
      <c r="L662" s="3" t="e">
        <v>#NAME?</v>
      </c>
      <c r="M662" s="3" t="e">
        <v>#NAME?</v>
      </c>
      <c r="N662" s="1" t="e">
        <v>#NAME?</v>
      </c>
      <c r="O662" s="3"/>
      <c r="P662" s="3" t="e">
        <v>#NAME?</v>
      </c>
      <c r="Q662" s="3"/>
      <c r="R662" s="3"/>
    </row>
    <row r="663" customFormat="false" ht="15.75" hidden="false" customHeight="false" outlineLevel="0" collapsed="false">
      <c r="L663" s="3" t="e">
        <v>#NAME?</v>
      </c>
      <c r="M663" s="3" t="e">
        <v>#NAME?</v>
      </c>
      <c r="N663" s="1" t="e">
        <v>#NAME?</v>
      </c>
      <c r="O663" s="3"/>
      <c r="P663" s="3" t="e">
        <v>#NAME?</v>
      </c>
      <c r="Q663" s="3"/>
      <c r="R663" s="3"/>
    </row>
    <row r="664" customFormat="false" ht="15.75" hidden="false" customHeight="false" outlineLevel="0" collapsed="false">
      <c r="L664" s="3" t="e">
        <v>#NAME?</v>
      </c>
      <c r="M664" s="3" t="e">
        <v>#NAME?</v>
      </c>
      <c r="N664" s="1" t="e">
        <v>#NAME?</v>
      </c>
      <c r="O664" s="3"/>
      <c r="P664" s="3" t="e">
        <v>#NAME?</v>
      </c>
      <c r="Q664" s="3"/>
      <c r="R664" s="3"/>
    </row>
    <row r="665" customFormat="false" ht="15.75" hidden="false" customHeight="false" outlineLevel="0" collapsed="false">
      <c r="L665" s="3" t="e">
        <v>#NAME?</v>
      </c>
      <c r="M665" s="3" t="e">
        <v>#NAME?</v>
      </c>
      <c r="N665" s="1" t="e">
        <v>#NAME?</v>
      </c>
      <c r="O665" s="3"/>
      <c r="P665" s="3" t="e">
        <v>#NAME?</v>
      </c>
      <c r="Q665" s="3"/>
      <c r="R665" s="3"/>
    </row>
    <row r="666" customFormat="false" ht="15.75" hidden="false" customHeight="false" outlineLevel="0" collapsed="false">
      <c r="L666" s="3" t="e">
        <v>#NAME?</v>
      </c>
      <c r="M666" s="3" t="e">
        <v>#NAME?</v>
      </c>
      <c r="N666" s="1" t="e">
        <v>#NAME?</v>
      </c>
      <c r="O666" s="3"/>
      <c r="P666" s="3" t="e">
        <v>#NAME?</v>
      </c>
      <c r="Q666" s="3"/>
      <c r="R666" s="3"/>
    </row>
    <row r="667" customFormat="false" ht="15.75" hidden="false" customHeight="false" outlineLevel="0" collapsed="false">
      <c r="L667" s="3" t="e">
        <v>#NAME?</v>
      </c>
      <c r="M667" s="3" t="e">
        <v>#NAME?</v>
      </c>
      <c r="N667" s="1" t="e">
        <v>#NAME?</v>
      </c>
      <c r="O667" s="3"/>
      <c r="P667" s="3" t="e">
        <v>#NAME?</v>
      </c>
      <c r="Q667" s="3"/>
      <c r="R667" s="3"/>
    </row>
    <row r="668" customFormat="false" ht="15.75" hidden="false" customHeight="false" outlineLevel="0" collapsed="false">
      <c r="L668" s="3" t="e">
        <v>#NAME?</v>
      </c>
      <c r="M668" s="3" t="e">
        <v>#NAME?</v>
      </c>
      <c r="N668" s="1" t="e">
        <v>#NAME?</v>
      </c>
      <c r="O668" s="3"/>
      <c r="P668" s="3" t="e">
        <v>#NAME?</v>
      </c>
      <c r="Q668" s="3"/>
      <c r="R668" s="3"/>
    </row>
    <row r="669" customFormat="false" ht="15.75" hidden="false" customHeight="false" outlineLevel="0" collapsed="false">
      <c r="L669" s="3" t="e">
        <v>#NAME?</v>
      </c>
      <c r="M669" s="3" t="e">
        <v>#NAME?</v>
      </c>
      <c r="N669" s="1" t="e">
        <v>#NAME?</v>
      </c>
      <c r="O669" s="3"/>
      <c r="P669" s="3" t="e">
        <v>#NAME?</v>
      </c>
      <c r="Q669" s="3"/>
      <c r="R669" s="3"/>
    </row>
    <row r="670" customFormat="false" ht="15.75" hidden="false" customHeight="false" outlineLevel="0" collapsed="false">
      <c r="L670" s="3" t="e">
        <v>#NAME?</v>
      </c>
      <c r="M670" s="3" t="e">
        <v>#NAME?</v>
      </c>
      <c r="N670" s="1" t="e">
        <v>#NAME?</v>
      </c>
      <c r="O670" s="3"/>
      <c r="P670" s="3" t="e">
        <v>#NAME?</v>
      </c>
      <c r="Q670" s="3"/>
      <c r="R670" s="3"/>
    </row>
    <row r="671" customFormat="false" ht="15.75" hidden="false" customHeight="false" outlineLevel="0" collapsed="false">
      <c r="L671" s="3" t="e">
        <v>#NAME?</v>
      </c>
      <c r="M671" s="3" t="e">
        <v>#NAME?</v>
      </c>
      <c r="N671" s="1" t="e">
        <v>#NAME?</v>
      </c>
      <c r="O671" s="3"/>
      <c r="P671" s="3" t="e">
        <v>#NAME?</v>
      </c>
      <c r="Q671" s="3"/>
      <c r="R671" s="3"/>
    </row>
    <row r="672" customFormat="false" ht="15.75" hidden="false" customHeight="false" outlineLevel="0" collapsed="false">
      <c r="L672" s="3" t="e">
        <v>#NAME?</v>
      </c>
      <c r="M672" s="3" t="e">
        <v>#NAME?</v>
      </c>
      <c r="N672" s="1" t="e">
        <v>#NAME?</v>
      </c>
      <c r="O672" s="3"/>
      <c r="P672" s="3" t="e">
        <v>#NAME?</v>
      </c>
      <c r="Q672" s="3"/>
      <c r="R672" s="3"/>
    </row>
    <row r="673" customFormat="false" ht="15.75" hidden="false" customHeight="false" outlineLevel="0" collapsed="false">
      <c r="L673" s="3" t="e">
        <v>#NAME?</v>
      </c>
      <c r="M673" s="3" t="e">
        <v>#NAME?</v>
      </c>
      <c r="N673" s="1" t="e">
        <v>#NAME?</v>
      </c>
      <c r="O673" s="3"/>
      <c r="P673" s="3" t="e">
        <v>#NAME?</v>
      </c>
      <c r="Q673" s="3"/>
      <c r="R673" s="3"/>
    </row>
    <row r="674" customFormat="false" ht="15.75" hidden="false" customHeight="false" outlineLevel="0" collapsed="false">
      <c r="L674" s="3" t="e">
        <v>#NAME?</v>
      </c>
      <c r="M674" s="3" t="e">
        <v>#NAME?</v>
      </c>
      <c r="N674" s="1" t="e">
        <v>#NAME?</v>
      </c>
      <c r="O674" s="3"/>
      <c r="P674" s="3" t="e">
        <v>#NAME?</v>
      </c>
      <c r="Q674" s="3"/>
      <c r="R674" s="3"/>
    </row>
    <row r="675" customFormat="false" ht="15.75" hidden="false" customHeight="false" outlineLevel="0" collapsed="false">
      <c r="L675" s="3" t="e">
        <v>#NAME?</v>
      </c>
      <c r="M675" s="3" t="e">
        <v>#NAME?</v>
      </c>
      <c r="N675" s="1" t="e">
        <v>#NAME?</v>
      </c>
      <c r="O675" s="3"/>
      <c r="P675" s="3" t="e">
        <v>#NAME?</v>
      </c>
      <c r="Q675" s="3"/>
      <c r="R675" s="3"/>
    </row>
    <row r="676" customFormat="false" ht="15.75" hidden="false" customHeight="false" outlineLevel="0" collapsed="false">
      <c r="L676" s="3" t="e">
        <v>#NAME?</v>
      </c>
      <c r="M676" s="3" t="e">
        <v>#NAME?</v>
      </c>
      <c r="N676" s="1" t="e">
        <v>#NAME?</v>
      </c>
      <c r="O676" s="3"/>
      <c r="P676" s="3" t="e">
        <v>#NAME?</v>
      </c>
      <c r="Q676" s="3"/>
      <c r="R676" s="3"/>
    </row>
    <row r="677" customFormat="false" ht="15.75" hidden="false" customHeight="false" outlineLevel="0" collapsed="false">
      <c r="L677" s="3" t="e">
        <v>#NAME?</v>
      </c>
      <c r="M677" s="3" t="e">
        <v>#NAME?</v>
      </c>
      <c r="N677" s="1" t="e">
        <v>#NAME?</v>
      </c>
      <c r="O677" s="3"/>
      <c r="P677" s="3" t="e">
        <v>#NAME?</v>
      </c>
      <c r="Q677" s="3"/>
      <c r="R677" s="3"/>
    </row>
    <row r="678" customFormat="false" ht="15.75" hidden="false" customHeight="false" outlineLevel="0" collapsed="false">
      <c r="L678" s="3" t="e">
        <v>#NAME?</v>
      </c>
      <c r="M678" s="3" t="e">
        <v>#NAME?</v>
      </c>
      <c r="N678" s="1" t="e">
        <v>#NAME?</v>
      </c>
      <c r="O678" s="3"/>
      <c r="P678" s="3" t="e">
        <v>#NAME?</v>
      </c>
      <c r="Q678" s="3"/>
      <c r="R678" s="3"/>
    </row>
    <row r="679" customFormat="false" ht="15.75" hidden="false" customHeight="false" outlineLevel="0" collapsed="false">
      <c r="L679" s="3" t="e">
        <v>#NAME?</v>
      </c>
      <c r="M679" s="3" t="e">
        <v>#NAME?</v>
      </c>
      <c r="N679" s="1" t="e">
        <v>#NAME?</v>
      </c>
      <c r="O679" s="3"/>
      <c r="P679" s="3" t="e">
        <v>#NAME?</v>
      </c>
      <c r="Q679" s="3"/>
      <c r="R679" s="3"/>
    </row>
    <row r="680" customFormat="false" ht="15.75" hidden="false" customHeight="false" outlineLevel="0" collapsed="false">
      <c r="L680" s="3" t="e">
        <v>#NAME?</v>
      </c>
      <c r="M680" s="3" t="e">
        <v>#NAME?</v>
      </c>
      <c r="N680" s="1" t="e">
        <v>#NAME?</v>
      </c>
      <c r="O680" s="3"/>
      <c r="P680" s="3" t="e">
        <v>#NAME?</v>
      </c>
      <c r="Q680" s="3"/>
      <c r="R680" s="3"/>
    </row>
    <row r="681" customFormat="false" ht="15.75" hidden="false" customHeight="false" outlineLevel="0" collapsed="false">
      <c r="L681" s="3" t="e">
        <v>#NAME?</v>
      </c>
      <c r="M681" s="3" t="e">
        <v>#NAME?</v>
      </c>
      <c r="N681" s="1" t="e">
        <v>#NAME?</v>
      </c>
      <c r="O681" s="3"/>
      <c r="P681" s="3" t="e">
        <v>#NAME?</v>
      </c>
      <c r="Q681" s="3"/>
      <c r="R681" s="3"/>
    </row>
    <row r="682" customFormat="false" ht="15.75" hidden="false" customHeight="false" outlineLevel="0" collapsed="false">
      <c r="L682" s="3" t="e">
        <v>#NAME?</v>
      </c>
      <c r="M682" s="3" t="e">
        <v>#NAME?</v>
      </c>
      <c r="N682" s="1" t="e">
        <v>#NAME?</v>
      </c>
      <c r="O682" s="3"/>
      <c r="P682" s="3" t="e">
        <v>#NAME?</v>
      </c>
      <c r="Q682" s="3"/>
      <c r="R682" s="3"/>
    </row>
    <row r="683" customFormat="false" ht="15.75" hidden="false" customHeight="false" outlineLevel="0" collapsed="false">
      <c r="L683" s="3" t="e">
        <v>#NAME?</v>
      </c>
      <c r="M683" s="3" t="e">
        <v>#NAME?</v>
      </c>
      <c r="N683" s="1" t="e">
        <v>#NAME?</v>
      </c>
      <c r="O683" s="3"/>
      <c r="P683" s="3" t="e">
        <v>#NAME?</v>
      </c>
      <c r="Q683" s="3"/>
      <c r="R683" s="3"/>
    </row>
    <row r="684" customFormat="false" ht="15.75" hidden="false" customHeight="false" outlineLevel="0" collapsed="false">
      <c r="L684" s="3" t="e">
        <v>#NAME?</v>
      </c>
      <c r="M684" s="3" t="e">
        <v>#NAME?</v>
      </c>
      <c r="N684" s="1" t="e">
        <v>#NAME?</v>
      </c>
      <c r="O684" s="3"/>
      <c r="P684" s="3" t="e">
        <v>#NAME?</v>
      </c>
      <c r="Q684" s="3"/>
      <c r="R684" s="3"/>
    </row>
    <row r="685" customFormat="false" ht="15.75" hidden="false" customHeight="false" outlineLevel="0" collapsed="false">
      <c r="L685" s="3" t="e">
        <v>#NAME?</v>
      </c>
      <c r="M685" s="3" t="e">
        <v>#NAME?</v>
      </c>
      <c r="N685" s="1" t="e">
        <v>#NAME?</v>
      </c>
      <c r="O685" s="3"/>
      <c r="P685" s="3" t="e">
        <v>#NAME?</v>
      </c>
      <c r="Q685" s="3"/>
      <c r="R685" s="3"/>
    </row>
    <row r="686" customFormat="false" ht="15.75" hidden="false" customHeight="false" outlineLevel="0" collapsed="false">
      <c r="L686" s="3" t="e">
        <v>#NAME?</v>
      </c>
      <c r="M686" s="3" t="e">
        <v>#NAME?</v>
      </c>
      <c r="N686" s="1" t="e">
        <v>#NAME?</v>
      </c>
      <c r="O686" s="3"/>
      <c r="P686" s="3" t="e">
        <v>#NAME?</v>
      </c>
      <c r="Q686" s="3"/>
      <c r="R686" s="3"/>
    </row>
    <row r="687" customFormat="false" ht="15.75" hidden="false" customHeight="false" outlineLevel="0" collapsed="false">
      <c r="L687" s="3" t="e">
        <v>#NAME?</v>
      </c>
      <c r="M687" s="3" t="e">
        <v>#NAME?</v>
      </c>
      <c r="N687" s="1" t="e">
        <v>#NAME?</v>
      </c>
      <c r="O687" s="3"/>
      <c r="P687" s="3" t="e">
        <v>#NAME?</v>
      </c>
      <c r="Q687" s="3"/>
      <c r="R687" s="3"/>
    </row>
    <row r="688" customFormat="false" ht="15.75" hidden="false" customHeight="false" outlineLevel="0" collapsed="false">
      <c r="L688" s="3" t="e">
        <v>#NAME?</v>
      </c>
      <c r="M688" s="3" t="e">
        <v>#NAME?</v>
      </c>
      <c r="N688" s="1" t="e">
        <v>#NAME?</v>
      </c>
      <c r="O688" s="3"/>
      <c r="P688" s="3" t="e">
        <v>#NAME?</v>
      </c>
      <c r="Q688" s="3"/>
      <c r="R688" s="3"/>
    </row>
    <row r="689" customFormat="false" ht="15.75" hidden="false" customHeight="false" outlineLevel="0" collapsed="false">
      <c r="L689" s="3" t="e">
        <v>#NAME?</v>
      </c>
      <c r="M689" s="3" t="e">
        <v>#NAME?</v>
      </c>
      <c r="N689" s="1" t="e">
        <v>#NAME?</v>
      </c>
      <c r="O689" s="3"/>
      <c r="P689" s="3" t="e">
        <v>#NAME?</v>
      </c>
      <c r="Q689" s="3"/>
      <c r="R689" s="3"/>
    </row>
    <row r="690" customFormat="false" ht="15.75" hidden="false" customHeight="false" outlineLevel="0" collapsed="false">
      <c r="L690" s="3" t="e">
        <v>#NAME?</v>
      </c>
      <c r="M690" s="3" t="e">
        <v>#NAME?</v>
      </c>
      <c r="N690" s="1" t="e">
        <v>#NAME?</v>
      </c>
      <c r="O690" s="3"/>
      <c r="P690" s="3" t="e">
        <v>#NAME?</v>
      </c>
      <c r="Q690" s="3"/>
      <c r="R690" s="3"/>
    </row>
    <row r="691" customFormat="false" ht="15.75" hidden="false" customHeight="false" outlineLevel="0" collapsed="false">
      <c r="L691" s="3" t="e">
        <v>#NAME?</v>
      </c>
      <c r="M691" s="3" t="e">
        <v>#NAME?</v>
      </c>
      <c r="N691" s="1" t="e">
        <v>#NAME?</v>
      </c>
      <c r="O691" s="3"/>
      <c r="P691" s="3" t="e">
        <v>#NAME?</v>
      </c>
      <c r="Q691" s="3"/>
      <c r="R691" s="3"/>
    </row>
    <row r="692" customFormat="false" ht="15.75" hidden="false" customHeight="false" outlineLevel="0" collapsed="false">
      <c r="L692" s="3" t="e">
        <v>#NAME?</v>
      </c>
      <c r="M692" s="3" t="e">
        <v>#NAME?</v>
      </c>
      <c r="N692" s="1" t="e">
        <v>#NAME?</v>
      </c>
      <c r="O692" s="3"/>
      <c r="P692" s="3" t="e">
        <v>#NAME?</v>
      </c>
      <c r="Q692" s="3"/>
      <c r="R692" s="3"/>
    </row>
    <row r="693" customFormat="false" ht="15.75" hidden="false" customHeight="false" outlineLevel="0" collapsed="false">
      <c r="L693" s="3" t="e">
        <v>#NAME?</v>
      </c>
      <c r="M693" s="3" t="e">
        <v>#NAME?</v>
      </c>
      <c r="N693" s="1" t="e">
        <v>#NAME?</v>
      </c>
      <c r="O693" s="3"/>
      <c r="P693" s="3" t="e">
        <v>#NAME?</v>
      </c>
      <c r="Q693" s="3"/>
      <c r="R693" s="3"/>
    </row>
    <row r="694" customFormat="false" ht="15.75" hidden="false" customHeight="false" outlineLevel="0" collapsed="false">
      <c r="L694" s="3" t="e">
        <v>#NAME?</v>
      </c>
      <c r="M694" s="3" t="e">
        <v>#NAME?</v>
      </c>
      <c r="N694" s="1" t="e">
        <v>#NAME?</v>
      </c>
      <c r="O694" s="3"/>
      <c r="P694" s="3" t="e">
        <v>#NAME?</v>
      </c>
      <c r="Q694" s="3"/>
      <c r="R694" s="3"/>
    </row>
    <row r="695" customFormat="false" ht="15.75" hidden="false" customHeight="false" outlineLevel="0" collapsed="false">
      <c r="L695" s="3" t="e">
        <v>#NAME?</v>
      </c>
      <c r="M695" s="3" t="e">
        <v>#NAME?</v>
      </c>
      <c r="N695" s="1" t="e">
        <v>#NAME?</v>
      </c>
      <c r="O695" s="3"/>
      <c r="P695" s="3" t="e">
        <v>#NAME?</v>
      </c>
      <c r="Q695" s="3"/>
      <c r="R695" s="3"/>
    </row>
    <row r="696" customFormat="false" ht="15.75" hidden="false" customHeight="false" outlineLevel="0" collapsed="false">
      <c r="L696" s="3" t="e">
        <v>#NAME?</v>
      </c>
      <c r="M696" s="3" t="e">
        <v>#NAME?</v>
      </c>
      <c r="N696" s="1" t="e">
        <v>#NAME?</v>
      </c>
      <c r="O696" s="3"/>
      <c r="P696" s="3" t="e">
        <v>#NAME?</v>
      </c>
      <c r="Q696" s="3"/>
      <c r="R696" s="3"/>
    </row>
    <row r="697" customFormat="false" ht="15.75" hidden="false" customHeight="false" outlineLevel="0" collapsed="false">
      <c r="L697" s="3" t="e">
        <v>#NAME?</v>
      </c>
      <c r="M697" s="3" t="e">
        <v>#NAME?</v>
      </c>
      <c r="N697" s="1" t="e">
        <v>#NAME?</v>
      </c>
      <c r="O697" s="3"/>
      <c r="P697" s="3" t="e">
        <v>#NAME?</v>
      </c>
      <c r="Q697" s="3"/>
      <c r="R697" s="3"/>
    </row>
    <row r="698" customFormat="false" ht="15.75" hidden="false" customHeight="false" outlineLevel="0" collapsed="false">
      <c r="L698" s="3" t="e">
        <v>#NAME?</v>
      </c>
      <c r="M698" s="3" t="e">
        <v>#NAME?</v>
      </c>
      <c r="N698" s="1" t="e">
        <v>#NAME?</v>
      </c>
      <c r="O698" s="3"/>
      <c r="P698" s="3" t="e">
        <v>#NAME?</v>
      </c>
      <c r="Q698" s="3"/>
      <c r="R698" s="3"/>
    </row>
    <row r="699" customFormat="false" ht="15.75" hidden="false" customHeight="false" outlineLevel="0" collapsed="false">
      <c r="L699" s="3" t="e">
        <v>#NAME?</v>
      </c>
      <c r="M699" s="3" t="e">
        <v>#NAME?</v>
      </c>
      <c r="N699" s="1" t="e">
        <v>#NAME?</v>
      </c>
      <c r="O699" s="3"/>
      <c r="P699" s="3" t="e">
        <v>#NAME?</v>
      </c>
      <c r="Q699" s="3"/>
      <c r="R699" s="3"/>
    </row>
    <row r="700" customFormat="false" ht="15.75" hidden="false" customHeight="false" outlineLevel="0" collapsed="false">
      <c r="L700" s="3" t="e">
        <v>#NAME?</v>
      </c>
      <c r="M700" s="3" t="e">
        <v>#NAME?</v>
      </c>
      <c r="N700" s="1" t="e">
        <v>#NAME?</v>
      </c>
      <c r="O700" s="3"/>
      <c r="P700" s="3" t="e">
        <v>#NAME?</v>
      </c>
      <c r="Q700" s="3"/>
      <c r="R700" s="3"/>
    </row>
    <row r="701" customFormat="false" ht="15.75" hidden="false" customHeight="false" outlineLevel="0" collapsed="false">
      <c r="L701" s="3" t="e">
        <v>#NAME?</v>
      </c>
      <c r="M701" s="3" t="e">
        <v>#NAME?</v>
      </c>
      <c r="N701" s="1" t="e">
        <v>#NAME?</v>
      </c>
      <c r="O701" s="3"/>
      <c r="P701" s="3" t="e">
        <v>#NAME?</v>
      </c>
      <c r="Q701" s="3"/>
      <c r="R701" s="3"/>
    </row>
    <row r="702" customFormat="false" ht="15.75" hidden="false" customHeight="false" outlineLevel="0" collapsed="false">
      <c r="L702" s="3" t="e">
        <v>#NAME?</v>
      </c>
      <c r="M702" s="3" t="e">
        <v>#NAME?</v>
      </c>
      <c r="N702" s="1" t="e">
        <v>#NAME?</v>
      </c>
      <c r="O702" s="3"/>
      <c r="P702" s="3" t="e">
        <v>#NAME?</v>
      </c>
      <c r="Q702" s="3"/>
      <c r="R702" s="3"/>
    </row>
    <row r="703" customFormat="false" ht="15.75" hidden="false" customHeight="false" outlineLevel="0" collapsed="false">
      <c r="L703" s="3" t="e">
        <v>#NAME?</v>
      </c>
      <c r="M703" s="3" t="e">
        <v>#NAME?</v>
      </c>
      <c r="N703" s="1" t="e">
        <v>#NAME?</v>
      </c>
      <c r="O703" s="3"/>
      <c r="P703" s="3" t="e">
        <v>#NAME?</v>
      </c>
      <c r="Q703" s="3"/>
      <c r="R703" s="3"/>
    </row>
    <row r="704" customFormat="false" ht="15.75" hidden="false" customHeight="false" outlineLevel="0" collapsed="false">
      <c r="L704" s="3" t="e">
        <v>#NAME?</v>
      </c>
      <c r="M704" s="3" t="e">
        <v>#NAME?</v>
      </c>
      <c r="N704" s="1" t="e">
        <v>#NAME?</v>
      </c>
      <c r="O704" s="3"/>
      <c r="P704" s="3" t="e">
        <v>#NAME?</v>
      </c>
      <c r="Q704" s="3"/>
      <c r="R704" s="3"/>
    </row>
    <row r="705" customFormat="false" ht="15.75" hidden="false" customHeight="false" outlineLevel="0" collapsed="false">
      <c r="L705" s="3" t="e">
        <v>#NAME?</v>
      </c>
      <c r="M705" s="3" t="e">
        <v>#NAME?</v>
      </c>
      <c r="N705" s="1" t="e">
        <v>#NAME?</v>
      </c>
      <c r="O705" s="3"/>
      <c r="P705" s="3" t="e">
        <v>#NAME?</v>
      </c>
      <c r="Q705" s="3"/>
      <c r="R705" s="3"/>
    </row>
    <row r="706" customFormat="false" ht="15.75" hidden="false" customHeight="false" outlineLevel="0" collapsed="false">
      <c r="L706" s="3" t="e">
        <v>#NAME?</v>
      </c>
      <c r="M706" s="3" t="e">
        <v>#NAME?</v>
      </c>
      <c r="N706" s="1" t="e">
        <v>#NAME?</v>
      </c>
      <c r="O706" s="3"/>
      <c r="P706" s="3" t="e">
        <v>#NAME?</v>
      </c>
      <c r="Q706" s="3"/>
      <c r="R706" s="3"/>
    </row>
    <row r="707" customFormat="false" ht="15.75" hidden="false" customHeight="false" outlineLevel="0" collapsed="false">
      <c r="L707" s="3" t="e">
        <v>#NAME?</v>
      </c>
      <c r="M707" s="3" t="e">
        <v>#NAME?</v>
      </c>
      <c r="N707" s="1" t="e">
        <v>#NAME?</v>
      </c>
      <c r="O707" s="3"/>
      <c r="P707" s="3" t="e">
        <v>#NAME?</v>
      </c>
      <c r="Q707" s="3"/>
      <c r="R707" s="3"/>
    </row>
    <row r="708" customFormat="false" ht="15.75" hidden="false" customHeight="false" outlineLevel="0" collapsed="false">
      <c r="L708" s="3" t="e">
        <v>#NAME?</v>
      </c>
      <c r="M708" s="3" t="e">
        <v>#NAME?</v>
      </c>
      <c r="N708" s="1" t="e">
        <v>#NAME?</v>
      </c>
      <c r="O708" s="3"/>
      <c r="P708" s="3" t="e">
        <v>#NAME?</v>
      </c>
      <c r="Q708" s="3"/>
      <c r="R708" s="3"/>
    </row>
    <row r="709" customFormat="false" ht="15.75" hidden="false" customHeight="false" outlineLevel="0" collapsed="false">
      <c r="L709" s="3" t="e">
        <v>#NAME?</v>
      </c>
      <c r="M709" s="3" t="e">
        <v>#NAME?</v>
      </c>
      <c r="N709" s="1" t="e">
        <v>#NAME?</v>
      </c>
      <c r="O709" s="3"/>
      <c r="P709" s="3" t="e">
        <v>#NAME?</v>
      </c>
      <c r="Q709" s="3"/>
      <c r="R709" s="3"/>
    </row>
    <row r="710" customFormat="false" ht="15.75" hidden="false" customHeight="false" outlineLevel="0" collapsed="false">
      <c r="L710" s="3" t="e">
        <v>#NAME?</v>
      </c>
      <c r="M710" s="3" t="e">
        <v>#NAME?</v>
      </c>
      <c r="N710" s="1" t="e">
        <v>#NAME?</v>
      </c>
      <c r="O710" s="3"/>
      <c r="P710" s="3" t="e">
        <v>#NAME?</v>
      </c>
      <c r="Q710" s="3"/>
      <c r="R710" s="3"/>
    </row>
    <row r="711" customFormat="false" ht="15.75" hidden="false" customHeight="false" outlineLevel="0" collapsed="false">
      <c r="L711" s="3" t="e">
        <v>#NAME?</v>
      </c>
      <c r="M711" s="3" t="e">
        <v>#NAME?</v>
      </c>
      <c r="N711" s="1" t="e">
        <v>#NAME?</v>
      </c>
      <c r="O711" s="3"/>
      <c r="P711" s="3" t="e">
        <v>#NAME?</v>
      </c>
      <c r="Q711" s="3"/>
      <c r="R711" s="3"/>
    </row>
    <row r="712" customFormat="false" ht="15.75" hidden="false" customHeight="false" outlineLevel="0" collapsed="false">
      <c r="L712" s="3" t="e">
        <v>#NAME?</v>
      </c>
      <c r="M712" s="3" t="e">
        <v>#NAME?</v>
      </c>
      <c r="N712" s="1" t="e">
        <v>#NAME?</v>
      </c>
      <c r="O712" s="3"/>
      <c r="P712" s="3" t="e">
        <v>#NAME?</v>
      </c>
      <c r="Q712" s="3"/>
      <c r="R712" s="3"/>
    </row>
    <row r="713" customFormat="false" ht="15.75" hidden="false" customHeight="false" outlineLevel="0" collapsed="false">
      <c r="L713" s="3" t="e">
        <v>#NAME?</v>
      </c>
      <c r="M713" s="3" t="e">
        <v>#NAME?</v>
      </c>
      <c r="N713" s="1" t="e">
        <v>#NAME?</v>
      </c>
      <c r="O713" s="3"/>
      <c r="P713" s="3" t="e">
        <v>#NAME?</v>
      </c>
      <c r="Q713" s="3"/>
      <c r="R713" s="3"/>
    </row>
    <row r="714" customFormat="false" ht="15.75" hidden="false" customHeight="false" outlineLevel="0" collapsed="false">
      <c r="L714" s="3" t="e">
        <v>#NAME?</v>
      </c>
      <c r="M714" s="3" t="e">
        <v>#NAME?</v>
      </c>
      <c r="N714" s="1" t="e">
        <v>#NAME?</v>
      </c>
      <c r="O714" s="3"/>
      <c r="P714" s="3" t="e">
        <v>#NAME?</v>
      </c>
      <c r="Q714" s="3"/>
      <c r="R714" s="3"/>
    </row>
    <row r="715" customFormat="false" ht="15.75" hidden="false" customHeight="false" outlineLevel="0" collapsed="false">
      <c r="L715" s="3" t="e">
        <v>#NAME?</v>
      </c>
      <c r="M715" s="3" t="e">
        <v>#NAME?</v>
      </c>
      <c r="N715" s="1" t="e">
        <v>#NAME?</v>
      </c>
      <c r="O715" s="3"/>
      <c r="P715" s="3" t="e">
        <v>#NAME?</v>
      </c>
      <c r="Q715" s="3"/>
      <c r="R715" s="3"/>
    </row>
    <row r="716" customFormat="false" ht="15.75" hidden="false" customHeight="false" outlineLevel="0" collapsed="false">
      <c r="L716" s="3" t="e">
        <v>#NAME?</v>
      </c>
      <c r="M716" s="3" t="e">
        <v>#NAME?</v>
      </c>
      <c r="N716" s="1" t="e">
        <v>#NAME?</v>
      </c>
      <c r="O716" s="3"/>
      <c r="P716" s="3" t="e">
        <v>#NAME?</v>
      </c>
      <c r="Q716" s="3"/>
      <c r="R716" s="3"/>
    </row>
    <row r="717" customFormat="false" ht="15.75" hidden="false" customHeight="false" outlineLevel="0" collapsed="false">
      <c r="L717" s="3" t="e">
        <v>#NAME?</v>
      </c>
      <c r="M717" s="3" t="e">
        <v>#NAME?</v>
      </c>
      <c r="N717" s="1" t="e">
        <v>#NAME?</v>
      </c>
      <c r="O717" s="3"/>
      <c r="P717" s="3" t="e">
        <v>#NAME?</v>
      </c>
      <c r="Q717" s="3"/>
      <c r="R717" s="3"/>
    </row>
    <row r="718" customFormat="false" ht="15.75" hidden="false" customHeight="false" outlineLevel="0" collapsed="false">
      <c r="L718" s="3" t="e">
        <v>#NAME?</v>
      </c>
      <c r="M718" s="3" t="e">
        <v>#NAME?</v>
      </c>
      <c r="N718" s="1" t="e">
        <v>#NAME?</v>
      </c>
      <c r="O718" s="3"/>
      <c r="P718" s="3" t="e">
        <v>#NAME?</v>
      </c>
      <c r="Q718" s="3"/>
      <c r="R718" s="3"/>
    </row>
    <row r="719" customFormat="false" ht="15.75" hidden="false" customHeight="false" outlineLevel="0" collapsed="false">
      <c r="L719" s="3" t="e">
        <v>#NAME?</v>
      </c>
      <c r="M719" s="3" t="e">
        <v>#NAME?</v>
      </c>
      <c r="N719" s="1" t="e">
        <v>#NAME?</v>
      </c>
      <c r="O719" s="3"/>
      <c r="P719" s="3" t="e">
        <v>#NAME?</v>
      </c>
      <c r="Q719" s="3"/>
      <c r="R719" s="3"/>
    </row>
    <row r="720" customFormat="false" ht="15.75" hidden="false" customHeight="false" outlineLevel="0" collapsed="false">
      <c r="L720" s="3" t="e">
        <v>#NAME?</v>
      </c>
      <c r="M720" s="3" t="e">
        <v>#NAME?</v>
      </c>
      <c r="N720" s="1" t="e">
        <v>#NAME?</v>
      </c>
      <c r="O720" s="3"/>
      <c r="P720" s="3" t="e">
        <v>#NAME?</v>
      </c>
      <c r="Q720" s="3"/>
      <c r="R720" s="3"/>
    </row>
    <row r="721" customFormat="false" ht="15.75" hidden="false" customHeight="false" outlineLevel="0" collapsed="false">
      <c r="L721" s="3" t="e">
        <v>#NAME?</v>
      </c>
      <c r="M721" s="3" t="e">
        <v>#NAME?</v>
      </c>
      <c r="N721" s="1" t="e">
        <v>#NAME?</v>
      </c>
      <c r="O721" s="3"/>
      <c r="P721" s="3" t="e">
        <v>#NAME?</v>
      </c>
      <c r="Q721" s="3"/>
      <c r="R721" s="3"/>
    </row>
    <row r="722" customFormat="false" ht="15.75" hidden="false" customHeight="false" outlineLevel="0" collapsed="false">
      <c r="L722" s="3" t="e">
        <v>#NAME?</v>
      </c>
      <c r="M722" s="3" t="e">
        <v>#NAME?</v>
      </c>
      <c r="N722" s="1" t="e">
        <v>#NAME?</v>
      </c>
      <c r="O722" s="3"/>
      <c r="P722" s="3" t="e">
        <v>#NAME?</v>
      </c>
      <c r="Q722" s="3"/>
      <c r="R722" s="3"/>
    </row>
    <row r="723" customFormat="false" ht="15.75" hidden="false" customHeight="false" outlineLevel="0" collapsed="false">
      <c r="L723" s="3" t="e">
        <v>#NAME?</v>
      </c>
      <c r="M723" s="3" t="e">
        <v>#NAME?</v>
      </c>
      <c r="N723" s="1" t="e">
        <v>#NAME?</v>
      </c>
      <c r="O723" s="3"/>
      <c r="P723" s="3" t="e">
        <v>#NAME?</v>
      </c>
      <c r="Q723" s="3"/>
      <c r="R723" s="3"/>
    </row>
    <row r="724" customFormat="false" ht="15.75" hidden="false" customHeight="false" outlineLevel="0" collapsed="false">
      <c r="L724" s="3" t="e">
        <v>#NAME?</v>
      </c>
      <c r="M724" s="3" t="e">
        <v>#NAME?</v>
      </c>
      <c r="N724" s="1" t="e">
        <v>#NAME?</v>
      </c>
      <c r="O724" s="3"/>
      <c r="P724" s="3" t="e">
        <v>#NAME?</v>
      </c>
      <c r="Q724" s="3"/>
      <c r="R724" s="3"/>
    </row>
    <row r="725" customFormat="false" ht="15.75" hidden="false" customHeight="false" outlineLevel="0" collapsed="false">
      <c r="L725" s="3" t="e">
        <v>#NAME?</v>
      </c>
      <c r="M725" s="3" t="e">
        <v>#NAME?</v>
      </c>
      <c r="N725" s="1" t="e">
        <v>#NAME?</v>
      </c>
      <c r="O725" s="3"/>
      <c r="P725" s="3" t="e">
        <v>#NAME?</v>
      </c>
      <c r="Q725" s="3"/>
      <c r="R725" s="3"/>
    </row>
    <row r="726" customFormat="false" ht="15.75" hidden="false" customHeight="false" outlineLevel="0" collapsed="false">
      <c r="L726" s="3" t="e">
        <v>#NAME?</v>
      </c>
      <c r="M726" s="3" t="e">
        <v>#NAME?</v>
      </c>
      <c r="N726" s="1" t="e">
        <v>#NAME?</v>
      </c>
      <c r="O726" s="3"/>
      <c r="P726" s="3" t="e">
        <v>#NAME?</v>
      </c>
      <c r="Q726" s="3"/>
      <c r="R726" s="3"/>
    </row>
    <row r="727" customFormat="false" ht="15.75" hidden="false" customHeight="false" outlineLevel="0" collapsed="false">
      <c r="L727" s="3" t="e">
        <v>#NAME?</v>
      </c>
      <c r="M727" s="3" t="e">
        <v>#NAME?</v>
      </c>
      <c r="N727" s="1" t="e">
        <v>#NAME?</v>
      </c>
      <c r="O727" s="3"/>
      <c r="P727" s="3" t="e">
        <v>#NAME?</v>
      </c>
      <c r="Q727" s="3"/>
      <c r="R727" s="3"/>
    </row>
    <row r="728" customFormat="false" ht="15.75" hidden="false" customHeight="false" outlineLevel="0" collapsed="false">
      <c r="L728" s="3" t="e">
        <v>#NAME?</v>
      </c>
      <c r="M728" s="3" t="e">
        <v>#NAME?</v>
      </c>
      <c r="N728" s="1" t="e">
        <v>#NAME?</v>
      </c>
      <c r="O728" s="3"/>
      <c r="P728" s="3" t="e">
        <v>#NAME?</v>
      </c>
      <c r="Q728" s="3"/>
      <c r="R728" s="3"/>
    </row>
    <row r="729" customFormat="false" ht="15.75" hidden="false" customHeight="false" outlineLevel="0" collapsed="false">
      <c r="L729" s="3" t="e">
        <v>#NAME?</v>
      </c>
      <c r="M729" s="3" t="e">
        <v>#NAME?</v>
      </c>
      <c r="N729" s="1" t="e">
        <v>#NAME?</v>
      </c>
      <c r="O729" s="3"/>
      <c r="P729" s="3" t="e">
        <v>#NAME?</v>
      </c>
      <c r="Q729" s="3"/>
      <c r="R729" s="3"/>
    </row>
    <row r="730" customFormat="false" ht="15.75" hidden="false" customHeight="false" outlineLevel="0" collapsed="false">
      <c r="L730" s="3" t="e">
        <v>#NAME?</v>
      </c>
      <c r="M730" s="3" t="e">
        <v>#NAME?</v>
      </c>
      <c r="N730" s="1" t="e">
        <v>#NAME?</v>
      </c>
      <c r="O730" s="3"/>
      <c r="P730" s="3" t="e">
        <v>#NAME?</v>
      </c>
      <c r="Q730" s="3"/>
      <c r="R730" s="3"/>
    </row>
    <row r="731" customFormat="false" ht="15.75" hidden="false" customHeight="false" outlineLevel="0" collapsed="false">
      <c r="L731" s="3" t="e">
        <v>#NAME?</v>
      </c>
      <c r="M731" s="3" t="e">
        <v>#NAME?</v>
      </c>
      <c r="N731" s="1" t="e">
        <v>#NAME?</v>
      </c>
      <c r="O731" s="3"/>
      <c r="P731" s="3" t="e">
        <v>#NAME?</v>
      </c>
      <c r="Q731" s="3"/>
      <c r="R731" s="3"/>
    </row>
    <row r="732" customFormat="false" ht="15.75" hidden="false" customHeight="false" outlineLevel="0" collapsed="false">
      <c r="L732" s="3" t="e">
        <v>#NAME?</v>
      </c>
      <c r="M732" s="3" t="e">
        <v>#NAME?</v>
      </c>
      <c r="N732" s="1" t="e">
        <v>#NAME?</v>
      </c>
      <c r="O732" s="3"/>
      <c r="P732" s="3" t="e">
        <v>#NAME?</v>
      </c>
      <c r="Q732" s="3"/>
      <c r="R732" s="3"/>
    </row>
    <row r="733" customFormat="false" ht="15.75" hidden="false" customHeight="false" outlineLevel="0" collapsed="false">
      <c r="L733" s="3" t="e">
        <v>#NAME?</v>
      </c>
      <c r="M733" s="3" t="e">
        <v>#NAME?</v>
      </c>
      <c r="N733" s="1" t="e">
        <v>#NAME?</v>
      </c>
      <c r="O733" s="3"/>
      <c r="P733" s="3" t="e">
        <v>#NAME?</v>
      </c>
      <c r="Q733" s="3"/>
      <c r="R733" s="3"/>
    </row>
    <row r="734" customFormat="false" ht="15.75" hidden="false" customHeight="false" outlineLevel="0" collapsed="false">
      <c r="L734" s="3" t="e">
        <v>#NAME?</v>
      </c>
      <c r="M734" s="3" t="e">
        <v>#NAME?</v>
      </c>
      <c r="N734" s="1" t="e">
        <v>#NAME?</v>
      </c>
      <c r="O734" s="3"/>
      <c r="P734" s="3" t="e">
        <v>#NAME?</v>
      </c>
      <c r="Q734" s="3"/>
      <c r="R734" s="3"/>
    </row>
    <row r="735" customFormat="false" ht="15.75" hidden="false" customHeight="false" outlineLevel="0" collapsed="false">
      <c r="L735" s="3" t="e">
        <v>#NAME?</v>
      </c>
      <c r="M735" s="3" t="e">
        <v>#NAME?</v>
      </c>
      <c r="N735" s="1" t="e">
        <v>#NAME?</v>
      </c>
      <c r="O735" s="3"/>
      <c r="P735" s="3" t="e">
        <v>#NAME?</v>
      </c>
      <c r="Q735" s="3"/>
      <c r="R735" s="3"/>
    </row>
    <row r="736" customFormat="false" ht="15.75" hidden="false" customHeight="false" outlineLevel="0" collapsed="false">
      <c r="L736" s="3" t="e">
        <v>#NAME?</v>
      </c>
      <c r="M736" s="3" t="e">
        <v>#NAME?</v>
      </c>
      <c r="N736" s="1" t="e">
        <v>#NAME?</v>
      </c>
      <c r="O736" s="3"/>
      <c r="P736" s="3" t="e">
        <v>#NAME?</v>
      </c>
      <c r="Q736" s="3"/>
      <c r="R736" s="3"/>
    </row>
    <row r="737" customFormat="false" ht="15.75" hidden="false" customHeight="false" outlineLevel="0" collapsed="false">
      <c r="L737" s="3" t="e">
        <v>#NAME?</v>
      </c>
      <c r="M737" s="3" t="e">
        <v>#NAME?</v>
      </c>
      <c r="N737" s="1" t="e">
        <v>#NAME?</v>
      </c>
      <c r="O737" s="3"/>
      <c r="P737" s="3" t="e">
        <v>#NAME?</v>
      </c>
      <c r="Q737" s="3"/>
      <c r="R737" s="3"/>
    </row>
    <row r="738" customFormat="false" ht="15.75" hidden="false" customHeight="false" outlineLevel="0" collapsed="false">
      <c r="L738" s="3" t="e">
        <v>#NAME?</v>
      </c>
      <c r="M738" s="3" t="e">
        <v>#NAME?</v>
      </c>
      <c r="N738" s="1" t="e">
        <v>#NAME?</v>
      </c>
      <c r="O738" s="3"/>
      <c r="P738" s="3" t="e">
        <v>#NAME?</v>
      </c>
      <c r="Q738" s="3"/>
      <c r="R738" s="3"/>
    </row>
    <row r="739" customFormat="false" ht="15.75" hidden="false" customHeight="false" outlineLevel="0" collapsed="false">
      <c r="L739" s="3" t="e">
        <v>#NAME?</v>
      </c>
      <c r="M739" s="3" t="e">
        <v>#NAME?</v>
      </c>
      <c r="N739" s="1" t="e">
        <v>#NAME?</v>
      </c>
      <c r="O739" s="3"/>
      <c r="P739" s="3" t="e">
        <v>#NAME?</v>
      </c>
      <c r="Q739" s="3"/>
      <c r="R739" s="3"/>
    </row>
    <row r="740" customFormat="false" ht="15.75" hidden="false" customHeight="false" outlineLevel="0" collapsed="false">
      <c r="L740" s="3" t="e">
        <v>#NAME?</v>
      </c>
      <c r="M740" s="3" t="e">
        <v>#NAME?</v>
      </c>
      <c r="N740" s="1" t="e">
        <v>#NAME?</v>
      </c>
      <c r="O740" s="3"/>
      <c r="P740" s="3" t="e">
        <v>#NAME?</v>
      </c>
      <c r="Q740" s="3"/>
      <c r="R740" s="3"/>
    </row>
    <row r="741" customFormat="false" ht="15.75" hidden="false" customHeight="false" outlineLevel="0" collapsed="false">
      <c r="L741" s="3" t="e">
        <v>#NAME?</v>
      </c>
      <c r="M741" s="3" t="e">
        <v>#NAME?</v>
      </c>
      <c r="N741" s="1" t="e">
        <v>#NAME?</v>
      </c>
      <c r="O741" s="3"/>
      <c r="P741" s="3" t="e">
        <v>#NAME?</v>
      </c>
      <c r="Q741" s="3"/>
      <c r="R741" s="3"/>
    </row>
    <row r="742" customFormat="false" ht="15.75" hidden="false" customHeight="false" outlineLevel="0" collapsed="false">
      <c r="L742" s="3" t="e">
        <v>#NAME?</v>
      </c>
      <c r="M742" s="3" t="e">
        <v>#NAME?</v>
      </c>
      <c r="N742" s="1" t="e">
        <v>#NAME?</v>
      </c>
      <c r="O742" s="3"/>
      <c r="P742" s="3" t="e">
        <v>#NAME?</v>
      </c>
      <c r="Q742" s="3"/>
      <c r="R742" s="3"/>
    </row>
    <row r="743" customFormat="false" ht="15.75" hidden="false" customHeight="false" outlineLevel="0" collapsed="false">
      <c r="L743" s="3" t="e">
        <v>#NAME?</v>
      </c>
      <c r="M743" s="3" t="e">
        <v>#NAME?</v>
      </c>
      <c r="N743" s="1" t="e">
        <v>#NAME?</v>
      </c>
      <c r="O743" s="3"/>
      <c r="P743" s="3" t="e">
        <v>#NAME?</v>
      </c>
      <c r="Q743" s="3"/>
      <c r="R743" s="3"/>
    </row>
    <row r="744" customFormat="false" ht="15.75" hidden="false" customHeight="false" outlineLevel="0" collapsed="false">
      <c r="L744" s="3" t="e">
        <v>#NAME?</v>
      </c>
      <c r="M744" s="3" t="e">
        <v>#NAME?</v>
      </c>
      <c r="N744" s="1" t="e">
        <v>#NAME?</v>
      </c>
      <c r="O744" s="3"/>
      <c r="P744" s="3" t="e">
        <v>#NAME?</v>
      </c>
      <c r="Q744" s="3"/>
      <c r="R744" s="3"/>
    </row>
    <row r="745" customFormat="false" ht="15.75" hidden="false" customHeight="false" outlineLevel="0" collapsed="false">
      <c r="L745" s="3" t="e">
        <v>#NAME?</v>
      </c>
      <c r="M745" s="3" t="e">
        <v>#NAME?</v>
      </c>
      <c r="N745" s="1" t="e">
        <v>#NAME?</v>
      </c>
      <c r="O745" s="3"/>
      <c r="P745" s="3" t="e">
        <v>#NAME?</v>
      </c>
      <c r="Q745" s="3"/>
      <c r="R745" s="3"/>
    </row>
    <row r="746" customFormat="false" ht="15.75" hidden="false" customHeight="false" outlineLevel="0" collapsed="false">
      <c r="L746" s="3" t="e">
        <v>#NAME?</v>
      </c>
      <c r="M746" s="3" t="e">
        <v>#NAME?</v>
      </c>
      <c r="N746" s="1" t="e">
        <v>#NAME?</v>
      </c>
      <c r="O746" s="3"/>
      <c r="P746" s="3" t="e">
        <v>#NAME?</v>
      </c>
      <c r="Q746" s="3"/>
      <c r="R746" s="3"/>
    </row>
    <row r="747" customFormat="false" ht="15.75" hidden="false" customHeight="false" outlineLevel="0" collapsed="false">
      <c r="L747" s="3" t="e">
        <v>#NAME?</v>
      </c>
      <c r="M747" s="3" t="e">
        <v>#NAME?</v>
      </c>
      <c r="N747" s="1" t="e">
        <v>#NAME?</v>
      </c>
      <c r="O747" s="3"/>
      <c r="P747" s="3" t="e">
        <v>#NAME?</v>
      </c>
      <c r="Q747" s="3"/>
      <c r="R747" s="3"/>
    </row>
    <row r="748" customFormat="false" ht="15.75" hidden="false" customHeight="false" outlineLevel="0" collapsed="false">
      <c r="L748" s="3" t="e">
        <v>#NAME?</v>
      </c>
      <c r="M748" s="3" t="e">
        <v>#NAME?</v>
      </c>
      <c r="N748" s="1" t="e">
        <v>#NAME?</v>
      </c>
      <c r="O748" s="3"/>
      <c r="P748" s="3" t="e">
        <v>#NAME?</v>
      </c>
      <c r="Q748" s="3"/>
      <c r="R748" s="3"/>
    </row>
    <row r="749" customFormat="false" ht="15.75" hidden="false" customHeight="false" outlineLevel="0" collapsed="false">
      <c r="L749" s="3" t="e">
        <v>#NAME?</v>
      </c>
      <c r="M749" s="3" t="e">
        <v>#NAME?</v>
      </c>
      <c r="N749" s="1" t="e">
        <v>#NAME?</v>
      </c>
      <c r="O749" s="3"/>
      <c r="P749" s="3" t="e">
        <v>#NAME?</v>
      </c>
      <c r="Q749" s="3"/>
      <c r="R749" s="3"/>
    </row>
    <row r="750" customFormat="false" ht="15.75" hidden="false" customHeight="false" outlineLevel="0" collapsed="false">
      <c r="L750" s="3" t="e">
        <v>#NAME?</v>
      </c>
      <c r="M750" s="3" t="e">
        <v>#NAME?</v>
      </c>
      <c r="N750" s="1" t="e">
        <v>#NAME?</v>
      </c>
      <c r="O750" s="3"/>
      <c r="P750" s="3" t="e">
        <v>#NAME?</v>
      </c>
      <c r="Q750" s="3"/>
      <c r="R750" s="3"/>
    </row>
    <row r="751" customFormat="false" ht="15.75" hidden="false" customHeight="false" outlineLevel="0" collapsed="false">
      <c r="L751" s="3" t="e">
        <v>#NAME?</v>
      </c>
      <c r="M751" s="3" t="e">
        <v>#NAME?</v>
      </c>
      <c r="N751" s="1" t="e">
        <v>#NAME?</v>
      </c>
      <c r="O751" s="3"/>
      <c r="P751" s="3" t="e">
        <v>#NAME?</v>
      </c>
      <c r="Q751" s="3"/>
      <c r="R751" s="3"/>
    </row>
    <row r="752" customFormat="false" ht="15.75" hidden="false" customHeight="false" outlineLevel="0" collapsed="false">
      <c r="L752" s="3" t="e">
        <v>#NAME?</v>
      </c>
      <c r="M752" s="3" t="e">
        <v>#NAME?</v>
      </c>
      <c r="N752" s="1" t="e">
        <v>#NAME?</v>
      </c>
      <c r="O752" s="3"/>
      <c r="P752" s="3" t="e">
        <v>#NAME?</v>
      </c>
      <c r="Q752" s="3"/>
      <c r="R752" s="3"/>
    </row>
    <row r="753" customFormat="false" ht="15.75" hidden="false" customHeight="false" outlineLevel="0" collapsed="false">
      <c r="L753" s="3" t="e">
        <v>#NAME?</v>
      </c>
      <c r="M753" s="3" t="e">
        <v>#NAME?</v>
      </c>
      <c r="N753" s="1" t="e">
        <v>#NAME?</v>
      </c>
      <c r="O753" s="3"/>
      <c r="P753" s="3" t="e">
        <v>#NAME?</v>
      </c>
      <c r="Q753" s="3"/>
      <c r="R753" s="3"/>
    </row>
    <row r="754" customFormat="false" ht="15.75" hidden="false" customHeight="false" outlineLevel="0" collapsed="false">
      <c r="L754" s="3" t="e">
        <v>#NAME?</v>
      </c>
      <c r="M754" s="3" t="e">
        <v>#NAME?</v>
      </c>
      <c r="N754" s="1" t="e">
        <v>#NAME?</v>
      </c>
      <c r="O754" s="3"/>
      <c r="P754" s="3" t="e">
        <v>#NAME?</v>
      </c>
      <c r="Q754" s="3"/>
      <c r="R754" s="3"/>
    </row>
    <row r="755" customFormat="false" ht="15.75" hidden="false" customHeight="false" outlineLevel="0" collapsed="false">
      <c r="L755" s="3" t="e">
        <v>#NAME?</v>
      </c>
      <c r="M755" s="3" t="e">
        <v>#NAME?</v>
      </c>
      <c r="N755" s="1" t="e">
        <v>#NAME?</v>
      </c>
      <c r="O755" s="3"/>
      <c r="P755" s="3" t="e">
        <v>#NAME?</v>
      </c>
      <c r="Q755" s="3"/>
      <c r="R755" s="3"/>
    </row>
    <row r="756" customFormat="false" ht="15.75" hidden="false" customHeight="false" outlineLevel="0" collapsed="false">
      <c r="L756" s="3" t="e">
        <v>#NAME?</v>
      </c>
      <c r="M756" s="3" t="e">
        <v>#NAME?</v>
      </c>
      <c r="N756" s="1" t="e">
        <v>#NAME?</v>
      </c>
      <c r="O756" s="3"/>
      <c r="P756" s="3" t="e">
        <v>#NAME?</v>
      </c>
      <c r="Q756" s="3"/>
      <c r="R756" s="3"/>
    </row>
    <row r="757" customFormat="false" ht="15.75" hidden="false" customHeight="false" outlineLevel="0" collapsed="false">
      <c r="L757" s="3" t="e">
        <v>#NAME?</v>
      </c>
      <c r="M757" s="3" t="e">
        <v>#NAME?</v>
      </c>
      <c r="N757" s="1" t="e">
        <v>#NAME?</v>
      </c>
      <c r="O757" s="3"/>
      <c r="P757" s="3" t="e">
        <v>#NAME?</v>
      </c>
      <c r="Q757" s="3"/>
      <c r="R757" s="3"/>
    </row>
    <row r="758" customFormat="false" ht="15.75" hidden="false" customHeight="false" outlineLevel="0" collapsed="false">
      <c r="L758" s="3" t="e">
        <v>#NAME?</v>
      </c>
      <c r="M758" s="3" t="e">
        <v>#NAME?</v>
      </c>
      <c r="N758" s="1" t="e">
        <v>#NAME?</v>
      </c>
      <c r="O758" s="3"/>
      <c r="P758" s="3" t="e">
        <v>#NAME?</v>
      </c>
      <c r="Q758" s="3"/>
      <c r="R758" s="3"/>
    </row>
    <row r="759" customFormat="false" ht="15.75" hidden="false" customHeight="false" outlineLevel="0" collapsed="false">
      <c r="L759" s="3" t="e">
        <v>#NAME?</v>
      </c>
      <c r="M759" s="3" t="e">
        <v>#NAME?</v>
      </c>
      <c r="N759" s="1" t="e">
        <v>#NAME?</v>
      </c>
      <c r="O759" s="3"/>
      <c r="P759" s="3" t="e">
        <v>#NAME?</v>
      </c>
      <c r="Q759" s="3"/>
      <c r="R759" s="3"/>
    </row>
    <row r="760" customFormat="false" ht="15.75" hidden="false" customHeight="false" outlineLevel="0" collapsed="false">
      <c r="L760" s="3" t="e">
        <v>#NAME?</v>
      </c>
      <c r="M760" s="3" t="e">
        <v>#NAME?</v>
      </c>
      <c r="N760" s="1" t="e">
        <v>#NAME?</v>
      </c>
      <c r="O760" s="3"/>
      <c r="P760" s="3" t="e">
        <v>#NAME?</v>
      </c>
      <c r="Q760" s="3"/>
      <c r="R760" s="3"/>
    </row>
    <row r="761" customFormat="false" ht="15.75" hidden="false" customHeight="false" outlineLevel="0" collapsed="false">
      <c r="L761" s="3" t="e">
        <v>#NAME?</v>
      </c>
      <c r="M761" s="3" t="e">
        <v>#NAME?</v>
      </c>
      <c r="N761" s="1" t="e">
        <v>#NAME?</v>
      </c>
      <c r="O761" s="3"/>
      <c r="P761" s="3" t="e">
        <v>#NAME?</v>
      </c>
      <c r="Q761" s="3"/>
      <c r="R761" s="3"/>
    </row>
    <row r="762" customFormat="false" ht="15.75" hidden="false" customHeight="false" outlineLevel="0" collapsed="false">
      <c r="L762" s="3" t="e">
        <v>#NAME?</v>
      </c>
      <c r="M762" s="3" t="e">
        <v>#NAME?</v>
      </c>
      <c r="N762" s="1" t="e">
        <v>#NAME?</v>
      </c>
      <c r="O762" s="3"/>
      <c r="P762" s="3" t="e">
        <v>#NAME?</v>
      </c>
      <c r="Q762" s="3"/>
      <c r="R762" s="3"/>
    </row>
    <row r="763" customFormat="false" ht="15.75" hidden="false" customHeight="false" outlineLevel="0" collapsed="false">
      <c r="L763" s="3" t="e">
        <v>#NAME?</v>
      </c>
      <c r="M763" s="3" t="e">
        <v>#NAME?</v>
      </c>
      <c r="N763" s="1" t="e">
        <v>#NAME?</v>
      </c>
      <c r="O763" s="3"/>
      <c r="P763" s="3" t="e">
        <v>#NAME?</v>
      </c>
      <c r="Q763" s="3"/>
      <c r="R763" s="3"/>
    </row>
    <row r="764" customFormat="false" ht="15.75" hidden="false" customHeight="false" outlineLevel="0" collapsed="false">
      <c r="L764" s="3" t="e">
        <v>#NAME?</v>
      </c>
      <c r="M764" s="3" t="e">
        <v>#NAME?</v>
      </c>
      <c r="N764" s="1" t="e">
        <v>#NAME?</v>
      </c>
      <c r="O764" s="3"/>
      <c r="P764" s="3" t="e">
        <v>#NAME?</v>
      </c>
      <c r="Q764" s="3"/>
      <c r="R764" s="3"/>
    </row>
    <row r="765" customFormat="false" ht="15.75" hidden="false" customHeight="false" outlineLevel="0" collapsed="false">
      <c r="L765" s="3" t="e">
        <v>#NAME?</v>
      </c>
      <c r="M765" s="3" t="e">
        <v>#NAME?</v>
      </c>
      <c r="N765" s="1" t="e">
        <v>#NAME?</v>
      </c>
      <c r="O765" s="3"/>
      <c r="P765" s="3" t="e">
        <v>#NAME?</v>
      </c>
      <c r="Q765" s="3"/>
      <c r="R765" s="3"/>
    </row>
    <row r="766" customFormat="false" ht="15.75" hidden="false" customHeight="false" outlineLevel="0" collapsed="false">
      <c r="L766" s="3" t="e">
        <v>#NAME?</v>
      </c>
      <c r="M766" s="3" t="e">
        <v>#NAME?</v>
      </c>
      <c r="N766" s="1" t="e">
        <v>#NAME?</v>
      </c>
      <c r="O766" s="3"/>
      <c r="P766" s="3" t="e">
        <v>#NAME?</v>
      </c>
      <c r="Q766" s="3"/>
      <c r="R766" s="3"/>
    </row>
    <row r="767" customFormat="false" ht="15.75" hidden="false" customHeight="false" outlineLevel="0" collapsed="false">
      <c r="L767" s="3" t="e">
        <v>#NAME?</v>
      </c>
      <c r="M767" s="3" t="e">
        <v>#NAME?</v>
      </c>
      <c r="N767" s="1" t="e">
        <v>#NAME?</v>
      </c>
      <c r="O767" s="3"/>
      <c r="P767" s="3" t="e">
        <v>#NAME?</v>
      </c>
      <c r="Q767" s="3"/>
      <c r="R767" s="3"/>
    </row>
    <row r="768" customFormat="false" ht="15.75" hidden="false" customHeight="false" outlineLevel="0" collapsed="false">
      <c r="L768" s="3" t="e">
        <v>#NAME?</v>
      </c>
      <c r="M768" s="3" t="e">
        <v>#NAME?</v>
      </c>
      <c r="N768" s="1" t="e">
        <v>#NAME?</v>
      </c>
      <c r="O768" s="3"/>
      <c r="P768" s="3" t="e">
        <v>#NAME?</v>
      </c>
      <c r="Q768" s="3"/>
      <c r="R768" s="3"/>
    </row>
    <row r="769" customFormat="false" ht="15.75" hidden="false" customHeight="false" outlineLevel="0" collapsed="false">
      <c r="L769" s="3" t="e">
        <v>#NAME?</v>
      </c>
      <c r="M769" s="3" t="e">
        <v>#NAME?</v>
      </c>
      <c r="N769" s="1" t="e">
        <v>#NAME?</v>
      </c>
      <c r="O769" s="3"/>
      <c r="P769" s="3" t="e">
        <v>#NAME?</v>
      </c>
      <c r="Q769" s="3"/>
      <c r="R769" s="3"/>
    </row>
    <row r="770" customFormat="false" ht="15.75" hidden="false" customHeight="false" outlineLevel="0" collapsed="false">
      <c r="L770" s="3" t="e">
        <v>#NAME?</v>
      </c>
      <c r="M770" s="3" t="e">
        <v>#NAME?</v>
      </c>
      <c r="N770" s="1" t="e">
        <v>#NAME?</v>
      </c>
      <c r="O770" s="3"/>
      <c r="P770" s="3" t="e">
        <v>#NAME?</v>
      </c>
      <c r="Q770" s="3"/>
      <c r="R770" s="3"/>
    </row>
    <row r="771" customFormat="false" ht="15.75" hidden="false" customHeight="false" outlineLevel="0" collapsed="false">
      <c r="L771" s="3" t="e">
        <v>#NAME?</v>
      </c>
      <c r="M771" s="3" t="e">
        <v>#NAME?</v>
      </c>
      <c r="N771" s="1" t="e">
        <v>#NAME?</v>
      </c>
      <c r="O771" s="3"/>
      <c r="P771" s="3" t="e">
        <v>#NAME?</v>
      </c>
      <c r="Q771" s="3"/>
      <c r="R771" s="3"/>
    </row>
    <row r="772" customFormat="false" ht="15.75" hidden="false" customHeight="false" outlineLevel="0" collapsed="false">
      <c r="L772" s="3" t="e">
        <v>#NAME?</v>
      </c>
      <c r="M772" s="3" t="e">
        <v>#NAME?</v>
      </c>
      <c r="N772" s="1" t="e">
        <v>#NAME?</v>
      </c>
      <c r="O772" s="3"/>
      <c r="P772" s="3" t="e">
        <v>#NAME?</v>
      </c>
      <c r="Q772" s="3"/>
      <c r="R772" s="3"/>
    </row>
    <row r="773" customFormat="false" ht="15.75" hidden="false" customHeight="false" outlineLevel="0" collapsed="false">
      <c r="L773" s="3" t="e">
        <v>#NAME?</v>
      </c>
      <c r="M773" s="3" t="e">
        <v>#NAME?</v>
      </c>
      <c r="N773" s="1" t="e">
        <v>#NAME?</v>
      </c>
      <c r="O773" s="3"/>
      <c r="P773" s="3" t="e">
        <v>#NAME?</v>
      </c>
      <c r="Q773" s="3"/>
      <c r="R773" s="3"/>
    </row>
    <row r="774" customFormat="false" ht="15.75" hidden="false" customHeight="false" outlineLevel="0" collapsed="false">
      <c r="L774" s="3" t="e">
        <v>#NAME?</v>
      </c>
      <c r="M774" s="3" t="e">
        <v>#NAME?</v>
      </c>
      <c r="N774" s="1" t="e">
        <v>#NAME?</v>
      </c>
      <c r="O774" s="3"/>
      <c r="P774" s="3" t="e">
        <v>#NAME?</v>
      </c>
      <c r="Q774" s="3"/>
      <c r="R774" s="3"/>
    </row>
    <row r="775" customFormat="false" ht="15.75" hidden="false" customHeight="false" outlineLevel="0" collapsed="false">
      <c r="L775" s="3" t="e">
        <v>#NAME?</v>
      </c>
      <c r="M775" s="3" t="e">
        <v>#NAME?</v>
      </c>
      <c r="N775" s="1" t="e">
        <v>#NAME?</v>
      </c>
      <c r="O775" s="3"/>
      <c r="P775" s="3" t="e">
        <v>#NAME?</v>
      </c>
      <c r="Q775" s="3"/>
      <c r="R775" s="3"/>
    </row>
    <row r="776" customFormat="false" ht="15.75" hidden="false" customHeight="false" outlineLevel="0" collapsed="false">
      <c r="L776" s="3" t="e">
        <v>#NAME?</v>
      </c>
      <c r="M776" s="3" t="e">
        <v>#NAME?</v>
      </c>
      <c r="N776" s="1" t="e">
        <v>#NAME?</v>
      </c>
      <c r="O776" s="3"/>
      <c r="P776" s="3" t="e">
        <v>#NAME?</v>
      </c>
      <c r="Q776" s="3"/>
      <c r="R776" s="3"/>
    </row>
    <row r="777" customFormat="false" ht="15.75" hidden="false" customHeight="false" outlineLevel="0" collapsed="false">
      <c r="L777" s="3" t="e">
        <v>#NAME?</v>
      </c>
      <c r="M777" s="3" t="e">
        <v>#NAME?</v>
      </c>
      <c r="N777" s="1" t="e">
        <v>#NAME?</v>
      </c>
      <c r="O777" s="3"/>
      <c r="P777" s="3" t="e">
        <v>#NAME?</v>
      </c>
      <c r="Q777" s="3"/>
      <c r="R777" s="3"/>
    </row>
    <row r="778" customFormat="false" ht="15.75" hidden="false" customHeight="false" outlineLevel="0" collapsed="false">
      <c r="L778" s="3" t="e">
        <v>#NAME?</v>
      </c>
      <c r="M778" s="3" t="e">
        <v>#NAME?</v>
      </c>
      <c r="N778" s="1" t="e">
        <v>#NAME?</v>
      </c>
      <c r="O778" s="3"/>
      <c r="P778" s="3" t="e">
        <v>#NAME?</v>
      </c>
      <c r="Q778" s="3"/>
      <c r="R778" s="3"/>
    </row>
    <row r="779" customFormat="false" ht="15.75" hidden="false" customHeight="false" outlineLevel="0" collapsed="false">
      <c r="L779" s="3" t="e">
        <v>#NAME?</v>
      </c>
      <c r="M779" s="3" t="e">
        <v>#NAME?</v>
      </c>
      <c r="N779" s="1" t="e">
        <v>#NAME?</v>
      </c>
      <c r="O779" s="3"/>
      <c r="P779" s="3" t="e">
        <v>#NAME?</v>
      </c>
      <c r="Q779" s="3"/>
      <c r="R779" s="3"/>
    </row>
    <row r="780" customFormat="false" ht="15.75" hidden="false" customHeight="false" outlineLevel="0" collapsed="false">
      <c r="L780" s="3" t="e">
        <v>#NAME?</v>
      </c>
      <c r="M780" s="3" t="e">
        <v>#NAME?</v>
      </c>
      <c r="N780" s="1" t="e">
        <v>#NAME?</v>
      </c>
      <c r="O780" s="3"/>
      <c r="P780" s="3" t="e">
        <v>#NAME?</v>
      </c>
      <c r="Q780" s="3"/>
      <c r="R780" s="3"/>
    </row>
    <row r="781" customFormat="false" ht="15.75" hidden="false" customHeight="false" outlineLevel="0" collapsed="false">
      <c r="L781" s="3" t="e">
        <v>#NAME?</v>
      </c>
      <c r="M781" s="3" t="e">
        <v>#NAME?</v>
      </c>
      <c r="N781" s="1" t="e">
        <v>#NAME?</v>
      </c>
      <c r="O781" s="3"/>
      <c r="P781" s="3" t="e">
        <v>#NAME?</v>
      </c>
      <c r="Q781" s="3"/>
      <c r="R781" s="3"/>
    </row>
    <row r="782" customFormat="false" ht="15.75" hidden="false" customHeight="false" outlineLevel="0" collapsed="false">
      <c r="L782" s="3" t="e">
        <v>#NAME?</v>
      </c>
      <c r="M782" s="3" t="e">
        <v>#NAME?</v>
      </c>
      <c r="N782" s="1" t="e">
        <v>#NAME?</v>
      </c>
      <c r="O782" s="3"/>
      <c r="P782" s="3" t="e">
        <v>#NAME?</v>
      </c>
      <c r="Q782" s="3"/>
      <c r="R782" s="3"/>
    </row>
    <row r="783" customFormat="false" ht="15.75" hidden="false" customHeight="false" outlineLevel="0" collapsed="false">
      <c r="L783" s="3" t="e">
        <v>#NAME?</v>
      </c>
      <c r="M783" s="3" t="e">
        <v>#NAME?</v>
      </c>
      <c r="N783" s="1" t="e">
        <v>#NAME?</v>
      </c>
      <c r="O783" s="3"/>
      <c r="P783" s="3" t="e">
        <v>#NAME?</v>
      </c>
      <c r="Q783" s="3"/>
      <c r="R783" s="3"/>
    </row>
    <row r="784" customFormat="false" ht="15.75" hidden="false" customHeight="false" outlineLevel="0" collapsed="false">
      <c r="L784" s="3" t="e">
        <v>#NAME?</v>
      </c>
      <c r="M784" s="3" t="e">
        <v>#NAME?</v>
      </c>
      <c r="N784" s="1" t="e">
        <v>#NAME?</v>
      </c>
      <c r="O784" s="3"/>
      <c r="P784" s="3" t="e">
        <v>#NAME?</v>
      </c>
      <c r="Q784" s="3"/>
      <c r="R784" s="3"/>
    </row>
    <row r="785" customFormat="false" ht="15.75" hidden="false" customHeight="false" outlineLevel="0" collapsed="false">
      <c r="L785" s="3" t="e">
        <v>#NAME?</v>
      </c>
      <c r="M785" s="3" t="e">
        <v>#NAME?</v>
      </c>
      <c r="N785" s="1" t="e">
        <v>#NAME?</v>
      </c>
      <c r="O785" s="3"/>
      <c r="P785" s="3" t="e">
        <v>#NAME?</v>
      </c>
      <c r="Q785" s="3"/>
      <c r="R785" s="3"/>
    </row>
    <row r="786" customFormat="false" ht="15.75" hidden="false" customHeight="false" outlineLevel="0" collapsed="false">
      <c r="L786" s="3" t="e">
        <v>#NAME?</v>
      </c>
      <c r="M786" s="3" t="e">
        <v>#NAME?</v>
      </c>
      <c r="N786" s="1" t="e">
        <v>#NAME?</v>
      </c>
      <c r="O786" s="3"/>
      <c r="P786" s="3" t="e">
        <v>#NAME?</v>
      </c>
      <c r="Q786" s="3"/>
      <c r="R786" s="3"/>
    </row>
    <row r="787" customFormat="false" ht="15.75" hidden="false" customHeight="false" outlineLevel="0" collapsed="false">
      <c r="L787" s="3" t="e">
        <v>#NAME?</v>
      </c>
      <c r="M787" s="3" t="e">
        <v>#NAME?</v>
      </c>
      <c r="N787" s="1" t="e">
        <v>#NAME?</v>
      </c>
      <c r="O787" s="3"/>
      <c r="P787" s="3" t="e">
        <v>#NAME?</v>
      </c>
      <c r="Q787" s="3"/>
      <c r="R787" s="3"/>
    </row>
    <row r="788" customFormat="false" ht="15.75" hidden="false" customHeight="false" outlineLevel="0" collapsed="false">
      <c r="L788" s="3" t="e">
        <v>#NAME?</v>
      </c>
      <c r="M788" s="3" t="e">
        <v>#NAME?</v>
      </c>
      <c r="N788" s="1" t="e">
        <v>#NAME?</v>
      </c>
      <c r="O788" s="3"/>
      <c r="P788" s="3" t="e">
        <v>#NAME?</v>
      </c>
      <c r="Q788" s="3"/>
      <c r="R788" s="3"/>
    </row>
    <row r="789" customFormat="false" ht="15.75" hidden="false" customHeight="false" outlineLevel="0" collapsed="false">
      <c r="L789" s="3" t="e">
        <v>#NAME?</v>
      </c>
      <c r="M789" s="3" t="e">
        <v>#NAME?</v>
      </c>
      <c r="N789" s="1" t="e">
        <v>#NAME?</v>
      </c>
      <c r="O789" s="3"/>
      <c r="P789" s="3" t="e">
        <v>#NAME?</v>
      </c>
      <c r="Q789" s="3"/>
      <c r="R789" s="3"/>
    </row>
    <row r="790" customFormat="false" ht="15.75" hidden="false" customHeight="false" outlineLevel="0" collapsed="false">
      <c r="L790" s="3" t="e">
        <v>#NAME?</v>
      </c>
      <c r="M790" s="3" t="e">
        <v>#NAME?</v>
      </c>
      <c r="N790" s="1" t="e">
        <v>#NAME?</v>
      </c>
      <c r="O790" s="3"/>
      <c r="P790" s="3" t="e">
        <v>#NAME?</v>
      </c>
      <c r="Q790" s="3"/>
      <c r="R790" s="3"/>
    </row>
    <row r="791" customFormat="false" ht="15.75" hidden="false" customHeight="false" outlineLevel="0" collapsed="false">
      <c r="L791" s="3" t="e">
        <v>#NAME?</v>
      </c>
      <c r="M791" s="3" t="e">
        <v>#NAME?</v>
      </c>
      <c r="N791" s="1" t="e">
        <v>#NAME?</v>
      </c>
      <c r="O791" s="3"/>
      <c r="P791" s="3" t="e">
        <v>#NAME?</v>
      </c>
      <c r="Q791" s="3"/>
      <c r="R791" s="3"/>
    </row>
    <row r="792" customFormat="false" ht="15.75" hidden="false" customHeight="false" outlineLevel="0" collapsed="false">
      <c r="L792" s="3" t="e">
        <v>#NAME?</v>
      </c>
      <c r="M792" s="3" t="e">
        <v>#NAME?</v>
      </c>
      <c r="N792" s="1" t="e">
        <v>#NAME?</v>
      </c>
      <c r="O792" s="3"/>
      <c r="P792" s="3" t="e">
        <v>#NAME?</v>
      </c>
      <c r="Q792" s="3"/>
      <c r="R792" s="3"/>
    </row>
    <row r="793" customFormat="false" ht="15.75" hidden="false" customHeight="false" outlineLevel="0" collapsed="false">
      <c r="L793" s="3" t="e">
        <v>#NAME?</v>
      </c>
      <c r="M793" s="3" t="e">
        <v>#NAME?</v>
      </c>
      <c r="N793" s="1" t="e">
        <v>#NAME?</v>
      </c>
      <c r="O793" s="3"/>
      <c r="P793" s="3" t="e">
        <v>#NAME?</v>
      </c>
      <c r="Q793" s="3"/>
      <c r="R793" s="3"/>
    </row>
    <row r="794" customFormat="false" ht="15.75" hidden="false" customHeight="false" outlineLevel="0" collapsed="false">
      <c r="L794" s="3" t="e">
        <v>#NAME?</v>
      </c>
      <c r="M794" s="3" t="e">
        <v>#NAME?</v>
      </c>
      <c r="N794" s="1" t="e">
        <v>#NAME?</v>
      </c>
      <c r="O794" s="3"/>
      <c r="P794" s="3" t="e">
        <v>#NAME?</v>
      </c>
      <c r="Q794" s="3"/>
      <c r="R794" s="3"/>
    </row>
    <row r="795" customFormat="false" ht="15.75" hidden="false" customHeight="false" outlineLevel="0" collapsed="false">
      <c r="L795" s="3" t="e">
        <v>#NAME?</v>
      </c>
      <c r="M795" s="3" t="e">
        <v>#NAME?</v>
      </c>
      <c r="N795" s="1" t="e">
        <v>#NAME?</v>
      </c>
      <c r="O795" s="3"/>
      <c r="P795" s="3" t="e">
        <v>#NAME?</v>
      </c>
      <c r="Q795" s="3"/>
      <c r="R795" s="3"/>
    </row>
    <row r="796" customFormat="false" ht="15.75" hidden="false" customHeight="false" outlineLevel="0" collapsed="false">
      <c r="L796" s="3" t="e">
        <v>#NAME?</v>
      </c>
      <c r="M796" s="3" t="e">
        <v>#NAME?</v>
      </c>
      <c r="N796" s="1" t="e">
        <v>#NAME?</v>
      </c>
      <c r="O796" s="3"/>
      <c r="P796" s="3" t="e">
        <v>#NAME?</v>
      </c>
      <c r="Q796" s="3"/>
      <c r="R796" s="3"/>
    </row>
    <row r="797" customFormat="false" ht="15.75" hidden="false" customHeight="false" outlineLevel="0" collapsed="false">
      <c r="L797" s="3" t="e">
        <v>#NAME?</v>
      </c>
      <c r="M797" s="3" t="e">
        <v>#NAME?</v>
      </c>
      <c r="N797" s="1" t="e">
        <v>#NAME?</v>
      </c>
      <c r="O797" s="3"/>
      <c r="P797" s="3" t="e">
        <v>#NAME?</v>
      </c>
      <c r="Q797" s="3"/>
      <c r="R797" s="3"/>
    </row>
    <row r="798" customFormat="false" ht="15.75" hidden="false" customHeight="false" outlineLevel="0" collapsed="false">
      <c r="L798" s="3" t="e">
        <v>#NAME?</v>
      </c>
      <c r="M798" s="3" t="e">
        <v>#NAME?</v>
      </c>
      <c r="N798" s="1" t="e">
        <v>#NAME?</v>
      </c>
      <c r="O798" s="3"/>
      <c r="P798" s="3" t="e">
        <v>#NAME?</v>
      </c>
      <c r="Q798" s="3"/>
      <c r="R798" s="3"/>
    </row>
    <row r="799" customFormat="false" ht="15.75" hidden="false" customHeight="false" outlineLevel="0" collapsed="false">
      <c r="L799" s="3" t="e">
        <v>#NAME?</v>
      </c>
      <c r="M799" s="3" t="e">
        <v>#NAME?</v>
      </c>
      <c r="N799" s="1" t="e">
        <v>#NAME?</v>
      </c>
      <c r="O799" s="3"/>
      <c r="P799" s="3" t="e">
        <v>#NAME?</v>
      </c>
      <c r="Q799" s="3"/>
      <c r="R799" s="3"/>
    </row>
    <row r="800" customFormat="false" ht="15.75" hidden="false" customHeight="false" outlineLevel="0" collapsed="false">
      <c r="L800" s="3" t="e">
        <v>#NAME?</v>
      </c>
      <c r="M800" s="3" t="e">
        <v>#NAME?</v>
      </c>
      <c r="N800" s="1" t="e">
        <v>#NAME?</v>
      </c>
      <c r="O800" s="3"/>
      <c r="P800" s="3" t="e">
        <v>#NAME?</v>
      </c>
      <c r="Q800" s="3"/>
      <c r="R800" s="3"/>
    </row>
    <row r="801" customFormat="false" ht="15.75" hidden="false" customHeight="false" outlineLevel="0" collapsed="false">
      <c r="L801" s="3" t="e">
        <v>#NAME?</v>
      </c>
      <c r="M801" s="3" t="e">
        <v>#NAME?</v>
      </c>
      <c r="N801" s="1" t="e">
        <v>#NAME?</v>
      </c>
      <c r="O801" s="3"/>
      <c r="P801" s="3" t="e">
        <v>#NAME?</v>
      </c>
      <c r="Q801" s="3"/>
      <c r="R801" s="3"/>
    </row>
    <row r="802" customFormat="false" ht="15.75" hidden="false" customHeight="false" outlineLevel="0" collapsed="false">
      <c r="L802" s="3" t="e">
        <v>#NAME?</v>
      </c>
      <c r="M802" s="3" t="e">
        <v>#NAME?</v>
      </c>
      <c r="N802" s="1" t="e">
        <v>#NAME?</v>
      </c>
      <c r="O802" s="3"/>
      <c r="P802" s="3" t="e">
        <v>#NAME?</v>
      </c>
      <c r="Q802" s="3"/>
      <c r="R802" s="3"/>
    </row>
    <row r="803" customFormat="false" ht="15.75" hidden="false" customHeight="false" outlineLevel="0" collapsed="false">
      <c r="L803" s="3" t="e">
        <v>#NAME?</v>
      </c>
      <c r="M803" s="3" t="e">
        <v>#NAME?</v>
      </c>
      <c r="N803" s="1" t="e">
        <v>#NAME?</v>
      </c>
      <c r="O803" s="3"/>
      <c r="P803" s="3" t="e">
        <v>#NAME?</v>
      </c>
      <c r="Q803" s="3"/>
      <c r="R803" s="3"/>
    </row>
    <row r="804" customFormat="false" ht="15.75" hidden="false" customHeight="false" outlineLevel="0" collapsed="false">
      <c r="L804" s="3" t="e">
        <v>#NAME?</v>
      </c>
      <c r="M804" s="3" t="e">
        <v>#NAME?</v>
      </c>
      <c r="N804" s="1" t="e">
        <v>#NAME?</v>
      </c>
      <c r="O804" s="3"/>
      <c r="P804" s="3" t="e">
        <v>#NAME?</v>
      </c>
      <c r="Q804" s="3"/>
      <c r="R804" s="3"/>
    </row>
    <row r="805" customFormat="false" ht="15.75" hidden="false" customHeight="false" outlineLevel="0" collapsed="false">
      <c r="L805" s="3" t="e">
        <v>#NAME?</v>
      </c>
      <c r="M805" s="3" t="e">
        <v>#NAME?</v>
      </c>
      <c r="N805" s="1" t="e">
        <v>#NAME?</v>
      </c>
      <c r="O805" s="3"/>
      <c r="P805" s="3" t="e">
        <v>#NAME?</v>
      </c>
      <c r="Q805" s="3"/>
      <c r="R805" s="3"/>
    </row>
    <row r="806" customFormat="false" ht="15.75" hidden="false" customHeight="false" outlineLevel="0" collapsed="false">
      <c r="L806" s="3" t="e">
        <v>#NAME?</v>
      </c>
      <c r="M806" s="3" t="e">
        <v>#NAME?</v>
      </c>
      <c r="N806" s="1" t="e">
        <v>#NAME?</v>
      </c>
      <c r="O806" s="3"/>
      <c r="P806" s="3" t="e">
        <v>#NAME?</v>
      </c>
      <c r="Q806" s="3"/>
      <c r="R806" s="3"/>
    </row>
    <row r="807" customFormat="false" ht="15.75" hidden="false" customHeight="false" outlineLevel="0" collapsed="false">
      <c r="L807" s="3" t="e">
        <v>#NAME?</v>
      </c>
      <c r="M807" s="3" t="e">
        <v>#NAME?</v>
      </c>
      <c r="N807" s="1" t="e">
        <v>#NAME?</v>
      </c>
      <c r="O807" s="3"/>
      <c r="P807" s="3" t="e">
        <v>#NAME?</v>
      </c>
      <c r="Q807" s="3"/>
      <c r="R807" s="3"/>
    </row>
    <row r="808" customFormat="false" ht="15.75" hidden="false" customHeight="false" outlineLevel="0" collapsed="false">
      <c r="L808" s="3" t="e">
        <v>#NAME?</v>
      </c>
      <c r="M808" s="3" t="e">
        <v>#NAME?</v>
      </c>
      <c r="N808" s="1" t="e">
        <v>#NAME?</v>
      </c>
      <c r="O808" s="3"/>
      <c r="P808" s="3" t="e">
        <v>#NAME?</v>
      </c>
      <c r="Q808" s="3"/>
      <c r="R808" s="3"/>
    </row>
    <row r="809" customFormat="false" ht="15.75" hidden="false" customHeight="false" outlineLevel="0" collapsed="false">
      <c r="L809" s="3" t="e">
        <v>#NAME?</v>
      </c>
      <c r="M809" s="3" t="e">
        <v>#NAME?</v>
      </c>
      <c r="N809" s="1" t="e">
        <v>#NAME?</v>
      </c>
      <c r="O809" s="3"/>
      <c r="P809" s="3" t="e">
        <v>#NAME?</v>
      </c>
      <c r="Q809" s="3"/>
      <c r="R809" s="3"/>
    </row>
    <row r="810" customFormat="false" ht="15.75" hidden="false" customHeight="false" outlineLevel="0" collapsed="false">
      <c r="L810" s="3" t="e">
        <v>#NAME?</v>
      </c>
      <c r="M810" s="3" t="e">
        <v>#NAME?</v>
      </c>
      <c r="N810" s="1" t="e">
        <v>#NAME?</v>
      </c>
      <c r="O810" s="3"/>
      <c r="P810" s="3" t="e">
        <v>#NAME?</v>
      </c>
      <c r="Q810" s="3"/>
      <c r="R810" s="3"/>
    </row>
    <row r="811" customFormat="false" ht="15.75" hidden="false" customHeight="false" outlineLevel="0" collapsed="false">
      <c r="L811" s="3" t="e">
        <v>#NAME?</v>
      </c>
      <c r="M811" s="3" t="e">
        <v>#NAME?</v>
      </c>
      <c r="N811" s="1" t="e">
        <v>#NAME?</v>
      </c>
      <c r="O811" s="3"/>
      <c r="P811" s="3" t="e">
        <v>#NAME?</v>
      </c>
      <c r="Q811" s="3"/>
      <c r="R811" s="3"/>
    </row>
    <row r="812" customFormat="false" ht="15.75" hidden="false" customHeight="false" outlineLevel="0" collapsed="false">
      <c r="L812" s="3" t="e">
        <v>#NAME?</v>
      </c>
      <c r="M812" s="3" t="e">
        <v>#NAME?</v>
      </c>
      <c r="N812" s="1" t="e">
        <v>#NAME?</v>
      </c>
      <c r="O812" s="3"/>
      <c r="P812" s="3" t="e">
        <v>#NAME?</v>
      </c>
      <c r="Q812" s="3"/>
      <c r="R812" s="3"/>
    </row>
    <row r="813" customFormat="false" ht="15.75" hidden="false" customHeight="false" outlineLevel="0" collapsed="false">
      <c r="L813" s="3" t="e">
        <v>#NAME?</v>
      </c>
      <c r="M813" s="3" t="e">
        <v>#NAME?</v>
      </c>
      <c r="N813" s="1" t="e">
        <v>#NAME?</v>
      </c>
      <c r="O813" s="3"/>
      <c r="P813" s="3" t="e">
        <v>#NAME?</v>
      </c>
      <c r="Q813" s="3"/>
      <c r="R813" s="3"/>
    </row>
    <row r="814" customFormat="false" ht="15.75" hidden="false" customHeight="false" outlineLevel="0" collapsed="false">
      <c r="L814" s="3" t="e">
        <v>#NAME?</v>
      </c>
      <c r="M814" s="3" t="e">
        <v>#NAME?</v>
      </c>
      <c r="N814" s="1" t="e">
        <v>#NAME?</v>
      </c>
      <c r="O814" s="3"/>
      <c r="P814" s="3" t="e">
        <v>#NAME?</v>
      </c>
      <c r="Q814" s="3"/>
      <c r="R814" s="3"/>
    </row>
    <row r="815" customFormat="false" ht="15.75" hidden="false" customHeight="false" outlineLevel="0" collapsed="false">
      <c r="L815" s="3" t="e">
        <v>#NAME?</v>
      </c>
      <c r="M815" s="3" t="e">
        <v>#NAME?</v>
      </c>
      <c r="N815" s="1" t="e">
        <v>#NAME?</v>
      </c>
      <c r="O815" s="3"/>
      <c r="P815" s="3" t="e">
        <v>#NAME?</v>
      </c>
      <c r="Q815" s="3"/>
      <c r="R815" s="3"/>
    </row>
    <row r="816" customFormat="false" ht="15.75" hidden="false" customHeight="false" outlineLevel="0" collapsed="false">
      <c r="L816" s="3" t="e">
        <v>#NAME?</v>
      </c>
      <c r="M816" s="3" t="e">
        <v>#NAME?</v>
      </c>
      <c r="N816" s="1" t="e">
        <v>#NAME?</v>
      </c>
      <c r="O816" s="3"/>
      <c r="P816" s="3" t="e">
        <v>#NAME?</v>
      </c>
      <c r="Q816" s="3"/>
      <c r="R816" s="3"/>
    </row>
    <row r="817" customFormat="false" ht="15.75" hidden="false" customHeight="false" outlineLevel="0" collapsed="false">
      <c r="L817" s="3" t="e">
        <v>#NAME?</v>
      </c>
      <c r="M817" s="3" t="e">
        <v>#NAME?</v>
      </c>
      <c r="N817" s="1" t="e">
        <v>#NAME?</v>
      </c>
      <c r="O817" s="3"/>
      <c r="P817" s="3" t="e">
        <v>#NAME?</v>
      </c>
      <c r="Q817" s="3"/>
      <c r="R817" s="3"/>
    </row>
    <row r="818" customFormat="false" ht="15.75" hidden="false" customHeight="false" outlineLevel="0" collapsed="false">
      <c r="L818" s="3" t="e">
        <v>#NAME?</v>
      </c>
      <c r="M818" s="3" t="e">
        <v>#NAME?</v>
      </c>
      <c r="N818" s="1" t="e">
        <v>#NAME?</v>
      </c>
      <c r="O818" s="3"/>
      <c r="P818" s="3" t="e">
        <v>#NAME?</v>
      </c>
      <c r="Q818" s="3"/>
      <c r="R818" s="3"/>
    </row>
    <row r="819" customFormat="false" ht="15.75" hidden="false" customHeight="false" outlineLevel="0" collapsed="false">
      <c r="L819" s="3" t="e">
        <v>#NAME?</v>
      </c>
      <c r="M819" s="3" t="e">
        <v>#NAME?</v>
      </c>
      <c r="N819" s="1" t="e">
        <v>#NAME?</v>
      </c>
      <c r="O819" s="3"/>
      <c r="P819" s="3" t="e">
        <v>#NAME?</v>
      </c>
      <c r="Q819" s="3"/>
      <c r="R819" s="3"/>
    </row>
    <row r="820" customFormat="false" ht="15.75" hidden="false" customHeight="false" outlineLevel="0" collapsed="false">
      <c r="L820" s="3" t="e">
        <v>#NAME?</v>
      </c>
      <c r="M820" s="3" t="e">
        <v>#NAME?</v>
      </c>
      <c r="N820" s="1" t="e">
        <v>#NAME?</v>
      </c>
      <c r="O820" s="3"/>
      <c r="P820" s="3" t="e">
        <v>#NAME?</v>
      </c>
      <c r="Q820" s="3"/>
      <c r="R820" s="3"/>
    </row>
    <row r="821" customFormat="false" ht="15.75" hidden="false" customHeight="false" outlineLevel="0" collapsed="false">
      <c r="L821" s="3" t="e">
        <v>#NAME?</v>
      </c>
      <c r="M821" s="3" t="e">
        <v>#NAME?</v>
      </c>
      <c r="N821" s="1" t="e">
        <v>#NAME?</v>
      </c>
      <c r="O821" s="3"/>
      <c r="P821" s="3" t="e">
        <v>#NAME?</v>
      </c>
      <c r="Q821" s="3"/>
      <c r="R821" s="3"/>
    </row>
    <row r="822" customFormat="false" ht="15.75" hidden="false" customHeight="false" outlineLevel="0" collapsed="false">
      <c r="L822" s="3" t="e">
        <v>#NAME?</v>
      </c>
      <c r="M822" s="3" t="e">
        <v>#NAME?</v>
      </c>
      <c r="N822" s="1" t="e">
        <v>#NAME?</v>
      </c>
      <c r="O822" s="3"/>
      <c r="P822" s="3" t="e">
        <v>#NAME?</v>
      </c>
      <c r="Q822" s="3"/>
      <c r="R822" s="3"/>
    </row>
    <row r="823" customFormat="false" ht="15.75" hidden="false" customHeight="false" outlineLevel="0" collapsed="false">
      <c r="L823" s="3" t="e">
        <v>#NAME?</v>
      </c>
      <c r="M823" s="3" t="e">
        <v>#NAME?</v>
      </c>
      <c r="N823" s="1" t="e">
        <v>#NAME?</v>
      </c>
      <c r="O823" s="3"/>
      <c r="P823" s="3" t="e">
        <v>#NAME?</v>
      </c>
      <c r="Q823" s="3"/>
      <c r="R823" s="3"/>
    </row>
    <row r="824" customFormat="false" ht="15.75" hidden="false" customHeight="false" outlineLevel="0" collapsed="false">
      <c r="L824" s="3" t="e">
        <v>#NAME?</v>
      </c>
      <c r="M824" s="3" t="e">
        <v>#NAME?</v>
      </c>
      <c r="N824" s="1" t="e">
        <v>#NAME?</v>
      </c>
      <c r="O824" s="3"/>
      <c r="P824" s="3" t="e">
        <v>#NAME?</v>
      </c>
      <c r="Q824" s="3"/>
      <c r="R824" s="3"/>
    </row>
    <row r="825" customFormat="false" ht="15.75" hidden="false" customHeight="false" outlineLevel="0" collapsed="false">
      <c r="L825" s="3" t="e">
        <v>#NAME?</v>
      </c>
      <c r="M825" s="3" t="e">
        <v>#NAME?</v>
      </c>
      <c r="N825" s="1" t="e">
        <v>#NAME?</v>
      </c>
      <c r="O825" s="3"/>
      <c r="P825" s="3" t="e">
        <v>#NAME?</v>
      </c>
      <c r="Q825" s="3"/>
      <c r="R825" s="3"/>
    </row>
    <row r="826" customFormat="false" ht="15.75" hidden="false" customHeight="false" outlineLevel="0" collapsed="false">
      <c r="L826" s="3" t="e">
        <v>#NAME?</v>
      </c>
      <c r="M826" s="3" t="e">
        <v>#NAME?</v>
      </c>
      <c r="N826" s="1" t="e">
        <v>#NAME?</v>
      </c>
      <c r="O826" s="3"/>
      <c r="P826" s="3" t="e">
        <v>#NAME?</v>
      </c>
      <c r="Q826" s="3"/>
      <c r="R826" s="3"/>
    </row>
    <row r="827" customFormat="false" ht="15.75" hidden="false" customHeight="false" outlineLevel="0" collapsed="false">
      <c r="L827" s="3" t="e">
        <v>#NAME?</v>
      </c>
      <c r="M827" s="3" t="e">
        <v>#NAME?</v>
      </c>
      <c r="N827" s="1" t="e">
        <v>#NAME?</v>
      </c>
      <c r="O827" s="3"/>
      <c r="P827" s="3" t="e">
        <v>#NAME?</v>
      </c>
      <c r="Q827" s="3"/>
      <c r="R827" s="3"/>
    </row>
    <row r="828" customFormat="false" ht="15.75" hidden="false" customHeight="false" outlineLevel="0" collapsed="false">
      <c r="L828" s="3" t="e">
        <v>#NAME?</v>
      </c>
      <c r="M828" s="3" t="e">
        <v>#NAME?</v>
      </c>
      <c r="N828" s="1" t="e">
        <v>#NAME?</v>
      </c>
      <c r="O828" s="3"/>
      <c r="P828" s="3" t="e">
        <v>#NAME?</v>
      </c>
      <c r="Q828" s="3"/>
      <c r="R828" s="3"/>
    </row>
    <row r="829" customFormat="false" ht="15.75" hidden="false" customHeight="false" outlineLevel="0" collapsed="false">
      <c r="L829" s="3" t="e">
        <v>#NAME?</v>
      </c>
      <c r="M829" s="3" t="e">
        <v>#NAME?</v>
      </c>
      <c r="N829" s="1" t="e">
        <v>#NAME?</v>
      </c>
      <c r="O829" s="3"/>
      <c r="P829" s="3" t="e">
        <v>#NAME?</v>
      </c>
      <c r="Q829" s="3"/>
      <c r="R829" s="3"/>
    </row>
    <row r="830" customFormat="false" ht="15.75" hidden="false" customHeight="false" outlineLevel="0" collapsed="false">
      <c r="L830" s="3" t="e">
        <v>#NAME?</v>
      </c>
      <c r="M830" s="3" t="e">
        <v>#NAME?</v>
      </c>
      <c r="N830" s="1" t="e">
        <v>#NAME?</v>
      </c>
      <c r="O830" s="3"/>
      <c r="P830" s="3" t="e">
        <v>#NAME?</v>
      </c>
      <c r="Q830" s="3"/>
      <c r="R830" s="3"/>
    </row>
    <row r="831" customFormat="false" ht="15.75" hidden="false" customHeight="false" outlineLevel="0" collapsed="false">
      <c r="L831" s="3" t="e">
        <v>#NAME?</v>
      </c>
      <c r="M831" s="3" t="e">
        <v>#NAME?</v>
      </c>
      <c r="N831" s="1" t="e">
        <v>#NAME?</v>
      </c>
      <c r="O831" s="3"/>
      <c r="P831" s="3" t="e">
        <v>#NAME?</v>
      </c>
      <c r="Q831" s="3"/>
      <c r="R831" s="3"/>
    </row>
    <row r="832" customFormat="false" ht="15.75" hidden="false" customHeight="false" outlineLevel="0" collapsed="false">
      <c r="L832" s="3" t="e">
        <v>#NAME?</v>
      </c>
      <c r="M832" s="3" t="e">
        <v>#NAME?</v>
      </c>
      <c r="N832" s="1" t="e">
        <v>#NAME?</v>
      </c>
      <c r="O832" s="3"/>
      <c r="P832" s="3" t="e">
        <v>#NAME?</v>
      </c>
      <c r="Q832" s="3"/>
      <c r="R832" s="3"/>
    </row>
    <row r="833" customFormat="false" ht="15.75" hidden="false" customHeight="false" outlineLevel="0" collapsed="false">
      <c r="L833" s="3" t="e">
        <v>#NAME?</v>
      </c>
      <c r="M833" s="3" t="e">
        <v>#NAME?</v>
      </c>
      <c r="N833" s="1" t="e">
        <v>#NAME?</v>
      </c>
      <c r="O833" s="3"/>
      <c r="P833" s="3" t="e">
        <v>#NAME?</v>
      </c>
      <c r="Q833" s="3"/>
      <c r="R833" s="3"/>
    </row>
    <row r="834" customFormat="false" ht="15.75" hidden="false" customHeight="false" outlineLevel="0" collapsed="false">
      <c r="L834" s="3" t="e">
        <v>#NAME?</v>
      </c>
      <c r="M834" s="3" t="e">
        <v>#NAME?</v>
      </c>
      <c r="N834" s="1" t="e">
        <v>#NAME?</v>
      </c>
      <c r="O834" s="3"/>
      <c r="P834" s="3" t="e">
        <v>#NAME?</v>
      </c>
      <c r="Q834" s="3"/>
      <c r="R834" s="3"/>
    </row>
    <row r="835" customFormat="false" ht="15.75" hidden="false" customHeight="false" outlineLevel="0" collapsed="false">
      <c r="L835" s="3" t="e">
        <v>#NAME?</v>
      </c>
      <c r="M835" s="3" t="e">
        <v>#NAME?</v>
      </c>
      <c r="N835" s="1" t="e">
        <v>#NAME?</v>
      </c>
      <c r="O835" s="3"/>
      <c r="P835" s="3" t="e">
        <v>#NAME?</v>
      </c>
      <c r="Q835" s="3"/>
      <c r="R835" s="3"/>
    </row>
    <row r="836" customFormat="false" ht="15.75" hidden="false" customHeight="false" outlineLevel="0" collapsed="false">
      <c r="L836" s="3" t="e">
        <v>#NAME?</v>
      </c>
      <c r="M836" s="3" t="e">
        <v>#NAME?</v>
      </c>
      <c r="N836" s="1" t="e">
        <v>#NAME?</v>
      </c>
      <c r="O836" s="3"/>
      <c r="P836" s="3" t="e">
        <v>#NAME?</v>
      </c>
      <c r="Q836" s="3"/>
      <c r="R836" s="3"/>
    </row>
    <row r="837" customFormat="false" ht="15.75" hidden="false" customHeight="false" outlineLevel="0" collapsed="false">
      <c r="L837" s="3" t="e">
        <v>#NAME?</v>
      </c>
      <c r="M837" s="3" t="e">
        <v>#NAME?</v>
      </c>
      <c r="N837" s="1" t="e">
        <v>#NAME?</v>
      </c>
      <c r="O837" s="3"/>
      <c r="P837" s="3" t="e">
        <v>#NAME?</v>
      </c>
      <c r="Q837" s="3"/>
      <c r="R837" s="3"/>
    </row>
    <row r="838" customFormat="false" ht="15.75" hidden="false" customHeight="false" outlineLevel="0" collapsed="false">
      <c r="L838" s="3" t="e">
        <v>#NAME?</v>
      </c>
      <c r="M838" s="3" t="e">
        <v>#NAME?</v>
      </c>
      <c r="N838" s="1" t="e">
        <v>#NAME?</v>
      </c>
      <c r="O838" s="3"/>
      <c r="P838" s="3" t="e">
        <v>#NAME?</v>
      </c>
      <c r="Q838" s="3"/>
      <c r="R838" s="3"/>
    </row>
    <row r="839" customFormat="false" ht="15.75" hidden="false" customHeight="false" outlineLevel="0" collapsed="false">
      <c r="L839" s="3" t="e">
        <v>#NAME?</v>
      </c>
      <c r="M839" s="3" t="e">
        <v>#NAME?</v>
      </c>
      <c r="N839" s="1" t="e">
        <v>#NAME?</v>
      </c>
      <c r="O839" s="3"/>
      <c r="P839" s="3" t="e">
        <v>#NAME?</v>
      </c>
      <c r="Q839" s="3"/>
      <c r="R839" s="3"/>
    </row>
    <row r="840" customFormat="false" ht="15.75" hidden="false" customHeight="false" outlineLevel="0" collapsed="false">
      <c r="L840" s="3" t="e">
        <v>#NAME?</v>
      </c>
      <c r="M840" s="3" t="e">
        <v>#NAME?</v>
      </c>
      <c r="N840" s="1" t="e">
        <v>#NAME?</v>
      </c>
      <c r="O840" s="3"/>
      <c r="P840" s="3" t="e">
        <v>#NAME?</v>
      </c>
      <c r="Q840" s="3"/>
      <c r="R840" s="3"/>
    </row>
    <row r="841" customFormat="false" ht="15.75" hidden="false" customHeight="false" outlineLevel="0" collapsed="false">
      <c r="L841" s="3" t="e">
        <v>#NAME?</v>
      </c>
      <c r="M841" s="3" t="e">
        <v>#NAME?</v>
      </c>
      <c r="N841" s="1" t="e">
        <v>#NAME?</v>
      </c>
      <c r="O841" s="3"/>
      <c r="P841" s="3" t="e">
        <v>#NAME?</v>
      </c>
      <c r="Q841" s="3"/>
      <c r="R841" s="3"/>
    </row>
    <row r="842" customFormat="false" ht="15.75" hidden="false" customHeight="false" outlineLevel="0" collapsed="false">
      <c r="L842" s="3" t="e">
        <v>#NAME?</v>
      </c>
      <c r="M842" s="3" t="e">
        <v>#NAME?</v>
      </c>
      <c r="N842" s="1" t="e">
        <v>#NAME?</v>
      </c>
      <c r="O842" s="3"/>
      <c r="P842" s="3" t="e">
        <v>#NAME?</v>
      </c>
      <c r="Q842" s="3"/>
      <c r="R842" s="3"/>
    </row>
    <row r="843" customFormat="false" ht="15.75" hidden="false" customHeight="false" outlineLevel="0" collapsed="false">
      <c r="L843" s="3" t="e">
        <v>#NAME?</v>
      </c>
      <c r="M843" s="3" t="e">
        <v>#NAME?</v>
      </c>
      <c r="N843" s="1" t="e">
        <v>#NAME?</v>
      </c>
      <c r="O843" s="3"/>
      <c r="P843" s="3" t="e">
        <v>#NAME?</v>
      </c>
      <c r="Q843" s="3"/>
      <c r="R843" s="3"/>
    </row>
    <row r="844" customFormat="false" ht="15.75" hidden="false" customHeight="false" outlineLevel="0" collapsed="false">
      <c r="L844" s="3" t="e">
        <v>#NAME?</v>
      </c>
      <c r="M844" s="3" t="e">
        <v>#NAME?</v>
      </c>
      <c r="N844" s="1" t="e">
        <v>#NAME?</v>
      </c>
      <c r="O844" s="3"/>
      <c r="P844" s="3" t="e">
        <v>#NAME?</v>
      </c>
      <c r="Q844" s="3"/>
      <c r="R844" s="3"/>
    </row>
    <row r="845" customFormat="false" ht="15.75" hidden="false" customHeight="false" outlineLevel="0" collapsed="false">
      <c r="L845" s="3" t="e">
        <v>#NAME?</v>
      </c>
      <c r="M845" s="3" t="e">
        <v>#NAME?</v>
      </c>
      <c r="N845" s="1" t="e">
        <v>#NAME?</v>
      </c>
      <c r="O845" s="3"/>
      <c r="P845" s="3" t="e">
        <v>#NAME?</v>
      </c>
      <c r="Q845" s="3"/>
      <c r="R845" s="3"/>
    </row>
    <row r="846" customFormat="false" ht="15.75" hidden="false" customHeight="false" outlineLevel="0" collapsed="false">
      <c r="L846" s="3" t="e">
        <v>#NAME?</v>
      </c>
      <c r="M846" s="3" t="e">
        <v>#NAME?</v>
      </c>
      <c r="N846" s="1" t="e">
        <v>#NAME?</v>
      </c>
      <c r="O846" s="3"/>
      <c r="P846" s="3" t="e">
        <v>#NAME?</v>
      </c>
      <c r="Q846" s="3"/>
      <c r="R846" s="3"/>
    </row>
    <row r="847" customFormat="false" ht="15.75" hidden="false" customHeight="false" outlineLevel="0" collapsed="false">
      <c r="L847" s="3" t="e">
        <v>#NAME?</v>
      </c>
      <c r="M847" s="3" t="e">
        <v>#NAME?</v>
      </c>
      <c r="N847" s="1" t="e">
        <v>#NAME?</v>
      </c>
      <c r="O847" s="3"/>
      <c r="P847" s="3" t="e">
        <v>#NAME?</v>
      </c>
      <c r="Q847" s="3"/>
      <c r="R847" s="3"/>
    </row>
    <row r="848" customFormat="false" ht="15.75" hidden="false" customHeight="false" outlineLevel="0" collapsed="false">
      <c r="L848" s="3" t="e">
        <v>#NAME?</v>
      </c>
      <c r="M848" s="3" t="e">
        <v>#NAME?</v>
      </c>
      <c r="N848" s="1" t="e">
        <v>#NAME?</v>
      </c>
      <c r="O848" s="3"/>
      <c r="P848" s="3" t="e">
        <v>#NAME?</v>
      </c>
      <c r="Q848" s="3"/>
      <c r="R848" s="3"/>
    </row>
    <row r="849" customFormat="false" ht="15.75" hidden="false" customHeight="false" outlineLevel="0" collapsed="false">
      <c r="L849" s="3" t="e">
        <v>#NAME?</v>
      </c>
      <c r="M849" s="3" t="e">
        <v>#NAME?</v>
      </c>
      <c r="N849" s="1" t="e">
        <v>#NAME?</v>
      </c>
      <c r="O849" s="3"/>
      <c r="P849" s="3" t="e">
        <v>#NAME?</v>
      </c>
      <c r="Q849" s="3"/>
      <c r="R849" s="3"/>
    </row>
    <row r="850" customFormat="false" ht="15.75" hidden="false" customHeight="false" outlineLevel="0" collapsed="false">
      <c r="L850" s="3" t="e">
        <v>#NAME?</v>
      </c>
      <c r="M850" s="3" t="e">
        <v>#NAME?</v>
      </c>
      <c r="N850" s="1" t="e">
        <v>#NAME?</v>
      </c>
      <c r="O850" s="3"/>
      <c r="P850" s="3" t="e">
        <v>#NAME?</v>
      </c>
      <c r="Q850" s="3"/>
      <c r="R850" s="3"/>
    </row>
    <row r="851" customFormat="false" ht="15.75" hidden="false" customHeight="false" outlineLevel="0" collapsed="false">
      <c r="L851" s="3" t="e">
        <v>#NAME?</v>
      </c>
      <c r="M851" s="3" t="e">
        <v>#NAME?</v>
      </c>
      <c r="N851" s="1" t="e">
        <v>#NAME?</v>
      </c>
      <c r="O851" s="3"/>
      <c r="P851" s="3" t="e">
        <v>#NAME?</v>
      </c>
      <c r="Q851" s="3"/>
      <c r="R851" s="3"/>
    </row>
    <row r="852" customFormat="false" ht="15.75" hidden="false" customHeight="false" outlineLevel="0" collapsed="false">
      <c r="L852" s="3" t="e">
        <v>#NAME?</v>
      </c>
      <c r="M852" s="3" t="e">
        <v>#NAME?</v>
      </c>
      <c r="N852" s="1" t="e">
        <v>#NAME?</v>
      </c>
      <c r="O852" s="3"/>
      <c r="P852" s="3" t="e">
        <v>#NAME?</v>
      </c>
      <c r="Q852" s="3"/>
      <c r="R852" s="3"/>
    </row>
    <row r="853" customFormat="false" ht="15.75" hidden="false" customHeight="false" outlineLevel="0" collapsed="false">
      <c r="L853" s="3" t="e">
        <v>#NAME?</v>
      </c>
      <c r="M853" s="3" t="e">
        <v>#NAME?</v>
      </c>
      <c r="N853" s="1" t="e">
        <v>#NAME?</v>
      </c>
      <c r="O853" s="3"/>
      <c r="P853" s="3" t="e">
        <v>#NAME?</v>
      </c>
      <c r="Q853" s="3"/>
      <c r="R853" s="3"/>
    </row>
    <row r="854" customFormat="false" ht="15.75" hidden="false" customHeight="false" outlineLevel="0" collapsed="false">
      <c r="L854" s="3" t="e">
        <v>#NAME?</v>
      </c>
      <c r="M854" s="3" t="e">
        <v>#NAME?</v>
      </c>
      <c r="N854" s="1" t="e">
        <v>#NAME?</v>
      </c>
      <c r="O854" s="3"/>
      <c r="P854" s="3" t="e">
        <v>#NAME?</v>
      </c>
      <c r="Q854" s="3"/>
      <c r="R854" s="3"/>
    </row>
    <row r="855" customFormat="false" ht="15.75" hidden="false" customHeight="false" outlineLevel="0" collapsed="false">
      <c r="L855" s="3" t="e">
        <v>#NAME?</v>
      </c>
      <c r="M855" s="3" t="e">
        <v>#NAME?</v>
      </c>
      <c r="N855" s="1" t="e">
        <v>#NAME?</v>
      </c>
      <c r="O855" s="3"/>
      <c r="P855" s="3" t="e">
        <v>#NAME?</v>
      </c>
      <c r="Q855" s="3"/>
      <c r="R855" s="3"/>
    </row>
    <row r="856" customFormat="false" ht="15.75" hidden="false" customHeight="false" outlineLevel="0" collapsed="false">
      <c r="L856" s="3" t="e">
        <v>#NAME?</v>
      </c>
      <c r="M856" s="3" t="e">
        <v>#NAME?</v>
      </c>
      <c r="N856" s="1" t="e">
        <v>#NAME?</v>
      </c>
      <c r="O856" s="3"/>
      <c r="P856" s="3" t="e">
        <v>#NAME?</v>
      </c>
      <c r="Q856" s="3"/>
      <c r="R856" s="3"/>
    </row>
    <row r="857" customFormat="false" ht="15.75" hidden="false" customHeight="false" outlineLevel="0" collapsed="false">
      <c r="L857" s="3" t="e">
        <v>#NAME?</v>
      </c>
      <c r="M857" s="3" t="e">
        <v>#NAME?</v>
      </c>
      <c r="N857" s="1" t="e">
        <v>#NAME?</v>
      </c>
      <c r="O857" s="3"/>
      <c r="P857" s="3" t="e">
        <v>#NAME?</v>
      </c>
      <c r="Q857" s="3"/>
      <c r="R857" s="3"/>
    </row>
    <row r="858" customFormat="false" ht="15.75" hidden="false" customHeight="false" outlineLevel="0" collapsed="false">
      <c r="L858" s="3" t="e">
        <v>#NAME?</v>
      </c>
      <c r="M858" s="3" t="e">
        <v>#NAME?</v>
      </c>
      <c r="N858" s="1" t="e">
        <v>#NAME?</v>
      </c>
      <c r="O858" s="3"/>
      <c r="P858" s="3" t="e">
        <v>#NAME?</v>
      </c>
      <c r="Q858" s="3"/>
      <c r="R858" s="3"/>
    </row>
    <row r="859" customFormat="false" ht="15.75" hidden="false" customHeight="false" outlineLevel="0" collapsed="false">
      <c r="L859" s="3" t="e">
        <v>#NAME?</v>
      </c>
      <c r="M859" s="3" t="e">
        <v>#NAME?</v>
      </c>
      <c r="N859" s="1" t="e">
        <v>#NAME?</v>
      </c>
      <c r="O859" s="3"/>
      <c r="P859" s="3" t="e">
        <v>#NAME?</v>
      </c>
      <c r="Q859" s="3"/>
      <c r="R859" s="3"/>
    </row>
    <row r="860" customFormat="false" ht="15.75" hidden="false" customHeight="false" outlineLevel="0" collapsed="false">
      <c r="L860" s="3" t="e">
        <v>#NAME?</v>
      </c>
      <c r="M860" s="3" t="e">
        <v>#NAME?</v>
      </c>
      <c r="N860" s="1" t="e">
        <v>#NAME?</v>
      </c>
      <c r="O860" s="3"/>
      <c r="P860" s="3" t="e">
        <v>#NAME?</v>
      </c>
      <c r="Q860" s="3"/>
      <c r="R860" s="3"/>
    </row>
    <row r="861" customFormat="false" ht="15.75" hidden="false" customHeight="false" outlineLevel="0" collapsed="false">
      <c r="L861" s="3" t="e">
        <v>#NAME?</v>
      </c>
      <c r="M861" s="3" t="e">
        <v>#NAME?</v>
      </c>
      <c r="N861" s="1" t="e">
        <v>#NAME?</v>
      </c>
      <c r="O861" s="3"/>
      <c r="P861" s="3" t="e">
        <v>#NAME?</v>
      </c>
      <c r="Q861" s="3"/>
      <c r="R861" s="3"/>
    </row>
    <row r="862" customFormat="false" ht="15.75" hidden="false" customHeight="false" outlineLevel="0" collapsed="false">
      <c r="L862" s="3" t="e">
        <v>#NAME?</v>
      </c>
      <c r="M862" s="3" t="e">
        <v>#NAME?</v>
      </c>
      <c r="N862" s="1" t="e">
        <v>#NAME?</v>
      </c>
      <c r="O862" s="3"/>
      <c r="P862" s="3" t="e">
        <v>#NAME?</v>
      </c>
      <c r="Q862" s="3"/>
      <c r="R862" s="3"/>
    </row>
    <row r="863" customFormat="false" ht="15.75" hidden="false" customHeight="false" outlineLevel="0" collapsed="false">
      <c r="L863" s="3" t="e">
        <v>#NAME?</v>
      </c>
      <c r="M863" s="3" t="e">
        <v>#NAME?</v>
      </c>
      <c r="N863" s="1" t="e">
        <v>#NAME?</v>
      </c>
      <c r="O863" s="3"/>
      <c r="P863" s="3" t="e">
        <v>#NAME?</v>
      </c>
      <c r="Q863" s="3"/>
      <c r="R863" s="3"/>
    </row>
    <row r="864" customFormat="false" ht="15.75" hidden="false" customHeight="false" outlineLevel="0" collapsed="false">
      <c r="L864" s="3" t="e">
        <v>#NAME?</v>
      </c>
      <c r="M864" s="3" t="e">
        <v>#NAME?</v>
      </c>
      <c r="N864" s="1" t="e">
        <v>#NAME?</v>
      </c>
      <c r="O864" s="3"/>
      <c r="P864" s="3" t="e">
        <v>#NAME?</v>
      </c>
      <c r="Q864" s="3"/>
      <c r="R864" s="3"/>
    </row>
    <row r="865" customFormat="false" ht="15.75" hidden="false" customHeight="false" outlineLevel="0" collapsed="false">
      <c r="L865" s="3" t="e">
        <v>#NAME?</v>
      </c>
      <c r="M865" s="3" t="e">
        <v>#NAME?</v>
      </c>
      <c r="N865" s="1" t="e">
        <v>#NAME?</v>
      </c>
      <c r="O865" s="3"/>
      <c r="P865" s="3" t="e">
        <v>#NAME?</v>
      </c>
      <c r="Q865" s="3"/>
      <c r="R865" s="3"/>
    </row>
    <row r="866" customFormat="false" ht="15.75" hidden="false" customHeight="false" outlineLevel="0" collapsed="false">
      <c r="L866" s="3" t="e">
        <v>#NAME?</v>
      </c>
      <c r="M866" s="3" t="e">
        <v>#NAME?</v>
      </c>
      <c r="N866" s="1" t="e">
        <v>#NAME?</v>
      </c>
      <c r="O866" s="3"/>
      <c r="P866" s="3" t="e">
        <v>#NAME?</v>
      </c>
      <c r="Q866" s="3"/>
      <c r="R866" s="3"/>
    </row>
    <row r="867" customFormat="false" ht="15.75" hidden="false" customHeight="false" outlineLevel="0" collapsed="false">
      <c r="L867" s="3" t="e">
        <v>#NAME?</v>
      </c>
      <c r="M867" s="3" t="e">
        <v>#NAME?</v>
      </c>
      <c r="N867" s="1" t="e">
        <v>#NAME?</v>
      </c>
      <c r="O867" s="3"/>
      <c r="P867" s="3" t="e">
        <v>#NAME?</v>
      </c>
      <c r="Q867" s="3"/>
      <c r="R867" s="3"/>
    </row>
    <row r="868" customFormat="false" ht="15.75" hidden="false" customHeight="false" outlineLevel="0" collapsed="false">
      <c r="L868" s="3" t="e">
        <v>#NAME?</v>
      </c>
      <c r="M868" s="3" t="e">
        <v>#NAME?</v>
      </c>
      <c r="N868" s="1" t="e">
        <v>#NAME?</v>
      </c>
      <c r="O868" s="3"/>
      <c r="P868" s="3" t="e">
        <v>#NAME?</v>
      </c>
      <c r="Q868" s="3"/>
      <c r="R868" s="3"/>
    </row>
    <row r="869" customFormat="false" ht="15.75" hidden="false" customHeight="false" outlineLevel="0" collapsed="false">
      <c r="L869" s="3" t="e">
        <v>#NAME?</v>
      </c>
      <c r="M869" s="3" t="e">
        <v>#NAME?</v>
      </c>
      <c r="N869" s="1" t="e">
        <v>#NAME?</v>
      </c>
      <c r="O869" s="3"/>
      <c r="P869" s="3" t="e">
        <v>#NAME?</v>
      </c>
      <c r="Q869" s="3"/>
      <c r="R869" s="3"/>
    </row>
    <row r="870" customFormat="false" ht="15.75" hidden="false" customHeight="false" outlineLevel="0" collapsed="false">
      <c r="L870" s="3" t="e">
        <v>#NAME?</v>
      </c>
      <c r="M870" s="3" t="e">
        <v>#NAME?</v>
      </c>
      <c r="N870" s="1" t="e">
        <v>#NAME?</v>
      </c>
      <c r="O870" s="3"/>
      <c r="P870" s="3" t="e">
        <v>#NAME?</v>
      </c>
      <c r="Q870" s="3"/>
      <c r="R870" s="3"/>
    </row>
    <row r="871" customFormat="false" ht="15.75" hidden="false" customHeight="false" outlineLevel="0" collapsed="false">
      <c r="L871" s="3" t="e">
        <v>#NAME?</v>
      </c>
      <c r="M871" s="3" t="e">
        <v>#NAME?</v>
      </c>
      <c r="N871" s="1" t="e">
        <v>#NAME?</v>
      </c>
      <c r="O871" s="3"/>
      <c r="P871" s="3" t="e">
        <v>#NAME?</v>
      </c>
      <c r="Q871" s="3"/>
      <c r="R871" s="3"/>
    </row>
    <row r="872" customFormat="false" ht="15.75" hidden="false" customHeight="false" outlineLevel="0" collapsed="false">
      <c r="L872" s="3" t="e">
        <v>#NAME?</v>
      </c>
      <c r="M872" s="3" t="e">
        <v>#NAME?</v>
      </c>
      <c r="N872" s="1" t="e">
        <v>#NAME?</v>
      </c>
      <c r="O872" s="3"/>
      <c r="P872" s="3" t="e">
        <v>#NAME?</v>
      </c>
      <c r="Q872" s="3"/>
      <c r="R872" s="3"/>
    </row>
    <row r="873" customFormat="false" ht="15.75" hidden="false" customHeight="false" outlineLevel="0" collapsed="false">
      <c r="L873" s="3" t="e">
        <v>#NAME?</v>
      </c>
      <c r="M873" s="3" t="e">
        <v>#NAME?</v>
      </c>
      <c r="N873" s="1" t="e">
        <v>#NAME?</v>
      </c>
      <c r="O873" s="3"/>
      <c r="P873" s="3" t="e">
        <v>#NAME?</v>
      </c>
      <c r="Q873" s="3"/>
      <c r="R873" s="3"/>
    </row>
    <row r="874" customFormat="false" ht="15.75" hidden="false" customHeight="false" outlineLevel="0" collapsed="false">
      <c r="L874" s="3" t="e">
        <v>#NAME?</v>
      </c>
      <c r="M874" s="3" t="e">
        <v>#NAME?</v>
      </c>
      <c r="N874" s="1" t="e">
        <v>#NAME?</v>
      </c>
      <c r="O874" s="3"/>
      <c r="P874" s="3" t="e">
        <v>#NAME?</v>
      </c>
      <c r="Q874" s="3"/>
      <c r="R874" s="3"/>
    </row>
    <row r="875" customFormat="false" ht="15.75" hidden="false" customHeight="false" outlineLevel="0" collapsed="false">
      <c r="L875" s="3" t="e">
        <v>#NAME?</v>
      </c>
      <c r="M875" s="3" t="e">
        <v>#NAME?</v>
      </c>
      <c r="N875" s="1" t="e">
        <v>#NAME?</v>
      </c>
      <c r="O875" s="3"/>
      <c r="P875" s="3" t="e">
        <v>#NAME?</v>
      </c>
      <c r="Q875" s="3"/>
      <c r="R875" s="3"/>
    </row>
    <row r="876" customFormat="false" ht="15.75" hidden="false" customHeight="false" outlineLevel="0" collapsed="false">
      <c r="L876" s="3" t="e">
        <v>#NAME?</v>
      </c>
      <c r="M876" s="3" t="e">
        <v>#NAME?</v>
      </c>
      <c r="N876" s="1" t="e">
        <v>#NAME?</v>
      </c>
      <c r="O876" s="3"/>
      <c r="P876" s="3" t="e">
        <v>#NAME?</v>
      </c>
      <c r="Q876" s="3"/>
      <c r="R876" s="3"/>
    </row>
    <row r="877" customFormat="false" ht="15.75" hidden="false" customHeight="false" outlineLevel="0" collapsed="false">
      <c r="L877" s="3" t="e">
        <v>#NAME?</v>
      </c>
      <c r="M877" s="3" t="e">
        <v>#NAME?</v>
      </c>
      <c r="N877" s="1" t="e">
        <v>#NAME?</v>
      </c>
      <c r="O877" s="3"/>
      <c r="P877" s="3" t="e">
        <v>#NAME?</v>
      </c>
      <c r="Q877" s="3"/>
      <c r="R877" s="3"/>
    </row>
    <row r="878" customFormat="false" ht="15.75" hidden="false" customHeight="false" outlineLevel="0" collapsed="false">
      <c r="L878" s="3" t="e">
        <v>#NAME?</v>
      </c>
      <c r="M878" s="3" t="e">
        <v>#NAME?</v>
      </c>
      <c r="N878" s="1" t="e">
        <v>#NAME?</v>
      </c>
      <c r="O878" s="3"/>
      <c r="P878" s="3" t="e">
        <v>#NAME?</v>
      </c>
      <c r="Q878" s="3"/>
      <c r="R878" s="3"/>
    </row>
    <row r="879" customFormat="false" ht="15.75" hidden="false" customHeight="false" outlineLevel="0" collapsed="false">
      <c r="L879" s="3" t="e">
        <v>#NAME?</v>
      </c>
      <c r="M879" s="3" t="e">
        <v>#NAME?</v>
      </c>
      <c r="N879" s="1" t="e">
        <v>#NAME?</v>
      </c>
      <c r="O879" s="3"/>
      <c r="P879" s="3" t="e">
        <v>#NAME?</v>
      </c>
      <c r="Q879" s="3"/>
      <c r="R879" s="3"/>
    </row>
    <row r="880" customFormat="false" ht="15.75" hidden="false" customHeight="false" outlineLevel="0" collapsed="false">
      <c r="L880" s="3" t="e">
        <v>#NAME?</v>
      </c>
      <c r="M880" s="3" t="e">
        <v>#NAME?</v>
      </c>
      <c r="N880" s="1" t="e">
        <v>#NAME?</v>
      </c>
      <c r="O880" s="3"/>
      <c r="P880" s="3" t="e">
        <v>#NAME?</v>
      </c>
      <c r="Q880" s="3"/>
      <c r="R880" s="3"/>
    </row>
    <row r="881" customFormat="false" ht="15.75" hidden="false" customHeight="false" outlineLevel="0" collapsed="false">
      <c r="L881" s="3" t="e">
        <v>#NAME?</v>
      </c>
      <c r="M881" s="3" t="e">
        <v>#NAME?</v>
      </c>
      <c r="N881" s="1" t="e">
        <v>#NAME?</v>
      </c>
      <c r="O881" s="3"/>
      <c r="P881" s="3" t="e">
        <v>#NAME?</v>
      </c>
      <c r="Q881" s="3"/>
      <c r="R881" s="3"/>
    </row>
    <row r="882" customFormat="false" ht="15.75" hidden="false" customHeight="false" outlineLevel="0" collapsed="false">
      <c r="L882" s="3" t="e">
        <v>#NAME?</v>
      </c>
      <c r="M882" s="3" t="e">
        <v>#NAME?</v>
      </c>
      <c r="N882" s="1" t="e">
        <v>#NAME?</v>
      </c>
      <c r="O882" s="3"/>
      <c r="P882" s="3" t="e">
        <v>#NAME?</v>
      </c>
      <c r="Q882" s="3"/>
      <c r="R882" s="3"/>
    </row>
    <row r="883" customFormat="false" ht="15.75" hidden="false" customHeight="false" outlineLevel="0" collapsed="false">
      <c r="L883" s="3" t="e">
        <v>#NAME?</v>
      </c>
      <c r="M883" s="3" t="e">
        <v>#NAME?</v>
      </c>
      <c r="N883" s="1" t="e">
        <v>#NAME?</v>
      </c>
      <c r="O883" s="3"/>
      <c r="P883" s="3" t="e">
        <v>#NAME?</v>
      </c>
      <c r="Q883" s="3"/>
      <c r="R883" s="3"/>
    </row>
    <row r="884" customFormat="false" ht="15.75" hidden="false" customHeight="false" outlineLevel="0" collapsed="false">
      <c r="L884" s="3" t="e">
        <v>#NAME?</v>
      </c>
      <c r="M884" s="3" t="e">
        <v>#NAME?</v>
      </c>
      <c r="N884" s="1" t="e">
        <v>#NAME?</v>
      </c>
      <c r="O884" s="3"/>
      <c r="P884" s="3" t="e">
        <v>#NAME?</v>
      </c>
      <c r="Q884" s="3"/>
      <c r="R884" s="3"/>
    </row>
    <row r="885" customFormat="false" ht="15.75" hidden="false" customHeight="false" outlineLevel="0" collapsed="false">
      <c r="L885" s="3" t="e">
        <v>#NAME?</v>
      </c>
      <c r="M885" s="3" t="e">
        <v>#NAME?</v>
      </c>
      <c r="N885" s="1" t="e">
        <v>#NAME?</v>
      </c>
      <c r="O885" s="3"/>
      <c r="P885" s="3" t="e">
        <v>#NAME?</v>
      </c>
      <c r="Q885" s="3"/>
      <c r="R885" s="3"/>
    </row>
    <row r="886" customFormat="false" ht="15.75" hidden="false" customHeight="false" outlineLevel="0" collapsed="false">
      <c r="L886" s="3" t="e">
        <v>#NAME?</v>
      </c>
      <c r="M886" s="3" t="e">
        <v>#NAME?</v>
      </c>
      <c r="N886" s="1" t="e">
        <v>#NAME?</v>
      </c>
      <c r="O886" s="3"/>
      <c r="P886" s="3" t="e">
        <v>#NAME?</v>
      </c>
      <c r="Q886" s="3"/>
      <c r="R886" s="3"/>
    </row>
    <row r="887" customFormat="false" ht="15.75" hidden="false" customHeight="false" outlineLevel="0" collapsed="false">
      <c r="L887" s="3" t="e">
        <v>#NAME?</v>
      </c>
      <c r="M887" s="3" t="e">
        <v>#NAME?</v>
      </c>
      <c r="N887" s="1" t="e">
        <v>#NAME?</v>
      </c>
      <c r="O887" s="3"/>
      <c r="P887" s="3" t="e">
        <v>#NAME?</v>
      </c>
      <c r="Q887" s="3"/>
      <c r="R887" s="3"/>
    </row>
    <row r="888" customFormat="false" ht="15.75" hidden="false" customHeight="false" outlineLevel="0" collapsed="false">
      <c r="L888" s="3" t="e">
        <v>#NAME?</v>
      </c>
      <c r="M888" s="3" t="e">
        <v>#NAME?</v>
      </c>
      <c r="N888" s="1" t="e">
        <v>#NAME?</v>
      </c>
      <c r="O888" s="3"/>
      <c r="P888" s="3" t="e">
        <v>#NAME?</v>
      </c>
      <c r="Q888" s="3"/>
      <c r="R888" s="3"/>
    </row>
    <row r="889" customFormat="false" ht="15.75" hidden="false" customHeight="false" outlineLevel="0" collapsed="false">
      <c r="L889" s="3" t="e">
        <v>#NAME?</v>
      </c>
      <c r="M889" s="3" t="e">
        <v>#NAME?</v>
      </c>
      <c r="N889" s="1" t="e">
        <v>#NAME?</v>
      </c>
      <c r="O889" s="3"/>
      <c r="P889" s="3" t="e">
        <v>#NAME?</v>
      </c>
      <c r="Q889" s="3"/>
      <c r="R889" s="3"/>
    </row>
    <row r="890" customFormat="false" ht="15.75" hidden="false" customHeight="false" outlineLevel="0" collapsed="false">
      <c r="L890" s="3" t="e">
        <v>#NAME?</v>
      </c>
      <c r="M890" s="3" t="e">
        <v>#NAME?</v>
      </c>
      <c r="N890" s="1" t="e">
        <v>#NAME?</v>
      </c>
      <c r="O890" s="3"/>
      <c r="P890" s="3" t="e">
        <v>#NAME?</v>
      </c>
      <c r="Q890" s="3"/>
      <c r="R890" s="3"/>
    </row>
    <row r="891" customFormat="false" ht="15.75" hidden="false" customHeight="false" outlineLevel="0" collapsed="false">
      <c r="L891" s="3" t="e">
        <v>#NAME?</v>
      </c>
      <c r="M891" s="3" t="e">
        <v>#NAME?</v>
      </c>
      <c r="N891" s="1" t="e">
        <v>#NAME?</v>
      </c>
      <c r="O891" s="3"/>
      <c r="P891" s="3" t="e">
        <v>#NAME?</v>
      </c>
      <c r="Q891" s="3"/>
      <c r="R891" s="3"/>
    </row>
    <row r="892" customFormat="false" ht="15.75" hidden="false" customHeight="false" outlineLevel="0" collapsed="false">
      <c r="L892" s="3" t="e">
        <v>#NAME?</v>
      </c>
      <c r="M892" s="3" t="e">
        <v>#NAME?</v>
      </c>
      <c r="N892" s="1" t="e">
        <v>#NAME?</v>
      </c>
      <c r="O892" s="3"/>
      <c r="P892" s="3" t="e">
        <v>#NAME?</v>
      </c>
      <c r="Q892" s="3"/>
      <c r="R892" s="3"/>
    </row>
    <row r="893" customFormat="false" ht="15.75" hidden="false" customHeight="false" outlineLevel="0" collapsed="false">
      <c r="L893" s="3" t="e">
        <v>#NAME?</v>
      </c>
      <c r="M893" s="3" t="e">
        <v>#NAME?</v>
      </c>
      <c r="N893" s="1" t="e">
        <v>#NAME?</v>
      </c>
      <c r="O893" s="3"/>
      <c r="P893" s="3" t="e">
        <v>#NAME?</v>
      </c>
      <c r="Q893" s="3"/>
      <c r="R893" s="3"/>
    </row>
    <row r="894" customFormat="false" ht="15.75" hidden="false" customHeight="false" outlineLevel="0" collapsed="false">
      <c r="L894" s="3" t="e">
        <v>#NAME?</v>
      </c>
      <c r="M894" s="3" t="e">
        <v>#NAME?</v>
      </c>
      <c r="N894" s="1" t="e">
        <v>#NAME?</v>
      </c>
      <c r="O894" s="3"/>
      <c r="P894" s="3" t="e">
        <v>#NAME?</v>
      </c>
      <c r="Q894" s="3"/>
      <c r="R894" s="3"/>
    </row>
    <row r="895" customFormat="false" ht="15.75" hidden="false" customHeight="false" outlineLevel="0" collapsed="false">
      <c r="L895" s="3" t="e">
        <v>#NAME?</v>
      </c>
      <c r="M895" s="3" t="e">
        <v>#NAME?</v>
      </c>
      <c r="N895" s="1" t="e">
        <v>#NAME?</v>
      </c>
      <c r="O895" s="3"/>
      <c r="P895" s="3" t="e">
        <v>#NAME?</v>
      </c>
      <c r="Q895" s="3"/>
      <c r="R895" s="3"/>
    </row>
    <row r="896" customFormat="false" ht="15.75" hidden="false" customHeight="false" outlineLevel="0" collapsed="false">
      <c r="L896" s="3" t="e">
        <v>#NAME?</v>
      </c>
      <c r="M896" s="3" t="e">
        <v>#NAME?</v>
      </c>
      <c r="N896" s="1" t="e">
        <v>#NAME?</v>
      </c>
      <c r="O896" s="3"/>
      <c r="P896" s="3" t="e">
        <v>#NAME?</v>
      </c>
      <c r="Q896" s="3"/>
      <c r="R896" s="3"/>
    </row>
    <row r="897" customFormat="false" ht="15.75" hidden="false" customHeight="false" outlineLevel="0" collapsed="false">
      <c r="L897" s="3" t="e">
        <v>#NAME?</v>
      </c>
      <c r="M897" s="3" t="e">
        <v>#NAME?</v>
      </c>
      <c r="N897" s="1" t="e">
        <v>#NAME?</v>
      </c>
      <c r="O897" s="3"/>
      <c r="P897" s="3" t="e">
        <v>#NAME?</v>
      </c>
      <c r="Q897" s="3"/>
      <c r="R897" s="3"/>
    </row>
    <row r="898" customFormat="false" ht="15.75" hidden="false" customHeight="false" outlineLevel="0" collapsed="false">
      <c r="L898" s="3" t="e">
        <v>#NAME?</v>
      </c>
      <c r="M898" s="3" t="e">
        <v>#NAME?</v>
      </c>
      <c r="N898" s="1" t="e">
        <v>#NAME?</v>
      </c>
      <c r="O898" s="3"/>
      <c r="P898" s="3" t="e">
        <v>#NAME?</v>
      </c>
      <c r="Q898" s="3"/>
      <c r="R898" s="3"/>
    </row>
    <row r="899" customFormat="false" ht="15.75" hidden="false" customHeight="false" outlineLevel="0" collapsed="false">
      <c r="L899" s="3" t="e">
        <v>#NAME?</v>
      </c>
      <c r="M899" s="3" t="e">
        <v>#NAME?</v>
      </c>
      <c r="N899" s="1" t="e">
        <v>#NAME?</v>
      </c>
      <c r="O899" s="3"/>
      <c r="P899" s="3" t="e">
        <v>#NAME?</v>
      </c>
      <c r="Q899" s="3"/>
      <c r="R899" s="3"/>
    </row>
    <row r="900" customFormat="false" ht="15.75" hidden="false" customHeight="false" outlineLevel="0" collapsed="false">
      <c r="L900" s="3" t="e">
        <v>#NAME?</v>
      </c>
      <c r="M900" s="3" t="e">
        <v>#NAME?</v>
      </c>
      <c r="N900" s="1" t="e">
        <v>#NAME?</v>
      </c>
      <c r="O900" s="3"/>
      <c r="P900" s="3" t="e">
        <v>#NAME?</v>
      </c>
      <c r="Q900" s="3"/>
      <c r="R900" s="3"/>
    </row>
    <row r="901" customFormat="false" ht="15.75" hidden="false" customHeight="false" outlineLevel="0" collapsed="false">
      <c r="L901" s="3" t="e">
        <v>#NAME?</v>
      </c>
      <c r="M901" s="3" t="e">
        <v>#NAME?</v>
      </c>
      <c r="N901" s="1" t="e">
        <v>#NAME?</v>
      </c>
      <c r="O901" s="3"/>
      <c r="P901" s="3" t="e">
        <v>#NAME?</v>
      </c>
      <c r="Q901" s="3"/>
      <c r="R901" s="3"/>
    </row>
    <row r="902" customFormat="false" ht="15.75" hidden="false" customHeight="false" outlineLevel="0" collapsed="false">
      <c r="L902" s="3" t="e">
        <v>#NAME?</v>
      </c>
      <c r="M902" s="3" t="e">
        <v>#NAME?</v>
      </c>
      <c r="N902" s="1" t="e">
        <v>#NAME?</v>
      </c>
      <c r="O902" s="3"/>
      <c r="P902" s="3" t="e">
        <v>#NAME?</v>
      </c>
      <c r="Q902" s="3"/>
      <c r="R902" s="3"/>
    </row>
    <row r="903" customFormat="false" ht="15.75" hidden="false" customHeight="false" outlineLevel="0" collapsed="false">
      <c r="L903" s="3" t="e">
        <v>#NAME?</v>
      </c>
      <c r="M903" s="3" t="e">
        <v>#NAME?</v>
      </c>
      <c r="N903" s="1" t="e">
        <v>#NAME?</v>
      </c>
      <c r="O903" s="3"/>
      <c r="P903" s="3" t="e">
        <v>#NAME?</v>
      </c>
      <c r="Q903" s="3"/>
      <c r="R903" s="3"/>
    </row>
    <row r="904" customFormat="false" ht="15.75" hidden="false" customHeight="false" outlineLevel="0" collapsed="false">
      <c r="L904" s="3" t="e">
        <v>#NAME?</v>
      </c>
      <c r="M904" s="3" t="e">
        <v>#NAME?</v>
      </c>
      <c r="N904" s="1" t="e">
        <v>#NAME?</v>
      </c>
      <c r="O904" s="3"/>
      <c r="P904" s="3" t="e">
        <v>#NAME?</v>
      </c>
      <c r="Q904" s="3"/>
      <c r="R904" s="3"/>
    </row>
    <row r="905" customFormat="false" ht="15.75" hidden="false" customHeight="false" outlineLevel="0" collapsed="false">
      <c r="L905" s="3" t="e">
        <v>#NAME?</v>
      </c>
      <c r="M905" s="3" t="e">
        <v>#NAME?</v>
      </c>
      <c r="N905" s="1" t="e">
        <v>#NAME?</v>
      </c>
      <c r="O905" s="3"/>
      <c r="P905" s="3" t="e">
        <v>#NAME?</v>
      </c>
      <c r="Q905" s="3"/>
      <c r="R905" s="3"/>
    </row>
    <row r="906" customFormat="false" ht="15.75" hidden="false" customHeight="false" outlineLevel="0" collapsed="false">
      <c r="L906" s="3" t="e">
        <v>#NAME?</v>
      </c>
      <c r="M906" s="3" t="e">
        <v>#NAME?</v>
      </c>
      <c r="N906" s="1" t="e">
        <v>#NAME?</v>
      </c>
      <c r="O906" s="3"/>
      <c r="P906" s="3" t="e">
        <v>#NAME?</v>
      </c>
      <c r="Q906" s="3"/>
      <c r="R906" s="3"/>
    </row>
    <row r="907" customFormat="false" ht="15.75" hidden="false" customHeight="false" outlineLevel="0" collapsed="false">
      <c r="L907" s="3" t="e">
        <v>#NAME?</v>
      </c>
      <c r="M907" s="3" t="e">
        <v>#NAME?</v>
      </c>
      <c r="N907" s="1" t="e">
        <v>#NAME?</v>
      </c>
      <c r="O907" s="3"/>
      <c r="P907" s="3" t="e">
        <v>#NAME?</v>
      </c>
      <c r="Q907" s="3"/>
      <c r="R907" s="3"/>
    </row>
    <row r="908" customFormat="false" ht="15.75" hidden="false" customHeight="false" outlineLevel="0" collapsed="false">
      <c r="L908" s="3" t="e">
        <v>#NAME?</v>
      </c>
      <c r="M908" s="3" t="e">
        <v>#NAME?</v>
      </c>
      <c r="N908" s="1" t="e">
        <v>#NAME?</v>
      </c>
      <c r="O908" s="3"/>
      <c r="P908" s="3" t="e">
        <v>#NAME?</v>
      </c>
      <c r="Q908" s="3"/>
      <c r="R908" s="3"/>
    </row>
    <row r="909" customFormat="false" ht="15.75" hidden="false" customHeight="false" outlineLevel="0" collapsed="false">
      <c r="L909" s="3" t="e">
        <v>#NAME?</v>
      </c>
      <c r="M909" s="3" t="e">
        <v>#NAME?</v>
      </c>
      <c r="N909" s="1" t="e">
        <v>#NAME?</v>
      </c>
      <c r="O909" s="3"/>
      <c r="P909" s="3" t="e">
        <v>#NAME?</v>
      </c>
      <c r="Q909" s="3"/>
      <c r="R909" s="3"/>
    </row>
    <row r="910" customFormat="false" ht="15.75" hidden="false" customHeight="false" outlineLevel="0" collapsed="false">
      <c r="L910" s="3" t="e">
        <v>#NAME?</v>
      </c>
      <c r="M910" s="3" t="e">
        <v>#NAME?</v>
      </c>
      <c r="N910" s="1" t="e">
        <v>#NAME?</v>
      </c>
      <c r="O910" s="3"/>
      <c r="P910" s="3" t="e">
        <v>#NAME?</v>
      </c>
      <c r="Q910" s="3"/>
      <c r="R910" s="3"/>
    </row>
    <row r="911" customFormat="false" ht="15.75" hidden="false" customHeight="false" outlineLevel="0" collapsed="false">
      <c r="L911" s="3" t="e">
        <v>#NAME?</v>
      </c>
      <c r="M911" s="3" t="e">
        <v>#NAME?</v>
      </c>
      <c r="N911" s="1" t="e">
        <v>#NAME?</v>
      </c>
      <c r="O911" s="3"/>
      <c r="P911" s="3" t="e">
        <v>#NAME?</v>
      </c>
      <c r="Q911" s="3"/>
      <c r="R911" s="3"/>
    </row>
    <row r="912" customFormat="false" ht="15.75" hidden="false" customHeight="false" outlineLevel="0" collapsed="false">
      <c r="L912" s="3" t="e">
        <v>#NAME?</v>
      </c>
      <c r="M912" s="3" t="e">
        <v>#NAME?</v>
      </c>
      <c r="N912" s="1" t="e">
        <v>#NAME?</v>
      </c>
      <c r="O912" s="3"/>
      <c r="P912" s="3" t="e">
        <v>#NAME?</v>
      </c>
      <c r="Q912" s="3"/>
      <c r="R912" s="3"/>
    </row>
    <row r="913" customFormat="false" ht="15.75" hidden="false" customHeight="false" outlineLevel="0" collapsed="false">
      <c r="L913" s="3" t="e">
        <v>#NAME?</v>
      </c>
      <c r="M913" s="3" t="e">
        <v>#NAME?</v>
      </c>
      <c r="N913" s="1" t="e">
        <v>#NAME?</v>
      </c>
      <c r="O913" s="3"/>
      <c r="P913" s="3" t="e">
        <v>#NAME?</v>
      </c>
      <c r="Q913" s="3"/>
      <c r="R913" s="3"/>
    </row>
    <row r="914" customFormat="false" ht="15.75" hidden="false" customHeight="false" outlineLevel="0" collapsed="false">
      <c r="L914" s="3" t="e">
        <v>#NAME?</v>
      </c>
      <c r="M914" s="3" t="e">
        <v>#NAME?</v>
      </c>
      <c r="N914" s="1" t="e">
        <v>#NAME?</v>
      </c>
      <c r="O914" s="3"/>
      <c r="P914" s="3" t="e">
        <v>#NAME?</v>
      </c>
      <c r="Q914" s="3"/>
      <c r="R914" s="3"/>
    </row>
    <row r="915" customFormat="false" ht="15.75" hidden="false" customHeight="false" outlineLevel="0" collapsed="false">
      <c r="L915" s="3" t="e">
        <v>#NAME?</v>
      </c>
      <c r="M915" s="3" t="e">
        <v>#NAME?</v>
      </c>
      <c r="N915" s="1" t="e">
        <v>#NAME?</v>
      </c>
      <c r="O915" s="3"/>
      <c r="P915" s="3" t="e">
        <v>#NAME?</v>
      </c>
      <c r="Q915" s="3"/>
      <c r="R915" s="3"/>
    </row>
    <row r="916" customFormat="false" ht="15.75" hidden="false" customHeight="false" outlineLevel="0" collapsed="false">
      <c r="L916" s="3" t="e">
        <v>#NAME?</v>
      </c>
      <c r="M916" s="3" t="e">
        <v>#NAME?</v>
      </c>
      <c r="N916" s="1" t="e">
        <v>#NAME?</v>
      </c>
      <c r="O916" s="3"/>
      <c r="P916" s="3" t="e">
        <v>#NAME?</v>
      </c>
      <c r="Q916" s="3"/>
      <c r="R916" s="3"/>
    </row>
    <row r="917" customFormat="false" ht="15.75" hidden="false" customHeight="false" outlineLevel="0" collapsed="false">
      <c r="L917" s="3" t="e">
        <v>#NAME?</v>
      </c>
      <c r="M917" s="3" t="e">
        <v>#NAME?</v>
      </c>
      <c r="N917" s="1" t="e">
        <v>#NAME?</v>
      </c>
      <c r="O917" s="3"/>
      <c r="P917" s="3" t="e">
        <v>#NAME?</v>
      </c>
      <c r="Q917" s="3"/>
      <c r="R917" s="3"/>
    </row>
    <row r="918" customFormat="false" ht="15.75" hidden="false" customHeight="false" outlineLevel="0" collapsed="false">
      <c r="L918" s="3" t="e">
        <v>#NAME?</v>
      </c>
      <c r="M918" s="3" t="e">
        <v>#NAME?</v>
      </c>
      <c r="N918" s="1" t="e">
        <v>#NAME?</v>
      </c>
      <c r="O918" s="3"/>
      <c r="P918" s="3" t="e">
        <v>#NAME?</v>
      </c>
      <c r="Q918" s="3"/>
      <c r="R918" s="3"/>
    </row>
    <row r="919" customFormat="false" ht="15.75" hidden="false" customHeight="false" outlineLevel="0" collapsed="false">
      <c r="L919" s="3" t="e">
        <v>#NAME?</v>
      </c>
      <c r="M919" s="3" t="e">
        <v>#NAME?</v>
      </c>
      <c r="N919" s="1" t="e">
        <v>#NAME?</v>
      </c>
      <c r="O919" s="3"/>
      <c r="P919" s="3" t="e">
        <v>#NAME?</v>
      </c>
      <c r="Q919" s="3"/>
      <c r="R919" s="3"/>
    </row>
    <row r="920" customFormat="false" ht="15.75" hidden="false" customHeight="false" outlineLevel="0" collapsed="false">
      <c r="L920" s="3" t="e">
        <v>#NAME?</v>
      </c>
      <c r="M920" s="3" t="e">
        <v>#NAME?</v>
      </c>
      <c r="N920" s="1" t="e">
        <v>#NAME?</v>
      </c>
      <c r="O920" s="3"/>
      <c r="P920" s="3" t="e">
        <v>#NAME?</v>
      </c>
      <c r="Q920" s="3"/>
      <c r="R920" s="3"/>
    </row>
    <row r="921" customFormat="false" ht="15.75" hidden="false" customHeight="false" outlineLevel="0" collapsed="false">
      <c r="L921" s="3" t="e">
        <v>#NAME?</v>
      </c>
      <c r="M921" s="3" t="e">
        <v>#NAME?</v>
      </c>
      <c r="N921" s="1" t="e">
        <v>#NAME?</v>
      </c>
      <c r="O921" s="3"/>
      <c r="P921" s="3" t="e">
        <v>#NAME?</v>
      </c>
      <c r="Q921" s="3"/>
      <c r="R921" s="3"/>
    </row>
    <row r="922" customFormat="false" ht="15.75" hidden="false" customHeight="false" outlineLevel="0" collapsed="false">
      <c r="L922" s="3" t="e">
        <v>#NAME?</v>
      </c>
      <c r="M922" s="3" t="e">
        <v>#NAME?</v>
      </c>
      <c r="N922" s="1" t="e">
        <v>#NAME?</v>
      </c>
      <c r="O922" s="3"/>
      <c r="P922" s="3" t="e">
        <v>#NAME?</v>
      </c>
      <c r="Q922" s="3"/>
      <c r="R922" s="3"/>
    </row>
    <row r="923" customFormat="false" ht="15.75" hidden="false" customHeight="false" outlineLevel="0" collapsed="false">
      <c r="L923" s="3" t="e">
        <v>#NAME?</v>
      </c>
      <c r="M923" s="3" t="e">
        <v>#NAME?</v>
      </c>
      <c r="N923" s="1" t="e">
        <v>#NAME?</v>
      </c>
      <c r="O923" s="3"/>
      <c r="P923" s="3" t="e">
        <v>#NAME?</v>
      </c>
      <c r="Q923" s="3"/>
      <c r="R923" s="3"/>
    </row>
    <row r="924" customFormat="false" ht="15.75" hidden="false" customHeight="false" outlineLevel="0" collapsed="false">
      <c r="L924" s="3" t="e">
        <v>#NAME?</v>
      </c>
      <c r="M924" s="3" t="e">
        <v>#NAME?</v>
      </c>
      <c r="N924" s="1" t="e">
        <v>#NAME?</v>
      </c>
      <c r="O924" s="3"/>
      <c r="P924" s="3" t="e">
        <v>#NAME?</v>
      </c>
      <c r="Q924" s="3"/>
      <c r="R924" s="3"/>
    </row>
    <row r="925" customFormat="false" ht="15.75" hidden="false" customHeight="false" outlineLevel="0" collapsed="false">
      <c r="L925" s="3" t="e">
        <v>#NAME?</v>
      </c>
      <c r="M925" s="3" t="e">
        <v>#NAME?</v>
      </c>
      <c r="N925" s="1" t="e">
        <v>#NAME?</v>
      </c>
      <c r="O925" s="3"/>
      <c r="P925" s="3" t="e">
        <v>#NAME?</v>
      </c>
      <c r="Q925" s="3"/>
      <c r="R925" s="3"/>
    </row>
    <row r="926" customFormat="false" ht="15.75" hidden="false" customHeight="false" outlineLevel="0" collapsed="false">
      <c r="L926" s="3" t="e">
        <v>#NAME?</v>
      </c>
      <c r="M926" s="3" t="e">
        <v>#NAME?</v>
      </c>
      <c r="N926" s="1" t="e">
        <v>#NAME?</v>
      </c>
      <c r="O926" s="3"/>
      <c r="P926" s="3" t="e">
        <v>#NAME?</v>
      </c>
      <c r="Q926" s="3"/>
      <c r="R926" s="3"/>
    </row>
    <row r="927" customFormat="false" ht="15.75" hidden="false" customHeight="false" outlineLevel="0" collapsed="false">
      <c r="L927" s="3" t="e">
        <v>#NAME?</v>
      </c>
      <c r="M927" s="3" t="e">
        <v>#NAME?</v>
      </c>
      <c r="N927" s="1" t="e">
        <v>#NAME?</v>
      </c>
      <c r="O927" s="3"/>
      <c r="P927" s="3" t="e">
        <v>#NAME?</v>
      </c>
      <c r="Q927" s="3"/>
      <c r="R927" s="3"/>
    </row>
    <row r="928" customFormat="false" ht="15.75" hidden="false" customHeight="false" outlineLevel="0" collapsed="false">
      <c r="L928" s="3" t="e">
        <v>#NAME?</v>
      </c>
      <c r="M928" s="3" t="e">
        <v>#NAME?</v>
      </c>
      <c r="N928" s="1" t="e">
        <v>#NAME?</v>
      </c>
      <c r="O928" s="3"/>
      <c r="P928" s="3" t="e">
        <v>#NAME?</v>
      </c>
      <c r="Q928" s="3"/>
      <c r="R928" s="3"/>
    </row>
    <row r="929" customFormat="false" ht="15.75" hidden="false" customHeight="false" outlineLevel="0" collapsed="false">
      <c r="L929" s="3" t="e">
        <v>#NAME?</v>
      </c>
      <c r="M929" s="3" t="e">
        <v>#NAME?</v>
      </c>
      <c r="N929" s="1" t="e">
        <v>#NAME?</v>
      </c>
      <c r="O929" s="3"/>
      <c r="P929" s="3" t="e">
        <v>#NAME?</v>
      </c>
      <c r="Q929" s="3"/>
      <c r="R929" s="3"/>
    </row>
    <row r="930" customFormat="false" ht="15.75" hidden="false" customHeight="false" outlineLevel="0" collapsed="false">
      <c r="L930" s="3" t="e">
        <v>#NAME?</v>
      </c>
      <c r="M930" s="3" t="e">
        <v>#NAME?</v>
      </c>
      <c r="N930" s="1" t="e">
        <v>#NAME?</v>
      </c>
      <c r="O930" s="3"/>
      <c r="P930" s="3" t="e">
        <v>#NAME?</v>
      </c>
      <c r="Q930" s="3"/>
      <c r="R930" s="3"/>
    </row>
    <row r="931" customFormat="false" ht="15.75" hidden="false" customHeight="false" outlineLevel="0" collapsed="false">
      <c r="L931" s="3" t="e">
        <v>#NAME?</v>
      </c>
      <c r="M931" s="3" t="e">
        <v>#NAME?</v>
      </c>
      <c r="N931" s="1" t="e">
        <v>#NAME?</v>
      </c>
      <c r="O931" s="3"/>
      <c r="P931" s="3" t="e">
        <v>#NAME?</v>
      </c>
      <c r="Q931" s="3"/>
      <c r="R931" s="3"/>
    </row>
    <row r="932" customFormat="false" ht="15.75" hidden="false" customHeight="false" outlineLevel="0" collapsed="false">
      <c r="L932" s="3" t="e">
        <v>#NAME?</v>
      </c>
      <c r="M932" s="3" t="e">
        <v>#NAME?</v>
      </c>
      <c r="N932" s="1" t="e">
        <v>#NAME?</v>
      </c>
      <c r="O932" s="3"/>
      <c r="P932" s="3" t="e">
        <v>#NAME?</v>
      </c>
      <c r="Q932" s="3"/>
      <c r="R932" s="3"/>
    </row>
    <row r="933" customFormat="false" ht="15.75" hidden="false" customHeight="false" outlineLevel="0" collapsed="false">
      <c r="L933" s="3" t="e">
        <v>#NAME?</v>
      </c>
      <c r="M933" s="3" t="e">
        <v>#NAME?</v>
      </c>
      <c r="N933" s="1" t="e">
        <v>#NAME?</v>
      </c>
      <c r="O933" s="3"/>
      <c r="P933" s="3" t="e">
        <v>#NAME?</v>
      </c>
      <c r="Q933" s="3"/>
      <c r="R933" s="3"/>
    </row>
    <row r="934" customFormat="false" ht="15.75" hidden="false" customHeight="false" outlineLevel="0" collapsed="false">
      <c r="L934" s="3" t="e">
        <v>#NAME?</v>
      </c>
      <c r="M934" s="3" t="e">
        <v>#NAME?</v>
      </c>
      <c r="N934" s="1" t="e">
        <v>#NAME?</v>
      </c>
      <c r="O934" s="3"/>
      <c r="P934" s="3" t="e">
        <v>#NAME?</v>
      </c>
      <c r="Q934" s="3"/>
      <c r="R934" s="3"/>
    </row>
    <row r="935" customFormat="false" ht="15.75" hidden="false" customHeight="false" outlineLevel="0" collapsed="false">
      <c r="L935" s="3" t="e">
        <v>#NAME?</v>
      </c>
      <c r="M935" s="3" t="e">
        <v>#NAME?</v>
      </c>
      <c r="N935" s="1" t="e">
        <v>#NAME?</v>
      </c>
      <c r="O935" s="3"/>
      <c r="P935" s="3" t="e">
        <v>#NAME?</v>
      </c>
      <c r="Q935" s="3"/>
      <c r="R935" s="3"/>
    </row>
    <row r="936" customFormat="false" ht="15.75" hidden="false" customHeight="false" outlineLevel="0" collapsed="false">
      <c r="L936" s="3" t="e">
        <v>#NAME?</v>
      </c>
      <c r="M936" s="3" t="e">
        <v>#NAME?</v>
      </c>
      <c r="N936" s="1" t="e">
        <v>#NAME?</v>
      </c>
      <c r="O936" s="3"/>
      <c r="P936" s="3" t="e">
        <v>#NAME?</v>
      </c>
      <c r="Q936" s="3"/>
      <c r="R936" s="3"/>
    </row>
    <row r="937" customFormat="false" ht="15.75" hidden="false" customHeight="false" outlineLevel="0" collapsed="false">
      <c r="L937" s="3" t="e">
        <v>#NAME?</v>
      </c>
      <c r="M937" s="3" t="e">
        <v>#NAME?</v>
      </c>
      <c r="N937" s="1" t="e">
        <v>#NAME?</v>
      </c>
      <c r="O937" s="3"/>
      <c r="P937" s="3" t="e">
        <v>#NAME?</v>
      </c>
      <c r="Q937" s="3"/>
      <c r="R937" s="3"/>
    </row>
    <row r="938" customFormat="false" ht="15.75" hidden="false" customHeight="false" outlineLevel="0" collapsed="false">
      <c r="L938" s="3" t="e">
        <v>#NAME?</v>
      </c>
      <c r="M938" s="3" t="e">
        <v>#NAME?</v>
      </c>
      <c r="N938" s="1" t="e">
        <v>#NAME?</v>
      </c>
      <c r="O938" s="3"/>
      <c r="P938" s="3" t="e">
        <v>#NAME?</v>
      </c>
      <c r="Q938" s="3"/>
      <c r="R938" s="3"/>
    </row>
    <row r="939" customFormat="false" ht="15.75" hidden="false" customHeight="false" outlineLevel="0" collapsed="false">
      <c r="L939" s="3" t="e">
        <v>#NAME?</v>
      </c>
      <c r="M939" s="3" t="e">
        <v>#NAME?</v>
      </c>
      <c r="N939" s="1" t="e">
        <v>#NAME?</v>
      </c>
      <c r="O939" s="3"/>
      <c r="P939" s="3" t="e">
        <v>#NAME?</v>
      </c>
      <c r="Q939" s="3"/>
      <c r="R939" s="3"/>
    </row>
    <row r="940" customFormat="false" ht="15.75" hidden="false" customHeight="false" outlineLevel="0" collapsed="false">
      <c r="L940" s="3" t="e">
        <v>#NAME?</v>
      </c>
      <c r="M940" s="3" t="e">
        <v>#NAME?</v>
      </c>
      <c r="N940" s="1" t="e">
        <v>#NAME?</v>
      </c>
      <c r="O940" s="3"/>
      <c r="P940" s="3" t="e">
        <v>#NAME?</v>
      </c>
      <c r="Q940" s="3"/>
      <c r="R940" s="3"/>
    </row>
    <row r="941" customFormat="false" ht="15.75" hidden="false" customHeight="false" outlineLevel="0" collapsed="false">
      <c r="L941" s="3" t="e">
        <v>#NAME?</v>
      </c>
      <c r="M941" s="3" t="e">
        <v>#NAME?</v>
      </c>
      <c r="N941" s="1" t="e">
        <v>#NAME?</v>
      </c>
      <c r="O941" s="3"/>
      <c r="P941" s="3" t="e">
        <v>#NAME?</v>
      </c>
      <c r="Q941" s="3"/>
      <c r="R941" s="3"/>
    </row>
    <row r="942" customFormat="false" ht="15.75" hidden="false" customHeight="false" outlineLevel="0" collapsed="false">
      <c r="L942" s="3" t="e">
        <v>#NAME?</v>
      </c>
      <c r="M942" s="3" t="e">
        <v>#NAME?</v>
      </c>
      <c r="N942" s="1" t="e">
        <v>#NAME?</v>
      </c>
      <c r="O942" s="3"/>
      <c r="P942" s="3" t="e">
        <v>#NAME?</v>
      </c>
      <c r="Q942" s="3"/>
      <c r="R942" s="3"/>
    </row>
    <row r="943" customFormat="false" ht="15.75" hidden="false" customHeight="false" outlineLevel="0" collapsed="false">
      <c r="L943" s="3" t="e">
        <v>#NAME?</v>
      </c>
      <c r="M943" s="3" t="e">
        <v>#NAME?</v>
      </c>
      <c r="N943" s="1" t="e">
        <v>#NAME?</v>
      </c>
      <c r="O943" s="3"/>
      <c r="P943" s="3" t="e">
        <v>#NAME?</v>
      </c>
      <c r="Q943" s="3"/>
      <c r="R943" s="3"/>
    </row>
    <row r="944" customFormat="false" ht="15.75" hidden="false" customHeight="false" outlineLevel="0" collapsed="false">
      <c r="L944" s="3" t="e">
        <v>#NAME?</v>
      </c>
      <c r="M944" s="3" t="e">
        <v>#NAME?</v>
      </c>
      <c r="N944" s="1" t="e">
        <v>#NAME?</v>
      </c>
      <c r="O944" s="3"/>
      <c r="P944" s="3" t="e">
        <v>#NAME?</v>
      </c>
      <c r="Q944" s="3"/>
      <c r="R944" s="3"/>
    </row>
    <row r="945" customFormat="false" ht="15.75" hidden="false" customHeight="false" outlineLevel="0" collapsed="false">
      <c r="L945" s="3" t="e">
        <v>#NAME?</v>
      </c>
      <c r="M945" s="3" t="e">
        <v>#NAME?</v>
      </c>
      <c r="N945" s="1" t="e">
        <v>#NAME?</v>
      </c>
      <c r="O945" s="3"/>
      <c r="P945" s="3" t="e">
        <v>#NAME?</v>
      </c>
      <c r="Q945" s="3"/>
      <c r="R945" s="3"/>
    </row>
    <row r="946" customFormat="false" ht="15.75" hidden="false" customHeight="false" outlineLevel="0" collapsed="false">
      <c r="L946" s="3" t="e">
        <v>#NAME?</v>
      </c>
      <c r="M946" s="3" t="e">
        <v>#NAME?</v>
      </c>
      <c r="N946" s="1" t="e">
        <v>#NAME?</v>
      </c>
      <c r="O946" s="3"/>
      <c r="P946" s="3" t="e">
        <v>#NAME?</v>
      </c>
      <c r="Q946" s="3"/>
      <c r="R946" s="3"/>
    </row>
    <row r="947" customFormat="false" ht="15.75" hidden="false" customHeight="false" outlineLevel="0" collapsed="false">
      <c r="L947" s="3" t="e">
        <v>#NAME?</v>
      </c>
      <c r="M947" s="3" t="e">
        <v>#NAME?</v>
      </c>
      <c r="N947" s="1" t="e">
        <v>#NAME?</v>
      </c>
      <c r="O947" s="3"/>
      <c r="P947" s="3" t="e">
        <v>#NAME?</v>
      </c>
      <c r="Q947" s="3"/>
      <c r="R947" s="3"/>
    </row>
    <row r="948" customFormat="false" ht="15.75" hidden="false" customHeight="false" outlineLevel="0" collapsed="false">
      <c r="L948" s="3" t="e">
        <v>#NAME?</v>
      </c>
      <c r="M948" s="3" t="e">
        <v>#NAME?</v>
      </c>
      <c r="N948" s="1" t="e">
        <v>#NAME?</v>
      </c>
      <c r="O948" s="3"/>
      <c r="P948" s="3" t="e">
        <v>#NAME?</v>
      </c>
      <c r="Q948" s="3"/>
      <c r="R948" s="3"/>
    </row>
    <row r="949" customFormat="false" ht="15.75" hidden="false" customHeight="false" outlineLevel="0" collapsed="false">
      <c r="L949" s="3" t="e">
        <v>#NAME?</v>
      </c>
      <c r="M949" s="3" t="e">
        <v>#NAME?</v>
      </c>
      <c r="N949" s="1" t="e">
        <v>#NAME?</v>
      </c>
      <c r="O949" s="3"/>
      <c r="P949" s="3" t="e">
        <v>#NAME?</v>
      </c>
      <c r="Q949" s="3"/>
      <c r="R949" s="3"/>
    </row>
    <row r="950" customFormat="false" ht="15.75" hidden="false" customHeight="false" outlineLevel="0" collapsed="false">
      <c r="L950" s="3" t="e">
        <v>#NAME?</v>
      </c>
      <c r="M950" s="3" t="e">
        <v>#NAME?</v>
      </c>
      <c r="N950" s="1" t="e">
        <v>#NAME?</v>
      </c>
      <c r="O950" s="3"/>
      <c r="P950" s="3" t="e">
        <v>#NAME?</v>
      </c>
      <c r="Q950" s="3"/>
      <c r="R950" s="3"/>
    </row>
    <row r="951" customFormat="false" ht="15.75" hidden="false" customHeight="false" outlineLevel="0" collapsed="false">
      <c r="L951" s="3" t="e">
        <v>#NAME?</v>
      </c>
      <c r="M951" s="3" t="e">
        <v>#NAME?</v>
      </c>
      <c r="N951" s="1" t="e">
        <v>#NAME?</v>
      </c>
      <c r="O951" s="3"/>
      <c r="P951" s="3" t="e">
        <v>#NAME?</v>
      </c>
      <c r="Q951" s="3"/>
      <c r="R951" s="3"/>
    </row>
    <row r="952" customFormat="false" ht="15.75" hidden="false" customHeight="false" outlineLevel="0" collapsed="false">
      <c r="L952" s="3" t="e">
        <v>#NAME?</v>
      </c>
      <c r="M952" s="3" t="e">
        <v>#NAME?</v>
      </c>
      <c r="N952" s="1" t="e">
        <v>#NAME?</v>
      </c>
      <c r="O952" s="3"/>
      <c r="P952" s="3" t="e">
        <v>#NAME?</v>
      </c>
      <c r="Q952" s="3"/>
      <c r="R952" s="3"/>
    </row>
    <row r="953" customFormat="false" ht="15.75" hidden="false" customHeight="false" outlineLevel="0" collapsed="false">
      <c r="L953" s="3" t="e">
        <v>#NAME?</v>
      </c>
      <c r="M953" s="3" t="e">
        <v>#NAME?</v>
      </c>
      <c r="N953" s="1" t="e">
        <v>#NAME?</v>
      </c>
      <c r="O953" s="3"/>
      <c r="P953" s="3" t="e">
        <v>#NAME?</v>
      </c>
      <c r="Q953" s="3"/>
      <c r="R953" s="3"/>
    </row>
    <row r="954" customFormat="false" ht="15.75" hidden="false" customHeight="false" outlineLevel="0" collapsed="false">
      <c r="L954" s="3" t="e">
        <v>#NAME?</v>
      </c>
      <c r="M954" s="3" t="e">
        <v>#NAME?</v>
      </c>
      <c r="N954" s="1" t="e">
        <v>#NAME?</v>
      </c>
      <c r="O954" s="3"/>
      <c r="P954" s="3" t="e">
        <v>#NAME?</v>
      </c>
      <c r="Q954" s="3"/>
      <c r="R954" s="3"/>
    </row>
    <row r="955" customFormat="false" ht="15.75" hidden="false" customHeight="false" outlineLevel="0" collapsed="false">
      <c r="L955" s="3" t="e">
        <v>#NAME?</v>
      </c>
      <c r="M955" s="3" t="e">
        <v>#NAME?</v>
      </c>
      <c r="N955" s="1" t="e">
        <v>#NAME?</v>
      </c>
      <c r="O955" s="3"/>
      <c r="P955" s="3" t="e">
        <v>#NAME?</v>
      </c>
      <c r="Q955" s="3"/>
      <c r="R955" s="3"/>
    </row>
    <row r="956" customFormat="false" ht="15.75" hidden="false" customHeight="false" outlineLevel="0" collapsed="false">
      <c r="L956" s="3" t="e">
        <v>#NAME?</v>
      </c>
      <c r="M956" s="3" t="e">
        <v>#NAME?</v>
      </c>
      <c r="N956" s="1" t="e">
        <v>#NAME?</v>
      </c>
      <c r="O956" s="3"/>
      <c r="P956" s="3" t="e">
        <v>#NAME?</v>
      </c>
      <c r="Q956" s="3"/>
      <c r="R956" s="3"/>
    </row>
    <row r="957" customFormat="false" ht="15.75" hidden="false" customHeight="false" outlineLevel="0" collapsed="false">
      <c r="L957" s="3" t="e">
        <v>#NAME?</v>
      </c>
      <c r="M957" s="3" t="e">
        <v>#NAME?</v>
      </c>
      <c r="N957" s="1" t="e">
        <v>#NAME?</v>
      </c>
      <c r="O957" s="3"/>
      <c r="P957" s="3" t="e">
        <v>#NAME?</v>
      </c>
      <c r="Q957" s="3"/>
      <c r="R957" s="3"/>
    </row>
    <row r="958" customFormat="false" ht="15.75" hidden="false" customHeight="false" outlineLevel="0" collapsed="false">
      <c r="L958" s="3" t="e">
        <v>#NAME?</v>
      </c>
      <c r="M958" s="3" t="e">
        <v>#NAME?</v>
      </c>
      <c r="N958" s="1" t="e">
        <v>#NAME?</v>
      </c>
      <c r="O958" s="3"/>
      <c r="P958" s="3" t="e">
        <v>#NAME?</v>
      </c>
      <c r="Q958" s="3"/>
      <c r="R958" s="3"/>
    </row>
    <row r="959" customFormat="false" ht="15.75" hidden="false" customHeight="false" outlineLevel="0" collapsed="false">
      <c r="L959" s="3" t="e">
        <v>#NAME?</v>
      </c>
      <c r="M959" s="3" t="e">
        <v>#NAME?</v>
      </c>
      <c r="N959" s="1" t="e">
        <v>#NAME?</v>
      </c>
      <c r="O959" s="3"/>
      <c r="P959" s="3" t="e">
        <v>#NAME?</v>
      </c>
      <c r="Q959" s="3"/>
      <c r="R959" s="3"/>
    </row>
    <row r="960" customFormat="false" ht="15.75" hidden="false" customHeight="false" outlineLevel="0" collapsed="false">
      <c r="L960" s="3" t="e">
        <v>#NAME?</v>
      </c>
      <c r="M960" s="3" t="e">
        <v>#NAME?</v>
      </c>
      <c r="N960" s="1" t="e">
        <v>#NAME?</v>
      </c>
      <c r="O960" s="3"/>
      <c r="P960" s="3" t="e">
        <v>#NAME?</v>
      </c>
      <c r="Q960" s="3"/>
      <c r="R960" s="3"/>
    </row>
    <row r="961" customFormat="false" ht="15.75" hidden="false" customHeight="false" outlineLevel="0" collapsed="false">
      <c r="L961" s="3" t="e">
        <v>#NAME?</v>
      </c>
      <c r="M961" s="3" t="e">
        <v>#NAME?</v>
      </c>
      <c r="N961" s="1" t="e">
        <v>#NAME?</v>
      </c>
      <c r="O961" s="3"/>
      <c r="P961" s="3" t="e">
        <v>#NAME?</v>
      </c>
      <c r="Q961" s="3"/>
      <c r="R961" s="3"/>
    </row>
    <row r="962" customFormat="false" ht="15.75" hidden="false" customHeight="false" outlineLevel="0" collapsed="false">
      <c r="L962" s="3" t="e">
        <v>#NAME?</v>
      </c>
      <c r="M962" s="3" t="e">
        <v>#NAME?</v>
      </c>
      <c r="N962" s="1" t="e">
        <v>#NAME?</v>
      </c>
      <c r="O962" s="3"/>
      <c r="P962" s="3" t="e">
        <v>#NAME?</v>
      </c>
      <c r="Q962" s="3"/>
      <c r="R962" s="3"/>
    </row>
    <row r="963" customFormat="false" ht="15.75" hidden="false" customHeight="false" outlineLevel="0" collapsed="false">
      <c r="L963" s="3" t="e">
        <v>#NAME?</v>
      </c>
      <c r="M963" s="3" t="e">
        <v>#NAME?</v>
      </c>
      <c r="N963" s="1" t="e">
        <v>#NAME?</v>
      </c>
      <c r="O963" s="3"/>
      <c r="P963" s="3" t="e">
        <v>#NAME?</v>
      </c>
      <c r="Q963" s="3"/>
      <c r="R963" s="3"/>
    </row>
    <row r="964" customFormat="false" ht="15.75" hidden="false" customHeight="false" outlineLevel="0" collapsed="false">
      <c r="L964" s="3" t="e">
        <v>#NAME?</v>
      </c>
      <c r="M964" s="3" t="e">
        <v>#NAME?</v>
      </c>
      <c r="N964" s="1" t="e">
        <v>#NAME?</v>
      </c>
      <c r="O964" s="3"/>
      <c r="P964" s="3" t="e">
        <v>#NAME?</v>
      </c>
      <c r="Q964" s="3"/>
      <c r="R964" s="3"/>
    </row>
    <row r="965" customFormat="false" ht="15.75" hidden="false" customHeight="false" outlineLevel="0" collapsed="false">
      <c r="L965" s="3" t="e">
        <v>#NAME?</v>
      </c>
      <c r="M965" s="3" t="e">
        <v>#NAME?</v>
      </c>
      <c r="N965" s="1" t="e">
        <v>#NAME?</v>
      </c>
      <c r="O965" s="3"/>
      <c r="P965" s="3" t="e">
        <v>#NAME?</v>
      </c>
      <c r="Q965" s="3"/>
      <c r="R965" s="3"/>
    </row>
    <row r="966" customFormat="false" ht="15.75" hidden="false" customHeight="false" outlineLevel="0" collapsed="false">
      <c r="L966" s="3" t="e">
        <v>#NAME?</v>
      </c>
      <c r="M966" s="3" t="e">
        <v>#NAME?</v>
      </c>
      <c r="N966" s="1" t="e">
        <v>#NAME?</v>
      </c>
      <c r="O966" s="3"/>
      <c r="P966" s="3" t="e">
        <v>#NAME?</v>
      </c>
      <c r="Q966" s="3"/>
      <c r="R966" s="3"/>
    </row>
    <row r="967" customFormat="false" ht="15.75" hidden="false" customHeight="false" outlineLevel="0" collapsed="false">
      <c r="L967" s="3" t="e">
        <v>#NAME?</v>
      </c>
      <c r="M967" s="3" t="e">
        <v>#NAME?</v>
      </c>
      <c r="N967" s="1" t="e">
        <v>#NAME?</v>
      </c>
      <c r="O967" s="3"/>
      <c r="P967" s="3" t="e">
        <v>#NAME?</v>
      </c>
      <c r="Q967" s="3"/>
      <c r="R967" s="3"/>
    </row>
    <row r="968" customFormat="false" ht="15.75" hidden="false" customHeight="false" outlineLevel="0" collapsed="false">
      <c r="L968" s="3" t="e">
        <v>#NAME?</v>
      </c>
      <c r="M968" s="3" t="e">
        <v>#NAME?</v>
      </c>
      <c r="N968" s="1" t="e">
        <v>#NAME?</v>
      </c>
      <c r="O968" s="3"/>
      <c r="P968" s="3" t="e">
        <v>#NAME?</v>
      </c>
      <c r="Q968" s="3"/>
      <c r="R968" s="3"/>
    </row>
    <row r="969" customFormat="false" ht="15.75" hidden="false" customHeight="false" outlineLevel="0" collapsed="false">
      <c r="L969" s="3" t="e">
        <v>#NAME?</v>
      </c>
      <c r="M969" s="3" t="e">
        <v>#NAME?</v>
      </c>
      <c r="N969" s="1" t="e">
        <v>#NAME?</v>
      </c>
      <c r="O969" s="3"/>
      <c r="P969" s="3" t="e">
        <v>#NAME?</v>
      </c>
      <c r="Q969" s="3"/>
      <c r="R969" s="3"/>
    </row>
    <row r="970" customFormat="false" ht="15.75" hidden="false" customHeight="false" outlineLevel="0" collapsed="false">
      <c r="L970" s="3" t="e">
        <v>#NAME?</v>
      </c>
      <c r="M970" s="3" t="e">
        <v>#NAME?</v>
      </c>
      <c r="N970" s="1" t="e">
        <v>#NAME?</v>
      </c>
      <c r="O970" s="3"/>
      <c r="P970" s="3" t="e">
        <v>#NAME?</v>
      </c>
      <c r="Q970" s="3"/>
      <c r="R970" s="3"/>
    </row>
    <row r="971" customFormat="false" ht="15.75" hidden="false" customHeight="false" outlineLevel="0" collapsed="false">
      <c r="L971" s="3" t="e">
        <v>#NAME?</v>
      </c>
      <c r="M971" s="3" t="e">
        <v>#NAME?</v>
      </c>
      <c r="N971" s="1" t="e">
        <v>#NAME?</v>
      </c>
      <c r="O971" s="3"/>
      <c r="P971" s="3" t="e">
        <v>#NAME?</v>
      </c>
      <c r="Q971" s="3"/>
      <c r="R971" s="3"/>
    </row>
    <row r="972" customFormat="false" ht="15.75" hidden="false" customHeight="false" outlineLevel="0" collapsed="false">
      <c r="L972" s="3" t="e">
        <v>#NAME?</v>
      </c>
      <c r="M972" s="3" t="e">
        <v>#NAME?</v>
      </c>
      <c r="N972" s="1" t="e">
        <v>#NAME?</v>
      </c>
      <c r="O972" s="3"/>
      <c r="P972" s="3" t="e">
        <v>#NAME?</v>
      </c>
      <c r="Q972" s="3"/>
      <c r="R972" s="3"/>
    </row>
    <row r="973" customFormat="false" ht="15.75" hidden="false" customHeight="false" outlineLevel="0" collapsed="false">
      <c r="L973" s="3" t="e">
        <v>#NAME?</v>
      </c>
      <c r="M973" s="3" t="e">
        <v>#NAME?</v>
      </c>
      <c r="N973" s="1" t="e">
        <v>#NAME?</v>
      </c>
      <c r="O973" s="3"/>
      <c r="P973" s="3" t="e">
        <v>#NAME?</v>
      </c>
      <c r="Q973" s="3"/>
      <c r="R973" s="3"/>
    </row>
    <row r="974" customFormat="false" ht="15.75" hidden="false" customHeight="false" outlineLevel="0" collapsed="false">
      <c r="L974" s="3" t="e">
        <v>#NAME?</v>
      </c>
      <c r="M974" s="3" t="e">
        <v>#NAME?</v>
      </c>
      <c r="N974" s="1" t="e">
        <v>#NAME?</v>
      </c>
      <c r="O974" s="3"/>
      <c r="P974" s="3" t="e">
        <v>#NAME?</v>
      </c>
      <c r="Q974" s="3"/>
      <c r="R974" s="3"/>
    </row>
    <row r="975" customFormat="false" ht="15.75" hidden="false" customHeight="false" outlineLevel="0" collapsed="false">
      <c r="L975" s="3" t="e">
        <v>#NAME?</v>
      </c>
      <c r="M975" s="3" t="e">
        <v>#NAME?</v>
      </c>
      <c r="N975" s="1" t="e">
        <v>#NAME?</v>
      </c>
      <c r="O975" s="3"/>
      <c r="P975" s="3" t="e">
        <v>#NAME?</v>
      </c>
      <c r="Q975" s="3"/>
      <c r="R975" s="3"/>
    </row>
    <row r="976" customFormat="false" ht="15.75" hidden="false" customHeight="false" outlineLevel="0" collapsed="false">
      <c r="L976" s="3" t="e">
        <v>#NAME?</v>
      </c>
      <c r="M976" s="3" t="e">
        <v>#NAME?</v>
      </c>
      <c r="N976" s="1" t="e">
        <v>#NAME?</v>
      </c>
      <c r="O976" s="3"/>
      <c r="P976" s="3" t="e">
        <v>#NAME?</v>
      </c>
      <c r="Q976" s="3"/>
      <c r="R976" s="3"/>
    </row>
    <row r="977" customFormat="false" ht="15.75" hidden="false" customHeight="false" outlineLevel="0" collapsed="false">
      <c r="L977" s="3" t="e">
        <v>#NAME?</v>
      </c>
      <c r="M977" s="3" t="e">
        <v>#NAME?</v>
      </c>
      <c r="N977" s="1" t="e">
        <v>#NAME?</v>
      </c>
      <c r="O977" s="3"/>
      <c r="P977" s="3" t="e">
        <v>#NAME?</v>
      </c>
      <c r="Q977" s="3"/>
      <c r="R977" s="3"/>
    </row>
    <row r="978" customFormat="false" ht="15.75" hidden="false" customHeight="false" outlineLevel="0" collapsed="false">
      <c r="L978" s="3" t="e">
        <v>#NAME?</v>
      </c>
      <c r="M978" s="3" t="e">
        <v>#NAME?</v>
      </c>
      <c r="N978" s="1" t="e">
        <v>#NAME?</v>
      </c>
      <c r="O978" s="3"/>
      <c r="P978" s="3" t="e">
        <v>#NAME?</v>
      </c>
      <c r="Q978" s="3"/>
      <c r="R978" s="3"/>
    </row>
    <row r="979" customFormat="false" ht="15.75" hidden="false" customHeight="false" outlineLevel="0" collapsed="false">
      <c r="L979" s="3" t="e">
        <v>#NAME?</v>
      </c>
      <c r="M979" s="3" t="e">
        <v>#NAME?</v>
      </c>
      <c r="N979" s="1" t="e">
        <v>#NAME?</v>
      </c>
      <c r="O979" s="3"/>
      <c r="P979" s="3" t="e">
        <v>#NAME?</v>
      </c>
      <c r="Q979" s="3"/>
      <c r="R979" s="3"/>
    </row>
    <row r="980" customFormat="false" ht="15.75" hidden="false" customHeight="false" outlineLevel="0" collapsed="false">
      <c r="L980" s="3" t="e">
        <v>#NAME?</v>
      </c>
      <c r="M980" s="3" t="e">
        <v>#NAME?</v>
      </c>
      <c r="N980" s="1" t="e">
        <v>#NAME?</v>
      </c>
      <c r="O980" s="3"/>
      <c r="P980" s="3" t="e">
        <v>#NAME?</v>
      </c>
      <c r="Q980" s="3"/>
      <c r="R980" s="3"/>
    </row>
    <row r="981" customFormat="false" ht="15.75" hidden="false" customHeight="false" outlineLevel="0" collapsed="false">
      <c r="L981" s="3" t="e">
        <v>#NAME?</v>
      </c>
      <c r="M981" s="3" t="e">
        <v>#NAME?</v>
      </c>
      <c r="N981" s="1" t="e">
        <v>#NAME?</v>
      </c>
      <c r="O981" s="3"/>
      <c r="P981" s="3" t="e">
        <v>#NAME?</v>
      </c>
      <c r="Q981" s="3"/>
      <c r="R981" s="3"/>
    </row>
    <row r="982" customFormat="false" ht="15.75" hidden="false" customHeight="false" outlineLevel="0" collapsed="false">
      <c r="L982" s="3" t="e">
        <v>#NAME?</v>
      </c>
      <c r="M982" s="3" t="e">
        <v>#NAME?</v>
      </c>
      <c r="N982" s="1" t="e">
        <v>#NAME?</v>
      </c>
      <c r="O982" s="3"/>
      <c r="P982" s="3" t="e">
        <v>#NAME?</v>
      </c>
      <c r="Q982" s="3"/>
      <c r="R982" s="3"/>
    </row>
    <row r="983" customFormat="false" ht="15.75" hidden="false" customHeight="false" outlineLevel="0" collapsed="false">
      <c r="L983" s="3" t="e">
        <v>#NAME?</v>
      </c>
      <c r="M983" s="3" t="e">
        <v>#NAME?</v>
      </c>
      <c r="N983" s="1" t="e">
        <v>#NAME?</v>
      </c>
      <c r="O983" s="3"/>
      <c r="P983" s="3" t="e">
        <v>#NAME?</v>
      </c>
      <c r="Q983" s="3"/>
      <c r="R983" s="3"/>
    </row>
    <row r="984" customFormat="false" ht="15.75" hidden="false" customHeight="false" outlineLevel="0" collapsed="false">
      <c r="L984" s="3" t="e">
        <v>#NAME?</v>
      </c>
      <c r="M984" s="3" t="e">
        <v>#NAME?</v>
      </c>
      <c r="N984" s="1" t="e">
        <v>#NAME?</v>
      </c>
      <c r="O984" s="3"/>
      <c r="P984" s="3" t="e">
        <v>#NAME?</v>
      </c>
      <c r="Q984" s="3"/>
      <c r="R984" s="3"/>
    </row>
    <row r="985" customFormat="false" ht="15.75" hidden="false" customHeight="false" outlineLevel="0" collapsed="false">
      <c r="L985" s="3" t="e">
        <v>#NAME?</v>
      </c>
      <c r="M985" s="3" t="e">
        <v>#NAME?</v>
      </c>
      <c r="N985" s="1" t="e">
        <v>#NAME?</v>
      </c>
      <c r="O985" s="3"/>
      <c r="P985" s="3" t="e">
        <v>#NAME?</v>
      </c>
      <c r="Q985" s="3"/>
      <c r="R985" s="3"/>
    </row>
    <row r="986" customFormat="false" ht="15.75" hidden="false" customHeight="false" outlineLevel="0" collapsed="false">
      <c r="L986" s="3" t="e">
        <v>#NAME?</v>
      </c>
      <c r="M986" s="3" t="e">
        <v>#NAME?</v>
      </c>
      <c r="N986" s="1" t="e">
        <v>#NAME?</v>
      </c>
      <c r="O986" s="3"/>
      <c r="P986" s="3" t="e">
        <v>#NAME?</v>
      </c>
      <c r="Q986" s="3"/>
      <c r="R986" s="3"/>
    </row>
    <row r="987" customFormat="false" ht="15.75" hidden="false" customHeight="false" outlineLevel="0" collapsed="false">
      <c r="L987" s="3" t="e">
        <v>#NAME?</v>
      </c>
      <c r="M987" s="3" t="e">
        <v>#NAME?</v>
      </c>
      <c r="N987" s="1" t="e">
        <v>#NAME?</v>
      </c>
      <c r="O987" s="3"/>
      <c r="P987" s="3" t="e">
        <v>#NAME?</v>
      </c>
      <c r="Q987" s="3"/>
      <c r="R987" s="3"/>
    </row>
    <row r="988" customFormat="false" ht="15.75" hidden="false" customHeight="false" outlineLevel="0" collapsed="false">
      <c r="L988" s="3" t="e">
        <v>#NAME?</v>
      </c>
      <c r="M988" s="3" t="e">
        <v>#NAME?</v>
      </c>
      <c r="N988" s="1" t="e">
        <v>#NAME?</v>
      </c>
      <c r="O988" s="3"/>
      <c r="P988" s="3" t="e">
        <v>#NAME?</v>
      </c>
      <c r="Q988" s="3"/>
      <c r="R988" s="3"/>
    </row>
    <row r="989" customFormat="false" ht="15.75" hidden="false" customHeight="false" outlineLevel="0" collapsed="false">
      <c r="L989" s="3" t="e">
        <v>#NAME?</v>
      </c>
      <c r="M989" s="3" t="e">
        <v>#NAME?</v>
      </c>
      <c r="N989" s="1" t="e">
        <v>#NAME?</v>
      </c>
      <c r="O989" s="3"/>
      <c r="P989" s="3" t="e">
        <v>#NAME?</v>
      </c>
      <c r="Q989" s="3"/>
      <c r="R989" s="3"/>
    </row>
    <row r="990" customFormat="false" ht="15.75" hidden="false" customHeight="false" outlineLevel="0" collapsed="false">
      <c r="L990" s="3" t="e">
        <v>#NAME?</v>
      </c>
      <c r="M990" s="3" t="e">
        <v>#NAME?</v>
      </c>
      <c r="N990" s="1" t="e">
        <v>#NAME?</v>
      </c>
      <c r="O990" s="3"/>
      <c r="P990" s="3" t="e">
        <v>#NAME?</v>
      </c>
      <c r="Q990" s="3"/>
      <c r="R990" s="3"/>
    </row>
    <row r="991" customFormat="false" ht="15.75" hidden="false" customHeight="false" outlineLevel="0" collapsed="false">
      <c r="L991" s="3" t="e">
        <v>#NAME?</v>
      </c>
      <c r="M991" s="3" t="e">
        <v>#NAME?</v>
      </c>
      <c r="N991" s="1" t="e">
        <v>#NAME?</v>
      </c>
      <c r="O991" s="3"/>
      <c r="P991" s="3" t="e">
        <v>#NAME?</v>
      </c>
      <c r="Q991" s="3"/>
      <c r="R991" s="3"/>
    </row>
    <row r="992" customFormat="false" ht="15.75" hidden="false" customHeight="false" outlineLevel="0" collapsed="false">
      <c r="L992" s="3" t="e">
        <v>#NAME?</v>
      </c>
      <c r="M992" s="3" t="e">
        <v>#NAME?</v>
      </c>
      <c r="N992" s="1" t="e">
        <v>#NAME?</v>
      </c>
      <c r="O992" s="3"/>
      <c r="P992" s="3" t="e">
        <v>#NAME?</v>
      </c>
      <c r="Q992" s="3"/>
      <c r="R992" s="3"/>
    </row>
    <row r="993" customFormat="false" ht="15.75" hidden="false" customHeight="false" outlineLevel="0" collapsed="false">
      <c r="L993" s="3" t="e">
        <v>#NAME?</v>
      </c>
      <c r="M993" s="3" t="e">
        <v>#NAME?</v>
      </c>
      <c r="N993" s="1" t="e">
        <v>#NAME?</v>
      </c>
      <c r="O993" s="3"/>
      <c r="P993" s="3" t="e">
        <v>#NAME?</v>
      </c>
      <c r="Q993" s="3"/>
      <c r="R993" s="3"/>
    </row>
    <row r="994" customFormat="false" ht="15.75" hidden="false" customHeight="false" outlineLevel="0" collapsed="false">
      <c r="L994" s="3" t="e">
        <v>#NAME?</v>
      </c>
      <c r="M994" s="3" t="e">
        <v>#NAME?</v>
      </c>
      <c r="N994" s="1" t="e">
        <v>#NAME?</v>
      </c>
      <c r="O994" s="3"/>
      <c r="P994" s="3" t="e">
        <v>#NAME?</v>
      </c>
      <c r="Q994" s="3"/>
      <c r="R994" s="3"/>
    </row>
    <row r="995" customFormat="false" ht="15.75" hidden="false" customHeight="false" outlineLevel="0" collapsed="false">
      <c r="L995" s="3" t="e">
        <v>#NAME?</v>
      </c>
      <c r="M995" s="3" t="e">
        <v>#NAME?</v>
      </c>
      <c r="N995" s="1" t="e">
        <v>#NAME?</v>
      </c>
      <c r="O995" s="3"/>
      <c r="P995" s="3" t="e">
        <v>#NAME?</v>
      </c>
      <c r="Q995" s="3"/>
      <c r="R995" s="3"/>
    </row>
    <row r="996" customFormat="false" ht="15.75" hidden="false" customHeight="false" outlineLevel="0" collapsed="false">
      <c r="L996" s="3" t="e">
        <v>#NAME?</v>
      </c>
      <c r="M996" s="3" t="e">
        <v>#NAME?</v>
      </c>
      <c r="N996" s="1" t="e">
        <v>#NAME?</v>
      </c>
      <c r="O996" s="3"/>
      <c r="P996" s="3" t="e">
        <v>#NAME?</v>
      </c>
      <c r="Q996" s="3"/>
      <c r="R996" s="3"/>
    </row>
    <row r="997" customFormat="false" ht="15.75" hidden="false" customHeight="false" outlineLevel="0" collapsed="false">
      <c r="L997" s="3" t="e">
        <v>#NAME?</v>
      </c>
      <c r="M997" s="3" t="e">
        <v>#NAME?</v>
      </c>
      <c r="N997" s="1" t="e">
        <v>#NAME?</v>
      </c>
      <c r="O997" s="3"/>
      <c r="P997" s="3" t="e">
        <v>#NAME?</v>
      </c>
      <c r="Q997" s="3"/>
      <c r="R997" s="3"/>
    </row>
    <row r="998" customFormat="false" ht="15.75" hidden="false" customHeight="false" outlineLevel="0" collapsed="false">
      <c r="L998" s="3" t="e">
        <v>#NAME?</v>
      </c>
      <c r="M998" s="3" t="e">
        <v>#NAME?</v>
      </c>
      <c r="N998" s="1" t="e">
        <v>#NAME?</v>
      </c>
      <c r="O998" s="3"/>
      <c r="P998" s="3" t="e">
        <v>#NAME?</v>
      </c>
      <c r="Q998" s="3"/>
      <c r="R998" s="3"/>
    </row>
    <row r="999" customFormat="false" ht="15.75" hidden="false" customHeight="false" outlineLevel="0" collapsed="false">
      <c r="L999" s="3" t="e">
        <v>#NAME?</v>
      </c>
      <c r="M999" s="3" t="e">
        <v>#NAME?</v>
      </c>
      <c r="N999" s="1" t="e">
        <v>#NAME?</v>
      </c>
      <c r="O999" s="3"/>
      <c r="P999" s="3" t="e">
        <v>#NAME?</v>
      </c>
      <c r="Q999" s="3"/>
      <c r="R999" s="3"/>
    </row>
    <row r="1000" customFormat="false" ht="15.75" hidden="false" customHeight="false" outlineLevel="0" collapsed="false">
      <c r="L1000" s="3" t="e">
        <v>#NAME?</v>
      </c>
      <c r="M1000" s="3" t="e">
        <v>#NAME?</v>
      </c>
      <c r="N1000" s="1" t="e">
        <v>#NAME?</v>
      </c>
      <c r="O1000" s="3"/>
      <c r="P1000" s="3" t="e">
        <v>#NAME?</v>
      </c>
      <c r="Q1000" s="3"/>
      <c r="R1000" s="3"/>
    </row>
    <row r="1001" customFormat="false" ht="15.75" hidden="false" customHeight="false" outlineLevel="0" collapsed="false">
      <c r="L1001" s="3" t="e">
        <v>#NAME?</v>
      </c>
      <c r="M1001" s="3" t="e">
        <v>#NAME?</v>
      </c>
      <c r="N1001" s="1" t="e">
        <v>#NAME?</v>
      </c>
      <c r="O1001" s="3"/>
      <c r="P1001" s="3" t="e">
        <v>#NAME?</v>
      </c>
      <c r="Q1001" s="3"/>
      <c r="R1001" s="3"/>
    </row>
  </sheetData>
  <mergeCells count="5">
    <mergeCell ref="A1:E1"/>
    <mergeCell ref="G1:J1"/>
    <mergeCell ref="L1:Q1"/>
    <mergeCell ref="A2:B2"/>
    <mergeCell ref="D2:E2"/>
  </mergeCells>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Z82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 activePane="bottomRight" state="frozen"/>
      <selection pane="topLeft" activeCell="A1" activeCellId="0" sqref="A1"/>
      <selection pane="topRight" activeCell="C1" activeCellId="0" sqref="C1"/>
      <selection pane="bottomLeft" activeCell="A2" activeCellId="0" sqref="A2"/>
      <selection pane="bottomRight" activeCell="C2" activeCellId="0" sqref="C2"/>
    </sheetView>
  </sheetViews>
  <sheetFormatPr defaultColWidth="12.640625" defaultRowHeight="15.75" zeroHeight="false" outlineLevelRow="0" outlineLevelCol="0"/>
  <cols>
    <col collapsed="false" customWidth="true" hidden="false" outlineLevel="0" max="1" min="1" style="0" width="13.5"/>
    <col collapsed="false" customWidth="true" hidden="false" outlineLevel="0" max="2" min="2" style="0" width="20.76"/>
  </cols>
  <sheetData>
    <row r="1" customFormat="false" ht="15.75" hidden="false" customHeight="false" outlineLevel="0" collapsed="false">
      <c r="A1" s="290" t="s">
        <v>8</v>
      </c>
      <c r="B1" s="290" t="s">
        <v>262</v>
      </c>
      <c r="C1" s="290" t="s">
        <v>643</v>
      </c>
      <c r="D1" s="290" t="s">
        <v>644</v>
      </c>
      <c r="E1" s="290" t="s">
        <v>645</v>
      </c>
      <c r="F1" s="290" t="s">
        <v>646</v>
      </c>
      <c r="G1" s="290" t="s">
        <v>647</v>
      </c>
      <c r="H1" s="290" t="s">
        <v>648</v>
      </c>
      <c r="I1" s="290" t="s">
        <v>608</v>
      </c>
      <c r="J1" s="290" t="s">
        <v>649</v>
      </c>
      <c r="K1" s="290" t="s">
        <v>650</v>
      </c>
      <c r="L1" s="290" t="s">
        <v>651</v>
      </c>
      <c r="M1" s="290" t="s">
        <v>652</v>
      </c>
      <c r="N1" s="290" t="s">
        <v>653</v>
      </c>
      <c r="O1" s="290" t="s">
        <v>654</v>
      </c>
      <c r="P1" s="290" t="s">
        <v>655</v>
      </c>
      <c r="Q1" s="290" t="s">
        <v>656</v>
      </c>
      <c r="R1" s="290" t="s">
        <v>657</v>
      </c>
      <c r="S1" s="290" t="s">
        <v>168</v>
      </c>
      <c r="T1" s="290" t="s">
        <v>658</v>
      </c>
      <c r="U1" s="290" t="s">
        <v>659</v>
      </c>
      <c r="V1" s="290" t="s">
        <v>175</v>
      </c>
      <c r="W1" s="290" t="s">
        <v>660</v>
      </c>
      <c r="X1" s="290" t="s">
        <v>661</v>
      </c>
      <c r="Y1" s="290" t="s">
        <v>662</v>
      </c>
      <c r="Z1" s="290" t="s">
        <v>663</v>
      </c>
      <c r="AA1" s="290" t="s">
        <v>664</v>
      </c>
      <c r="AB1" s="290" t="s">
        <v>665</v>
      </c>
      <c r="AC1" s="290" t="s">
        <v>666</v>
      </c>
      <c r="AD1" s="290" t="s">
        <v>667</v>
      </c>
      <c r="AE1" s="290" t="s">
        <v>668</v>
      </c>
      <c r="AF1" s="290" t="s">
        <v>669</v>
      </c>
      <c r="AG1" s="290" t="s">
        <v>670</v>
      </c>
      <c r="AH1" s="290" t="s">
        <v>671</v>
      </c>
      <c r="AI1" s="290" t="s">
        <v>672</v>
      </c>
      <c r="AJ1" s="290" t="s">
        <v>673</v>
      </c>
      <c r="AK1" s="290" t="s">
        <v>674</v>
      </c>
      <c r="AL1" s="290" t="s">
        <v>675</v>
      </c>
      <c r="AM1" s="290" t="s">
        <v>676</v>
      </c>
      <c r="AN1" s="290" t="s">
        <v>677</v>
      </c>
      <c r="AO1" s="290" t="s">
        <v>678</v>
      </c>
      <c r="AP1" s="290" t="s">
        <v>679</v>
      </c>
      <c r="AQ1" s="290" t="s">
        <v>680</v>
      </c>
      <c r="AR1" s="290" t="s">
        <v>681</v>
      </c>
      <c r="AS1" s="290" t="s">
        <v>682</v>
      </c>
      <c r="AT1" s="290" t="s">
        <v>683</v>
      </c>
      <c r="AU1" s="290" t="s">
        <v>684</v>
      </c>
      <c r="AV1" s="290" t="s">
        <v>685</v>
      </c>
      <c r="AW1" s="290" t="s">
        <v>686</v>
      </c>
      <c r="AX1" s="290" t="s">
        <v>687</v>
      </c>
      <c r="AY1" s="290" t="s">
        <v>688</v>
      </c>
      <c r="AZ1" s="290" t="s">
        <v>689</v>
      </c>
      <c r="BA1" s="290" t="s">
        <v>690</v>
      </c>
      <c r="BB1" s="290" t="s">
        <v>691</v>
      </c>
      <c r="BC1" s="290" t="s">
        <v>692</v>
      </c>
      <c r="BD1" s="290" t="s">
        <v>693</v>
      </c>
      <c r="BE1" s="290" t="s">
        <v>694</v>
      </c>
      <c r="BF1" s="290" t="s">
        <v>695</v>
      </c>
      <c r="BG1" s="290" t="s">
        <v>696</v>
      </c>
      <c r="BH1" s="290" t="s">
        <v>697</v>
      </c>
      <c r="BI1" s="290" t="s">
        <v>698</v>
      </c>
      <c r="BJ1" s="290" t="s">
        <v>699</v>
      </c>
      <c r="BK1" s="290" t="s">
        <v>700</v>
      </c>
      <c r="BL1" s="290" t="s">
        <v>701</v>
      </c>
      <c r="BM1" s="290" t="s">
        <v>702</v>
      </c>
      <c r="BN1" s="290" t="s">
        <v>703</v>
      </c>
      <c r="BO1" s="290" t="s">
        <v>704</v>
      </c>
      <c r="BP1" s="290" t="s">
        <v>705</v>
      </c>
      <c r="BQ1" s="290" t="s">
        <v>706</v>
      </c>
      <c r="BR1" s="290" t="s">
        <v>707</v>
      </c>
      <c r="BS1" s="290" t="s">
        <v>708</v>
      </c>
      <c r="BT1" s="290" t="s">
        <v>709</v>
      </c>
      <c r="BU1" s="290" t="s">
        <v>710</v>
      </c>
      <c r="BV1" s="290" t="s">
        <v>617</v>
      </c>
      <c r="BW1" s="290" t="s">
        <v>711</v>
      </c>
      <c r="BX1" s="255" t="s">
        <v>712</v>
      </c>
      <c r="BY1" s="255" t="s">
        <v>713</v>
      </c>
      <c r="BZ1" s="255" t="s">
        <v>714</v>
      </c>
      <c r="CA1" s="255" t="s">
        <v>715</v>
      </c>
      <c r="CB1" s="255" t="s">
        <v>716</v>
      </c>
      <c r="CC1" s="255" t="s">
        <v>717</v>
      </c>
      <c r="CD1" s="255" t="s">
        <v>718</v>
      </c>
      <c r="CE1" s="255" t="s">
        <v>719</v>
      </c>
      <c r="CF1" s="255" t="s">
        <v>720</v>
      </c>
      <c r="CG1" s="255" t="s">
        <v>721</v>
      </c>
      <c r="CH1" s="255" t="s">
        <v>722</v>
      </c>
      <c r="CI1" s="255" t="s">
        <v>723</v>
      </c>
      <c r="CJ1" s="255" t="s">
        <v>724</v>
      </c>
      <c r="CK1" s="255" t="s">
        <v>725</v>
      </c>
      <c r="CL1" s="255" t="s">
        <v>726</v>
      </c>
      <c r="CM1" s="255" t="s">
        <v>727</v>
      </c>
      <c r="CN1" s="255" t="s">
        <v>728</v>
      </c>
      <c r="CO1" s="255" t="s">
        <v>729</v>
      </c>
      <c r="CP1" s="255" t="s">
        <v>730</v>
      </c>
      <c r="CQ1" s="255" t="s">
        <v>731</v>
      </c>
      <c r="CR1" s="255" t="s">
        <v>732</v>
      </c>
      <c r="CS1" s="255" t="s">
        <v>733</v>
      </c>
      <c r="CT1" s="255" t="s">
        <v>734</v>
      </c>
      <c r="CU1" s="255" t="s">
        <v>735</v>
      </c>
      <c r="CV1" s="255" t="s">
        <v>736</v>
      </c>
      <c r="CW1" s="255" t="s">
        <v>737</v>
      </c>
      <c r="CX1" s="255" t="s">
        <v>738</v>
      </c>
      <c r="CY1" s="255" t="s">
        <v>739</v>
      </c>
      <c r="CZ1" s="255" t="s">
        <v>740</v>
      </c>
    </row>
    <row r="2" customFormat="false" ht="15.75" hidden="false" customHeight="false" outlineLevel="0" collapsed="false">
      <c r="A2" s="290" t="s">
        <v>12</v>
      </c>
      <c r="B2" s="290" t="s">
        <v>12</v>
      </c>
      <c r="C2" s="290" t="s">
        <v>182</v>
      </c>
      <c r="D2" s="290" t="s">
        <v>182</v>
      </c>
      <c r="E2" s="290" t="s">
        <v>182</v>
      </c>
      <c r="F2" s="315" t="b">
        <f aca="false">TRUE()</f>
        <v>1</v>
      </c>
      <c r="G2" s="290" t="s">
        <v>493</v>
      </c>
      <c r="H2" s="290" t="s">
        <v>12</v>
      </c>
      <c r="I2" s="290" t="n">
        <v>100</v>
      </c>
      <c r="J2" s="3"/>
      <c r="K2" s="290" t="s">
        <v>741</v>
      </c>
      <c r="L2" s="290" t="n">
        <v>10</v>
      </c>
      <c r="M2" s="290" t="s">
        <v>742</v>
      </c>
      <c r="N2" s="290" t="s">
        <v>743</v>
      </c>
      <c r="O2" s="290" t="s">
        <v>744</v>
      </c>
      <c r="P2" s="290" t="s">
        <v>745</v>
      </c>
      <c r="Q2" s="290" t="s">
        <v>746</v>
      </c>
      <c r="R2" s="315" t="b">
        <f aca="false">FALSE()</f>
        <v>0</v>
      </c>
      <c r="S2" s="290" t="n">
        <v>120</v>
      </c>
      <c r="T2" s="290" t="n">
        <v>130</v>
      </c>
      <c r="U2" s="290" t="n">
        <v>130</v>
      </c>
      <c r="V2" s="290" t="n">
        <v>100</v>
      </c>
      <c r="W2" s="290" t="n">
        <v>100</v>
      </c>
      <c r="X2" s="290" t="n">
        <v>100</v>
      </c>
      <c r="Y2" s="290" t="n">
        <v>1</v>
      </c>
      <c r="Z2" s="290" t="n">
        <v>1</v>
      </c>
      <c r="AA2" s="290" t="n">
        <v>1</v>
      </c>
      <c r="AB2" s="290" t="n">
        <v>4960</v>
      </c>
      <c r="AC2" s="290" t="s">
        <v>747</v>
      </c>
      <c r="AD2" s="290" t="s">
        <v>182</v>
      </c>
      <c r="AE2" s="290" t="n">
        <v>80</v>
      </c>
      <c r="AF2" s="290" t="n">
        <v>160</v>
      </c>
      <c r="AG2" s="290" t="n">
        <v>800</v>
      </c>
      <c r="AH2" s="290" t="n">
        <v>1000</v>
      </c>
      <c r="AI2" s="290" t="n">
        <v>480</v>
      </c>
      <c r="AJ2" s="315" t="b">
        <f aca="false">FALSE()</f>
        <v>0</v>
      </c>
      <c r="AK2" s="315" t="b">
        <f aca="false">FALSE()</f>
        <v>0</v>
      </c>
      <c r="AL2" s="290" t="s">
        <v>748</v>
      </c>
      <c r="AM2" s="315" t="b">
        <f aca="false">FALSE()</f>
        <v>0</v>
      </c>
      <c r="AN2" s="315" t="b">
        <f aca="false">FALSE()</f>
        <v>0</v>
      </c>
      <c r="AO2" s="290" t="n">
        <v>400</v>
      </c>
      <c r="AP2" s="290" t="n">
        <v>1</v>
      </c>
      <c r="AQ2" s="290" t="n">
        <v>6</v>
      </c>
      <c r="AR2" s="290" t="n">
        <v>25</v>
      </c>
      <c r="AS2" s="290" t="n">
        <v>90</v>
      </c>
      <c r="AT2" s="290" t="n">
        <v>1</v>
      </c>
      <c r="AU2" s="315" t="b">
        <f aca="false">FALSE()</f>
        <v>0</v>
      </c>
      <c r="AV2" s="315" t="b">
        <f aca="false">FALSE()</f>
        <v>0</v>
      </c>
      <c r="AW2" s="290" t="n">
        <v>5</v>
      </c>
      <c r="AX2" s="315" t="b">
        <f aca="false">TRUE()</f>
        <v>1</v>
      </c>
      <c r="AY2" s="315" t="b">
        <f aca="false">TRUE()</f>
        <v>1</v>
      </c>
      <c r="AZ2" s="290" t="n">
        <v>100</v>
      </c>
      <c r="BA2" s="290" t="n">
        <v>50</v>
      </c>
      <c r="BB2" s="290" t="n">
        <v>570</v>
      </c>
      <c r="BC2" s="290" t="n">
        <v>0</v>
      </c>
      <c r="BD2" s="290" t="n">
        <v>0</v>
      </c>
      <c r="BE2" s="290" t="n">
        <v>0</v>
      </c>
      <c r="BF2" s="290" t="n">
        <v>0</v>
      </c>
      <c r="BG2" s="290" t="n">
        <v>4</v>
      </c>
      <c r="BH2" s="290" t="n">
        <v>0</v>
      </c>
      <c r="BI2" s="290" t="n">
        <v>0</v>
      </c>
      <c r="BJ2" s="290" t="n">
        <v>3</v>
      </c>
      <c r="BK2" s="290" t="n">
        <v>0</v>
      </c>
      <c r="BL2" s="290" t="n">
        <v>0</v>
      </c>
      <c r="BM2" s="290" t="n">
        <v>0</v>
      </c>
      <c r="BN2" s="290" t="n">
        <v>2</v>
      </c>
      <c r="BO2" s="290" t="n">
        <v>0</v>
      </c>
      <c r="BP2" s="290" t="s">
        <v>749</v>
      </c>
      <c r="BQ2" s="290" t="s">
        <v>182</v>
      </c>
      <c r="BR2" s="290" t="s">
        <v>182</v>
      </c>
      <c r="BS2" s="290" t="s">
        <v>182</v>
      </c>
      <c r="BT2" s="290" t="n">
        <v>1</v>
      </c>
      <c r="BU2" s="316" t="b">
        <f aca="false">FALSE()</f>
        <v>0</v>
      </c>
      <c r="BV2" s="290"/>
      <c r="BW2" s="3"/>
      <c r="BX2" s="3"/>
      <c r="BY2" s="3"/>
      <c r="BZ2" s="3"/>
      <c r="CA2" s="3"/>
      <c r="CB2" s="3"/>
      <c r="CC2" s="3"/>
      <c r="CD2" s="3"/>
      <c r="CE2" s="3"/>
      <c r="CF2" s="3"/>
      <c r="CG2" s="3" t="n">
        <f aca="false">IF(BZ2="Saddle",TRUE(),)</f>
        <v>0</v>
      </c>
      <c r="CH2" s="3"/>
      <c r="CI2" s="3" t="s">
        <v>750</v>
      </c>
      <c r="CJ2" s="3" t="s">
        <v>751</v>
      </c>
      <c r="CK2" s="3" t="s">
        <v>751</v>
      </c>
      <c r="CL2" s="3" t="s">
        <v>751</v>
      </c>
      <c r="CM2" s="3" t="s">
        <v>751</v>
      </c>
      <c r="CN2" s="3" t="s">
        <v>751</v>
      </c>
      <c r="CO2" s="3"/>
      <c r="CP2" s="3"/>
      <c r="CQ2" s="3"/>
      <c r="CR2" s="3"/>
      <c r="CS2" s="3"/>
      <c r="CT2" s="3"/>
      <c r="CU2" s="3"/>
      <c r="CV2" s="3" t="s">
        <v>752</v>
      </c>
      <c r="CW2" s="3" t="s">
        <v>753</v>
      </c>
      <c r="CX2" s="3" t="s">
        <v>754</v>
      </c>
      <c r="CY2" s="3" t="s">
        <v>755</v>
      </c>
      <c r="CZ2" s="3" t="s">
        <v>756</v>
      </c>
    </row>
    <row r="3" customFormat="false" ht="15.75" hidden="false" customHeight="false" outlineLevel="0" collapsed="false">
      <c r="A3" s="290" t="s">
        <v>77</v>
      </c>
      <c r="B3" s="290" t="s">
        <v>314</v>
      </c>
      <c r="C3" s="290" t="s">
        <v>182</v>
      </c>
      <c r="D3" s="290" t="s">
        <v>182</v>
      </c>
      <c r="E3" s="290" t="s">
        <v>182</v>
      </c>
      <c r="F3" s="315" t="b">
        <f aca="false">TRUE()</f>
        <v>1</v>
      </c>
      <c r="G3" s="290" t="s">
        <v>422</v>
      </c>
      <c r="H3" s="290" t="s">
        <v>314</v>
      </c>
      <c r="I3" s="290" t="n">
        <v>40</v>
      </c>
      <c r="J3" s="3"/>
      <c r="K3" s="290" t="s">
        <v>741</v>
      </c>
      <c r="L3" s="290" t="n">
        <v>4</v>
      </c>
      <c r="M3" s="290" t="s">
        <v>757</v>
      </c>
      <c r="N3" s="290" t="s">
        <v>758</v>
      </c>
      <c r="O3" s="290" t="s">
        <v>744</v>
      </c>
      <c r="P3" s="290" t="s">
        <v>745</v>
      </c>
      <c r="Q3" s="290" t="s">
        <v>746</v>
      </c>
      <c r="R3" s="315" t="b">
        <f aca="false">FALSE()</f>
        <v>0</v>
      </c>
      <c r="S3" s="290" t="n">
        <v>95</v>
      </c>
      <c r="T3" s="290" t="n">
        <v>150</v>
      </c>
      <c r="U3" s="290" t="n">
        <v>100</v>
      </c>
      <c r="V3" s="290" t="n">
        <v>85</v>
      </c>
      <c r="W3" s="290" t="n">
        <v>100</v>
      </c>
      <c r="X3" s="290" t="n">
        <v>100</v>
      </c>
      <c r="Y3" s="290" t="n">
        <v>1</v>
      </c>
      <c r="Z3" s="290" t="n">
        <v>1</v>
      </c>
      <c r="AA3" s="290" t="n">
        <v>1</v>
      </c>
      <c r="AB3" s="290" t="n">
        <v>4780</v>
      </c>
      <c r="AC3" s="290" t="s">
        <v>747</v>
      </c>
      <c r="AD3" s="290" t="s">
        <v>182</v>
      </c>
      <c r="AE3" s="290" t="n">
        <v>80</v>
      </c>
      <c r="AF3" s="290" t="n">
        <v>160</v>
      </c>
      <c r="AG3" s="290" t="n">
        <v>700</v>
      </c>
      <c r="AH3" s="290" t="n">
        <v>960</v>
      </c>
      <c r="AI3" s="290" t="n">
        <v>320</v>
      </c>
      <c r="AJ3" s="315" t="b">
        <f aca="false">FALSE()</f>
        <v>0</v>
      </c>
      <c r="AK3" s="315" t="b">
        <f aca="false">FALSE()</f>
        <v>0</v>
      </c>
      <c r="AL3" s="290" t="s">
        <v>759</v>
      </c>
      <c r="AM3" s="315" t="b">
        <f aca="false">FALSE()</f>
        <v>0</v>
      </c>
      <c r="AN3" s="315" t="b">
        <f aca="false">FALSE()</f>
        <v>0</v>
      </c>
      <c r="AO3" s="290" t="n">
        <v>300</v>
      </c>
      <c r="AP3" s="290" t="n">
        <v>1</v>
      </c>
      <c r="AQ3" s="290" t="n">
        <v>4</v>
      </c>
      <c r="AR3" s="290" t="n">
        <v>25</v>
      </c>
      <c r="AS3" s="290" t="n">
        <v>90</v>
      </c>
      <c r="AT3" s="290" t="n">
        <v>1</v>
      </c>
      <c r="AU3" s="315" t="b">
        <f aca="false">FALSE()</f>
        <v>0</v>
      </c>
      <c r="AV3" s="315" t="b">
        <f aca="false">TRUE()</f>
        <v>1</v>
      </c>
      <c r="AW3" s="290" t="n">
        <v>4</v>
      </c>
      <c r="AX3" s="315" t="b">
        <f aca="false">TRUE()</f>
        <v>1</v>
      </c>
      <c r="AY3" s="315" t="b">
        <f aca="false">TRUE()</f>
        <v>1</v>
      </c>
      <c r="AZ3" s="290" t="n">
        <v>100</v>
      </c>
      <c r="BA3" s="290" t="n">
        <v>50</v>
      </c>
      <c r="BB3" s="290" t="n">
        <v>590</v>
      </c>
      <c r="BC3" s="290" t="n">
        <v>1</v>
      </c>
      <c r="BD3" s="290" t="n">
        <v>0</v>
      </c>
      <c r="BE3" s="290" t="n">
        <v>0</v>
      </c>
      <c r="BF3" s="290" t="n">
        <v>0</v>
      </c>
      <c r="BG3" s="290" t="n">
        <v>2</v>
      </c>
      <c r="BH3" s="290" t="n">
        <v>0</v>
      </c>
      <c r="BI3" s="290" t="n">
        <v>0</v>
      </c>
      <c r="BJ3" s="290" t="n">
        <v>1</v>
      </c>
      <c r="BK3" s="290" t="n">
        <v>0</v>
      </c>
      <c r="BL3" s="290" t="n">
        <v>0</v>
      </c>
      <c r="BM3" s="290" t="n">
        <v>0</v>
      </c>
      <c r="BN3" s="290" t="n">
        <v>2</v>
      </c>
      <c r="BO3" s="290" t="n">
        <v>0</v>
      </c>
      <c r="BP3" s="290" t="s">
        <v>182</v>
      </c>
      <c r="BQ3" s="290" t="s">
        <v>182</v>
      </c>
      <c r="BR3" s="290" t="s">
        <v>182</v>
      </c>
      <c r="BS3" s="290" t="s">
        <v>182</v>
      </c>
      <c r="BT3" s="290" t="n">
        <v>2</v>
      </c>
      <c r="BU3" s="316" t="b">
        <f aca="false">FALSE()</f>
        <v>0</v>
      </c>
      <c r="BV3" s="290"/>
      <c r="BW3" s="3"/>
      <c r="BX3" s="3"/>
      <c r="BY3" s="3"/>
      <c r="BZ3" s="3"/>
      <c r="CA3" s="3" t="s">
        <v>760</v>
      </c>
      <c r="CB3" s="85" t="n">
        <v>1.1</v>
      </c>
      <c r="CC3" s="85" t="n">
        <v>1.3</v>
      </c>
      <c r="CD3" s="85" t="n">
        <v>1.6</v>
      </c>
      <c r="CE3" s="85" t="n">
        <v>2</v>
      </c>
      <c r="CF3" s="85" t="n">
        <v>2.5</v>
      </c>
      <c r="CG3" s="3" t="n">
        <f aca="false">IF(BZ3="Saddle",TRUE(),)</f>
        <v>0</v>
      </c>
      <c r="CH3" s="3"/>
      <c r="CI3" s="3"/>
      <c r="CJ3" s="3"/>
      <c r="CK3" s="3"/>
      <c r="CL3" s="3"/>
      <c r="CM3" s="3"/>
      <c r="CN3" s="3"/>
      <c r="CO3" s="3"/>
      <c r="CP3" s="3"/>
      <c r="CQ3" s="3"/>
      <c r="CR3" s="3"/>
      <c r="CS3" s="3"/>
      <c r="CT3" s="3"/>
      <c r="CU3" s="3"/>
      <c r="CV3" s="3"/>
      <c r="CW3" s="3"/>
      <c r="CX3" s="3"/>
      <c r="CY3" s="3"/>
      <c r="CZ3" s="3"/>
    </row>
    <row r="4" customFormat="false" ht="15.75" hidden="false" customHeight="false" outlineLevel="0" collapsed="false">
      <c r="A4" s="290" t="s">
        <v>78</v>
      </c>
      <c r="B4" s="290" t="s">
        <v>315</v>
      </c>
      <c r="C4" s="290" t="s">
        <v>182</v>
      </c>
      <c r="D4" s="290" t="s">
        <v>182</v>
      </c>
      <c r="E4" s="290" t="s">
        <v>182</v>
      </c>
      <c r="F4" s="315" t="b">
        <f aca="false">TRUE()</f>
        <v>1</v>
      </c>
      <c r="G4" s="290" t="s">
        <v>512</v>
      </c>
      <c r="H4" s="290" t="s">
        <v>315</v>
      </c>
      <c r="I4" s="290" t="n">
        <v>40</v>
      </c>
      <c r="J4" s="290" t="s">
        <v>761</v>
      </c>
      <c r="K4" s="290" t="s">
        <v>741</v>
      </c>
      <c r="L4" s="290" t="n">
        <v>5</v>
      </c>
      <c r="M4" s="290" t="s">
        <v>758</v>
      </c>
      <c r="N4" s="290" t="s">
        <v>743</v>
      </c>
      <c r="O4" s="290" t="s">
        <v>744</v>
      </c>
      <c r="P4" s="290" t="s">
        <v>745</v>
      </c>
      <c r="Q4" s="290" t="s">
        <v>746</v>
      </c>
      <c r="R4" s="315" t="b">
        <f aca="false">FALSE()</f>
        <v>0</v>
      </c>
      <c r="S4" s="290" t="n">
        <v>95</v>
      </c>
      <c r="T4" s="290" t="n">
        <v>150</v>
      </c>
      <c r="U4" s="290" t="n">
        <v>105</v>
      </c>
      <c r="V4" s="290" t="n">
        <v>85</v>
      </c>
      <c r="W4" s="290" t="n">
        <v>100</v>
      </c>
      <c r="X4" s="290" t="n">
        <v>100</v>
      </c>
      <c r="Y4" s="290" t="n">
        <v>1</v>
      </c>
      <c r="Z4" s="290" t="n">
        <v>1</v>
      </c>
      <c r="AA4" s="290" t="n">
        <v>1</v>
      </c>
      <c r="AB4" s="290" t="n">
        <v>4870</v>
      </c>
      <c r="AC4" s="290" t="s">
        <v>747</v>
      </c>
      <c r="AD4" s="290" t="s">
        <v>182</v>
      </c>
      <c r="AE4" s="290" t="n">
        <v>80</v>
      </c>
      <c r="AF4" s="290" t="n">
        <v>160</v>
      </c>
      <c r="AG4" s="290" t="n">
        <v>700</v>
      </c>
      <c r="AH4" s="290" t="n">
        <v>960</v>
      </c>
      <c r="AI4" s="290" t="n">
        <v>320</v>
      </c>
      <c r="AJ4" s="315" t="b">
        <f aca="false">FALSE()</f>
        <v>0</v>
      </c>
      <c r="AK4" s="315" t="b">
        <f aca="false">FALSE()</f>
        <v>0</v>
      </c>
      <c r="AL4" s="290" t="s">
        <v>759</v>
      </c>
      <c r="AM4" s="315" t="b">
        <f aca="false">FALSE()</f>
        <v>0</v>
      </c>
      <c r="AN4" s="315" t="b">
        <f aca="false">FALSE()</f>
        <v>0</v>
      </c>
      <c r="AO4" s="290" t="n">
        <v>300</v>
      </c>
      <c r="AP4" s="290" t="n">
        <v>1</v>
      </c>
      <c r="AQ4" s="290" t="n">
        <v>4</v>
      </c>
      <c r="AR4" s="290" t="n">
        <v>25</v>
      </c>
      <c r="AS4" s="290" t="n">
        <v>90</v>
      </c>
      <c r="AT4" s="290" t="n">
        <v>1</v>
      </c>
      <c r="AU4" s="315" t="b">
        <f aca="false">FALSE()</f>
        <v>0</v>
      </c>
      <c r="AV4" s="315" t="b">
        <f aca="false">TRUE()</f>
        <v>1</v>
      </c>
      <c r="AW4" s="290" t="n">
        <v>4</v>
      </c>
      <c r="AX4" s="315" t="b">
        <f aca="false">TRUE()</f>
        <v>1</v>
      </c>
      <c r="AY4" s="315" t="b">
        <f aca="false">TRUE()</f>
        <v>1</v>
      </c>
      <c r="AZ4" s="290" t="n">
        <v>100</v>
      </c>
      <c r="BA4" s="290" t="n">
        <v>50</v>
      </c>
      <c r="BB4" s="290" t="n">
        <v>580</v>
      </c>
      <c r="BC4" s="290" t="n">
        <v>0</v>
      </c>
      <c r="BD4" s="290" t="n">
        <v>0</v>
      </c>
      <c r="BE4" s="290" t="n">
        <v>0</v>
      </c>
      <c r="BF4" s="290" t="n">
        <v>0</v>
      </c>
      <c r="BG4" s="290" t="n">
        <v>2</v>
      </c>
      <c r="BH4" s="290" t="n">
        <v>0</v>
      </c>
      <c r="BI4" s="290" t="n">
        <v>0</v>
      </c>
      <c r="BJ4" s="290" t="n">
        <v>1</v>
      </c>
      <c r="BK4" s="290" t="n">
        <v>0</v>
      </c>
      <c r="BL4" s="290" t="n">
        <v>0</v>
      </c>
      <c r="BM4" s="290" t="n">
        <v>0</v>
      </c>
      <c r="BN4" s="290" t="n">
        <v>2</v>
      </c>
      <c r="BO4" s="290" t="n">
        <v>0</v>
      </c>
      <c r="BP4" s="290" t="s">
        <v>182</v>
      </c>
      <c r="BQ4" s="290" t="s">
        <v>182</v>
      </c>
      <c r="BR4" s="290" t="s">
        <v>182</v>
      </c>
      <c r="BS4" s="290" t="s">
        <v>182</v>
      </c>
      <c r="BT4" s="290" t="n">
        <v>3</v>
      </c>
      <c r="BU4" s="316" t="b">
        <f aca="false">TRUE()</f>
        <v>1</v>
      </c>
      <c r="BV4" s="290"/>
      <c r="BW4" s="290" t="s">
        <v>761</v>
      </c>
      <c r="BX4" s="3"/>
      <c r="BY4" s="3"/>
      <c r="BZ4" s="3"/>
      <c r="CA4" s="3" t="s">
        <v>760</v>
      </c>
      <c r="CB4" s="85" t="n">
        <v>1.1</v>
      </c>
      <c r="CC4" s="85" t="n">
        <v>1.3</v>
      </c>
      <c r="CD4" s="85" t="n">
        <v>1.6</v>
      </c>
      <c r="CE4" s="85" t="n">
        <v>2</v>
      </c>
      <c r="CF4" s="85" t="n">
        <v>2.5</v>
      </c>
      <c r="CG4" s="3" t="n">
        <f aca="false">IF(BZ4="Saddle",TRUE(),)</f>
        <v>0</v>
      </c>
      <c r="CH4" s="3"/>
      <c r="CI4" s="3"/>
      <c r="CJ4" s="3"/>
      <c r="CK4" s="3"/>
      <c r="CL4" s="3"/>
      <c r="CM4" s="3"/>
      <c r="CN4" s="3"/>
      <c r="CO4" s="3"/>
      <c r="CP4" s="3"/>
      <c r="CQ4" s="3"/>
      <c r="CR4" s="3"/>
      <c r="CS4" s="3"/>
      <c r="CT4" s="3"/>
      <c r="CU4" s="3"/>
      <c r="CV4" s="3"/>
      <c r="CW4" s="3"/>
      <c r="CX4" s="3"/>
      <c r="CY4" s="3"/>
      <c r="CZ4" s="3"/>
    </row>
    <row r="5" customFormat="false" ht="15.75" hidden="false" customHeight="false" outlineLevel="0" collapsed="false">
      <c r="A5" s="290" t="s">
        <v>102</v>
      </c>
      <c r="B5" s="290" t="s">
        <v>293</v>
      </c>
      <c r="C5" s="290" t="s">
        <v>182</v>
      </c>
      <c r="D5" s="290" t="s">
        <v>182</v>
      </c>
      <c r="E5" s="290" t="s">
        <v>182</v>
      </c>
      <c r="F5" s="315" t="b">
        <f aca="false">TRUE()</f>
        <v>1</v>
      </c>
      <c r="G5" s="290" t="s">
        <v>425</v>
      </c>
      <c r="H5" s="290" t="s">
        <v>293</v>
      </c>
      <c r="I5" s="290" t="n">
        <v>24</v>
      </c>
      <c r="J5" s="3"/>
      <c r="K5" s="290" t="s">
        <v>762</v>
      </c>
      <c r="L5" s="290" t="n">
        <v>1</v>
      </c>
      <c r="M5" s="290" t="s">
        <v>758</v>
      </c>
      <c r="N5" s="290" t="s">
        <v>743</v>
      </c>
      <c r="O5" s="290" t="s">
        <v>763</v>
      </c>
      <c r="P5" s="290" t="s">
        <v>745</v>
      </c>
      <c r="Q5" s="290" t="s">
        <v>746</v>
      </c>
      <c r="R5" s="315" t="b">
        <f aca="false">FALSE()</f>
        <v>0</v>
      </c>
      <c r="S5" s="290" t="n">
        <v>70</v>
      </c>
      <c r="T5" s="290" t="n">
        <v>70</v>
      </c>
      <c r="U5" s="290" t="n">
        <v>60</v>
      </c>
      <c r="V5" s="290" t="n">
        <v>70</v>
      </c>
      <c r="W5" s="290" t="n">
        <v>100</v>
      </c>
      <c r="X5" s="290" t="n">
        <v>100</v>
      </c>
      <c r="Y5" s="290" t="n">
        <v>1</v>
      </c>
      <c r="Z5" s="290" t="n">
        <v>1</v>
      </c>
      <c r="AA5" s="290" t="n">
        <v>1</v>
      </c>
      <c r="AB5" s="290" t="n">
        <v>1000</v>
      </c>
      <c r="AC5" s="290" t="s">
        <v>764</v>
      </c>
      <c r="AD5" s="290" t="s">
        <v>182</v>
      </c>
      <c r="AE5" s="290" t="n">
        <v>52</v>
      </c>
      <c r="AF5" s="290" t="n">
        <v>105</v>
      </c>
      <c r="AG5" s="290" t="n">
        <v>475</v>
      </c>
      <c r="AH5" s="290" t="n">
        <v>550</v>
      </c>
      <c r="AI5" s="290" t="n">
        <v>317</v>
      </c>
      <c r="AJ5" s="315" t="b">
        <f aca="false">FALSE()</f>
        <v>0</v>
      </c>
      <c r="AK5" s="315" t="b">
        <f aca="false">FALSE()</f>
        <v>0</v>
      </c>
      <c r="AL5" s="290" t="s">
        <v>765</v>
      </c>
      <c r="AM5" s="315" t="b">
        <f aca="false">FALSE()</f>
        <v>0</v>
      </c>
      <c r="AN5" s="315" t="b">
        <f aca="false">FALSE()</f>
        <v>0</v>
      </c>
      <c r="AO5" s="290" t="n">
        <v>100</v>
      </c>
      <c r="AP5" s="290" t="n">
        <v>1</v>
      </c>
      <c r="AQ5" s="290" t="n">
        <v>1</v>
      </c>
      <c r="AR5" s="290" t="n">
        <v>25</v>
      </c>
      <c r="AS5" s="290" t="n">
        <v>90</v>
      </c>
      <c r="AT5" s="290" t="n">
        <v>1</v>
      </c>
      <c r="AU5" s="315" t="b">
        <f aca="false">TRUE()</f>
        <v>1</v>
      </c>
      <c r="AV5" s="315" t="b">
        <f aca="false">TRUE()</f>
        <v>1</v>
      </c>
      <c r="AW5" s="290" t="n">
        <v>0</v>
      </c>
      <c r="AX5" s="315" t="b">
        <f aca="false">FALSE()</f>
        <v>0</v>
      </c>
      <c r="AY5" s="315" t="b">
        <f aca="false">TRUE()</f>
        <v>1</v>
      </c>
      <c r="AZ5" s="290" t="n">
        <v>100</v>
      </c>
      <c r="BA5" s="290" t="n">
        <v>50</v>
      </c>
      <c r="BB5" s="290" t="n">
        <v>1480</v>
      </c>
      <c r="BC5" s="290" t="n">
        <v>0</v>
      </c>
      <c r="BD5" s="290" t="n">
        <v>0</v>
      </c>
      <c r="BE5" s="290" t="n">
        <v>0</v>
      </c>
      <c r="BF5" s="290" t="n">
        <v>0</v>
      </c>
      <c r="BG5" s="290" t="n">
        <v>0</v>
      </c>
      <c r="BH5" s="290" t="n">
        <v>0</v>
      </c>
      <c r="BI5" s="290" t="n">
        <v>0</v>
      </c>
      <c r="BJ5" s="290" t="n">
        <v>0</v>
      </c>
      <c r="BK5" s="290" t="n">
        <v>0</v>
      </c>
      <c r="BL5" s="290" t="n">
        <v>0</v>
      </c>
      <c r="BM5" s="290" t="n">
        <v>0</v>
      </c>
      <c r="BN5" s="290" t="n">
        <v>0</v>
      </c>
      <c r="BO5" s="290" t="n">
        <v>1</v>
      </c>
      <c r="BP5" s="290" t="s">
        <v>182</v>
      </c>
      <c r="BQ5" s="290" t="s">
        <v>182</v>
      </c>
      <c r="BR5" s="290" t="s">
        <v>182</v>
      </c>
      <c r="BS5" s="290" t="s">
        <v>182</v>
      </c>
      <c r="BT5" s="290" t="n">
        <v>4</v>
      </c>
      <c r="BU5" s="316" t="b">
        <f aca="false">FALSE()</f>
        <v>0</v>
      </c>
      <c r="BV5" s="290"/>
      <c r="BW5" s="3"/>
      <c r="BX5" s="3"/>
      <c r="BY5" s="3"/>
      <c r="BZ5" s="3"/>
      <c r="CA5" s="3"/>
      <c r="CB5" s="3"/>
      <c r="CC5" s="3"/>
      <c r="CD5" s="3"/>
      <c r="CE5" s="3"/>
      <c r="CF5" s="3"/>
      <c r="CG5" s="3" t="n">
        <f aca="false">IF(BZ5="Saddle",TRUE(),)</f>
        <v>0</v>
      </c>
      <c r="CH5" s="3"/>
      <c r="CI5" s="3"/>
      <c r="CJ5" s="3"/>
      <c r="CK5" s="3"/>
      <c r="CL5" s="3"/>
      <c r="CM5" s="3"/>
      <c r="CN5" s="3"/>
      <c r="CO5" s="3"/>
      <c r="CP5" s="3"/>
      <c r="CQ5" s="3"/>
      <c r="CR5" s="3"/>
      <c r="CS5" s="3"/>
      <c r="CT5" s="3"/>
      <c r="CU5" s="3"/>
      <c r="CV5" s="3" t="s">
        <v>766</v>
      </c>
      <c r="CW5" s="3" t="s">
        <v>767</v>
      </c>
      <c r="CX5" s="3" t="s">
        <v>768</v>
      </c>
      <c r="CY5" s="3" t="s">
        <v>769</v>
      </c>
      <c r="CZ5" s="3" t="s">
        <v>770</v>
      </c>
    </row>
    <row r="6" customFormat="false" ht="15.75" hidden="false" customHeight="false" outlineLevel="0" collapsed="false">
      <c r="A6" s="290" t="s">
        <v>103</v>
      </c>
      <c r="B6" s="290" t="s">
        <v>294</v>
      </c>
      <c r="C6" s="290" t="s">
        <v>182</v>
      </c>
      <c r="D6" s="290" t="s">
        <v>182</v>
      </c>
      <c r="E6" s="290" t="s">
        <v>182</v>
      </c>
      <c r="F6" s="315" t="b">
        <f aca="false">TRUE()</f>
        <v>1</v>
      </c>
      <c r="G6" s="290" t="s">
        <v>514</v>
      </c>
      <c r="H6" s="290" t="s">
        <v>294</v>
      </c>
      <c r="I6" s="290" t="n">
        <v>24</v>
      </c>
      <c r="J6" s="290" t="s">
        <v>761</v>
      </c>
      <c r="K6" s="290" t="s">
        <v>762</v>
      </c>
      <c r="L6" s="290" t="n">
        <v>2</v>
      </c>
      <c r="M6" s="290" t="s">
        <v>771</v>
      </c>
      <c r="N6" s="290" t="s">
        <v>743</v>
      </c>
      <c r="O6" s="290" t="s">
        <v>763</v>
      </c>
      <c r="P6" s="290" t="s">
        <v>745</v>
      </c>
      <c r="Q6" s="290" t="s">
        <v>746</v>
      </c>
      <c r="R6" s="315" t="b">
        <f aca="false">FALSE()</f>
        <v>0</v>
      </c>
      <c r="S6" s="290" t="n">
        <v>70</v>
      </c>
      <c r="T6" s="290" t="n">
        <v>70</v>
      </c>
      <c r="U6" s="290" t="n">
        <v>65</v>
      </c>
      <c r="V6" s="290" t="n">
        <v>70</v>
      </c>
      <c r="W6" s="290" t="n">
        <v>100</v>
      </c>
      <c r="X6" s="290" t="n">
        <v>100</v>
      </c>
      <c r="Y6" s="290" t="n">
        <v>1</v>
      </c>
      <c r="Z6" s="290" t="n">
        <v>1</v>
      </c>
      <c r="AA6" s="290" t="n">
        <v>1</v>
      </c>
      <c r="AB6" s="290" t="n">
        <v>1010</v>
      </c>
      <c r="AC6" s="290" t="s">
        <v>764</v>
      </c>
      <c r="AD6" s="290" t="s">
        <v>182</v>
      </c>
      <c r="AE6" s="290" t="n">
        <v>52</v>
      </c>
      <c r="AF6" s="290" t="n">
        <v>105</v>
      </c>
      <c r="AG6" s="290" t="n">
        <v>475</v>
      </c>
      <c r="AH6" s="290" t="n">
        <v>550</v>
      </c>
      <c r="AI6" s="290" t="n">
        <v>317</v>
      </c>
      <c r="AJ6" s="315" t="b">
        <f aca="false">FALSE()</f>
        <v>0</v>
      </c>
      <c r="AK6" s="315" t="b">
        <f aca="false">FALSE()</f>
        <v>0</v>
      </c>
      <c r="AL6" s="290" t="s">
        <v>765</v>
      </c>
      <c r="AM6" s="315" t="b">
        <f aca="false">FALSE()</f>
        <v>0</v>
      </c>
      <c r="AN6" s="315" t="b">
        <f aca="false">FALSE()</f>
        <v>0</v>
      </c>
      <c r="AO6" s="290" t="n">
        <v>100</v>
      </c>
      <c r="AP6" s="290" t="n">
        <v>1</v>
      </c>
      <c r="AQ6" s="290" t="n">
        <v>1</v>
      </c>
      <c r="AR6" s="290" t="n">
        <v>25</v>
      </c>
      <c r="AS6" s="290" t="n">
        <v>90</v>
      </c>
      <c r="AT6" s="290" t="n">
        <v>1</v>
      </c>
      <c r="AU6" s="315" t="b">
        <f aca="false">TRUE()</f>
        <v>1</v>
      </c>
      <c r="AV6" s="315" t="b">
        <f aca="false">FALSE()</f>
        <v>0</v>
      </c>
      <c r="AW6" s="290" t="n">
        <v>0</v>
      </c>
      <c r="AX6" s="315" t="b">
        <f aca="false">FALSE()</f>
        <v>0</v>
      </c>
      <c r="AY6" s="315" t="b">
        <f aca="false">TRUE()</f>
        <v>1</v>
      </c>
      <c r="AZ6" s="290" t="n">
        <v>100</v>
      </c>
      <c r="BA6" s="290" t="n">
        <v>50</v>
      </c>
      <c r="BB6" s="290" t="n">
        <v>1440</v>
      </c>
      <c r="BC6" s="290" t="n">
        <v>0</v>
      </c>
      <c r="BD6" s="290" t="n">
        <v>0</v>
      </c>
      <c r="BE6" s="290" t="n">
        <v>0</v>
      </c>
      <c r="BF6" s="290" t="n">
        <v>0</v>
      </c>
      <c r="BG6" s="290" t="n">
        <v>0</v>
      </c>
      <c r="BH6" s="290" t="n">
        <v>0</v>
      </c>
      <c r="BI6" s="290" t="n">
        <v>0</v>
      </c>
      <c r="BJ6" s="290" t="n">
        <v>0</v>
      </c>
      <c r="BK6" s="290" t="n">
        <v>0</v>
      </c>
      <c r="BL6" s="290" t="n">
        <v>0</v>
      </c>
      <c r="BM6" s="290" t="n">
        <v>1</v>
      </c>
      <c r="BN6" s="290" t="n">
        <v>0</v>
      </c>
      <c r="BO6" s="290" t="n">
        <v>1</v>
      </c>
      <c r="BP6" s="290" t="s">
        <v>182</v>
      </c>
      <c r="BQ6" s="290" t="s">
        <v>182</v>
      </c>
      <c r="BR6" s="290" t="s">
        <v>182</v>
      </c>
      <c r="BS6" s="290" t="s">
        <v>182</v>
      </c>
      <c r="BT6" s="290" t="n">
        <v>5</v>
      </c>
      <c r="BU6" s="316" t="b">
        <f aca="false">TRUE()</f>
        <v>1</v>
      </c>
      <c r="BV6" s="290"/>
      <c r="BW6" s="290" t="s">
        <v>761</v>
      </c>
      <c r="BX6" s="3"/>
      <c r="BY6" s="3"/>
      <c r="BZ6" s="3"/>
      <c r="CA6" s="3"/>
      <c r="CB6" s="3"/>
      <c r="CC6" s="3"/>
      <c r="CD6" s="3"/>
      <c r="CE6" s="3"/>
      <c r="CF6" s="3"/>
      <c r="CG6" s="3" t="n">
        <f aca="false">IF(BZ6="Saddle",TRUE(),)</f>
        <v>0</v>
      </c>
      <c r="CH6" s="3"/>
      <c r="CI6" s="3"/>
      <c r="CJ6" s="3"/>
      <c r="CK6" s="3"/>
      <c r="CL6" s="3"/>
      <c r="CM6" s="3"/>
      <c r="CN6" s="3"/>
      <c r="CO6" s="3"/>
      <c r="CP6" s="3"/>
      <c r="CQ6" s="3"/>
      <c r="CR6" s="3"/>
      <c r="CS6" s="3"/>
      <c r="CT6" s="3"/>
      <c r="CU6" s="3"/>
      <c r="CV6" s="3" t="s">
        <v>766</v>
      </c>
      <c r="CW6" s="3" t="s">
        <v>767</v>
      </c>
      <c r="CX6" s="3" t="s">
        <v>768</v>
      </c>
      <c r="CY6" s="3" t="s">
        <v>769</v>
      </c>
      <c r="CZ6" s="3" t="s">
        <v>770</v>
      </c>
    </row>
    <row r="7" customFormat="false" ht="15.75" hidden="false" customHeight="false" outlineLevel="0" collapsed="false">
      <c r="A7" s="290" t="s">
        <v>129</v>
      </c>
      <c r="B7" s="290" t="s">
        <v>288</v>
      </c>
      <c r="C7" s="290" t="s">
        <v>182</v>
      </c>
      <c r="D7" s="290" t="s">
        <v>182</v>
      </c>
      <c r="E7" s="290" t="s">
        <v>182</v>
      </c>
      <c r="F7" s="315" t="b">
        <f aca="false">TRUE()</f>
        <v>1</v>
      </c>
      <c r="G7" s="290" t="s">
        <v>772</v>
      </c>
      <c r="H7" s="290" t="s">
        <v>288</v>
      </c>
      <c r="I7" s="290" t="n">
        <v>20</v>
      </c>
      <c r="J7" s="3"/>
      <c r="K7" s="290" t="s">
        <v>773</v>
      </c>
      <c r="L7" s="290" t="n">
        <v>1</v>
      </c>
      <c r="M7" s="290" t="s">
        <v>742</v>
      </c>
      <c r="N7" s="290" t="s">
        <v>743</v>
      </c>
      <c r="O7" s="290" t="s">
        <v>763</v>
      </c>
      <c r="P7" s="290" t="s">
        <v>745</v>
      </c>
      <c r="Q7" s="290" t="s">
        <v>746</v>
      </c>
      <c r="R7" s="315" t="b">
        <f aca="false">FALSE()</f>
        <v>0</v>
      </c>
      <c r="S7" s="290" t="n">
        <v>80</v>
      </c>
      <c r="T7" s="290" t="n">
        <v>100</v>
      </c>
      <c r="U7" s="290" t="n">
        <v>70</v>
      </c>
      <c r="V7" s="290" t="n">
        <v>70</v>
      </c>
      <c r="W7" s="290" t="n">
        <v>100</v>
      </c>
      <c r="X7" s="290" t="n">
        <v>100</v>
      </c>
      <c r="Y7" s="290" t="n">
        <v>1.1</v>
      </c>
      <c r="Z7" s="290" t="n">
        <v>1</v>
      </c>
      <c r="AA7" s="290" t="n">
        <v>1</v>
      </c>
      <c r="AB7" s="290" t="n">
        <v>1680</v>
      </c>
      <c r="AC7" s="290" t="s">
        <v>747</v>
      </c>
      <c r="AD7" s="290" t="s">
        <v>182</v>
      </c>
      <c r="AE7" s="290" t="n">
        <v>70</v>
      </c>
      <c r="AF7" s="290" t="n">
        <v>150</v>
      </c>
      <c r="AG7" s="290" t="n">
        <v>450</v>
      </c>
      <c r="AH7" s="290" t="n">
        <v>700</v>
      </c>
      <c r="AI7" s="290" t="n">
        <v>300</v>
      </c>
      <c r="AJ7" s="315" t="b">
        <f aca="false">FALSE()</f>
        <v>0</v>
      </c>
      <c r="AK7" s="315" t="b">
        <f aca="false">FALSE()</f>
        <v>0</v>
      </c>
      <c r="AL7" s="290" t="s">
        <v>765</v>
      </c>
      <c r="AM7" s="315" t="b">
        <f aca="false">FALSE()</f>
        <v>0</v>
      </c>
      <c r="AN7" s="315" t="b">
        <f aca="false">FALSE()</f>
        <v>0</v>
      </c>
      <c r="AO7" s="290" t="n">
        <v>225</v>
      </c>
      <c r="AP7" s="290" t="n">
        <v>1</v>
      </c>
      <c r="AQ7" s="290" t="n">
        <v>3</v>
      </c>
      <c r="AR7" s="290" t="n">
        <v>25</v>
      </c>
      <c r="AS7" s="290" t="n">
        <v>90</v>
      </c>
      <c r="AT7" s="290" t="n">
        <v>1</v>
      </c>
      <c r="AU7" s="315" t="b">
        <f aca="false">FALSE()</f>
        <v>0</v>
      </c>
      <c r="AV7" s="315" t="b">
        <f aca="false">FALSE()</f>
        <v>0</v>
      </c>
      <c r="AW7" s="290" t="n">
        <v>1</v>
      </c>
      <c r="AX7" s="315" t="b">
        <f aca="false">TRUE()</f>
        <v>1</v>
      </c>
      <c r="AY7" s="315" t="b">
        <f aca="false">TRUE()</f>
        <v>1</v>
      </c>
      <c r="AZ7" s="290" t="n">
        <v>100</v>
      </c>
      <c r="BA7" s="290" t="n">
        <v>50</v>
      </c>
      <c r="BB7" s="290" t="n">
        <v>1130</v>
      </c>
      <c r="BC7" s="290" t="n">
        <v>0</v>
      </c>
      <c r="BD7" s="290" t="n">
        <v>0</v>
      </c>
      <c r="BE7" s="290" t="n">
        <v>0</v>
      </c>
      <c r="BF7" s="290" t="n">
        <v>0</v>
      </c>
      <c r="BG7" s="290" t="n">
        <v>0</v>
      </c>
      <c r="BH7" s="290" t="n">
        <v>0</v>
      </c>
      <c r="BI7" s="290" t="n">
        <v>0</v>
      </c>
      <c r="BJ7" s="290" t="n">
        <v>1</v>
      </c>
      <c r="BK7" s="290" t="n">
        <v>0</v>
      </c>
      <c r="BL7" s="290" t="n">
        <v>0</v>
      </c>
      <c r="BM7" s="290" t="n">
        <v>0</v>
      </c>
      <c r="BN7" s="290" t="n">
        <v>0</v>
      </c>
      <c r="BO7" s="290" t="n">
        <v>0</v>
      </c>
      <c r="BP7" s="290" t="s">
        <v>182</v>
      </c>
      <c r="BQ7" s="290" t="s">
        <v>182</v>
      </c>
      <c r="BR7" s="290" t="s">
        <v>182</v>
      </c>
      <c r="BS7" s="290" t="s">
        <v>182</v>
      </c>
      <c r="BT7" s="290" t="n">
        <v>6</v>
      </c>
      <c r="BU7" s="316" t="b">
        <f aca="false">FALSE()</f>
        <v>0</v>
      </c>
      <c r="BV7" s="290"/>
      <c r="BW7" s="3"/>
      <c r="BX7" s="85" t="n">
        <v>6</v>
      </c>
      <c r="BY7" s="3" t="s">
        <v>774</v>
      </c>
      <c r="BZ7" s="3" t="s">
        <v>775</v>
      </c>
      <c r="CA7" s="3"/>
      <c r="CB7" s="3"/>
      <c r="CC7" s="3"/>
      <c r="CD7" s="3"/>
      <c r="CE7" s="3"/>
      <c r="CF7" s="3"/>
      <c r="CG7" s="311" t="b">
        <f aca="false">IF(BZ7="Saddle",TRUE(),)</f>
        <v>1</v>
      </c>
      <c r="CH7" s="3" t="s">
        <v>776</v>
      </c>
      <c r="CI7" s="3"/>
      <c r="CJ7" s="3"/>
      <c r="CK7" s="3"/>
      <c r="CL7" s="3"/>
      <c r="CM7" s="3"/>
      <c r="CN7" s="3"/>
      <c r="CO7" s="3"/>
      <c r="CP7" s="3"/>
      <c r="CQ7" s="3"/>
      <c r="CR7" s="3"/>
      <c r="CS7" s="3"/>
      <c r="CT7" s="3"/>
      <c r="CU7" s="3" t="s">
        <v>750</v>
      </c>
      <c r="CV7" s="3" t="s">
        <v>777</v>
      </c>
      <c r="CW7" s="3" t="s">
        <v>778</v>
      </c>
      <c r="CX7" s="3" t="s">
        <v>779</v>
      </c>
      <c r="CY7" s="3" t="s">
        <v>780</v>
      </c>
      <c r="CZ7" s="3" t="s">
        <v>781</v>
      </c>
    </row>
    <row r="8" customFormat="false" ht="15.75" hidden="false" customHeight="false" outlineLevel="0" collapsed="false">
      <c r="A8" s="290" t="s">
        <v>93</v>
      </c>
      <c r="B8" s="290" t="s">
        <v>267</v>
      </c>
      <c r="C8" s="290" t="s">
        <v>182</v>
      </c>
      <c r="D8" s="290" t="s">
        <v>182</v>
      </c>
      <c r="E8" s="290" t="s">
        <v>182</v>
      </c>
      <c r="F8" s="315" t="b">
        <f aca="false">TRUE()</f>
        <v>1</v>
      </c>
      <c r="G8" s="290" t="s">
        <v>782</v>
      </c>
      <c r="H8" s="290" t="s">
        <v>267</v>
      </c>
      <c r="I8" s="290" t="n">
        <v>4</v>
      </c>
      <c r="J8" s="3"/>
      <c r="K8" s="290" t="s">
        <v>762</v>
      </c>
      <c r="L8" s="290" t="n">
        <v>1</v>
      </c>
      <c r="M8" s="290" t="s">
        <v>783</v>
      </c>
      <c r="N8" s="290" t="s">
        <v>743</v>
      </c>
      <c r="O8" s="290" t="s">
        <v>744</v>
      </c>
      <c r="P8" s="290" t="s">
        <v>745</v>
      </c>
      <c r="Q8" s="290" t="s">
        <v>746</v>
      </c>
      <c r="R8" s="315" t="b">
        <f aca="false">FALSE()</f>
        <v>0</v>
      </c>
      <c r="S8" s="290" t="n">
        <v>75</v>
      </c>
      <c r="T8" s="290" t="n">
        <v>70</v>
      </c>
      <c r="U8" s="290" t="n">
        <v>70</v>
      </c>
      <c r="V8" s="290" t="n">
        <v>70</v>
      </c>
      <c r="W8" s="290" t="n">
        <v>100</v>
      </c>
      <c r="X8" s="290" t="n">
        <v>100</v>
      </c>
      <c r="Y8" s="290" t="n">
        <v>1</v>
      </c>
      <c r="Z8" s="290" t="n">
        <v>0.9</v>
      </c>
      <c r="AA8" s="290" t="n">
        <v>1</v>
      </c>
      <c r="AB8" s="290" t="n">
        <v>1010</v>
      </c>
      <c r="AC8" s="290" t="s">
        <v>784</v>
      </c>
      <c r="AD8" s="290" t="s">
        <v>182</v>
      </c>
      <c r="AE8" s="290" t="n">
        <v>20</v>
      </c>
      <c r="AF8" s="290" t="n">
        <v>40</v>
      </c>
      <c r="AG8" s="290" t="n">
        <v>400</v>
      </c>
      <c r="AH8" s="290" t="n">
        <v>550</v>
      </c>
      <c r="AI8" s="290" t="n">
        <v>250</v>
      </c>
      <c r="AJ8" s="315" t="b">
        <f aca="false">FALSE()</f>
        <v>0</v>
      </c>
      <c r="AK8" s="315" t="b">
        <f aca="false">FALSE()</f>
        <v>0</v>
      </c>
      <c r="AL8" s="290" t="s">
        <v>765</v>
      </c>
      <c r="AM8" s="315" t="b">
        <f aca="false">FALSE()</f>
        <v>0</v>
      </c>
      <c r="AN8" s="315" t="b">
        <f aca="false">FALSE()</f>
        <v>0</v>
      </c>
      <c r="AO8" s="290" t="n">
        <v>100</v>
      </c>
      <c r="AP8" s="290" t="n">
        <v>1</v>
      </c>
      <c r="AQ8" s="290" t="n">
        <v>1</v>
      </c>
      <c r="AR8" s="290" t="n">
        <v>25</v>
      </c>
      <c r="AS8" s="290" t="n">
        <v>90</v>
      </c>
      <c r="AT8" s="290" t="n">
        <v>1</v>
      </c>
      <c r="AU8" s="315" t="b">
        <f aca="false">TRUE()</f>
        <v>1</v>
      </c>
      <c r="AV8" s="315" t="b">
        <f aca="false">FALSE()</f>
        <v>0</v>
      </c>
      <c r="AW8" s="290" t="n">
        <v>0</v>
      </c>
      <c r="AX8" s="315" t="b">
        <f aca="false">FALSE()</f>
        <v>0</v>
      </c>
      <c r="AY8" s="315" t="b">
        <f aca="false">TRUE()</f>
        <v>1</v>
      </c>
      <c r="AZ8" s="290" t="n">
        <v>100</v>
      </c>
      <c r="BA8" s="290" t="n">
        <v>50</v>
      </c>
      <c r="BB8" s="290" t="n">
        <v>1430</v>
      </c>
      <c r="BC8" s="290" t="n">
        <v>0</v>
      </c>
      <c r="BD8" s="290" t="n">
        <v>0</v>
      </c>
      <c r="BE8" s="290" t="n">
        <v>1</v>
      </c>
      <c r="BF8" s="290" t="n">
        <v>0</v>
      </c>
      <c r="BG8" s="290" t="n">
        <v>1</v>
      </c>
      <c r="BH8" s="290" t="n">
        <v>1</v>
      </c>
      <c r="BI8" s="290" t="n">
        <v>1</v>
      </c>
      <c r="BJ8" s="290" t="n">
        <v>0</v>
      </c>
      <c r="BK8" s="290" t="n">
        <v>0</v>
      </c>
      <c r="BL8" s="290" t="n">
        <v>1</v>
      </c>
      <c r="BM8" s="290" t="n">
        <v>0</v>
      </c>
      <c r="BN8" s="290" t="n">
        <v>0</v>
      </c>
      <c r="BO8" s="290" t="n">
        <v>0</v>
      </c>
      <c r="BP8" s="290" t="s">
        <v>182</v>
      </c>
      <c r="BQ8" s="290" t="s">
        <v>182</v>
      </c>
      <c r="BR8" s="290" t="s">
        <v>182</v>
      </c>
      <c r="BS8" s="290" t="s">
        <v>182</v>
      </c>
      <c r="BT8" s="290" t="n">
        <v>7</v>
      </c>
      <c r="BU8" s="316" t="b">
        <f aca="false">FALSE()</f>
        <v>0</v>
      </c>
      <c r="BV8" s="290"/>
      <c r="BW8" s="3"/>
      <c r="BX8" s="85" t="n">
        <v>11</v>
      </c>
      <c r="BY8" s="3" t="s">
        <v>785</v>
      </c>
      <c r="BZ8" s="3" t="s">
        <v>786</v>
      </c>
      <c r="CA8" s="3" t="s">
        <v>787</v>
      </c>
      <c r="CB8" s="85" t="n">
        <v>10</v>
      </c>
      <c r="CC8" s="85" t="n">
        <v>11</v>
      </c>
      <c r="CD8" s="85" t="n">
        <v>13</v>
      </c>
      <c r="CE8" s="85" t="n">
        <v>16</v>
      </c>
      <c r="CF8" s="85" t="n">
        <v>20</v>
      </c>
      <c r="CG8" s="3" t="n">
        <f aca="false">IF(BZ8="Saddle",TRUE(),)</f>
        <v>0</v>
      </c>
      <c r="CH8" s="3"/>
      <c r="CI8" s="3"/>
      <c r="CJ8" s="3"/>
      <c r="CK8" s="3"/>
      <c r="CL8" s="3"/>
      <c r="CM8" s="3"/>
      <c r="CN8" s="3"/>
      <c r="CO8" s="3"/>
      <c r="CP8" s="3"/>
      <c r="CQ8" s="3"/>
      <c r="CR8" s="3"/>
      <c r="CS8" s="3"/>
      <c r="CT8" s="3"/>
      <c r="CU8" s="3"/>
      <c r="CV8" s="3"/>
      <c r="CW8" s="3"/>
      <c r="CX8" s="3"/>
      <c r="CY8" s="3"/>
      <c r="CZ8" s="3"/>
    </row>
    <row r="9" customFormat="false" ht="15.75" hidden="false" customHeight="false" outlineLevel="0" collapsed="false">
      <c r="A9" s="290" t="s">
        <v>141</v>
      </c>
      <c r="B9" s="290" t="s">
        <v>297</v>
      </c>
      <c r="C9" s="290" t="s">
        <v>182</v>
      </c>
      <c r="D9" s="290" t="s">
        <v>182</v>
      </c>
      <c r="E9" s="290" t="s">
        <v>182</v>
      </c>
      <c r="F9" s="315" t="b">
        <f aca="false">TRUE()</f>
        <v>1</v>
      </c>
      <c r="G9" s="290" t="s">
        <v>788</v>
      </c>
      <c r="H9" s="290" t="s">
        <v>297</v>
      </c>
      <c r="I9" s="290" t="n">
        <v>27</v>
      </c>
      <c r="J9" s="3"/>
      <c r="K9" s="290" t="s">
        <v>773</v>
      </c>
      <c r="L9" s="290" t="n">
        <v>1</v>
      </c>
      <c r="M9" s="290" t="s">
        <v>789</v>
      </c>
      <c r="N9" s="290" t="s">
        <v>743</v>
      </c>
      <c r="O9" s="290" t="s">
        <v>790</v>
      </c>
      <c r="P9" s="290" t="s">
        <v>745</v>
      </c>
      <c r="Q9" s="290" t="s">
        <v>746</v>
      </c>
      <c r="R9" s="315" t="b">
        <f aca="false">FALSE()</f>
        <v>0</v>
      </c>
      <c r="S9" s="290" t="n">
        <v>60</v>
      </c>
      <c r="T9" s="290" t="n">
        <v>80</v>
      </c>
      <c r="U9" s="290" t="n">
        <v>75</v>
      </c>
      <c r="V9" s="290" t="n">
        <v>70</v>
      </c>
      <c r="W9" s="290" t="n">
        <v>70</v>
      </c>
      <c r="X9" s="290" t="n">
        <v>100</v>
      </c>
      <c r="Y9" s="290" t="n">
        <v>1</v>
      </c>
      <c r="Z9" s="290" t="n">
        <v>1</v>
      </c>
      <c r="AA9" s="290" t="n">
        <v>1</v>
      </c>
      <c r="AB9" s="290" t="n">
        <v>1090</v>
      </c>
      <c r="AC9" s="290" t="s">
        <v>747</v>
      </c>
      <c r="AD9" s="290" t="s">
        <v>182</v>
      </c>
      <c r="AE9" s="290" t="n">
        <v>30</v>
      </c>
      <c r="AF9" s="290" t="n">
        <v>60</v>
      </c>
      <c r="AG9" s="290" t="n">
        <v>300</v>
      </c>
      <c r="AH9" s="290" t="n">
        <v>550</v>
      </c>
      <c r="AI9" s="290" t="n">
        <v>170</v>
      </c>
      <c r="AJ9" s="315" t="b">
        <f aca="false">FALSE()</f>
        <v>0</v>
      </c>
      <c r="AK9" s="315" t="b">
        <f aca="false">FALSE()</f>
        <v>0</v>
      </c>
      <c r="AL9" s="290" t="s">
        <v>765</v>
      </c>
      <c r="AM9" s="315" t="b">
        <f aca="false">FALSE()</f>
        <v>0</v>
      </c>
      <c r="AN9" s="315" t="b">
        <f aca="false">FALSE()</f>
        <v>0</v>
      </c>
      <c r="AO9" s="290" t="n">
        <v>150</v>
      </c>
      <c r="AP9" s="290" t="n">
        <v>1</v>
      </c>
      <c r="AQ9" s="290" t="n">
        <v>2</v>
      </c>
      <c r="AR9" s="290" t="n">
        <v>25</v>
      </c>
      <c r="AS9" s="290" t="n">
        <v>90</v>
      </c>
      <c r="AT9" s="290" t="n">
        <v>1</v>
      </c>
      <c r="AU9" s="315" t="b">
        <f aca="false">FALSE()</f>
        <v>0</v>
      </c>
      <c r="AV9" s="315" t="b">
        <f aca="false">FALSE()</f>
        <v>0</v>
      </c>
      <c r="AW9" s="290" t="n">
        <v>0</v>
      </c>
      <c r="AX9" s="315" t="b">
        <f aca="false">TRUE()</f>
        <v>1</v>
      </c>
      <c r="AY9" s="315" t="b">
        <f aca="false">TRUE()</f>
        <v>1</v>
      </c>
      <c r="AZ9" s="290" t="n">
        <v>100</v>
      </c>
      <c r="BA9" s="290" t="n">
        <v>50</v>
      </c>
      <c r="BB9" s="290" t="n">
        <v>1340</v>
      </c>
      <c r="BC9" s="290" t="n">
        <v>0</v>
      </c>
      <c r="BD9" s="290" t="n">
        <v>0</v>
      </c>
      <c r="BE9" s="290" t="n">
        <v>0</v>
      </c>
      <c r="BF9" s="290" t="n">
        <v>0</v>
      </c>
      <c r="BG9" s="290" t="n">
        <v>0</v>
      </c>
      <c r="BH9" s="290" t="n">
        <v>1</v>
      </c>
      <c r="BI9" s="290" t="n">
        <v>0</v>
      </c>
      <c r="BJ9" s="290" t="n">
        <v>0</v>
      </c>
      <c r="BK9" s="290" t="n">
        <v>0</v>
      </c>
      <c r="BL9" s="290" t="n">
        <v>0</v>
      </c>
      <c r="BM9" s="290" t="n">
        <v>0</v>
      </c>
      <c r="BN9" s="290" t="n">
        <v>0</v>
      </c>
      <c r="BO9" s="290" t="n">
        <v>0</v>
      </c>
      <c r="BP9" s="290" t="s">
        <v>182</v>
      </c>
      <c r="BQ9" s="290" t="s">
        <v>182</v>
      </c>
      <c r="BR9" s="290" t="s">
        <v>182</v>
      </c>
      <c r="BS9" s="290" t="s">
        <v>182</v>
      </c>
      <c r="BT9" s="290" t="n">
        <v>8</v>
      </c>
      <c r="BU9" s="316" t="b">
        <f aca="false">FALSE()</f>
        <v>0</v>
      </c>
      <c r="BV9" s="290"/>
      <c r="BW9" s="3"/>
      <c r="BX9" s="85" t="n">
        <v>18</v>
      </c>
      <c r="BY9" s="3" t="s">
        <v>791</v>
      </c>
      <c r="BZ9" s="3"/>
      <c r="CA9" s="3" t="s">
        <v>792</v>
      </c>
      <c r="CB9" s="85" t="n">
        <v>100</v>
      </c>
      <c r="CC9" s="85" t="n">
        <v>110</v>
      </c>
      <c r="CD9" s="85" t="n">
        <v>130</v>
      </c>
      <c r="CE9" s="85" t="n">
        <v>160</v>
      </c>
      <c r="CF9" s="85" t="n">
        <v>200</v>
      </c>
      <c r="CG9" s="3" t="n">
        <f aca="false">IF(BZ9="Saddle",TRUE(),)</f>
        <v>0</v>
      </c>
      <c r="CH9" s="3"/>
      <c r="CI9" s="3"/>
      <c r="CJ9" s="3"/>
      <c r="CK9" s="3"/>
      <c r="CL9" s="3"/>
      <c r="CM9" s="3"/>
      <c r="CN9" s="3"/>
      <c r="CO9" s="3"/>
      <c r="CP9" s="3"/>
      <c r="CQ9" s="3"/>
      <c r="CR9" s="3"/>
      <c r="CS9" s="3"/>
      <c r="CT9" s="3"/>
      <c r="CU9" s="3"/>
      <c r="CV9" s="3"/>
      <c r="CW9" s="3"/>
      <c r="CX9" s="3"/>
      <c r="CY9" s="3"/>
      <c r="CZ9" s="3"/>
    </row>
    <row r="10" customFormat="false" ht="15.75" hidden="false" customHeight="false" outlineLevel="0" collapsed="false">
      <c r="A10" s="290" t="s">
        <v>48</v>
      </c>
      <c r="B10" s="290" t="s">
        <v>310</v>
      </c>
      <c r="C10" s="290" t="s">
        <v>182</v>
      </c>
      <c r="D10" s="290" t="s">
        <v>182</v>
      </c>
      <c r="E10" s="290" t="s">
        <v>182</v>
      </c>
      <c r="F10" s="315" t="b">
        <f aca="false">TRUE()</f>
        <v>1</v>
      </c>
      <c r="G10" s="290" t="s">
        <v>431</v>
      </c>
      <c r="H10" s="290" t="s">
        <v>310</v>
      </c>
      <c r="I10" s="290" t="n">
        <v>37</v>
      </c>
      <c r="J10" s="3"/>
      <c r="K10" s="290" t="s">
        <v>793</v>
      </c>
      <c r="L10" s="290" t="n">
        <v>4</v>
      </c>
      <c r="M10" s="290" t="s">
        <v>789</v>
      </c>
      <c r="N10" s="290" t="s">
        <v>743</v>
      </c>
      <c r="O10" s="290" t="s">
        <v>763</v>
      </c>
      <c r="P10" s="290" t="s">
        <v>745</v>
      </c>
      <c r="Q10" s="290" t="s">
        <v>746</v>
      </c>
      <c r="R10" s="315" t="b">
        <f aca="false">FALSE()</f>
        <v>0</v>
      </c>
      <c r="S10" s="290" t="n">
        <v>95</v>
      </c>
      <c r="T10" s="290" t="n">
        <v>70</v>
      </c>
      <c r="U10" s="290" t="n">
        <v>80</v>
      </c>
      <c r="V10" s="290" t="n">
        <v>80</v>
      </c>
      <c r="W10" s="290" t="n">
        <v>100</v>
      </c>
      <c r="X10" s="290" t="n">
        <v>100</v>
      </c>
      <c r="Y10" s="290" t="n">
        <v>1</v>
      </c>
      <c r="Z10" s="290" t="n">
        <v>1</v>
      </c>
      <c r="AA10" s="290" t="n">
        <v>1</v>
      </c>
      <c r="AB10" s="290" t="n">
        <v>2620</v>
      </c>
      <c r="AC10" s="290" t="s">
        <v>764</v>
      </c>
      <c r="AD10" s="290" t="s">
        <v>182</v>
      </c>
      <c r="AE10" s="290" t="n">
        <v>80</v>
      </c>
      <c r="AF10" s="290" t="n">
        <v>120</v>
      </c>
      <c r="AG10" s="290" t="n">
        <v>700</v>
      </c>
      <c r="AH10" s="290" t="n">
        <v>900</v>
      </c>
      <c r="AI10" s="290" t="n">
        <v>390</v>
      </c>
      <c r="AJ10" s="315" t="b">
        <f aca="false">FALSE()</f>
        <v>0</v>
      </c>
      <c r="AK10" s="315" t="b">
        <f aca="false">FALSE()</f>
        <v>0</v>
      </c>
      <c r="AL10" s="290" t="s">
        <v>765</v>
      </c>
      <c r="AM10" s="315" t="b">
        <f aca="false">FALSE()</f>
        <v>0</v>
      </c>
      <c r="AN10" s="315" t="b">
        <f aca="false">FALSE()</f>
        <v>0</v>
      </c>
      <c r="AO10" s="290" t="n">
        <v>350</v>
      </c>
      <c r="AP10" s="290" t="n">
        <v>1</v>
      </c>
      <c r="AQ10" s="290" t="n">
        <v>5</v>
      </c>
      <c r="AR10" s="290" t="n">
        <v>25</v>
      </c>
      <c r="AS10" s="290" t="n">
        <v>90</v>
      </c>
      <c r="AT10" s="290" t="n">
        <v>1</v>
      </c>
      <c r="AU10" s="315" t="b">
        <f aca="false">FALSE()</f>
        <v>0</v>
      </c>
      <c r="AV10" s="315" t="b">
        <f aca="false">FALSE()</f>
        <v>0</v>
      </c>
      <c r="AW10" s="290" t="n">
        <v>0</v>
      </c>
      <c r="AX10" s="315" t="b">
        <f aca="false">FALSE()</f>
        <v>0</v>
      </c>
      <c r="AY10" s="315" t="b">
        <f aca="false">TRUE()</f>
        <v>1</v>
      </c>
      <c r="AZ10" s="290" t="n">
        <v>100</v>
      </c>
      <c r="BA10" s="290" t="n">
        <v>50</v>
      </c>
      <c r="BB10" s="290" t="n">
        <v>920</v>
      </c>
      <c r="BC10" s="290" t="n">
        <v>0</v>
      </c>
      <c r="BD10" s="290" t="n">
        <v>0</v>
      </c>
      <c r="BE10" s="290" t="n">
        <v>0</v>
      </c>
      <c r="BF10" s="290" t="n">
        <v>0</v>
      </c>
      <c r="BG10" s="290" t="n">
        <v>0</v>
      </c>
      <c r="BH10" s="290" t="n">
        <v>0</v>
      </c>
      <c r="BI10" s="290" t="n">
        <v>2</v>
      </c>
      <c r="BJ10" s="290" t="n">
        <v>0</v>
      </c>
      <c r="BK10" s="290" t="n">
        <v>0</v>
      </c>
      <c r="BL10" s="290" t="n">
        <v>0</v>
      </c>
      <c r="BM10" s="290" t="n">
        <v>0</v>
      </c>
      <c r="BN10" s="290" t="n">
        <v>0</v>
      </c>
      <c r="BO10" s="290" t="n">
        <v>0</v>
      </c>
      <c r="BP10" s="290" t="s">
        <v>182</v>
      </c>
      <c r="BQ10" s="290" t="s">
        <v>182</v>
      </c>
      <c r="BR10" s="290" t="s">
        <v>182</v>
      </c>
      <c r="BS10" s="290" t="s">
        <v>182</v>
      </c>
      <c r="BT10" s="290" t="n">
        <v>9</v>
      </c>
      <c r="BU10" s="316" t="b">
        <f aca="false">FALSE()</f>
        <v>0</v>
      </c>
      <c r="BV10" s="290"/>
      <c r="BW10" s="3"/>
      <c r="BX10" s="85" t="n">
        <v>12</v>
      </c>
      <c r="BY10" s="3" t="s">
        <v>794</v>
      </c>
      <c r="BZ10" s="3" t="s">
        <v>775</v>
      </c>
      <c r="CA10" s="3"/>
      <c r="CB10" s="3"/>
      <c r="CC10" s="3"/>
      <c r="CD10" s="3"/>
      <c r="CE10" s="3"/>
      <c r="CF10" s="3"/>
      <c r="CG10" s="311" t="b">
        <f aca="false">IF(BZ10="Saddle",TRUE(),)</f>
        <v>1</v>
      </c>
      <c r="CH10" s="3" t="s">
        <v>776</v>
      </c>
      <c r="CI10" s="3"/>
      <c r="CJ10" s="3"/>
      <c r="CK10" s="3"/>
      <c r="CL10" s="3"/>
      <c r="CM10" s="3"/>
      <c r="CN10" s="3"/>
      <c r="CO10" s="3"/>
      <c r="CP10" s="3"/>
      <c r="CQ10" s="3"/>
      <c r="CR10" s="3"/>
      <c r="CS10" s="3"/>
      <c r="CT10" s="3"/>
      <c r="CU10" s="3" t="s">
        <v>750</v>
      </c>
      <c r="CV10" s="3" t="s">
        <v>795</v>
      </c>
      <c r="CW10" s="3" t="s">
        <v>796</v>
      </c>
      <c r="CX10" s="3" t="s">
        <v>797</v>
      </c>
      <c r="CY10" s="3" t="s">
        <v>798</v>
      </c>
      <c r="CZ10" s="3" t="s">
        <v>799</v>
      </c>
    </row>
    <row r="11" customFormat="false" ht="15.75" hidden="false" customHeight="false" outlineLevel="0" collapsed="false">
      <c r="A11" s="290" t="s">
        <v>49</v>
      </c>
      <c r="B11" s="290" t="s">
        <v>311</v>
      </c>
      <c r="C11" s="290" t="s">
        <v>182</v>
      </c>
      <c r="D11" s="290" t="s">
        <v>182</v>
      </c>
      <c r="E11" s="290" t="s">
        <v>182</v>
      </c>
      <c r="F11" s="315" t="b">
        <f aca="false">TRUE()</f>
        <v>1</v>
      </c>
      <c r="G11" s="290" t="s">
        <v>518</v>
      </c>
      <c r="H11" s="290" t="s">
        <v>311</v>
      </c>
      <c r="I11" s="290" t="n">
        <v>37</v>
      </c>
      <c r="J11" s="290" t="s">
        <v>761</v>
      </c>
      <c r="K11" s="290" t="s">
        <v>793</v>
      </c>
      <c r="L11" s="290" t="n">
        <v>6</v>
      </c>
      <c r="M11" s="290" t="s">
        <v>742</v>
      </c>
      <c r="N11" s="290" t="s">
        <v>743</v>
      </c>
      <c r="O11" s="290" t="s">
        <v>763</v>
      </c>
      <c r="P11" s="290" t="s">
        <v>745</v>
      </c>
      <c r="Q11" s="290" t="s">
        <v>746</v>
      </c>
      <c r="R11" s="315" t="b">
        <f aca="false">FALSE()</f>
        <v>0</v>
      </c>
      <c r="S11" s="290" t="n">
        <v>95</v>
      </c>
      <c r="T11" s="290" t="n">
        <v>70</v>
      </c>
      <c r="U11" s="290" t="n">
        <v>80</v>
      </c>
      <c r="V11" s="290" t="n">
        <v>80</v>
      </c>
      <c r="W11" s="290" t="n">
        <v>100</v>
      </c>
      <c r="X11" s="290" t="n">
        <v>100</v>
      </c>
      <c r="Y11" s="290" t="n">
        <v>1</v>
      </c>
      <c r="Z11" s="290" t="n">
        <v>1</v>
      </c>
      <c r="AA11" s="290" t="n">
        <v>1</v>
      </c>
      <c r="AB11" s="290" t="n">
        <v>2680</v>
      </c>
      <c r="AC11" s="290" t="s">
        <v>764</v>
      </c>
      <c r="AD11" s="290" t="s">
        <v>182</v>
      </c>
      <c r="AE11" s="290" t="n">
        <v>80</v>
      </c>
      <c r="AF11" s="290" t="n">
        <v>120</v>
      </c>
      <c r="AG11" s="290" t="n">
        <v>700</v>
      </c>
      <c r="AH11" s="290" t="n">
        <v>900</v>
      </c>
      <c r="AI11" s="290" t="n">
        <v>390</v>
      </c>
      <c r="AJ11" s="315" t="b">
        <f aca="false">FALSE()</f>
        <v>0</v>
      </c>
      <c r="AK11" s="315" t="b">
        <f aca="false">FALSE()</f>
        <v>0</v>
      </c>
      <c r="AL11" s="290" t="s">
        <v>765</v>
      </c>
      <c r="AM11" s="315" t="b">
        <f aca="false">FALSE()</f>
        <v>0</v>
      </c>
      <c r="AN11" s="315" t="b">
        <f aca="false">FALSE()</f>
        <v>0</v>
      </c>
      <c r="AO11" s="290" t="n">
        <v>350</v>
      </c>
      <c r="AP11" s="290" t="n">
        <v>1</v>
      </c>
      <c r="AQ11" s="290" t="n">
        <v>5</v>
      </c>
      <c r="AR11" s="290" t="n">
        <v>25</v>
      </c>
      <c r="AS11" s="290" t="n">
        <v>90</v>
      </c>
      <c r="AT11" s="290" t="n">
        <v>1</v>
      </c>
      <c r="AU11" s="315" t="b">
        <f aca="false">FALSE()</f>
        <v>0</v>
      </c>
      <c r="AV11" s="315" t="b">
        <f aca="false">FALSE()</f>
        <v>0</v>
      </c>
      <c r="AW11" s="290" t="n">
        <v>0</v>
      </c>
      <c r="AX11" s="315" t="b">
        <f aca="false">FALSE()</f>
        <v>0</v>
      </c>
      <c r="AY11" s="315" t="b">
        <f aca="false">TRUE()</f>
        <v>1</v>
      </c>
      <c r="AZ11" s="290" t="n">
        <v>100</v>
      </c>
      <c r="BA11" s="290" t="n">
        <v>50</v>
      </c>
      <c r="BB11" s="290" t="n">
        <v>900</v>
      </c>
      <c r="BC11" s="290" t="n">
        <v>0</v>
      </c>
      <c r="BD11" s="290" t="n">
        <v>0</v>
      </c>
      <c r="BE11" s="290" t="n">
        <v>0</v>
      </c>
      <c r="BF11" s="290" t="n">
        <v>0</v>
      </c>
      <c r="BG11" s="290" t="n">
        <v>0</v>
      </c>
      <c r="BH11" s="290" t="n">
        <v>0</v>
      </c>
      <c r="BI11" s="290" t="n">
        <v>2</v>
      </c>
      <c r="BJ11" s="290" t="n">
        <v>0</v>
      </c>
      <c r="BK11" s="290" t="n">
        <v>0</v>
      </c>
      <c r="BL11" s="290" t="n">
        <v>0</v>
      </c>
      <c r="BM11" s="290" t="n">
        <v>0</v>
      </c>
      <c r="BN11" s="290" t="n">
        <v>0</v>
      </c>
      <c r="BO11" s="290" t="n">
        <v>0</v>
      </c>
      <c r="BP11" s="290" t="s">
        <v>182</v>
      </c>
      <c r="BQ11" s="290" t="s">
        <v>182</v>
      </c>
      <c r="BR11" s="290" t="s">
        <v>182</v>
      </c>
      <c r="BS11" s="290" t="s">
        <v>182</v>
      </c>
      <c r="BT11" s="290" t="n">
        <v>10</v>
      </c>
      <c r="BU11" s="316" t="b">
        <f aca="false">TRUE()</f>
        <v>1</v>
      </c>
      <c r="BV11" s="290"/>
      <c r="BW11" s="290" t="s">
        <v>761</v>
      </c>
      <c r="BX11" s="85" t="n">
        <v>25</v>
      </c>
      <c r="BY11" s="3" t="s">
        <v>800</v>
      </c>
      <c r="BZ11" s="3" t="s">
        <v>775</v>
      </c>
      <c r="CA11" s="3"/>
      <c r="CB11" s="3"/>
      <c r="CC11" s="3"/>
      <c r="CD11" s="3"/>
      <c r="CE11" s="3"/>
      <c r="CF11" s="3"/>
      <c r="CG11" s="311" t="b">
        <f aca="false">IF(BZ11="Saddle",TRUE(),)</f>
        <v>1</v>
      </c>
      <c r="CH11" s="3" t="s">
        <v>776</v>
      </c>
      <c r="CI11" s="3"/>
      <c r="CJ11" s="3"/>
      <c r="CK11" s="3"/>
      <c r="CL11" s="3"/>
      <c r="CM11" s="3"/>
      <c r="CN11" s="3"/>
      <c r="CO11" s="3"/>
      <c r="CP11" s="3"/>
      <c r="CQ11" s="3"/>
      <c r="CR11" s="3"/>
      <c r="CS11" s="3"/>
      <c r="CT11" s="3"/>
      <c r="CU11" s="3" t="s">
        <v>750</v>
      </c>
      <c r="CV11" s="3" t="s">
        <v>795</v>
      </c>
      <c r="CW11" s="3" t="s">
        <v>796</v>
      </c>
      <c r="CX11" s="3" t="s">
        <v>797</v>
      </c>
      <c r="CY11" s="3" t="s">
        <v>798</v>
      </c>
      <c r="CZ11" s="3" t="s">
        <v>799</v>
      </c>
    </row>
    <row r="12" customFormat="false" ht="15.75" hidden="false" customHeight="false" outlineLevel="0" collapsed="false">
      <c r="A12" s="290" t="s">
        <v>43</v>
      </c>
      <c r="B12" s="290" t="s">
        <v>347</v>
      </c>
      <c r="C12" s="290" t="s">
        <v>182</v>
      </c>
      <c r="D12" s="290" t="s">
        <v>182</v>
      </c>
      <c r="E12" s="290" t="s">
        <v>182</v>
      </c>
      <c r="F12" s="315" t="b">
        <f aca="false">TRUE()</f>
        <v>1</v>
      </c>
      <c r="G12" s="290" t="s">
        <v>801</v>
      </c>
      <c r="H12" s="290" t="s">
        <v>347</v>
      </c>
      <c r="I12" s="290" t="n">
        <v>67</v>
      </c>
      <c r="J12" s="3"/>
      <c r="K12" s="290" t="s">
        <v>741</v>
      </c>
      <c r="L12" s="290" t="n">
        <v>5</v>
      </c>
      <c r="M12" s="290" t="s">
        <v>742</v>
      </c>
      <c r="N12" s="290" t="s">
        <v>743</v>
      </c>
      <c r="O12" s="290" t="s">
        <v>763</v>
      </c>
      <c r="P12" s="290" t="s">
        <v>745</v>
      </c>
      <c r="Q12" s="290" t="s">
        <v>746</v>
      </c>
      <c r="R12" s="315" t="b">
        <f aca="false">FALSE()</f>
        <v>0</v>
      </c>
      <c r="S12" s="290" t="n">
        <v>80</v>
      </c>
      <c r="T12" s="290" t="n">
        <v>80</v>
      </c>
      <c r="U12" s="290" t="n">
        <v>95</v>
      </c>
      <c r="V12" s="290" t="n">
        <v>120</v>
      </c>
      <c r="W12" s="290" t="n">
        <v>100</v>
      </c>
      <c r="X12" s="290" t="n">
        <v>100</v>
      </c>
      <c r="Y12" s="290" t="n">
        <v>1</v>
      </c>
      <c r="Z12" s="290" t="n">
        <v>1</v>
      </c>
      <c r="AA12" s="290" t="n">
        <v>1</v>
      </c>
      <c r="AB12" s="290" t="n">
        <v>2980</v>
      </c>
      <c r="AC12" s="290" t="s">
        <v>747</v>
      </c>
      <c r="AD12" s="290" t="s">
        <v>182</v>
      </c>
      <c r="AE12" s="290" t="n">
        <v>75</v>
      </c>
      <c r="AF12" s="290" t="n">
        <v>120</v>
      </c>
      <c r="AG12" s="290" t="n">
        <v>300</v>
      </c>
      <c r="AH12" s="290" t="n">
        <v>420</v>
      </c>
      <c r="AI12" s="290" t="n">
        <v>190</v>
      </c>
      <c r="AJ12" s="315" t="b">
        <f aca="false">FALSE()</f>
        <v>0</v>
      </c>
      <c r="AK12" s="315" t="b">
        <f aca="false">FALSE()</f>
        <v>0</v>
      </c>
      <c r="AL12" s="290" t="s">
        <v>748</v>
      </c>
      <c r="AM12" s="315" t="b">
        <f aca="false">FALSE()</f>
        <v>0</v>
      </c>
      <c r="AN12" s="315" t="b">
        <f aca="false">FALSE()</f>
        <v>0</v>
      </c>
      <c r="AO12" s="290" t="n">
        <v>350</v>
      </c>
      <c r="AP12" s="290" t="n">
        <v>1</v>
      </c>
      <c r="AQ12" s="290" t="n">
        <v>5</v>
      </c>
      <c r="AR12" s="290" t="n">
        <v>25</v>
      </c>
      <c r="AS12" s="290" t="n">
        <v>90</v>
      </c>
      <c r="AT12" s="290" t="n">
        <v>1</v>
      </c>
      <c r="AU12" s="315" t="b">
        <f aca="false">FALSE()</f>
        <v>0</v>
      </c>
      <c r="AV12" s="315" t="b">
        <f aca="false">FALSE()</f>
        <v>0</v>
      </c>
      <c r="AW12" s="290" t="n">
        <v>5</v>
      </c>
      <c r="AX12" s="315" t="b">
        <f aca="false">TRUE()</f>
        <v>1</v>
      </c>
      <c r="AY12" s="315" t="b">
        <f aca="false">TRUE()</f>
        <v>1</v>
      </c>
      <c r="AZ12" s="290" t="n">
        <v>100</v>
      </c>
      <c r="BA12" s="290" t="n">
        <v>50</v>
      </c>
      <c r="BB12" s="290" t="n">
        <v>850</v>
      </c>
      <c r="BC12" s="290" t="n">
        <v>0</v>
      </c>
      <c r="BD12" s="290" t="n">
        <v>0</v>
      </c>
      <c r="BE12" s="290" t="n">
        <v>0</v>
      </c>
      <c r="BF12" s="290" t="n">
        <v>0</v>
      </c>
      <c r="BG12" s="290" t="n">
        <v>0</v>
      </c>
      <c r="BH12" s="290" t="n">
        <v>0</v>
      </c>
      <c r="BI12" s="290" t="n">
        <v>0</v>
      </c>
      <c r="BJ12" s="290" t="n">
        <v>3</v>
      </c>
      <c r="BK12" s="290" t="n">
        <v>0</v>
      </c>
      <c r="BL12" s="290" t="n">
        <v>0</v>
      </c>
      <c r="BM12" s="290" t="n">
        <v>0</v>
      </c>
      <c r="BN12" s="290" t="n">
        <v>0</v>
      </c>
      <c r="BO12" s="290" t="n">
        <v>0</v>
      </c>
      <c r="BP12" s="290" t="s">
        <v>802</v>
      </c>
      <c r="BQ12" s="290" t="s">
        <v>182</v>
      </c>
      <c r="BR12" s="290" t="s">
        <v>182</v>
      </c>
      <c r="BS12" s="290" t="s">
        <v>182</v>
      </c>
      <c r="BT12" s="290" t="n">
        <v>11</v>
      </c>
      <c r="BU12" s="316" t="b">
        <f aca="false">FALSE()</f>
        <v>0</v>
      </c>
      <c r="BV12" s="290"/>
      <c r="BW12" s="3"/>
      <c r="BX12" s="85" t="n">
        <v>19</v>
      </c>
      <c r="BY12" s="3" t="s">
        <v>803</v>
      </c>
      <c r="BZ12" s="3" t="s">
        <v>804</v>
      </c>
      <c r="CA12" s="3" t="s">
        <v>805</v>
      </c>
      <c r="CB12" s="85" t="n">
        <v>1.1</v>
      </c>
      <c r="CC12" s="85" t="n">
        <v>1.3</v>
      </c>
      <c r="CD12" s="85" t="n">
        <v>1.6</v>
      </c>
      <c r="CE12" s="85" t="n">
        <v>2</v>
      </c>
      <c r="CF12" s="85" t="n">
        <v>2.5</v>
      </c>
      <c r="CG12" s="3" t="n">
        <f aca="false">IF(BZ12="Saddle",TRUE(),)</f>
        <v>0</v>
      </c>
      <c r="CH12" s="3"/>
      <c r="CI12" s="3"/>
      <c r="CJ12" s="3"/>
      <c r="CK12" s="3"/>
      <c r="CL12" s="3"/>
      <c r="CM12" s="3"/>
      <c r="CN12" s="3"/>
      <c r="CO12" s="3"/>
      <c r="CP12" s="3"/>
      <c r="CQ12" s="3"/>
      <c r="CR12" s="3"/>
      <c r="CS12" s="3"/>
      <c r="CT12" s="3"/>
      <c r="CU12" s="3"/>
      <c r="CV12" s="3" t="s">
        <v>806</v>
      </c>
      <c r="CW12" s="3" t="s">
        <v>806</v>
      </c>
      <c r="CX12" s="3" t="s">
        <v>806</v>
      </c>
      <c r="CY12" s="3" t="s">
        <v>806</v>
      </c>
      <c r="CZ12" s="3" t="s">
        <v>806</v>
      </c>
    </row>
    <row r="13" customFormat="false" ht="15.75" hidden="false" customHeight="false" outlineLevel="0" collapsed="false">
      <c r="A13" s="290" t="s">
        <v>63</v>
      </c>
      <c r="B13" s="290" t="s">
        <v>323</v>
      </c>
      <c r="C13" s="290" t="s">
        <v>182</v>
      </c>
      <c r="D13" s="290" t="s">
        <v>182</v>
      </c>
      <c r="E13" s="290" t="s">
        <v>182</v>
      </c>
      <c r="F13" s="315" t="b">
        <f aca="false">TRUE()</f>
        <v>1</v>
      </c>
      <c r="G13" s="290" t="s">
        <v>807</v>
      </c>
      <c r="H13" s="290" t="s">
        <v>323</v>
      </c>
      <c r="I13" s="290" t="n">
        <v>47</v>
      </c>
      <c r="J13" s="3"/>
      <c r="K13" s="290" t="s">
        <v>741</v>
      </c>
      <c r="L13" s="290" t="n">
        <v>2</v>
      </c>
      <c r="M13" s="290" t="s">
        <v>789</v>
      </c>
      <c r="N13" s="290" t="s">
        <v>743</v>
      </c>
      <c r="O13" s="290" t="s">
        <v>790</v>
      </c>
      <c r="P13" s="290" t="s">
        <v>745</v>
      </c>
      <c r="Q13" s="290" t="s">
        <v>746</v>
      </c>
      <c r="R13" s="315" t="b">
        <f aca="false">FALSE()</f>
        <v>0</v>
      </c>
      <c r="S13" s="290" t="n">
        <v>75</v>
      </c>
      <c r="T13" s="290" t="n">
        <v>120</v>
      </c>
      <c r="U13" s="290" t="n">
        <v>85</v>
      </c>
      <c r="V13" s="290" t="n">
        <v>60</v>
      </c>
      <c r="W13" s="290" t="n">
        <v>100</v>
      </c>
      <c r="X13" s="290" t="n">
        <v>100</v>
      </c>
      <c r="Y13" s="290" t="n">
        <v>1</v>
      </c>
      <c r="Z13" s="290" t="n">
        <v>1</v>
      </c>
      <c r="AA13" s="290" t="n">
        <v>1</v>
      </c>
      <c r="AB13" s="290" t="n">
        <v>2010</v>
      </c>
      <c r="AC13" s="290" t="s">
        <v>747</v>
      </c>
      <c r="AD13" s="290" t="s">
        <v>182</v>
      </c>
      <c r="AE13" s="290" t="n">
        <v>100</v>
      </c>
      <c r="AF13" s="290" t="n">
        <v>200</v>
      </c>
      <c r="AG13" s="290" t="n">
        <v>600</v>
      </c>
      <c r="AH13" s="290" t="n">
        <v>700</v>
      </c>
      <c r="AI13" s="290" t="n">
        <v>400</v>
      </c>
      <c r="AJ13" s="315" t="b">
        <f aca="false">FALSE()</f>
        <v>0</v>
      </c>
      <c r="AK13" s="315" t="b">
        <f aca="false">FALSE()</f>
        <v>0</v>
      </c>
      <c r="AL13" s="290" t="s">
        <v>765</v>
      </c>
      <c r="AM13" s="315" t="b">
        <f aca="false">FALSE()</f>
        <v>0</v>
      </c>
      <c r="AN13" s="315" t="b">
        <f aca="false">FALSE()</f>
        <v>0</v>
      </c>
      <c r="AO13" s="290" t="n">
        <v>300</v>
      </c>
      <c r="AP13" s="290" t="n">
        <v>1</v>
      </c>
      <c r="AQ13" s="290" t="n">
        <v>4</v>
      </c>
      <c r="AR13" s="290" t="n">
        <v>25</v>
      </c>
      <c r="AS13" s="290" t="n">
        <v>90</v>
      </c>
      <c r="AT13" s="290" t="n">
        <v>1</v>
      </c>
      <c r="AU13" s="315" t="b">
        <f aca="false">FALSE()</f>
        <v>0</v>
      </c>
      <c r="AV13" s="315" t="b">
        <f aca="false">FALSE()</f>
        <v>0</v>
      </c>
      <c r="AW13" s="290" t="n">
        <v>1</v>
      </c>
      <c r="AX13" s="315" t="b">
        <f aca="false">TRUE()</f>
        <v>1</v>
      </c>
      <c r="AY13" s="315" t="b">
        <f aca="false">TRUE()</f>
        <v>1</v>
      </c>
      <c r="AZ13" s="290" t="n">
        <v>100</v>
      </c>
      <c r="BA13" s="290" t="n">
        <v>50</v>
      </c>
      <c r="BB13" s="290" t="n">
        <v>1030</v>
      </c>
      <c r="BC13" s="290" t="n">
        <v>0</v>
      </c>
      <c r="BD13" s="290" t="n">
        <v>0</v>
      </c>
      <c r="BE13" s="290" t="n">
        <v>0</v>
      </c>
      <c r="BF13" s="290" t="n">
        <v>0</v>
      </c>
      <c r="BG13" s="290" t="n">
        <v>0</v>
      </c>
      <c r="BH13" s="290" t="n">
        <v>2</v>
      </c>
      <c r="BI13" s="290" t="n">
        <v>0</v>
      </c>
      <c r="BJ13" s="290" t="n">
        <v>0</v>
      </c>
      <c r="BK13" s="290" t="n">
        <v>0</v>
      </c>
      <c r="BL13" s="290" t="n">
        <v>0</v>
      </c>
      <c r="BM13" s="290" t="n">
        <v>0</v>
      </c>
      <c r="BN13" s="290" t="n">
        <v>0</v>
      </c>
      <c r="BO13" s="290" t="n">
        <v>0</v>
      </c>
      <c r="BP13" s="290" t="s">
        <v>182</v>
      </c>
      <c r="BQ13" s="290" t="s">
        <v>182</v>
      </c>
      <c r="BR13" s="290" t="s">
        <v>182</v>
      </c>
      <c r="BS13" s="290" t="s">
        <v>182</v>
      </c>
      <c r="BT13" s="290" t="n">
        <v>12</v>
      </c>
      <c r="BU13" s="316" t="b">
        <f aca="false">FALSE()</f>
        <v>0</v>
      </c>
      <c r="BV13" s="290"/>
      <c r="BW13" s="3"/>
      <c r="BX13" s="85" t="n">
        <v>23</v>
      </c>
      <c r="BY13" s="3" t="s">
        <v>808</v>
      </c>
      <c r="BZ13" s="3" t="s">
        <v>809</v>
      </c>
      <c r="CA13" s="3"/>
      <c r="CB13" s="3"/>
      <c r="CC13" s="3"/>
      <c r="CD13" s="3"/>
      <c r="CE13" s="3"/>
      <c r="CF13" s="3"/>
      <c r="CG13" s="3" t="n">
        <f aca="false">IF(BZ13="Saddle",TRUE(),)</f>
        <v>0</v>
      </c>
      <c r="CH13" s="3"/>
      <c r="CI13" s="3"/>
      <c r="CJ13" s="3"/>
      <c r="CK13" s="3"/>
      <c r="CL13" s="3"/>
      <c r="CM13" s="3"/>
      <c r="CN13" s="3"/>
      <c r="CO13" s="3"/>
      <c r="CP13" s="3"/>
      <c r="CQ13" s="3"/>
      <c r="CR13" s="3"/>
      <c r="CS13" s="3"/>
      <c r="CT13" s="3"/>
      <c r="CU13" s="3"/>
      <c r="CV13" s="3"/>
      <c r="CW13" s="3"/>
      <c r="CX13" s="3"/>
      <c r="CY13" s="3"/>
      <c r="CZ13" s="3"/>
    </row>
    <row r="14" customFormat="false" ht="15.75" hidden="false" customHeight="false" outlineLevel="0" collapsed="false">
      <c r="A14" s="290" t="s">
        <v>68</v>
      </c>
      <c r="B14" s="290" t="s">
        <v>393</v>
      </c>
      <c r="C14" s="290" t="s">
        <v>182</v>
      </c>
      <c r="D14" s="290" t="s">
        <v>182</v>
      </c>
      <c r="E14" s="290" t="s">
        <v>182</v>
      </c>
      <c r="F14" s="315" t="b">
        <f aca="false">TRUE()</f>
        <v>1</v>
      </c>
      <c r="G14" s="290" t="s">
        <v>444</v>
      </c>
      <c r="H14" s="290" t="s">
        <v>393</v>
      </c>
      <c r="I14" s="290" t="n">
        <v>103</v>
      </c>
      <c r="J14" s="290" t="s">
        <v>761</v>
      </c>
      <c r="K14" s="290" t="s">
        <v>793</v>
      </c>
      <c r="L14" s="290" t="n">
        <v>8</v>
      </c>
      <c r="M14" s="290" t="s">
        <v>810</v>
      </c>
      <c r="N14" s="290" t="s">
        <v>743</v>
      </c>
      <c r="O14" s="290" t="s">
        <v>744</v>
      </c>
      <c r="P14" s="290" t="s">
        <v>745</v>
      </c>
      <c r="Q14" s="290" t="s">
        <v>746</v>
      </c>
      <c r="R14" s="315" t="b">
        <f aca="false">FALSE()</f>
        <v>0</v>
      </c>
      <c r="S14" s="290" t="n">
        <v>105</v>
      </c>
      <c r="T14" s="290" t="n">
        <v>120</v>
      </c>
      <c r="U14" s="290" t="n">
        <v>100</v>
      </c>
      <c r="V14" s="290" t="n">
        <v>100</v>
      </c>
      <c r="W14" s="290" t="n">
        <v>100</v>
      </c>
      <c r="X14" s="290" t="n">
        <v>100</v>
      </c>
      <c r="Y14" s="290" t="n">
        <v>1</v>
      </c>
      <c r="Z14" s="290" t="n">
        <v>1</v>
      </c>
      <c r="AA14" s="290" t="n">
        <v>1</v>
      </c>
      <c r="AB14" s="290" t="n">
        <v>7720</v>
      </c>
      <c r="AC14" s="290" t="s">
        <v>747</v>
      </c>
      <c r="AD14" s="290" t="s">
        <v>182</v>
      </c>
      <c r="AE14" s="290" t="n">
        <v>80</v>
      </c>
      <c r="AF14" s="290" t="n">
        <v>140</v>
      </c>
      <c r="AG14" s="290" t="n">
        <v>470</v>
      </c>
      <c r="AH14" s="290" t="n">
        <v>550</v>
      </c>
      <c r="AI14" s="290" t="n">
        <v>210</v>
      </c>
      <c r="AJ14" s="315" t="b">
        <f aca="false">FALSE()</f>
        <v>0</v>
      </c>
      <c r="AK14" s="315" t="b">
        <f aca="false">FALSE()</f>
        <v>0</v>
      </c>
      <c r="AL14" s="290" t="s">
        <v>748</v>
      </c>
      <c r="AM14" s="315" t="b">
        <f aca="false">FALSE()</f>
        <v>0</v>
      </c>
      <c r="AN14" s="315" t="b">
        <f aca="false">FALSE()</f>
        <v>0</v>
      </c>
      <c r="AO14" s="290" t="n">
        <v>475</v>
      </c>
      <c r="AP14" s="290" t="n">
        <v>1</v>
      </c>
      <c r="AQ14" s="290" t="n">
        <v>7</v>
      </c>
      <c r="AR14" s="290" t="n">
        <v>25</v>
      </c>
      <c r="AS14" s="290" t="n">
        <v>90</v>
      </c>
      <c r="AT14" s="290" t="n">
        <v>1</v>
      </c>
      <c r="AU14" s="315" t="b">
        <f aca="false">FALSE()</f>
        <v>0</v>
      </c>
      <c r="AV14" s="315" t="b">
        <f aca="false">FALSE()</f>
        <v>0</v>
      </c>
      <c r="AW14" s="290" t="n">
        <v>5</v>
      </c>
      <c r="AX14" s="315" t="b">
        <f aca="false">TRUE()</f>
        <v>1</v>
      </c>
      <c r="AY14" s="315" t="b">
        <f aca="false">TRUE()</f>
        <v>1</v>
      </c>
      <c r="AZ14" s="290" t="n">
        <v>100</v>
      </c>
      <c r="BA14" s="290" t="n">
        <v>50</v>
      </c>
      <c r="BB14" s="290" t="n">
        <v>200</v>
      </c>
      <c r="BC14" s="290" t="n">
        <v>0</v>
      </c>
      <c r="BD14" s="290" t="n">
        <v>0</v>
      </c>
      <c r="BE14" s="290" t="n">
        <v>0</v>
      </c>
      <c r="BF14" s="290" t="n">
        <v>3</v>
      </c>
      <c r="BG14" s="290" t="n">
        <v>2</v>
      </c>
      <c r="BH14" s="290" t="n">
        <v>0</v>
      </c>
      <c r="BI14" s="290" t="n">
        <v>2</v>
      </c>
      <c r="BJ14" s="290" t="n">
        <v>0</v>
      </c>
      <c r="BK14" s="290" t="n">
        <v>0</v>
      </c>
      <c r="BL14" s="290" t="n">
        <v>0</v>
      </c>
      <c r="BM14" s="290" t="n">
        <v>0</v>
      </c>
      <c r="BN14" s="290" t="n">
        <v>3</v>
      </c>
      <c r="BO14" s="290" t="n">
        <v>0</v>
      </c>
      <c r="BP14" s="290" t="s">
        <v>182</v>
      </c>
      <c r="BQ14" s="290" t="s">
        <v>182</v>
      </c>
      <c r="BR14" s="290" t="s">
        <v>182</v>
      </c>
      <c r="BS14" s="290" t="s">
        <v>182</v>
      </c>
      <c r="BT14" s="290" t="n">
        <v>13</v>
      </c>
      <c r="BU14" s="316" t="b">
        <f aca="false">TRUE()</f>
        <v>1</v>
      </c>
      <c r="BV14" s="290"/>
      <c r="BW14" s="3"/>
      <c r="BX14" s="85" t="n">
        <v>40</v>
      </c>
      <c r="BY14" s="3" t="s">
        <v>811</v>
      </c>
      <c r="BZ14" s="3" t="s">
        <v>775</v>
      </c>
      <c r="CA14" s="3" t="s">
        <v>812</v>
      </c>
      <c r="CB14" s="85" t="n">
        <v>6</v>
      </c>
      <c r="CC14" s="85" t="n">
        <v>6.6</v>
      </c>
      <c r="CD14" s="85" t="n">
        <v>7.8</v>
      </c>
      <c r="CE14" s="85" t="n">
        <v>9.6</v>
      </c>
      <c r="CF14" s="85" t="n">
        <v>12</v>
      </c>
      <c r="CG14" s="317" t="b">
        <f aca="false">IF(BZ14="Saddle",TRUE(),)</f>
        <v>1</v>
      </c>
      <c r="CH14" s="3" t="s">
        <v>776</v>
      </c>
      <c r="CI14" s="3"/>
      <c r="CJ14" s="3"/>
      <c r="CK14" s="3"/>
      <c r="CL14" s="3"/>
      <c r="CM14" s="3"/>
      <c r="CN14" s="3"/>
      <c r="CO14" s="3"/>
      <c r="CP14" s="3"/>
      <c r="CQ14" s="3"/>
      <c r="CR14" s="3"/>
      <c r="CS14" s="3"/>
      <c r="CT14" s="3"/>
      <c r="CU14" s="3"/>
      <c r="CV14" s="3"/>
      <c r="CW14" s="3"/>
      <c r="CX14" s="3"/>
      <c r="CY14" s="3"/>
      <c r="CZ14" s="3"/>
    </row>
    <row r="15" customFormat="false" ht="15.75" hidden="false" customHeight="false" outlineLevel="0" collapsed="false">
      <c r="A15" s="290" t="s">
        <v>140</v>
      </c>
      <c r="B15" s="290" t="s">
        <v>283</v>
      </c>
      <c r="C15" s="290" t="s">
        <v>182</v>
      </c>
      <c r="D15" s="290" t="s">
        <v>182</v>
      </c>
      <c r="E15" s="290" t="s">
        <v>182</v>
      </c>
      <c r="F15" s="315" t="b">
        <f aca="false">TRUE()</f>
        <v>1</v>
      </c>
      <c r="G15" s="290" t="s">
        <v>813</v>
      </c>
      <c r="H15" s="290" t="s">
        <v>283</v>
      </c>
      <c r="I15" s="290" t="n">
        <v>16</v>
      </c>
      <c r="J15" s="3"/>
      <c r="K15" s="290" t="s">
        <v>741</v>
      </c>
      <c r="L15" s="290" t="n">
        <v>1</v>
      </c>
      <c r="M15" s="290" t="s">
        <v>814</v>
      </c>
      <c r="N15" s="290" t="s">
        <v>743</v>
      </c>
      <c r="O15" s="290" t="s">
        <v>763</v>
      </c>
      <c r="P15" s="290" t="s">
        <v>745</v>
      </c>
      <c r="Q15" s="290" t="s">
        <v>746</v>
      </c>
      <c r="R15" s="315" t="b">
        <f aca="false">FALSE()</f>
        <v>0</v>
      </c>
      <c r="S15" s="290" t="n">
        <v>70</v>
      </c>
      <c r="T15" s="290" t="n">
        <v>70</v>
      </c>
      <c r="U15" s="290" t="n">
        <v>60</v>
      </c>
      <c r="V15" s="290" t="n">
        <v>70</v>
      </c>
      <c r="W15" s="290" t="n">
        <v>100</v>
      </c>
      <c r="X15" s="290" t="n">
        <v>100</v>
      </c>
      <c r="Y15" s="290" t="n">
        <v>1.6</v>
      </c>
      <c r="Z15" s="290" t="n">
        <v>1.3</v>
      </c>
      <c r="AA15" s="290" t="n">
        <v>1</v>
      </c>
      <c r="AB15" s="290" t="n">
        <v>1000</v>
      </c>
      <c r="AC15" s="290" t="s">
        <v>764</v>
      </c>
      <c r="AD15" s="290" t="s">
        <v>182</v>
      </c>
      <c r="AE15" s="290" t="n">
        <v>30</v>
      </c>
      <c r="AF15" s="290" t="n">
        <v>60</v>
      </c>
      <c r="AG15" s="290" t="n">
        <v>300</v>
      </c>
      <c r="AH15" s="290" t="n">
        <v>400</v>
      </c>
      <c r="AI15" s="290" t="n">
        <v>180</v>
      </c>
      <c r="AJ15" s="315" t="b">
        <f aca="false">FALSE()</f>
        <v>0</v>
      </c>
      <c r="AK15" s="315" t="b">
        <f aca="false">FALSE()</f>
        <v>0</v>
      </c>
      <c r="AL15" s="290" t="s">
        <v>765</v>
      </c>
      <c r="AM15" s="315" t="b">
        <f aca="false">FALSE()</f>
        <v>0</v>
      </c>
      <c r="AN15" s="315" t="b">
        <f aca="false">FALSE()</f>
        <v>0</v>
      </c>
      <c r="AO15" s="290" t="n">
        <v>150</v>
      </c>
      <c r="AP15" s="290" t="n">
        <v>1</v>
      </c>
      <c r="AQ15" s="290" t="n">
        <v>2</v>
      </c>
      <c r="AR15" s="290" t="n">
        <v>25</v>
      </c>
      <c r="AS15" s="290" t="n">
        <v>90</v>
      </c>
      <c r="AT15" s="290" t="n">
        <v>1</v>
      </c>
      <c r="AU15" s="315" t="b">
        <f aca="false">FALSE()</f>
        <v>0</v>
      </c>
      <c r="AV15" s="315" t="b">
        <f aca="false">FALSE()</f>
        <v>0</v>
      </c>
      <c r="AW15" s="290" t="n">
        <v>0</v>
      </c>
      <c r="AX15" s="315" t="b">
        <f aca="false">FALSE()</f>
        <v>0</v>
      </c>
      <c r="AY15" s="315" t="b">
        <f aca="false">TRUE()</f>
        <v>1</v>
      </c>
      <c r="AZ15" s="290" t="n">
        <v>100</v>
      </c>
      <c r="BA15" s="290" t="n">
        <v>50</v>
      </c>
      <c r="BB15" s="290" t="n">
        <v>1490</v>
      </c>
      <c r="BC15" s="290" t="n">
        <v>0</v>
      </c>
      <c r="BD15" s="290" t="n">
        <v>1</v>
      </c>
      <c r="BE15" s="290" t="n">
        <v>0</v>
      </c>
      <c r="BF15" s="290" t="n">
        <v>0</v>
      </c>
      <c r="BG15" s="290" t="n">
        <v>0</v>
      </c>
      <c r="BH15" s="290" t="n">
        <v>0</v>
      </c>
      <c r="BI15" s="290" t="n">
        <v>0</v>
      </c>
      <c r="BJ15" s="290" t="n">
        <v>0</v>
      </c>
      <c r="BK15" s="290" t="n">
        <v>0</v>
      </c>
      <c r="BL15" s="290" t="n">
        <v>0</v>
      </c>
      <c r="BM15" s="290" t="n">
        <v>0</v>
      </c>
      <c r="BN15" s="290" t="n">
        <v>0</v>
      </c>
      <c r="BO15" s="290" t="n">
        <v>0</v>
      </c>
      <c r="BP15" s="290" t="s">
        <v>182</v>
      </c>
      <c r="BQ15" s="290" t="s">
        <v>182</v>
      </c>
      <c r="BR15" s="290" t="s">
        <v>182</v>
      </c>
      <c r="BS15" s="290" t="s">
        <v>182</v>
      </c>
      <c r="BT15" s="290" t="n">
        <v>14</v>
      </c>
      <c r="BU15" s="316" t="b">
        <f aca="false">FALSE()</f>
        <v>0</v>
      </c>
      <c r="BV15" s="290"/>
      <c r="BW15" s="3"/>
      <c r="BX15" s="3"/>
      <c r="BY15" s="3"/>
      <c r="BZ15" s="3"/>
      <c r="CA15" s="3" t="s">
        <v>815</v>
      </c>
      <c r="CB15" s="85" t="n">
        <v>200</v>
      </c>
      <c r="CC15" s="85" t="n">
        <v>220</v>
      </c>
      <c r="CD15" s="85" t="n">
        <v>260</v>
      </c>
      <c r="CE15" s="85" t="n">
        <v>320</v>
      </c>
      <c r="CF15" s="85" t="n">
        <v>400</v>
      </c>
      <c r="CG15" s="3" t="n">
        <f aca="false">IF(BZ15="Saddle",TRUE(),)</f>
        <v>0</v>
      </c>
      <c r="CH15" s="3"/>
      <c r="CI15" s="3"/>
      <c r="CJ15" s="3"/>
      <c r="CK15" s="3"/>
      <c r="CL15" s="3"/>
      <c r="CM15" s="3"/>
      <c r="CN15" s="3"/>
      <c r="CO15" s="3"/>
      <c r="CP15" s="3"/>
      <c r="CQ15" s="3"/>
      <c r="CR15" s="3"/>
      <c r="CS15" s="3"/>
      <c r="CT15" s="3"/>
      <c r="CU15" s="3"/>
      <c r="CV15" s="3"/>
      <c r="CW15" s="3"/>
      <c r="CX15" s="3"/>
      <c r="CY15" s="3"/>
      <c r="CZ15" s="3"/>
    </row>
    <row r="16" customFormat="false" ht="15.75" hidden="false" customHeight="false" outlineLevel="0" collapsed="false">
      <c r="A16" s="290" t="s">
        <v>46</v>
      </c>
      <c r="B16" s="290" t="s">
        <v>296</v>
      </c>
      <c r="C16" s="290" t="s">
        <v>182</v>
      </c>
      <c r="D16" s="290" t="s">
        <v>182</v>
      </c>
      <c r="E16" s="290" t="s">
        <v>182</v>
      </c>
      <c r="F16" s="315" t="b">
        <f aca="false">TRUE()</f>
        <v>1</v>
      </c>
      <c r="G16" s="290" t="s">
        <v>816</v>
      </c>
      <c r="H16" s="290" t="s">
        <v>296</v>
      </c>
      <c r="I16" s="290" t="n">
        <v>26</v>
      </c>
      <c r="J16" s="3"/>
      <c r="K16" s="290" t="s">
        <v>773</v>
      </c>
      <c r="L16" s="290" t="n">
        <v>2</v>
      </c>
      <c r="M16" s="290" t="s">
        <v>789</v>
      </c>
      <c r="N16" s="290" t="s">
        <v>743</v>
      </c>
      <c r="O16" s="290" t="s">
        <v>763</v>
      </c>
      <c r="P16" s="290" t="s">
        <v>745</v>
      </c>
      <c r="Q16" s="290" t="s">
        <v>746</v>
      </c>
      <c r="R16" s="315" t="b">
        <f aca="false">FALSE()</f>
        <v>0</v>
      </c>
      <c r="S16" s="290" t="n">
        <v>80</v>
      </c>
      <c r="T16" s="290" t="n">
        <v>110</v>
      </c>
      <c r="U16" s="290" t="n">
        <v>90</v>
      </c>
      <c r="V16" s="290" t="n">
        <v>75</v>
      </c>
      <c r="W16" s="290" t="n">
        <v>100</v>
      </c>
      <c r="X16" s="290" t="n">
        <v>100</v>
      </c>
      <c r="Y16" s="290" t="n">
        <v>1</v>
      </c>
      <c r="Z16" s="290" t="n">
        <v>1</v>
      </c>
      <c r="AA16" s="290" t="n">
        <v>1</v>
      </c>
      <c r="AB16" s="290" t="n">
        <v>1920</v>
      </c>
      <c r="AC16" s="290" t="s">
        <v>747</v>
      </c>
      <c r="AD16" s="290" t="s">
        <v>182</v>
      </c>
      <c r="AE16" s="290" t="n">
        <v>90</v>
      </c>
      <c r="AF16" s="290" t="n">
        <v>180</v>
      </c>
      <c r="AG16" s="290" t="n">
        <v>800</v>
      </c>
      <c r="AH16" s="290" t="n">
        <v>1050</v>
      </c>
      <c r="AI16" s="290" t="n">
        <v>460</v>
      </c>
      <c r="AJ16" s="315" t="b">
        <f aca="false">FALSE()</f>
        <v>0</v>
      </c>
      <c r="AK16" s="315" t="b">
        <f aca="false">FALSE()</f>
        <v>0</v>
      </c>
      <c r="AL16" s="290" t="s">
        <v>765</v>
      </c>
      <c r="AM16" s="315" t="b">
        <f aca="false">FALSE()</f>
        <v>0</v>
      </c>
      <c r="AN16" s="315" t="b">
        <f aca="false">FALSE()</f>
        <v>0</v>
      </c>
      <c r="AO16" s="290" t="n">
        <v>225</v>
      </c>
      <c r="AP16" s="290" t="n">
        <v>1</v>
      </c>
      <c r="AQ16" s="290" t="n">
        <v>3</v>
      </c>
      <c r="AR16" s="290" t="n">
        <v>25</v>
      </c>
      <c r="AS16" s="290" t="n">
        <v>90</v>
      </c>
      <c r="AT16" s="290" t="n">
        <v>1</v>
      </c>
      <c r="AU16" s="315" t="b">
        <f aca="false">FALSE()</f>
        <v>0</v>
      </c>
      <c r="AV16" s="315" t="b">
        <f aca="false">FALSE()</f>
        <v>0</v>
      </c>
      <c r="AW16" s="290" t="n">
        <v>3</v>
      </c>
      <c r="AX16" s="315" t="b">
        <f aca="false">TRUE()</f>
        <v>1</v>
      </c>
      <c r="AY16" s="315" t="b">
        <f aca="false">TRUE()</f>
        <v>1</v>
      </c>
      <c r="AZ16" s="290" t="n">
        <v>70</v>
      </c>
      <c r="BA16" s="290" t="n">
        <v>50</v>
      </c>
      <c r="BB16" s="290" t="n">
        <v>1060</v>
      </c>
      <c r="BC16" s="290" t="n">
        <v>0</v>
      </c>
      <c r="BD16" s="290" t="n">
        <v>0</v>
      </c>
      <c r="BE16" s="290" t="n">
        <v>0</v>
      </c>
      <c r="BF16" s="290" t="n">
        <v>0</v>
      </c>
      <c r="BG16" s="290" t="n">
        <v>0</v>
      </c>
      <c r="BH16" s="290" t="n">
        <v>1</v>
      </c>
      <c r="BI16" s="290" t="n">
        <v>0</v>
      </c>
      <c r="BJ16" s="290" t="n">
        <v>0</v>
      </c>
      <c r="BK16" s="290" t="n">
        <v>0</v>
      </c>
      <c r="BL16" s="290" t="n">
        <v>0</v>
      </c>
      <c r="BM16" s="290" t="n">
        <v>0</v>
      </c>
      <c r="BN16" s="290" t="n">
        <v>0</v>
      </c>
      <c r="BO16" s="290" t="n">
        <v>0</v>
      </c>
      <c r="BP16" s="290" t="s">
        <v>182</v>
      </c>
      <c r="BQ16" s="290" t="s">
        <v>182</v>
      </c>
      <c r="BR16" s="290" t="s">
        <v>182</v>
      </c>
      <c r="BS16" s="290" t="s">
        <v>182</v>
      </c>
      <c r="BT16" s="290" t="n">
        <v>15</v>
      </c>
      <c r="BU16" s="316" t="b">
        <f aca="false">FALSE()</f>
        <v>0</v>
      </c>
      <c r="BV16" s="290"/>
      <c r="BW16" s="3"/>
      <c r="BX16" s="85" t="n">
        <v>9</v>
      </c>
      <c r="BY16" s="3" t="s">
        <v>817</v>
      </c>
      <c r="BZ16" s="3" t="s">
        <v>775</v>
      </c>
      <c r="CA16" s="3"/>
      <c r="CB16" s="3"/>
      <c r="CC16" s="3"/>
      <c r="CD16" s="3"/>
      <c r="CE16" s="3"/>
      <c r="CF16" s="3"/>
      <c r="CG16" s="311" t="b">
        <f aca="false">IF(BZ16="Saddle",TRUE(),)</f>
        <v>1</v>
      </c>
      <c r="CH16" s="3" t="s">
        <v>776</v>
      </c>
      <c r="CI16" s="3"/>
      <c r="CJ16" s="3"/>
      <c r="CK16" s="3"/>
      <c r="CL16" s="3"/>
      <c r="CM16" s="3"/>
      <c r="CN16" s="3"/>
      <c r="CO16" s="3"/>
      <c r="CP16" s="3"/>
      <c r="CQ16" s="3"/>
      <c r="CR16" s="3"/>
      <c r="CS16" s="3"/>
      <c r="CT16" s="3"/>
      <c r="CU16" s="3" t="s">
        <v>818</v>
      </c>
      <c r="CV16" s="3"/>
      <c r="CW16" s="3" t="s">
        <v>819</v>
      </c>
      <c r="CX16" s="3" t="s">
        <v>820</v>
      </c>
      <c r="CY16" s="3" t="s">
        <v>821</v>
      </c>
      <c r="CZ16" s="3" t="s">
        <v>822</v>
      </c>
    </row>
    <row r="17" customFormat="false" ht="15.75" hidden="false" customHeight="false" outlineLevel="0" collapsed="false">
      <c r="A17" s="290" t="s">
        <v>66</v>
      </c>
      <c r="B17" s="290" t="s">
        <v>326</v>
      </c>
      <c r="C17" s="290" t="s">
        <v>182</v>
      </c>
      <c r="D17" s="290" t="s">
        <v>182</v>
      </c>
      <c r="E17" s="290" t="s">
        <v>182</v>
      </c>
      <c r="F17" s="315" t="b">
        <f aca="false">TRUE()</f>
        <v>1</v>
      </c>
      <c r="G17" s="290" t="s">
        <v>823</v>
      </c>
      <c r="H17" s="290" t="s">
        <v>326</v>
      </c>
      <c r="I17" s="290" t="n">
        <v>49</v>
      </c>
      <c r="J17" s="3"/>
      <c r="K17" s="290" t="s">
        <v>773</v>
      </c>
      <c r="L17" s="290" t="n">
        <v>5</v>
      </c>
      <c r="M17" s="290" t="s">
        <v>789</v>
      </c>
      <c r="N17" s="290" t="s">
        <v>743</v>
      </c>
      <c r="O17" s="290" t="s">
        <v>744</v>
      </c>
      <c r="P17" s="290" t="s">
        <v>745</v>
      </c>
      <c r="Q17" s="290" t="s">
        <v>746</v>
      </c>
      <c r="R17" s="315" t="b">
        <f aca="false">FALSE()</f>
        <v>0</v>
      </c>
      <c r="S17" s="290" t="n">
        <v>90</v>
      </c>
      <c r="T17" s="290" t="n">
        <v>110</v>
      </c>
      <c r="U17" s="290" t="n">
        <v>95</v>
      </c>
      <c r="V17" s="290" t="n">
        <v>90</v>
      </c>
      <c r="W17" s="290" t="n">
        <v>100</v>
      </c>
      <c r="X17" s="290" t="n">
        <v>100</v>
      </c>
      <c r="Y17" s="290" t="n">
        <v>1</v>
      </c>
      <c r="Z17" s="290" t="n">
        <v>1</v>
      </c>
      <c r="AA17" s="290" t="n">
        <v>1</v>
      </c>
      <c r="AB17" s="290" t="n">
        <v>2010</v>
      </c>
      <c r="AC17" s="290" t="s">
        <v>747</v>
      </c>
      <c r="AD17" s="290" t="s">
        <v>182</v>
      </c>
      <c r="AE17" s="290" t="n">
        <v>66</v>
      </c>
      <c r="AF17" s="290" t="n">
        <v>100</v>
      </c>
      <c r="AG17" s="290" t="n">
        <v>550</v>
      </c>
      <c r="AH17" s="290" t="n">
        <v>720</v>
      </c>
      <c r="AI17" s="290" t="n">
        <v>250</v>
      </c>
      <c r="AJ17" s="315" t="b">
        <f aca="false">FALSE()</f>
        <v>0</v>
      </c>
      <c r="AK17" s="315" t="b">
        <f aca="false">FALSE()</f>
        <v>0</v>
      </c>
      <c r="AL17" s="290" t="s">
        <v>748</v>
      </c>
      <c r="AM17" s="315" t="b">
        <f aca="false">FALSE()</f>
        <v>0</v>
      </c>
      <c r="AN17" s="315" t="b">
        <f aca="false">FALSE()</f>
        <v>0</v>
      </c>
      <c r="AO17" s="290" t="n">
        <v>225</v>
      </c>
      <c r="AP17" s="290" t="n">
        <v>1</v>
      </c>
      <c r="AQ17" s="290" t="n">
        <v>3</v>
      </c>
      <c r="AR17" s="290" t="n">
        <v>25</v>
      </c>
      <c r="AS17" s="290" t="n">
        <v>90</v>
      </c>
      <c r="AT17" s="290" t="n">
        <v>1</v>
      </c>
      <c r="AU17" s="315" t="b">
        <f aca="false">FALSE()</f>
        <v>0</v>
      </c>
      <c r="AV17" s="315" t="b">
        <f aca="false">FALSE()</f>
        <v>0</v>
      </c>
      <c r="AW17" s="290" t="n">
        <v>3</v>
      </c>
      <c r="AX17" s="315" t="b">
        <f aca="false">TRUE()</f>
        <v>1</v>
      </c>
      <c r="AY17" s="315" t="b">
        <f aca="false">TRUE()</f>
        <v>1</v>
      </c>
      <c r="AZ17" s="290" t="n">
        <v>100</v>
      </c>
      <c r="BA17" s="290" t="n">
        <v>50</v>
      </c>
      <c r="BB17" s="290" t="n">
        <v>1040</v>
      </c>
      <c r="BC17" s="290" t="n">
        <v>0</v>
      </c>
      <c r="BD17" s="290" t="n">
        <v>0</v>
      </c>
      <c r="BE17" s="290" t="n">
        <v>0</v>
      </c>
      <c r="BF17" s="290" t="n">
        <v>0</v>
      </c>
      <c r="BG17" s="290" t="n">
        <v>1</v>
      </c>
      <c r="BH17" s="290" t="n">
        <v>0</v>
      </c>
      <c r="BI17" s="290" t="n">
        <v>2</v>
      </c>
      <c r="BJ17" s="290" t="n">
        <v>0</v>
      </c>
      <c r="BK17" s="290" t="n">
        <v>0</v>
      </c>
      <c r="BL17" s="290" t="n">
        <v>0</v>
      </c>
      <c r="BM17" s="290" t="n">
        <v>0</v>
      </c>
      <c r="BN17" s="290" t="n">
        <v>3</v>
      </c>
      <c r="BO17" s="290" t="n">
        <v>0</v>
      </c>
      <c r="BP17" s="290" t="s">
        <v>824</v>
      </c>
      <c r="BQ17" s="290" t="s">
        <v>182</v>
      </c>
      <c r="BR17" s="290" t="s">
        <v>182</v>
      </c>
      <c r="BS17" s="290" t="s">
        <v>182</v>
      </c>
      <c r="BT17" s="290" t="n">
        <v>16</v>
      </c>
      <c r="BU17" s="316" t="b">
        <f aca="false">FALSE()</f>
        <v>0</v>
      </c>
      <c r="BV17" s="290"/>
      <c r="BW17" s="3"/>
      <c r="BX17" s="3"/>
      <c r="BY17" s="3"/>
      <c r="BZ17" s="3"/>
      <c r="CA17" s="3" t="s">
        <v>825</v>
      </c>
      <c r="CB17" s="3"/>
      <c r="CC17" s="3"/>
      <c r="CD17" s="3"/>
      <c r="CE17" s="3"/>
      <c r="CF17" s="3"/>
      <c r="CG17" s="3" t="n">
        <f aca="false">IF(BZ17="Saddle",TRUE(),)</f>
        <v>0</v>
      </c>
      <c r="CH17" s="3"/>
      <c r="CI17" s="3"/>
      <c r="CJ17" s="3"/>
      <c r="CK17" s="3"/>
      <c r="CL17" s="3"/>
      <c r="CM17" s="3"/>
      <c r="CN17" s="3"/>
      <c r="CO17" s="3"/>
      <c r="CP17" s="3"/>
      <c r="CQ17" s="3"/>
      <c r="CR17" s="3"/>
      <c r="CS17" s="3"/>
      <c r="CT17" s="3"/>
      <c r="CU17" s="3" t="s">
        <v>826</v>
      </c>
      <c r="CV17" s="3" t="s">
        <v>827</v>
      </c>
      <c r="CW17" s="3" t="s">
        <v>828</v>
      </c>
      <c r="CX17" s="3" t="s">
        <v>829</v>
      </c>
      <c r="CY17" s="3" t="s">
        <v>830</v>
      </c>
      <c r="CZ17" s="3" t="s">
        <v>831</v>
      </c>
    </row>
    <row r="18" customFormat="false" ht="15.75" hidden="false" customHeight="false" outlineLevel="0" collapsed="false">
      <c r="A18" s="290" t="s">
        <v>80</v>
      </c>
      <c r="B18" s="290" t="s">
        <v>276</v>
      </c>
      <c r="C18" s="290" t="s">
        <v>182</v>
      </c>
      <c r="D18" s="290" t="s">
        <v>182</v>
      </c>
      <c r="E18" s="290" t="s">
        <v>182</v>
      </c>
      <c r="F18" s="315" t="b">
        <f aca="false">TRUE()</f>
        <v>1</v>
      </c>
      <c r="G18" s="290" t="s">
        <v>449</v>
      </c>
      <c r="H18" s="290" t="s">
        <v>276</v>
      </c>
      <c r="I18" s="290" t="n">
        <v>12</v>
      </c>
      <c r="J18" s="3"/>
      <c r="K18" s="290" t="s">
        <v>762</v>
      </c>
      <c r="L18" s="290" t="n">
        <v>1</v>
      </c>
      <c r="M18" s="290" t="s">
        <v>810</v>
      </c>
      <c r="N18" s="290" t="s">
        <v>743</v>
      </c>
      <c r="O18" s="290" t="s">
        <v>763</v>
      </c>
      <c r="P18" s="290" t="s">
        <v>745</v>
      </c>
      <c r="Q18" s="290" t="s">
        <v>746</v>
      </c>
      <c r="R18" s="315" t="b">
        <f aca="false">FALSE()</f>
        <v>0</v>
      </c>
      <c r="S18" s="290" t="n">
        <v>70</v>
      </c>
      <c r="T18" s="290" t="n">
        <v>70</v>
      </c>
      <c r="U18" s="290" t="n">
        <v>75</v>
      </c>
      <c r="V18" s="290" t="n">
        <v>70</v>
      </c>
      <c r="W18" s="290" t="n">
        <v>100</v>
      </c>
      <c r="X18" s="290" t="n">
        <v>100</v>
      </c>
      <c r="Y18" s="290" t="n">
        <v>1.3</v>
      </c>
      <c r="Z18" s="290" t="n">
        <v>1.2</v>
      </c>
      <c r="AA18" s="290" t="n">
        <v>1</v>
      </c>
      <c r="AB18" s="290" t="n">
        <v>1060</v>
      </c>
      <c r="AC18" s="290" t="s">
        <v>764</v>
      </c>
      <c r="AD18" s="290" t="s">
        <v>182</v>
      </c>
      <c r="AE18" s="290" t="n">
        <v>30</v>
      </c>
      <c r="AF18" s="290" t="n">
        <v>60</v>
      </c>
      <c r="AG18" s="290" t="n">
        <v>400</v>
      </c>
      <c r="AH18" s="290" t="n">
        <v>550</v>
      </c>
      <c r="AI18" s="290" t="n">
        <v>215</v>
      </c>
      <c r="AJ18" s="315" t="b">
        <f aca="false">FALSE()</f>
        <v>0</v>
      </c>
      <c r="AK18" s="315" t="b">
        <f aca="false">FALSE()</f>
        <v>0</v>
      </c>
      <c r="AL18" s="290" t="s">
        <v>765</v>
      </c>
      <c r="AM18" s="315" t="b">
        <f aca="false">FALSE()</f>
        <v>0</v>
      </c>
      <c r="AN18" s="315" t="b">
        <f aca="false">FALSE()</f>
        <v>0</v>
      </c>
      <c r="AO18" s="290" t="n">
        <v>150</v>
      </c>
      <c r="AP18" s="290" t="n">
        <v>1</v>
      </c>
      <c r="AQ18" s="290" t="n">
        <v>2</v>
      </c>
      <c r="AR18" s="290" t="n">
        <v>25</v>
      </c>
      <c r="AS18" s="290" t="n">
        <v>90</v>
      </c>
      <c r="AT18" s="290" t="n">
        <v>1</v>
      </c>
      <c r="AU18" s="315" t="b">
        <f aca="false">TRUE()</f>
        <v>1</v>
      </c>
      <c r="AV18" s="315" t="b">
        <f aca="false">FALSE()</f>
        <v>0</v>
      </c>
      <c r="AW18" s="290" t="n">
        <v>0</v>
      </c>
      <c r="AX18" s="315" t="b">
        <f aca="false">FALSE()</f>
        <v>0</v>
      </c>
      <c r="AY18" s="315" t="b">
        <f aca="false">TRUE()</f>
        <v>1</v>
      </c>
      <c r="AZ18" s="290" t="n">
        <v>100</v>
      </c>
      <c r="BA18" s="290" t="n">
        <v>50</v>
      </c>
      <c r="BB18" s="290" t="n">
        <v>1370</v>
      </c>
      <c r="BC18" s="290" t="n">
        <v>0</v>
      </c>
      <c r="BD18" s="290" t="n">
        <v>0</v>
      </c>
      <c r="BE18" s="290" t="n">
        <v>0</v>
      </c>
      <c r="BF18" s="290" t="n">
        <v>1</v>
      </c>
      <c r="BG18" s="290" t="n">
        <v>0</v>
      </c>
      <c r="BH18" s="290" t="n">
        <v>0</v>
      </c>
      <c r="BI18" s="290" t="n">
        <v>0</v>
      </c>
      <c r="BJ18" s="290" t="n">
        <v>0</v>
      </c>
      <c r="BK18" s="290" t="n">
        <v>0</v>
      </c>
      <c r="BL18" s="290" t="n">
        <v>0</v>
      </c>
      <c r="BM18" s="290" t="n">
        <v>0</v>
      </c>
      <c r="BN18" s="290" t="n">
        <v>0</v>
      </c>
      <c r="BO18" s="290" t="n">
        <v>0</v>
      </c>
      <c r="BP18" s="290" t="s">
        <v>182</v>
      </c>
      <c r="BQ18" s="290" t="s">
        <v>182</v>
      </c>
      <c r="BR18" s="290" t="s">
        <v>182</v>
      </c>
      <c r="BS18" s="290" t="s">
        <v>182</v>
      </c>
      <c r="BT18" s="290" t="n">
        <v>17</v>
      </c>
      <c r="BU18" s="316" t="b">
        <f aca="false">FALSE()</f>
        <v>0</v>
      </c>
      <c r="BV18" s="290"/>
      <c r="BW18" s="3"/>
      <c r="BX18" s="85" t="n">
        <v>8</v>
      </c>
      <c r="BY18" s="3" t="s">
        <v>832</v>
      </c>
      <c r="BZ18" s="3"/>
      <c r="CA18" s="3" t="s">
        <v>833</v>
      </c>
      <c r="CB18" s="85" t="n">
        <v>100</v>
      </c>
      <c r="CC18" s="85" t="n">
        <v>110</v>
      </c>
      <c r="CD18" s="85" t="n">
        <v>130</v>
      </c>
      <c r="CE18" s="85" t="n">
        <v>160</v>
      </c>
      <c r="CF18" s="85" t="n">
        <v>200</v>
      </c>
      <c r="CG18" s="3" t="n">
        <f aca="false">IF(BZ18="Saddle",TRUE(),)</f>
        <v>0</v>
      </c>
      <c r="CH18" s="3"/>
      <c r="CI18" s="3"/>
      <c r="CJ18" s="3"/>
      <c r="CK18" s="3"/>
      <c r="CL18" s="3"/>
      <c r="CM18" s="3"/>
      <c r="CN18" s="3"/>
      <c r="CO18" s="3"/>
      <c r="CP18" s="3"/>
      <c r="CQ18" s="3"/>
      <c r="CR18" s="3"/>
      <c r="CS18" s="3"/>
      <c r="CT18" s="3"/>
      <c r="CU18" s="3"/>
      <c r="CV18" s="3"/>
      <c r="CW18" s="3"/>
      <c r="CX18" s="3"/>
      <c r="CY18" s="3"/>
      <c r="CZ18" s="3"/>
    </row>
    <row r="19" customFormat="false" ht="15.75" hidden="false" customHeight="false" outlineLevel="0" collapsed="false">
      <c r="A19" s="290" t="s">
        <v>81</v>
      </c>
      <c r="B19" s="290" t="s">
        <v>277</v>
      </c>
      <c r="C19" s="290" t="s">
        <v>182</v>
      </c>
      <c r="D19" s="290" t="s">
        <v>182</v>
      </c>
      <c r="E19" s="290" t="s">
        <v>182</v>
      </c>
      <c r="F19" s="315" t="b">
        <f aca="false">TRUE()</f>
        <v>1</v>
      </c>
      <c r="G19" s="290" t="s">
        <v>530</v>
      </c>
      <c r="H19" s="290" t="s">
        <v>277</v>
      </c>
      <c r="I19" s="290" t="n">
        <v>12</v>
      </c>
      <c r="J19" s="290" t="s">
        <v>761</v>
      </c>
      <c r="K19" s="290" t="s">
        <v>762</v>
      </c>
      <c r="L19" s="290" t="n">
        <v>2</v>
      </c>
      <c r="M19" s="290" t="s">
        <v>771</v>
      </c>
      <c r="N19" s="290" t="s">
        <v>743</v>
      </c>
      <c r="O19" s="290" t="s">
        <v>763</v>
      </c>
      <c r="P19" s="290" t="s">
        <v>745</v>
      </c>
      <c r="Q19" s="290" t="s">
        <v>746</v>
      </c>
      <c r="R19" s="315" t="b">
        <f aca="false">FALSE()</f>
        <v>0</v>
      </c>
      <c r="S19" s="290" t="n">
        <v>70</v>
      </c>
      <c r="T19" s="290" t="n">
        <v>70</v>
      </c>
      <c r="U19" s="290" t="n">
        <v>75</v>
      </c>
      <c r="V19" s="290" t="n">
        <v>80</v>
      </c>
      <c r="W19" s="290" t="n">
        <v>100</v>
      </c>
      <c r="X19" s="290" t="n">
        <v>100</v>
      </c>
      <c r="Y19" s="290" t="n">
        <v>1</v>
      </c>
      <c r="Z19" s="290" t="n">
        <v>1</v>
      </c>
      <c r="AA19" s="290" t="n">
        <v>1</v>
      </c>
      <c r="AB19" s="290" t="n">
        <v>1070</v>
      </c>
      <c r="AC19" s="290" t="s">
        <v>764</v>
      </c>
      <c r="AD19" s="290" t="s">
        <v>182</v>
      </c>
      <c r="AE19" s="290" t="n">
        <v>30</v>
      </c>
      <c r="AF19" s="290" t="n">
        <v>60</v>
      </c>
      <c r="AG19" s="290" t="n">
        <v>400</v>
      </c>
      <c r="AH19" s="290" t="n">
        <v>550</v>
      </c>
      <c r="AI19" s="290" t="n">
        <v>215</v>
      </c>
      <c r="AJ19" s="315" t="b">
        <f aca="false">FALSE()</f>
        <v>0</v>
      </c>
      <c r="AK19" s="315" t="b">
        <f aca="false">FALSE()</f>
        <v>0</v>
      </c>
      <c r="AL19" s="290" t="s">
        <v>765</v>
      </c>
      <c r="AM19" s="315" t="b">
        <f aca="false">FALSE()</f>
        <v>0</v>
      </c>
      <c r="AN19" s="315" t="b">
        <f aca="false">FALSE()</f>
        <v>0</v>
      </c>
      <c r="AO19" s="290" t="n">
        <v>150</v>
      </c>
      <c r="AP19" s="290" t="n">
        <v>1</v>
      </c>
      <c r="AQ19" s="290" t="n">
        <v>2</v>
      </c>
      <c r="AR19" s="290" t="n">
        <v>25</v>
      </c>
      <c r="AS19" s="290" t="n">
        <v>90</v>
      </c>
      <c r="AT19" s="290" t="n">
        <v>1</v>
      </c>
      <c r="AU19" s="315" t="b">
        <f aca="false">TRUE()</f>
        <v>1</v>
      </c>
      <c r="AV19" s="315" t="b">
        <f aca="false">FALSE()</f>
        <v>0</v>
      </c>
      <c r="AW19" s="290" t="n">
        <v>0</v>
      </c>
      <c r="AX19" s="315" t="b">
        <f aca="false">FALSE()</f>
        <v>0</v>
      </c>
      <c r="AY19" s="315" t="b">
        <f aca="false">TRUE()</f>
        <v>1</v>
      </c>
      <c r="AZ19" s="290" t="n">
        <v>100</v>
      </c>
      <c r="BA19" s="290" t="n">
        <v>50</v>
      </c>
      <c r="BB19" s="290" t="n">
        <v>1360</v>
      </c>
      <c r="BC19" s="290" t="n">
        <v>0</v>
      </c>
      <c r="BD19" s="290" t="n">
        <v>0</v>
      </c>
      <c r="BE19" s="290" t="n">
        <v>0</v>
      </c>
      <c r="BF19" s="290" t="n">
        <v>0</v>
      </c>
      <c r="BG19" s="290" t="n">
        <v>0</v>
      </c>
      <c r="BH19" s="290" t="n">
        <v>0</v>
      </c>
      <c r="BI19" s="290" t="n">
        <v>0</v>
      </c>
      <c r="BJ19" s="290" t="n">
        <v>0</v>
      </c>
      <c r="BK19" s="290" t="n">
        <v>0</v>
      </c>
      <c r="BL19" s="290" t="n">
        <v>0</v>
      </c>
      <c r="BM19" s="290" t="n">
        <v>1</v>
      </c>
      <c r="BN19" s="290" t="n">
        <v>0</v>
      </c>
      <c r="BO19" s="290" t="n">
        <v>0</v>
      </c>
      <c r="BP19" s="290" t="s">
        <v>182</v>
      </c>
      <c r="BQ19" s="290" t="s">
        <v>182</v>
      </c>
      <c r="BR19" s="290" t="s">
        <v>182</v>
      </c>
      <c r="BS19" s="290" t="s">
        <v>182</v>
      </c>
      <c r="BT19" s="290" t="n">
        <v>18</v>
      </c>
      <c r="BU19" s="316" t="b">
        <f aca="false">TRUE()</f>
        <v>1</v>
      </c>
      <c r="BV19" s="290"/>
      <c r="BW19" s="290" t="s">
        <v>761</v>
      </c>
      <c r="BX19" s="85" t="n">
        <v>11</v>
      </c>
      <c r="BY19" s="3" t="s">
        <v>834</v>
      </c>
      <c r="BZ19" s="3" t="s">
        <v>809</v>
      </c>
      <c r="CA19" s="3" t="s">
        <v>833</v>
      </c>
      <c r="CB19" s="85" t="n">
        <v>100</v>
      </c>
      <c r="CC19" s="85" t="n">
        <v>110</v>
      </c>
      <c r="CD19" s="85" t="n">
        <v>130</v>
      </c>
      <c r="CE19" s="85" t="n">
        <v>160</v>
      </c>
      <c r="CF19" s="85" t="n">
        <v>200</v>
      </c>
      <c r="CG19" s="3" t="n">
        <f aca="false">IF(BZ19="Saddle",TRUE(),)</f>
        <v>0</v>
      </c>
      <c r="CH19" s="3"/>
      <c r="CI19" s="3"/>
      <c r="CJ19" s="3"/>
      <c r="CK19" s="3"/>
      <c r="CL19" s="3"/>
      <c r="CM19" s="3"/>
      <c r="CN19" s="3"/>
      <c r="CO19" s="3"/>
      <c r="CP19" s="3"/>
      <c r="CQ19" s="3"/>
      <c r="CR19" s="3"/>
      <c r="CS19" s="3"/>
      <c r="CT19" s="3"/>
      <c r="CU19" s="3"/>
      <c r="CV19" s="3"/>
      <c r="CW19" s="3"/>
      <c r="CX19" s="3"/>
      <c r="CY19" s="3"/>
      <c r="CZ19" s="3"/>
    </row>
    <row r="20" customFormat="false" ht="15.75" hidden="false" customHeight="false" outlineLevel="0" collapsed="false">
      <c r="A20" s="290" t="s">
        <v>143</v>
      </c>
      <c r="B20" s="290" t="s">
        <v>333</v>
      </c>
      <c r="C20" s="290" t="s">
        <v>182</v>
      </c>
      <c r="D20" s="290" t="s">
        <v>182</v>
      </c>
      <c r="E20" s="290" t="s">
        <v>182</v>
      </c>
      <c r="F20" s="315" t="b">
        <f aca="false">TRUE()</f>
        <v>1</v>
      </c>
      <c r="G20" s="290" t="s">
        <v>835</v>
      </c>
      <c r="H20" s="290" t="s">
        <v>333</v>
      </c>
      <c r="I20" s="290" t="n">
        <v>56</v>
      </c>
      <c r="J20" s="3"/>
      <c r="K20" s="290" t="s">
        <v>741</v>
      </c>
      <c r="L20" s="290" t="n">
        <v>5</v>
      </c>
      <c r="M20" s="290" t="s">
        <v>810</v>
      </c>
      <c r="N20" s="290" t="s">
        <v>743</v>
      </c>
      <c r="O20" s="290" t="s">
        <v>763</v>
      </c>
      <c r="P20" s="290" t="s">
        <v>745</v>
      </c>
      <c r="Q20" s="290" t="s">
        <v>746</v>
      </c>
      <c r="R20" s="315" t="b">
        <f aca="false">FALSE()</f>
        <v>0</v>
      </c>
      <c r="S20" s="290" t="n">
        <v>80</v>
      </c>
      <c r="T20" s="290" t="n">
        <v>110</v>
      </c>
      <c r="U20" s="290" t="n">
        <v>105</v>
      </c>
      <c r="V20" s="290" t="n">
        <v>105</v>
      </c>
      <c r="W20" s="290" t="n">
        <v>100</v>
      </c>
      <c r="X20" s="290" t="n">
        <v>100</v>
      </c>
      <c r="Y20" s="290" t="n">
        <v>1</v>
      </c>
      <c r="Z20" s="290" t="n">
        <v>0.9</v>
      </c>
      <c r="AA20" s="290" t="n">
        <v>1</v>
      </c>
      <c r="AB20" s="290" t="n">
        <v>4280</v>
      </c>
      <c r="AC20" s="290" t="s">
        <v>836</v>
      </c>
      <c r="AD20" s="290" t="s">
        <v>182</v>
      </c>
      <c r="AE20" s="290" t="n">
        <v>80</v>
      </c>
      <c r="AF20" s="290" t="n">
        <v>130</v>
      </c>
      <c r="AG20" s="290" t="n">
        <v>720</v>
      </c>
      <c r="AH20" s="290" t="n">
        <v>1100</v>
      </c>
      <c r="AI20" s="290" t="n">
        <v>425</v>
      </c>
      <c r="AJ20" s="315" t="b">
        <f aca="false">FALSE()</f>
        <v>0</v>
      </c>
      <c r="AK20" s="315" t="b">
        <f aca="false">FALSE()</f>
        <v>0</v>
      </c>
      <c r="AL20" s="290" t="s">
        <v>748</v>
      </c>
      <c r="AM20" s="315" t="b">
        <f aca="false">FALSE()</f>
        <v>0</v>
      </c>
      <c r="AN20" s="315" t="b">
        <f aca="false">FALSE()</f>
        <v>0</v>
      </c>
      <c r="AO20" s="290" t="n">
        <v>350</v>
      </c>
      <c r="AP20" s="290" t="n">
        <v>1</v>
      </c>
      <c r="AQ20" s="290" t="n">
        <v>5</v>
      </c>
      <c r="AR20" s="290" t="n">
        <v>25</v>
      </c>
      <c r="AS20" s="290" t="n">
        <v>90</v>
      </c>
      <c r="AT20" s="290" t="n">
        <v>1</v>
      </c>
      <c r="AU20" s="315" t="b">
        <f aca="false">FALSE()</f>
        <v>0</v>
      </c>
      <c r="AV20" s="315" t="b">
        <f aca="false">FALSE()</f>
        <v>0</v>
      </c>
      <c r="AW20" s="290" t="n">
        <v>5</v>
      </c>
      <c r="AX20" s="315" t="b">
        <f aca="false">FALSE()</f>
        <v>0</v>
      </c>
      <c r="AY20" s="315" t="b">
        <f aca="false">TRUE()</f>
        <v>1</v>
      </c>
      <c r="AZ20" s="290" t="n">
        <v>100</v>
      </c>
      <c r="BA20" s="290" t="n">
        <v>50</v>
      </c>
      <c r="BB20" s="290" t="n">
        <v>680</v>
      </c>
      <c r="BC20" s="290" t="n">
        <v>0</v>
      </c>
      <c r="BD20" s="290" t="n">
        <v>0</v>
      </c>
      <c r="BE20" s="290" t="n">
        <v>0</v>
      </c>
      <c r="BF20" s="290" t="n">
        <v>2</v>
      </c>
      <c r="BG20" s="290" t="n">
        <v>0</v>
      </c>
      <c r="BH20" s="290" t="n">
        <v>0</v>
      </c>
      <c r="BI20" s="290" t="n">
        <v>1</v>
      </c>
      <c r="BJ20" s="290" t="n">
        <v>0</v>
      </c>
      <c r="BK20" s="290" t="n">
        <v>0</v>
      </c>
      <c r="BL20" s="290" t="n">
        <v>0</v>
      </c>
      <c r="BM20" s="290" t="n">
        <v>0</v>
      </c>
      <c r="BN20" s="290" t="n">
        <v>0</v>
      </c>
      <c r="BO20" s="290" t="n">
        <v>0</v>
      </c>
      <c r="BP20" s="290" t="s">
        <v>182</v>
      </c>
      <c r="BQ20" s="290" t="s">
        <v>182</v>
      </c>
      <c r="BR20" s="290" t="s">
        <v>182</v>
      </c>
      <c r="BS20" s="290" t="s">
        <v>182</v>
      </c>
      <c r="BT20" s="290" t="n">
        <v>19</v>
      </c>
      <c r="BU20" s="316" t="b">
        <f aca="false">FALSE()</f>
        <v>0</v>
      </c>
      <c r="BV20" s="290"/>
      <c r="BW20" s="3"/>
      <c r="BX20" s="85" t="n">
        <v>14</v>
      </c>
      <c r="BY20" s="3" t="s">
        <v>837</v>
      </c>
      <c r="BZ20" s="3" t="s">
        <v>775</v>
      </c>
      <c r="CA20" s="3"/>
      <c r="CB20" s="3"/>
      <c r="CC20" s="3"/>
      <c r="CD20" s="3"/>
      <c r="CE20" s="3"/>
      <c r="CF20" s="3"/>
      <c r="CG20" s="311" t="b">
        <f aca="false">IF(BZ20="Saddle",TRUE(),)</f>
        <v>1</v>
      </c>
      <c r="CH20" s="3" t="s">
        <v>776</v>
      </c>
      <c r="CI20" s="3" t="s">
        <v>750</v>
      </c>
      <c r="CJ20" s="3" t="s">
        <v>838</v>
      </c>
      <c r="CK20" s="3" t="s">
        <v>838</v>
      </c>
      <c r="CL20" s="3" t="s">
        <v>838</v>
      </c>
      <c r="CM20" s="3" t="s">
        <v>838</v>
      </c>
      <c r="CN20" s="3" t="s">
        <v>838</v>
      </c>
      <c r="CO20" s="3"/>
      <c r="CP20" s="3"/>
      <c r="CQ20" s="3"/>
      <c r="CR20" s="3"/>
      <c r="CS20" s="3"/>
      <c r="CT20" s="3"/>
      <c r="CU20" s="3"/>
      <c r="CV20" s="3" t="s">
        <v>839</v>
      </c>
      <c r="CW20" s="3" t="s">
        <v>840</v>
      </c>
      <c r="CX20" s="3" t="s">
        <v>841</v>
      </c>
      <c r="CY20" s="3" t="s">
        <v>842</v>
      </c>
      <c r="CZ20" s="3" t="s">
        <v>843</v>
      </c>
    </row>
    <row r="21" customFormat="false" ht="15.75" hidden="false" customHeight="false" outlineLevel="0" collapsed="false">
      <c r="A21" s="290" t="s">
        <v>59</v>
      </c>
      <c r="B21" s="290" t="s">
        <v>268</v>
      </c>
      <c r="C21" s="290" t="s">
        <v>182</v>
      </c>
      <c r="D21" s="290" t="s">
        <v>182</v>
      </c>
      <c r="E21" s="290" t="s">
        <v>182</v>
      </c>
      <c r="F21" s="315" t="b">
        <f aca="false">TRUE()</f>
        <v>1</v>
      </c>
      <c r="G21" s="290" t="s">
        <v>844</v>
      </c>
      <c r="H21" s="290" t="s">
        <v>268</v>
      </c>
      <c r="I21" s="290" t="n">
        <v>5</v>
      </c>
      <c r="J21" s="3"/>
      <c r="K21" s="290" t="s">
        <v>762</v>
      </c>
      <c r="L21" s="290" t="n">
        <v>1</v>
      </c>
      <c r="M21" s="290" t="s">
        <v>757</v>
      </c>
      <c r="N21" s="290" t="s">
        <v>743</v>
      </c>
      <c r="O21" s="290" t="s">
        <v>763</v>
      </c>
      <c r="P21" s="290" t="s">
        <v>745</v>
      </c>
      <c r="Q21" s="290" t="s">
        <v>746</v>
      </c>
      <c r="R21" s="315" t="b">
        <f aca="false">FALSE()</f>
        <v>0</v>
      </c>
      <c r="S21" s="290" t="n">
        <v>65</v>
      </c>
      <c r="T21" s="290" t="n">
        <v>70</v>
      </c>
      <c r="U21" s="290" t="n">
        <v>75</v>
      </c>
      <c r="V21" s="290" t="n">
        <v>70</v>
      </c>
      <c r="W21" s="290" t="n">
        <v>100</v>
      </c>
      <c r="X21" s="290" t="n">
        <v>100</v>
      </c>
      <c r="Y21" s="290" t="n">
        <v>1.3</v>
      </c>
      <c r="Z21" s="290" t="n">
        <v>1.1</v>
      </c>
      <c r="AA21" s="290" t="n">
        <v>1</v>
      </c>
      <c r="AB21" s="290" t="n">
        <v>1040</v>
      </c>
      <c r="AC21" s="290" t="s">
        <v>764</v>
      </c>
      <c r="AD21" s="290" t="s">
        <v>182</v>
      </c>
      <c r="AE21" s="290" t="n">
        <v>40</v>
      </c>
      <c r="AF21" s="290" t="n">
        <v>80</v>
      </c>
      <c r="AG21" s="290" t="n">
        <v>400</v>
      </c>
      <c r="AH21" s="290" t="n">
        <v>550</v>
      </c>
      <c r="AI21" s="290" t="n">
        <v>240</v>
      </c>
      <c r="AJ21" s="315" t="b">
        <f aca="false">FALSE()</f>
        <v>0</v>
      </c>
      <c r="AK21" s="315" t="b">
        <f aca="false">FALSE()</f>
        <v>0</v>
      </c>
      <c r="AL21" s="290" t="s">
        <v>765</v>
      </c>
      <c r="AM21" s="315" t="b">
        <f aca="false">FALSE()</f>
        <v>0</v>
      </c>
      <c r="AN21" s="315" t="b">
        <f aca="false">FALSE()</f>
        <v>0</v>
      </c>
      <c r="AO21" s="290" t="n">
        <v>150</v>
      </c>
      <c r="AP21" s="290" t="n">
        <v>1</v>
      </c>
      <c r="AQ21" s="290" t="n">
        <v>2</v>
      </c>
      <c r="AR21" s="290" t="n">
        <v>25</v>
      </c>
      <c r="AS21" s="290" t="n">
        <v>90</v>
      </c>
      <c r="AT21" s="290" t="n">
        <v>1</v>
      </c>
      <c r="AU21" s="315" t="b">
        <f aca="false">TRUE()</f>
        <v>1</v>
      </c>
      <c r="AV21" s="315" t="b">
        <f aca="false">FALSE()</f>
        <v>0</v>
      </c>
      <c r="AW21" s="290" t="n">
        <v>0</v>
      </c>
      <c r="AX21" s="315" t="b">
        <f aca="false">FALSE()</f>
        <v>0</v>
      </c>
      <c r="AY21" s="315" t="b">
        <f aca="false">TRUE()</f>
        <v>1</v>
      </c>
      <c r="AZ21" s="290" t="n">
        <v>100</v>
      </c>
      <c r="BA21" s="290" t="n">
        <v>50</v>
      </c>
      <c r="BB21" s="290" t="n">
        <v>1400</v>
      </c>
      <c r="BC21" s="290" t="n">
        <v>1</v>
      </c>
      <c r="BD21" s="290" t="n">
        <v>0</v>
      </c>
      <c r="BE21" s="290" t="n">
        <v>0</v>
      </c>
      <c r="BF21" s="290" t="n">
        <v>0</v>
      </c>
      <c r="BG21" s="290" t="n">
        <v>0</v>
      </c>
      <c r="BH21" s="290" t="n">
        <v>0</v>
      </c>
      <c r="BI21" s="290" t="n">
        <v>0</v>
      </c>
      <c r="BJ21" s="290" t="n">
        <v>0</v>
      </c>
      <c r="BK21" s="290" t="n">
        <v>0</v>
      </c>
      <c r="BL21" s="290" t="n">
        <v>0</v>
      </c>
      <c r="BM21" s="290" t="n">
        <v>0</v>
      </c>
      <c r="BN21" s="290" t="n">
        <v>0</v>
      </c>
      <c r="BO21" s="290" t="n">
        <v>0</v>
      </c>
      <c r="BP21" s="290" t="s">
        <v>182</v>
      </c>
      <c r="BQ21" s="290" t="s">
        <v>182</v>
      </c>
      <c r="BR21" s="290" t="s">
        <v>182</v>
      </c>
      <c r="BS21" s="290" t="s">
        <v>182</v>
      </c>
      <c r="BT21" s="290" t="n">
        <v>20</v>
      </c>
      <c r="BU21" s="316" t="b">
        <f aca="false">FALSE()</f>
        <v>0</v>
      </c>
      <c r="BV21" s="290"/>
      <c r="BW21" s="3"/>
      <c r="BX21" s="85" t="n">
        <v>6</v>
      </c>
      <c r="BY21" s="3" t="s">
        <v>845</v>
      </c>
      <c r="BZ21" s="3" t="s">
        <v>846</v>
      </c>
      <c r="CA21" s="3" t="s">
        <v>847</v>
      </c>
      <c r="CB21" s="85" t="n">
        <v>10</v>
      </c>
      <c r="CC21" s="85" t="n">
        <v>11</v>
      </c>
      <c r="CD21" s="85" t="n">
        <v>13</v>
      </c>
      <c r="CE21" s="85" t="n">
        <v>16</v>
      </c>
      <c r="CF21" s="85" t="n">
        <v>20</v>
      </c>
      <c r="CG21" s="3" t="n">
        <f aca="false">IF(BZ21="Saddle",TRUE(),)</f>
        <v>0</v>
      </c>
      <c r="CH21" s="3"/>
      <c r="CI21" s="3"/>
      <c r="CJ21" s="3"/>
      <c r="CK21" s="3"/>
      <c r="CL21" s="3"/>
      <c r="CM21" s="3"/>
      <c r="CN21" s="3"/>
      <c r="CO21" s="3"/>
      <c r="CP21" s="3"/>
      <c r="CQ21" s="3"/>
      <c r="CR21" s="3"/>
      <c r="CS21" s="3"/>
      <c r="CT21" s="3"/>
      <c r="CU21" s="3"/>
      <c r="CV21" s="3"/>
      <c r="CW21" s="3"/>
      <c r="CX21" s="3"/>
      <c r="CY21" s="3"/>
      <c r="CZ21" s="3"/>
    </row>
    <row r="22" customFormat="false" ht="15.75" hidden="false" customHeight="false" outlineLevel="0" collapsed="false">
      <c r="A22" s="290" t="s">
        <v>28</v>
      </c>
      <c r="B22" s="290" t="s">
        <v>300</v>
      </c>
      <c r="C22" s="290" t="s">
        <v>182</v>
      </c>
      <c r="D22" s="290" t="s">
        <v>182</v>
      </c>
      <c r="E22" s="290" t="s">
        <v>182</v>
      </c>
      <c r="F22" s="315" t="b">
        <f aca="false">TRUE()</f>
        <v>1</v>
      </c>
      <c r="G22" s="290" t="s">
        <v>848</v>
      </c>
      <c r="H22" s="290" t="s">
        <v>300</v>
      </c>
      <c r="I22" s="290" t="n">
        <v>30</v>
      </c>
      <c r="J22" s="3"/>
      <c r="K22" s="290" t="s">
        <v>773</v>
      </c>
      <c r="L22" s="290" t="n">
        <v>1</v>
      </c>
      <c r="M22" s="290" t="s">
        <v>783</v>
      </c>
      <c r="N22" s="290" t="s">
        <v>743</v>
      </c>
      <c r="O22" s="290" t="s">
        <v>744</v>
      </c>
      <c r="P22" s="290" t="s">
        <v>745</v>
      </c>
      <c r="Q22" s="290" t="s">
        <v>746</v>
      </c>
      <c r="R22" s="315" t="b">
        <f aca="false">FALSE()</f>
        <v>0</v>
      </c>
      <c r="S22" s="290" t="n">
        <v>80</v>
      </c>
      <c r="T22" s="290" t="n">
        <v>80</v>
      </c>
      <c r="U22" s="290" t="n">
        <v>80</v>
      </c>
      <c r="V22" s="290" t="n">
        <v>80</v>
      </c>
      <c r="W22" s="290" t="n">
        <v>100</v>
      </c>
      <c r="X22" s="290" t="n">
        <v>100</v>
      </c>
      <c r="Y22" s="290" t="n">
        <v>1</v>
      </c>
      <c r="Z22" s="290" t="n">
        <v>1</v>
      </c>
      <c r="AA22" s="290" t="n">
        <v>1</v>
      </c>
      <c r="AB22" s="290" t="n">
        <v>1140</v>
      </c>
      <c r="AC22" s="290" t="s">
        <v>764</v>
      </c>
      <c r="AD22" s="290" t="s">
        <v>182</v>
      </c>
      <c r="AE22" s="290" t="n">
        <v>50</v>
      </c>
      <c r="AF22" s="290" t="n">
        <v>100</v>
      </c>
      <c r="AG22" s="290" t="n">
        <v>400</v>
      </c>
      <c r="AH22" s="290" t="n">
        <v>550</v>
      </c>
      <c r="AI22" s="290" t="n">
        <v>250</v>
      </c>
      <c r="AJ22" s="315" t="b">
        <f aca="false">FALSE()</f>
        <v>0</v>
      </c>
      <c r="AK22" s="315" t="b">
        <f aca="false">FALSE()</f>
        <v>0</v>
      </c>
      <c r="AL22" s="290" t="s">
        <v>765</v>
      </c>
      <c r="AM22" s="315" t="b">
        <f aca="false">FALSE()</f>
        <v>0</v>
      </c>
      <c r="AN22" s="315" t="b">
        <f aca="false">FALSE()</f>
        <v>0</v>
      </c>
      <c r="AO22" s="290" t="n">
        <v>350</v>
      </c>
      <c r="AP22" s="290" t="n">
        <v>1</v>
      </c>
      <c r="AQ22" s="290" t="n">
        <v>5</v>
      </c>
      <c r="AR22" s="290" t="n">
        <v>25</v>
      </c>
      <c r="AS22" s="290" t="n">
        <v>90</v>
      </c>
      <c r="AT22" s="290" t="n">
        <v>1</v>
      </c>
      <c r="AU22" s="315" t="b">
        <f aca="false">FALSE()</f>
        <v>0</v>
      </c>
      <c r="AV22" s="315" t="b">
        <f aca="false">FALSE()</f>
        <v>0</v>
      </c>
      <c r="AW22" s="290" t="n">
        <v>0</v>
      </c>
      <c r="AX22" s="315" t="b">
        <f aca="false">FALSE()</f>
        <v>0</v>
      </c>
      <c r="AY22" s="315" t="b">
        <f aca="false">TRUE()</f>
        <v>1</v>
      </c>
      <c r="AZ22" s="290" t="n">
        <v>100</v>
      </c>
      <c r="BA22" s="290" t="n">
        <v>50</v>
      </c>
      <c r="BB22" s="290" t="n">
        <v>1320</v>
      </c>
      <c r="BC22" s="290" t="n">
        <v>0</v>
      </c>
      <c r="BD22" s="290" t="n">
        <v>0</v>
      </c>
      <c r="BE22" s="290" t="n">
        <v>1</v>
      </c>
      <c r="BF22" s="290" t="n">
        <v>0</v>
      </c>
      <c r="BG22" s="290" t="n">
        <v>1</v>
      </c>
      <c r="BH22" s="290" t="n">
        <v>1</v>
      </c>
      <c r="BI22" s="290" t="n">
        <v>0</v>
      </c>
      <c r="BJ22" s="290" t="n">
        <v>0</v>
      </c>
      <c r="BK22" s="290" t="n">
        <v>0</v>
      </c>
      <c r="BL22" s="290" t="n">
        <v>2</v>
      </c>
      <c r="BM22" s="290" t="n">
        <v>0</v>
      </c>
      <c r="BN22" s="290" t="n">
        <v>1</v>
      </c>
      <c r="BO22" s="290" t="n">
        <v>0</v>
      </c>
      <c r="BP22" s="290" t="s">
        <v>182</v>
      </c>
      <c r="BQ22" s="290" t="s">
        <v>182</v>
      </c>
      <c r="BR22" s="290" t="s">
        <v>182</v>
      </c>
      <c r="BS22" s="290" t="s">
        <v>182</v>
      </c>
      <c r="BT22" s="290" t="n">
        <v>21</v>
      </c>
      <c r="BU22" s="316" t="b">
        <f aca="false">FALSE()</f>
        <v>0</v>
      </c>
      <c r="BV22" s="290"/>
      <c r="BW22" s="3"/>
      <c r="BX22" s="3"/>
      <c r="BY22" s="3"/>
      <c r="BZ22" s="3"/>
      <c r="CA22" s="3"/>
      <c r="CB22" s="3"/>
      <c r="CC22" s="3"/>
      <c r="CD22" s="3"/>
      <c r="CE22" s="3"/>
      <c r="CF22" s="3"/>
      <c r="CG22" s="3" t="n">
        <f aca="false">IF(BZ22="Saddle",TRUE(),)</f>
        <v>0</v>
      </c>
      <c r="CH22" s="3"/>
      <c r="CI22" s="3"/>
      <c r="CJ22" s="3"/>
      <c r="CK22" s="3"/>
      <c r="CL22" s="3"/>
      <c r="CM22" s="3"/>
      <c r="CN22" s="3"/>
      <c r="CO22" s="3"/>
      <c r="CP22" s="3"/>
      <c r="CQ22" s="3"/>
      <c r="CR22" s="3"/>
      <c r="CS22" s="3"/>
      <c r="CT22" s="3"/>
      <c r="CU22" s="3" t="s">
        <v>849</v>
      </c>
      <c r="CV22" s="3" t="s">
        <v>850</v>
      </c>
      <c r="CW22" s="3" t="s">
        <v>851</v>
      </c>
      <c r="CX22" s="3" t="s">
        <v>852</v>
      </c>
      <c r="CY22" s="3" t="s">
        <v>853</v>
      </c>
      <c r="CZ22" s="3" t="s">
        <v>854</v>
      </c>
    </row>
    <row r="23" customFormat="false" ht="15.75" hidden="false" customHeight="false" outlineLevel="0" collapsed="false">
      <c r="A23" s="290" t="s">
        <v>96</v>
      </c>
      <c r="B23" s="290" t="s">
        <v>341</v>
      </c>
      <c r="C23" s="290" t="s">
        <v>182</v>
      </c>
      <c r="D23" s="290" t="s">
        <v>182</v>
      </c>
      <c r="E23" s="290" t="s">
        <v>182</v>
      </c>
      <c r="F23" s="315" t="b">
        <f aca="false">TRUE()</f>
        <v>1</v>
      </c>
      <c r="G23" s="290" t="s">
        <v>855</v>
      </c>
      <c r="H23" s="290" t="s">
        <v>341</v>
      </c>
      <c r="I23" s="290" t="n">
        <v>63</v>
      </c>
      <c r="J23" s="3"/>
      <c r="K23" s="290" t="s">
        <v>741</v>
      </c>
      <c r="L23" s="290" t="n">
        <v>6</v>
      </c>
      <c r="M23" s="290" t="s">
        <v>789</v>
      </c>
      <c r="N23" s="290" t="s">
        <v>743</v>
      </c>
      <c r="O23" s="290" t="s">
        <v>744</v>
      </c>
      <c r="P23" s="290" t="s">
        <v>745</v>
      </c>
      <c r="Q23" s="290" t="s">
        <v>746</v>
      </c>
      <c r="R23" s="315" t="b">
        <f aca="false">FALSE()</f>
        <v>0</v>
      </c>
      <c r="S23" s="290" t="n">
        <v>90</v>
      </c>
      <c r="T23" s="290" t="n">
        <v>80</v>
      </c>
      <c r="U23" s="290" t="n">
        <v>100</v>
      </c>
      <c r="V23" s="290" t="n">
        <v>90</v>
      </c>
      <c r="W23" s="290" t="n">
        <v>100</v>
      </c>
      <c r="X23" s="290" t="n">
        <v>100</v>
      </c>
      <c r="Y23" s="290" t="n">
        <v>1</v>
      </c>
      <c r="Z23" s="290" t="n">
        <v>1</v>
      </c>
      <c r="AA23" s="290" t="n">
        <v>1</v>
      </c>
      <c r="AB23" s="290" t="n">
        <v>1760</v>
      </c>
      <c r="AC23" s="290" t="s">
        <v>836</v>
      </c>
      <c r="AD23" s="290" t="s">
        <v>182</v>
      </c>
      <c r="AE23" s="290" t="n">
        <v>80</v>
      </c>
      <c r="AF23" s="290" t="n">
        <v>130</v>
      </c>
      <c r="AG23" s="290" t="n">
        <v>500</v>
      </c>
      <c r="AH23" s="290" t="n">
        <v>650</v>
      </c>
      <c r="AI23" s="290" t="n">
        <v>315</v>
      </c>
      <c r="AJ23" s="315" t="b">
        <f aca="false">FALSE()</f>
        <v>0</v>
      </c>
      <c r="AK23" s="315" t="b">
        <f aca="false">FALSE()</f>
        <v>0</v>
      </c>
      <c r="AL23" s="290" t="s">
        <v>748</v>
      </c>
      <c r="AM23" s="315" t="b">
        <f aca="false">FALSE()</f>
        <v>0</v>
      </c>
      <c r="AN23" s="315" t="b">
        <f aca="false">FALSE()</f>
        <v>0</v>
      </c>
      <c r="AO23" s="290" t="n">
        <v>150</v>
      </c>
      <c r="AP23" s="290" t="n">
        <v>1</v>
      </c>
      <c r="AQ23" s="290" t="n">
        <v>2</v>
      </c>
      <c r="AR23" s="290" t="n">
        <v>25</v>
      </c>
      <c r="AS23" s="290" t="n">
        <v>90</v>
      </c>
      <c r="AT23" s="290" t="n">
        <v>1</v>
      </c>
      <c r="AU23" s="315" t="b">
        <f aca="false">FALSE()</f>
        <v>0</v>
      </c>
      <c r="AV23" s="315" t="b">
        <f aca="false">FALSE()</f>
        <v>0</v>
      </c>
      <c r="AW23" s="290" t="n">
        <v>3</v>
      </c>
      <c r="AX23" s="315" t="b">
        <f aca="false">FALSE()</f>
        <v>0</v>
      </c>
      <c r="AY23" s="315" t="b">
        <f aca="false">TRUE()</f>
        <v>1</v>
      </c>
      <c r="AZ23" s="290" t="n">
        <v>100</v>
      </c>
      <c r="BA23" s="290" t="n">
        <v>50</v>
      </c>
      <c r="BB23" s="290" t="n">
        <v>1110</v>
      </c>
      <c r="BC23" s="290" t="n">
        <v>0</v>
      </c>
      <c r="BD23" s="290" t="n">
        <v>0</v>
      </c>
      <c r="BE23" s="290" t="n">
        <v>0</v>
      </c>
      <c r="BF23" s="290" t="n">
        <v>0</v>
      </c>
      <c r="BG23" s="290" t="n">
        <v>3</v>
      </c>
      <c r="BH23" s="290" t="n">
        <v>1</v>
      </c>
      <c r="BI23" s="290" t="n">
        <v>0</v>
      </c>
      <c r="BJ23" s="290" t="n">
        <v>0</v>
      </c>
      <c r="BK23" s="290" t="n">
        <v>0</v>
      </c>
      <c r="BL23" s="290" t="n">
        <v>0</v>
      </c>
      <c r="BM23" s="290" t="n">
        <v>0</v>
      </c>
      <c r="BN23" s="290" t="n">
        <v>1</v>
      </c>
      <c r="BO23" s="290" t="n">
        <v>0</v>
      </c>
      <c r="BP23" s="290" t="s">
        <v>182</v>
      </c>
      <c r="BQ23" s="290" t="s">
        <v>182</v>
      </c>
      <c r="BR23" s="290" t="s">
        <v>182</v>
      </c>
      <c r="BS23" s="290" t="s">
        <v>182</v>
      </c>
      <c r="BT23" s="290" t="n">
        <v>22</v>
      </c>
      <c r="BU23" s="316" t="b">
        <f aca="false">FALSE()</f>
        <v>0</v>
      </c>
      <c r="BV23" s="290"/>
      <c r="BW23" s="3"/>
      <c r="BX23" s="3"/>
      <c r="BY23" s="3"/>
      <c r="BZ23" s="3"/>
      <c r="CA23" s="3"/>
      <c r="CB23" s="3"/>
      <c r="CC23" s="3"/>
      <c r="CD23" s="3"/>
      <c r="CE23" s="3"/>
      <c r="CF23" s="3"/>
      <c r="CG23" s="3" t="n">
        <f aca="false">IF(BZ23="Saddle",TRUE(),)</f>
        <v>0</v>
      </c>
      <c r="CH23" s="3"/>
      <c r="CI23" s="3"/>
      <c r="CJ23" s="3"/>
      <c r="CK23" s="3"/>
      <c r="CL23" s="3"/>
      <c r="CM23" s="3"/>
      <c r="CN23" s="3"/>
      <c r="CO23" s="3"/>
      <c r="CP23" s="3"/>
      <c r="CQ23" s="3"/>
      <c r="CR23" s="3"/>
      <c r="CS23" s="3"/>
      <c r="CT23" s="3"/>
      <c r="CU23" s="3"/>
      <c r="CV23" s="3" t="s">
        <v>856</v>
      </c>
      <c r="CW23" s="3" t="s">
        <v>857</v>
      </c>
      <c r="CX23" s="3" t="s">
        <v>858</v>
      </c>
      <c r="CY23" s="3" t="s">
        <v>859</v>
      </c>
      <c r="CZ23" s="3" t="s">
        <v>860</v>
      </c>
    </row>
    <row r="24" customFormat="false" ht="15.75" hidden="false" customHeight="false" outlineLevel="0" collapsed="false">
      <c r="A24" s="290" t="s">
        <v>114</v>
      </c>
      <c r="B24" s="290" t="s">
        <v>274</v>
      </c>
      <c r="C24" s="290" t="s">
        <v>182</v>
      </c>
      <c r="D24" s="290" t="s">
        <v>182</v>
      </c>
      <c r="E24" s="290" t="s">
        <v>182</v>
      </c>
      <c r="F24" s="315" t="b">
        <f aca="false">TRUE()</f>
        <v>1</v>
      </c>
      <c r="G24" s="290" t="s">
        <v>426</v>
      </c>
      <c r="H24" s="290" t="s">
        <v>274</v>
      </c>
      <c r="I24" s="290" t="n">
        <v>10</v>
      </c>
      <c r="J24" s="3"/>
      <c r="K24" s="290" t="s">
        <v>762</v>
      </c>
      <c r="L24" s="290" t="n">
        <v>1</v>
      </c>
      <c r="M24" s="290" t="s">
        <v>814</v>
      </c>
      <c r="N24" s="290" t="s">
        <v>771</v>
      </c>
      <c r="O24" s="290" t="s">
        <v>744</v>
      </c>
      <c r="P24" s="290" t="s">
        <v>745</v>
      </c>
      <c r="Q24" s="290" t="s">
        <v>746</v>
      </c>
      <c r="R24" s="315" t="b">
        <f aca="false">FALSE()</f>
        <v>0</v>
      </c>
      <c r="S24" s="290" t="n">
        <v>70</v>
      </c>
      <c r="T24" s="290" t="n">
        <v>70</v>
      </c>
      <c r="U24" s="290" t="n">
        <v>75</v>
      </c>
      <c r="V24" s="290" t="n">
        <v>70</v>
      </c>
      <c r="W24" s="290" t="n">
        <v>100</v>
      </c>
      <c r="X24" s="290" t="n">
        <v>100</v>
      </c>
      <c r="Y24" s="290" t="n">
        <v>1</v>
      </c>
      <c r="Z24" s="290" t="n">
        <v>0.9</v>
      </c>
      <c r="AA24" s="290" t="n">
        <v>1</v>
      </c>
      <c r="AB24" s="290" t="n">
        <v>1080</v>
      </c>
      <c r="AC24" s="290" t="s">
        <v>764</v>
      </c>
      <c r="AD24" s="290" t="s">
        <v>182</v>
      </c>
      <c r="AE24" s="290" t="n">
        <v>30</v>
      </c>
      <c r="AF24" s="290" t="n">
        <v>60</v>
      </c>
      <c r="AG24" s="290" t="n">
        <v>500</v>
      </c>
      <c r="AH24" s="290" t="n">
        <v>650</v>
      </c>
      <c r="AI24" s="290" t="n">
        <v>265</v>
      </c>
      <c r="AJ24" s="315" t="b">
        <f aca="false">FALSE()</f>
        <v>0</v>
      </c>
      <c r="AK24" s="315" t="b">
        <f aca="false">FALSE()</f>
        <v>0</v>
      </c>
      <c r="AL24" s="290" t="s">
        <v>765</v>
      </c>
      <c r="AM24" s="315" t="b">
        <f aca="false">FALSE()</f>
        <v>0</v>
      </c>
      <c r="AN24" s="315" t="b">
        <f aca="false">FALSE()</f>
        <v>0</v>
      </c>
      <c r="AO24" s="290" t="n">
        <v>150</v>
      </c>
      <c r="AP24" s="290" t="n">
        <v>1</v>
      </c>
      <c r="AQ24" s="290" t="n">
        <v>2</v>
      </c>
      <c r="AR24" s="290" t="n">
        <v>25</v>
      </c>
      <c r="AS24" s="290" t="n">
        <v>90</v>
      </c>
      <c r="AT24" s="290" t="n">
        <v>1</v>
      </c>
      <c r="AU24" s="315" t="b">
        <f aca="false">TRUE()</f>
        <v>1</v>
      </c>
      <c r="AV24" s="315" t="b">
        <f aca="false">FALSE()</f>
        <v>0</v>
      </c>
      <c r="AW24" s="290" t="n">
        <v>0</v>
      </c>
      <c r="AX24" s="315" t="b">
        <f aca="false">FALSE()</f>
        <v>0</v>
      </c>
      <c r="AY24" s="315" t="b">
        <f aca="false">TRUE()</f>
        <v>1</v>
      </c>
      <c r="AZ24" s="290" t="n">
        <v>100</v>
      </c>
      <c r="BA24" s="290" t="n">
        <v>50</v>
      </c>
      <c r="BB24" s="290" t="n">
        <v>1350</v>
      </c>
      <c r="BC24" s="290" t="n">
        <v>0</v>
      </c>
      <c r="BD24" s="290" t="n">
        <v>1</v>
      </c>
      <c r="BE24" s="290" t="n">
        <v>0</v>
      </c>
      <c r="BF24" s="290" t="n">
        <v>0</v>
      </c>
      <c r="BG24" s="290" t="n">
        <v>1</v>
      </c>
      <c r="BH24" s="290" t="n">
        <v>0</v>
      </c>
      <c r="BI24" s="290" t="n">
        <v>0</v>
      </c>
      <c r="BJ24" s="290" t="n">
        <v>0</v>
      </c>
      <c r="BK24" s="290" t="n">
        <v>0</v>
      </c>
      <c r="BL24" s="290" t="n">
        <v>0</v>
      </c>
      <c r="BM24" s="290" t="n">
        <v>1</v>
      </c>
      <c r="BN24" s="290" t="n">
        <v>1</v>
      </c>
      <c r="BO24" s="290" t="n">
        <v>0</v>
      </c>
      <c r="BP24" s="290" t="s">
        <v>182</v>
      </c>
      <c r="BQ24" s="290" t="s">
        <v>182</v>
      </c>
      <c r="BR24" s="290" t="s">
        <v>182</v>
      </c>
      <c r="BS24" s="290" t="s">
        <v>182</v>
      </c>
      <c r="BT24" s="290" t="n">
        <v>23</v>
      </c>
      <c r="BU24" s="316" t="b">
        <f aca="false">FALSE()</f>
        <v>0</v>
      </c>
      <c r="BV24" s="290"/>
      <c r="BW24" s="3"/>
      <c r="BX24" s="85" t="n">
        <v>17</v>
      </c>
      <c r="BY24" s="3" t="s">
        <v>861</v>
      </c>
      <c r="BZ24" s="3" t="s">
        <v>792</v>
      </c>
      <c r="CA24" s="3" t="s">
        <v>862</v>
      </c>
      <c r="CB24" s="85" t="n">
        <v>250</v>
      </c>
      <c r="CC24" s="85" t="n">
        <v>285</v>
      </c>
      <c r="CD24" s="85" t="n">
        <v>325</v>
      </c>
      <c r="CE24" s="85" t="n">
        <v>400</v>
      </c>
      <c r="CF24" s="85" t="n">
        <v>500</v>
      </c>
      <c r="CG24" s="3" t="n">
        <f aca="false">IF(BZ24="Saddle",TRUE(),)</f>
        <v>0</v>
      </c>
      <c r="CH24" s="3"/>
      <c r="CI24" s="3"/>
      <c r="CJ24" s="3"/>
      <c r="CK24" s="3"/>
      <c r="CL24" s="3"/>
      <c r="CM24" s="3"/>
      <c r="CN24" s="3"/>
      <c r="CO24" s="3"/>
      <c r="CP24" s="3"/>
      <c r="CQ24" s="3"/>
      <c r="CR24" s="3"/>
      <c r="CS24" s="3"/>
      <c r="CT24" s="3"/>
      <c r="CU24" s="3"/>
      <c r="CV24" s="3"/>
      <c r="CW24" s="3"/>
      <c r="CX24" s="3"/>
      <c r="CY24" s="3"/>
      <c r="CZ24" s="3"/>
    </row>
    <row r="25" customFormat="false" ht="15.75" hidden="false" customHeight="false" outlineLevel="0" collapsed="false">
      <c r="A25" s="290" t="s">
        <v>41</v>
      </c>
      <c r="B25" s="290" t="s">
        <v>340</v>
      </c>
      <c r="C25" s="290" t="s">
        <v>182</v>
      </c>
      <c r="D25" s="290" t="s">
        <v>182</v>
      </c>
      <c r="E25" s="290" t="s">
        <v>182</v>
      </c>
      <c r="F25" s="315" t="b">
        <f aca="false">TRUE()</f>
        <v>1</v>
      </c>
      <c r="G25" s="290" t="s">
        <v>863</v>
      </c>
      <c r="H25" s="290" t="s">
        <v>340</v>
      </c>
      <c r="I25" s="290" t="n">
        <v>62</v>
      </c>
      <c r="J25" s="3"/>
      <c r="K25" s="290" t="s">
        <v>762</v>
      </c>
      <c r="L25" s="290" t="n">
        <v>2</v>
      </c>
      <c r="M25" s="290" t="s">
        <v>810</v>
      </c>
      <c r="N25" s="290" t="s">
        <v>743</v>
      </c>
      <c r="O25" s="290" t="s">
        <v>744</v>
      </c>
      <c r="P25" s="290" t="s">
        <v>745</v>
      </c>
      <c r="Q25" s="290" t="s">
        <v>746</v>
      </c>
      <c r="R25" s="315" t="b">
        <f aca="false">FALSE()</f>
        <v>0</v>
      </c>
      <c r="S25" s="290" t="n">
        <v>70</v>
      </c>
      <c r="T25" s="290" t="n">
        <v>110</v>
      </c>
      <c r="U25" s="290" t="n">
        <v>80</v>
      </c>
      <c r="V25" s="290" t="n">
        <v>70</v>
      </c>
      <c r="W25" s="290" t="n">
        <v>100</v>
      </c>
      <c r="X25" s="290" t="n">
        <v>100</v>
      </c>
      <c r="Y25" s="290" t="n">
        <v>1</v>
      </c>
      <c r="Z25" s="290" t="n">
        <v>1</v>
      </c>
      <c r="AA25" s="290" t="n">
        <v>1</v>
      </c>
      <c r="AB25" s="290" t="n">
        <v>1390</v>
      </c>
      <c r="AC25" s="290" t="s">
        <v>764</v>
      </c>
      <c r="AD25" s="290" t="s">
        <v>182</v>
      </c>
      <c r="AE25" s="290" t="n">
        <v>120</v>
      </c>
      <c r="AF25" s="290" t="n">
        <v>200</v>
      </c>
      <c r="AG25" s="290" t="n">
        <v>400</v>
      </c>
      <c r="AH25" s="290" t="n">
        <v>550</v>
      </c>
      <c r="AI25" s="290" t="n">
        <v>300</v>
      </c>
      <c r="AJ25" s="315" t="b">
        <f aca="false">FALSE()</f>
        <v>0</v>
      </c>
      <c r="AK25" s="315" t="b">
        <f aca="false">FALSE()</f>
        <v>0</v>
      </c>
      <c r="AL25" s="290" t="s">
        <v>765</v>
      </c>
      <c r="AM25" s="315" t="b">
        <f aca="false">FALSE()</f>
        <v>0</v>
      </c>
      <c r="AN25" s="315" t="b">
        <f aca="false">FALSE()</f>
        <v>0</v>
      </c>
      <c r="AO25" s="290" t="n">
        <v>150</v>
      </c>
      <c r="AP25" s="290" t="n">
        <v>1</v>
      </c>
      <c r="AQ25" s="290" t="n">
        <v>2</v>
      </c>
      <c r="AR25" s="290" t="n">
        <v>25</v>
      </c>
      <c r="AS25" s="290" t="n">
        <v>90</v>
      </c>
      <c r="AT25" s="290" t="n">
        <v>1</v>
      </c>
      <c r="AU25" s="315" t="b">
        <f aca="false">FALSE()</f>
        <v>0</v>
      </c>
      <c r="AV25" s="315" t="b">
        <f aca="false">FALSE()</f>
        <v>0</v>
      </c>
      <c r="AW25" s="290" t="n">
        <v>0</v>
      </c>
      <c r="AX25" s="315" t="b">
        <f aca="false">FALSE()</f>
        <v>0</v>
      </c>
      <c r="AY25" s="315" t="b">
        <f aca="false">TRUE()</f>
        <v>1</v>
      </c>
      <c r="AZ25" s="290" t="n">
        <v>100</v>
      </c>
      <c r="BA25" s="290" t="n">
        <v>20</v>
      </c>
      <c r="BB25" s="290" t="n">
        <v>1210</v>
      </c>
      <c r="BC25" s="290" t="n">
        <v>0</v>
      </c>
      <c r="BD25" s="290" t="n">
        <v>0</v>
      </c>
      <c r="BE25" s="290" t="n">
        <v>0</v>
      </c>
      <c r="BF25" s="290" t="n">
        <v>1</v>
      </c>
      <c r="BG25" s="290" t="n">
        <v>1</v>
      </c>
      <c r="BH25" s="290" t="n">
        <v>0</v>
      </c>
      <c r="BI25" s="290" t="n">
        <v>0</v>
      </c>
      <c r="BJ25" s="290" t="n">
        <v>0</v>
      </c>
      <c r="BK25" s="290" t="n">
        <v>0</v>
      </c>
      <c r="BL25" s="290" t="n">
        <v>0</v>
      </c>
      <c r="BM25" s="290" t="n">
        <v>0</v>
      </c>
      <c r="BN25" s="290" t="n">
        <v>1</v>
      </c>
      <c r="BO25" s="290" t="n">
        <v>0</v>
      </c>
      <c r="BP25" s="290" t="s">
        <v>182</v>
      </c>
      <c r="BQ25" s="290" t="s">
        <v>182</v>
      </c>
      <c r="BR25" s="290" t="s">
        <v>182</v>
      </c>
      <c r="BS25" s="290" t="s">
        <v>182</v>
      </c>
      <c r="BT25" s="290" t="n">
        <v>24</v>
      </c>
      <c r="BU25" s="316" t="b">
        <f aca="false">FALSE()</f>
        <v>0</v>
      </c>
      <c r="BV25" s="290"/>
      <c r="BW25" s="3"/>
      <c r="BX25" s="85" t="n">
        <v>22</v>
      </c>
      <c r="BY25" s="3" t="s">
        <v>864</v>
      </c>
      <c r="BZ25" s="3" t="s">
        <v>865</v>
      </c>
      <c r="CA25" s="3" t="s">
        <v>866</v>
      </c>
      <c r="CB25" s="85" t="n">
        <v>1</v>
      </c>
      <c r="CC25" s="85" t="n">
        <v>1.1</v>
      </c>
      <c r="CD25" s="85" t="n">
        <v>1.3</v>
      </c>
      <c r="CE25" s="85" t="n">
        <v>1.6</v>
      </c>
      <c r="CF25" s="85" t="n">
        <v>2</v>
      </c>
      <c r="CG25" s="3" t="n">
        <f aca="false">IF(BZ25="Saddle",TRUE(),)</f>
        <v>0</v>
      </c>
      <c r="CH25" s="3"/>
      <c r="CI25" s="3"/>
      <c r="CJ25" s="3"/>
      <c r="CK25" s="3"/>
      <c r="CL25" s="3"/>
      <c r="CM25" s="3"/>
      <c r="CN25" s="3"/>
      <c r="CO25" s="3"/>
      <c r="CP25" s="3"/>
      <c r="CQ25" s="3"/>
      <c r="CR25" s="3"/>
      <c r="CS25" s="3"/>
      <c r="CT25" s="3"/>
      <c r="CU25" s="3"/>
      <c r="CV25" s="3"/>
      <c r="CW25" s="3"/>
      <c r="CX25" s="3"/>
      <c r="CY25" s="3"/>
      <c r="CZ25" s="3"/>
    </row>
    <row r="26" customFormat="false" ht="15.75" hidden="false" customHeight="false" outlineLevel="0" collapsed="false">
      <c r="A26" s="290" t="s">
        <v>64</v>
      </c>
      <c r="B26" s="290" t="s">
        <v>301</v>
      </c>
      <c r="C26" s="290" t="s">
        <v>182</v>
      </c>
      <c r="D26" s="290" t="s">
        <v>182</v>
      </c>
      <c r="E26" s="290" t="s">
        <v>182</v>
      </c>
      <c r="F26" s="315" t="b">
        <f aca="false">TRUE()</f>
        <v>1</v>
      </c>
      <c r="G26" s="290" t="s">
        <v>474</v>
      </c>
      <c r="H26" s="290" t="s">
        <v>301</v>
      </c>
      <c r="I26" s="290" t="n">
        <v>31</v>
      </c>
      <c r="J26" s="3"/>
      <c r="K26" s="290" t="s">
        <v>773</v>
      </c>
      <c r="L26" s="290" t="n">
        <v>2</v>
      </c>
      <c r="M26" s="290" t="s">
        <v>814</v>
      </c>
      <c r="N26" s="290" t="s">
        <v>743</v>
      </c>
      <c r="O26" s="290" t="s">
        <v>744</v>
      </c>
      <c r="P26" s="290" t="s">
        <v>745</v>
      </c>
      <c r="Q26" s="290" t="s">
        <v>746</v>
      </c>
      <c r="R26" s="315" t="b">
        <f aca="false">FALSE()</f>
        <v>0</v>
      </c>
      <c r="S26" s="290" t="n">
        <v>90</v>
      </c>
      <c r="T26" s="290" t="n">
        <v>90</v>
      </c>
      <c r="U26" s="290" t="n">
        <v>90</v>
      </c>
      <c r="V26" s="290" t="n">
        <v>75</v>
      </c>
      <c r="W26" s="290" t="n">
        <v>100</v>
      </c>
      <c r="X26" s="290" t="n">
        <v>100</v>
      </c>
      <c r="Y26" s="290" t="n">
        <v>1</v>
      </c>
      <c r="Z26" s="290" t="n">
        <v>1</v>
      </c>
      <c r="AA26" s="290" t="n">
        <v>1</v>
      </c>
      <c r="AB26" s="290" t="n">
        <v>1840</v>
      </c>
      <c r="AC26" s="290" t="s">
        <v>747</v>
      </c>
      <c r="AD26" s="290" t="s">
        <v>182</v>
      </c>
      <c r="AE26" s="290" t="n">
        <v>50</v>
      </c>
      <c r="AF26" s="290" t="n">
        <v>80</v>
      </c>
      <c r="AG26" s="290" t="n">
        <v>400</v>
      </c>
      <c r="AH26" s="290" t="n">
        <v>500</v>
      </c>
      <c r="AI26" s="290" t="n">
        <v>120</v>
      </c>
      <c r="AJ26" s="315" t="b">
        <f aca="false">FALSE()</f>
        <v>0</v>
      </c>
      <c r="AK26" s="315" t="b">
        <f aca="false">FALSE()</f>
        <v>0</v>
      </c>
      <c r="AL26" s="290" t="s">
        <v>765</v>
      </c>
      <c r="AM26" s="315" t="b">
        <f aca="false">FALSE()</f>
        <v>0</v>
      </c>
      <c r="AN26" s="315" t="b">
        <f aca="false">FALSE()</f>
        <v>0</v>
      </c>
      <c r="AO26" s="290" t="n">
        <v>225</v>
      </c>
      <c r="AP26" s="290" t="n">
        <v>1</v>
      </c>
      <c r="AQ26" s="290" t="n">
        <v>3</v>
      </c>
      <c r="AR26" s="290" t="n">
        <v>25</v>
      </c>
      <c r="AS26" s="290" t="n">
        <v>90</v>
      </c>
      <c r="AT26" s="290" t="n">
        <v>1</v>
      </c>
      <c r="AU26" s="315" t="b">
        <f aca="false">FALSE()</f>
        <v>0</v>
      </c>
      <c r="AV26" s="315" t="b">
        <f aca="false">FALSE()</f>
        <v>0</v>
      </c>
      <c r="AW26" s="290" t="n">
        <v>3</v>
      </c>
      <c r="AX26" s="315" t="b">
        <f aca="false">TRUE()</f>
        <v>1</v>
      </c>
      <c r="AY26" s="315" t="b">
        <f aca="false">TRUE()</f>
        <v>1</v>
      </c>
      <c r="AZ26" s="290" t="n">
        <v>100</v>
      </c>
      <c r="BA26" s="290" t="n">
        <v>50</v>
      </c>
      <c r="BB26" s="290" t="n">
        <v>1090</v>
      </c>
      <c r="BC26" s="290" t="n">
        <v>0</v>
      </c>
      <c r="BD26" s="290" t="n">
        <v>2</v>
      </c>
      <c r="BE26" s="290" t="n">
        <v>0</v>
      </c>
      <c r="BF26" s="290" t="n">
        <v>0</v>
      </c>
      <c r="BG26" s="290" t="n">
        <v>1</v>
      </c>
      <c r="BH26" s="290" t="n">
        <v>0</v>
      </c>
      <c r="BI26" s="290" t="n">
        <v>0</v>
      </c>
      <c r="BJ26" s="290" t="n">
        <v>0</v>
      </c>
      <c r="BK26" s="290" t="n">
        <v>0</v>
      </c>
      <c r="BL26" s="290" t="n">
        <v>0</v>
      </c>
      <c r="BM26" s="290" t="n">
        <v>0</v>
      </c>
      <c r="BN26" s="290" t="n">
        <v>1</v>
      </c>
      <c r="BO26" s="290" t="n">
        <v>0</v>
      </c>
      <c r="BP26" s="290" t="s">
        <v>182</v>
      </c>
      <c r="BQ26" s="290" t="s">
        <v>182</v>
      </c>
      <c r="BR26" s="290" t="s">
        <v>182</v>
      </c>
      <c r="BS26" s="290" t="s">
        <v>182</v>
      </c>
      <c r="BT26" s="290" t="n">
        <v>25</v>
      </c>
      <c r="BU26" s="316" t="b">
        <f aca="false">FALSE()</f>
        <v>0</v>
      </c>
      <c r="BV26" s="290"/>
      <c r="BW26" s="3"/>
      <c r="BX26" s="3"/>
      <c r="BY26" s="3"/>
      <c r="BZ26" s="3"/>
      <c r="CA26" s="3" t="s">
        <v>867</v>
      </c>
      <c r="CB26" s="85" t="n">
        <v>1.1</v>
      </c>
      <c r="CC26" s="85" t="n">
        <v>1.3</v>
      </c>
      <c r="CD26" s="85" t="n">
        <v>1.6</v>
      </c>
      <c r="CE26" s="85" t="n">
        <v>2</v>
      </c>
      <c r="CF26" s="85" t="n">
        <v>2.5</v>
      </c>
      <c r="CG26" s="3" t="n">
        <f aca="false">IF(BZ26="Saddle",TRUE(),)</f>
        <v>0</v>
      </c>
      <c r="CH26" s="3"/>
      <c r="CI26" s="3"/>
      <c r="CJ26" s="3"/>
      <c r="CK26" s="3"/>
      <c r="CL26" s="3"/>
      <c r="CM26" s="3"/>
      <c r="CN26" s="3"/>
      <c r="CO26" s="3"/>
      <c r="CP26" s="3"/>
      <c r="CQ26" s="3"/>
      <c r="CR26" s="3"/>
      <c r="CS26" s="3"/>
      <c r="CT26" s="3"/>
      <c r="CU26" s="3"/>
      <c r="CV26" s="3" t="s">
        <v>868</v>
      </c>
      <c r="CW26" s="3" t="s">
        <v>869</v>
      </c>
      <c r="CX26" s="3" t="s">
        <v>870</v>
      </c>
      <c r="CY26" s="3" t="s">
        <v>871</v>
      </c>
      <c r="CZ26" s="3" t="s">
        <v>872</v>
      </c>
    </row>
    <row r="27" customFormat="false" ht="15.75" hidden="false" customHeight="false" outlineLevel="0" collapsed="false">
      <c r="A27" s="290" t="s">
        <v>65</v>
      </c>
      <c r="B27" s="290" t="s">
        <v>302</v>
      </c>
      <c r="C27" s="290" t="s">
        <v>182</v>
      </c>
      <c r="D27" s="290" t="s">
        <v>182</v>
      </c>
      <c r="E27" s="290" t="s">
        <v>182</v>
      </c>
      <c r="F27" s="315" t="b">
        <f aca="false">TRUE()</f>
        <v>1</v>
      </c>
      <c r="G27" s="290" t="s">
        <v>548</v>
      </c>
      <c r="H27" s="290" t="s">
        <v>302</v>
      </c>
      <c r="I27" s="290" t="n">
        <v>31</v>
      </c>
      <c r="J27" s="290" t="s">
        <v>761</v>
      </c>
      <c r="K27" s="290" t="s">
        <v>773</v>
      </c>
      <c r="L27" s="290" t="n">
        <v>3</v>
      </c>
      <c r="M27" s="290" t="s">
        <v>757</v>
      </c>
      <c r="N27" s="290" t="s">
        <v>743</v>
      </c>
      <c r="O27" s="290" t="s">
        <v>744</v>
      </c>
      <c r="P27" s="290" t="s">
        <v>745</v>
      </c>
      <c r="Q27" s="290" t="s">
        <v>746</v>
      </c>
      <c r="R27" s="315" t="b">
        <f aca="false">FALSE()</f>
        <v>0</v>
      </c>
      <c r="S27" s="290" t="n">
        <v>90</v>
      </c>
      <c r="T27" s="290" t="n">
        <v>90</v>
      </c>
      <c r="U27" s="290" t="n">
        <v>90</v>
      </c>
      <c r="V27" s="290" t="n">
        <v>75</v>
      </c>
      <c r="W27" s="290" t="n">
        <v>100</v>
      </c>
      <c r="X27" s="290" t="n">
        <v>100</v>
      </c>
      <c r="Y27" s="290" t="n">
        <v>1</v>
      </c>
      <c r="Z27" s="290" t="n">
        <v>1</v>
      </c>
      <c r="AA27" s="290" t="n">
        <v>1</v>
      </c>
      <c r="AB27" s="290" t="n">
        <v>1800</v>
      </c>
      <c r="AC27" s="290" t="s">
        <v>747</v>
      </c>
      <c r="AD27" s="290" t="s">
        <v>182</v>
      </c>
      <c r="AE27" s="290" t="n">
        <v>50</v>
      </c>
      <c r="AF27" s="290" t="n">
        <v>80</v>
      </c>
      <c r="AG27" s="290" t="n">
        <v>400</v>
      </c>
      <c r="AH27" s="290" t="n">
        <v>500</v>
      </c>
      <c r="AI27" s="290" t="n">
        <v>120</v>
      </c>
      <c r="AJ27" s="315" t="b">
        <f aca="false">FALSE()</f>
        <v>0</v>
      </c>
      <c r="AK27" s="315" t="b">
        <f aca="false">FALSE()</f>
        <v>0</v>
      </c>
      <c r="AL27" s="290" t="s">
        <v>765</v>
      </c>
      <c r="AM27" s="315" t="b">
        <f aca="false">FALSE()</f>
        <v>0</v>
      </c>
      <c r="AN27" s="315" t="b">
        <f aca="false">FALSE()</f>
        <v>0</v>
      </c>
      <c r="AO27" s="290" t="n">
        <v>225</v>
      </c>
      <c r="AP27" s="290" t="n">
        <v>1</v>
      </c>
      <c r="AQ27" s="290" t="n">
        <v>3</v>
      </c>
      <c r="AR27" s="290" t="n">
        <v>25</v>
      </c>
      <c r="AS27" s="290" t="n">
        <v>90</v>
      </c>
      <c r="AT27" s="290" t="n">
        <v>1</v>
      </c>
      <c r="AU27" s="315" t="b">
        <f aca="false">FALSE()</f>
        <v>0</v>
      </c>
      <c r="AV27" s="315" t="b">
        <f aca="false">FALSE()</f>
        <v>0</v>
      </c>
      <c r="AW27" s="290" t="n">
        <v>3</v>
      </c>
      <c r="AX27" s="315" t="b">
        <f aca="false">TRUE()</f>
        <v>1</v>
      </c>
      <c r="AY27" s="315" t="b">
        <f aca="false">TRUE()</f>
        <v>1</v>
      </c>
      <c r="AZ27" s="290" t="n">
        <v>100</v>
      </c>
      <c r="BA27" s="290" t="n">
        <v>50</v>
      </c>
      <c r="BB27" s="290" t="n">
        <v>1100</v>
      </c>
      <c r="BC27" s="290" t="n">
        <v>2</v>
      </c>
      <c r="BD27" s="290" t="n">
        <v>0</v>
      </c>
      <c r="BE27" s="290" t="n">
        <v>0</v>
      </c>
      <c r="BF27" s="290" t="n">
        <v>0</v>
      </c>
      <c r="BG27" s="290" t="n">
        <v>1</v>
      </c>
      <c r="BH27" s="290" t="n">
        <v>0</v>
      </c>
      <c r="BI27" s="290" t="n">
        <v>0</v>
      </c>
      <c r="BJ27" s="290" t="n">
        <v>0</v>
      </c>
      <c r="BK27" s="290" t="n">
        <v>0</v>
      </c>
      <c r="BL27" s="290" t="n">
        <v>0</v>
      </c>
      <c r="BM27" s="290" t="n">
        <v>0</v>
      </c>
      <c r="BN27" s="290" t="n">
        <v>1</v>
      </c>
      <c r="BO27" s="290" t="n">
        <v>0</v>
      </c>
      <c r="BP27" s="290" t="s">
        <v>182</v>
      </c>
      <c r="BQ27" s="290" t="s">
        <v>182</v>
      </c>
      <c r="BR27" s="290" t="s">
        <v>182</v>
      </c>
      <c r="BS27" s="290" t="s">
        <v>182</v>
      </c>
      <c r="BT27" s="290" t="n">
        <v>26</v>
      </c>
      <c r="BU27" s="316" t="b">
        <f aca="false">TRUE()</f>
        <v>1</v>
      </c>
      <c r="BV27" s="290"/>
      <c r="BW27" s="290" t="s">
        <v>761</v>
      </c>
      <c r="BX27" s="3"/>
      <c r="BY27" s="3"/>
      <c r="BZ27" s="3"/>
      <c r="CA27" s="3" t="s">
        <v>873</v>
      </c>
      <c r="CB27" s="85" t="n">
        <v>1.1</v>
      </c>
      <c r="CC27" s="85" t="n">
        <v>1.3</v>
      </c>
      <c r="CD27" s="85" t="n">
        <v>1.6</v>
      </c>
      <c r="CE27" s="85" t="n">
        <v>2</v>
      </c>
      <c r="CF27" s="85" t="n">
        <v>2.5</v>
      </c>
      <c r="CG27" s="3" t="n">
        <f aca="false">IF(BZ27="Saddle",TRUE(),)</f>
        <v>0</v>
      </c>
      <c r="CH27" s="3"/>
      <c r="CI27" s="3"/>
      <c r="CJ27" s="3"/>
      <c r="CK27" s="3"/>
      <c r="CL27" s="3"/>
      <c r="CM27" s="3"/>
      <c r="CN27" s="3"/>
      <c r="CO27" s="3"/>
      <c r="CP27" s="3"/>
      <c r="CQ27" s="3"/>
      <c r="CR27" s="3"/>
      <c r="CS27" s="3"/>
      <c r="CT27" s="3"/>
      <c r="CU27" s="3"/>
      <c r="CV27" s="3" t="s">
        <v>868</v>
      </c>
      <c r="CW27" s="3" t="s">
        <v>869</v>
      </c>
      <c r="CX27" s="3" t="s">
        <v>870</v>
      </c>
      <c r="CY27" s="3" t="s">
        <v>871</v>
      </c>
      <c r="CZ27" s="3" t="s">
        <v>872</v>
      </c>
    </row>
    <row r="28" customFormat="false" ht="15.75" hidden="false" customHeight="false" outlineLevel="0" collapsed="false">
      <c r="A28" s="290" t="s">
        <v>90</v>
      </c>
      <c r="B28" s="290" t="s">
        <v>263</v>
      </c>
      <c r="C28" s="290" t="s">
        <v>182</v>
      </c>
      <c r="D28" s="290" t="s">
        <v>182</v>
      </c>
      <c r="E28" s="290" t="s">
        <v>182</v>
      </c>
      <c r="F28" s="315" t="b">
        <f aca="false">TRUE()</f>
        <v>1</v>
      </c>
      <c r="G28" s="290" t="s">
        <v>874</v>
      </c>
      <c r="H28" s="290" t="s">
        <v>263</v>
      </c>
      <c r="I28" s="290" t="n">
        <v>1</v>
      </c>
      <c r="J28" s="3"/>
      <c r="K28" s="290" t="s">
        <v>762</v>
      </c>
      <c r="L28" s="290" t="n">
        <v>1</v>
      </c>
      <c r="M28" s="290" t="s">
        <v>789</v>
      </c>
      <c r="N28" s="290" t="s">
        <v>743</v>
      </c>
      <c r="O28" s="290" t="s">
        <v>744</v>
      </c>
      <c r="P28" s="290" t="s">
        <v>745</v>
      </c>
      <c r="Q28" s="290" t="s">
        <v>746</v>
      </c>
      <c r="R28" s="315" t="b">
        <f aca="false">FALSE()</f>
        <v>0</v>
      </c>
      <c r="S28" s="290" t="n">
        <v>70</v>
      </c>
      <c r="T28" s="290" t="n">
        <v>70</v>
      </c>
      <c r="U28" s="290" t="n">
        <v>70</v>
      </c>
      <c r="V28" s="290" t="n">
        <v>70</v>
      </c>
      <c r="W28" s="290" t="n">
        <v>100</v>
      </c>
      <c r="X28" s="290" t="n">
        <v>100</v>
      </c>
      <c r="Y28" s="290" t="n">
        <v>2</v>
      </c>
      <c r="Z28" s="290" t="n">
        <v>1.5</v>
      </c>
      <c r="AA28" s="290" t="n">
        <v>1</v>
      </c>
      <c r="AB28" s="290" t="n">
        <v>1000</v>
      </c>
      <c r="AC28" s="290" t="s">
        <v>875</v>
      </c>
      <c r="AD28" s="290" t="s">
        <v>182</v>
      </c>
      <c r="AE28" s="290" t="n">
        <v>23</v>
      </c>
      <c r="AF28" s="290" t="n">
        <v>40</v>
      </c>
      <c r="AG28" s="290" t="n">
        <v>400</v>
      </c>
      <c r="AH28" s="290" t="n">
        <v>550</v>
      </c>
      <c r="AI28" s="290" t="n">
        <v>160</v>
      </c>
      <c r="AJ28" s="315" t="b">
        <f aca="false">FALSE()</f>
        <v>0</v>
      </c>
      <c r="AK28" s="315" t="b">
        <f aca="false">FALSE()</f>
        <v>0</v>
      </c>
      <c r="AL28" s="290" t="s">
        <v>765</v>
      </c>
      <c r="AM28" s="315" t="b">
        <f aca="false">FALSE()</f>
        <v>0</v>
      </c>
      <c r="AN28" s="315" t="b">
        <f aca="false">FALSE()</f>
        <v>0</v>
      </c>
      <c r="AO28" s="290" t="n">
        <v>150</v>
      </c>
      <c r="AP28" s="290" t="n">
        <v>1</v>
      </c>
      <c r="AQ28" s="290" t="n">
        <v>2</v>
      </c>
      <c r="AR28" s="290" t="n">
        <v>25</v>
      </c>
      <c r="AS28" s="290" t="n">
        <v>90</v>
      </c>
      <c r="AT28" s="290" t="n">
        <v>1</v>
      </c>
      <c r="AU28" s="315" t="b">
        <f aca="false">TRUE()</f>
        <v>1</v>
      </c>
      <c r="AV28" s="315" t="b">
        <f aca="false">FALSE()</f>
        <v>0</v>
      </c>
      <c r="AW28" s="290" t="n">
        <v>0</v>
      </c>
      <c r="AX28" s="315" t="b">
        <f aca="false">FALSE()</f>
        <v>0</v>
      </c>
      <c r="AY28" s="315" t="b">
        <f aca="false">TRUE()</f>
        <v>1</v>
      </c>
      <c r="AZ28" s="290" t="n">
        <v>100</v>
      </c>
      <c r="BA28" s="290" t="n">
        <v>50</v>
      </c>
      <c r="BB28" s="290" t="n">
        <v>1470</v>
      </c>
      <c r="BC28" s="290" t="n">
        <v>0</v>
      </c>
      <c r="BD28" s="290" t="n">
        <v>0</v>
      </c>
      <c r="BE28" s="290" t="n">
        <v>0</v>
      </c>
      <c r="BF28" s="290" t="n">
        <v>0</v>
      </c>
      <c r="BG28" s="290" t="n">
        <v>1</v>
      </c>
      <c r="BH28" s="290" t="n">
        <v>0</v>
      </c>
      <c r="BI28" s="290" t="n">
        <v>0</v>
      </c>
      <c r="BJ28" s="290" t="n">
        <v>0</v>
      </c>
      <c r="BK28" s="290" t="n">
        <v>0</v>
      </c>
      <c r="BL28" s="290" t="n">
        <v>0</v>
      </c>
      <c r="BM28" s="290" t="n">
        <v>0</v>
      </c>
      <c r="BN28" s="290" t="n">
        <v>1</v>
      </c>
      <c r="BO28" s="290" t="n">
        <v>1</v>
      </c>
      <c r="BP28" s="290" t="s">
        <v>182</v>
      </c>
      <c r="BQ28" s="290" t="s">
        <v>182</v>
      </c>
      <c r="BR28" s="290" t="s">
        <v>182</v>
      </c>
      <c r="BS28" s="290" t="s">
        <v>182</v>
      </c>
      <c r="BT28" s="290" t="n">
        <v>27</v>
      </c>
      <c r="BU28" s="316" t="b">
        <f aca="false">FALSE()</f>
        <v>0</v>
      </c>
      <c r="BV28" s="290"/>
      <c r="BW28" s="3"/>
      <c r="BX28" s="3"/>
      <c r="BY28" s="3"/>
      <c r="BZ28" s="3"/>
      <c r="CA28" s="3" t="s">
        <v>876</v>
      </c>
      <c r="CB28" s="3"/>
      <c r="CC28" s="3"/>
      <c r="CD28" s="3"/>
      <c r="CE28" s="3"/>
      <c r="CF28" s="3"/>
      <c r="CG28" s="3" t="n">
        <f aca="false">IF(BZ28="Saddle",TRUE(),)</f>
        <v>0</v>
      </c>
      <c r="CH28" s="3"/>
      <c r="CI28" s="3" t="s">
        <v>877</v>
      </c>
      <c r="CJ28" s="3" t="s">
        <v>878</v>
      </c>
      <c r="CK28" s="3"/>
      <c r="CL28" s="3"/>
      <c r="CM28" s="3"/>
      <c r="CN28" s="3"/>
      <c r="CO28" s="3"/>
      <c r="CP28" s="3"/>
      <c r="CQ28" s="3"/>
      <c r="CR28" s="3"/>
      <c r="CS28" s="3"/>
      <c r="CT28" s="3"/>
      <c r="CU28" s="3"/>
      <c r="CV28" s="3" t="s">
        <v>879</v>
      </c>
      <c r="CW28" s="3" t="s">
        <v>880</v>
      </c>
      <c r="CX28" s="3" t="s">
        <v>881</v>
      </c>
      <c r="CY28" s="3" t="s">
        <v>882</v>
      </c>
      <c r="CZ28" s="3" t="s">
        <v>883</v>
      </c>
    </row>
    <row r="29" customFormat="false" ht="15.75" hidden="false" customHeight="false" outlineLevel="0" collapsed="false">
      <c r="A29" s="290" t="s">
        <v>82</v>
      </c>
      <c r="B29" s="290" t="s">
        <v>391</v>
      </c>
      <c r="C29" s="290" t="s">
        <v>182</v>
      </c>
      <c r="D29" s="290" t="s">
        <v>182</v>
      </c>
      <c r="E29" s="290" t="s">
        <v>182</v>
      </c>
      <c r="F29" s="315" t="b">
        <f aca="false">TRUE()</f>
        <v>1</v>
      </c>
      <c r="G29" s="290" t="s">
        <v>478</v>
      </c>
      <c r="H29" s="290" t="s">
        <v>391</v>
      </c>
      <c r="I29" s="290" t="n">
        <v>101</v>
      </c>
      <c r="J29" s="3"/>
      <c r="K29" s="290" t="s">
        <v>884</v>
      </c>
      <c r="L29" s="290" t="n">
        <v>8</v>
      </c>
      <c r="M29" s="290" t="s">
        <v>885</v>
      </c>
      <c r="N29" s="290" t="s">
        <v>814</v>
      </c>
      <c r="O29" s="290" t="s">
        <v>886</v>
      </c>
      <c r="P29" s="290" t="s">
        <v>745</v>
      </c>
      <c r="Q29" s="290" t="s">
        <v>746</v>
      </c>
      <c r="R29" s="315" t="b">
        <f aca="false">FALSE()</f>
        <v>0</v>
      </c>
      <c r="S29" s="290" t="n">
        <v>130</v>
      </c>
      <c r="T29" s="290" t="n">
        <v>150</v>
      </c>
      <c r="U29" s="290" t="n">
        <v>120</v>
      </c>
      <c r="V29" s="290" t="n">
        <v>100</v>
      </c>
      <c r="W29" s="290" t="n">
        <v>100</v>
      </c>
      <c r="X29" s="290" t="n">
        <v>100</v>
      </c>
      <c r="Y29" s="290" t="n">
        <v>1</v>
      </c>
      <c r="Z29" s="290" t="n">
        <v>1</v>
      </c>
      <c r="AA29" s="290" t="n">
        <v>1</v>
      </c>
      <c r="AB29" s="290" t="n">
        <v>9320</v>
      </c>
      <c r="AC29" s="290" t="s">
        <v>747</v>
      </c>
      <c r="AD29" s="290" t="s">
        <v>182</v>
      </c>
      <c r="AE29" s="290" t="n">
        <v>100</v>
      </c>
      <c r="AF29" s="290" t="n">
        <v>175</v>
      </c>
      <c r="AG29" s="290" t="n">
        <v>525</v>
      </c>
      <c r="AH29" s="290" t="n">
        <v>700</v>
      </c>
      <c r="AI29" s="290" t="n">
        <v>350</v>
      </c>
      <c r="AJ29" s="315" t="b">
        <f aca="false">FALSE()</f>
        <v>0</v>
      </c>
      <c r="AK29" s="315" t="b">
        <f aca="false">FALSE()</f>
        <v>0</v>
      </c>
      <c r="AL29" s="290" t="s">
        <v>759</v>
      </c>
      <c r="AM29" s="315" t="b">
        <f aca="false">FALSE()</f>
        <v>0</v>
      </c>
      <c r="AN29" s="315" t="b">
        <f aca="false">FALSE()</f>
        <v>0</v>
      </c>
      <c r="AO29" s="290" t="n">
        <v>475</v>
      </c>
      <c r="AP29" s="290" t="n">
        <v>1</v>
      </c>
      <c r="AQ29" s="290" t="n">
        <v>7</v>
      </c>
      <c r="AR29" s="290" t="n">
        <v>25</v>
      </c>
      <c r="AS29" s="290" t="n">
        <v>90</v>
      </c>
      <c r="AT29" s="290" t="n">
        <v>1</v>
      </c>
      <c r="AU29" s="315" t="b">
        <f aca="false">FALSE()</f>
        <v>0</v>
      </c>
      <c r="AV29" s="315" t="b">
        <f aca="false">FALSE()</f>
        <v>0</v>
      </c>
      <c r="AW29" s="290" t="n">
        <v>5</v>
      </c>
      <c r="AX29" s="315" t="b">
        <f aca="false">TRUE()</f>
        <v>1</v>
      </c>
      <c r="AY29" s="315" t="b">
        <f aca="false">TRUE()</f>
        <v>1</v>
      </c>
      <c r="AZ29" s="290" t="n">
        <v>100</v>
      </c>
      <c r="BA29" s="290" t="n">
        <v>50</v>
      </c>
      <c r="BB29" s="290" t="n">
        <v>310</v>
      </c>
      <c r="BC29" s="290" t="n">
        <v>0</v>
      </c>
      <c r="BD29" s="290" t="n">
        <v>4</v>
      </c>
      <c r="BE29" s="290" t="n">
        <v>0</v>
      </c>
      <c r="BF29" s="290" t="n">
        <v>0</v>
      </c>
      <c r="BG29" s="290" t="n">
        <v>0</v>
      </c>
      <c r="BH29" s="290" t="n">
        <v>0</v>
      </c>
      <c r="BI29" s="290" t="n">
        <v>0</v>
      </c>
      <c r="BJ29" s="290" t="n">
        <v>0</v>
      </c>
      <c r="BK29" s="290" t="n">
        <v>0</v>
      </c>
      <c r="BL29" s="290" t="n">
        <v>0</v>
      </c>
      <c r="BM29" s="290" t="n">
        <v>0</v>
      </c>
      <c r="BN29" s="290" t="n">
        <v>0</v>
      </c>
      <c r="BO29" s="290" t="n">
        <v>0</v>
      </c>
      <c r="BP29" s="290" t="s">
        <v>887</v>
      </c>
      <c r="BQ29" s="290" t="s">
        <v>182</v>
      </c>
      <c r="BR29" s="290" t="s">
        <v>182</v>
      </c>
      <c r="BS29" s="290" t="s">
        <v>182</v>
      </c>
      <c r="BT29" s="290" t="n">
        <v>28</v>
      </c>
      <c r="BU29" s="316" t="b">
        <f aca="false">FALSE()</f>
        <v>0</v>
      </c>
      <c r="BV29" s="290"/>
      <c r="BW29" s="3"/>
      <c r="BX29" s="85" t="n">
        <v>39</v>
      </c>
      <c r="BY29" s="3" t="s">
        <v>888</v>
      </c>
      <c r="BZ29" s="3" t="s">
        <v>775</v>
      </c>
      <c r="CA29" s="3"/>
      <c r="CB29" s="3"/>
      <c r="CC29" s="3"/>
      <c r="CD29" s="3"/>
      <c r="CE29" s="3"/>
      <c r="CF29" s="3"/>
      <c r="CG29" s="311" t="b">
        <f aca="false">IF(BZ29="Saddle",TRUE(),)</f>
        <v>1</v>
      </c>
      <c r="CH29" s="3" t="s">
        <v>889</v>
      </c>
      <c r="CI29" s="3"/>
      <c r="CJ29" s="3"/>
      <c r="CK29" s="3"/>
      <c r="CL29" s="3"/>
      <c r="CM29" s="3"/>
      <c r="CN29" s="3"/>
      <c r="CO29" s="3"/>
      <c r="CP29" s="3"/>
      <c r="CQ29" s="3"/>
      <c r="CR29" s="3"/>
      <c r="CS29" s="3"/>
      <c r="CT29" s="3"/>
      <c r="CU29" s="3" t="s">
        <v>818</v>
      </c>
      <c r="CV29" s="3"/>
      <c r="CW29" s="3" t="s">
        <v>819</v>
      </c>
      <c r="CX29" s="3" t="s">
        <v>820</v>
      </c>
      <c r="CY29" s="3" t="s">
        <v>821</v>
      </c>
      <c r="CZ29" s="3" t="s">
        <v>822</v>
      </c>
    </row>
    <row r="30" customFormat="false" ht="15.75" hidden="false" customHeight="false" outlineLevel="0" collapsed="false">
      <c r="A30" s="290" t="s">
        <v>83</v>
      </c>
      <c r="B30" s="290" t="s">
        <v>390</v>
      </c>
      <c r="C30" s="290" t="s">
        <v>182</v>
      </c>
      <c r="D30" s="290" t="s">
        <v>182</v>
      </c>
      <c r="E30" s="290" t="s">
        <v>182</v>
      </c>
      <c r="F30" s="315" t="b">
        <f aca="false">TRUE()</f>
        <v>1</v>
      </c>
      <c r="G30" s="290" t="s">
        <v>508</v>
      </c>
      <c r="H30" s="290" t="s">
        <v>390</v>
      </c>
      <c r="I30" s="290" t="n">
        <v>101</v>
      </c>
      <c r="J30" s="290" t="s">
        <v>761</v>
      </c>
      <c r="K30" s="290" t="s">
        <v>884</v>
      </c>
      <c r="L30" s="290" t="n">
        <v>9</v>
      </c>
      <c r="M30" s="290" t="s">
        <v>885</v>
      </c>
      <c r="N30" s="290" t="s">
        <v>757</v>
      </c>
      <c r="O30" s="290" t="s">
        <v>886</v>
      </c>
      <c r="P30" s="290" t="s">
        <v>745</v>
      </c>
      <c r="Q30" s="290" t="s">
        <v>746</v>
      </c>
      <c r="R30" s="315" t="b">
        <f aca="false">FALSE()</f>
        <v>0</v>
      </c>
      <c r="S30" s="290" t="n">
        <v>130</v>
      </c>
      <c r="T30" s="290" t="n">
        <v>150</v>
      </c>
      <c r="U30" s="290" t="n">
        <v>130</v>
      </c>
      <c r="V30" s="290" t="n">
        <v>100</v>
      </c>
      <c r="W30" s="290" t="n">
        <v>100</v>
      </c>
      <c r="X30" s="290" t="n">
        <v>100</v>
      </c>
      <c r="Y30" s="290" t="n">
        <v>1</v>
      </c>
      <c r="Z30" s="290" t="n">
        <v>1</v>
      </c>
      <c r="AA30" s="290" t="n">
        <v>1</v>
      </c>
      <c r="AB30" s="290" t="n">
        <v>9500</v>
      </c>
      <c r="AC30" s="290" t="s">
        <v>747</v>
      </c>
      <c r="AD30" s="290" t="s">
        <v>182</v>
      </c>
      <c r="AE30" s="290" t="n">
        <v>100</v>
      </c>
      <c r="AF30" s="290" t="n">
        <v>175</v>
      </c>
      <c r="AG30" s="290" t="n">
        <v>525</v>
      </c>
      <c r="AH30" s="290" t="n">
        <v>700</v>
      </c>
      <c r="AI30" s="290" t="n">
        <v>350</v>
      </c>
      <c r="AJ30" s="315" t="b">
        <f aca="false">FALSE()</f>
        <v>0</v>
      </c>
      <c r="AK30" s="315" t="b">
        <f aca="false">FALSE()</f>
        <v>0</v>
      </c>
      <c r="AL30" s="290" t="s">
        <v>759</v>
      </c>
      <c r="AM30" s="315" t="b">
        <f aca="false">FALSE()</f>
        <v>0</v>
      </c>
      <c r="AN30" s="315" t="b">
        <f aca="false">FALSE()</f>
        <v>0</v>
      </c>
      <c r="AO30" s="290" t="n">
        <v>475</v>
      </c>
      <c r="AP30" s="290" t="n">
        <v>1</v>
      </c>
      <c r="AQ30" s="290" t="n">
        <v>7</v>
      </c>
      <c r="AR30" s="290" t="n">
        <v>25</v>
      </c>
      <c r="AS30" s="290" t="n">
        <v>90</v>
      </c>
      <c r="AT30" s="290" t="n">
        <v>1</v>
      </c>
      <c r="AU30" s="315" t="b">
        <f aca="false">FALSE()</f>
        <v>0</v>
      </c>
      <c r="AV30" s="315" t="b">
        <f aca="false">FALSE()</f>
        <v>0</v>
      </c>
      <c r="AW30" s="290" t="n">
        <v>5</v>
      </c>
      <c r="AX30" s="315" t="b">
        <f aca="false">TRUE()</f>
        <v>1</v>
      </c>
      <c r="AY30" s="315" t="b">
        <f aca="false">TRUE()</f>
        <v>1</v>
      </c>
      <c r="AZ30" s="290" t="n">
        <v>100</v>
      </c>
      <c r="BA30" s="290" t="n">
        <v>50</v>
      </c>
      <c r="BB30" s="290" t="n">
        <v>315</v>
      </c>
      <c r="BC30" s="290" t="n">
        <v>4</v>
      </c>
      <c r="BD30" s="290" t="n">
        <v>0</v>
      </c>
      <c r="BE30" s="290" t="n">
        <v>0</v>
      </c>
      <c r="BF30" s="290" t="n">
        <v>0</v>
      </c>
      <c r="BG30" s="290" t="n">
        <v>0</v>
      </c>
      <c r="BH30" s="290" t="n">
        <v>0</v>
      </c>
      <c r="BI30" s="290" t="n">
        <v>0</v>
      </c>
      <c r="BJ30" s="290" t="n">
        <v>0</v>
      </c>
      <c r="BK30" s="290" t="n">
        <v>0</v>
      </c>
      <c r="BL30" s="290" t="n">
        <v>0</v>
      </c>
      <c r="BM30" s="290" t="n">
        <v>0</v>
      </c>
      <c r="BN30" s="290" t="n">
        <v>0</v>
      </c>
      <c r="BO30" s="290" t="n">
        <v>0</v>
      </c>
      <c r="BP30" s="290" t="s">
        <v>182</v>
      </c>
      <c r="BQ30" s="290" t="s">
        <v>182</v>
      </c>
      <c r="BR30" s="290" t="s">
        <v>182</v>
      </c>
      <c r="BS30" s="290" t="s">
        <v>182</v>
      </c>
      <c r="BT30" s="290" t="n">
        <v>29</v>
      </c>
      <c r="BU30" s="316" t="b">
        <f aca="false">TRUE()</f>
        <v>1</v>
      </c>
      <c r="BV30" s="290"/>
      <c r="BW30" s="290" t="s">
        <v>761</v>
      </c>
      <c r="BX30" s="85" t="n">
        <v>43</v>
      </c>
      <c r="BY30" s="3" t="s">
        <v>890</v>
      </c>
      <c r="BZ30" s="3" t="s">
        <v>775</v>
      </c>
      <c r="CA30" s="3"/>
      <c r="CB30" s="3"/>
      <c r="CC30" s="3"/>
      <c r="CD30" s="3"/>
      <c r="CE30" s="3"/>
      <c r="CF30" s="3"/>
      <c r="CG30" s="311" t="b">
        <f aca="false">IF(BZ30="Saddle",TRUE(),)</f>
        <v>1</v>
      </c>
      <c r="CH30" s="3" t="s">
        <v>889</v>
      </c>
      <c r="CI30" s="3"/>
      <c r="CJ30" s="3"/>
      <c r="CK30" s="3"/>
      <c r="CL30" s="3"/>
      <c r="CM30" s="3"/>
      <c r="CN30" s="3"/>
      <c r="CO30" s="3"/>
      <c r="CP30" s="3"/>
      <c r="CQ30" s="3"/>
      <c r="CR30" s="3"/>
      <c r="CS30" s="3"/>
      <c r="CT30" s="3"/>
      <c r="CU30" s="3"/>
      <c r="CV30" s="3" t="s">
        <v>891</v>
      </c>
      <c r="CW30" s="3" t="s">
        <v>892</v>
      </c>
      <c r="CX30" s="3" t="s">
        <v>893</v>
      </c>
      <c r="CY30" s="3" t="s">
        <v>894</v>
      </c>
      <c r="CZ30" s="3" t="s">
        <v>895</v>
      </c>
    </row>
    <row r="31" customFormat="false" ht="15.75" hidden="false" customHeight="false" outlineLevel="0" collapsed="false">
      <c r="A31" s="290" t="s">
        <v>94</v>
      </c>
      <c r="B31" s="290" t="s">
        <v>322</v>
      </c>
      <c r="C31" s="290" t="s">
        <v>182</v>
      </c>
      <c r="D31" s="290" t="s">
        <v>182</v>
      </c>
      <c r="E31" s="290" t="s">
        <v>182</v>
      </c>
      <c r="F31" s="315" t="b">
        <f aca="false">TRUE()</f>
        <v>1</v>
      </c>
      <c r="G31" s="290" t="s">
        <v>896</v>
      </c>
      <c r="H31" s="290" t="s">
        <v>322</v>
      </c>
      <c r="I31" s="290" t="n">
        <v>46</v>
      </c>
      <c r="J31" s="3"/>
      <c r="K31" s="290" t="s">
        <v>741</v>
      </c>
      <c r="L31" s="290" t="n">
        <v>3</v>
      </c>
      <c r="M31" s="290" t="s">
        <v>758</v>
      </c>
      <c r="N31" s="290" t="s">
        <v>743</v>
      </c>
      <c r="O31" s="290" t="s">
        <v>744</v>
      </c>
      <c r="P31" s="290" t="s">
        <v>745</v>
      </c>
      <c r="Q31" s="290" t="s">
        <v>746</v>
      </c>
      <c r="R31" s="315" t="b">
        <f aca="false">FALSE()</f>
        <v>0</v>
      </c>
      <c r="S31" s="290" t="n">
        <v>80</v>
      </c>
      <c r="T31" s="290" t="n">
        <v>130</v>
      </c>
      <c r="U31" s="290" t="n">
        <v>100</v>
      </c>
      <c r="V31" s="290" t="n">
        <v>80</v>
      </c>
      <c r="W31" s="290" t="n">
        <v>100</v>
      </c>
      <c r="X31" s="290" t="n">
        <v>100</v>
      </c>
      <c r="Y31" s="290" t="n">
        <v>1</v>
      </c>
      <c r="Z31" s="290" t="n">
        <v>1</v>
      </c>
      <c r="AA31" s="290" t="n">
        <v>1</v>
      </c>
      <c r="AB31" s="290" t="n">
        <v>2400</v>
      </c>
      <c r="AC31" s="290" t="s">
        <v>747</v>
      </c>
      <c r="AD31" s="290" t="s">
        <v>182</v>
      </c>
      <c r="AE31" s="290" t="n">
        <v>100</v>
      </c>
      <c r="AF31" s="290" t="n">
        <v>150</v>
      </c>
      <c r="AG31" s="290" t="n">
        <v>600</v>
      </c>
      <c r="AH31" s="290" t="n">
        <v>800</v>
      </c>
      <c r="AI31" s="290" t="n">
        <v>375</v>
      </c>
      <c r="AJ31" s="315" t="b">
        <f aca="false">FALSE()</f>
        <v>0</v>
      </c>
      <c r="AK31" s="315" t="b">
        <f aca="false">FALSE()</f>
        <v>0</v>
      </c>
      <c r="AL31" s="290" t="s">
        <v>748</v>
      </c>
      <c r="AM31" s="315" t="b">
        <f aca="false">FALSE()</f>
        <v>0</v>
      </c>
      <c r="AN31" s="315" t="b">
        <f aca="false">FALSE()</f>
        <v>0</v>
      </c>
      <c r="AO31" s="290" t="n">
        <v>350</v>
      </c>
      <c r="AP31" s="290" t="n">
        <v>1</v>
      </c>
      <c r="AQ31" s="290" t="n">
        <v>5</v>
      </c>
      <c r="AR31" s="290" t="n">
        <v>25</v>
      </c>
      <c r="AS31" s="290" t="n">
        <v>90</v>
      </c>
      <c r="AT31" s="290" t="n">
        <v>1</v>
      </c>
      <c r="AU31" s="315" t="b">
        <f aca="false">FALSE()</f>
        <v>0</v>
      </c>
      <c r="AV31" s="315" t="b">
        <f aca="false">TRUE()</f>
        <v>1</v>
      </c>
      <c r="AW31" s="290" t="n">
        <v>3</v>
      </c>
      <c r="AX31" s="315" t="b">
        <f aca="false">TRUE()</f>
        <v>1</v>
      </c>
      <c r="AY31" s="315" t="b">
        <f aca="false">TRUE()</f>
        <v>1</v>
      </c>
      <c r="AZ31" s="290" t="n">
        <v>100</v>
      </c>
      <c r="BA31" s="290" t="n">
        <v>50</v>
      </c>
      <c r="BB31" s="290" t="n">
        <v>950</v>
      </c>
      <c r="BC31" s="290" t="n">
        <v>0</v>
      </c>
      <c r="BD31" s="290" t="n">
        <v>0</v>
      </c>
      <c r="BE31" s="290" t="n">
        <v>0</v>
      </c>
      <c r="BF31" s="290" t="n">
        <v>0</v>
      </c>
      <c r="BG31" s="290" t="n">
        <v>2</v>
      </c>
      <c r="BH31" s="290" t="n">
        <v>0</v>
      </c>
      <c r="BI31" s="290" t="n">
        <v>0</v>
      </c>
      <c r="BJ31" s="290" t="n">
        <v>0</v>
      </c>
      <c r="BK31" s="290" t="n">
        <v>0</v>
      </c>
      <c r="BL31" s="290" t="n">
        <v>0</v>
      </c>
      <c r="BM31" s="290" t="n">
        <v>0</v>
      </c>
      <c r="BN31" s="290" t="n">
        <v>0</v>
      </c>
      <c r="BO31" s="290" t="n">
        <v>0</v>
      </c>
      <c r="BP31" s="290" t="s">
        <v>182</v>
      </c>
      <c r="BQ31" s="290" t="s">
        <v>182</v>
      </c>
      <c r="BR31" s="290" t="s">
        <v>182</v>
      </c>
      <c r="BS31" s="290" t="s">
        <v>182</v>
      </c>
      <c r="BT31" s="290" t="n">
        <v>30</v>
      </c>
      <c r="BU31" s="316" t="b">
        <f aca="false">FALSE()</f>
        <v>0</v>
      </c>
      <c r="BV31" s="290"/>
      <c r="BW31" s="3"/>
      <c r="BX31" s="3"/>
      <c r="BY31" s="3"/>
      <c r="BZ31" s="3"/>
      <c r="CA31" s="3" t="s">
        <v>897</v>
      </c>
      <c r="CB31" s="85" t="n">
        <v>1.1</v>
      </c>
      <c r="CC31" s="85" t="n">
        <v>1.3</v>
      </c>
      <c r="CD31" s="85" t="n">
        <v>1.6</v>
      </c>
      <c r="CE31" s="85" t="n">
        <v>2</v>
      </c>
      <c r="CF31" s="85" t="n">
        <v>2.5</v>
      </c>
      <c r="CG31" s="3" t="n">
        <f aca="false">IF(BZ31="Saddle",TRUE(),)</f>
        <v>0</v>
      </c>
      <c r="CH31" s="3"/>
      <c r="CI31" s="3"/>
      <c r="CJ31" s="3"/>
      <c r="CK31" s="3"/>
      <c r="CL31" s="3"/>
      <c r="CM31" s="3"/>
      <c r="CN31" s="3"/>
      <c r="CO31" s="3"/>
      <c r="CP31" s="3"/>
      <c r="CQ31" s="3"/>
      <c r="CR31" s="3"/>
      <c r="CS31" s="3"/>
      <c r="CT31" s="3"/>
      <c r="CU31" s="3"/>
      <c r="CV31" s="3"/>
      <c r="CW31" s="3"/>
      <c r="CX31" s="3"/>
      <c r="CY31" s="3"/>
      <c r="CZ31" s="3"/>
    </row>
    <row r="32" customFormat="false" ht="15.75" hidden="false" customHeight="false" outlineLevel="0" collapsed="false">
      <c r="A32" s="290" t="s">
        <v>71</v>
      </c>
      <c r="B32" s="290" t="s">
        <v>303</v>
      </c>
      <c r="C32" s="290" t="s">
        <v>182</v>
      </c>
      <c r="D32" s="290" t="s">
        <v>182</v>
      </c>
      <c r="E32" s="290" t="s">
        <v>182</v>
      </c>
      <c r="F32" s="315" t="b">
        <f aca="false">TRUE()</f>
        <v>1</v>
      </c>
      <c r="G32" s="290" t="s">
        <v>432</v>
      </c>
      <c r="H32" s="290" t="s">
        <v>303</v>
      </c>
      <c r="I32" s="290" t="n">
        <v>32</v>
      </c>
      <c r="J32" s="3"/>
      <c r="K32" s="290" t="s">
        <v>762</v>
      </c>
      <c r="L32" s="290" t="n">
        <v>1</v>
      </c>
      <c r="M32" s="290" t="s">
        <v>742</v>
      </c>
      <c r="N32" s="290" t="s">
        <v>743</v>
      </c>
      <c r="O32" s="290" t="s">
        <v>898</v>
      </c>
      <c r="P32" s="290" t="s">
        <v>745</v>
      </c>
      <c r="Q32" s="290" t="s">
        <v>746</v>
      </c>
      <c r="R32" s="315" t="b">
        <f aca="false">FALSE()</f>
        <v>0</v>
      </c>
      <c r="S32" s="290" t="n">
        <v>80</v>
      </c>
      <c r="T32" s="290" t="n">
        <v>70</v>
      </c>
      <c r="U32" s="290" t="n">
        <v>70</v>
      </c>
      <c r="V32" s="290" t="n">
        <v>70</v>
      </c>
      <c r="W32" s="290" t="n">
        <v>100</v>
      </c>
      <c r="X32" s="290" t="n">
        <v>100</v>
      </c>
      <c r="Y32" s="290" t="n">
        <v>1</v>
      </c>
      <c r="Z32" s="290" t="n">
        <v>1</v>
      </c>
      <c r="AA32" s="290" t="n">
        <v>1</v>
      </c>
      <c r="AB32" s="290" t="n">
        <v>1020</v>
      </c>
      <c r="AC32" s="290" t="s">
        <v>764</v>
      </c>
      <c r="AD32" s="290" t="s">
        <v>182</v>
      </c>
      <c r="AE32" s="290" t="n">
        <v>50</v>
      </c>
      <c r="AF32" s="290" t="n">
        <v>100</v>
      </c>
      <c r="AG32" s="290" t="n">
        <v>400</v>
      </c>
      <c r="AH32" s="290" t="n">
        <v>550</v>
      </c>
      <c r="AI32" s="290" t="n">
        <v>250</v>
      </c>
      <c r="AJ32" s="315" t="b">
        <f aca="false">FALSE()</f>
        <v>0</v>
      </c>
      <c r="AK32" s="315" t="b">
        <f aca="false">FALSE()</f>
        <v>0</v>
      </c>
      <c r="AL32" s="290" t="s">
        <v>765</v>
      </c>
      <c r="AM32" s="315" t="b">
        <f aca="false">FALSE()</f>
        <v>0</v>
      </c>
      <c r="AN32" s="315" t="b">
        <f aca="false">FALSE()</f>
        <v>0</v>
      </c>
      <c r="AO32" s="290" t="n">
        <v>150</v>
      </c>
      <c r="AP32" s="290" t="n">
        <v>1</v>
      </c>
      <c r="AQ32" s="290" t="n">
        <v>2</v>
      </c>
      <c r="AR32" s="290" t="n">
        <v>25</v>
      </c>
      <c r="AS32" s="290" t="n">
        <v>90</v>
      </c>
      <c r="AT32" s="290" t="n">
        <v>1</v>
      </c>
      <c r="AU32" s="315" t="b">
        <f aca="false">FALSE()</f>
        <v>0</v>
      </c>
      <c r="AV32" s="315" t="b">
        <f aca="false">FALSE()</f>
        <v>0</v>
      </c>
      <c r="AW32" s="290" t="n">
        <v>0</v>
      </c>
      <c r="AX32" s="315" t="b">
        <f aca="false">FALSE()</f>
        <v>0</v>
      </c>
      <c r="AY32" s="315" t="b">
        <f aca="false">TRUE()</f>
        <v>1</v>
      </c>
      <c r="AZ32" s="290" t="n">
        <v>100</v>
      </c>
      <c r="BA32" s="290" t="n">
        <v>50</v>
      </c>
      <c r="BB32" s="290" t="n">
        <v>1420</v>
      </c>
      <c r="BC32" s="290" t="n">
        <v>0</v>
      </c>
      <c r="BD32" s="290" t="n">
        <v>0</v>
      </c>
      <c r="BE32" s="290" t="n">
        <v>0</v>
      </c>
      <c r="BF32" s="290" t="n">
        <v>0</v>
      </c>
      <c r="BG32" s="290" t="n">
        <v>1</v>
      </c>
      <c r="BH32" s="290" t="n">
        <v>1</v>
      </c>
      <c r="BI32" s="290" t="n">
        <v>0</v>
      </c>
      <c r="BJ32" s="290" t="n">
        <v>0</v>
      </c>
      <c r="BK32" s="290" t="n">
        <v>0</v>
      </c>
      <c r="BL32" s="290" t="n">
        <v>0</v>
      </c>
      <c r="BM32" s="290" t="n">
        <v>0</v>
      </c>
      <c r="BN32" s="290" t="n">
        <v>2</v>
      </c>
      <c r="BO32" s="290" t="n">
        <v>0</v>
      </c>
      <c r="BP32" s="290" t="s">
        <v>182</v>
      </c>
      <c r="BQ32" s="290" t="s">
        <v>182</v>
      </c>
      <c r="BR32" s="290" t="s">
        <v>182</v>
      </c>
      <c r="BS32" s="290" t="s">
        <v>182</v>
      </c>
      <c r="BT32" s="290" t="n">
        <v>31</v>
      </c>
      <c r="BU32" s="316" t="b">
        <f aca="false">FALSE()</f>
        <v>0</v>
      </c>
      <c r="BV32" s="290"/>
      <c r="BW32" s="3"/>
      <c r="BX32" s="85" t="n">
        <v>20</v>
      </c>
      <c r="BY32" s="3" t="s">
        <v>899</v>
      </c>
      <c r="BZ32" s="3" t="s">
        <v>809</v>
      </c>
      <c r="CA32" s="3"/>
      <c r="CB32" s="3"/>
      <c r="CC32" s="3"/>
      <c r="CD32" s="3"/>
      <c r="CE32" s="3"/>
      <c r="CF32" s="3"/>
      <c r="CG32" s="3" t="n">
        <f aca="false">IF(BZ32="Saddle",TRUE(),)</f>
        <v>0</v>
      </c>
      <c r="CH32" s="3"/>
      <c r="CI32" s="3"/>
      <c r="CJ32" s="3"/>
      <c r="CK32" s="3"/>
      <c r="CL32" s="3"/>
      <c r="CM32" s="3"/>
      <c r="CN32" s="3"/>
      <c r="CO32" s="3"/>
      <c r="CP32" s="3"/>
      <c r="CQ32" s="3"/>
      <c r="CR32" s="3"/>
      <c r="CS32" s="3"/>
      <c r="CT32" s="3"/>
      <c r="CU32" s="3"/>
      <c r="CV32" s="3"/>
      <c r="CW32" s="3"/>
      <c r="CX32" s="3"/>
      <c r="CY32" s="3"/>
      <c r="CZ32" s="3"/>
    </row>
    <row r="33" customFormat="false" ht="15.75" hidden="false" customHeight="false" outlineLevel="0" collapsed="false">
      <c r="A33" s="290" t="s">
        <v>72</v>
      </c>
      <c r="B33" s="290" t="s">
        <v>304</v>
      </c>
      <c r="C33" s="290" t="s">
        <v>182</v>
      </c>
      <c r="D33" s="290" t="s">
        <v>182</v>
      </c>
      <c r="E33" s="290" t="s">
        <v>182</v>
      </c>
      <c r="F33" s="315" t="b">
        <f aca="false">TRUE()</f>
        <v>1</v>
      </c>
      <c r="G33" s="290" t="s">
        <v>554</v>
      </c>
      <c r="H33" s="290" t="s">
        <v>304</v>
      </c>
      <c r="I33" s="290" t="n">
        <v>32</v>
      </c>
      <c r="J33" s="290" t="s">
        <v>761</v>
      </c>
      <c r="K33" s="290" t="s">
        <v>762</v>
      </c>
      <c r="L33" s="290" t="n">
        <v>2</v>
      </c>
      <c r="M33" s="290" t="s">
        <v>771</v>
      </c>
      <c r="N33" s="290" t="s">
        <v>743</v>
      </c>
      <c r="O33" s="290" t="s">
        <v>898</v>
      </c>
      <c r="P33" s="290" t="s">
        <v>745</v>
      </c>
      <c r="Q33" s="290" t="s">
        <v>746</v>
      </c>
      <c r="R33" s="315" t="b">
        <f aca="false">FALSE()</f>
        <v>0</v>
      </c>
      <c r="S33" s="290" t="n">
        <v>80</v>
      </c>
      <c r="T33" s="290" t="n">
        <v>70</v>
      </c>
      <c r="U33" s="290" t="n">
        <v>80</v>
      </c>
      <c r="V33" s="290" t="n">
        <v>70</v>
      </c>
      <c r="W33" s="290" t="n">
        <v>100</v>
      </c>
      <c r="X33" s="290" t="n">
        <v>100</v>
      </c>
      <c r="Y33" s="290" t="n">
        <v>1</v>
      </c>
      <c r="Z33" s="290" t="n">
        <v>1</v>
      </c>
      <c r="AA33" s="290" t="n">
        <v>1</v>
      </c>
      <c r="AB33" s="290" t="n">
        <v>1020</v>
      </c>
      <c r="AC33" s="290" t="s">
        <v>764</v>
      </c>
      <c r="AD33" s="290" t="s">
        <v>182</v>
      </c>
      <c r="AE33" s="290" t="n">
        <v>50</v>
      </c>
      <c r="AF33" s="290" t="n">
        <v>100</v>
      </c>
      <c r="AG33" s="290" t="n">
        <v>400</v>
      </c>
      <c r="AH33" s="290" t="n">
        <v>550</v>
      </c>
      <c r="AI33" s="290" t="n">
        <v>250</v>
      </c>
      <c r="AJ33" s="315" t="b">
        <f aca="false">FALSE()</f>
        <v>0</v>
      </c>
      <c r="AK33" s="315" t="b">
        <f aca="false">FALSE()</f>
        <v>0</v>
      </c>
      <c r="AL33" s="290" t="s">
        <v>765</v>
      </c>
      <c r="AM33" s="315" t="b">
        <f aca="false">FALSE()</f>
        <v>0</v>
      </c>
      <c r="AN33" s="315" t="b">
        <f aca="false">FALSE()</f>
        <v>0</v>
      </c>
      <c r="AO33" s="290" t="n">
        <v>150</v>
      </c>
      <c r="AP33" s="290" t="n">
        <v>1</v>
      </c>
      <c r="AQ33" s="290" t="n">
        <v>2</v>
      </c>
      <c r="AR33" s="290" t="n">
        <v>25</v>
      </c>
      <c r="AS33" s="290" t="n">
        <v>90</v>
      </c>
      <c r="AT33" s="290" t="n">
        <v>1</v>
      </c>
      <c r="AU33" s="315" t="b">
        <f aca="false">FALSE()</f>
        <v>0</v>
      </c>
      <c r="AV33" s="315" t="b">
        <f aca="false">FALSE()</f>
        <v>0</v>
      </c>
      <c r="AW33" s="290" t="n">
        <v>0</v>
      </c>
      <c r="AX33" s="315" t="b">
        <f aca="false">FALSE()</f>
        <v>0</v>
      </c>
      <c r="AY33" s="315" t="b">
        <f aca="false">TRUE()</f>
        <v>1</v>
      </c>
      <c r="AZ33" s="290" t="n">
        <v>100</v>
      </c>
      <c r="BA33" s="290" t="n">
        <v>50</v>
      </c>
      <c r="BB33" s="290" t="n">
        <v>1422</v>
      </c>
      <c r="BC33" s="290" t="n">
        <v>0</v>
      </c>
      <c r="BD33" s="290" t="n">
        <v>0</v>
      </c>
      <c r="BE33" s="290" t="n">
        <v>0</v>
      </c>
      <c r="BF33" s="290" t="n">
        <v>0</v>
      </c>
      <c r="BG33" s="290" t="n">
        <v>1</v>
      </c>
      <c r="BH33" s="290" t="n">
        <v>1</v>
      </c>
      <c r="BI33" s="290" t="n">
        <v>0</v>
      </c>
      <c r="BJ33" s="290" t="n">
        <v>0</v>
      </c>
      <c r="BK33" s="290" t="n">
        <v>0</v>
      </c>
      <c r="BL33" s="290" t="n">
        <v>0</v>
      </c>
      <c r="BM33" s="290" t="n">
        <v>1</v>
      </c>
      <c r="BN33" s="290" t="n">
        <v>2</v>
      </c>
      <c r="BO33" s="290" t="n">
        <v>0</v>
      </c>
      <c r="BP33" s="290" t="s">
        <v>182</v>
      </c>
      <c r="BQ33" s="290" t="s">
        <v>182</v>
      </c>
      <c r="BR33" s="290" t="s">
        <v>182</v>
      </c>
      <c r="BS33" s="290" t="s">
        <v>182</v>
      </c>
      <c r="BT33" s="290" t="n">
        <v>32</v>
      </c>
      <c r="BU33" s="316" t="b">
        <f aca="false">TRUE()</f>
        <v>1</v>
      </c>
      <c r="BV33" s="290"/>
      <c r="BW33" s="290" t="s">
        <v>761</v>
      </c>
      <c r="BX33" s="85" t="n">
        <v>31</v>
      </c>
      <c r="BY33" s="3" t="s">
        <v>900</v>
      </c>
      <c r="BZ33" s="3" t="s">
        <v>809</v>
      </c>
      <c r="CA33" s="3"/>
      <c r="CB33" s="3"/>
      <c r="CC33" s="3"/>
      <c r="CD33" s="3"/>
      <c r="CE33" s="3"/>
      <c r="CF33" s="3"/>
      <c r="CG33" s="3" t="n">
        <f aca="false">IF(BZ33="Saddle",TRUE(),)</f>
        <v>0</v>
      </c>
      <c r="CH33" s="3"/>
      <c r="CI33" s="3"/>
      <c r="CJ33" s="3"/>
      <c r="CK33" s="3"/>
      <c r="CL33" s="3"/>
      <c r="CM33" s="3"/>
      <c r="CN33" s="3"/>
      <c r="CO33" s="3"/>
      <c r="CP33" s="3"/>
      <c r="CQ33" s="3"/>
      <c r="CR33" s="3"/>
      <c r="CS33" s="3"/>
      <c r="CT33" s="3"/>
      <c r="CU33" s="3"/>
      <c r="CV33" s="3"/>
      <c r="CW33" s="3"/>
      <c r="CX33" s="3"/>
      <c r="CY33" s="3"/>
      <c r="CZ33" s="3"/>
    </row>
    <row r="34" customFormat="false" ht="15.75" hidden="false" customHeight="false" outlineLevel="0" collapsed="false">
      <c r="A34" s="290" t="s">
        <v>135</v>
      </c>
      <c r="B34" s="290" t="s">
        <v>135</v>
      </c>
      <c r="C34" s="290" t="s">
        <v>182</v>
      </c>
      <c r="D34" s="290" t="s">
        <v>182</v>
      </c>
      <c r="E34" s="290" t="s">
        <v>182</v>
      </c>
      <c r="F34" s="315" t="b">
        <f aca="false">TRUE()</f>
        <v>1</v>
      </c>
      <c r="G34" s="290" t="s">
        <v>477</v>
      </c>
      <c r="H34" s="290" t="s">
        <v>135</v>
      </c>
      <c r="I34" s="290" t="n">
        <v>102</v>
      </c>
      <c r="J34" s="3"/>
      <c r="K34" s="290" t="s">
        <v>884</v>
      </c>
      <c r="L34" s="290" t="n">
        <v>8</v>
      </c>
      <c r="M34" s="290" t="s">
        <v>757</v>
      </c>
      <c r="N34" s="290" t="s">
        <v>743</v>
      </c>
      <c r="O34" s="290" t="s">
        <v>790</v>
      </c>
      <c r="P34" s="290" t="s">
        <v>745</v>
      </c>
      <c r="Q34" s="290" t="s">
        <v>746</v>
      </c>
      <c r="R34" s="315" t="b">
        <f aca="false">FALSE()</f>
        <v>0</v>
      </c>
      <c r="S34" s="290" t="n">
        <v>120</v>
      </c>
      <c r="T34" s="290" t="n">
        <v>100</v>
      </c>
      <c r="U34" s="290" t="n">
        <v>105</v>
      </c>
      <c r="V34" s="290" t="n">
        <v>105</v>
      </c>
      <c r="W34" s="290" t="n">
        <v>100</v>
      </c>
      <c r="X34" s="290" t="n">
        <v>100</v>
      </c>
      <c r="Y34" s="290" t="n">
        <v>1</v>
      </c>
      <c r="Z34" s="290" t="n">
        <v>1</v>
      </c>
      <c r="AA34" s="290" t="n">
        <v>1</v>
      </c>
      <c r="AB34" s="290" t="n">
        <v>9840</v>
      </c>
      <c r="AC34" s="290" t="s">
        <v>747</v>
      </c>
      <c r="AD34" s="290" t="s">
        <v>182</v>
      </c>
      <c r="AE34" s="290" t="n">
        <v>100</v>
      </c>
      <c r="AF34" s="290" t="n">
        <v>200</v>
      </c>
      <c r="AG34" s="290" t="n">
        <v>850</v>
      </c>
      <c r="AH34" s="290" t="n">
        <v>1100</v>
      </c>
      <c r="AI34" s="290" t="n">
        <v>450</v>
      </c>
      <c r="AJ34" s="315" t="b">
        <f aca="false">FALSE()</f>
        <v>0</v>
      </c>
      <c r="AK34" s="315" t="b">
        <f aca="false">FALSE()</f>
        <v>0</v>
      </c>
      <c r="AL34" s="290" t="s">
        <v>759</v>
      </c>
      <c r="AM34" s="315" t="b">
        <f aca="false">FALSE()</f>
        <v>0</v>
      </c>
      <c r="AN34" s="315" t="b">
        <f aca="false">FALSE()</f>
        <v>0</v>
      </c>
      <c r="AO34" s="290" t="n">
        <v>525</v>
      </c>
      <c r="AP34" s="290" t="n">
        <v>1</v>
      </c>
      <c r="AQ34" s="290" t="n">
        <v>8</v>
      </c>
      <c r="AR34" s="290" t="n">
        <v>25</v>
      </c>
      <c r="AS34" s="290" t="n">
        <v>90</v>
      </c>
      <c r="AT34" s="290" t="n">
        <v>1</v>
      </c>
      <c r="AU34" s="315" t="b">
        <f aca="false">FALSE()</f>
        <v>0</v>
      </c>
      <c r="AV34" s="315" t="b">
        <f aca="false">FALSE()</f>
        <v>0</v>
      </c>
      <c r="AW34" s="290" t="n">
        <v>5</v>
      </c>
      <c r="AX34" s="315" t="b">
        <f aca="false">FALSE()</f>
        <v>0</v>
      </c>
      <c r="AY34" s="315" t="b">
        <f aca="false">TRUE()</f>
        <v>1</v>
      </c>
      <c r="AZ34" s="290" t="n">
        <v>350</v>
      </c>
      <c r="BA34" s="290" t="n">
        <v>50</v>
      </c>
      <c r="BB34" s="290" t="n">
        <v>50</v>
      </c>
      <c r="BC34" s="290" t="n">
        <v>3</v>
      </c>
      <c r="BD34" s="290" t="n">
        <v>0</v>
      </c>
      <c r="BE34" s="290" t="n">
        <v>0</v>
      </c>
      <c r="BF34" s="290" t="n">
        <v>0</v>
      </c>
      <c r="BG34" s="290" t="n">
        <v>0</v>
      </c>
      <c r="BH34" s="290" t="n">
        <v>0</v>
      </c>
      <c r="BI34" s="290" t="n">
        <v>0</v>
      </c>
      <c r="BJ34" s="290" t="n">
        <v>0</v>
      </c>
      <c r="BK34" s="290" t="n">
        <v>0</v>
      </c>
      <c r="BL34" s="290" t="n">
        <v>0</v>
      </c>
      <c r="BM34" s="290" t="n">
        <v>0</v>
      </c>
      <c r="BN34" s="290" t="n">
        <v>0</v>
      </c>
      <c r="BO34" s="290" t="n">
        <v>0</v>
      </c>
      <c r="BP34" s="290" t="s">
        <v>182</v>
      </c>
      <c r="BQ34" s="290" t="s">
        <v>182</v>
      </c>
      <c r="BR34" s="290" t="s">
        <v>182</v>
      </c>
      <c r="BS34" s="290" t="s">
        <v>182</v>
      </c>
      <c r="BT34" s="290" t="n">
        <v>33</v>
      </c>
      <c r="BU34" s="316" t="b">
        <f aca="false">FALSE()</f>
        <v>0</v>
      </c>
      <c r="BV34" s="290"/>
      <c r="BW34" s="3"/>
      <c r="BX34" s="85" t="n">
        <v>40</v>
      </c>
      <c r="BY34" s="3" t="s">
        <v>901</v>
      </c>
      <c r="BZ34" s="3" t="s">
        <v>775</v>
      </c>
      <c r="CA34" s="3"/>
      <c r="CB34" s="3"/>
      <c r="CC34" s="3"/>
      <c r="CD34" s="3"/>
      <c r="CE34" s="3"/>
      <c r="CF34" s="3"/>
      <c r="CG34" s="311" t="b">
        <f aca="false">IF(BZ34="Saddle",TRUE(),)</f>
        <v>1</v>
      </c>
      <c r="CH34" s="3" t="s">
        <v>902</v>
      </c>
      <c r="CI34" s="3"/>
      <c r="CJ34" s="3"/>
      <c r="CK34" s="3"/>
      <c r="CL34" s="3"/>
      <c r="CM34" s="3"/>
      <c r="CN34" s="3"/>
      <c r="CO34" s="3"/>
      <c r="CP34" s="3"/>
      <c r="CQ34" s="3"/>
      <c r="CR34" s="3"/>
      <c r="CS34" s="3"/>
      <c r="CT34" s="3"/>
      <c r="CU34" s="3"/>
      <c r="CV34" s="3" t="s">
        <v>891</v>
      </c>
      <c r="CW34" s="3" t="s">
        <v>892</v>
      </c>
      <c r="CX34" s="3" t="s">
        <v>893</v>
      </c>
      <c r="CY34" s="3" t="s">
        <v>894</v>
      </c>
      <c r="CZ34" s="3" t="s">
        <v>895</v>
      </c>
    </row>
    <row r="35" customFormat="false" ht="15.75" hidden="false" customHeight="false" outlineLevel="0" collapsed="false">
      <c r="A35" s="290" t="s">
        <v>136</v>
      </c>
      <c r="B35" s="290" t="s">
        <v>392</v>
      </c>
      <c r="C35" s="290" t="s">
        <v>182</v>
      </c>
      <c r="D35" s="290" t="s">
        <v>182</v>
      </c>
      <c r="E35" s="290" t="s">
        <v>182</v>
      </c>
      <c r="F35" s="315" t="b">
        <f aca="false">TRUE()</f>
        <v>1</v>
      </c>
      <c r="G35" s="290" t="s">
        <v>550</v>
      </c>
      <c r="H35" s="290" t="s">
        <v>392</v>
      </c>
      <c r="I35" s="290" t="n">
        <v>102</v>
      </c>
      <c r="J35" s="290" t="s">
        <v>761</v>
      </c>
      <c r="K35" s="290" t="s">
        <v>884</v>
      </c>
      <c r="L35" s="290" t="n">
        <v>9</v>
      </c>
      <c r="M35" s="290" t="s">
        <v>814</v>
      </c>
      <c r="N35" s="290" t="s">
        <v>743</v>
      </c>
      <c r="O35" s="290" t="s">
        <v>790</v>
      </c>
      <c r="P35" s="290" t="s">
        <v>745</v>
      </c>
      <c r="Q35" s="290" t="s">
        <v>746</v>
      </c>
      <c r="R35" s="315" t="b">
        <f aca="false">FALSE()</f>
        <v>0</v>
      </c>
      <c r="S35" s="290" t="n">
        <v>125</v>
      </c>
      <c r="T35" s="290" t="n">
        <v>100</v>
      </c>
      <c r="U35" s="290" t="n">
        <v>105</v>
      </c>
      <c r="V35" s="290" t="n">
        <v>105</v>
      </c>
      <c r="W35" s="290" t="n">
        <v>100</v>
      </c>
      <c r="X35" s="290" t="n">
        <v>100</v>
      </c>
      <c r="Y35" s="290" t="n">
        <v>1</v>
      </c>
      <c r="Z35" s="290" t="n">
        <v>1</v>
      </c>
      <c r="AA35" s="290" t="n">
        <v>1</v>
      </c>
      <c r="AB35" s="290" t="n">
        <v>10110</v>
      </c>
      <c r="AC35" s="290" t="s">
        <v>747</v>
      </c>
      <c r="AD35" s="290" t="s">
        <v>182</v>
      </c>
      <c r="AE35" s="290" t="n">
        <v>100</v>
      </c>
      <c r="AF35" s="290" t="n">
        <v>200</v>
      </c>
      <c r="AG35" s="290" t="n">
        <v>850</v>
      </c>
      <c r="AH35" s="290" t="n">
        <v>1100</v>
      </c>
      <c r="AI35" s="290" t="n">
        <v>450</v>
      </c>
      <c r="AJ35" s="315" t="b">
        <f aca="false">FALSE()</f>
        <v>0</v>
      </c>
      <c r="AK35" s="315" t="b">
        <f aca="false">FALSE()</f>
        <v>0</v>
      </c>
      <c r="AL35" s="290" t="s">
        <v>759</v>
      </c>
      <c r="AM35" s="315" t="b">
        <f aca="false">FALSE()</f>
        <v>0</v>
      </c>
      <c r="AN35" s="315" t="b">
        <f aca="false">FALSE()</f>
        <v>0</v>
      </c>
      <c r="AO35" s="290" t="n">
        <v>525</v>
      </c>
      <c r="AP35" s="290" t="n">
        <v>1</v>
      </c>
      <c r="AQ35" s="290" t="n">
        <v>8</v>
      </c>
      <c r="AR35" s="290" t="n">
        <v>25</v>
      </c>
      <c r="AS35" s="290" t="n">
        <v>90</v>
      </c>
      <c r="AT35" s="290" t="n">
        <v>1</v>
      </c>
      <c r="AU35" s="315" t="b">
        <f aca="false">FALSE()</f>
        <v>0</v>
      </c>
      <c r="AV35" s="315" t="b">
        <f aca="false">FALSE()</f>
        <v>0</v>
      </c>
      <c r="AW35" s="290" t="n">
        <v>5</v>
      </c>
      <c r="AX35" s="315" t="b">
        <f aca="false">FALSE()</f>
        <v>0</v>
      </c>
      <c r="AY35" s="315" t="b">
        <f aca="false">TRUE()</f>
        <v>1</v>
      </c>
      <c r="AZ35" s="290" t="n">
        <v>350</v>
      </c>
      <c r="BA35" s="290" t="n">
        <v>50</v>
      </c>
      <c r="BB35" s="290" t="n">
        <v>30</v>
      </c>
      <c r="BC35" s="290" t="n">
        <v>0</v>
      </c>
      <c r="BD35" s="290" t="n">
        <v>3</v>
      </c>
      <c r="BE35" s="290" t="n">
        <v>0</v>
      </c>
      <c r="BF35" s="290" t="n">
        <v>0</v>
      </c>
      <c r="BG35" s="290" t="n">
        <v>0</v>
      </c>
      <c r="BH35" s="290" t="n">
        <v>0</v>
      </c>
      <c r="BI35" s="290" t="n">
        <v>0</v>
      </c>
      <c r="BJ35" s="290" t="n">
        <v>0</v>
      </c>
      <c r="BK35" s="290" t="n">
        <v>0</v>
      </c>
      <c r="BL35" s="290" t="n">
        <v>0</v>
      </c>
      <c r="BM35" s="290" t="n">
        <v>0</v>
      </c>
      <c r="BN35" s="290" t="n">
        <v>0</v>
      </c>
      <c r="BO35" s="290" t="n">
        <v>0</v>
      </c>
      <c r="BP35" s="290" t="s">
        <v>182</v>
      </c>
      <c r="BQ35" s="290" t="s">
        <v>182</v>
      </c>
      <c r="BR35" s="290" t="s">
        <v>182</v>
      </c>
      <c r="BS35" s="290" t="s">
        <v>182</v>
      </c>
      <c r="BT35" s="290" t="n">
        <v>34</v>
      </c>
      <c r="BU35" s="316" t="b">
        <f aca="false">TRUE()</f>
        <v>1</v>
      </c>
      <c r="BV35" s="290"/>
      <c r="BW35" s="290" t="s">
        <v>761</v>
      </c>
      <c r="BX35" s="85" t="n">
        <v>43</v>
      </c>
      <c r="BY35" s="3" t="s">
        <v>903</v>
      </c>
      <c r="BZ35" s="3" t="s">
        <v>775</v>
      </c>
      <c r="CA35" s="3"/>
      <c r="CB35" s="3"/>
      <c r="CC35" s="3"/>
      <c r="CD35" s="3"/>
      <c r="CE35" s="3"/>
      <c r="CF35" s="3"/>
      <c r="CG35" s="311" t="b">
        <f aca="false">IF(BZ35="Saddle",TRUE(),)</f>
        <v>1</v>
      </c>
      <c r="CH35" s="3" t="s">
        <v>902</v>
      </c>
      <c r="CI35" s="3"/>
      <c r="CJ35" s="3"/>
      <c r="CK35" s="3"/>
      <c r="CL35" s="3"/>
      <c r="CM35" s="3"/>
      <c r="CN35" s="3"/>
      <c r="CO35" s="3"/>
      <c r="CP35" s="3"/>
      <c r="CQ35" s="3"/>
      <c r="CR35" s="3"/>
      <c r="CS35" s="3"/>
      <c r="CT35" s="3"/>
      <c r="CU35" s="3"/>
      <c r="CV35" s="3" t="s">
        <v>904</v>
      </c>
      <c r="CW35" s="3" t="s">
        <v>905</v>
      </c>
      <c r="CX35" s="3" t="s">
        <v>906</v>
      </c>
      <c r="CY35" s="3" t="s">
        <v>907</v>
      </c>
      <c r="CZ35" s="3" t="s">
        <v>908</v>
      </c>
    </row>
    <row r="36" customFormat="false" ht="15.75" hidden="false" customHeight="false" outlineLevel="0" collapsed="false">
      <c r="A36" s="290" t="s">
        <v>117</v>
      </c>
      <c r="B36" s="290" t="s">
        <v>335</v>
      </c>
      <c r="C36" s="290" t="s">
        <v>182</v>
      </c>
      <c r="D36" s="290" t="s">
        <v>182</v>
      </c>
      <c r="E36" s="290" t="s">
        <v>182</v>
      </c>
      <c r="F36" s="315" t="b">
        <f aca="false">TRUE()</f>
        <v>1</v>
      </c>
      <c r="G36" s="290" t="s">
        <v>437</v>
      </c>
      <c r="H36" s="290" t="s">
        <v>335</v>
      </c>
      <c r="I36" s="290" t="n">
        <v>58</v>
      </c>
      <c r="J36" s="3"/>
      <c r="K36" s="290" t="s">
        <v>793</v>
      </c>
      <c r="L36" s="290" t="n">
        <v>6</v>
      </c>
      <c r="M36" s="290" t="s">
        <v>757</v>
      </c>
      <c r="N36" s="290" t="s">
        <v>743</v>
      </c>
      <c r="O36" s="290" t="s">
        <v>763</v>
      </c>
      <c r="P36" s="290" t="s">
        <v>745</v>
      </c>
      <c r="Q36" s="290" t="s">
        <v>746</v>
      </c>
      <c r="R36" s="315" t="b">
        <f aca="false">FALSE()</f>
        <v>0</v>
      </c>
      <c r="S36" s="290" t="n">
        <v>100</v>
      </c>
      <c r="T36" s="290" t="n">
        <v>110</v>
      </c>
      <c r="U36" s="290" t="n">
        <v>95</v>
      </c>
      <c r="V36" s="290" t="n">
        <v>90</v>
      </c>
      <c r="W36" s="290" t="n">
        <v>100</v>
      </c>
      <c r="X36" s="290" t="n">
        <v>100</v>
      </c>
      <c r="Y36" s="290" t="n">
        <v>1</v>
      </c>
      <c r="Z36" s="290" t="n">
        <v>1</v>
      </c>
      <c r="AA36" s="290" t="n">
        <v>1</v>
      </c>
      <c r="AB36" s="290" t="n">
        <v>6720</v>
      </c>
      <c r="AC36" s="290" t="s">
        <v>747</v>
      </c>
      <c r="AD36" s="290" t="s">
        <v>182</v>
      </c>
      <c r="AE36" s="290" t="n">
        <v>100</v>
      </c>
      <c r="AF36" s="290" t="n">
        <v>150</v>
      </c>
      <c r="AG36" s="290" t="n">
        <v>850</v>
      </c>
      <c r="AH36" s="290" t="n">
        <v>1300</v>
      </c>
      <c r="AI36" s="290" t="n">
        <v>500</v>
      </c>
      <c r="AJ36" s="315" t="b">
        <f aca="false">FALSE()</f>
        <v>0</v>
      </c>
      <c r="AK36" s="315" t="b">
        <f aca="false">FALSE()</f>
        <v>0</v>
      </c>
      <c r="AL36" s="290" t="s">
        <v>748</v>
      </c>
      <c r="AM36" s="315" t="b">
        <f aca="false">FALSE()</f>
        <v>0</v>
      </c>
      <c r="AN36" s="315" t="b">
        <f aca="false">FALSE()</f>
        <v>0</v>
      </c>
      <c r="AO36" s="290" t="n">
        <v>350</v>
      </c>
      <c r="AP36" s="290" t="n">
        <v>1</v>
      </c>
      <c r="AQ36" s="290" t="n">
        <v>5</v>
      </c>
      <c r="AR36" s="290" t="n">
        <v>25</v>
      </c>
      <c r="AS36" s="290" t="n">
        <v>90</v>
      </c>
      <c r="AT36" s="290" t="n">
        <v>1</v>
      </c>
      <c r="AU36" s="315" t="b">
        <f aca="false">FALSE()</f>
        <v>0</v>
      </c>
      <c r="AV36" s="315" t="b">
        <f aca="false">FALSE()</f>
        <v>0</v>
      </c>
      <c r="AW36" s="290" t="n">
        <v>5</v>
      </c>
      <c r="AX36" s="315" t="b">
        <f aca="false">FALSE()</f>
        <v>0</v>
      </c>
      <c r="AY36" s="315" t="b">
        <f aca="false">TRUE()</f>
        <v>1</v>
      </c>
      <c r="AZ36" s="290" t="n">
        <v>100</v>
      </c>
      <c r="BA36" s="290" t="n">
        <v>50</v>
      </c>
      <c r="BB36" s="290" t="n">
        <v>360</v>
      </c>
      <c r="BC36" s="290" t="n">
        <v>2</v>
      </c>
      <c r="BD36" s="290" t="n">
        <v>0</v>
      </c>
      <c r="BE36" s="290" t="n">
        <v>0</v>
      </c>
      <c r="BF36" s="290" t="n">
        <v>0</v>
      </c>
      <c r="BG36" s="290" t="n">
        <v>0</v>
      </c>
      <c r="BH36" s="290" t="n">
        <v>0</v>
      </c>
      <c r="BI36" s="290" t="n">
        <v>1</v>
      </c>
      <c r="BJ36" s="290" t="n">
        <v>0</v>
      </c>
      <c r="BK36" s="290" t="n">
        <v>0</v>
      </c>
      <c r="BL36" s="290" t="n">
        <v>0</v>
      </c>
      <c r="BM36" s="290" t="n">
        <v>0</v>
      </c>
      <c r="BN36" s="290" t="n">
        <v>0</v>
      </c>
      <c r="BO36" s="290" t="n">
        <v>0</v>
      </c>
      <c r="BP36" s="290" t="s">
        <v>182</v>
      </c>
      <c r="BQ36" s="290" t="s">
        <v>182</v>
      </c>
      <c r="BR36" s="290" t="s">
        <v>182</v>
      </c>
      <c r="BS36" s="290" t="s">
        <v>182</v>
      </c>
      <c r="BT36" s="290" t="n">
        <v>35</v>
      </c>
      <c r="BU36" s="316" t="b">
        <f aca="false">FALSE()</f>
        <v>0</v>
      </c>
      <c r="BV36" s="290"/>
      <c r="BW36" s="3"/>
      <c r="BX36" s="85" t="n">
        <v>30</v>
      </c>
      <c r="BY36" s="3" t="s">
        <v>909</v>
      </c>
      <c r="BZ36" s="3" t="s">
        <v>775</v>
      </c>
      <c r="CA36" s="3"/>
      <c r="CB36" s="3"/>
      <c r="CC36" s="3"/>
      <c r="CD36" s="3"/>
      <c r="CE36" s="3"/>
      <c r="CF36" s="3"/>
      <c r="CG36" s="311" t="b">
        <f aca="false">IF(BZ36="Saddle",TRUE(),)</f>
        <v>1</v>
      </c>
      <c r="CH36" s="3" t="s">
        <v>776</v>
      </c>
      <c r="CI36" s="3" t="s">
        <v>750</v>
      </c>
      <c r="CJ36" s="3" t="s">
        <v>910</v>
      </c>
      <c r="CK36" s="3" t="s">
        <v>910</v>
      </c>
      <c r="CL36" s="3" t="s">
        <v>910</v>
      </c>
      <c r="CM36" s="3" t="s">
        <v>910</v>
      </c>
      <c r="CN36" s="3" t="s">
        <v>910</v>
      </c>
      <c r="CO36" s="3"/>
      <c r="CP36" s="3"/>
      <c r="CQ36" s="3"/>
      <c r="CR36" s="3"/>
      <c r="CS36" s="3"/>
      <c r="CT36" s="3"/>
      <c r="CU36" s="3"/>
      <c r="CV36" s="3" t="s">
        <v>839</v>
      </c>
      <c r="CW36" s="3" t="s">
        <v>840</v>
      </c>
      <c r="CX36" s="3" t="s">
        <v>841</v>
      </c>
      <c r="CY36" s="3" t="s">
        <v>842</v>
      </c>
      <c r="CZ36" s="3" t="s">
        <v>843</v>
      </c>
    </row>
    <row r="37" customFormat="false" ht="15.75" hidden="false" customHeight="false" outlineLevel="0" collapsed="false">
      <c r="A37" s="290" t="s">
        <v>118</v>
      </c>
      <c r="B37" s="290" t="s">
        <v>336</v>
      </c>
      <c r="C37" s="290" t="s">
        <v>182</v>
      </c>
      <c r="D37" s="290" t="s">
        <v>182</v>
      </c>
      <c r="E37" s="290" t="s">
        <v>182</v>
      </c>
      <c r="F37" s="315" t="b">
        <f aca="false">TRUE()</f>
        <v>1</v>
      </c>
      <c r="G37" s="290" t="s">
        <v>522</v>
      </c>
      <c r="H37" s="290" t="s">
        <v>336</v>
      </c>
      <c r="I37" s="290" t="n">
        <v>58</v>
      </c>
      <c r="J37" s="290" t="s">
        <v>761</v>
      </c>
      <c r="K37" s="290" t="s">
        <v>793</v>
      </c>
      <c r="L37" s="290" t="n">
        <v>7</v>
      </c>
      <c r="M37" s="290" t="s">
        <v>757</v>
      </c>
      <c r="N37" s="290" t="s">
        <v>758</v>
      </c>
      <c r="O37" s="290" t="s">
        <v>763</v>
      </c>
      <c r="P37" s="290" t="s">
        <v>745</v>
      </c>
      <c r="Q37" s="290" t="s">
        <v>746</v>
      </c>
      <c r="R37" s="315" t="b">
        <f aca="false">FALSE()</f>
        <v>0</v>
      </c>
      <c r="S37" s="290" t="n">
        <v>100</v>
      </c>
      <c r="T37" s="290" t="n">
        <v>110</v>
      </c>
      <c r="U37" s="290" t="n">
        <v>95</v>
      </c>
      <c r="V37" s="290" t="n">
        <v>90</v>
      </c>
      <c r="W37" s="290" t="n">
        <v>100</v>
      </c>
      <c r="X37" s="290" t="n">
        <v>100</v>
      </c>
      <c r="Y37" s="290" t="n">
        <v>1</v>
      </c>
      <c r="Z37" s="290" t="n">
        <v>1</v>
      </c>
      <c r="AA37" s="290" t="n">
        <v>1</v>
      </c>
      <c r="AB37" s="290" t="n">
        <v>7270</v>
      </c>
      <c r="AC37" s="290" t="s">
        <v>747</v>
      </c>
      <c r="AD37" s="290" t="s">
        <v>182</v>
      </c>
      <c r="AE37" s="290" t="n">
        <v>100</v>
      </c>
      <c r="AF37" s="290" t="n">
        <v>150</v>
      </c>
      <c r="AG37" s="290" t="n">
        <v>850</v>
      </c>
      <c r="AH37" s="290" t="n">
        <v>1300</v>
      </c>
      <c r="AI37" s="290" t="n">
        <v>500</v>
      </c>
      <c r="AJ37" s="315" t="b">
        <f aca="false">FALSE()</f>
        <v>0</v>
      </c>
      <c r="AK37" s="315" t="b">
        <f aca="false">FALSE()</f>
        <v>0</v>
      </c>
      <c r="AL37" s="290" t="s">
        <v>748</v>
      </c>
      <c r="AM37" s="315" t="b">
        <f aca="false">FALSE()</f>
        <v>0</v>
      </c>
      <c r="AN37" s="315" t="b">
        <f aca="false">FALSE()</f>
        <v>0</v>
      </c>
      <c r="AO37" s="290" t="n">
        <v>350</v>
      </c>
      <c r="AP37" s="290" t="n">
        <v>1</v>
      </c>
      <c r="AQ37" s="290" t="n">
        <v>5</v>
      </c>
      <c r="AR37" s="290" t="n">
        <v>25</v>
      </c>
      <c r="AS37" s="290" t="n">
        <v>90</v>
      </c>
      <c r="AT37" s="290" t="n">
        <v>1</v>
      </c>
      <c r="AU37" s="315" t="b">
        <f aca="false">FALSE()</f>
        <v>0</v>
      </c>
      <c r="AV37" s="315" t="b">
        <f aca="false">TRUE()</f>
        <v>1</v>
      </c>
      <c r="AW37" s="290" t="n">
        <v>5</v>
      </c>
      <c r="AX37" s="315" t="b">
        <f aca="false">FALSE()</f>
        <v>0</v>
      </c>
      <c r="AY37" s="315" t="b">
        <f aca="false">TRUE()</f>
        <v>1</v>
      </c>
      <c r="AZ37" s="290" t="n">
        <v>100</v>
      </c>
      <c r="BA37" s="290" t="n">
        <v>50</v>
      </c>
      <c r="BB37" s="290" t="n">
        <v>240</v>
      </c>
      <c r="BC37" s="290" t="n">
        <v>2</v>
      </c>
      <c r="BD37" s="290" t="n">
        <v>0</v>
      </c>
      <c r="BE37" s="290" t="n">
        <v>0</v>
      </c>
      <c r="BF37" s="290" t="n">
        <v>0</v>
      </c>
      <c r="BG37" s="290" t="n">
        <v>0</v>
      </c>
      <c r="BH37" s="290" t="n">
        <v>0</v>
      </c>
      <c r="BI37" s="290" t="n">
        <v>1</v>
      </c>
      <c r="BJ37" s="290" t="n">
        <v>0</v>
      </c>
      <c r="BK37" s="290" t="n">
        <v>0</v>
      </c>
      <c r="BL37" s="290" t="n">
        <v>0</v>
      </c>
      <c r="BM37" s="290" t="n">
        <v>0</v>
      </c>
      <c r="BN37" s="290" t="n">
        <v>0</v>
      </c>
      <c r="BO37" s="290" t="n">
        <v>0</v>
      </c>
      <c r="BP37" s="290" t="s">
        <v>182</v>
      </c>
      <c r="BQ37" s="290" t="s">
        <v>182</v>
      </c>
      <c r="BR37" s="290" t="s">
        <v>182</v>
      </c>
      <c r="BS37" s="290" t="s">
        <v>182</v>
      </c>
      <c r="BT37" s="290" t="n">
        <v>36</v>
      </c>
      <c r="BU37" s="316" t="b">
        <f aca="false">TRUE()</f>
        <v>1</v>
      </c>
      <c r="BV37" s="290"/>
      <c r="BW37" s="290" t="s">
        <v>761</v>
      </c>
      <c r="BX37" s="85" t="n">
        <v>33</v>
      </c>
      <c r="BY37" s="3" t="s">
        <v>911</v>
      </c>
      <c r="BZ37" s="3" t="s">
        <v>775</v>
      </c>
      <c r="CA37" s="3"/>
      <c r="CB37" s="3"/>
      <c r="CC37" s="3"/>
      <c r="CD37" s="3"/>
      <c r="CE37" s="3"/>
      <c r="CF37" s="3"/>
      <c r="CG37" s="311" t="b">
        <f aca="false">IF(BZ37="Saddle",TRUE(),)</f>
        <v>1</v>
      </c>
      <c r="CH37" s="3" t="s">
        <v>776</v>
      </c>
      <c r="CI37" s="3" t="s">
        <v>750</v>
      </c>
      <c r="CJ37" s="3" t="s">
        <v>912</v>
      </c>
      <c r="CK37" s="3" t="s">
        <v>912</v>
      </c>
      <c r="CL37" s="3" t="s">
        <v>912</v>
      </c>
      <c r="CM37" s="3" t="s">
        <v>912</v>
      </c>
      <c r="CN37" s="3" t="s">
        <v>912</v>
      </c>
      <c r="CO37" s="3"/>
      <c r="CP37" s="3"/>
      <c r="CQ37" s="3"/>
      <c r="CR37" s="3"/>
      <c r="CS37" s="3"/>
      <c r="CT37" s="3"/>
      <c r="CU37" s="3"/>
      <c r="CV37" s="3" t="s">
        <v>839</v>
      </c>
      <c r="CW37" s="3" t="s">
        <v>840</v>
      </c>
      <c r="CX37" s="3" t="s">
        <v>841</v>
      </c>
      <c r="CY37" s="3" t="s">
        <v>842</v>
      </c>
      <c r="CZ37" s="3" t="s">
        <v>843</v>
      </c>
    </row>
    <row r="38" customFormat="false" ht="15.75" hidden="false" customHeight="false" outlineLevel="0" collapsed="false">
      <c r="A38" s="290" t="s">
        <v>51</v>
      </c>
      <c r="B38" s="290" t="s">
        <v>361</v>
      </c>
      <c r="C38" s="290" t="s">
        <v>182</v>
      </c>
      <c r="D38" s="290" t="s">
        <v>182</v>
      </c>
      <c r="E38" s="290" t="s">
        <v>182</v>
      </c>
      <c r="F38" s="315" t="b">
        <f aca="false">TRUE()</f>
        <v>1</v>
      </c>
      <c r="G38" s="290" t="s">
        <v>434</v>
      </c>
      <c r="H38" s="290" t="s">
        <v>361</v>
      </c>
      <c r="I38" s="290" t="n">
        <v>80</v>
      </c>
      <c r="J38" s="3"/>
      <c r="K38" s="290" t="s">
        <v>793</v>
      </c>
      <c r="L38" s="290" t="n">
        <v>7</v>
      </c>
      <c r="M38" s="290" t="s">
        <v>885</v>
      </c>
      <c r="N38" s="290" t="s">
        <v>743</v>
      </c>
      <c r="O38" s="290" t="s">
        <v>744</v>
      </c>
      <c r="P38" s="290" t="s">
        <v>745</v>
      </c>
      <c r="Q38" s="290" t="s">
        <v>746</v>
      </c>
      <c r="R38" s="315" t="b">
        <f aca="false">FALSE()</f>
        <v>0</v>
      </c>
      <c r="S38" s="290" t="n">
        <v>110</v>
      </c>
      <c r="T38" s="290" t="n">
        <v>80</v>
      </c>
      <c r="U38" s="290" t="n">
        <v>80</v>
      </c>
      <c r="V38" s="290" t="n">
        <v>90</v>
      </c>
      <c r="W38" s="290" t="n">
        <v>100</v>
      </c>
      <c r="X38" s="290" t="n">
        <v>100</v>
      </c>
      <c r="Y38" s="290" t="n">
        <v>1</v>
      </c>
      <c r="Z38" s="290" t="n">
        <v>1</v>
      </c>
      <c r="AA38" s="290" t="n">
        <v>1</v>
      </c>
      <c r="AB38" s="290" t="n">
        <v>5230</v>
      </c>
      <c r="AC38" s="290" t="s">
        <v>764</v>
      </c>
      <c r="AD38" s="290" t="s">
        <v>182</v>
      </c>
      <c r="AE38" s="290" t="n">
        <v>83</v>
      </c>
      <c r="AF38" s="290" t="n">
        <v>83</v>
      </c>
      <c r="AG38" s="290" t="n">
        <v>630</v>
      </c>
      <c r="AH38" s="290" t="n">
        <v>800</v>
      </c>
      <c r="AI38" s="290" t="n">
        <v>456</v>
      </c>
      <c r="AJ38" s="315" t="b">
        <f aca="false">FALSE()</f>
        <v>0</v>
      </c>
      <c r="AK38" s="315" t="b">
        <f aca="false">FALSE()</f>
        <v>0</v>
      </c>
      <c r="AL38" s="290" t="s">
        <v>748</v>
      </c>
      <c r="AM38" s="315" t="b">
        <f aca="false">FALSE()</f>
        <v>0</v>
      </c>
      <c r="AN38" s="315" t="b">
        <f aca="false">FALSE()</f>
        <v>0</v>
      </c>
      <c r="AO38" s="290" t="n">
        <v>400</v>
      </c>
      <c r="AP38" s="290" t="n">
        <v>1</v>
      </c>
      <c r="AQ38" s="290" t="n">
        <v>6</v>
      </c>
      <c r="AR38" s="290" t="n">
        <v>25</v>
      </c>
      <c r="AS38" s="290" t="n">
        <v>90</v>
      </c>
      <c r="AT38" s="290" t="n">
        <v>1</v>
      </c>
      <c r="AU38" s="315" t="b">
        <f aca="false">FALSE()</f>
        <v>0</v>
      </c>
      <c r="AV38" s="315" t="b">
        <f aca="false">FALSE()</f>
        <v>0</v>
      </c>
      <c r="AW38" s="290" t="n">
        <v>5</v>
      </c>
      <c r="AX38" s="315" t="b">
        <f aca="false">FALSE()</f>
        <v>0</v>
      </c>
      <c r="AY38" s="315" t="b">
        <f aca="false">TRUE()</f>
        <v>1</v>
      </c>
      <c r="AZ38" s="290" t="n">
        <v>130</v>
      </c>
      <c r="BA38" s="290" t="n">
        <v>50</v>
      </c>
      <c r="BB38" s="290" t="n">
        <v>540</v>
      </c>
      <c r="BC38" s="290" t="n">
        <v>0</v>
      </c>
      <c r="BD38" s="290" t="n">
        <v>0</v>
      </c>
      <c r="BE38" s="290" t="n">
        <v>0</v>
      </c>
      <c r="BF38" s="290" t="n">
        <v>0</v>
      </c>
      <c r="BG38" s="290" t="n">
        <v>0</v>
      </c>
      <c r="BH38" s="290" t="n">
        <v>0</v>
      </c>
      <c r="BI38" s="290" t="n">
        <v>2</v>
      </c>
      <c r="BJ38" s="290" t="n">
        <v>0</v>
      </c>
      <c r="BK38" s="290" t="n">
        <v>0</v>
      </c>
      <c r="BL38" s="290" t="n">
        <v>0</v>
      </c>
      <c r="BM38" s="290" t="n">
        <v>0</v>
      </c>
      <c r="BN38" s="290" t="n">
        <v>0</v>
      </c>
      <c r="BO38" s="290" t="n">
        <v>0</v>
      </c>
      <c r="BP38" s="290" t="s">
        <v>182</v>
      </c>
      <c r="BQ38" s="290" t="s">
        <v>182</v>
      </c>
      <c r="BR38" s="290" t="s">
        <v>182</v>
      </c>
      <c r="BS38" s="290" t="s">
        <v>182</v>
      </c>
      <c r="BT38" s="290" t="n">
        <v>37</v>
      </c>
      <c r="BU38" s="316" t="b">
        <f aca="false">FALSE()</f>
        <v>0</v>
      </c>
      <c r="BV38" s="290"/>
      <c r="BW38" s="3"/>
      <c r="BX38" s="85" t="n">
        <v>21</v>
      </c>
      <c r="BY38" s="3" t="s">
        <v>913</v>
      </c>
      <c r="BZ38" s="3" t="s">
        <v>775</v>
      </c>
      <c r="CA38" s="3"/>
      <c r="CB38" s="3"/>
      <c r="CC38" s="3"/>
      <c r="CD38" s="3"/>
      <c r="CE38" s="3"/>
      <c r="CF38" s="3"/>
      <c r="CG38" s="311" t="b">
        <f aca="false">IF(BZ38="Saddle",TRUE(),)</f>
        <v>1</v>
      </c>
      <c r="CH38" s="3" t="s">
        <v>914</v>
      </c>
      <c r="CI38" s="3"/>
      <c r="CJ38" s="3"/>
      <c r="CK38" s="3"/>
      <c r="CL38" s="3"/>
      <c r="CM38" s="3"/>
      <c r="CN38" s="3"/>
      <c r="CO38" s="3"/>
      <c r="CP38" s="3"/>
      <c r="CQ38" s="3"/>
      <c r="CR38" s="3"/>
      <c r="CS38" s="3"/>
      <c r="CT38" s="3"/>
      <c r="CU38" s="3"/>
      <c r="CV38" s="3" t="s">
        <v>915</v>
      </c>
      <c r="CW38" s="3" t="s">
        <v>916</v>
      </c>
      <c r="CX38" s="3" t="s">
        <v>917</v>
      </c>
      <c r="CY38" s="3" t="s">
        <v>918</v>
      </c>
      <c r="CZ38" s="3" t="s">
        <v>919</v>
      </c>
    </row>
    <row r="39" customFormat="false" ht="15.75" hidden="false" customHeight="false" outlineLevel="0" collapsed="false">
      <c r="A39" s="290" t="s">
        <v>52</v>
      </c>
      <c r="B39" s="290" t="s">
        <v>362</v>
      </c>
      <c r="C39" s="290" t="s">
        <v>182</v>
      </c>
      <c r="D39" s="290" t="s">
        <v>182</v>
      </c>
      <c r="E39" s="290" t="s">
        <v>182</v>
      </c>
      <c r="F39" s="315" t="b">
        <f aca="false">TRUE()</f>
        <v>1</v>
      </c>
      <c r="G39" s="290" t="s">
        <v>520</v>
      </c>
      <c r="H39" s="290" t="s">
        <v>362</v>
      </c>
      <c r="I39" s="290" t="n">
        <v>80</v>
      </c>
      <c r="J39" s="290" t="s">
        <v>761</v>
      </c>
      <c r="K39" s="290" t="s">
        <v>793</v>
      </c>
      <c r="L39" s="290" t="n">
        <v>8</v>
      </c>
      <c r="M39" s="290" t="s">
        <v>885</v>
      </c>
      <c r="N39" s="290" t="s">
        <v>814</v>
      </c>
      <c r="O39" s="290" t="s">
        <v>744</v>
      </c>
      <c r="P39" s="290" t="s">
        <v>745</v>
      </c>
      <c r="Q39" s="290" t="s">
        <v>746</v>
      </c>
      <c r="R39" s="315" t="b">
        <f aca="false">FALSE()</f>
        <v>0</v>
      </c>
      <c r="S39" s="290" t="n">
        <v>115</v>
      </c>
      <c r="T39" s="290" t="n">
        <v>80</v>
      </c>
      <c r="U39" s="290" t="n">
        <v>80</v>
      </c>
      <c r="V39" s="290" t="n">
        <v>95</v>
      </c>
      <c r="W39" s="290" t="n">
        <v>100</v>
      </c>
      <c r="X39" s="290" t="n">
        <v>100</v>
      </c>
      <c r="Y39" s="290" t="n">
        <v>1</v>
      </c>
      <c r="Z39" s="290" t="n">
        <v>1</v>
      </c>
      <c r="AA39" s="290" t="n">
        <v>1</v>
      </c>
      <c r="AB39" s="290" t="n">
        <v>5320</v>
      </c>
      <c r="AC39" s="290" t="s">
        <v>764</v>
      </c>
      <c r="AD39" s="290" t="s">
        <v>182</v>
      </c>
      <c r="AE39" s="290" t="n">
        <v>83</v>
      </c>
      <c r="AF39" s="290" t="n">
        <v>83</v>
      </c>
      <c r="AG39" s="290" t="n">
        <v>630</v>
      </c>
      <c r="AH39" s="290" t="n">
        <v>800</v>
      </c>
      <c r="AI39" s="290" t="n">
        <v>456</v>
      </c>
      <c r="AJ39" s="315" t="b">
        <f aca="false">FALSE()</f>
        <v>0</v>
      </c>
      <c r="AK39" s="315" t="b">
        <f aca="false">FALSE()</f>
        <v>0</v>
      </c>
      <c r="AL39" s="290" t="s">
        <v>748</v>
      </c>
      <c r="AM39" s="315" t="b">
        <f aca="false">FALSE()</f>
        <v>0</v>
      </c>
      <c r="AN39" s="315" t="b">
        <f aca="false">FALSE()</f>
        <v>0</v>
      </c>
      <c r="AO39" s="290" t="n">
        <v>400</v>
      </c>
      <c r="AP39" s="290" t="n">
        <v>1</v>
      </c>
      <c r="AQ39" s="290" t="n">
        <v>6</v>
      </c>
      <c r="AR39" s="290" t="n">
        <v>25</v>
      </c>
      <c r="AS39" s="290" t="n">
        <v>90</v>
      </c>
      <c r="AT39" s="290" t="n">
        <v>1</v>
      </c>
      <c r="AU39" s="315" t="b">
        <f aca="false">FALSE()</f>
        <v>0</v>
      </c>
      <c r="AV39" s="315" t="b">
        <f aca="false">FALSE()</f>
        <v>0</v>
      </c>
      <c r="AW39" s="290" t="n">
        <v>5</v>
      </c>
      <c r="AX39" s="315" t="b">
        <f aca="false">FALSE()</f>
        <v>0</v>
      </c>
      <c r="AY39" s="315" t="b">
        <f aca="false">TRUE()</f>
        <v>1</v>
      </c>
      <c r="AZ39" s="290" t="n">
        <v>130</v>
      </c>
      <c r="BA39" s="290" t="n">
        <v>50</v>
      </c>
      <c r="BB39" s="290" t="n">
        <v>530</v>
      </c>
      <c r="BC39" s="290" t="n">
        <v>0</v>
      </c>
      <c r="BD39" s="290" t="n">
        <v>3</v>
      </c>
      <c r="BE39" s="290" t="n">
        <v>0</v>
      </c>
      <c r="BF39" s="290" t="n">
        <v>0</v>
      </c>
      <c r="BG39" s="290" t="n">
        <v>0</v>
      </c>
      <c r="BH39" s="290" t="n">
        <v>0</v>
      </c>
      <c r="BI39" s="290" t="n">
        <v>2</v>
      </c>
      <c r="BJ39" s="290" t="n">
        <v>0</v>
      </c>
      <c r="BK39" s="290" t="n">
        <v>0</v>
      </c>
      <c r="BL39" s="290" t="n">
        <v>0</v>
      </c>
      <c r="BM39" s="290" t="n">
        <v>0</v>
      </c>
      <c r="BN39" s="290" t="n">
        <v>0</v>
      </c>
      <c r="BO39" s="290" t="n">
        <v>0</v>
      </c>
      <c r="BP39" s="290" t="s">
        <v>182</v>
      </c>
      <c r="BQ39" s="290" t="s">
        <v>182</v>
      </c>
      <c r="BR39" s="290" t="s">
        <v>182</v>
      </c>
      <c r="BS39" s="290" t="s">
        <v>182</v>
      </c>
      <c r="BT39" s="290" t="n">
        <v>38</v>
      </c>
      <c r="BU39" s="316" t="b">
        <f aca="false">TRUE()</f>
        <v>1</v>
      </c>
      <c r="BV39" s="290"/>
      <c r="BW39" s="290" t="s">
        <v>761</v>
      </c>
      <c r="BX39" s="85" t="n">
        <v>28</v>
      </c>
      <c r="BY39" s="3" t="s">
        <v>920</v>
      </c>
      <c r="BZ39" s="3" t="s">
        <v>775</v>
      </c>
      <c r="CA39" s="3"/>
      <c r="CB39" s="3"/>
      <c r="CC39" s="3"/>
      <c r="CD39" s="3"/>
      <c r="CE39" s="3"/>
      <c r="CF39" s="3"/>
      <c r="CG39" s="311" t="b">
        <f aca="false">IF(BZ39="Saddle",TRUE(),)</f>
        <v>1</v>
      </c>
      <c r="CH39" s="3" t="s">
        <v>914</v>
      </c>
      <c r="CI39" s="3"/>
      <c r="CJ39" s="3"/>
      <c r="CK39" s="3"/>
      <c r="CL39" s="3"/>
      <c r="CM39" s="3"/>
      <c r="CN39" s="3"/>
      <c r="CO39" s="3"/>
      <c r="CP39" s="3"/>
      <c r="CQ39" s="3"/>
      <c r="CR39" s="3"/>
      <c r="CS39" s="3"/>
      <c r="CT39" s="3"/>
      <c r="CU39" s="3"/>
      <c r="CV39" s="3" t="s">
        <v>921</v>
      </c>
      <c r="CW39" s="3" t="s">
        <v>922</v>
      </c>
      <c r="CX39" s="3" t="s">
        <v>923</v>
      </c>
      <c r="CY39" s="3" t="s">
        <v>924</v>
      </c>
      <c r="CZ39" s="3" t="s">
        <v>925</v>
      </c>
    </row>
    <row r="40" customFormat="false" ht="15.75" hidden="false" customHeight="false" outlineLevel="0" collapsed="false">
      <c r="A40" s="290" t="s">
        <v>151</v>
      </c>
      <c r="B40" s="290" t="s">
        <v>307</v>
      </c>
      <c r="C40" s="290" t="s">
        <v>182</v>
      </c>
      <c r="D40" s="290" t="s">
        <v>182</v>
      </c>
      <c r="E40" s="290" t="s">
        <v>182</v>
      </c>
      <c r="F40" s="315" t="b">
        <f aca="false">TRUE()</f>
        <v>1</v>
      </c>
      <c r="G40" s="290" t="s">
        <v>926</v>
      </c>
      <c r="H40" s="290" t="s">
        <v>307</v>
      </c>
      <c r="I40" s="290" t="n">
        <v>34</v>
      </c>
      <c r="J40" s="3"/>
      <c r="K40" s="290" t="s">
        <v>773</v>
      </c>
      <c r="L40" s="290" t="n">
        <v>3</v>
      </c>
      <c r="M40" s="290" t="s">
        <v>789</v>
      </c>
      <c r="N40" s="290" t="s">
        <v>743</v>
      </c>
      <c r="O40" s="290" t="s">
        <v>763</v>
      </c>
      <c r="P40" s="290" t="s">
        <v>745</v>
      </c>
      <c r="Q40" s="290" t="s">
        <v>746</v>
      </c>
      <c r="R40" s="315" t="b">
        <f aca="false">FALSE()</f>
        <v>0</v>
      </c>
      <c r="S40" s="290" t="n">
        <v>70</v>
      </c>
      <c r="T40" s="290" t="n">
        <v>70</v>
      </c>
      <c r="U40" s="290" t="n">
        <v>70</v>
      </c>
      <c r="V40" s="290" t="n">
        <v>90</v>
      </c>
      <c r="W40" s="290" t="n">
        <v>100</v>
      </c>
      <c r="X40" s="290" t="n">
        <v>100</v>
      </c>
      <c r="Y40" s="290" t="n">
        <v>1</v>
      </c>
      <c r="Z40" s="290" t="n">
        <v>1</v>
      </c>
      <c r="AA40" s="290" t="n">
        <v>1</v>
      </c>
      <c r="AB40" s="290" t="n">
        <v>1450</v>
      </c>
      <c r="AC40" s="290" t="s">
        <v>764</v>
      </c>
      <c r="AD40" s="290" t="s">
        <v>182</v>
      </c>
      <c r="AE40" s="290" t="n">
        <v>50</v>
      </c>
      <c r="AF40" s="290" t="n">
        <v>100</v>
      </c>
      <c r="AG40" s="290" t="n">
        <v>300</v>
      </c>
      <c r="AH40" s="290" t="n">
        <v>400</v>
      </c>
      <c r="AI40" s="290" t="n">
        <v>200</v>
      </c>
      <c r="AJ40" s="315" t="b">
        <f aca="false">FALSE()</f>
        <v>0</v>
      </c>
      <c r="AK40" s="315" t="b">
        <f aca="false">FALSE()</f>
        <v>0</v>
      </c>
      <c r="AL40" s="290" t="s">
        <v>765</v>
      </c>
      <c r="AM40" s="315" t="b">
        <f aca="false">FALSE()</f>
        <v>0</v>
      </c>
      <c r="AN40" s="315" t="b">
        <f aca="false">FALSE()</f>
        <v>0</v>
      </c>
      <c r="AO40" s="290" t="n">
        <v>150</v>
      </c>
      <c r="AP40" s="290" t="n">
        <v>1</v>
      </c>
      <c r="AQ40" s="290" t="n">
        <v>2</v>
      </c>
      <c r="AR40" s="290" t="n">
        <v>25</v>
      </c>
      <c r="AS40" s="290" t="n">
        <v>90</v>
      </c>
      <c r="AT40" s="290" t="n">
        <v>1</v>
      </c>
      <c r="AU40" s="315" t="b">
        <f aca="false">FALSE()</f>
        <v>0</v>
      </c>
      <c r="AV40" s="315" t="b">
        <f aca="false">FALSE()</f>
        <v>0</v>
      </c>
      <c r="AW40" s="290" t="n">
        <v>0</v>
      </c>
      <c r="AX40" s="315" t="b">
        <f aca="false">FALSE()</f>
        <v>0</v>
      </c>
      <c r="AY40" s="315" t="b">
        <f aca="false">TRUE()</f>
        <v>1</v>
      </c>
      <c r="AZ40" s="290" t="n">
        <v>100</v>
      </c>
      <c r="BA40" s="290" t="n">
        <v>50</v>
      </c>
      <c r="BB40" s="290" t="n">
        <v>1190</v>
      </c>
      <c r="BC40" s="290" t="n">
        <v>0</v>
      </c>
      <c r="BD40" s="290" t="n">
        <v>0</v>
      </c>
      <c r="BE40" s="290" t="n">
        <v>0</v>
      </c>
      <c r="BF40" s="290" t="n">
        <v>0</v>
      </c>
      <c r="BG40" s="290" t="n">
        <v>0</v>
      </c>
      <c r="BH40" s="290" t="n">
        <v>0</v>
      </c>
      <c r="BI40" s="290" t="n">
        <v>0</v>
      </c>
      <c r="BJ40" s="290" t="n">
        <v>0</v>
      </c>
      <c r="BK40" s="290" t="n">
        <v>0</v>
      </c>
      <c r="BL40" s="290" t="n">
        <v>0</v>
      </c>
      <c r="BM40" s="290" t="n">
        <v>0</v>
      </c>
      <c r="BN40" s="290" t="n">
        <v>0</v>
      </c>
      <c r="BO40" s="290" t="n">
        <v>1</v>
      </c>
      <c r="BP40" s="290" t="s">
        <v>182</v>
      </c>
      <c r="BQ40" s="290" t="s">
        <v>182</v>
      </c>
      <c r="BR40" s="290" t="s">
        <v>182</v>
      </c>
      <c r="BS40" s="290" t="s">
        <v>182</v>
      </c>
      <c r="BT40" s="290" t="n">
        <v>39</v>
      </c>
      <c r="BU40" s="316" t="b">
        <f aca="false">FALSE()</f>
        <v>0</v>
      </c>
      <c r="BV40" s="290"/>
      <c r="BW40" s="3"/>
      <c r="BX40" s="3"/>
      <c r="BY40" s="3"/>
      <c r="BZ40" s="3"/>
      <c r="CA40" s="3"/>
      <c r="CB40" s="3"/>
      <c r="CC40" s="3"/>
      <c r="CD40" s="3"/>
      <c r="CE40" s="3"/>
      <c r="CF40" s="3"/>
      <c r="CG40" s="3" t="n">
        <f aca="false">IF(BZ40="Saddle",TRUE(),)</f>
        <v>0</v>
      </c>
      <c r="CH40" s="3"/>
      <c r="CI40" s="3"/>
      <c r="CJ40" s="3"/>
      <c r="CK40" s="3"/>
      <c r="CL40" s="3"/>
      <c r="CM40" s="3"/>
      <c r="CN40" s="3"/>
      <c r="CO40" s="3"/>
      <c r="CP40" s="3"/>
      <c r="CQ40" s="3"/>
      <c r="CR40" s="3"/>
      <c r="CS40" s="3"/>
      <c r="CT40" s="3"/>
      <c r="CU40" s="3"/>
      <c r="CV40" s="3" t="s">
        <v>927</v>
      </c>
      <c r="CW40" s="3" t="s">
        <v>928</v>
      </c>
      <c r="CX40" s="3" t="s">
        <v>929</v>
      </c>
      <c r="CY40" s="3" t="s">
        <v>930</v>
      </c>
      <c r="CZ40" s="3" t="s">
        <v>931</v>
      </c>
    </row>
    <row r="41" customFormat="false" ht="15.75" hidden="false" customHeight="false" outlineLevel="0" collapsed="false">
      <c r="A41" s="290" t="s">
        <v>39</v>
      </c>
      <c r="B41" s="290" t="s">
        <v>366</v>
      </c>
      <c r="C41" s="290" t="s">
        <v>182</v>
      </c>
      <c r="D41" s="290" t="s">
        <v>182</v>
      </c>
      <c r="E41" s="290" t="s">
        <v>182</v>
      </c>
      <c r="F41" s="315" t="b">
        <f aca="false">TRUE()</f>
        <v>1</v>
      </c>
      <c r="G41" s="290" t="s">
        <v>932</v>
      </c>
      <c r="H41" s="290" t="s">
        <v>366</v>
      </c>
      <c r="I41" s="290" t="n">
        <v>83</v>
      </c>
      <c r="J41" s="3"/>
      <c r="K41" s="290" t="s">
        <v>793</v>
      </c>
      <c r="L41" s="290" t="n">
        <v>7</v>
      </c>
      <c r="M41" s="290" t="s">
        <v>771</v>
      </c>
      <c r="N41" s="290" t="s">
        <v>743</v>
      </c>
      <c r="O41" s="290" t="s">
        <v>744</v>
      </c>
      <c r="P41" s="290" t="s">
        <v>745</v>
      </c>
      <c r="Q41" s="290" t="s">
        <v>746</v>
      </c>
      <c r="R41" s="315" t="b">
        <f aca="false">FALSE()</f>
        <v>0</v>
      </c>
      <c r="S41" s="290" t="n">
        <v>100</v>
      </c>
      <c r="T41" s="290" t="n">
        <v>140</v>
      </c>
      <c r="U41" s="290" t="n">
        <v>100</v>
      </c>
      <c r="V41" s="290" t="n">
        <v>110</v>
      </c>
      <c r="W41" s="290" t="n">
        <v>100</v>
      </c>
      <c r="X41" s="290" t="n">
        <v>100</v>
      </c>
      <c r="Y41" s="290" t="n">
        <v>1</v>
      </c>
      <c r="Z41" s="290" t="n">
        <v>1</v>
      </c>
      <c r="AA41" s="290" t="n">
        <v>1</v>
      </c>
      <c r="AB41" s="290" t="n">
        <v>8440</v>
      </c>
      <c r="AC41" s="290" t="s">
        <v>747</v>
      </c>
      <c r="AD41" s="290" t="s">
        <v>182</v>
      </c>
      <c r="AE41" s="290" t="n">
        <v>100</v>
      </c>
      <c r="AF41" s="290" t="n">
        <v>280</v>
      </c>
      <c r="AG41" s="290" t="n">
        <v>720</v>
      </c>
      <c r="AH41" s="290" t="n">
        <v>900</v>
      </c>
      <c r="AI41" s="290" t="n">
        <v>460</v>
      </c>
      <c r="AJ41" s="315" t="b">
        <f aca="false">FALSE()</f>
        <v>0</v>
      </c>
      <c r="AK41" s="315" t="b">
        <f aca="false">FALSE()</f>
        <v>0</v>
      </c>
      <c r="AL41" s="290" t="s">
        <v>759</v>
      </c>
      <c r="AM41" s="315" t="b">
        <f aca="false">FALSE()</f>
        <v>0</v>
      </c>
      <c r="AN41" s="315" t="b">
        <f aca="false">FALSE()</f>
        <v>0</v>
      </c>
      <c r="AO41" s="290" t="n">
        <v>475</v>
      </c>
      <c r="AP41" s="290" t="n">
        <v>1</v>
      </c>
      <c r="AQ41" s="290" t="n">
        <v>7</v>
      </c>
      <c r="AR41" s="290" t="n">
        <v>25</v>
      </c>
      <c r="AS41" s="290" t="n">
        <v>90</v>
      </c>
      <c r="AT41" s="290" t="n">
        <v>1</v>
      </c>
      <c r="AU41" s="315" t="b">
        <f aca="false">FALSE()</f>
        <v>0</v>
      </c>
      <c r="AV41" s="315" t="b">
        <f aca="false">FALSE()</f>
        <v>0</v>
      </c>
      <c r="AW41" s="290" t="n">
        <v>5</v>
      </c>
      <c r="AX41" s="315" t="b">
        <f aca="false">TRUE()</f>
        <v>1</v>
      </c>
      <c r="AY41" s="315" t="b">
        <f aca="false">TRUE()</f>
        <v>1</v>
      </c>
      <c r="AZ41" s="290" t="n">
        <v>100</v>
      </c>
      <c r="BA41" s="290" t="n">
        <v>50</v>
      </c>
      <c r="BB41" s="290" t="n">
        <v>130</v>
      </c>
      <c r="BC41" s="290" t="n">
        <v>0</v>
      </c>
      <c r="BD41" s="290" t="n">
        <v>0</v>
      </c>
      <c r="BE41" s="290" t="n">
        <v>0</v>
      </c>
      <c r="BF41" s="290" t="n">
        <v>0</v>
      </c>
      <c r="BG41" s="290" t="n">
        <v>1</v>
      </c>
      <c r="BH41" s="290" t="n">
        <v>0</v>
      </c>
      <c r="BI41" s="290" t="n">
        <v>2</v>
      </c>
      <c r="BJ41" s="290" t="n">
        <v>0</v>
      </c>
      <c r="BK41" s="290" t="n">
        <v>0</v>
      </c>
      <c r="BL41" s="290" t="n">
        <v>0</v>
      </c>
      <c r="BM41" s="290" t="n">
        <v>3</v>
      </c>
      <c r="BN41" s="290" t="n">
        <v>0</v>
      </c>
      <c r="BO41" s="290" t="n">
        <v>0</v>
      </c>
      <c r="BP41" s="290" t="s">
        <v>182</v>
      </c>
      <c r="BQ41" s="290" t="s">
        <v>182</v>
      </c>
      <c r="BR41" s="290" t="s">
        <v>182</v>
      </c>
      <c r="BS41" s="290" t="s">
        <v>182</v>
      </c>
      <c r="BT41" s="290" t="n">
        <v>40</v>
      </c>
      <c r="BU41" s="316" t="b">
        <f aca="false">FALSE()</f>
        <v>0</v>
      </c>
      <c r="BV41" s="290"/>
      <c r="BW41" s="3"/>
      <c r="BX41" s="3"/>
      <c r="BY41" s="3"/>
      <c r="BZ41" s="3"/>
      <c r="CA41" s="3"/>
      <c r="CB41" s="3"/>
      <c r="CC41" s="3"/>
      <c r="CD41" s="3"/>
      <c r="CE41" s="3"/>
      <c r="CF41" s="3"/>
      <c r="CG41" s="3" t="n">
        <f aca="false">IF(BZ41="Saddle",TRUE(),)</f>
        <v>0</v>
      </c>
      <c r="CH41" s="3"/>
      <c r="CI41" s="3"/>
      <c r="CJ41" s="3"/>
      <c r="CK41" s="3"/>
      <c r="CL41" s="3"/>
      <c r="CM41" s="3"/>
      <c r="CN41" s="3"/>
      <c r="CO41" s="3"/>
      <c r="CP41" s="3"/>
      <c r="CQ41" s="3"/>
      <c r="CR41" s="3"/>
      <c r="CS41" s="3"/>
      <c r="CT41" s="3"/>
      <c r="CU41" s="3"/>
      <c r="CV41" s="3" t="s">
        <v>933</v>
      </c>
      <c r="CW41" s="3" t="s">
        <v>934</v>
      </c>
      <c r="CX41" s="3" t="s">
        <v>935</v>
      </c>
      <c r="CY41" s="3" t="s">
        <v>936</v>
      </c>
      <c r="CZ41" s="3" t="s">
        <v>937</v>
      </c>
    </row>
    <row r="42" customFormat="false" ht="15.75" hidden="false" customHeight="false" outlineLevel="0" collapsed="false">
      <c r="A42" s="290" t="s">
        <v>104</v>
      </c>
      <c r="B42" s="290" t="s">
        <v>309</v>
      </c>
      <c r="C42" s="290" t="s">
        <v>182</v>
      </c>
      <c r="D42" s="290" t="s">
        <v>182</v>
      </c>
      <c r="E42" s="290" t="s">
        <v>182</v>
      </c>
      <c r="F42" s="315" t="b">
        <f aca="false">TRUE()</f>
        <v>1</v>
      </c>
      <c r="G42" s="290" t="s">
        <v>938</v>
      </c>
      <c r="H42" s="290" t="s">
        <v>309</v>
      </c>
      <c r="I42" s="290" t="n">
        <v>36</v>
      </c>
      <c r="J42" s="3"/>
      <c r="K42" s="290" t="s">
        <v>741</v>
      </c>
      <c r="L42" s="290" t="n">
        <v>3</v>
      </c>
      <c r="M42" s="290" t="s">
        <v>789</v>
      </c>
      <c r="N42" s="290" t="s">
        <v>743</v>
      </c>
      <c r="O42" s="290" t="s">
        <v>763</v>
      </c>
      <c r="P42" s="290" t="s">
        <v>745</v>
      </c>
      <c r="Q42" s="290" t="s">
        <v>746</v>
      </c>
      <c r="R42" s="315" t="b">
        <f aca="false">FALSE()</f>
        <v>0</v>
      </c>
      <c r="S42" s="290" t="n">
        <v>90</v>
      </c>
      <c r="T42" s="290" t="n">
        <v>90</v>
      </c>
      <c r="U42" s="290" t="n">
        <v>75</v>
      </c>
      <c r="V42" s="290" t="n">
        <v>90</v>
      </c>
      <c r="W42" s="290" t="n">
        <v>100</v>
      </c>
      <c r="X42" s="290" t="n">
        <v>100</v>
      </c>
      <c r="Y42" s="290" t="n">
        <v>1.1</v>
      </c>
      <c r="Z42" s="290" t="n">
        <v>1</v>
      </c>
      <c r="AA42" s="290" t="n">
        <v>1</v>
      </c>
      <c r="AB42" s="290" t="n">
        <v>2740</v>
      </c>
      <c r="AC42" s="290" t="s">
        <v>764</v>
      </c>
      <c r="AD42" s="290" t="s">
        <v>182</v>
      </c>
      <c r="AE42" s="290" t="n">
        <v>62</v>
      </c>
      <c r="AF42" s="290" t="n">
        <v>62</v>
      </c>
      <c r="AG42" s="290" t="n">
        <v>460</v>
      </c>
      <c r="AH42" s="290" t="n">
        <v>800</v>
      </c>
      <c r="AI42" s="290" t="n">
        <v>261</v>
      </c>
      <c r="AJ42" s="315" t="b">
        <f aca="false">FALSE()</f>
        <v>0</v>
      </c>
      <c r="AK42" s="315" t="b">
        <f aca="false">FALSE()</f>
        <v>0</v>
      </c>
      <c r="AL42" s="290" t="s">
        <v>765</v>
      </c>
      <c r="AM42" s="315" t="b">
        <f aca="false">FALSE()</f>
        <v>0</v>
      </c>
      <c r="AN42" s="315" t="b">
        <f aca="false">FALSE()</f>
        <v>0</v>
      </c>
      <c r="AO42" s="290" t="n">
        <v>225</v>
      </c>
      <c r="AP42" s="290" t="n">
        <v>1</v>
      </c>
      <c r="AQ42" s="290" t="n">
        <v>3</v>
      </c>
      <c r="AR42" s="290" t="n">
        <v>25</v>
      </c>
      <c r="AS42" s="290" t="n">
        <v>90</v>
      </c>
      <c r="AT42" s="290" t="n">
        <v>1</v>
      </c>
      <c r="AU42" s="315" t="b">
        <f aca="false">FALSE()</f>
        <v>0</v>
      </c>
      <c r="AV42" s="315" t="b">
        <f aca="false">FALSE()</f>
        <v>0</v>
      </c>
      <c r="AW42" s="290" t="n">
        <v>0</v>
      </c>
      <c r="AX42" s="315" t="b">
        <f aca="false">FALSE()</f>
        <v>0</v>
      </c>
      <c r="AY42" s="315" t="b">
        <f aca="false">TRUE()</f>
        <v>1</v>
      </c>
      <c r="AZ42" s="290" t="n">
        <v>100</v>
      </c>
      <c r="BA42" s="290" t="n">
        <v>50</v>
      </c>
      <c r="BB42" s="290" t="n">
        <v>890</v>
      </c>
      <c r="BC42" s="290" t="n">
        <v>0</v>
      </c>
      <c r="BD42" s="290" t="n">
        <v>0</v>
      </c>
      <c r="BE42" s="290" t="n">
        <v>0</v>
      </c>
      <c r="BF42" s="290" t="n">
        <v>0</v>
      </c>
      <c r="BG42" s="290" t="n">
        <v>0</v>
      </c>
      <c r="BH42" s="290" t="n">
        <v>0</v>
      </c>
      <c r="BI42" s="290" t="n">
        <v>0</v>
      </c>
      <c r="BJ42" s="290" t="n">
        <v>0</v>
      </c>
      <c r="BK42" s="290" t="n">
        <v>0</v>
      </c>
      <c r="BL42" s="290" t="n">
        <v>0</v>
      </c>
      <c r="BM42" s="290" t="n">
        <v>0</v>
      </c>
      <c r="BN42" s="290" t="n">
        <v>0</v>
      </c>
      <c r="BO42" s="290" t="n">
        <v>1</v>
      </c>
      <c r="BP42" s="290" t="s">
        <v>182</v>
      </c>
      <c r="BQ42" s="290" t="s">
        <v>182</v>
      </c>
      <c r="BR42" s="290" t="s">
        <v>182</v>
      </c>
      <c r="BS42" s="290" t="s">
        <v>182</v>
      </c>
      <c r="BT42" s="290" t="n">
        <v>41</v>
      </c>
      <c r="BU42" s="316" t="b">
        <f aca="false">FALSE()</f>
        <v>0</v>
      </c>
      <c r="BV42" s="290"/>
      <c r="BW42" s="3"/>
      <c r="BX42" s="85" t="n">
        <v>7</v>
      </c>
      <c r="BY42" s="3" t="s">
        <v>939</v>
      </c>
      <c r="BZ42" s="3" t="s">
        <v>775</v>
      </c>
      <c r="CA42" s="3"/>
      <c r="CB42" s="3"/>
      <c r="CC42" s="3"/>
      <c r="CD42" s="3"/>
      <c r="CE42" s="3"/>
      <c r="CF42" s="3"/>
      <c r="CG42" s="311" t="b">
        <f aca="false">IF(BZ42="Saddle",TRUE(),)</f>
        <v>1</v>
      </c>
      <c r="CH42" s="3" t="s">
        <v>776</v>
      </c>
      <c r="CI42" s="3"/>
      <c r="CJ42" s="3"/>
      <c r="CK42" s="3"/>
      <c r="CL42" s="3"/>
      <c r="CM42" s="3"/>
      <c r="CN42" s="3"/>
      <c r="CO42" s="3"/>
      <c r="CP42" s="3"/>
      <c r="CQ42" s="3"/>
      <c r="CR42" s="3"/>
      <c r="CS42" s="3"/>
      <c r="CT42" s="3"/>
      <c r="CU42" s="3"/>
      <c r="CV42" s="3" t="s">
        <v>940</v>
      </c>
      <c r="CW42" s="3" t="s">
        <v>941</v>
      </c>
      <c r="CX42" s="3" t="s">
        <v>942</v>
      </c>
      <c r="CY42" s="3" t="s">
        <v>943</v>
      </c>
      <c r="CZ42" s="3" t="s">
        <v>944</v>
      </c>
    </row>
    <row r="43" customFormat="false" ht="15.75" hidden="false" customHeight="false" outlineLevel="0" collapsed="false">
      <c r="A43" s="290" t="s">
        <v>133</v>
      </c>
      <c r="B43" s="290" t="s">
        <v>344</v>
      </c>
      <c r="C43" s="290" t="s">
        <v>182</v>
      </c>
      <c r="D43" s="290" t="s">
        <v>182</v>
      </c>
      <c r="E43" s="290" t="s">
        <v>182</v>
      </c>
      <c r="F43" s="315" t="b">
        <f aca="false">TRUE()</f>
        <v>1</v>
      </c>
      <c r="G43" s="290" t="s">
        <v>435</v>
      </c>
      <c r="H43" s="290" t="s">
        <v>344</v>
      </c>
      <c r="I43" s="290" t="n">
        <v>65</v>
      </c>
      <c r="J43" s="3"/>
      <c r="K43" s="290" t="s">
        <v>741</v>
      </c>
      <c r="L43" s="290" t="n">
        <v>4</v>
      </c>
      <c r="M43" s="290" t="s">
        <v>814</v>
      </c>
      <c r="N43" s="290" t="s">
        <v>743</v>
      </c>
      <c r="O43" s="290" t="s">
        <v>886</v>
      </c>
      <c r="P43" s="290" t="s">
        <v>745</v>
      </c>
      <c r="Q43" s="290" t="s">
        <v>746</v>
      </c>
      <c r="R43" s="315" t="b">
        <f aca="false">FALSE()</f>
        <v>0</v>
      </c>
      <c r="S43" s="290" t="n">
        <v>90</v>
      </c>
      <c r="T43" s="290" t="n">
        <v>70</v>
      </c>
      <c r="U43" s="290" t="n">
        <v>90</v>
      </c>
      <c r="V43" s="290" t="n">
        <v>80</v>
      </c>
      <c r="W43" s="290" t="n">
        <v>100</v>
      </c>
      <c r="X43" s="290" t="n">
        <v>100</v>
      </c>
      <c r="Y43" s="290" t="n">
        <v>1</v>
      </c>
      <c r="Z43" s="290" t="n">
        <v>1</v>
      </c>
      <c r="AA43" s="290" t="n">
        <v>1</v>
      </c>
      <c r="AB43" s="290" t="n">
        <v>5050</v>
      </c>
      <c r="AC43" s="290" t="s">
        <v>747</v>
      </c>
      <c r="AD43" s="290" t="s">
        <v>182</v>
      </c>
      <c r="AE43" s="290" t="n">
        <v>100</v>
      </c>
      <c r="AF43" s="290" t="n">
        <v>200</v>
      </c>
      <c r="AG43" s="290" t="n">
        <v>500</v>
      </c>
      <c r="AH43" s="290" t="n">
        <v>650</v>
      </c>
      <c r="AI43" s="290" t="n">
        <v>350</v>
      </c>
      <c r="AJ43" s="315" t="b">
        <f aca="false">FALSE()</f>
        <v>0</v>
      </c>
      <c r="AK43" s="315" t="b">
        <f aca="false">FALSE()</f>
        <v>0</v>
      </c>
      <c r="AL43" s="290" t="s">
        <v>748</v>
      </c>
      <c r="AM43" s="315" t="b">
        <f aca="false">FALSE()</f>
        <v>0</v>
      </c>
      <c r="AN43" s="315" t="b">
        <f aca="false">FALSE()</f>
        <v>0</v>
      </c>
      <c r="AO43" s="290" t="n">
        <v>350</v>
      </c>
      <c r="AP43" s="290" t="n">
        <v>1</v>
      </c>
      <c r="AQ43" s="290" t="n">
        <v>5</v>
      </c>
      <c r="AR43" s="290" t="n">
        <v>25</v>
      </c>
      <c r="AS43" s="290" t="n">
        <v>90</v>
      </c>
      <c r="AT43" s="290" t="n">
        <v>1</v>
      </c>
      <c r="AU43" s="315" t="b">
        <f aca="false">FALSE()</f>
        <v>0</v>
      </c>
      <c r="AV43" s="315" t="b">
        <f aca="false">FALSE()</f>
        <v>0</v>
      </c>
      <c r="AW43" s="290" t="n">
        <v>3</v>
      </c>
      <c r="AX43" s="315" t="b">
        <f aca="false">TRUE()</f>
        <v>1</v>
      </c>
      <c r="AY43" s="315" t="b">
        <f aca="false">TRUE()</f>
        <v>1</v>
      </c>
      <c r="AZ43" s="290" t="n">
        <v>100</v>
      </c>
      <c r="BA43" s="290" t="n">
        <v>50</v>
      </c>
      <c r="BB43" s="290" t="n">
        <v>560</v>
      </c>
      <c r="BC43" s="290" t="n">
        <v>0</v>
      </c>
      <c r="BD43" s="290" t="n">
        <v>2</v>
      </c>
      <c r="BE43" s="290" t="n">
        <v>0</v>
      </c>
      <c r="BF43" s="290" t="n">
        <v>0</v>
      </c>
      <c r="BG43" s="290" t="n">
        <v>0</v>
      </c>
      <c r="BH43" s="290" t="n">
        <v>0</v>
      </c>
      <c r="BI43" s="290" t="n">
        <v>0</v>
      </c>
      <c r="BJ43" s="290" t="n">
        <v>0</v>
      </c>
      <c r="BK43" s="290" t="n">
        <v>0</v>
      </c>
      <c r="BL43" s="290" t="n">
        <v>0</v>
      </c>
      <c r="BM43" s="290" t="n">
        <v>0</v>
      </c>
      <c r="BN43" s="290" t="n">
        <v>0</v>
      </c>
      <c r="BO43" s="290" t="n">
        <v>0</v>
      </c>
      <c r="BP43" s="290" t="s">
        <v>182</v>
      </c>
      <c r="BQ43" s="290" t="s">
        <v>182</v>
      </c>
      <c r="BR43" s="290" t="s">
        <v>182</v>
      </c>
      <c r="BS43" s="290" t="s">
        <v>182</v>
      </c>
      <c r="BT43" s="290" t="n">
        <v>42</v>
      </c>
      <c r="BU43" s="316" t="b">
        <f aca="false">FALSE()</f>
        <v>0</v>
      </c>
      <c r="BV43" s="290"/>
      <c r="BW43" s="3"/>
      <c r="BX43" s="85" t="n">
        <v>10</v>
      </c>
      <c r="BY43" s="3" t="s">
        <v>945</v>
      </c>
      <c r="BZ43" s="3" t="s">
        <v>775</v>
      </c>
      <c r="CA43" s="3"/>
      <c r="CB43" s="3"/>
      <c r="CC43" s="3"/>
      <c r="CD43" s="3"/>
      <c r="CE43" s="3"/>
      <c r="CF43" s="3"/>
      <c r="CG43" s="311" t="b">
        <f aca="false">IF(BZ43="Saddle",TRUE(),)</f>
        <v>1</v>
      </c>
      <c r="CH43" s="3" t="s">
        <v>889</v>
      </c>
      <c r="CI43" s="3"/>
      <c r="CJ43" s="3"/>
      <c r="CK43" s="3"/>
      <c r="CL43" s="3"/>
      <c r="CM43" s="3"/>
      <c r="CN43" s="3"/>
      <c r="CO43" s="3"/>
      <c r="CP43" s="3"/>
      <c r="CQ43" s="3"/>
      <c r="CR43" s="3"/>
      <c r="CS43" s="3"/>
      <c r="CT43" s="3"/>
      <c r="CU43" s="3" t="s">
        <v>818</v>
      </c>
      <c r="CV43" s="3"/>
      <c r="CW43" s="3" t="s">
        <v>819</v>
      </c>
      <c r="CX43" s="3" t="s">
        <v>820</v>
      </c>
      <c r="CY43" s="3" t="s">
        <v>821</v>
      </c>
      <c r="CZ43" s="3" t="s">
        <v>822</v>
      </c>
    </row>
    <row r="44" customFormat="false" ht="15.75" hidden="false" customHeight="false" outlineLevel="0" collapsed="false">
      <c r="A44" s="290" t="s">
        <v>134</v>
      </c>
      <c r="B44" s="290" t="s">
        <v>345</v>
      </c>
      <c r="C44" s="290" t="s">
        <v>182</v>
      </c>
      <c r="D44" s="290" t="s">
        <v>182</v>
      </c>
      <c r="E44" s="290" t="s">
        <v>182</v>
      </c>
      <c r="F44" s="315" t="b">
        <f aca="false">TRUE()</f>
        <v>1</v>
      </c>
      <c r="G44" s="290" t="s">
        <v>546</v>
      </c>
      <c r="H44" s="290" t="s">
        <v>345</v>
      </c>
      <c r="I44" s="290" t="n">
        <v>65</v>
      </c>
      <c r="J44" s="290" t="s">
        <v>761</v>
      </c>
      <c r="K44" s="290" t="s">
        <v>741</v>
      </c>
      <c r="L44" s="290" t="n">
        <v>5</v>
      </c>
      <c r="M44" s="290" t="s">
        <v>742</v>
      </c>
      <c r="N44" s="290" t="s">
        <v>743</v>
      </c>
      <c r="O44" s="290" t="s">
        <v>886</v>
      </c>
      <c r="P44" s="290" t="s">
        <v>745</v>
      </c>
      <c r="Q44" s="290" t="s">
        <v>746</v>
      </c>
      <c r="R44" s="315" t="b">
        <f aca="false">FALSE()</f>
        <v>0</v>
      </c>
      <c r="S44" s="290" t="n">
        <v>90</v>
      </c>
      <c r="T44" s="290" t="n">
        <v>70</v>
      </c>
      <c r="U44" s="290" t="n">
        <v>90</v>
      </c>
      <c r="V44" s="290" t="n">
        <v>100</v>
      </c>
      <c r="W44" s="290" t="n">
        <v>100</v>
      </c>
      <c r="X44" s="290" t="n">
        <v>100</v>
      </c>
      <c r="Y44" s="290" t="n">
        <v>1</v>
      </c>
      <c r="Z44" s="290" t="n">
        <v>1</v>
      </c>
      <c r="AA44" s="290" t="n">
        <v>1</v>
      </c>
      <c r="AB44" s="290" t="n">
        <v>5140</v>
      </c>
      <c r="AC44" s="290" t="s">
        <v>747</v>
      </c>
      <c r="AD44" s="290" t="s">
        <v>182</v>
      </c>
      <c r="AE44" s="290" t="n">
        <v>100</v>
      </c>
      <c r="AF44" s="290" t="n">
        <v>200</v>
      </c>
      <c r="AG44" s="290" t="n">
        <v>500</v>
      </c>
      <c r="AH44" s="290" t="n">
        <v>650</v>
      </c>
      <c r="AI44" s="290" t="n">
        <v>350</v>
      </c>
      <c r="AJ44" s="315" t="b">
        <f aca="false">FALSE()</f>
        <v>0</v>
      </c>
      <c r="AK44" s="315" t="b">
        <f aca="false">FALSE()</f>
        <v>0</v>
      </c>
      <c r="AL44" s="290" t="s">
        <v>748</v>
      </c>
      <c r="AM44" s="315" t="b">
        <f aca="false">FALSE()</f>
        <v>0</v>
      </c>
      <c r="AN44" s="315" t="b">
        <f aca="false">FALSE()</f>
        <v>0</v>
      </c>
      <c r="AO44" s="290" t="n">
        <v>350</v>
      </c>
      <c r="AP44" s="290" t="n">
        <v>1</v>
      </c>
      <c r="AQ44" s="290" t="n">
        <v>5</v>
      </c>
      <c r="AR44" s="290" t="n">
        <v>25</v>
      </c>
      <c r="AS44" s="290" t="n">
        <v>90</v>
      </c>
      <c r="AT44" s="290" t="n">
        <v>1</v>
      </c>
      <c r="AU44" s="315" t="b">
        <f aca="false">FALSE()</f>
        <v>0</v>
      </c>
      <c r="AV44" s="315" t="b">
        <f aca="false">FALSE()</f>
        <v>0</v>
      </c>
      <c r="AW44" s="290" t="n">
        <v>3</v>
      </c>
      <c r="AX44" s="315" t="b">
        <f aca="false">TRUE()</f>
        <v>1</v>
      </c>
      <c r="AY44" s="315" t="b">
        <f aca="false">TRUE()</f>
        <v>1</v>
      </c>
      <c r="AZ44" s="290" t="n">
        <v>100</v>
      </c>
      <c r="BA44" s="290" t="n">
        <v>50</v>
      </c>
      <c r="BB44" s="290" t="n">
        <v>550</v>
      </c>
      <c r="BC44" s="290" t="n">
        <v>0</v>
      </c>
      <c r="BD44" s="290" t="n">
        <v>0</v>
      </c>
      <c r="BE44" s="290" t="n">
        <v>0</v>
      </c>
      <c r="BF44" s="290" t="n">
        <v>0</v>
      </c>
      <c r="BG44" s="290" t="n">
        <v>0</v>
      </c>
      <c r="BH44" s="290" t="n">
        <v>1</v>
      </c>
      <c r="BI44" s="290" t="n">
        <v>0</v>
      </c>
      <c r="BJ44" s="290" t="n">
        <v>0</v>
      </c>
      <c r="BK44" s="290" t="n">
        <v>0</v>
      </c>
      <c r="BL44" s="290" t="n">
        <v>0</v>
      </c>
      <c r="BM44" s="290" t="n">
        <v>0</v>
      </c>
      <c r="BN44" s="290" t="n">
        <v>0</v>
      </c>
      <c r="BO44" s="290" t="n">
        <v>0</v>
      </c>
      <c r="BP44" s="290" t="s">
        <v>182</v>
      </c>
      <c r="BQ44" s="290" t="s">
        <v>182</v>
      </c>
      <c r="BR44" s="290" t="s">
        <v>182</v>
      </c>
      <c r="BS44" s="290" t="s">
        <v>182</v>
      </c>
      <c r="BT44" s="290" t="n">
        <v>43</v>
      </c>
      <c r="BU44" s="316" t="b">
        <f aca="false">TRUE()</f>
        <v>1</v>
      </c>
      <c r="BV44" s="290"/>
      <c r="BW44" s="290" t="s">
        <v>761</v>
      </c>
      <c r="BX44" s="85" t="n">
        <v>24</v>
      </c>
      <c r="BY44" s="3" t="s">
        <v>946</v>
      </c>
      <c r="BZ44" s="3" t="s">
        <v>775</v>
      </c>
      <c r="CA44" s="3"/>
      <c r="CB44" s="3"/>
      <c r="CC44" s="3"/>
      <c r="CD44" s="3"/>
      <c r="CE44" s="3"/>
      <c r="CF44" s="3"/>
      <c r="CG44" s="311" t="b">
        <f aca="false">IF(BZ44="Saddle",TRUE(),)</f>
        <v>1</v>
      </c>
      <c r="CH44" s="3" t="s">
        <v>776</v>
      </c>
      <c r="CI44" s="3"/>
      <c r="CJ44" s="3"/>
      <c r="CK44" s="3"/>
      <c r="CL44" s="3"/>
      <c r="CM44" s="3"/>
      <c r="CN44" s="3"/>
      <c r="CO44" s="3"/>
      <c r="CP44" s="3"/>
      <c r="CQ44" s="3"/>
      <c r="CR44" s="3"/>
      <c r="CS44" s="3"/>
      <c r="CT44" s="3"/>
      <c r="CU44" s="3" t="s">
        <v>818</v>
      </c>
      <c r="CV44" s="3"/>
      <c r="CW44" s="3" t="s">
        <v>819</v>
      </c>
      <c r="CX44" s="3" t="s">
        <v>820</v>
      </c>
      <c r="CY44" s="3" t="s">
        <v>821</v>
      </c>
      <c r="CZ44" s="3" t="s">
        <v>822</v>
      </c>
    </row>
    <row r="45" customFormat="false" ht="15.75" hidden="false" customHeight="false" outlineLevel="0" collapsed="false">
      <c r="A45" s="290" t="s">
        <v>33</v>
      </c>
      <c r="B45" s="290" t="s">
        <v>319</v>
      </c>
      <c r="C45" s="290" t="s">
        <v>182</v>
      </c>
      <c r="D45" s="290" t="s">
        <v>182</v>
      </c>
      <c r="E45" s="290" t="s">
        <v>182</v>
      </c>
      <c r="F45" s="315" t="b">
        <f aca="false">TRUE()</f>
        <v>1</v>
      </c>
      <c r="G45" s="290" t="s">
        <v>947</v>
      </c>
      <c r="H45" s="290" t="s">
        <v>319</v>
      </c>
      <c r="I45" s="290" t="n">
        <v>44</v>
      </c>
      <c r="J45" s="3"/>
      <c r="K45" s="290" t="s">
        <v>741</v>
      </c>
      <c r="L45" s="290" t="n">
        <v>3</v>
      </c>
      <c r="M45" s="290" t="s">
        <v>758</v>
      </c>
      <c r="N45" s="290" t="s">
        <v>743</v>
      </c>
      <c r="O45" s="290" t="s">
        <v>790</v>
      </c>
      <c r="P45" s="290" t="s">
        <v>745</v>
      </c>
      <c r="Q45" s="290" t="s">
        <v>746</v>
      </c>
      <c r="R45" s="315" t="b">
        <f aca="false">FALSE()</f>
        <v>0</v>
      </c>
      <c r="S45" s="290" t="n">
        <v>75</v>
      </c>
      <c r="T45" s="290" t="n">
        <v>80</v>
      </c>
      <c r="U45" s="290" t="n">
        <v>95</v>
      </c>
      <c r="V45" s="290" t="n">
        <v>80</v>
      </c>
      <c r="W45" s="290" t="n">
        <v>100</v>
      </c>
      <c r="X45" s="290" t="n">
        <v>100</v>
      </c>
      <c r="Y45" s="290" t="n">
        <v>1</v>
      </c>
      <c r="Z45" s="290" t="n">
        <v>1</v>
      </c>
      <c r="AA45" s="290" t="n">
        <v>1</v>
      </c>
      <c r="AB45" s="290" t="n">
        <v>1840</v>
      </c>
      <c r="AC45" s="290" t="s">
        <v>836</v>
      </c>
      <c r="AD45" s="290" t="s">
        <v>182</v>
      </c>
      <c r="AE45" s="290" t="n">
        <v>85</v>
      </c>
      <c r="AF45" s="290" t="n">
        <v>170</v>
      </c>
      <c r="AG45" s="290" t="n">
        <v>920</v>
      </c>
      <c r="AH45" s="290" t="n">
        <v>1200</v>
      </c>
      <c r="AI45" s="290" t="n">
        <v>545</v>
      </c>
      <c r="AJ45" s="315" t="b">
        <f aca="false">FALSE()</f>
        <v>0</v>
      </c>
      <c r="AK45" s="315" t="b">
        <f aca="false">FALSE()</f>
        <v>0</v>
      </c>
      <c r="AL45" s="290" t="s">
        <v>748</v>
      </c>
      <c r="AM45" s="315" t="b">
        <f aca="false">FALSE()</f>
        <v>0</v>
      </c>
      <c r="AN45" s="315" t="b">
        <f aca="false">FALSE()</f>
        <v>0</v>
      </c>
      <c r="AO45" s="290" t="n">
        <v>350</v>
      </c>
      <c r="AP45" s="290" t="n">
        <v>1</v>
      </c>
      <c r="AQ45" s="290" t="n">
        <v>5</v>
      </c>
      <c r="AR45" s="290" t="n">
        <v>25</v>
      </c>
      <c r="AS45" s="290" t="n">
        <v>90</v>
      </c>
      <c r="AT45" s="290" t="n">
        <v>1</v>
      </c>
      <c r="AU45" s="315" t="b">
        <f aca="false">FALSE()</f>
        <v>0</v>
      </c>
      <c r="AV45" s="315" t="b">
        <f aca="false">TRUE()</f>
        <v>1</v>
      </c>
      <c r="AW45" s="290" t="n">
        <v>3</v>
      </c>
      <c r="AX45" s="315" t="b">
        <f aca="false">TRUE()</f>
        <v>1</v>
      </c>
      <c r="AY45" s="315" t="b">
        <f aca="false">TRUE()</f>
        <v>1</v>
      </c>
      <c r="AZ45" s="290" t="n">
        <v>100</v>
      </c>
      <c r="BA45" s="290" t="n">
        <v>50</v>
      </c>
      <c r="BB45" s="290" t="n">
        <v>1080</v>
      </c>
      <c r="BC45" s="290" t="n">
        <v>0</v>
      </c>
      <c r="BD45" s="290" t="n">
        <v>0</v>
      </c>
      <c r="BE45" s="290" t="n">
        <v>0</v>
      </c>
      <c r="BF45" s="290" t="n">
        <v>0</v>
      </c>
      <c r="BG45" s="290" t="n">
        <v>0</v>
      </c>
      <c r="BH45" s="290" t="n">
        <v>0</v>
      </c>
      <c r="BI45" s="290" t="n">
        <v>1</v>
      </c>
      <c r="BJ45" s="290" t="n">
        <v>0</v>
      </c>
      <c r="BK45" s="290" t="n">
        <v>0</v>
      </c>
      <c r="BL45" s="290" t="n">
        <v>0</v>
      </c>
      <c r="BM45" s="290" t="n">
        <v>0</v>
      </c>
      <c r="BN45" s="290" t="n">
        <v>0</v>
      </c>
      <c r="BO45" s="290" t="n">
        <v>0</v>
      </c>
      <c r="BP45" s="290" t="s">
        <v>182</v>
      </c>
      <c r="BQ45" s="290" t="s">
        <v>182</v>
      </c>
      <c r="BR45" s="290" t="s">
        <v>182</v>
      </c>
      <c r="BS45" s="290" t="s">
        <v>182</v>
      </c>
      <c r="BT45" s="290" t="n">
        <v>44</v>
      </c>
      <c r="BU45" s="316" t="b">
        <f aca="false">FALSE()</f>
        <v>0</v>
      </c>
      <c r="BV45" s="290"/>
      <c r="BW45" s="3"/>
      <c r="BX45" s="3"/>
      <c r="BY45" s="3"/>
      <c r="BZ45" s="3"/>
      <c r="CA45" s="3" t="s">
        <v>948</v>
      </c>
      <c r="CB45" s="85" t="n">
        <v>1.1</v>
      </c>
      <c r="CC45" s="85" t="n">
        <v>1.3</v>
      </c>
      <c r="CD45" s="85" t="n">
        <v>1.6</v>
      </c>
      <c r="CE45" s="85" t="n">
        <v>2</v>
      </c>
      <c r="CF45" s="85" t="n">
        <v>2.5</v>
      </c>
      <c r="CG45" s="3" t="n">
        <f aca="false">IF(BZ45="Saddle",TRUE(),)</f>
        <v>0</v>
      </c>
      <c r="CH45" s="3"/>
      <c r="CI45" s="3"/>
      <c r="CJ45" s="3"/>
      <c r="CK45" s="3"/>
      <c r="CL45" s="3"/>
      <c r="CM45" s="3"/>
      <c r="CN45" s="3"/>
      <c r="CO45" s="3"/>
      <c r="CP45" s="3"/>
      <c r="CQ45" s="3"/>
      <c r="CR45" s="3"/>
      <c r="CS45" s="3"/>
      <c r="CT45" s="3"/>
      <c r="CU45" s="3"/>
      <c r="CV45" s="3"/>
      <c r="CW45" s="3"/>
      <c r="CX45" s="3"/>
      <c r="CY45" s="3"/>
      <c r="CZ45" s="3"/>
    </row>
    <row r="46" customFormat="false" ht="15.75" hidden="false" customHeight="false" outlineLevel="0" collapsed="false">
      <c r="A46" s="290" t="s">
        <v>18</v>
      </c>
      <c r="B46" s="290" t="s">
        <v>365</v>
      </c>
      <c r="C46" s="290" t="s">
        <v>182</v>
      </c>
      <c r="D46" s="290" t="s">
        <v>182</v>
      </c>
      <c r="E46" s="290" t="s">
        <v>182</v>
      </c>
      <c r="F46" s="315" t="b">
        <f aca="false">TRUE()</f>
        <v>1</v>
      </c>
      <c r="G46" s="290" t="s">
        <v>949</v>
      </c>
      <c r="H46" s="290" t="s">
        <v>365</v>
      </c>
      <c r="I46" s="290" t="n">
        <v>82</v>
      </c>
      <c r="J46" s="3"/>
      <c r="K46" s="290" t="s">
        <v>793</v>
      </c>
      <c r="L46" s="290" t="n">
        <v>7</v>
      </c>
      <c r="M46" s="290" t="s">
        <v>814</v>
      </c>
      <c r="N46" s="290" t="s">
        <v>885</v>
      </c>
      <c r="O46" s="290" t="s">
        <v>886</v>
      </c>
      <c r="P46" s="290" t="s">
        <v>745</v>
      </c>
      <c r="Q46" s="290" t="s">
        <v>746</v>
      </c>
      <c r="R46" s="315" t="b">
        <f aca="false">FALSE()</f>
        <v>0</v>
      </c>
      <c r="S46" s="290" t="n">
        <v>110</v>
      </c>
      <c r="T46" s="290" t="n">
        <v>70</v>
      </c>
      <c r="U46" s="290" t="n">
        <v>100</v>
      </c>
      <c r="V46" s="290" t="n">
        <v>100</v>
      </c>
      <c r="W46" s="290" t="n">
        <v>100</v>
      </c>
      <c r="X46" s="290" t="n">
        <v>100</v>
      </c>
      <c r="Y46" s="290" t="n">
        <v>1</v>
      </c>
      <c r="Z46" s="290" t="n">
        <v>1</v>
      </c>
      <c r="AA46" s="290" t="n">
        <v>1</v>
      </c>
      <c r="AB46" s="290" t="n">
        <v>5600</v>
      </c>
      <c r="AC46" s="290" t="s">
        <v>764</v>
      </c>
      <c r="AD46" s="290" t="s">
        <v>182</v>
      </c>
      <c r="AE46" s="290" t="n">
        <v>75</v>
      </c>
      <c r="AF46" s="290" t="n">
        <v>150</v>
      </c>
      <c r="AG46" s="290" t="n">
        <v>600</v>
      </c>
      <c r="AH46" s="290" t="n">
        <v>800</v>
      </c>
      <c r="AI46" s="290" t="n">
        <v>350</v>
      </c>
      <c r="AJ46" s="315" t="b">
        <f aca="false">FALSE()</f>
        <v>0</v>
      </c>
      <c r="AK46" s="315" t="b">
        <f aca="false">FALSE()</f>
        <v>0</v>
      </c>
      <c r="AL46" s="290" t="s">
        <v>748</v>
      </c>
      <c r="AM46" s="315" t="b">
        <f aca="false">FALSE()</f>
        <v>0</v>
      </c>
      <c r="AN46" s="315" t="b">
        <f aca="false">FALSE()</f>
        <v>0</v>
      </c>
      <c r="AO46" s="290" t="n">
        <v>400</v>
      </c>
      <c r="AP46" s="290" t="n">
        <v>1</v>
      </c>
      <c r="AQ46" s="290" t="n">
        <v>6</v>
      </c>
      <c r="AR46" s="290" t="n">
        <v>25</v>
      </c>
      <c r="AS46" s="290" t="n">
        <v>90</v>
      </c>
      <c r="AT46" s="290" t="n">
        <v>1</v>
      </c>
      <c r="AU46" s="315" t="b">
        <f aca="false">FALSE()</f>
        <v>0</v>
      </c>
      <c r="AV46" s="315" t="b">
        <f aca="false">FALSE()</f>
        <v>0</v>
      </c>
      <c r="AW46" s="290" t="n">
        <v>5</v>
      </c>
      <c r="AX46" s="315" t="b">
        <f aca="false">FALSE()</f>
        <v>0</v>
      </c>
      <c r="AY46" s="315" t="b">
        <f aca="false">TRUE()</f>
        <v>1</v>
      </c>
      <c r="AZ46" s="290" t="n">
        <v>100</v>
      </c>
      <c r="BA46" s="290" t="n">
        <v>50</v>
      </c>
      <c r="BB46" s="290" t="n">
        <v>500</v>
      </c>
      <c r="BC46" s="290" t="n">
        <v>0</v>
      </c>
      <c r="BD46" s="290" t="n">
        <v>3</v>
      </c>
      <c r="BE46" s="290" t="n">
        <v>0</v>
      </c>
      <c r="BF46" s="290" t="n">
        <v>0</v>
      </c>
      <c r="BG46" s="290" t="n">
        <v>0</v>
      </c>
      <c r="BH46" s="290" t="n">
        <v>0</v>
      </c>
      <c r="BI46" s="290" t="n">
        <v>0</v>
      </c>
      <c r="BJ46" s="290" t="n">
        <v>0</v>
      </c>
      <c r="BK46" s="290" t="n">
        <v>0</v>
      </c>
      <c r="BL46" s="290" t="n">
        <v>0</v>
      </c>
      <c r="BM46" s="290" t="n">
        <v>0</v>
      </c>
      <c r="BN46" s="290" t="n">
        <v>0</v>
      </c>
      <c r="BO46" s="290" t="n">
        <v>0</v>
      </c>
      <c r="BP46" s="290" t="s">
        <v>182</v>
      </c>
      <c r="BQ46" s="290" t="s">
        <v>182</v>
      </c>
      <c r="BR46" s="290" t="s">
        <v>182</v>
      </c>
      <c r="BS46" s="290" t="s">
        <v>182</v>
      </c>
      <c r="BT46" s="290" t="n">
        <v>45</v>
      </c>
      <c r="BU46" s="316" t="b">
        <f aca="false">FALSE()</f>
        <v>0</v>
      </c>
      <c r="BV46" s="290"/>
      <c r="BW46" s="3"/>
      <c r="BX46" s="85" t="n">
        <v>24</v>
      </c>
      <c r="BY46" s="3" t="s">
        <v>950</v>
      </c>
      <c r="BZ46" s="3" t="s">
        <v>775</v>
      </c>
      <c r="CA46" s="3"/>
      <c r="CB46" s="3"/>
      <c r="CC46" s="3"/>
      <c r="CD46" s="3"/>
      <c r="CE46" s="3"/>
      <c r="CF46" s="3"/>
      <c r="CG46" s="311" t="b">
        <f aca="false">IF(BZ46="Saddle",TRUE(),)</f>
        <v>1</v>
      </c>
      <c r="CH46" s="3" t="s">
        <v>889</v>
      </c>
      <c r="CI46" s="3" t="s">
        <v>750</v>
      </c>
      <c r="CJ46" s="3" t="s">
        <v>951</v>
      </c>
      <c r="CK46" s="3" t="s">
        <v>951</v>
      </c>
      <c r="CL46" s="3" t="s">
        <v>951</v>
      </c>
      <c r="CM46" s="3" t="s">
        <v>951</v>
      </c>
      <c r="CN46" s="3" t="s">
        <v>951</v>
      </c>
      <c r="CO46" s="3"/>
      <c r="CP46" s="3"/>
      <c r="CQ46" s="3"/>
      <c r="CR46" s="3"/>
      <c r="CS46" s="3"/>
      <c r="CT46" s="3"/>
      <c r="CU46" s="3"/>
      <c r="CV46" s="3" t="s">
        <v>839</v>
      </c>
      <c r="CW46" s="3" t="s">
        <v>840</v>
      </c>
      <c r="CX46" s="3" t="s">
        <v>841</v>
      </c>
      <c r="CY46" s="3" t="s">
        <v>842</v>
      </c>
      <c r="CZ46" s="3" t="s">
        <v>843</v>
      </c>
    </row>
    <row r="47" customFormat="false" ht="15.75" hidden="false" customHeight="false" outlineLevel="0" collapsed="false">
      <c r="A47" s="290" t="s">
        <v>32</v>
      </c>
      <c r="B47" s="290" t="s">
        <v>264</v>
      </c>
      <c r="C47" s="290" t="s">
        <v>182</v>
      </c>
      <c r="D47" s="290" t="s">
        <v>182</v>
      </c>
      <c r="E47" s="290" t="s">
        <v>182</v>
      </c>
      <c r="F47" s="315" t="b">
        <f aca="false">TRUE()</f>
        <v>1</v>
      </c>
      <c r="G47" s="290" t="s">
        <v>952</v>
      </c>
      <c r="H47" s="290" t="s">
        <v>264</v>
      </c>
      <c r="I47" s="290" t="n">
        <v>2</v>
      </c>
      <c r="J47" s="3"/>
      <c r="K47" s="290" t="s">
        <v>762</v>
      </c>
      <c r="L47" s="290" t="n">
        <v>1</v>
      </c>
      <c r="M47" s="290" t="s">
        <v>789</v>
      </c>
      <c r="N47" s="290" t="s">
        <v>743</v>
      </c>
      <c r="O47" s="290" t="s">
        <v>744</v>
      </c>
      <c r="P47" s="290" t="s">
        <v>745</v>
      </c>
      <c r="Q47" s="290" t="s">
        <v>746</v>
      </c>
      <c r="R47" s="315" t="b">
        <f aca="false">FALSE()</f>
        <v>0</v>
      </c>
      <c r="S47" s="290" t="n">
        <v>70</v>
      </c>
      <c r="T47" s="290" t="n">
        <v>70</v>
      </c>
      <c r="U47" s="290" t="n">
        <v>70</v>
      </c>
      <c r="V47" s="290" t="n">
        <v>70</v>
      </c>
      <c r="W47" s="290" t="n">
        <v>100</v>
      </c>
      <c r="X47" s="290" t="n">
        <v>100</v>
      </c>
      <c r="Y47" s="290" t="n">
        <v>2</v>
      </c>
      <c r="Z47" s="290" t="n">
        <v>1.5</v>
      </c>
      <c r="AA47" s="290" t="n">
        <v>1</v>
      </c>
      <c r="AB47" s="290" t="n">
        <v>1000</v>
      </c>
      <c r="AC47" s="290" t="s">
        <v>764</v>
      </c>
      <c r="AD47" s="290" t="s">
        <v>182</v>
      </c>
      <c r="AE47" s="290" t="n">
        <v>30</v>
      </c>
      <c r="AF47" s="290" t="n">
        <v>60</v>
      </c>
      <c r="AG47" s="290" t="n">
        <v>400</v>
      </c>
      <c r="AH47" s="290" t="n">
        <v>550</v>
      </c>
      <c r="AI47" s="290" t="n">
        <v>160</v>
      </c>
      <c r="AJ47" s="315" t="b">
        <f aca="false">FALSE()</f>
        <v>0</v>
      </c>
      <c r="AK47" s="315" t="b">
        <f aca="false">FALSE()</f>
        <v>0</v>
      </c>
      <c r="AL47" s="290" t="s">
        <v>765</v>
      </c>
      <c r="AM47" s="315" t="b">
        <f aca="false">FALSE()</f>
        <v>0</v>
      </c>
      <c r="AN47" s="315" t="b">
        <f aca="false">FALSE()</f>
        <v>0</v>
      </c>
      <c r="AO47" s="290" t="n">
        <v>150</v>
      </c>
      <c r="AP47" s="290" t="n">
        <v>1</v>
      </c>
      <c r="AQ47" s="290" t="n">
        <v>2</v>
      </c>
      <c r="AR47" s="290" t="n">
        <v>25</v>
      </c>
      <c r="AS47" s="290" t="n">
        <v>90</v>
      </c>
      <c r="AT47" s="290" t="n">
        <v>1</v>
      </c>
      <c r="AU47" s="315" t="b">
        <f aca="false">TRUE()</f>
        <v>1</v>
      </c>
      <c r="AV47" s="315" t="b">
        <f aca="false">FALSE()</f>
        <v>0</v>
      </c>
      <c r="AW47" s="290" t="n">
        <v>0</v>
      </c>
      <c r="AX47" s="315" t="b">
        <f aca="false">FALSE()</f>
        <v>0</v>
      </c>
      <c r="AY47" s="315" t="b">
        <f aca="false">TRUE()</f>
        <v>1</v>
      </c>
      <c r="AZ47" s="290" t="n">
        <v>100</v>
      </c>
      <c r="BA47" s="290" t="n">
        <v>50</v>
      </c>
      <c r="BB47" s="290" t="n">
        <v>1460</v>
      </c>
      <c r="BC47" s="290" t="n">
        <v>0</v>
      </c>
      <c r="BD47" s="290" t="n">
        <v>0</v>
      </c>
      <c r="BE47" s="290" t="n">
        <v>0</v>
      </c>
      <c r="BF47" s="290" t="n">
        <v>0</v>
      </c>
      <c r="BG47" s="290" t="n">
        <v>1</v>
      </c>
      <c r="BH47" s="290" t="n">
        <v>1</v>
      </c>
      <c r="BI47" s="290" t="n">
        <v>0</v>
      </c>
      <c r="BJ47" s="290" t="n">
        <v>1</v>
      </c>
      <c r="BK47" s="290" t="n">
        <v>0</v>
      </c>
      <c r="BL47" s="290" t="n">
        <v>0</v>
      </c>
      <c r="BM47" s="290" t="n">
        <v>0</v>
      </c>
      <c r="BN47" s="290" t="n">
        <v>1</v>
      </c>
      <c r="BO47" s="290" t="n">
        <v>0</v>
      </c>
      <c r="BP47" s="290" t="s">
        <v>953</v>
      </c>
      <c r="BQ47" s="290" t="s">
        <v>182</v>
      </c>
      <c r="BR47" s="290" t="s">
        <v>182</v>
      </c>
      <c r="BS47" s="290" t="s">
        <v>182</v>
      </c>
      <c r="BT47" s="290" t="n">
        <v>46</v>
      </c>
      <c r="BU47" s="316" t="b">
        <f aca="false">FALSE()</f>
        <v>0</v>
      </c>
      <c r="BV47" s="290"/>
      <c r="BW47" s="3"/>
      <c r="BX47" s="3"/>
      <c r="BY47" s="3"/>
      <c r="BZ47" s="3"/>
      <c r="CA47" s="3"/>
      <c r="CB47" s="3"/>
      <c r="CC47" s="3"/>
      <c r="CD47" s="3"/>
      <c r="CE47" s="3"/>
      <c r="CF47" s="3"/>
      <c r="CG47" s="3" t="n">
        <f aca="false">IF(BZ47="Saddle",TRUE(),)</f>
        <v>0</v>
      </c>
      <c r="CH47" s="3"/>
      <c r="CI47" s="3"/>
      <c r="CJ47" s="3"/>
      <c r="CK47" s="3"/>
      <c r="CL47" s="3"/>
      <c r="CM47" s="3"/>
      <c r="CN47" s="3"/>
      <c r="CO47" s="3"/>
      <c r="CP47" s="3"/>
      <c r="CQ47" s="3"/>
      <c r="CR47" s="3"/>
      <c r="CS47" s="3"/>
      <c r="CT47" s="3"/>
      <c r="CU47" s="3"/>
      <c r="CV47" s="3" t="s">
        <v>954</v>
      </c>
      <c r="CW47" s="3" t="s">
        <v>955</v>
      </c>
      <c r="CX47" s="3" t="s">
        <v>956</v>
      </c>
      <c r="CY47" s="3" t="s">
        <v>856</v>
      </c>
      <c r="CZ47" s="3" t="s">
        <v>857</v>
      </c>
    </row>
    <row r="48" customFormat="false" ht="15.75" hidden="false" customHeight="false" outlineLevel="0" collapsed="false">
      <c r="A48" s="290" t="s">
        <v>42</v>
      </c>
      <c r="B48" s="290" t="s">
        <v>285</v>
      </c>
      <c r="C48" s="290" t="s">
        <v>182</v>
      </c>
      <c r="D48" s="290" t="s">
        <v>182</v>
      </c>
      <c r="E48" s="290" t="s">
        <v>182</v>
      </c>
      <c r="F48" s="315" t="b">
        <f aca="false">TRUE()</f>
        <v>1</v>
      </c>
      <c r="G48" s="290" t="s">
        <v>957</v>
      </c>
      <c r="H48" s="290" t="s">
        <v>285</v>
      </c>
      <c r="I48" s="290" t="n">
        <v>17</v>
      </c>
      <c r="J48" s="3"/>
      <c r="K48" s="290" t="s">
        <v>762</v>
      </c>
      <c r="L48" s="290" t="n">
        <v>1</v>
      </c>
      <c r="M48" s="290" t="s">
        <v>758</v>
      </c>
      <c r="N48" s="290" t="s">
        <v>743</v>
      </c>
      <c r="O48" s="290" t="s">
        <v>744</v>
      </c>
      <c r="P48" s="290" t="s">
        <v>745</v>
      </c>
      <c r="Q48" s="290" t="s">
        <v>746</v>
      </c>
      <c r="R48" s="315" t="b">
        <f aca="false">FALSE()</f>
        <v>0</v>
      </c>
      <c r="S48" s="290" t="n">
        <v>70</v>
      </c>
      <c r="T48" s="290" t="n">
        <v>70</v>
      </c>
      <c r="U48" s="290" t="n">
        <v>70</v>
      </c>
      <c r="V48" s="290" t="n">
        <v>70</v>
      </c>
      <c r="W48" s="290" t="n">
        <v>100</v>
      </c>
      <c r="X48" s="290" t="n">
        <v>100</v>
      </c>
      <c r="Y48" s="290" t="n">
        <v>1.2</v>
      </c>
      <c r="Z48" s="290" t="n">
        <v>1</v>
      </c>
      <c r="AA48" s="290" t="n">
        <v>1</v>
      </c>
      <c r="AB48" s="290" t="n">
        <v>1050</v>
      </c>
      <c r="AC48" s="290" t="s">
        <v>747</v>
      </c>
      <c r="AD48" s="290" t="s">
        <v>182</v>
      </c>
      <c r="AE48" s="290" t="n">
        <v>10</v>
      </c>
      <c r="AF48" s="290" t="n">
        <v>10</v>
      </c>
      <c r="AG48" s="290" t="n">
        <v>300</v>
      </c>
      <c r="AH48" s="290" t="n">
        <v>400</v>
      </c>
      <c r="AI48" s="290" t="n">
        <v>100</v>
      </c>
      <c r="AJ48" s="315" t="b">
        <f aca="false">FALSE()</f>
        <v>0</v>
      </c>
      <c r="AK48" s="315" t="b">
        <f aca="false">FALSE()</f>
        <v>0</v>
      </c>
      <c r="AL48" s="290" t="s">
        <v>765</v>
      </c>
      <c r="AM48" s="315" t="b">
        <f aca="false">FALSE()</f>
        <v>0</v>
      </c>
      <c r="AN48" s="315" t="b">
        <f aca="false">FALSE()</f>
        <v>0</v>
      </c>
      <c r="AO48" s="290" t="n">
        <v>150</v>
      </c>
      <c r="AP48" s="290" t="n">
        <v>1</v>
      </c>
      <c r="AQ48" s="290" t="n">
        <v>2</v>
      </c>
      <c r="AR48" s="290" t="n">
        <v>25</v>
      </c>
      <c r="AS48" s="290" t="n">
        <v>90</v>
      </c>
      <c r="AT48" s="290" t="n">
        <v>1</v>
      </c>
      <c r="AU48" s="315" t="b">
        <f aca="false">TRUE()</f>
        <v>1</v>
      </c>
      <c r="AV48" s="315" t="b">
        <f aca="false">TRUE()</f>
        <v>1</v>
      </c>
      <c r="AW48" s="290" t="n">
        <v>0</v>
      </c>
      <c r="AX48" s="315" t="b">
        <f aca="false">FALSE()</f>
        <v>0</v>
      </c>
      <c r="AY48" s="315" t="b">
        <f aca="false">TRUE()</f>
        <v>1</v>
      </c>
      <c r="AZ48" s="290" t="n">
        <v>100</v>
      </c>
      <c r="BA48" s="290" t="n">
        <v>50</v>
      </c>
      <c r="BB48" s="290" t="n">
        <v>1380</v>
      </c>
      <c r="BC48" s="290" t="n">
        <v>0</v>
      </c>
      <c r="BD48" s="290" t="n">
        <v>0</v>
      </c>
      <c r="BE48" s="290" t="n">
        <v>0</v>
      </c>
      <c r="BF48" s="290" t="n">
        <v>0</v>
      </c>
      <c r="BG48" s="290" t="n">
        <v>1</v>
      </c>
      <c r="BH48" s="290" t="n">
        <v>0</v>
      </c>
      <c r="BI48" s="290" t="n">
        <v>0</v>
      </c>
      <c r="BJ48" s="290" t="n">
        <v>1</v>
      </c>
      <c r="BK48" s="290" t="n">
        <v>0</v>
      </c>
      <c r="BL48" s="290" t="n">
        <v>0</v>
      </c>
      <c r="BM48" s="290" t="n">
        <v>0</v>
      </c>
      <c r="BN48" s="290" t="n">
        <v>1</v>
      </c>
      <c r="BO48" s="290" t="n">
        <v>0</v>
      </c>
      <c r="BP48" s="290" t="s">
        <v>182</v>
      </c>
      <c r="BQ48" s="290" t="s">
        <v>182</v>
      </c>
      <c r="BR48" s="290" t="s">
        <v>182</v>
      </c>
      <c r="BS48" s="290" t="s">
        <v>182</v>
      </c>
      <c r="BT48" s="290" t="n">
        <v>47</v>
      </c>
      <c r="BU48" s="316" t="b">
        <f aca="false">FALSE()</f>
        <v>0</v>
      </c>
      <c r="BV48" s="290"/>
      <c r="BW48" s="3"/>
      <c r="BX48" s="3"/>
      <c r="BY48" s="3"/>
      <c r="BZ48" s="3"/>
      <c r="CA48" s="3" t="s">
        <v>958</v>
      </c>
      <c r="CB48" s="3" t="s">
        <v>284</v>
      </c>
      <c r="CC48" s="85" t="n">
        <v>2</v>
      </c>
      <c r="CD48" s="85" t="n">
        <v>3</v>
      </c>
      <c r="CE48" s="85" t="n">
        <v>5</v>
      </c>
      <c r="CF48" s="85" t="n">
        <v>10</v>
      </c>
      <c r="CG48" s="3" t="n">
        <f aca="false">IF(BZ48="Saddle",TRUE(),)</f>
        <v>0</v>
      </c>
      <c r="CH48" s="3"/>
      <c r="CI48" s="3"/>
      <c r="CJ48" s="3"/>
      <c r="CK48" s="3"/>
      <c r="CL48" s="3"/>
      <c r="CM48" s="3"/>
      <c r="CN48" s="3"/>
      <c r="CO48" s="3"/>
      <c r="CP48" s="3"/>
      <c r="CQ48" s="3"/>
      <c r="CR48" s="3"/>
      <c r="CS48" s="3"/>
      <c r="CT48" s="3"/>
      <c r="CU48" s="3"/>
      <c r="CV48" s="3"/>
      <c r="CW48" s="3"/>
      <c r="CX48" s="3"/>
      <c r="CY48" s="3"/>
      <c r="CZ48" s="3"/>
    </row>
    <row r="49" customFormat="false" ht="15.75" hidden="false" customHeight="false" outlineLevel="0" collapsed="false">
      <c r="A49" s="290" t="s">
        <v>55</v>
      </c>
      <c r="B49" s="290" t="s">
        <v>383</v>
      </c>
      <c r="C49" s="290" t="s">
        <v>182</v>
      </c>
      <c r="D49" s="290" t="s">
        <v>182</v>
      </c>
      <c r="E49" s="290" t="s">
        <v>182</v>
      </c>
      <c r="F49" s="315" t="b">
        <f aca="false">TRUE()</f>
        <v>1</v>
      </c>
      <c r="G49" s="290" t="s">
        <v>959</v>
      </c>
      <c r="H49" s="290" t="s">
        <v>383</v>
      </c>
      <c r="I49" s="290" t="n">
        <v>93</v>
      </c>
      <c r="J49" s="3"/>
      <c r="K49" s="290" t="s">
        <v>773</v>
      </c>
      <c r="L49" s="290" t="n">
        <v>3</v>
      </c>
      <c r="M49" s="290" t="s">
        <v>789</v>
      </c>
      <c r="N49" s="290" t="s">
        <v>743</v>
      </c>
      <c r="O49" s="290" t="s">
        <v>763</v>
      </c>
      <c r="P49" s="290" t="s">
        <v>745</v>
      </c>
      <c r="Q49" s="290" t="s">
        <v>746</v>
      </c>
      <c r="R49" s="315" t="b">
        <f aca="false">FALSE()</f>
        <v>0</v>
      </c>
      <c r="S49" s="290" t="n">
        <v>110</v>
      </c>
      <c r="T49" s="290" t="n">
        <v>110</v>
      </c>
      <c r="U49" s="290" t="n">
        <v>110</v>
      </c>
      <c r="V49" s="290" t="n">
        <v>90</v>
      </c>
      <c r="W49" s="290" t="n">
        <v>100</v>
      </c>
      <c r="X49" s="290" t="n">
        <v>100</v>
      </c>
      <c r="Y49" s="290" t="n">
        <v>1</v>
      </c>
      <c r="Z49" s="290" t="n">
        <v>1</v>
      </c>
      <c r="AA49" s="290" t="n">
        <v>1</v>
      </c>
      <c r="AB49" s="290" t="n">
        <v>2250</v>
      </c>
      <c r="AC49" s="290" t="s">
        <v>836</v>
      </c>
      <c r="AD49" s="290" t="s">
        <v>182</v>
      </c>
      <c r="AE49" s="290" t="n">
        <v>85</v>
      </c>
      <c r="AF49" s="290" t="n">
        <v>100</v>
      </c>
      <c r="AG49" s="290" t="n">
        <v>750</v>
      </c>
      <c r="AH49" s="290" t="n">
        <v>1050</v>
      </c>
      <c r="AI49" s="290" t="n">
        <v>417</v>
      </c>
      <c r="AJ49" s="315" t="b">
        <f aca="false">FALSE()</f>
        <v>0</v>
      </c>
      <c r="AK49" s="315" t="b">
        <f aca="false">FALSE()</f>
        <v>0</v>
      </c>
      <c r="AL49" s="290" t="s">
        <v>765</v>
      </c>
      <c r="AM49" s="315" t="b">
        <f aca="false">FALSE()</f>
        <v>0</v>
      </c>
      <c r="AN49" s="315" t="b">
        <f aca="false">FALSE()</f>
        <v>0</v>
      </c>
      <c r="AO49" s="290" t="n">
        <v>400</v>
      </c>
      <c r="AP49" s="290" t="n">
        <v>1</v>
      </c>
      <c r="AQ49" s="290" t="n">
        <v>6</v>
      </c>
      <c r="AR49" s="290" t="n">
        <v>25</v>
      </c>
      <c r="AS49" s="290" t="n">
        <v>90</v>
      </c>
      <c r="AT49" s="290" t="n">
        <v>1</v>
      </c>
      <c r="AU49" s="315" t="b">
        <f aca="false">FALSE()</f>
        <v>0</v>
      </c>
      <c r="AV49" s="315" t="b">
        <f aca="false">FALSE()</f>
        <v>0</v>
      </c>
      <c r="AW49" s="290" t="n">
        <v>5</v>
      </c>
      <c r="AX49" s="315" t="b">
        <f aca="false">FALSE()</f>
        <v>0</v>
      </c>
      <c r="AY49" s="315" t="b">
        <f aca="false">TRUE()</f>
        <v>1</v>
      </c>
      <c r="AZ49" s="290" t="n">
        <v>100</v>
      </c>
      <c r="BA49" s="290" t="n">
        <v>50</v>
      </c>
      <c r="BB49" s="290" t="n">
        <v>980</v>
      </c>
      <c r="BC49" s="290" t="n">
        <v>0</v>
      </c>
      <c r="BD49" s="290" t="n">
        <v>0</v>
      </c>
      <c r="BE49" s="290" t="n">
        <v>0</v>
      </c>
      <c r="BF49" s="290" t="n">
        <v>0</v>
      </c>
      <c r="BG49" s="290" t="n">
        <v>0</v>
      </c>
      <c r="BH49" s="290" t="n">
        <v>0</v>
      </c>
      <c r="BI49" s="290" t="n">
        <v>2</v>
      </c>
      <c r="BJ49" s="290" t="n">
        <v>0</v>
      </c>
      <c r="BK49" s="290" t="n">
        <v>0</v>
      </c>
      <c r="BL49" s="290" t="n">
        <v>0</v>
      </c>
      <c r="BM49" s="290" t="n">
        <v>0</v>
      </c>
      <c r="BN49" s="290" t="n">
        <v>0</v>
      </c>
      <c r="BO49" s="290" t="n">
        <v>0</v>
      </c>
      <c r="BP49" s="290" t="s">
        <v>182</v>
      </c>
      <c r="BQ49" s="290" t="s">
        <v>182</v>
      </c>
      <c r="BR49" s="290" t="s">
        <v>182</v>
      </c>
      <c r="BS49" s="290" t="s">
        <v>182</v>
      </c>
      <c r="BT49" s="290" t="n">
        <v>48</v>
      </c>
      <c r="BU49" s="316" t="b">
        <f aca="false">FALSE()</f>
        <v>0</v>
      </c>
      <c r="BV49" s="290"/>
      <c r="BW49" s="3"/>
      <c r="BX49" s="85" t="n">
        <v>26</v>
      </c>
      <c r="BY49" s="3" t="s">
        <v>960</v>
      </c>
      <c r="BZ49" s="3" t="s">
        <v>775</v>
      </c>
      <c r="CA49" s="3"/>
      <c r="CB49" s="3"/>
      <c r="CC49" s="3"/>
      <c r="CD49" s="3"/>
      <c r="CE49" s="3"/>
      <c r="CF49" s="3"/>
      <c r="CG49" s="311" t="b">
        <f aca="false">IF(BZ49="Saddle",TRUE(),)</f>
        <v>1</v>
      </c>
      <c r="CH49" s="3" t="s">
        <v>776</v>
      </c>
      <c r="CI49" s="3"/>
      <c r="CJ49" s="3"/>
      <c r="CK49" s="3"/>
      <c r="CL49" s="3"/>
      <c r="CM49" s="3"/>
      <c r="CN49" s="3"/>
      <c r="CO49" s="3"/>
      <c r="CP49" s="3"/>
      <c r="CQ49" s="3"/>
      <c r="CR49" s="3"/>
      <c r="CS49" s="3"/>
      <c r="CT49" s="3"/>
      <c r="CU49" s="3"/>
      <c r="CV49" s="3"/>
      <c r="CW49" s="3" t="s">
        <v>819</v>
      </c>
      <c r="CX49" s="3" t="s">
        <v>820</v>
      </c>
      <c r="CY49" s="3" t="s">
        <v>821</v>
      </c>
      <c r="CZ49" s="3" t="s">
        <v>822</v>
      </c>
    </row>
    <row r="50" customFormat="false" ht="15.75" hidden="false" customHeight="false" outlineLevel="0" collapsed="false">
      <c r="A50" s="290" t="s">
        <v>124</v>
      </c>
      <c r="B50" s="290" t="s">
        <v>374</v>
      </c>
      <c r="C50" s="290" t="s">
        <v>182</v>
      </c>
      <c r="D50" s="290" t="s">
        <v>182</v>
      </c>
      <c r="E50" s="290" t="s">
        <v>182</v>
      </c>
      <c r="F50" s="315" t="b">
        <f aca="false">TRUE()</f>
        <v>1</v>
      </c>
      <c r="G50" s="290" t="s">
        <v>480</v>
      </c>
      <c r="H50" s="290" t="s">
        <v>374</v>
      </c>
      <c r="I50" s="290" t="n">
        <v>88</v>
      </c>
      <c r="J50" s="3"/>
      <c r="K50" s="290" t="s">
        <v>793</v>
      </c>
      <c r="L50" s="290" t="n">
        <v>6</v>
      </c>
      <c r="M50" s="290" t="s">
        <v>757</v>
      </c>
      <c r="N50" s="290" t="s">
        <v>742</v>
      </c>
      <c r="O50" s="290" t="s">
        <v>763</v>
      </c>
      <c r="P50" s="290" t="s">
        <v>745</v>
      </c>
      <c r="Q50" s="290" t="s">
        <v>746</v>
      </c>
      <c r="R50" s="315" t="b">
        <f aca="false">FALSE()</f>
        <v>0</v>
      </c>
      <c r="S50" s="290" t="n">
        <v>110</v>
      </c>
      <c r="T50" s="290" t="n">
        <v>100</v>
      </c>
      <c r="U50" s="290" t="n">
        <v>105</v>
      </c>
      <c r="V50" s="290" t="n">
        <v>120</v>
      </c>
      <c r="W50" s="290" t="n">
        <v>100</v>
      </c>
      <c r="X50" s="290" t="n">
        <v>100</v>
      </c>
      <c r="Y50" s="290" t="n">
        <v>1</v>
      </c>
      <c r="Z50" s="290" t="n">
        <v>1</v>
      </c>
      <c r="AA50" s="290" t="n">
        <v>1</v>
      </c>
      <c r="AB50" s="290" t="n">
        <v>6940</v>
      </c>
      <c r="AC50" s="290" t="s">
        <v>747</v>
      </c>
      <c r="AD50" s="290" t="s">
        <v>182</v>
      </c>
      <c r="AE50" s="290" t="n">
        <v>50</v>
      </c>
      <c r="AF50" s="290" t="n">
        <v>80</v>
      </c>
      <c r="AG50" s="290" t="n">
        <v>390</v>
      </c>
      <c r="AH50" s="290" t="n">
        <v>550</v>
      </c>
      <c r="AI50" s="290" t="n">
        <v>235</v>
      </c>
      <c r="AJ50" s="315" t="b">
        <f aca="false">FALSE()</f>
        <v>0</v>
      </c>
      <c r="AK50" s="315" t="b">
        <f aca="false">FALSE()</f>
        <v>0</v>
      </c>
      <c r="AL50" s="290" t="s">
        <v>759</v>
      </c>
      <c r="AM50" s="315" t="b">
        <f aca="false">FALSE()</f>
        <v>0</v>
      </c>
      <c r="AN50" s="315" t="b">
        <f aca="false">FALSE()</f>
        <v>0</v>
      </c>
      <c r="AO50" s="290" t="n">
        <v>350</v>
      </c>
      <c r="AP50" s="290" t="n">
        <v>1</v>
      </c>
      <c r="AQ50" s="290" t="n">
        <v>5</v>
      </c>
      <c r="AR50" s="290" t="n">
        <v>25</v>
      </c>
      <c r="AS50" s="290" t="n">
        <v>90</v>
      </c>
      <c r="AT50" s="290" t="n">
        <v>1</v>
      </c>
      <c r="AU50" s="315" t="b">
        <f aca="false">FALSE()</f>
        <v>0</v>
      </c>
      <c r="AV50" s="315" t="b">
        <f aca="false">FALSE()</f>
        <v>0</v>
      </c>
      <c r="AW50" s="290" t="n">
        <v>5</v>
      </c>
      <c r="AX50" s="315" t="b">
        <f aca="false">TRUE()</f>
        <v>1</v>
      </c>
      <c r="AY50" s="315" t="b">
        <f aca="false">TRUE()</f>
        <v>1</v>
      </c>
      <c r="AZ50" s="290" t="n">
        <v>100</v>
      </c>
      <c r="BA50" s="290" t="n">
        <v>50</v>
      </c>
      <c r="BB50" s="290" t="n">
        <v>320</v>
      </c>
      <c r="BC50" s="290" t="n">
        <v>3</v>
      </c>
      <c r="BD50" s="290" t="n">
        <v>0</v>
      </c>
      <c r="BE50" s="290" t="n">
        <v>0</v>
      </c>
      <c r="BF50" s="290" t="n">
        <v>0</v>
      </c>
      <c r="BG50" s="290" t="n">
        <v>0</v>
      </c>
      <c r="BH50" s="290" t="n">
        <v>0</v>
      </c>
      <c r="BI50" s="290" t="n">
        <v>0</v>
      </c>
      <c r="BJ50" s="290" t="n">
        <v>3</v>
      </c>
      <c r="BK50" s="290" t="n">
        <v>0</v>
      </c>
      <c r="BL50" s="290" t="n">
        <v>0</v>
      </c>
      <c r="BM50" s="290" t="n">
        <v>0</v>
      </c>
      <c r="BN50" s="290" t="n">
        <v>0</v>
      </c>
      <c r="BO50" s="290" t="n">
        <v>0</v>
      </c>
      <c r="BP50" s="290" t="s">
        <v>182</v>
      </c>
      <c r="BQ50" s="290" t="s">
        <v>182</v>
      </c>
      <c r="BR50" s="290" t="s">
        <v>182</v>
      </c>
      <c r="BS50" s="290" t="s">
        <v>182</v>
      </c>
      <c r="BT50" s="290" t="n">
        <v>49</v>
      </c>
      <c r="BU50" s="316" t="b">
        <f aca="false">FALSE()</f>
        <v>0</v>
      </c>
      <c r="BV50" s="290"/>
      <c r="BW50" s="3"/>
      <c r="BX50" s="85" t="n">
        <v>31</v>
      </c>
      <c r="BY50" s="3" t="s">
        <v>961</v>
      </c>
      <c r="BZ50" s="3" t="s">
        <v>775</v>
      </c>
      <c r="CA50" s="3"/>
      <c r="CB50" s="3"/>
      <c r="CC50" s="3"/>
      <c r="CD50" s="3"/>
      <c r="CE50" s="3"/>
      <c r="CF50" s="3"/>
      <c r="CG50" s="311" t="b">
        <f aca="false">IF(BZ50="Saddle",TRUE(),)</f>
        <v>1</v>
      </c>
      <c r="CH50" s="3" t="s">
        <v>776</v>
      </c>
      <c r="CI50" s="3"/>
      <c r="CJ50" s="3"/>
      <c r="CK50" s="3"/>
      <c r="CL50" s="3"/>
      <c r="CM50" s="3"/>
      <c r="CN50" s="3"/>
      <c r="CO50" s="3"/>
      <c r="CP50" s="3"/>
      <c r="CQ50" s="3"/>
      <c r="CR50" s="3"/>
      <c r="CS50" s="3"/>
      <c r="CT50" s="3"/>
      <c r="CU50" s="3" t="s">
        <v>750</v>
      </c>
      <c r="CV50" s="3" t="s">
        <v>777</v>
      </c>
      <c r="CW50" s="3" t="s">
        <v>778</v>
      </c>
      <c r="CX50" s="3" t="s">
        <v>779</v>
      </c>
      <c r="CY50" s="3" t="s">
        <v>780</v>
      </c>
      <c r="CZ50" s="3" t="s">
        <v>781</v>
      </c>
    </row>
    <row r="51" customFormat="false" ht="15.75" hidden="false" customHeight="false" outlineLevel="0" collapsed="false">
      <c r="A51" s="290" t="s">
        <v>76</v>
      </c>
      <c r="B51" s="290" t="s">
        <v>375</v>
      </c>
      <c r="C51" s="290" t="s">
        <v>182</v>
      </c>
      <c r="D51" s="290" t="s">
        <v>182</v>
      </c>
      <c r="E51" s="290" t="s">
        <v>182</v>
      </c>
      <c r="F51" s="315" t="b">
        <f aca="false">TRUE()</f>
        <v>1</v>
      </c>
      <c r="G51" s="290" t="s">
        <v>552</v>
      </c>
      <c r="H51" s="290" t="s">
        <v>375</v>
      </c>
      <c r="I51" s="290" t="n">
        <v>88</v>
      </c>
      <c r="J51" s="290" t="s">
        <v>761</v>
      </c>
      <c r="K51" s="290" t="s">
        <v>793</v>
      </c>
      <c r="L51" s="290" t="n">
        <v>7</v>
      </c>
      <c r="M51" s="290" t="s">
        <v>771</v>
      </c>
      <c r="N51" s="290" t="s">
        <v>742</v>
      </c>
      <c r="O51" s="290" t="s">
        <v>763</v>
      </c>
      <c r="P51" s="290" t="s">
        <v>745</v>
      </c>
      <c r="Q51" s="290" t="s">
        <v>746</v>
      </c>
      <c r="R51" s="315" t="b">
        <f aca="false">FALSE()</f>
        <v>0</v>
      </c>
      <c r="S51" s="290" t="n">
        <v>110</v>
      </c>
      <c r="T51" s="290" t="n">
        <v>100</v>
      </c>
      <c r="U51" s="290" t="n">
        <v>105</v>
      </c>
      <c r="V51" s="290" t="n">
        <v>130</v>
      </c>
      <c r="W51" s="290" t="n">
        <v>100</v>
      </c>
      <c r="X51" s="290" t="n">
        <v>100</v>
      </c>
      <c r="Y51" s="290" t="n">
        <v>1</v>
      </c>
      <c r="Z51" s="290" t="n">
        <v>1</v>
      </c>
      <c r="AA51" s="290" t="n">
        <v>1</v>
      </c>
      <c r="AB51" s="290" t="n">
        <v>7380</v>
      </c>
      <c r="AC51" s="290" t="s">
        <v>747</v>
      </c>
      <c r="AD51" s="290" t="s">
        <v>182</v>
      </c>
      <c r="AE51" s="290" t="n">
        <v>50</v>
      </c>
      <c r="AF51" s="290" t="n">
        <v>80</v>
      </c>
      <c r="AG51" s="290" t="n">
        <v>390</v>
      </c>
      <c r="AH51" s="290" t="n">
        <v>550</v>
      </c>
      <c r="AI51" s="290" t="n">
        <v>235</v>
      </c>
      <c r="AJ51" s="315" t="b">
        <f aca="false">FALSE()</f>
        <v>0</v>
      </c>
      <c r="AK51" s="315" t="b">
        <f aca="false">FALSE()</f>
        <v>0</v>
      </c>
      <c r="AL51" s="290" t="s">
        <v>759</v>
      </c>
      <c r="AM51" s="315" t="b">
        <f aca="false">FALSE()</f>
        <v>0</v>
      </c>
      <c r="AN51" s="315" t="b">
        <f aca="false">FALSE()</f>
        <v>0</v>
      </c>
      <c r="AO51" s="290" t="n">
        <v>350</v>
      </c>
      <c r="AP51" s="290" t="n">
        <v>1</v>
      </c>
      <c r="AQ51" s="290" t="n">
        <v>5</v>
      </c>
      <c r="AR51" s="290" t="n">
        <v>25</v>
      </c>
      <c r="AS51" s="290" t="n">
        <v>90</v>
      </c>
      <c r="AT51" s="290" t="n">
        <v>1</v>
      </c>
      <c r="AU51" s="315" t="b">
        <f aca="false">FALSE()</f>
        <v>0</v>
      </c>
      <c r="AV51" s="315" t="b">
        <f aca="false">FALSE()</f>
        <v>0</v>
      </c>
      <c r="AW51" s="290" t="n">
        <v>5</v>
      </c>
      <c r="AX51" s="315" t="b">
        <f aca="false">TRUE()</f>
        <v>1</v>
      </c>
      <c r="AY51" s="315" t="b">
        <f aca="false">TRUE()</f>
        <v>1</v>
      </c>
      <c r="AZ51" s="290" t="n">
        <v>100</v>
      </c>
      <c r="BA51" s="290" t="n">
        <v>50</v>
      </c>
      <c r="BB51" s="290" t="n">
        <v>230</v>
      </c>
      <c r="BC51" s="290" t="n">
        <v>0</v>
      </c>
      <c r="BD51" s="290" t="n">
        <v>0</v>
      </c>
      <c r="BE51" s="290" t="n">
        <v>0</v>
      </c>
      <c r="BF51" s="290" t="n">
        <v>0</v>
      </c>
      <c r="BG51" s="290" t="n">
        <v>0</v>
      </c>
      <c r="BH51" s="290" t="n">
        <v>0</v>
      </c>
      <c r="BI51" s="290" t="n">
        <v>0</v>
      </c>
      <c r="BJ51" s="290" t="n">
        <v>3</v>
      </c>
      <c r="BK51" s="290" t="n">
        <v>0</v>
      </c>
      <c r="BL51" s="290" t="n">
        <v>0</v>
      </c>
      <c r="BM51" s="290" t="n">
        <v>3</v>
      </c>
      <c r="BN51" s="290" t="n">
        <v>0</v>
      </c>
      <c r="BO51" s="290" t="n">
        <v>0</v>
      </c>
      <c r="BP51" s="290" t="s">
        <v>182</v>
      </c>
      <c r="BQ51" s="290" t="s">
        <v>182</v>
      </c>
      <c r="BR51" s="290" t="s">
        <v>182</v>
      </c>
      <c r="BS51" s="290" t="s">
        <v>182</v>
      </c>
      <c r="BT51" s="290" t="n">
        <v>50</v>
      </c>
      <c r="BU51" s="316" t="b">
        <f aca="false">TRUE()</f>
        <v>1</v>
      </c>
      <c r="BV51" s="290"/>
      <c r="BW51" s="290" t="s">
        <v>761</v>
      </c>
      <c r="BX51" s="85" t="n">
        <v>37</v>
      </c>
      <c r="BY51" s="3" t="s">
        <v>962</v>
      </c>
      <c r="BZ51" s="3" t="s">
        <v>775</v>
      </c>
      <c r="CA51" s="3"/>
      <c r="CB51" s="3"/>
      <c r="CC51" s="3"/>
      <c r="CD51" s="3"/>
      <c r="CE51" s="3"/>
      <c r="CF51" s="3"/>
      <c r="CG51" s="311" t="b">
        <f aca="false">IF(BZ51="Saddle",TRUE(),)</f>
        <v>1</v>
      </c>
      <c r="CH51" s="3" t="s">
        <v>776</v>
      </c>
      <c r="CI51" s="3"/>
      <c r="CJ51" s="3"/>
      <c r="CK51" s="3"/>
      <c r="CL51" s="3"/>
      <c r="CM51" s="3"/>
      <c r="CN51" s="3"/>
      <c r="CO51" s="3"/>
      <c r="CP51" s="3"/>
      <c r="CQ51" s="3"/>
      <c r="CR51" s="3"/>
      <c r="CS51" s="3"/>
      <c r="CT51" s="3"/>
      <c r="CU51" s="3" t="s">
        <v>750</v>
      </c>
      <c r="CV51" s="3" t="s">
        <v>777</v>
      </c>
      <c r="CW51" s="3" t="s">
        <v>778</v>
      </c>
      <c r="CX51" s="3" t="s">
        <v>779</v>
      </c>
      <c r="CY51" s="3" t="s">
        <v>780</v>
      </c>
      <c r="CZ51" s="3" t="s">
        <v>781</v>
      </c>
    </row>
    <row r="52" customFormat="false" ht="15.75" hidden="false" customHeight="false" outlineLevel="0" collapsed="false">
      <c r="A52" s="290" t="s">
        <v>101</v>
      </c>
      <c r="B52" s="290" t="s">
        <v>346</v>
      </c>
      <c r="C52" s="290" t="s">
        <v>182</v>
      </c>
      <c r="D52" s="290" t="s">
        <v>182</v>
      </c>
      <c r="E52" s="290" t="s">
        <v>182</v>
      </c>
      <c r="F52" s="315" t="b">
        <f aca="false">TRUE()</f>
        <v>1</v>
      </c>
      <c r="G52" s="290" t="s">
        <v>423</v>
      </c>
      <c r="H52" s="290" t="s">
        <v>346</v>
      </c>
      <c r="I52" s="290" t="n">
        <v>66</v>
      </c>
      <c r="J52" s="3"/>
      <c r="K52" s="290" t="s">
        <v>741</v>
      </c>
      <c r="L52" s="290" t="n">
        <v>6</v>
      </c>
      <c r="M52" s="290" t="s">
        <v>758</v>
      </c>
      <c r="N52" s="290" t="s">
        <v>743</v>
      </c>
      <c r="O52" s="290" t="s">
        <v>763</v>
      </c>
      <c r="P52" s="290" t="s">
        <v>745</v>
      </c>
      <c r="Q52" s="290" t="s">
        <v>746</v>
      </c>
      <c r="R52" s="315" t="b">
        <f aca="false">FALSE()</f>
        <v>0</v>
      </c>
      <c r="S52" s="290" t="n">
        <v>75</v>
      </c>
      <c r="T52" s="290" t="n">
        <v>50</v>
      </c>
      <c r="U52" s="290" t="n">
        <v>105</v>
      </c>
      <c r="V52" s="290" t="n">
        <v>80</v>
      </c>
      <c r="W52" s="290" t="n">
        <v>100</v>
      </c>
      <c r="X52" s="290" t="n">
        <v>100</v>
      </c>
      <c r="Y52" s="290" t="n">
        <v>1</v>
      </c>
      <c r="Z52" s="290" t="n">
        <v>1</v>
      </c>
      <c r="AA52" s="290" t="n">
        <v>1</v>
      </c>
      <c r="AB52" s="290" t="n">
        <v>1570</v>
      </c>
      <c r="AC52" s="290" t="s">
        <v>747</v>
      </c>
      <c r="AD52" s="290" t="s">
        <v>182</v>
      </c>
      <c r="AE52" s="290" t="n">
        <v>100</v>
      </c>
      <c r="AF52" s="290" t="n">
        <v>160</v>
      </c>
      <c r="AG52" s="290" t="n">
        <v>600</v>
      </c>
      <c r="AH52" s="290" t="n">
        <v>800</v>
      </c>
      <c r="AI52" s="290" t="n">
        <v>365</v>
      </c>
      <c r="AJ52" s="315" t="b">
        <f aca="false">FALSE()</f>
        <v>0</v>
      </c>
      <c r="AK52" s="315" t="b">
        <f aca="false">FALSE()</f>
        <v>0</v>
      </c>
      <c r="AL52" s="290" t="s">
        <v>759</v>
      </c>
      <c r="AM52" s="315" t="b">
        <f aca="false">FALSE()</f>
        <v>0</v>
      </c>
      <c r="AN52" s="315" t="b">
        <f aca="false">FALSE()</f>
        <v>0</v>
      </c>
      <c r="AO52" s="290" t="n">
        <v>225</v>
      </c>
      <c r="AP52" s="290" t="n">
        <v>1</v>
      </c>
      <c r="AQ52" s="290" t="n">
        <v>3</v>
      </c>
      <c r="AR52" s="290" t="n">
        <v>25</v>
      </c>
      <c r="AS52" s="290" t="n">
        <v>90</v>
      </c>
      <c r="AT52" s="290" t="n">
        <v>1</v>
      </c>
      <c r="AU52" s="315" t="b">
        <f aca="false">FALSE()</f>
        <v>0</v>
      </c>
      <c r="AV52" s="315" t="b">
        <f aca="false">TRUE()</f>
        <v>1</v>
      </c>
      <c r="AW52" s="290" t="n">
        <v>5</v>
      </c>
      <c r="AX52" s="315" t="b">
        <f aca="false">TRUE()</f>
        <v>1</v>
      </c>
      <c r="AY52" s="315" t="b">
        <f aca="false">TRUE()</f>
        <v>1</v>
      </c>
      <c r="AZ52" s="290" t="n">
        <v>100</v>
      </c>
      <c r="BA52" s="290" t="n">
        <v>50</v>
      </c>
      <c r="BB52" s="290" t="n">
        <v>1150</v>
      </c>
      <c r="BC52" s="290" t="n">
        <v>0</v>
      </c>
      <c r="BD52" s="290" t="n">
        <v>0</v>
      </c>
      <c r="BE52" s="290" t="n">
        <v>0</v>
      </c>
      <c r="BF52" s="290" t="n">
        <v>0</v>
      </c>
      <c r="BG52" s="290" t="n">
        <v>0</v>
      </c>
      <c r="BH52" s="290" t="n">
        <v>2</v>
      </c>
      <c r="BI52" s="290" t="n">
        <v>0</v>
      </c>
      <c r="BJ52" s="290" t="n">
        <v>1</v>
      </c>
      <c r="BK52" s="290" t="n">
        <v>0</v>
      </c>
      <c r="BL52" s="290" t="n">
        <v>0</v>
      </c>
      <c r="BM52" s="290" t="n">
        <v>0</v>
      </c>
      <c r="BN52" s="290" t="n">
        <v>0</v>
      </c>
      <c r="BO52" s="290" t="n">
        <v>0</v>
      </c>
      <c r="BP52" s="290" t="s">
        <v>182</v>
      </c>
      <c r="BQ52" s="290" t="s">
        <v>182</v>
      </c>
      <c r="BR52" s="290" t="s">
        <v>182</v>
      </c>
      <c r="BS52" s="290" t="s">
        <v>182</v>
      </c>
      <c r="BT52" s="290" t="n">
        <v>51</v>
      </c>
      <c r="BU52" s="316" t="b">
        <f aca="false">FALSE()</f>
        <v>0</v>
      </c>
      <c r="BV52" s="290"/>
      <c r="BW52" s="3"/>
      <c r="BX52" s="85" t="n">
        <v>23</v>
      </c>
      <c r="BY52" s="3" t="s">
        <v>963</v>
      </c>
      <c r="BZ52" s="3" t="s">
        <v>775</v>
      </c>
      <c r="CA52" s="3"/>
      <c r="CB52" s="3"/>
      <c r="CC52" s="3"/>
      <c r="CD52" s="3"/>
      <c r="CE52" s="3"/>
      <c r="CF52" s="3"/>
      <c r="CG52" s="311" t="b">
        <f aca="false">IF(BZ52="Saddle",TRUE(),)</f>
        <v>1</v>
      </c>
      <c r="CH52" s="3" t="s">
        <v>776</v>
      </c>
      <c r="CI52" s="3" t="s">
        <v>750</v>
      </c>
      <c r="CJ52" s="3" t="s">
        <v>912</v>
      </c>
      <c r="CK52" s="3" t="s">
        <v>912</v>
      </c>
      <c r="CL52" s="3" t="s">
        <v>912</v>
      </c>
      <c r="CM52" s="3" t="s">
        <v>912</v>
      </c>
      <c r="CN52" s="3" t="s">
        <v>912</v>
      </c>
      <c r="CO52" s="3"/>
      <c r="CP52" s="3"/>
      <c r="CQ52" s="3"/>
      <c r="CR52" s="3"/>
      <c r="CS52" s="3"/>
      <c r="CT52" s="3"/>
      <c r="CU52" s="3"/>
      <c r="CV52" s="3" t="s">
        <v>839</v>
      </c>
      <c r="CW52" s="3" t="s">
        <v>840</v>
      </c>
      <c r="CX52" s="3" t="s">
        <v>841</v>
      </c>
      <c r="CY52" s="3" t="s">
        <v>842</v>
      </c>
      <c r="CZ52" s="3" t="s">
        <v>843</v>
      </c>
    </row>
    <row r="53" customFormat="false" ht="15.75" hidden="false" customHeight="false" outlineLevel="0" collapsed="false">
      <c r="A53" s="290" t="s">
        <v>126</v>
      </c>
      <c r="B53" s="290" t="s">
        <v>324</v>
      </c>
      <c r="C53" s="290" t="s">
        <v>182</v>
      </c>
      <c r="D53" s="290" t="s">
        <v>182</v>
      </c>
      <c r="E53" s="290" t="s">
        <v>182</v>
      </c>
      <c r="F53" s="315" t="b">
        <f aca="false">TRUE()</f>
        <v>1</v>
      </c>
      <c r="G53" s="290" t="s">
        <v>466</v>
      </c>
      <c r="H53" s="290" t="s">
        <v>324</v>
      </c>
      <c r="I53" s="290" t="n">
        <v>48</v>
      </c>
      <c r="J53" s="3"/>
      <c r="K53" s="290" t="s">
        <v>741</v>
      </c>
      <c r="L53" s="290" t="n">
        <v>5</v>
      </c>
      <c r="M53" s="290" t="s">
        <v>783</v>
      </c>
      <c r="N53" s="290" t="s">
        <v>743</v>
      </c>
      <c r="O53" s="290" t="s">
        <v>744</v>
      </c>
      <c r="P53" s="290" t="s">
        <v>745</v>
      </c>
      <c r="Q53" s="290" t="s">
        <v>746</v>
      </c>
      <c r="R53" s="315" t="b">
        <f aca="false">FALSE()</f>
        <v>0</v>
      </c>
      <c r="S53" s="290" t="n">
        <v>90</v>
      </c>
      <c r="T53" s="290" t="n">
        <v>100</v>
      </c>
      <c r="U53" s="290" t="n">
        <v>105</v>
      </c>
      <c r="V53" s="290" t="n">
        <v>80</v>
      </c>
      <c r="W53" s="290" t="n">
        <v>100</v>
      </c>
      <c r="X53" s="290" t="n">
        <v>100</v>
      </c>
      <c r="Y53" s="290" t="n">
        <v>1</v>
      </c>
      <c r="Z53" s="290" t="n">
        <v>1</v>
      </c>
      <c r="AA53" s="290" t="n">
        <v>1</v>
      </c>
      <c r="AB53" s="290" t="n">
        <v>2050</v>
      </c>
      <c r="AC53" s="290" t="s">
        <v>747</v>
      </c>
      <c r="AD53" s="290" t="s">
        <v>182</v>
      </c>
      <c r="AE53" s="290" t="n">
        <v>100</v>
      </c>
      <c r="AF53" s="290" t="n">
        <v>100</v>
      </c>
      <c r="AG53" s="290" t="n">
        <v>600</v>
      </c>
      <c r="AH53" s="290" t="n">
        <v>750</v>
      </c>
      <c r="AI53" s="290" t="n">
        <v>400</v>
      </c>
      <c r="AJ53" s="315" t="b">
        <f aca="false">FALSE()</f>
        <v>0</v>
      </c>
      <c r="AK53" s="315" t="b">
        <f aca="false">FALSE()</f>
        <v>0</v>
      </c>
      <c r="AL53" s="290" t="s">
        <v>748</v>
      </c>
      <c r="AM53" s="315" t="b">
        <f aca="false">FALSE()</f>
        <v>0</v>
      </c>
      <c r="AN53" s="315" t="b">
        <f aca="false">FALSE()</f>
        <v>0</v>
      </c>
      <c r="AO53" s="290" t="n">
        <v>225</v>
      </c>
      <c r="AP53" s="290" t="n">
        <v>1</v>
      </c>
      <c r="AQ53" s="290" t="n">
        <v>3</v>
      </c>
      <c r="AR53" s="290" t="n">
        <v>25</v>
      </c>
      <c r="AS53" s="290" t="n">
        <v>90</v>
      </c>
      <c r="AT53" s="290" t="n">
        <v>1</v>
      </c>
      <c r="AU53" s="315" t="b">
        <f aca="false">FALSE()</f>
        <v>0</v>
      </c>
      <c r="AV53" s="315" t="b">
        <f aca="false">FALSE()</f>
        <v>0</v>
      </c>
      <c r="AW53" s="290" t="n">
        <v>3</v>
      </c>
      <c r="AX53" s="315" t="b">
        <f aca="false">FALSE()</f>
        <v>0</v>
      </c>
      <c r="AY53" s="315" t="b">
        <f aca="false">TRUE()</f>
        <v>1</v>
      </c>
      <c r="AZ53" s="290" t="n">
        <v>100</v>
      </c>
      <c r="BA53" s="290" t="n">
        <v>50</v>
      </c>
      <c r="BB53" s="290" t="n">
        <v>1020</v>
      </c>
      <c r="BC53" s="290" t="n">
        <v>0</v>
      </c>
      <c r="BD53" s="290" t="n">
        <v>0</v>
      </c>
      <c r="BE53" s="290" t="n">
        <v>1</v>
      </c>
      <c r="BF53" s="290" t="n">
        <v>0</v>
      </c>
      <c r="BG53" s="290" t="n">
        <v>2</v>
      </c>
      <c r="BH53" s="290" t="n">
        <v>2</v>
      </c>
      <c r="BI53" s="290" t="n">
        <v>1</v>
      </c>
      <c r="BJ53" s="290" t="n">
        <v>0</v>
      </c>
      <c r="BK53" s="290" t="n">
        <v>0</v>
      </c>
      <c r="BL53" s="290" t="n">
        <v>1</v>
      </c>
      <c r="BM53" s="290" t="n">
        <v>0</v>
      </c>
      <c r="BN53" s="290" t="n">
        <v>2</v>
      </c>
      <c r="BO53" s="290" t="n">
        <v>0</v>
      </c>
      <c r="BP53" s="290" t="s">
        <v>182</v>
      </c>
      <c r="BQ53" s="290" t="s">
        <v>182</v>
      </c>
      <c r="BR53" s="290" t="s">
        <v>182</v>
      </c>
      <c r="BS53" s="290" t="s">
        <v>182</v>
      </c>
      <c r="BT53" s="290" t="n">
        <v>52</v>
      </c>
      <c r="BU53" s="316" t="b">
        <f aca="false">FALSE()</f>
        <v>0</v>
      </c>
      <c r="BV53" s="290"/>
      <c r="BW53" s="3"/>
      <c r="BX53" s="3"/>
      <c r="BY53" s="3"/>
      <c r="BZ53" s="3"/>
      <c r="CA53" s="3"/>
      <c r="CB53" s="3"/>
      <c r="CC53" s="3"/>
      <c r="CD53" s="3"/>
      <c r="CE53" s="3"/>
      <c r="CF53" s="3"/>
      <c r="CG53" s="3" t="n">
        <f aca="false">IF(BZ53="Saddle",TRUE(),)</f>
        <v>0</v>
      </c>
      <c r="CH53" s="3"/>
      <c r="CI53" s="3"/>
      <c r="CJ53" s="3"/>
      <c r="CK53" s="3"/>
      <c r="CL53" s="3"/>
      <c r="CM53" s="3"/>
      <c r="CN53" s="3"/>
      <c r="CO53" s="3"/>
      <c r="CP53" s="3"/>
      <c r="CQ53" s="3"/>
      <c r="CR53" s="3"/>
      <c r="CS53" s="3"/>
      <c r="CT53" s="3"/>
      <c r="CU53" s="3"/>
      <c r="CV53" s="3" t="s">
        <v>964</v>
      </c>
      <c r="CW53" s="3" t="s">
        <v>965</v>
      </c>
      <c r="CX53" s="3" t="s">
        <v>966</v>
      </c>
      <c r="CY53" s="3" t="s">
        <v>967</v>
      </c>
      <c r="CZ53" s="3" t="s">
        <v>968</v>
      </c>
    </row>
    <row r="54" customFormat="false" ht="15.75" hidden="false" customHeight="false" outlineLevel="0" collapsed="false">
      <c r="A54" s="290" t="s">
        <v>127</v>
      </c>
      <c r="B54" s="290" t="s">
        <v>325</v>
      </c>
      <c r="C54" s="290" t="s">
        <v>182</v>
      </c>
      <c r="D54" s="290" t="s">
        <v>182</v>
      </c>
      <c r="E54" s="290" t="s">
        <v>182</v>
      </c>
      <c r="F54" s="315" t="b">
        <f aca="false">TRUE()</f>
        <v>1</v>
      </c>
      <c r="G54" s="290" t="s">
        <v>542</v>
      </c>
      <c r="H54" s="290" t="s">
        <v>325</v>
      </c>
      <c r="I54" s="290" t="n">
        <v>48</v>
      </c>
      <c r="J54" s="290" t="s">
        <v>761</v>
      </c>
      <c r="K54" s="290" t="s">
        <v>741</v>
      </c>
      <c r="L54" s="290" t="n">
        <v>6</v>
      </c>
      <c r="M54" s="290" t="s">
        <v>783</v>
      </c>
      <c r="N54" s="290" t="s">
        <v>742</v>
      </c>
      <c r="O54" s="290" t="s">
        <v>744</v>
      </c>
      <c r="P54" s="290" t="s">
        <v>745</v>
      </c>
      <c r="Q54" s="290" t="s">
        <v>746</v>
      </c>
      <c r="R54" s="315" t="b">
        <f aca="false">FALSE()</f>
        <v>0</v>
      </c>
      <c r="S54" s="290" t="n">
        <v>90</v>
      </c>
      <c r="T54" s="290" t="n">
        <v>100</v>
      </c>
      <c r="U54" s="290" t="n">
        <v>105</v>
      </c>
      <c r="V54" s="290" t="n">
        <v>80</v>
      </c>
      <c r="W54" s="290" t="n">
        <v>100</v>
      </c>
      <c r="X54" s="290" t="n">
        <v>100</v>
      </c>
      <c r="Y54" s="290" t="n">
        <v>1</v>
      </c>
      <c r="Z54" s="290" t="n">
        <v>1</v>
      </c>
      <c r="AA54" s="290" t="n">
        <v>1</v>
      </c>
      <c r="AB54" s="290" t="n">
        <v>2150</v>
      </c>
      <c r="AC54" s="290" t="s">
        <v>747</v>
      </c>
      <c r="AD54" s="290" t="s">
        <v>182</v>
      </c>
      <c r="AE54" s="290" t="n">
        <v>100</v>
      </c>
      <c r="AF54" s="290" t="n">
        <v>100</v>
      </c>
      <c r="AG54" s="290" t="n">
        <v>600</v>
      </c>
      <c r="AH54" s="290" t="n">
        <v>750</v>
      </c>
      <c r="AI54" s="290" t="n">
        <v>400</v>
      </c>
      <c r="AJ54" s="315" t="b">
        <f aca="false">FALSE()</f>
        <v>0</v>
      </c>
      <c r="AK54" s="315" t="b">
        <f aca="false">FALSE()</f>
        <v>0</v>
      </c>
      <c r="AL54" s="290" t="s">
        <v>748</v>
      </c>
      <c r="AM54" s="315" t="b">
        <f aca="false">FALSE()</f>
        <v>0</v>
      </c>
      <c r="AN54" s="315" t="b">
        <f aca="false">FALSE()</f>
        <v>0</v>
      </c>
      <c r="AO54" s="290" t="n">
        <v>225</v>
      </c>
      <c r="AP54" s="290" t="n">
        <v>1</v>
      </c>
      <c r="AQ54" s="290" t="n">
        <v>3</v>
      </c>
      <c r="AR54" s="290" t="n">
        <v>25</v>
      </c>
      <c r="AS54" s="290" t="n">
        <v>90</v>
      </c>
      <c r="AT54" s="290" t="n">
        <v>1</v>
      </c>
      <c r="AU54" s="315" t="b">
        <f aca="false">FALSE()</f>
        <v>0</v>
      </c>
      <c r="AV54" s="315" t="b">
        <f aca="false">FALSE()</f>
        <v>0</v>
      </c>
      <c r="AW54" s="290" t="n">
        <v>3</v>
      </c>
      <c r="AX54" s="315" t="b">
        <f aca="false">FALSE()</f>
        <v>0</v>
      </c>
      <c r="AY54" s="315" t="b">
        <f aca="false">TRUE()</f>
        <v>1</v>
      </c>
      <c r="AZ54" s="290" t="n">
        <v>100</v>
      </c>
      <c r="BA54" s="290" t="n">
        <v>50</v>
      </c>
      <c r="BB54" s="290" t="n">
        <v>1000</v>
      </c>
      <c r="BC54" s="290" t="n">
        <v>0</v>
      </c>
      <c r="BD54" s="290" t="n">
        <v>0</v>
      </c>
      <c r="BE54" s="290" t="n">
        <v>0</v>
      </c>
      <c r="BF54" s="290" t="n">
        <v>0</v>
      </c>
      <c r="BG54" s="290" t="n">
        <v>2</v>
      </c>
      <c r="BH54" s="290" t="n">
        <v>2</v>
      </c>
      <c r="BI54" s="290" t="n">
        <v>1</v>
      </c>
      <c r="BJ54" s="290" t="n">
        <v>0</v>
      </c>
      <c r="BK54" s="290" t="n">
        <v>0</v>
      </c>
      <c r="BL54" s="290" t="n">
        <v>1</v>
      </c>
      <c r="BM54" s="290" t="n">
        <v>0</v>
      </c>
      <c r="BN54" s="290" t="n">
        <v>2</v>
      </c>
      <c r="BO54" s="290" t="n">
        <v>0</v>
      </c>
      <c r="BP54" s="290" t="s">
        <v>182</v>
      </c>
      <c r="BQ54" s="290" t="s">
        <v>182</v>
      </c>
      <c r="BR54" s="290" t="s">
        <v>182</v>
      </c>
      <c r="BS54" s="290" t="s">
        <v>182</v>
      </c>
      <c r="BT54" s="290" t="n">
        <v>53</v>
      </c>
      <c r="BU54" s="316" t="b">
        <f aca="false">TRUE()</f>
        <v>1</v>
      </c>
      <c r="BV54" s="290"/>
      <c r="BW54" s="290" t="s">
        <v>761</v>
      </c>
      <c r="BX54" s="3"/>
      <c r="BY54" s="3"/>
      <c r="BZ54" s="3"/>
      <c r="CA54" s="3"/>
      <c r="CB54" s="3"/>
      <c r="CC54" s="3"/>
      <c r="CD54" s="3"/>
      <c r="CE54" s="3"/>
      <c r="CF54" s="3"/>
      <c r="CG54" s="3" t="n">
        <f aca="false">IF(BZ54="Saddle",TRUE(),)</f>
        <v>0</v>
      </c>
      <c r="CH54" s="3"/>
      <c r="CI54" s="3"/>
      <c r="CJ54" s="3"/>
      <c r="CK54" s="3"/>
      <c r="CL54" s="3"/>
      <c r="CM54" s="3"/>
      <c r="CN54" s="3"/>
      <c r="CO54" s="3"/>
      <c r="CP54" s="3"/>
      <c r="CQ54" s="3"/>
      <c r="CR54" s="3"/>
      <c r="CS54" s="3"/>
      <c r="CT54" s="3"/>
      <c r="CU54" s="3"/>
      <c r="CV54" s="3" t="s">
        <v>964</v>
      </c>
      <c r="CW54" s="3" t="s">
        <v>965</v>
      </c>
      <c r="CX54" s="3" t="s">
        <v>966</v>
      </c>
      <c r="CY54" s="3" t="s">
        <v>967</v>
      </c>
      <c r="CZ54" s="3" t="s">
        <v>968</v>
      </c>
    </row>
    <row r="55" customFormat="false" ht="15.75" hidden="false" customHeight="false" outlineLevel="0" collapsed="false">
      <c r="A55" s="290" t="s">
        <v>122</v>
      </c>
      <c r="B55" s="290" t="s">
        <v>369</v>
      </c>
      <c r="C55" s="290" t="s">
        <v>182</v>
      </c>
      <c r="D55" s="290" t="s">
        <v>182</v>
      </c>
      <c r="E55" s="290" t="s">
        <v>182</v>
      </c>
      <c r="F55" s="315" t="b">
        <f aca="false">TRUE()</f>
        <v>1</v>
      </c>
      <c r="G55" s="290" t="s">
        <v>419</v>
      </c>
      <c r="H55" s="290" t="s">
        <v>369</v>
      </c>
      <c r="I55" s="290" t="n">
        <v>85</v>
      </c>
      <c r="J55" s="3"/>
      <c r="K55" s="290" t="s">
        <v>884</v>
      </c>
      <c r="L55" s="290" t="n">
        <v>8</v>
      </c>
      <c r="M55" s="290" t="s">
        <v>885</v>
      </c>
      <c r="N55" s="290" t="s">
        <v>814</v>
      </c>
      <c r="O55" s="290" t="s">
        <v>969</v>
      </c>
      <c r="P55" s="290" t="s">
        <v>745</v>
      </c>
      <c r="Q55" s="290" t="s">
        <v>746</v>
      </c>
      <c r="R55" s="315" t="b">
        <f aca="false">FALSE()</f>
        <v>0</v>
      </c>
      <c r="S55" s="290" t="n">
        <v>110</v>
      </c>
      <c r="T55" s="290" t="n">
        <v>110</v>
      </c>
      <c r="U55" s="290" t="n">
        <v>100</v>
      </c>
      <c r="V55" s="290" t="n">
        <v>70</v>
      </c>
      <c r="W55" s="290" t="n">
        <v>100</v>
      </c>
      <c r="X55" s="290" t="n">
        <v>100</v>
      </c>
      <c r="Y55" s="290" t="n">
        <v>1</v>
      </c>
      <c r="Z55" s="290" t="n">
        <v>1</v>
      </c>
      <c r="AA55" s="290" t="n">
        <v>1</v>
      </c>
      <c r="AB55" s="290" t="n">
        <v>10240</v>
      </c>
      <c r="AC55" s="290" t="s">
        <v>747</v>
      </c>
      <c r="AD55" s="290" t="s">
        <v>182</v>
      </c>
      <c r="AE55" s="290" t="n">
        <v>40</v>
      </c>
      <c r="AF55" s="290" t="n">
        <v>60</v>
      </c>
      <c r="AG55" s="290" t="n">
        <v>650</v>
      </c>
      <c r="AH55" s="290" t="n">
        <v>800</v>
      </c>
      <c r="AI55" s="290" t="n">
        <v>150</v>
      </c>
      <c r="AJ55" s="315" t="b">
        <f aca="false">FALSE()</f>
        <v>0</v>
      </c>
      <c r="AK55" s="315" t="b">
        <f aca="false">FALSE()</f>
        <v>0</v>
      </c>
      <c r="AL55" s="290" t="s">
        <v>765</v>
      </c>
      <c r="AM55" s="315" t="b">
        <f aca="false">FALSE()</f>
        <v>0</v>
      </c>
      <c r="AN55" s="315" t="b">
        <f aca="false">FALSE()</f>
        <v>0</v>
      </c>
      <c r="AO55" s="290" t="n">
        <v>475</v>
      </c>
      <c r="AP55" s="290" t="n">
        <v>1</v>
      </c>
      <c r="AQ55" s="290" t="n">
        <v>7</v>
      </c>
      <c r="AR55" s="290" t="n">
        <v>25</v>
      </c>
      <c r="AS55" s="290" t="n">
        <v>90</v>
      </c>
      <c r="AT55" s="290" t="n">
        <v>1</v>
      </c>
      <c r="AU55" s="315" t="b">
        <f aca="false">FALSE()</f>
        <v>0</v>
      </c>
      <c r="AV55" s="315" t="b">
        <f aca="false">FALSE()</f>
        <v>0</v>
      </c>
      <c r="AW55" s="290" t="n">
        <v>5</v>
      </c>
      <c r="AX55" s="315" t="b">
        <f aca="false">TRUE()</f>
        <v>1</v>
      </c>
      <c r="AY55" s="315" t="b">
        <f aca="false">TRUE()</f>
        <v>1</v>
      </c>
      <c r="AZ55" s="290" t="n">
        <v>100</v>
      </c>
      <c r="BA55" s="290" t="n">
        <v>50</v>
      </c>
      <c r="BB55" s="290" t="n">
        <v>280</v>
      </c>
      <c r="BC55" s="290" t="n">
        <v>0</v>
      </c>
      <c r="BD55" s="290" t="n">
        <v>2</v>
      </c>
      <c r="BE55" s="290" t="n">
        <v>0</v>
      </c>
      <c r="BF55" s="290" t="n">
        <v>0</v>
      </c>
      <c r="BG55" s="290" t="n">
        <v>0</v>
      </c>
      <c r="BH55" s="290" t="n">
        <v>0</v>
      </c>
      <c r="BI55" s="290" t="n">
        <v>0</v>
      </c>
      <c r="BJ55" s="290" t="n">
        <v>0</v>
      </c>
      <c r="BK55" s="290" t="n">
        <v>0</v>
      </c>
      <c r="BL55" s="290" t="n">
        <v>0</v>
      </c>
      <c r="BM55" s="290" t="n">
        <v>0</v>
      </c>
      <c r="BN55" s="290" t="n">
        <v>1</v>
      </c>
      <c r="BO55" s="290" t="n">
        <v>0</v>
      </c>
      <c r="BP55" s="290" t="s">
        <v>970</v>
      </c>
      <c r="BQ55" s="290" t="s">
        <v>182</v>
      </c>
      <c r="BR55" s="290" t="s">
        <v>182</v>
      </c>
      <c r="BS55" s="290" t="s">
        <v>182</v>
      </c>
      <c r="BT55" s="290" t="n">
        <v>54</v>
      </c>
      <c r="BU55" s="316" t="b">
        <f aca="false">FALSE()</f>
        <v>0</v>
      </c>
      <c r="BV55" s="290"/>
      <c r="BW55" s="3"/>
      <c r="BX55" s="85" t="n">
        <v>44</v>
      </c>
      <c r="BY55" s="3" t="s">
        <v>971</v>
      </c>
      <c r="BZ55" s="3" t="s">
        <v>775</v>
      </c>
      <c r="CA55" s="3" t="s">
        <v>972</v>
      </c>
      <c r="CB55" s="85" t="n">
        <v>10</v>
      </c>
      <c r="CC55" s="85" t="n">
        <v>11</v>
      </c>
      <c r="CD55" s="85" t="n">
        <v>13</v>
      </c>
      <c r="CE55" s="85" t="n">
        <v>16</v>
      </c>
      <c r="CF55" s="85" t="n">
        <v>20</v>
      </c>
      <c r="CG55" s="317" t="b">
        <f aca="false">IF(BZ55="Saddle",TRUE(),)</f>
        <v>1</v>
      </c>
      <c r="CH55" s="3" t="s">
        <v>776</v>
      </c>
      <c r="CI55" s="3"/>
      <c r="CJ55" s="3"/>
      <c r="CK55" s="3"/>
      <c r="CL55" s="3"/>
      <c r="CM55" s="3"/>
      <c r="CN55" s="3"/>
      <c r="CO55" s="3"/>
      <c r="CP55" s="3"/>
      <c r="CQ55" s="3"/>
      <c r="CR55" s="3"/>
      <c r="CS55" s="3"/>
      <c r="CT55" s="3"/>
      <c r="CU55" s="3"/>
      <c r="CV55" s="3"/>
      <c r="CW55" s="3"/>
      <c r="CX55" s="3"/>
      <c r="CY55" s="3"/>
      <c r="CZ55" s="3"/>
    </row>
    <row r="56" customFormat="false" ht="15.75" hidden="false" customHeight="false" outlineLevel="0" collapsed="false">
      <c r="A56" s="290" t="s">
        <v>123</v>
      </c>
      <c r="B56" s="290" t="s">
        <v>370</v>
      </c>
      <c r="C56" s="290" t="s">
        <v>182</v>
      </c>
      <c r="D56" s="290" t="s">
        <v>182</v>
      </c>
      <c r="E56" s="290" t="s">
        <v>182</v>
      </c>
      <c r="F56" s="315" t="b">
        <f aca="false">TRUE()</f>
        <v>1</v>
      </c>
      <c r="G56" s="290" t="s">
        <v>510</v>
      </c>
      <c r="H56" s="290" t="s">
        <v>370</v>
      </c>
      <c r="I56" s="290" t="n">
        <v>85</v>
      </c>
      <c r="J56" s="290" t="s">
        <v>761</v>
      </c>
      <c r="K56" s="290" t="s">
        <v>884</v>
      </c>
      <c r="L56" s="290" t="n">
        <v>9</v>
      </c>
      <c r="M56" s="290" t="s">
        <v>885</v>
      </c>
      <c r="N56" s="290" t="s">
        <v>810</v>
      </c>
      <c r="O56" s="290" t="s">
        <v>969</v>
      </c>
      <c r="P56" s="290" t="s">
        <v>745</v>
      </c>
      <c r="Q56" s="290" t="s">
        <v>746</v>
      </c>
      <c r="R56" s="315" t="b">
        <f aca="false">FALSE()</f>
        <v>0</v>
      </c>
      <c r="S56" s="290" t="n">
        <v>110</v>
      </c>
      <c r="T56" s="290" t="n">
        <v>110</v>
      </c>
      <c r="U56" s="290" t="n">
        <v>110</v>
      </c>
      <c r="V56" s="290" t="n">
        <v>75</v>
      </c>
      <c r="W56" s="290" t="n">
        <v>100</v>
      </c>
      <c r="X56" s="290" t="n">
        <v>100</v>
      </c>
      <c r="Y56" s="290" t="n">
        <v>1</v>
      </c>
      <c r="Z56" s="290" t="n">
        <v>1</v>
      </c>
      <c r="AA56" s="290" t="n">
        <v>1</v>
      </c>
      <c r="AB56" s="290" t="n">
        <v>10380</v>
      </c>
      <c r="AC56" s="290" t="s">
        <v>747</v>
      </c>
      <c r="AD56" s="290" t="s">
        <v>182</v>
      </c>
      <c r="AE56" s="290" t="n">
        <v>40</v>
      </c>
      <c r="AF56" s="290" t="n">
        <v>60</v>
      </c>
      <c r="AG56" s="290" t="n">
        <v>650</v>
      </c>
      <c r="AH56" s="290" t="n">
        <v>800</v>
      </c>
      <c r="AI56" s="290" t="n">
        <v>150</v>
      </c>
      <c r="AJ56" s="315" t="b">
        <f aca="false">FALSE()</f>
        <v>0</v>
      </c>
      <c r="AK56" s="315" t="b">
        <f aca="false">FALSE()</f>
        <v>0</v>
      </c>
      <c r="AL56" s="290" t="s">
        <v>765</v>
      </c>
      <c r="AM56" s="315" t="b">
        <f aca="false">FALSE()</f>
        <v>0</v>
      </c>
      <c r="AN56" s="315" t="b">
        <f aca="false">FALSE()</f>
        <v>0</v>
      </c>
      <c r="AO56" s="290" t="n">
        <v>475</v>
      </c>
      <c r="AP56" s="290" t="n">
        <v>1</v>
      </c>
      <c r="AQ56" s="290" t="n">
        <v>7</v>
      </c>
      <c r="AR56" s="290" t="n">
        <v>25</v>
      </c>
      <c r="AS56" s="290" t="n">
        <v>90</v>
      </c>
      <c r="AT56" s="290" t="n">
        <v>1</v>
      </c>
      <c r="AU56" s="315" t="b">
        <f aca="false">FALSE()</f>
        <v>0</v>
      </c>
      <c r="AV56" s="315" t="b">
        <f aca="false">FALSE()</f>
        <v>0</v>
      </c>
      <c r="AW56" s="290" t="n">
        <v>5</v>
      </c>
      <c r="AX56" s="315" t="b">
        <f aca="false">TRUE()</f>
        <v>1</v>
      </c>
      <c r="AY56" s="315" t="b">
        <f aca="false">TRUE()</f>
        <v>1</v>
      </c>
      <c r="AZ56" s="290" t="n">
        <v>100</v>
      </c>
      <c r="BA56" s="290" t="n">
        <v>50</v>
      </c>
      <c r="BB56" s="290" t="n">
        <v>270</v>
      </c>
      <c r="BC56" s="290" t="n">
        <v>0</v>
      </c>
      <c r="BD56" s="290" t="n">
        <v>0</v>
      </c>
      <c r="BE56" s="290" t="n">
        <v>0</v>
      </c>
      <c r="BF56" s="290" t="n">
        <v>3</v>
      </c>
      <c r="BG56" s="290" t="n">
        <v>0</v>
      </c>
      <c r="BH56" s="290" t="n">
        <v>0</v>
      </c>
      <c r="BI56" s="290" t="n">
        <v>0</v>
      </c>
      <c r="BJ56" s="290" t="n">
        <v>0</v>
      </c>
      <c r="BK56" s="290" t="n">
        <v>0</v>
      </c>
      <c r="BL56" s="290" t="n">
        <v>0</v>
      </c>
      <c r="BM56" s="290" t="n">
        <v>0</v>
      </c>
      <c r="BN56" s="290" t="n">
        <v>1</v>
      </c>
      <c r="BO56" s="290" t="n">
        <v>0</v>
      </c>
      <c r="BP56" s="290" t="s">
        <v>182</v>
      </c>
      <c r="BQ56" s="290" t="s">
        <v>182</v>
      </c>
      <c r="BR56" s="290" t="s">
        <v>182</v>
      </c>
      <c r="BS56" s="290" t="s">
        <v>182</v>
      </c>
      <c r="BT56" s="290" t="n">
        <v>55</v>
      </c>
      <c r="BU56" s="316" t="b">
        <f aca="false">TRUE()</f>
        <v>1</v>
      </c>
      <c r="BV56" s="290"/>
      <c r="BW56" s="290" t="s">
        <v>761</v>
      </c>
      <c r="BX56" s="85" t="n">
        <v>46</v>
      </c>
      <c r="BY56" s="3" t="s">
        <v>973</v>
      </c>
      <c r="BZ56" s="3" t="s">
        <v>775</v>
      </c>
      <c r="CA56" s="3" t="s">
        <v>972</v>
      </c>
      <c r="CB56" s="85" t="n">
        <v>10</v>
      </c>
      <c r="CC56" s="85" t="n">
        <v>11</v>
      </c>
      <c r="CD56" s="85" t="n">
        <v>13</v>
      </c>
      <c r="CE56" s="85" t="n">
        <v>16</v>
      </c>
      <c r="CF56" s="85" t="n">
        <v>20</v>
      </c>
      <c r="CG56" s="317" t="b">
        <f aca="false">IF(BZ56="Saddle",TRUE(),)</f>
        <v>1</v>
      </c>
      <c r="CH56" s="3" t="s">
        <v>776</v>
      </c>
      <c r="CI56" s="3"/>
      <c r="CJ56" s="3"/>
      <c r="CK56" s="3"/>
      <c r="CL56" s="3"/>
      <c r="CM56" s="3"/>
      <c r="CN56" s="3"/>
      <c r="CO56" s="3"/>
      <c r="CP56" s="3"/>
      <c r="CQ56" s="3"/>
      <c r="CR56" s="3"/>
      <c r="CS56" s="3"/>
      <c r="CT56" s="3"/>
      <c r="CU56" s="3"/>
      <c r="CV56" s="3"/>
      <c r="CW56" s="3"/>
      <c r="CX56" s="3"/>
      <c r="CY56" s="3"/>
      <c r="CZ56" s="3"/>
    </row>
    <row r="57" customFormat="false" ht="15.75" hidden="false" customHeight="false" outlineLevel="0" collapsed="false">
      <c r="A57" s="290" t="s">
        <v>89</v>
      </c>
      <c r="B57" s="290" t="s">
        <v>339</v>
      </c>
      <c r="C57" s="290" t="s">
        <v>182</v>
      </c>
      <c r="D57" s="290" t="s">
        <v>182</v>
      </c>
      <c r="E57" s="290" t="s">
        <v>182</v>
      </c>
      <c r="F57" s="315" t="b">
        <f aca="false">TRUE()</f>
        <v>1</v>
      </c>
      <c r="G57" s="290" t="s">
        <v>497</v>
      </c>
      <c r="H57" s="290" t="s">
        <v>339</v>
      </c>
      <c r="I57" s="290" t="n">
        <v>61</v>
      </c>
      <c r="J57" s="3"/>
      <c r="K57" s="290" t="s">
        <v>741</v>
      </c>
      <c r="L57" s="290" t="n">
        <v>6</v>
      </c>
      <c r="M57" s="290" t="s">
        <v>757</v>
      </c>
      <c r="N57" s="290" t="s">
        <v>743</v>
      </c>
      <c r="O57" s="290" t="s">
        <v>763</v>
      </c>
      <c r="P57" s="290" t="s">
        <v>745</v>
      </c>
      <c r="Q57" s="290" t="s">
        <v>746</v>
      </c>
      <c r="R57" s="315" t="b">
        <f aca="false">FALSE()</f>
        <v>0</v>
      </c>
      <c r="S57" s="290" t="n">
        <v>100</v>
      </c>
      <c r="T57" s="290" t="n">
        <v>70</v>
      </c>
      <c r="U57" s="290" t="n">
        <v>115</v>
      </c>
      <c r="V57" s="290" t="n">
        <v>100</v>
      </c>
      <c r="W57" s="290" t="n">
        <v>110</v>
      </c>
      <c r="X57" s="290" t="n">
        <v>100</v>
      </c>
      <c r="Y57" s="290" t="n">
        <v>1</v>
      </c>
      <c r="Z57" s="290" t="n">
        <v>1</v>
      </c>
      <c r="AA57" s="290" t="n">
        <v>1</v>
      </c>
      <c r="AB57" s="290" t="n">
        <v>3170</v>
      </c>
      <c r="AC57" s="290" t="s">
        <v>836</v>
      </c>
      <c r="AD57" s="290" t="s">
        <v>182</v>
      </c>
      <c r="AE57" s="290" t="n">
        <v>80</v>
      </c>
      <c r="AF57" s="290" t="n">
        <v>130</v>
      </c>
      <c r="AG57" s="290" t="n">
        <v>700</v>
      </c>
      <c r="AH57" s="290" t="n">
        <v>900</v>
      </c>
      <c r="AI57" s="290" t="n">
        <v>415</v>
      </c>
      <c r="AJ57" s="315" t="b">
        <f aca="false">FALSE()</f>
        <v>0</v>
      </c>
      <c r="AK57" s="315" t="b">
        <f aca="false">FALSE()</f>
        <v>0</v>
      </c>
      <c r="AL57" s="290" t="s">
        <v>748</v>
      </c>
      <c r="AM57" s="315" t="b">
        <f aca="false">FALSE()</f>
        <v>0</v>
      </c>
      <c r="AN57" s="315" t="b">
        <f aca="false">FALSE()</f>
        <v>0</v>
      </c>
      <c r="AO57" s="290" t="n">
        <v>300</v>
      </c>
      <c r="AP57" s="290" t="n">
        <v>1</v>
      </c>
      <c r="AQ57" s="290" t="n">
        <v>4</v>
      </c>
      <c r="AR57" s="290" t="n">
        <v>25</v>
      </c>
      <c r="AS57" s="290" t="n">
        <v>90</v>
      </c>
      <c r="AT57" s="290" t="n">
        <v>1</v>
      </c>
      <c r="AU57" s="315" t="b">
        <f aca="false">FALSE()</f>
        <v>0</v>
      </c>
      <c r="AV57" s="315" t="b">
        <f aca="false">FALSE()</f>
        <v>0</v>
      </c>
      <c r="AW57" s="290" t="n">
        <v>5</v>
      </c>
      <c r="AX57" s="315" t="b">
        <f aca="false">TRUE()</f>
        <v>1</v>
      </c>
      <c r="AY57" s="315" t="b">
        <f aca="false">TRUE()</f>
        <v>1</v>
      </c>
      <c r="AZ57" s="290" t="n">
        <v>100</v>
      </c>
      <c r="BA57" s="290" t="n">
        <v>50</v>
      </c>
      <c r="BB57" s="290" t="n">
        <v>830</v>
      </c>
      <c r="BC57" s="290" t="n">
        <v>2</v>
      </c>
      <c r="BD57" s="290" t="n">
        <v>0</v>
      </c>
      <c r="BE57" s="290" t="n">
        <v>0</v>
      </c>
      <c r="BF57" s="290" t="n">
        <v>0</v>
      </c>
      <c r="BG57" s="290" t="n">
        <v>0</v>
      </c>
      <c r="BH57" s="290" t="n">
        <v>0</v>
      </c>
      <c r="BI57" s="290" t="n">
        <v>0</v>
      </c>
      <c r="BJ57" s="290" t="n">
        <v>0</v>
      </c>
      <c r="BK57" s="290" t="n">
        <v>0</v>
      </c>
      <c r="BL57" s="290" t="n">
        <v>0</v>
      </c>
      <c r="BM57" s="290" t="n">
        <v>0</v>
      </c>
      <c r="BN57" s="290" t="n">
        <v>0</v>
      </c>
      <c r="BO57" s="290" t="n">
        <v>0</v>
      </c>
      <c r="BP57" s="290" t="s">
        <v>182</v>
      </c>
      <c r="BQ57" s="290" t="s">
        <v>182</v>
      </c>
      <c r="BR57" s="290" t="s">
        <v>182</v>
      </c>
      <c r="BS57" s="290" t="s">
        <v>182</v>
      </c>
      <c r="BT57" s="290" t="n">
        <v>56</v>
      </c>
      <c r="BU57" s="316" t="b">
        <f aca="false">FALSE()</f>
        <v>0</v>
      </c>
      <c r="BV57" s="290"/>
      <c r="BW57" s="3"/>
      <c r="BX57" s="85" t="n">
        <v>30</v>
      </c>
      <c r="BY57" s="3" t="s">
        <v>974</v>
      </c>
      <c r="BZ57" s="3" t="s">
        <v>775</v>
      </c>
      <c r="CA57" s="3"/>
      <c r="CB57" s="3"/>
      <c r="CC57" s="3"/>
      <c r="CD57" s="3"/>
      <c r="CE57" s="3"/>
      <c r="CF57" s="3"/>
      <c r="CG57" s="311" t="b">
        <f aca="false">IF(BZ57="Saddle",TRUE(),)</f>
        <v>1</v>
      </c>
      <c r="CH57" s="3" t="s">
        <v>776</v>
      </c>
      <c r="CI57" s="3"/>
      <c r="CJ57" s="3" t="s">
        <v>975</v>
      </c>
      <c r="CK57" s="3" t="s">
        <v>975</v>
      </c>
      <c r="CL57" s="3" t="s">
        <v>975</v>
      </c>
      <c r="CM57" s="3" t="s">
        <v>975</v>
      </c>
      <c r="CN57" s="3" t="s">
        <v>975</v>
      </c>
      <c r="CO57" s="3"/>
      <c r="CP57" s="3" t="s">
        <v>976</v>
      </c>
      <c r="CQ57" s="3" t="s">
        <v>976</v>
      </c>
      <c r="CR57" s="3" t="s">
        <v>976</v>
      </c>
      <c r="CS57" s="3" t="s">
        <v>976</v>
      </c>
      <c r="CT57" s="3" t="s">
        <v>976</v>
      </c>
      <c r="CU57" s="3" t="s">
        <v>818</v>
      </c>
      <c r="CV57" s="3"/>
      <c r="CW57" s="3" t="s">
        <v>819</v>
      </c>
      <c r="CX57" s="3" t="s">
        <v>820</v>
      </c>
      <c r="CY57" s="3" t="s">
        <v>821</v>
      </c>
      <c r="CZ57" s="3" t="s">
        <v>822</v>
      </c>
    </row>
    <row r="58" customFormat="false" ht="15.75" hidden="false" customHeight="false" outlineLevel="0" collapsed="false">
      <c r="A58" s="290" t="s">
        <v>91</v>
      </c>
      <c r="B58" s="290" t="s">
        <v>320</v>
      </c>
      <c r="C58" s="290" t="s">
        <v>182</v>
      </c>
      <c r="D58" s="290" t="s">
        <v>182</v>
      </c>
      <c r="E58" s="290" t="s">
        <v>182</v>
      </c>
      <c r="F58" s="315" t="b">
        <f aca="false">TRUE()</f>
        <v>1</v>
      </c>
      <c r="G58" s="290" t="s">
        <v>460</v>
      </c>
      <c r="H58" s="290" t="s">
        <v>320</v>
      </c>
      <c r="I58" s="290" t="n">
        <v>45</v>
      </c>
      <c r="J58" s="3"/>
      <c r="K58" s="290" t="s">
        <v>773</v>
      </c>
      <c r="L58" s="290" t="n">
        <v>2</v>
      </c>
      <c r="M58" s="290" t="s">
        <v>758</v>
      </c>
      <c r="N58" s="290" t="s">
        <v>743</v>
      </c>
      <c r="O58" s="290" t="s">
        <v>744</v>
      </c>
      <c r="P58" s="290" t="s">
        <v>745</v>
      </c>
      <c r="Q58" s="290" t="s">
        <v>746</v>
      </c>
      <c r="R58" s="315" t="b">
        <f aca="false">FALSE()</f>
        <v>0</v>
      </c>
      <c r="S58" s="290" t="n">
        <v>80</v>
      </c>
      <c r="T58" s="290" t="n">
        <v>90</v>
      </c>
      <c r="U58" s="290" t="n">
        <v>80</v>
      </c>
      <c r="V58" s="290" t="n">
        <v>50</v>
      </c>
      <c r="W58" s="290" t="n">
        <v>100</v>
      </c>
      <c r="X58" s="290" t="n">
        <v>100</v>
      </c>
      <c r="Y58" s="290" t="n">
        <v>1</v>
      </c>
      <c r="Z58" s="290" t="n">
        <v>1</v>
      </c>
      <c r="AA58" s="290" t="n">
        <v>1</v>
      </c>
      <c r="AB58" s="290" t="n">
        <v>1720</v>
      </c>
      <c r="AC58" s="290" t="s">
        <v>747</v>
      </c>
      <c r="AD58" s="290" t="s">
        <v>182</v>
      </c>
      <c r="AE58" s="290" t="n">
        <v>100</v>
      </c>
      <c r="AF58" s="290" t="n">
        <v>140</v>
      </c>
      <c r="AG58" s="290" t="n">
        <v>600</v>
      </c>
      <c r="AH58" s="290" t="n">
        <v>800</v>
      </c>
      <c r="AI58" s="290" t="n">
        <v>270</v>
      </c>
      <c r="AJ58" s="315" t="b">
        <f aca="false">FALSE()</f>
        <v>0</v>
      </c>
      <c r="AK58" s="315" t="b">
        <f aca="false">FALSE()</f>
        <v>0</v>
      </c>
      <c r="AL58" s="290" t="s">
        <v>765</v>
      </c>
      <c r="AM58" s="315" t="b">
        <f aca="false">FALSE()</f>
        <v>0</v>
      </c>
      <c r="AN58" s="315" t="b">
        <f aca="false">FALSE()</f>
        <v>0</v>
      </c>
      <c r="AO58" s="290" t="n">
        <v>225</v>
      </c>
      <c r="AP58" s="290" t="n">
        <v>1</v>
      </c>
      <c r="AQ58" s="290" t="n">
        <v>3</v>
      </c>
      <c r="AR58" s="290" t="n">
        <v>25</v>
      </c>
      <c r="AS58" s="290" t="n">
        <v>90</v>
      </c>
      <c r="AT58" s="290" t="n">
        <v>1</v>
      </c>
      <c r="AU58" s="315" t="b">
        <f aca="false">FALSE()</f>
        <v>0</v>
      </c>
      <c r="AV58" s="315" t="b">
        <f aca="false">TRUE()</f>
        <v>1</v>
      </c>
      <c r="AW58" s="290" t="n">
        <v>1</v>
      </c>
      <c r="AX58" s="315" t="b">
        <f aca="false">TRUE()</f>
        <v>1</v>
      </c>
      <c r="AY58" s="315" t="b">
        <f aca="false">TRUE()</f>
        <v>1</v>
      </c>
      <c r="AZ58" s="290" t="n">
        <v>100</v>
      </c>
      <c r="BA58" s="290" t="n">
        <v>50</v>
      </c>
      <c r="BB58" s="290" t="n">
        <v>1120</v>
      </c>
      <c r="BC58" s="290" t="n">
        <v>0</v>
      </c>
      <c r="BD58" s="290" t="n">
        <v>0</v>
      </c>
      <c r="BE58" s="290" t="n">
        <v>0</v>
      </c>
      <c r="BF58" s="290" t="n">
        <v>0</v>
      </c>
      <c r="BG58" s="290" t="n">
        <v>1</v>
      </c>
      <c r="BH58" s="290" t="n">
        <v>1</v>
      </c>
      <c r="BI58" s="290" t="n">
        <v>0</v>
      </c>
      <c r="BJ58" s="290" t="n">
        <v>0</v>
      </c>
      <c r="BK58" s="290" t="n">
        <v>0</v>
      </c>
      <c r="BL58" s="290" t="n">
        <v>0</v>
      </c>
      <c r="BM58" s="290" t="n">
        <v>0</v>
      </c>
      <c r="BN58" s="290" t="n">
        <v>1</v>
      </c>
      <c r="BO58" s="290" t="n">
        <v>0</v>
      </c>
      <c r="BP58" s="290" t="s">
        <v>182</v>
      </c>
      <c r="BQ58" s="290" t="s">
        <v>182</v>
      </c>
      <c r="BR58" s="290" t="s">
        <v>182</v>
      </c>
      <c r="BS58" s="290" t="s">
        <v>182</v>
      </c>
      <c r="BT58" s="290" t="n">
        <v>57</v>
      </c>
      <c r="BU58" s="316" t="b">
        <f aca="false">FALSE()</f>
        <v>0</v>
      </c>
      <c r="BV58" s="290"/>
      <c r="BW58" s="3"/>
      <c r="BX58" s="3"/>
      <c r="BY58" s="3"/>
      <c r="BZ58" s="3"/>
      <c r="CA58" s="3" t="s">
        <v>977</v>
      </c>
      <c r="CB58" s="85" t="n">
        <v>10000</v>
      </c>
      <c r="CC58" s="85" t="n">
        <v>11000</v>
      </c>
      <c r="CD58" s="85" t="n">
        <v>13000</v>
      </c>
      <c r="CE58" s="85" t="n">
        <v>16000</v>
      </c>
      <c r="CF58" s="85" t="n">
        <v>20000</v>
      </c>
      <c r="CG58" s="3" t="n">
        <f aca="false">IF(BZ58="Saddle",TRUE(),)</f>
        <v>0</v>
      </c>
      <c r="CH58" s="3"/>
      <c r="CI58" s="3"/>
      <c r="CJ58" s="3"/>
      <c r="CK58" s="3"/>
      <c r="CL58" s="3"/>
      <c r="CM58" s="3"/>
      <c r="CN58" s="3"/>
      <c r="CO58" s="3"/>
      <c r="CP58" s="3"/>
      <c r="CQ58" s="3"/>
      <c r="CR58" s="3"/>
      <c r="CS58" s="3"/>
      <c r="CT58" s="3"/>
      <c r="CU58" s="3"/>
      <c r="CV58" s="3"/>
      <c r="CW58" s="3"/>
      <c r="CX58" s="3"/>
      <c r="CY58" s="3"/>
      <c r="CZ58" s="3"/>
    </row>
    <row r="59" customFormat="false" ht="15.75" hidden="false" customHeight="false" outlineLevel="0" collapsed="false">
      <c r="A59" s="290" t="s">
        <v>92</v>
      </c>
      <c r="B59" s="290" t="s">
        <v>321</v>
      </c>
      <c r="C59" s="290" t="s">
        <v>182</v>
      </c>
      <c r="D59" s="290" t="s">
        <v>182</v>
      </c>
      <c r="E59" s="290" t="s">
        <v>182</v>
      </c>
      <c r="F59" s="315" t="b">
        <f aca="false">TRUE()</f>
        <v>1</v>
      </c>
      <c r="G59" s="290" t="s">
        <v>538</v>
      </c>
      <c r="H59" s="290" t="s">
        <v>321</v>
      </c>
      <c r="I59" s="290" t="n">
        <v>45</v>
      </c>
      <c r="J59" s="290" t="s">
        <v>761</v>
      </c>
      <c r="K59" s="290" t="s">
        <v>773</v>
      </c>
      <c r="L59" s="290" t="n">
        <v>3</v>
      </c>
      <c r="M59" s="290" t="s">
        <v>757</v>
      </c>
      <c r="N59" s="290" t="s">
        <v>743</v>
      </c>
      <c r="O59" s="290" t="s">
        <v>744</v>
      </c>
      <c r="P59" s="290" t="s">
        <v>745</v>
      </c>
      <c r="Q59" s="290" t="s">
        <v>746</v>
      </c>
      <c r="R59" s="315" t="b">
        <f aca="false">FALSE()</f>
        <v>0</v>
      </c>
      <c r="S59" s="290" t="n">
        <v>80</v>
      </c>
      <c r="T59" s="290" t="n">
        <v>90</v>
      </c>
      <c r="U59" s="290" t="n">
        <v>80</v>
      </c>
      <c r="V59" s="290" t="n">
        <v>50</v>
      </c>
      <c r="W59" s="290" t="n">
        <v>100</v>
      </c>
      <c r="X59" s="290" t="n">
        <v>100</v>
      </c>
      <c r="Y59" s="290" t="n">
        <v>1</v>
      </c>
      <c r="Z59" s="290" t="n">
        <v>1</v>
      </c>
      <c r="AA59" s="290" t="n">
        <v>1</v>
      </c>
      <c r="AB59" s="290" t="n">
        <v>1640</v>
      </c>
      <c r="AC59" s="290" t="s">
        <v>747</v>
      </c>
      <c r="AD59" s="290" t="s">
        <v>182</v>
      </c>
      <c r="AE59" s="290" t="n">
        <v>100</v>
      </c>
      <c r="AF59" s="290" t="n">
        <v>140</v>
      </c>
      <c r="AG59" s="290" t="n">
        <v>400</v>
      </c>
      <c r="AH59" s="290" t="n">
        <v>550</v>
      </c>
      <c r="AI59" s="290" t="n">
        <v>270</v>
      </c>
      <c r="AJ59" s="315" t="b">
        <f aca="false">FALSE()</f>
        <v>0</v>
      </c>
      <c r="AK59" s="315" t="b">
        <f aca="false">FALSE()</f>
        <v>0</v>
      </c>
      <c r="AL59" s="290" t="s">
        <v>765</v>
      </c>
      <c r="AM59" s="315" t="b">
        <f aca="false">FALSE()</f>
        <v>0</v>
      </c>
      <c r="AN59" s="315" t="b">
        <f aca="false">FALSE()</f>
        <v>0</v>
      </c>
      <c r="AO59" s="290" t="n">
        <v>225</v>
      </c>
      <c r="AP59" s="290" t="n">
        <v>1</v>
      </c>
      <c r="AQ59" s="290" t="n">
        <v>3</v>
      </c>
      <c r="AR59" s="290" t="n">
        <v>25</v>
      </c>
      <c r="AS59" s="290" t="n">
        <v>90</v>
      </c>
      <c r="AT59" s="290" t="n">
        <v>1</v>
      </c>
      <c r="AU59" s="315" t="b">
        <f aca="false">FALSE()</f>
        <v>0</v>
      </c>
      <c r="AV59" s="315" t="b">
        <f aca="false">FALSE()</f>
        <v>0</v>
      </c>
      <c r="AW59" s="290" t="n">
        <v>1</v>
      </c>
      <c r="AX59" s="315" t="b">
        <f aca="false">TRUE()</f>
        <v>1</v>
      </c>
      <c r="AY59" s="315" t="b">
        <f aca="false">TRUE()</f>
        <v>1</v>
      </c>
      <c r="AZ59" s="290" t="n">
        <v>100</v>
      </c>
      <c r="BA59" s="290" t="n">
        <v>50</v>
      </c>
      <c r="BB59" s="290" t="n">
        <v>1140</v>
      </c>
      <c r="BC59" s="290" t="n">
        <v>1</v>
      </c>
      <c r="BD59" s="290" t="n">
        <v>0</v>
      </c>
      <c r="BE59" s="290" t="n">
        <v>0</v>
      </c>
      <c r="BF59" s="290" t="n">
        <v>0</v>
      </c>
      <c r="BG59" s="290" t="n">
        <v>1</v>
      </c>
      <c r="BH59" s="290" t="n">
        <v>1</v>
      </c>
      <c r="BI59" s="290" t="n">
        <v>0</v>
      </c>
      <c r="BJ59" s="290" t="n">
        <v>0</v>
      </c>
      <c r="BK59" s="290" t="n">
        <v>0</v>
      </c>
      <c r="BL59" s="290" t="n">
        <v>0</v>
      </c>
      <c r="BM59" s="290" t="n">
        <v>0</v>
      </c>
      <c r="BN59" s="290" t="n">
        <v>1</v>
      </c>
      <c r="BO59" s="290" t="n">
        <v>0</v>
      </c>
      <c r="BP59" s="290" t="s">
        <v>182</v>
      </c>
      <c r="BQ59" s="290" t="s">
        <v>182</v>
      </c>
      <c r="BR59" s="290" t="s">
        <v>182</v>
      </c>
      <c r="BS59" s="290" t="s">
        <v>182</v>
      </c>
      <c r="BT59" s="290" t="n">
        <v>58</v>
      </c>
      <c r="BU59" s="316" t="b">
        <f aca="false">TRUE()</f>
        <v>1</v>
      </c>
      <c r="BV59" s="290"/>
      <c r="BW59" s="290" t="s">
        <v>761</v>
      </c>
      <c r="BX59" s="3"/>
      <c r="BY59" s="3"/>
      <c r="BZ59" s="3"/>
      <c r="CA59" s="3" t="s">
        <v>977</v>
      </c>
      <c r="CB59" s="85" t="n">
        <v>10000</v>
      </c>
      <c r="CC59" s="85" t="n">
        <v>11000</v>
      </c>
      <c r="CD59" s="85" t="n">
        <v>13000</v>
      </c>
      <c r="CE59" s="85" t="n">
        <v>16000</v>
      </c>
      <c r="CF59" s="85" t="n">
        <v>20000</v>
      </c>
      <c r="CG59" s="3" t="n">
        <f aca="false">IF(BZ59="Saddle",TRUE(),)</f>
        <v>0</v>
      </c>
      <c r="CH59" s="3"/>
      <c r="CI59" s="3"/>
      <c r="CJ59" s="3"/>
      <c r="CK59" s="3"/>
      <c r="CL59" s="3"/>
      <c r="CM59" s="3"/>
      <c r="CN59" s="3"/>
      <c r="CO59" s="3"/>
      <c r="CP59" s="3"/>
      <c r="CQ59" s="3"/>
      <c r="CR59" s="3"/>
      <c r="CS59" s="3"/>
      <c r="CT59" s="3"/>
      <c r="CU59" s="3"/>
      <c r="CV59" s="3"/>
      <c r="CW59" s="3"/>
      <c r="CX59" s="3"/>
      <c r="CY59" s="3"/>
      <c r="CZ59" s="3"/>
    </row>
    <row r="60" customFormat="false" ht="15.75" hidden="false" customHeight="false" outlineLevel="0" collapsed="false">
      <c r="A60" s="290" t="s">
        <v>61</v>
      </c>
      <c r="B60" s="290" t="s">
        <v>270</v>
      </c>
      <c r="C60" s="290" t="s">
        <v>182</v>
      </c>
      <c r="D60" s="290" t="s">
        <v>182</v>
      </c>
      <c r="E60" s="290" t="s">
        <v>182</v>
      </c>
      <c r="F60" s="315" t="b">
        <f aca="false">TRUE()</f>
        <v>1</v>
      </c>
      <c r="G60" s="290" t="s">
        <v>470</v>
      </c>
      <c r="H60" s="290" t="s">
        <v>270</v>
      </c>
      <c r="I60" s="290" t="n">
        <v>6</v>
      </c>
      <c r="J60" s="3"/>
      <c r="K60" s="290" t="s">
        <v>762</v>
      </c>
      <c r="L60" s="290" t="n">
        <v>1</v>
      </c>
      <c r="M60" s="290" t="s">
        <v>814</v>
      </c>
      <c r="N60" s="290" t="s">
        <v>743</v>
      </c>
      <c r="O60" s="290" t="s">
        <v>744</v>
      </c>
      <c r="P60" s="290" t="s">
        <v>745</v>
      </c>
      <c r="Q60" s="290" t="s">
        <v>746</v>
      </c>
      <c r="R60" s="315" t="b">
        <f aca="false">FALSE()</f>
        <v>0</v>
      </c>
      <c r="S60" s="290" t="n">
        <v>60</v>
      </c>
      <c r="T60" s="290" t="n">
        <v>80</v>
      </c>
      <c r="U60" s="290" t="n">
        <v>80</v>
      </c>
      <c r="V60" s="290" t="n">
        <v>60</v>
      </c>
      <c r="W60" s="290" t="n">
        <v>100</v>
      </c>
      <c r="X60" s="290" t="n">
        <v>100</v>
      </c>
      <c r="Y60" s="290" t="n">
        <v>1.3</v>
      </c>
      <c r="Z60" s="290" t="n">
        <v>1.1</v>
      </c>
      <c r="AA60" s="290" t="n">
        <v>1</v>
      </c>
      <c r="AB60" s="290" t="n">
        <v>1120</v>
      </c>
      <c r="AC60" s="290" t="s">
        <v>764</v>
      </c>
      <c r="AD60" s="290" t="s">
        <v>182</v>
      </c>
      <c r="AE60" s="290" t="n">
        <v>70</v>
      </c>
      <c r="AF60" s="290" t="n">
        <v>105</v>
      </c>
      <c r="AG60" s="290" t="n">
        <v>300</v>
      </c>
      <c r="AH60" s="290" t="n">
        <v>400</v>
      </c>
      <c r="AI60" s="290" t="n">
        <v>202</v>
      </c>
      <c r="AJ60" s="315" t="b">
        <f aca="false">FALSE()</f>
        <v>0</v>
      </c>
      <c r="AK60" s="315" t="b">
        <f aca="false">FALSE()</f>
        <v>0</v>
      </c>
      <c r="AL60" s="290" t="s">
        <v>765</v>
      </c>
      <c r="AM60" s="315" t="b">
        <f aca="false">FALSE()</f>
        <v>0</v>
      </c>
      <c r="AN60" s="315" t="b">
        <f aca="false">FALSE()</f>
        <v>0</v>
      </c>
      <c r="AO60" s="290" t="n">
        <v>150</v>
      </c>
      <c r="AP60" s="290" t="n">
        <v>1</v>
      </c>
      <c r="AQ60" s="290" t="n">
        <v>2</v>
      </c>
      <c r="AR60" s="290" t="n">
        <v>25</v>
      </c>
      <c r="AS60" s="290" t="n">
        <v>90</v>
      </c>
      <c r="AT60" s="290" t="n">
        <v>1</v>
      </c>
      <c r="AU60" s="315" t="b">
        <f aca="false">TRUE()</f>
        <v>1</v>
      </c>
      <c r="AV60" s="315" t="b">
        <f aca="false">FALSE()</f>
        <v>0</v>
      </c>
      <c r="AW60" s="290" t="n">
        <v>0</v>
      </c>
      <c r="AX60" s="315" t="b">
        <f aca="false">FALSE()</f>
        <v>0</v>
      </c>
      <c r="AY60" s="315" t="b">
        <f aca="false">TRUE()</f>
        <v>1</v>
      </c>
      <c r="AZ60" s="290" t="n">
        <v>100</v>
      </c>
      <c r="BA60" s="290" t="n">
        <v>50</v>
      </c>
      <c r="BB60" s="290" t="n">
        <v>1330</v>
      </c>
      <c r="BC60" s="290" t="n">
        <v>0</v>
      </c>
      <c r="BD60" s="290" t="n">
        <v>1</v>
      </c>
      <c r="BE60" s="290" t="n">
        <v>0</v>
      </c>
      <c r="BF60" s="290" t="n">
        <v>0</v>
      </c>
      <c r="BG60" s="290" t="n">
        <v>1</v>
      </c>
      <c r="BH60" s="290" t="n">
        <v>0</v>
      </c>
      <c r="BI60" s="290" t="n">
        <v>0</v>
      </c>
      <c r="BJ60" s="290" t="n">
        <v>0</v>
      </c>
      <c r="BK60" s="290" t="n">
        <v>0</v>
      </c>
      <c r="BL60" s="290" t="n">
        <v>0</v>
      </c>
      <c r="BM60" s="290" t="n">
        <v>0</v>
      </c>
      <c r="BN60" s="290" t="n">
        <v>1</v>
      </c>
      <c r="BO60" s="290" t="n">
        <v>0</v>
      </c>
      <c r="BP60" s="290" t="s">
        <v>182</v>
      </c>
      <c r="BQ60" s="290" t="s">
        <v>182</v>
      </c>
      <c r="BR60" s="290" t="s">
        <v>182</v>
      </c>
      <c r="BS60" s="290" t="s">
        <v>182</v>
      </c>
      <c r="BT60" s="290" t="n">
        <v>59</v>
      </c>
      <c r="BU60" s="316" t="b">
        <f aca="false">FALSE()</f>
        <v>0</v>
      </c>
      <c r="BV60" s="290"/>
      <c r="BW60" s="3"/>
      <c r="BX60" s="3"/>
      <c r="BY60" s="3"/>
      <c r="BZ60" s="3"/>
      <c r="CA60" s="3" t="s">
        <v>978</v>
      </c>
      <c r="CB60" s="85" t="n">
        <v>1</v>
      </c>
      <c r="CC60" s="85" t="n">
        <v>1.1</v>
      </c>
      <c r="CD60" s="85" t="n">
        <v>1.3</v>
      </c>
      <c r="CE60" s="85" t="n">
        <v>1.6</v>
      </c>
      <c r="CF60" s="85" t="n">
        <v>2</v>
      </c>
      <c r="CG60" s="3" t="n">
        <f aca="false">IF(BZ60="Saddle",TRUE(),)</f>
        <v>0</v>
      </c>
      <c r="CH60" s="3"/>
      <c r="CI60" s="3"/>
      <c r="CJ60" s="3"/>
      <c r="CK60" s="3"/>
      <c r="CL60" s="3"/>
      <c r="CM60" s="3"/>
      <c r="CN60" s="3"/>
      <c r="CO60" s="3"/>
      <c r="CP60" s="3"/>
      <c r="CQ60" s="3"/>
      <c r="CR60" s="3"/>
      <c r="CS60" s="3"/>
      <c r="CT60" s="3"/>
      <c r="CU60" s="3"/>
      <c r="CV60" s="3"/>
      <c r="CW60" s="3"/>
      <c r="CX60" s="3"/>
      <c r="CY60" s="3"/>
      <c r="CZ60" s="3"/>
    </row>
    <row r="61" customFormat="false" ht="15.75" hidden="false" customHeight="false" outlineLevel="0" collapsed="false">
      <c r="A61" s="290" t="s">
        <v>145</v>
      </c>
      <c r="B61" s="290" t="s">
        <v>351</v>
      </c>
      <c r="C61" s="290" t="s">
        <v>182</v>
      </c>
      <c r="D61" s="290" t="s">
        <v>182</v>
      </c>
      <c r="E61" s="290" t="s">
        <v>182</v>
      </c>
      <c r="F61" s="315" t="b">
        <f aca="false">TRUE()</f>
        <v>1</v>
      </c>
      <c r="G61" s="290" t="s">
        <v>428</v>
      </c>
      <c r="H61" s="290" t="s">
        <v>351</v>
      </c>
      <c r="I61" s="290" t="n">
        <v>71</v>
      </c>
      <c r="J61" s="3"/>
      <c r="K61" s="290" t="s">
        <v>793</v>
      </c>
      <c r="L61" s="290" t="n">
        <v>4</v>
      </c>
      <c r="M61" s="290" t="s">
        <v>757</v>
      </c>
      <c r="N61" s="290" t="s">
        <v>758</v>
      </c>
      <c r="O61" s="290" t="s">
        <v>790</v>
      </c>
      <c r="P61" s="290" t="s">
        <v>745</v>
      </c>
      <c r="Q61" s="290" t="s">
        <v>746</v>
      </c>
      <c r="R61" s="315" t="b">
        <f aca="false">FALSE()</f>
        <v>0</v>
      </c>
      <c r="S61" s="290" t="n">
        <v>90</v>
      </c>
      <c r="T61" s="290" t="n">
        <v>100</v>
      </c>
      <c r="U61" s="290" t="n">
        <v>115</v>
      </c>
      <c r="V61" s="290" t="n">
        <v>90</v>
      </c>
      <c r="W61" s="290" t="n">
        <v>100</v>
      </c>
      <c r="X61" s="290" t="n">
        <v>100</v>
      </c>
      <c r="Y61" s="290" t="n">
        <v>1</v>
      </c>
      <c r="Z61" s="290" t="n">
        <v>1</v>
      </c>
      <c r="AA61" s="290" t="n">
        <v>1</v>
      </c>
      <c r="AB61" s="290" t="n">
        <v>4360</v>
      </c>
      <c r="AC61" s="290" t="s">
        <v>747</v>
      </c>
      <c r="AD61" s="290" t="s">
        <v>182</v>
      </c>
      <c r="AE61" s="290" t="n">
        <v>100</v>
      </c>
      <c r="AF61" s="290" t="n">
        <v>350</v>
      </c>
      <c r="AG61" s="290" t="n">
        <v>700</v>
      </c>
      <c r="AH61" s="290" t="n">
        <v>850</v>
      </c>
      <c r="AI61" s="290" t="n">
        <v>475</v>
      </c>
      <c r="AJ61" s="315" t="b">
        <f aca="false">FALSE()</f>
        <v>0</v>
      </c>
      <c r="AK61" s="315" t="b">
        <f aca="false">FALSE()</f>
        <v>0</v>
      </c>
      <c r="AL61" s="290" t="s">
        <v>748</v>
      </c>
      <c r="AM61" s="315" t="b">
        <f aca="false">FALSE()</f>
        <v>0</v>
      </c>
      <c r="AN61" s="315" t="b">
        <f aca="false">FALSE()</f>
        <v>0</v>
      </c>
      <c r="AO61" s="290" t="n">
        <v>400</v>
      </c>
      <c r="AP61" s="290" t="n">
        <v>1</v>
      </c>
      <c r="AQ61" s="290" t="n">
        <v>6</v>
      </c>
      <c r="AR61" s="290" t="n">
        <v>25</v>
      </c>
      <c r="AS61" s="290" t="n">
        <v>90</v>
      </c>
      <c r="AT61" s="290" t="n">
        <v>1</v>
      </c>
      <c r="AU61" s="315" t="b">
        <f aca="false">FALSE()</f>
        <v>0</v>
      </c>
      <c r="AV61" s="315" t="b">
        <f aca="false">TRUE()</f>
        <v>1</v>
      </c>
      <c r="AW61" s="290" t="n">
        <v>5</v>
      </c>
      <c r="AX61" s="315" t="b">
        <f aca="false">TRUE()</f>
        <v>1</v>
      </c>
      <c r="AY61" s="315" t="b">
        <f aca="false">TRUE()</f>
        <v>1</v>
      </c>
      <c r="AZ61" s="290" t="n">
        <v>150</v>
      </c>
      <c r="BA61" s="290" t="n">
        <v>50</v>
      </c>
      <c r="BB61" s="290" t="n">
        <v>660</v>
      </c>
      <c r="BC61" s="290" t="n">
        <v>1</v>
      </c>
      <c r="BD61" s="290" t="n">
        <v>0</v>
      </c>
      <c r="BE61" s="290" t="n">
        <v>0</v>
      </c>
      <c r="BF61" s="290" t="n">
        <v>0</v>
      </c>
      <c r="BG61" s="290" t="n">
        <v>0</v>
      </c>
      <c r="BH61" s="290" t="n">
        <v>0</v>
      </c>
      <c r="BI61" s="290" t="n">
        <v>0</v>
      </c>
      <c r="BJ61" s="290" t="n">
        <v>0</v>
      </c>
      <c r="BK61" s="290" t="n">
        <v>0</v>
      </c>
      <c r="BL61" s="290" t="n">
        <v>0</v>
      </c>
      <c r="BM61" s="290" t="n">
        <v>0</v>
      </c>
      <c r="BN61" s="290" t="n">
        <v>3</v>
      </c>
      <c r="BO61" s="290" t="n">
        <v>0</v>
      </c>
      <c r="BP61" s="290" t="s">
        <v>182</v>
      </c>
      <c r="BQ61" s="290" t="s">
        <v>182</v>
      </c>
      <c r="BR61" s="290" t="s">
        <v>182</v>
      </c>
      <c r="BS61" s="290" t="s">
        <v>182</v>
      </c>
      <c r="BT61" s="290" t="n">
        <v>60</v>
      </c>
      <c r="BU61" s="316" t="b">
        <f aca="false">FALSE()</f>
        <v>0</v>
      </c>
      <c r="BV61" s="290"/>
      <c r="BW61" s="3"/>
      <c r="BX61" s="85" t="n">
        <v>21</v>
      </c>
      <c r="BY61" s="3" t="s">
        <v>979</v>
      </c>
      <c r="BZ61" s="3" t="s">
        <v>775</v>
      </c>
      <c r="CA61" s="3"/>
      <c r="CB61" s="3"/>
      <c r="CC61" s="3"/>
      <c r="CD61" s="3"/>
      <c r="CE61" s="3"/>
      <c r="CF61" s="3"/>
      <c r="CG61" s="311" t="b">
        <f aca="false">IF(BZ61="Saddle",TRUE(),)</f>
        <v>1</v>
      </c>
      <c r="CH61" s="3" t="s">
        <v>914</v>
      </c>
      <c r="CI61" s="3"/>
      <c r="CJ61" s="3"/>
      <c r="CK61" s="3"/>
      <c r="CL61" s="3"/>
      <c r="CM61" s="3"/>
      <c r="CN61" s="3"/>
      <c r="CO61" s="3"/>
      <c r="CP61" s="3"/>
      <c r="CQ61" s="3"/>
      <c r="CR61" s="3"/>
      <c r="CS61" s="3"/>
      <c r="CT61" s="3"/>
      <c r="CU61" s="3"/>
      <c r="CV61" s="3" t="s">
        <v>980</v>
      </c>
      <c r="CW61" s="3" t="s">
        <v>981</v>
      </c>
      <c r="CX61" s="3" t="s">
        <v>982</v>
      </c>
      <c r="CY61" s="3" t="s">
        <v>983</v>
      </c>
      <c r="CZ61" s="3" t="s">
        <v>984</v>
      </c>
    </row>
    <row r="62" customFormat="false" ht="15.75" hidden="false" customHeight="false" outlineLevel="0" collapsed="false">
      <c r="A62" s="290" t="s">
        <v>146</v>
      </c>
      <c r="B62" s="290" t="s">
        <v>352</v>
      </c>
      <c r="C62" s="290" t="s">
        <v>182</v>
      </c>
      <c r="D62" s="290" t="s">
        <v>182</v>
      </c>
      <c r="E62" s="290" t="s">
        <v>182</v>
      </c>
      <c r="F62" s="315" t="b">
        <f aca="false">TRUE()</f>
        <v>1</v>
      </c>
      <c r="G62" s="290" t="s">
        <v>516</v>
      </c>
      <c r="H62" s="290" t="s">
        <v>352</v>
      </c>
      <c r="I62" s="290" t="n">
        <v>71</v>
      </c>
      <c r="J62" s="290" t="s">
        <v>761</v>
      </c>
      <c r="K62" s="290" t="s">
        <v>793</v>
      </c>
      <c r="L62" s="290" t="n">
        <v>5</v>
      </c>
      <c r="M62" s="290" t="s">
        <v>771</v>
      </c>
      <c r="N62" s="290" t="s">
        <v>758</v>
      </c>
      <c r="O62" s="290" t="s">
        <v>790</v>
      </c>
      <c r="P62" s="290" t="s">
        <v>745</v>
      </c>
      <c r="Q62" s="290" t="s">
        <v>746</v>
      </c>
      <c r="R62" s="315" t="b">
        <f aca="false">FALSE()</f>
        <v>0</v>
      </c>
      <c r="S62" s="290" t="n">
        <v>90</v>
      </c>
      <c r="T62" s="290" t="n">
        <v>100</v>
      </c>
      <c r="U62" s="290" t="n">
        <v>120</v>
      </c>
      <c r="V62" s="290" t="n">
        <v>95</v>
      </c>
      <c r="W62" s="290" t="n">
        <v>100</v>
      </c>
      <c r="X62" s="290" t="n">
        <v>100</v>
      </c>
      <c r="Y62" s="290" t="n">
        <v>1</v>
      </c>
      <c r="Z62" s="290" t="n">
        <v>1</v>
      </c>
      <c r="AA62" s="290" t="n">
        <v>1</v>
      </c>
      <c r="AB62" s="290" t="n">
        <v>4610</v>
      </c>
      <c r="AC62" s="290" t="s">
        <v>747</v>
      </c>
      <c r="AD62" s="290" t="s">
        <v>182</v>
      </c>
      <c r="AE62" s="290" t="n">
        <v>100</v>
      </c>
      <c r="AF62" s="290" t="n">
        <v>350</v>
      </c>
      <c r="AG62" s="290" t="n">
        <v>700</v>
      </c>
      <c r="AH62" s="290" t="n">
        <v>850</v>
      </c>
      <c r="AI62" s="290" t="n">
        <v>475</v>
      </c>
      <c r="AJ62" s="315" t="b">
        <f aca="false">FALSE()</f>
        <v>0</v>
      </c>
      <c r="AK62" s="315" t="b">
        <f aca="false">FALSE()</f>
        <v>0</v>
      </c>
      <c r="AL62" s="290" t="s">
        <v>748</v>
      </c>
      <c r="AM62" s="315" t="b">
        <f aca="false">FALSE()</f>
        <v>0</v>
      </c>
      <c r="AN62" s="315" t="b">
        <f aca="false">FALSE()</f>
        <v>0</v>
      </c>
      <c r="AO62" s="290" t="n">
        <v>400</v>
      </c>
      <c r="AP62" s="290" t="n">
        <v>1</v>
      </c>
      <c r="AQ62" s="290" t="n">
        <v>6</v>
      </c>
      <c r="AR62" s="290" t="n">
        <v>25</v>
      </c>
      <c r="AS62" s="290" t="n">
        <v>90</v>
      </c>
      <c r="AT62" s="290" t="n">
        <v>1</v>
      </c>
      <c r="AU62" s="315" t="b">
        <f aca="false">FALSE()</f>
        <v>0</v>
      </c>
      <c r="AV62" s="315" t="b">
        <f aca="false">TRUE()</f>
        <v>1</v>
      </c>
      <c r="AW62" s="290" t="n">
        <v>5</v>
      </c>
      <c r="AX62" s="315" t="b">
        <f aca="false">TRUE()</f>
        <v>1</v>
      </c>
      <c r="AY62" s="315" t="b">
        <f aca="false">TRUE()</f>
        <v>1</v>
      </c>
      <c r="AZ62" s="290" t="n">
        <v>150</v>
      </c>
      <c r="BA62" s="290" t="n">
        <v>50</v>
      </c>
      <c r="BB62" s="290" t="n">
        <v>620</v>
      </c>
      <c r="BC62" s="290" t="n">
        <v>0</v>
      </c>
      <c r="BD62" s="290" t="n">
        <v>0</v>
      </c>
      <c r="BE62" s="290" t="n">
        <v>0</v>
      </c>
      <c r="BF62" s="290" t="n">
        <v>0</v>
      </c>
      <c r="BG62" s="290" t="n">
        <v>0</v>
      </c>
      <c r="BH62" s="290" t="n">
        <v>0</v>
      </c>
      <c r="BI62" s="290" t="n">
        <v>0</v>
      </c>
      <c r="BJ62" s="290" t="n">
        <v>0</v>
      </c>
      <c r="BK62" s="290" t="n">
        <v>0</v>
      </c>
      <c r="BL62" s="290" t="n">
        <v>0</v>
      </c>
      <c r="BM62" s="290" t="n">
        <v>2</v>
      </c>
      <c r="BN62" s="290" t="n">
        <v>3</v>
      </c>
      <c r="BO62" s="290" t="n">
        <v>0</v>
      </c>
      <c r="BP62" s="290" t="s">
        <v>182</v>
      </c>
      <c r="BQ62" s="290" t="s">
        <v>182</v>
      </c>
      <c r="BR62" s="290" t="s">
        <v>182</v>
      </c>
      <c r="BS62" s="290" t="s">
        <v>182</v>
      </c>
      <c r="BT62" s="290" t="n">
        <v>61</v>
      </c>
      <c r="BU62" s="316" t="b">
        <f aca="false">TRUE()</f>
        <v>1</v>
      </c>
      <c r="BV62" s="290"/>
      <c r="BW62" s="290" t="s">
        <v>761</v>
      </c>
      <c r="BX62" s="85" t="n">
        <v>41</v>
      </c>
      <c r="BY62" s="3" t="s">
        <v>985</v>
      </c>
      <c r="BZ62" s="3" t="s">
        <v>775</v>
      </c>
      <c r="CA62" s="3"/>
      <c r="CB62" s="3"/>
      <c r="CC62" s="3"/>
      <c r="CD62" s="3"/>
      <c r="CE62" s="3"/>
      <c r="CF62" s="3"/>
      <c r="CG62" s="311" t="b">
        <f aca="false">IF(BZ62="Saddle",TRUE(),)</f>
        <v>1</v>
      </c>
      <c r="CH62" s="3" t="s">
        <v>914</v>
      </c>
      <c r="CI62" s="3"/>
      <c r="CJ62" s="3"/>
      <c r="CK62" s="3"/>
      <c r="CL62" s="3"/>
      <c r="CM62" s="3"/>
      <c r="CN62" s="3"/>
      <c r="CO62" s="3"/>
      <c r="CP62" s="3"/>
      <c r="CQ62" s="3"/>
      <c r="CR62" s="3"/>
      <c r="CS62" s="3"/>
      <c r="CT62" s="3"/>
      <c r="CU62" s="3"/>
      <c r="CV62" s="3" t="s">
        <v>980</v>
      </c>
      <c r="CW62" s="3" t="s">
        <v>981</v>
      </c>
      <c r="CX62" s="3" t="s">
        <v>982</v>
      </c>
      <c r="CY62" s="3" t="s">
        <v>983</v>
      </c>
      <c r="CZ62" s="3" t="s">
        <v>984</v>
      </c>
    </row>
    <row r="63" customFormat="false" ht="15.75" hidden="false" customHeight="false" outlineLevel="0" collapsed="false">
      <c r="A63" s="290" t="s">
        <v>35</v>
      </c>
      <c r="B63" s="290" t="s">
        <v>265</v>
      </c>
      <c r="C63" s="290" t="s">
        <v>182</v>
      </c>
      <c r="D63" s="290" t="s">
        <v>182</v>
      </c>
      <c r="E63" s="290" t="s">
        <v>182</v>
      </c>
      <c r="F63" s="315" t="b">
        <f aca="false">TRUE()</f>
        <v>1</v>
      </c>
      <c r="G63" s="290" t="s">
        <v>986</v>
      </c>
      <c r="H63" s="290" t="s">
        <v>265</v>
      </c>
      <c r="I63" s="290" t="n">
        <v>3</v>
      </c>
      <c r="J63" s="3"/>
      <c r="K63" s="290" t="s">
        <v>762</v>
      </c>
      <c r="L63" s="290" t="n">
        <v>1</v>
      </c>
      <c r="M63" s="290" t="s">
        <v>789</v>
      </c>
      <c r="N63" s="290" t="s">
        <v>743</v>
      </c>
      <c r="O63" s="290" t="s">
        <v>790</v>
      </c>
      <c r="P63" s="290" t="s">
        <v>745</v>
      </c>
      <c r="Q63" s="290" t="s">
        <v>746</v>
      </c>
      <c r="R63" s="315" t="b">
        <f aca="false">FALSE()</f>
        <v>0</v>
      </c>
      <c r="S63" s="290" t="n">
        <v>60</v>
      </c>
      <c r="T63" s="290" t="n">
        <v>70</v>
      </c>
      <c r="U63" s="290" t="n">
        <v>60</v>
      </c>
      <c r="V63" s="290" t="n">
        <v>60</v>
      </c>
      <c r="W63" s="290" t="n">
        <v>70</v>
      </c>
      <c r="X63" s="290" t="n">
        <v>100</v>
      </c>
      <c r="Y63" s="290" t="n">
        <v>2</v>
      </c>
      <c r="Z63" s="290" t="n">
        <v>1.5</v>
      </c>
      <c r="AA63" s="290" t="n">
        <v>1</v>
      </c>
      <c r="AB63" s="290" t="n">
        <v>1000</v>
      </c>
      <c r="AC63" s="290" t="s">
        <v>875</v>
      </c>
      <c r="AD63" s="290" t="s">
        <v>182</v>
      </c>
      <c r="AE63" s="290" t="n">
        <v>50</v>
      </c>
      <c r="AF63" s="290" t="n">
        <v>50</v>
      </c>
      <c r="AG63" s="290" t="n">
        <v>375</v>
      </c>
      <c r="AH63" s="290" t="n">
        <v>550</v>
      </c>
      <c r="AI63" s="290" t="n">
        <v>212</v>
      </c>
      <c r="AJ63" s="315" t="b">
        <f aca="false">FALSE()</f>
        <v>0</v>
      </c>
      <c r="AK63" s="315" t="b">
        <f aca="false">FALSE()</f>
        <v>0</v>
      </c>
      <c r="AL63" s="290" t="s">
        <v>765</v>
      </c>
      <c r="AM63" s="315" t="b">
        <f aca="false">FALSE()</f>
        <v>0</v>
      </c>
      <c r="AN63" s="315" t="b">
        <f aca="false">FALSE()</f>
        <v>0</v>
      </c>
      <c r="AO63" s="290" t="n">
        <v>100</v>
      </c>
      <c r="AP63" s="290" t="n">
        <v>1</v>
      </c>
      <c r="AQ63" s="290" t="n">
        <v>1</v>
      </c>
      <c r="AR63" s="290" t="n">
        <v>25</v>
      </c>
      <c r="AS63" s="290" t="n">
        <v>90</v>
      </c>
      <c r="AT63" s="290" t="n">
        <v>1</v>
      </c>
      <c r="AU63" s="315" t="b">
        <f aca="false">TRUE()</f>
        <v>1</v>
      </c>
      <c r="AV63" s="315" t="b">
        <f aca="false">FALSE()</f>
        <v>0</v>
      </c>
      <c r="AW63" s="290" t="n">
        <v>0</v>
      </c>
      <c r="AX63" s="315" t="b">
        <f aca="false">FALSE()</f>
        <v>0</v>
      </c>
      <c r="AY63" s="315" t="b">
        <f aca="false">TRUE()</f>
        <v>1</v>
      </c>
      <c r="AZ63" s="290" t="n">
        <v>100</v>
      </c>
      <c r="BA63" s="290" t="n">
        <v>50</v>
      </c>
      <c r="BB63" s="290" t="n">
        <v>1500</v>
      </c>
      <c r="BC63" s="290" t="n">
        <v>0</v>
      </c>
      <c r="BD63" s="290" t="n">
        <v>0</v>
      </c>
      <c r="BE63" s="290" t="n">
        <v>0</v>
      </c>
      <c r="BF63" s="290" t="n">
        <v>0</v>
      </c>
      <c r="BG63" s="290" t="n">
        <v>0</v>
      </c>
      <c r="BH63" s="290" t="n">
        <v>1</v>
      </c>
      <c r="BI63" s="290" t="n">
        <v>0</v>
      </c>
      <c r="BJ63" s="290" t="n">
        <v>0</v>
      </c>
      <c r="BK63" s="290" t="n">
        <v>0</v>
      </c>
      <c r="BL63" s="290" t="n">
        <v>0</v>
      </c>
      <c r="BM63" s="290" t="n">
        <v>0</v>
      </c>
      <c r="BN63" s="290" t="n">
        <v>0</v>
      </c>
      <c r="BO63" s="290" t="n">
        <v>1</v>
      </c>
      <c r="BP63" s="290" t="s">
        <v>182</v>
      </c>
      <c r="BQ63" s="290" t="s">
        <v>182</v>
      </c>
      <c r="BR63" s="290" t="s">
        <v>182</v>
      </c>
      <c r="BS63" s="290" t="s">
        <v>182</v>
      </c>
      <c r="BT63" s="290" t="n">
        <v>62</v>
      </c>
      <c r="BU63" s="316" t="b">
        <f aca="false">FALSE()</f>
        <v>0</v>
      </c>
      <c r="BV63" s="290"/>
      <c r="BW63" s="3"/>
      <c r="BX63" s="3"/>
      <c r="BY63" s="3"/>
      <c r="BZ63" s="3"/>
      <c r="CA63" s="3"/>
      <c r="CB63" s="3"/>
      <c r="CC63" s="3"/>
      <c r="CD63" s="3"/>
      <c r="CE63" s="3"/>
      <c r="CF63" s="3"/>
      <c r="CG63" s="3" t="n">
        <f aca="false">IF(BZ63="Saddle",TRUE(),)</f>
        <v>0</v>
      </c>
      <c r="CH63" s="3"/>
      <c r="CI63" s="3"/>
      <c r="CJ63" s="3"/>
      <c r="CK63" s="3"/>
      <c r="CL63" s="3"/>
      <c r="CM63" s="3"/>
      <c r="CN63" s="3"/>
      <c r="CO63" s="3"/>
      <c r="CP63" s="3"/>
      <c r="CQ63" s="3"/>
      <c r="CR63" s="3"/>
      <c r="CS63" s="3"/>
      <c r="CT63" s="3"/>
      <c r="CU63" s="3"/>
      <c r="CV63" s="3" t="s">
        <v>987</v>
      </c>
      <c r="CW63" s="3" t="s">
        <v>988</v>
      </c>
      <c r="CX63" s="3" t="s">
        <v>989</v>
      </c>
      <c r="CY63" s="3" t="s">
        <v>990</v>
      </c>
      <c r="CZ63" s="3" t="s">
        <v>991</v>
      </c>
    </row>
    <row r="64" customFormat="false" ht="15.75" hidden="false" customHeight="false" outlineLevel="0" collapsed="false">
      <c r="A64" s="290" t="s">
        <v>44</v>
      </c>
      <c r="B64" s="290" t="s">
        <v>342</v>
      </c>
      <c r="C64" s="290" t="s">
        <v>182</v>
      </c>
      <c r="D64" s="290" t="s">
        <v>182</v>
      </c>
      <c r="E64" s="290" t="s">
        <v>182</v>
      </c>
      <c r="F64" s="315" t="b">
        <f aca="false">TRUE()</f>
        <v>1</v>
      </c>
      <c r="G64" s="290" t="s">
        <v>446</v>
      </c>
      <c r="H64" s="290" t="s">
        <v>342</v>
      </c>
      <c r="I64" s="290" t="n">
        <v>64</v>
      </c>
      <c r="J64" s="3"/>
      <c r="K64" s="290" t="s">
        <v>793</v>
      </c>
      <c r="L64" s="290" t="n">
        <v>6</v>
      </c>
      <c r="M64" s="290" t="s">
        <v>783</v>
      </c>
      <c r="N64" s="290" t="s">
        <v>885</v>
      </c>
      <c r="O64" s="290" t="s">
        <v>744</v>
      </c>
      <c r="P64" s="290" t="s">
        <v>745</v>
      </c>
      <c r="Q64" s="290" t="s">
        <v>746</v>
      </c>
      <c r="R64" s="315" t="b">
        <f aca="false">FALSE()</f>
        <v>0</v>
      </c>
      <c r="S64" s="290" t="n">
        <v>110</v>
      </c>
      <c r="T64" s="290" t="n">
        <v>90</v>
      </c>
      <c r="U64" s="290" t="n">
        <v>85</v>
      </c>
      <c r="V64" s="290" t="n">
        <v>90</v>
      </c>
      <c r="W64" s="290" t="n">
        <v>150</v>
      </c>
      <c r="X64" s="290" t="n">
        <v>100</v>
      </c>
      <c r="Y64" s="290" t="n">
        <v>1</v>
      </c>
      <c r="Z64" s="290" t="n">
        <v>1</v>
      </c>
      <c r="AA64" s="290" t="n">
        <v>1</v>
      </c>
      <c r="AB64" s="290" t="n">
        <v>3240</v>
      </c>
      <c r="AC64" s="290" t="s">
        <v>875</v>
      </c>
      <c r="AD64" s="290" t="s">
        <v>182</v>
      </c>
      <c r="AE64" s="290" t="n">
        <v>70</v>
      </c>
      <c r="AF64" s="290" t="n">
        <v>120</v>
      </c>
      <c r="AG64" s="290" t="n">
        <v>550</v>
      </c>
      <c r="AH64" s="290" t="n">
        <v>700</v>
      </c>
      <c r="AI64" s="290" t="n">
        <v>335</v>
      </c>
      <c r="AJ64" s="315" t="b">
        <f aca="false">FALSE()</f>
        <v>0</v>
      </c>
      <c r="AK64" s="315" t="b">
        <f aca="false">FALSE()</f>
        <v>0</v>
      </c>
      <c r="AL64" s="290" t="s">
        <v>765</v>
      </c>
      <c r="AM64" s="315" t="b">
        <f aca="false">FALSE()</f>
        <v>0</v>
      </c>
      <c r="AN64" s="315" t="b">
        <f aca="false">FALSE()</f>
        <v>0</v>
      </c>
      <c r="AO64" s="290" t="n">
        <v>400</v>
      </c>
      <c r="AP64" s="290" t="n">
        <v>1</v>
      </c>
      <c r="AQ64" s="290" t="n">
        <v>6</v>
      </c>
      <c r="AR64" s="290" t="n">
        <v>25</v>
      </c>
      <c r="AS64" s="290" t="n">
        <v>90</v>
      </c>
      <c r="AT64" s="290" t="n">
        <v>1</v>
      </c>
      <c r="AU64" s="315" t="b">
        <f aca="false">FALSE()</f>
        <v>0</v>
      </c>
      <c r="AV64" s="315" t="b">
        <f aca="false">FALSE()</f>
        <v>0</v>
      </c>
      <c r="AW64" s="290" t="n">
        <v>5</v>
      </c>
      <c r="AX64" s="315" t="b">
        <f aca="false">FALSE()</f>
        <v>0</v>
      </c>
      <c r="AY64" s="315" t="b">
        <f aca="false">TRUE()</f>
        <v>1</v>
      </c>
      <c r="AZ64" s="290" t="n">
        <v>100</v>
      </c>
      <c r="BA64" s="290" t="n">
        <v>50</v>
      </c>
      <c r="BB64" s="290" t="n">
        <v>820</v>
      </c>
      <c r="BC64" s="290" t="n">
        <v>0</v>
      </c>
      <c r="BD64" s="290" t="n">
        <v>0</v>
      </c>
      <c r="BE64" s="290" t="n">
        <v>2</v>
      </c>
      <c r="BF64" s="290" t="n">
        <v>0</v>
      </c>
      <c r="BG64" s="290" t="n">
        <v>0</v>
      </c>
      <c r="BH64" s="290" t="n">
        <v>0</v>
      </c>
      <c r="BI64" s="290" t="n">
        <v>2</v>
      </c>
      <c r="BJ64" s="290" t="n">
        <v>0</v>
      </c>
      <c r="BK64" s="290" t="n">
        <v>0</v>
      </c>
      <c r="BL64" s="290" t="n">
        <v>0</v>
      </c>
      <c r="BM64" s="290" t="n">
        <v>0</v>
      </c>
      <c r="BN64" s="290" t="n">
        <v>0</v>
      </c>
      <c r="BO64" s="290" t="n">
        <v>0</v>
      </c>
      <c r="BP64" s="290" t="s">
        <v>182</v>
      </c>
      <c r="BQ64" s="290" t="s">
        <v>182</v>
      </c>
      <c r="BR64" s="290" t="s">
        <v>182</v>
      </c>
      <c r="BS64" s="290" t="s">
        <v>182</v>
      </c>
      <c r="BT64" s="290" t="n">
        <v>63</v>
      </c>
      <c r="BU64" s="316" t="b">
        <f aca="false">FALSE()</f>
        <v>0</v>
      </c>
      <c r="BV64" s="290"/>
      <c r="BW64" s="3"/>
      <c r="BX64" s="85" t="n">
        <v>19</v>
      </c>
      <c r="BY64" s="3" t="s">
        <v>992</v>
      </c>
      <c r="BZ64" s="3" t="s">
        <v>775</v>
      </c>
      <c r="CA64" s="3"/>
      <c r="CB64" s="3"/>
      <c r="CC64" s="3"/>
      <c r="CD64" s="3"/>
      <c r="CE64" s="3"/>
      <c r="CF64" s="3"/>
      <c r="CG64" s="311" t="b">
        <f aca="false">IF(BZ64="Saddle",TRUE(),)</f>
        <v>1</v>
      </c>
      <c r="CH64" s="3" t="s">
        <v>776</v>
      </c>
      <c r="CI64" s="3"/>
      <c r="CJ64" s="3"/>
      <c r="CK64" s="3"/>
      <c r="CL64" s="3"/>
      <c r="CM64" s="3"/>
      <c r="CN64" s="3"/>
      <c r="CO64" s="3"/>
      <c r="CP64" s="3"/>
      <c r="CQ64" s="3"/>
      <c r="CR64" s="3"/>
      <c r="CS64" s="3"/>
      <c r="CT64" s="3"/>
      <c r="CU64" s="3"/>
      <c r="CV64" s="3" t="s">
        <v>993</v>
      </c>
      <c r="CW64" s="3" t="s">
        <v>994</v>
      </c>
      <c r="CX64" s="3" t="s">
        <v>995</v>
      </c>
      <c r="CY64" s="3" t="s">
        <v>996</v>
      </c>
      <c r="CZ64" s="3" t="s">
        <v>997</v>
      </c>
    </row>
    <row r="65" customFormat="false" ht="15.75" hidden="false" customHeight="false" outlineLevel="0" collapsed="false">
      <c r="A65" s="290" t="s">
        <v>45</v>
      </c>
      <c r="B65" s="290" t="s">
        <v>343</v>
      </c>
      <c r="C65" s="290" t="s">
        <v>182</v>
      </c>
      <c r="D65" s="290" t="s">
        <v>182</v>
      </c>
      <c r="E65" s="290" t="s">
        <v>182</v>
      </c>
      <c r="F65" s="315" t="b">
        <f aca="false">TRUE()</f>
        <v>1</v>
      </c>
      <c r="G65" s="290" t="s">
        <v>528</v>
      </c>
      <c r="H65" s="290" t="s">
        <v>343</v>
      </c>
      <c r="I65" s="290" t="n">
        <v>64</v>
      </c>
      <c r="J65" s="290" t="s">
        <v>761</v>
      </c>
      <c r="K65" s="290" t="s">
        <v>793</v>
      </c>
      <c r="L65" s="290" t="n">
        <v>7</v>
      </c>
      <c r="M65" s="290" t="s">
        <v>810</v>
      </c>
      <c r="N65" s="290" t="s">
        <v>885</v>
      </c>
      <c r="O65" s="290" t="s">
        <v>744</v>
      </c>
      <c r="P65" s="290" t="s">
        <v>745</v>
      </c>
      <c r="Q65" s="290" t="s">
        <v>746</v>
      </c>
      <c r="R65" s="315" t="b">
        <f aca="false">FALSE()</f>
        <v>0</v>
      </c>
      <c r="S65" s="290" t="n">
        <v>110</v>
      </c>
      <c r="T65" s="290" t="n">
        <v>90</v>
      </c>
      <c r="U65" s="290" t="n">
        <v>90</v>
      </c>
      <c r="V65" s="290" t="n">
        <v>90</v>
      </c>
      <c r="W65" s="290" t="n">
        <v>150</v>
      </c>
      <c r="X65" s="290" t="n">
        <v>100</v>
      </c>
      <c r="Y65" s="290" t="n">
        <v>1</v>
      </c>
      <c r="Z65" s="290" t="n">
        <v>1</v>
      </c>
      <c r="AA65" s="290" t="n">
        <v>1</v>
      </c>
      <c r="AB65" s="290" t="n">
        <v>3380</v>
      </c>
      <c r="AC65" s="290" t="s">
        <v>875</v>
      </c>
      <c r="AD65" s="290" t="s">
        <v>182</v>
      </c>
      <c r="AE65" s="290" t="n">
        <v>70</v>
      </c>
      <c r="AF65" s="290" t="n">
        <v>120</v>
      </c>
      <c r="AG65" s="290" t="n">
        <v>550</v>
      </c>
      <c r="AH65" s="290" t="n">
        <v>700</v>
      </c>
      <c r="AI65" s="290" t="n">
        <v>335</v>
      </c>
      <c r="AJ65" s="315" t="b">
        <f aca="false">FALSE()</f>
        <v>0</v>
      </c>
      <c r="AK65" s="315" t="b">
        <f aca="false">FALSE()</f>
        <v>0</v>
      </c>
      <c r="AL65" s="290" t="s">
        <v>765</v>
      </c>
      <c r="AM65" s="315" t="b">
        <f aca="false">FALSE()</f>
        <v>0</v>
      </c>
      <c r="AN65" s="315" t="b">
        <f aca="false">FALSE()</f>
        <v>0</v>
      </c>
      <c r="AO65" s="290" t="n">
        <v>400</v>
      </c>
      <c r="AP65" s="290" t="n">
        <v>1</v>
      </c>
      <c r="AQ65" s="290" t="n">
        <v>6</v>
      </c>
      <c r="AR65" s="290" t="n">
        <v>25</v>
      </c>
      <c r="AS65" s="290" t="n">
        <v>90</v>
      </c>
      <c r="AT65" s="290" t="n">
        <v>1</v>
      </c>
      <c r="AU65" s="315" t="b">
        <f aca="false">FALSE()</f>
        <v>0</v>
      </c>
      <c r="AV65" s="315" t="b">
        <f aca="false">FALSE()</f>
        <v>0</v>
      </c>
      <c r="AW65" s="290" t="n">
        <v>5</v>
      </c>
      <c r="AX65" s="315" t="b">
        <f aca="false">FALSE()</f>
        <v>0</v>
      </c>
      <c r="AY65" s="315" t="b">
        <f aca="false">TRUE()</f>
        <v>1</v>
      </c>
      <c r="AZ65" s="290" t="n">
        <v>100</v>
      </c>
      <c r="BA65" s="290" t="n">
        <v>50</v>
      </c>
      <c r="BB65" s="290" t="n">
        <v>810</v>
      </c>
      <c r="BC65" s="290" t="n">
        <v>0</v>
      </c>
      <c r="BD65" s="290" t="n">
        <v>0</v>
      </c>
      <c r="BE65" s="290" t="n">
        <v>0</v>
      </c>
      <c r="BF65" s="290" t="n">
        <v>2</v>
      </c>
      <c r="BG65" s="290" t="n">
        <v>0</v>
      </c>
      <c r="BH65" s="290" t="n">
        <v>0</v>
      </c>
      <c r="BI65" s="290" t="n">
        <v>2</v>
      </c>
      <c r="BJ65" s="290" t="n">
        <v>0</v>
      </c>
      <c r="BK65" s="290" t="n">
        <v>0</v>
      </c>
      <c r="BL65" s="290" t="n">
        <v>0</v>
      </c>
      <c r="BM65" s="290" t="n">
        <v>0</v>
      </c>
      <c r="BN65" s="290" t="n">
        <v>0</v>
      </c>
      <c r="BO65" s="290" t="n">
        <v>0</v>
      </c>
      <c r="BP65" s="290" t="s">
        <v>182</v>
      </c>
      <c r="BQ65" s="290" t="s">
        <v>182</v>
      </c>
      <c r="BR65" s="290" t="s">
        <v>182</v>
      </c>
      <c r="BS65" s="290" t="s">
        <v>182</v>
      </c>
      <c r="BT65" s="290" t="n">
        <v>64</v>
      </c>
      <c r="BU65" s="316" t="b">
        <f aca="false">TRUE()</f>
        <v>1</v>
      </c>
      <c r="BV65" s="290"/>
      <c r="BW65" s="290" t="s">
        <v>761</v>
      </c>
      <c r="BX65" s="85" t="n">
        <v>29</v>
      </c>
      <c r="BY65" s="3" t="s">
        <v>998</v>
      </c>
      <c r="BZ65" s="3" t="s">
        <v>775</v>
      </c>
      <c r="CA65" s="3"/>
      <c r="CB65" s="3"/>
      <c r="CC65" s="3"/>
      <c r="CD65" s="3"/>
      <c r="CE65" s="3"/>
      <c r="CF65" s="3"/>
      <c r="CG65" s="311" t="b">
        <f aca="false">IF(BZ65="Saddle",TRUE(),)</f>
        <v>1</v>
      </c>
      <c r="CH65" s="3" t="s">
        <v>776</v>
      </c>
      <c r="CI65" s="3"/>
      <c r="CJ65" s="3"/>
      <c r="CK65" s="3"/>
      <c r="CL65" s="3"/>
      <c r="CM65" s="3"/>
      <c r="CN65" s="3"/>
      <c r="CO65" s="3"/>
      <c r="CP65" s="3"/>
      <c r="CQ65" s="3"/>
      <c r="CR65" s="3"/>
      <c r="CS65" s="3"/>
      <c r="CT65" s="3"/>
      <c r="CU65" s="3"/>
      <c r="CV65" s="3" t="s">
        <v>999</v>
      </c>
      <c r="CW65" s="3" t="s">
        <v>1000</v>
      </c>
      <c r="CX65" s="3" t="s">
        <v>1001</v>
      </c>
      <c r="CY65" s="3" t="s">
        <v>1002</v>
      </c>
      <c r="CZ65" s="3" t="s">
        <v>1003</v>
      </c>
    </row>
    <row r="66" customFormat="false" ht="15.75" hidden="false" customHeight="false" outlineLevel="0" collapsed="false">
      <c r="A66" s="290" t="s">
        <v>132</v>
      </c>
      <c r="B66" s="290" t="s">
        <v>271</v>
      </c>
      <c r="C66" s="290" t="s">
        <v>182</v>
      </c>
      <c r="D66" s="290" t="s">
        <v>182</v>
      </c>
      <c r="E66" s="290" t="s">
        <v>182</v>
      </c>
      <c r="F66" s="315" t="b">
        <f aca="false">TRUE()</f>
        <v>1</v>
      </c>
      <c r="G66" s="290" t="s">
        <v>420</v>
      </c>
      <c r="H66" s="290" t="s">
        <v>271</v>
      </c>
      <c r="I66" s="290" t="n">
        <v>7</v>
      </c>
      <c r="J66" s="3"/>
      <c r="K66" s="290" t="s">
        <v>762</v>
      </c>
      <c r="L66" s="290" t="n">
        <v>1</v>
      </c>
      <c r="M66" s="290" t="s">
        <v>810</v>
      </c>
      <c r="N66" s="290" t="s">
        <v>743</v>
      </c>
      <c r="O66" s="290" t="s">
        <v>744</v>
      </c>
      <c r="P66" s="290" t="s">
        <v>745</v>
      </c>
      <c r="Q66" s="290" t="s">
        <v>746</v>
      </c>
      <c r="R66" s="315" t="b">
        <f aca="false">FALSE()</f>
        <v>0</v>
      </c>
      <c r="S66" s="290" t="n">
        <v>60</v>
      </c>
      <c r="T66" s="290" t="n">
        <v>60</v>
      </c>
      <c r="U66" s="290" t="n">
        <v>75</v>
      </c>
      <c r="V66" s="290" t="n">
        <v>70</v>
      </c>
      <c r="W66" s="290" t="n">
        <v>80</v>
      </c>
      <c r="X66" s="290" t="n">
        <v>100</v>
      </c>
      <c r="Y66" s="290" t="n">
        <v>1.3</v>
      </c>
      <c r="Z66" s="290" t="n">
        <v>1.1</v>
      </c>
      <c r="AA66" s="290" t="n">
        <v>1</v>
      </c>
      <c r="AB66" s="290" t="n">
        <v>1030</v>
      </c>
      <c r="AC66" s="290" t="s">
        <v>764</v>
      </c>
      <c r="AD66" s="290" t="s">
        <v>182</v>
      </c>
      <c r="AE66" s="290" t="n">
        <v>40</v>
      </c>
      <c r="AF66" s="290" t="n">
        <v>80</v>
      </c>
      <c r="AG66" s="290" t="n">
        <v>350</v>
      </c>
      <c r="AH66" s="290" t="n">
        <v>500</v>
      </c>
      <c r="AI66" s="290" t="n">
        <v>270</v>
      </c>
      <c r="AJ66" s="315" t="b">
        <f aca="false">FALSE()</f>
        <v>0</v>
      </c>
      <c r="AK66" s="315" t="b">
        <f aca="false">FALSE()</f>
        <v>0</v>
      </c>
      <c r="AL66" s="290" t="s">
        <v>765</v>
      </c>
      <c r="AM66" s="315" t="b">
        <f aca="false">FALSE()</f>
        <v>0</v>
      </c>
      <c r="AN66" s="315" t="b">
        <f aca="false">FALSE()</f>
        <v>0</v>
      </c>
      <c r="AO66" s="290" t="n">
        <v>150</v>
      </c>
      <c r="AP66" s="290" t="n">
        <v>1</v>
      </c>
      <c r="AQ66" s="290" t="n">
        <v>2</v>
      </c>
      <c r="AR66" s="290" t="n">
        <v>25</v>
      </c>
      <c r="AS66" s="290" t="n">
        <v>90</v>
      </c>
      <c r="AT66" s="290" t="n">
        <v>1</v>
      </c>
      <c r="AU66" s="315" t="b">
        <f aca="false">TRUE()</f>
        <v>1</v>
      </c>
      <c r="AV66" s="315" t="b">
        <f aca="false">FALSE()</f>
        <v>0</v>
      </c>
      <c r="AW66" s="290" t="n">
        <v>0</v>
      </c>
      <c r="AX66" s="315" t="b">
        <f aca="false">FALSE()</f>
        <v>0</v>
      </c>
      <c r="AY66" s="315" t="b">
        <f aca="false">TRUE()</f>
        <v>1</v>
      </c>
      <c r="AZ66" s="290" t="n">
        <v>100</v>
      </c>
      <c r="BA66" s="290" t="n">
        <v>50</v>
      </c>
      <c r="BB66" s="290" t="n">
        <v>1410</v>
      </c>
      <c r="BC66" s="290" t="n">
        <v>0</v>
      </c>
      <c r="BD66" s="290" t="n">
        <v>0</v>
      </c>
      <c r="BE66" s="290" t="n">
        <v>0</v>
      </c>
      <c r="BF66" s="290" t="n">
        <v>1</v>
      </c>
      <c r="BG66" s="290" t="n">
        <v>1</v>
      </c>
      <c r="BH66" s="290" t="n">
        <v>0</v>
      </c>
      <c r="BI66" s="290" t="n">
        <v>0</v>
      </c>
      <c r="BJ66" s="290" t="n">
        <v>0</v>
      </c>
      <c r="BK66" s="290" t="n">
        <v>0</v>
      </c>
      <c r="BL66" s="290" t="n">
        <v>0</v>
      </c>
      <c r="BM66" s="290" t="n">
        <v>0</v>
      </c>
      <c r="BN66" s="290" t="n">
        <v>1</v>
      </c>
      <c r="BO66" s="290" t="n">
        <v>0</v>
      </c>
      <c r="BP66" s="290" t="s">
        <v>182</v>
      </c>
      <c r="BQ66" s="290" t="s">
        <v>182</v>
      </c>
      <c r="BR66" s="290" t="s">
        <v>182</v>
      </c>
      <c r="BS66" s="290" t="s">
        <v>182</v>
      </c>
      <c r="BT66" s="290" t="n">
        <v>65</v>
      </c>
      <c r="BU66" s="316" t="b">
        <f aca="false">FALSE()</f>
        <v>0</v>
      </c>
      <c r="BV66" s="290"/>
      <c r="BW66" s="3"/>
      <c r="BX66" s="3"/>
      <c r="BY66" s="3"/>
      <c r="BZ66" s="3"/>
      <c r="CA66" s="3"/>
      <c r="CB66" s="3"/>
      <c r="CC66" s="3"/>
      <c r="CD66" s="3"/>
      <c r="CE66" s="3"/>
      <c r="CF66" s="3"/>
      <c r="CG66" s="3" t="n">
        <f aca="false">IF(BZ66="Saddle",TRUE(),)</f>
        <v>0</v>
      </c>
      <c r="CH66" s="3"/>
      <c r="CI66" s="3"/>
      <c r="CJ66" s="3"/>
      <c r="CK66" s="3"/>
      <c r="CL66" s="3"/>
      <c r="CM66" s="3"/>
      <c r="CN66" s="3"/>
      <c r="CO66" s="3"/>
      <c r="CP66" s="3"/>
      <c r="CQ66" s="3"/>
      <c r="CR66" s="3"/>
      <c r="CS66" s="3"/>
      <c r="CT66" s="3"/>
      <c r="CU66" s="3" t="s">
        <v>1004</v>
      </c>
      <c r="CV66" s="3" t="s">
        <v>850</v>
      </c>
      <c r="CW66" s="3" t="s">
        <v>851</v>
      </c>
      <c r="CX66" s="3" t="s">
        <v>852</v>
      </c>
      <c r="CY66" s="3" t="s">
        <v>853</v>
      </c>
      <c r="CZ66" s="3" t="s">
        <v>854</v>
      </c>
    </row>
    <row r="67" customFormat="false" ht="15.75" hidden="false" customHeight="false" outlineLevel="0" collapsed="false">
      <c r="A67" s="290" t="s">
        <v>21</v>
      </c>
      <c r="B67" s="290" t="s">
        <v>401</v>
      </c>
      <c r="C67" s="290" t="s">
        <v>182</v>
      </c>
      <c r="D67" s="290" t="s">
        <v>182</v>
      </c>
      <c r="E67" s="290" t="s">
        <v>182</v>
      </c>
      <c r="F67" s="315" t="b">
        <f aca="false">TRUE()</f>
        <v>1</v>
      </c>
      <c r="G67" s="290" t="s">
        <v>451</v>
      </c>
      <c r="H67" s="290" t="s">
        <v>401</v>
      </c>
      <c r="I67" s="290" t="n">
        <v>110</v>
      </c>
      <c r="J67" s="290" t="s">
        <v>761</v>
      </c>
      <c r="K67" s="290" t="s">
        <v>793</v>
      </c>
      <c r="L67" s="290" t="n">
        <v>20</v>
      </c>
      <c r="M67" s="290" t="s">
        <v>771</v>
      </c>
      <c r="N67" s="290" t="s">
        <v>743</v>
      </c>
      <c r="O67" s="290" t="s">
        <v>763</v>
      </c>
      <c r="P67" s="290" t="s">
        <v>745</v>
      </c>
      <c r="Q67" s="290" t="s">
        <v>746</v>
      </c>
      <c r="R67" s="315" t="b">
        <f aca="false">FALSE()</f>
        <v>0</v>
      </c>
      <c r="S67" s="290" t="n">
        <v>140</v>
      </c>
      <c r="T67" s="290" t="n">
        <v>100</v>
      </c>
      <c r="U67" s="290" t="n">
        <v>140</v>
      </c>
      <c r="V67" s="290" t="n">
        <v>120</v>
      </c>
      <c r="W67" s="290" t="n">
        <v>70</v>
      </c>
      <c r="X67" s="290" t="n">
        <v>100</v>
      </c>
      <c r="Y67" s="290" t="n">
        <v>1</v>
      </c>
      <c r="Z67" s="290" t="n">
        <v>1</v>
      </c>
      <c r="AA67" s="290" t="n">
        <v>1</v>
      </c>
      <c r="AB67" s="290" t="n">
        <v>8440</v>
      </c>
      <c r="AC67" s="290" t="s">
        <v>764</v>
      </c>
      <c r="AD67" s="290" t="s">
        <v>182</v>
      </c>
      <c r="AE67" s="290" t="n">
        <v>120</v>
      </c>
      <c r="AF67" s="290" t="n">
        <v>120</v>
      </c>
      <c r="AG67" s="290" t="n">
        <v>1000</v>
      </c>
      <c r="AH67" s="290" t="n">
        <v>1500</v>
      </c>
      <c r="AI67" s="290" t="n">
        <v>440</v>
      </c>
      <c r="AJ67" s="315" t="b">
        <f aca="false">FALSE()</f>
        <v>0</v>
      </c>
      <c r="AK67" s="315" t="b">
        <f aca="false">FALSE()</f>
        <v>0</v>
      </c>
      <c r="AL67" s="290" t="s">
        <v>1005</v>
      </c>
      <c r="AM67" s="315" t="b">
        <f aca="false">FALSE()</f>
        <v>0</v>
      </c>
      <c r="AN67" s="315" t="b">
        <f aca="false">FALSE()</f>
        <v>0</v>
      </c>
      <c r="AO67" s="290" t="n">
        <v>475</v>
      </c>
      <c r="AP67" s="290" t="n">
        <v>1</v>
      </c>
      <c r="AQ67" s="290" t="n">
        <v>7</v>
      </c>
      <c r="AR67" s="290" t="n">
        <v>25</v>
      </c>
      <c r="AS67" s="290" t="n">
        <v>90</v>
      </c>
      <c r="AT67" s="290" t="n">
        <v>1</v>
      </c>
      <c r="AU67" s="315" t="b">
        <f aca="false">FALSE()</f>
        <v>0</v>
      </c>
      <c r="AV67" s="315" t="b">
        <f aca="false">FALSE()</f>
        <v>0</v>
      </c>
      <c r="AW67" s="290" t="n">
        <v>5</v>
      </c>
      <c r="AX67" s="315" t="b">
        <f aca="false">FALSE()</f>
        <v>0</v>
      </c>
      <c r="AY67" s="315" t="b">
        <f aca="false">TRUE()</f>
        <v>1</v>
      </c>
      <c r="AZ67" s="290" t="n">
        <v>300</v>
      </c>
      <c r="BA67" s="290" t="n">
        <v>50</v>
      </c>
      <c r="BB67" s="290" t="n">
        <v>120</v>
      </c>
      <c r="BC67" s="290" t="n">
        <v>0</v>
      </c>
      <c r="BD67" s="290" t="n">
        <v>0</v>
      </c>
      <c r="BE67" s="290" t="n">
        <v>0</v>
      </c>
      <c r="BF67" s="290" t="n">
        <v>0</v>
      </c>
      <c r="BG67" s="290" t="n">
        <v>0</v>
      </c>
      <c r="BH67" s="290" t="n">
        <v>0</v>
      </c>
      <c r="BI67" s="290" t="n">
        <v>0</v>
      </c>
      <c r="BJ67" s="290" t="n">
        <v>0</v>
      </c>
      <c r="BK67" s="290" t="n">
        <v>0</v>
      </c>
      <c r="BL67" s="290" t="n">
        <v>0</v>
      </c>
      <c r="BM67" s="290" t="n">
        <v>4</v>
      </c>
      <c r="BN67" s="290" t="n">
        <v>0</v>
      </c>
      <c r="BO67" s="290" t="n">
        <v>0</v>
      </c>
      <c r="BP67" s="290" t="s">
        <v>1006</v>
      </c>
      <c r="BQ67" s="290" t="s">
        <v>1007</v>
      </c>
      <c r="BR67" s="290" t="s">
        <v>182</v>
      </c>
      <c r="BS67" s="290" t="s">
        <v>182</v>
      </c>
      <c r="BT67" s="290" t="n">
        <v>66</v>
      </c>
      <c r="BU67" s="316" t="b">
        <f aca="false">TRUE()</f>
        <v>1</v>
      </c>
      <c r="BV67" s="290"/>
      <c r="BW67" s="3"/>
      <c r="BX67" s="85" t="n">
        <v>48</v>
      </c>
      <c r="BY67" s="3" t="s">
        <v>1008</v>
      </c>
      <c r="BZ67" s="3" t="s">
        <v>775</v>
      </c>
      <c r="CA67" s="3"/>
      <c r="CB67" s="3"/>
      <c r="CC67" s="3"/>
      <c r="CD67" s="3"/>
      <c r="CE67" s="3"/>
      <c r="CF67" s="3"/>
      <c r="CG67" s="311" t="b">
        <f aca="false">IF(BZ67="Saddle",TRUE(),)</f>
        <v>1</v>
      </c>
      <c r="CH67" s="3" t="s">
        <v>914</v>
      </c>
      <c r="CI67" s="3" t="s">
        <v>750</v>
      </c>
      <c r="CJ67" s="3" t="s">
        <v>1009</v>
      </c>
      <c r="CK67" s="3" t="s">
        <v>1009</v>
      </c>
      <c r="CL67" s="3" t="s">
        <v>1009</v>
      </c>
      <c r="CM67" s="3" t="s">
        <v>1009</v>
      </c>
      <c r="CN67" s="3" t="s">
        <v>1009</v>
      </c>
      <c r="CO67" s="3"/>
      <c r="CP67" s="3"/>
      <c r="CQ67" s="3"/>
      <c r="CR67" s="3"/>
      <c r="CS67" s="3"/>
      <c r="CT67" s="3"/>
      <c r="CU67" s="3"/>
      <c r="CV67" s="3" t="s">
        <v>1010</v>
      </c>
      <c r="CW67" s="3" t="s">
        <v>1011</v>
      </c>
      <c r="CX67" s="3" t="s">
        <v>1012</v>
      </c>
      <c r="CY67" s="3" t="s">
        <v>1013</v>
      </c>
      <c r="CZ67" s="3" t="s">
        <v>1014</v>
      </c>
    </row>
    <row r="68" customFormat="false" ht="15.75" hidden="false" customHeight="false" outlineLevel="0" collapsed="false">
      <c r="A68" s="290" t="s">
        <v>60</v>
      </c>
      <c r="B68" s="290" t="s">
        <v>402</v>
      </c>
      <c r="C68" s="290" t="s">
        <v>182</v>
      </c>
      <c r="D68" s="290" t="s">
        <v>182</v>
      </c>
      <c r="E68" s="290" t="s">
        <v>182</v>
      </c>
      <c r="F68" s="315" t="b">
        <f aca="false">TRUE()</f>
        <v>1</v>
      </c>
      <c r="G68" s="290" t="s">
        <v>532</v>
      </c>
      <c r="H68" s="290" t="s">
        <v>402</v>
      </c>
      <c r="I68" s="290" t="n">
        <v>110</v>
      </c>
      <c r="J68" s="290" t="s">
        <v>761</v>
      </c>
      <c r="K68" s="290" t="s">
        <v>793</v>
      </c>
      <c r="L68" s="290" t="n">
        <v>20</v>
      </c>
      <c r="M68" s="290" t="s">
        <v>758</v>
      </c>
      <c r="N68" s="290" t="s">
        <v>743</v>
      </c>
      <c r="O68" s="290" t="s">
        <v>763</v>
      </c>
      <c r="P68" s="290" t="s">
        <v>745</v>
      </c>
      <c r="Q68" s="290" t="s">
        <v>746</v>
      </c>
      <c r="R68" s="315" t="b">
        <f aca="false">FALSE()</f>
        <v>0</v>
      </c>
      <c r="S68" s="290" t="n">
        <v>140</v>
      </c>
      <c r="T68" s="290" t="n">
        <v>100</v>
      </c>
      <c r="U68" s="290" t="n">
        <v>140</v>
      </c>
      <c r="V68" s="290" t="n">
        <v>135</v>
      </c>
      <c r="W68" s="290" t="n">
        <v>70</v>
      </c>
      <c r="X68" s="290" t="n">
        <v>100</v>
      </c>
      <c r="Y68" s="290" t="n">
        <v>1</v>
      </c>
      <c r="Z68" s="290" t="n">
        <v>1</v>
      </c>
      <c r="AA68" s="290" t="n">
        <v>1</v>
      </c>
      <c r="AB68" s="290" t="n">
        <v>8560</v>
      </c>
      <c r="AC68" s="290" t="s">
        <v>764</v>
      </c>
      <c r="AD68" s="290" t="s">
        <v>182</v>
      </c>
      <c r="AE68" s="290" t="n">
        <v>120</v>
      </c>
      <c r="AF68" s="290" t="n">
        <v>120</v>
      </c>
      <c r="AG68" s="290" t="n">
        <v>1000</v>
      </c>
      <c r="AH68" s="290" t="n">
        <v>1500</v>
      </c>
      <c r="AI68" s="290" t="n">
        <v>440</v>
      </c>
      <c r="AJ68" s="315" t="b">
        <f aca="false">FALSE()</f>
        <v>0</v>
      </c>
      <c r="AK68" s="315" t="b">
        <f aca="false">FALSE()</f>
        <v>0</v>
      </c>
      <c r="AL68" s="290" t="s">
        <v>1005</v>
      </c>
      <c r="AM68" s="315" t="b">
        <f aca="false">FALSE()</f>
        <v>0</v>
      </c>
      <c r="AN68" s="315" t="b">
        <f aca="false">FALSE()</f>
        <v>0</v>
      </c>
      <c r="AO68" s="290" t="n">
        <v>475</v>
      </c>
      <c r="AP68" s="290" t="n">
        <v>1</v>
      </c>
      <c r="AQ68" s="290" t="n">
        <v>7</v>
      </c>
      <c r="AR68" s="290" t="n">
        <v>25</v>
      </c>
      <c r="AS68" s="290" t="n">
        <v>90</v>
      </c>
      <c r="AT68" s="290" t="n">
        <v>1</v>
      </c>
      <c r="AU68" s="315" t="b">
        <f aca="false">FALSE()</f>
        <v>0</v>
      </c>
      <c r="AV68" s="315" t="b">
        <f aca="false">TRUE()</f>
        <v>1</v>
      </c>
      <c r="AW68" s="290" t="n">
        <v>5</v>
      </c>
      <c r="AX68" s="315" t="b">
        <f aca="false">FALSE()</f>
        <v>0</v>
      </c>
      <c r="AY68" s="315" t="b">
        <f aca="false">TRUE()</f>
        <v>1</v>
      </c>
      <c r="AZ68" s="290" t="n">
        <v>300</v>
      </c>
      <c r="BA68" s="290" t="n">
        <v>50</v>
      </c>
      <c r="BB68" s="290" t="n">
        <v>100</v>
      </c>
      <c r="BC68" s="290" t="n">
        <v>0</v>
      </c>
      <c r="BD68" s="290" t="n">
        <v>0</v>
      </c>
      <c r="BE68" s="290" t="n">
        <v>0</v>
      </c>
      <c r="BF68" s="290" t="n">
        <v>0</v>
      </c>
      <c r="BG68" s="290" t="n">
        <v>0</v>
      </c>
      <c r="BH68" s="290" t="n">
        <v>4</v>
      </c>
      <c r="BI68" s="290" t="n">
        <v>0</v>
      </c>
      <c r="BJ68" s="290" t="n">
        <v>0</v>
      </c>
      <c r="BK68" s="290" t="n">
        <v>0</v>
      </c>
      <c r="BL68" s="290" t="n">
        <v>0</v>
      </c>
      <c r="BM68" s="290" t="n">
        <v>0</v>
      </c>
      <c r="BN68" s="290" t="n">
        <v>0</v>
      </c>
      <c r="BO68" s="290" t="n">
        <v>0</v>
      </c>
      <c r="BP68" s="290" t="s">
        <v>1006</v>
      </c>
      <c r="BQ68" s="290" t="s">
        <v>182</v>
      </c>
      <c r="BR68" s="290" t="s">
        <v>182</v>
      </c>
      <c r="BS68" s="290" t="s">
        <v>182</v>
      </c>
      <c r="BT68" s="290" t="n">
        <v>67</v>
      </c>
      <c r="BU68" s="316" t="b">
        <f aca="false">TRUE()</f>
        <v>1</v>
      </c>
      <c r="BV68" s="290"/>
      <c r="BW68" s="290" t="s">
        <v>761</v>
      </c>
      <c r="BX68" s="85" t="n">
        <v>48</v>
      </c>
      <c r="BY68" s="3" t="s">
        <v>1015</v>
      </c>
      <c r="BZ68" s="3" t="s">
        <v>775</v>
      </c>
      <c r="CA68" s="3"/>
      <c r="CB68" s="3"/>
      <c r="CC68" s="3"/>
      <c r="CD68" s="3"/>
      <c r="CE68" s="3"/>
      <c r="CF68" s="3"/>
      <c r="CG68" s="311" t="b">
        <f aca="false">IF(BZ68="Saddle",TRUE(),)</f>
        <v>1</v>
      </c>
      <c r="CH68" s="3" t="s">
        <v>914</v>
      </c>
      <c r="CI68" s="3" t="s">
        <v>750</v>
      </c>
      <c r="CJ68" s="3" t="s">
        <v>912</v>
      </c>
      <c r="CK68" s="3" t="s">
        <v>912</v>
      </c>
      <c r="CL68" s="3" t="s">
        <v>912</v>
      </c>
      <c r="CM68" s="3" t="s">
        <v>912</v>
      </c>
      <c r="CN68" s="3" t="s">
        <v>912</v>
      </c>
      <c r="CO68" s="3"/>
      <c r="CP68" s="3"/>
      <c r="CQ68" s="3"/>
      <c r="CR68" s="3"/>
      <c r="CS68" s="3"/>
      <c r="CT68" s="3"/>
      <c r="CU68" s="3"/>
      <c r="CV68" s="3" t="s">
        <v>1016</v>
      </c>
      <c r="CW68" s="3" t="s">
        <v>1017</v>
      </c>
      <c r="CX68" s="3" t="s">
        <v>1018</v>
      </c>
      <c r="CY68" s="3" t="s">
        <v>1019</v>
      </c>
      <c r="CZ68" s="3" t="s">
        <v>1020</v>
      </c>
    </row>
    <row r="69" customFormat="false" ht="15.75" hidden="false" customHeight="false" outlineLevel="0" collapsed="false">
      <c r="A69" s="290" t="s">
        <v>99</v>
      </c>
      <c r="B69" s="290" t="s">
        <v>378</v>
      </c>
      <c r="C69" s="290" t="s">
        <v>182</v>
      </c>
      <c r="D69" s="290" t="s">
        <v>182</v>
      </c>
      <c r="E69" s="290" t="s">
        <v>182</v>
      </c>
      <c r="F69" s="315" t="b">
        <f aca="false">TRUE()</f>
        <v>1</v>
      </c>
      <c r="G69" s="290" t="s">
        <v>440</v>
      </c>
      <c r="H69" s="290" t="s">
        <v>378</v>
      </c>
      <c r="I69" s="290" t="n">
        <v>90</v>
      </c>
      <c r="J69" s="3"/>
      <c r="K69" s="290" t="s">
        <v>884</v>
      </c>
      <c r="L69" s="290" t="n">
        <v>8</v>
      </c>
      <c r="M69" s="290" t="s">
        <v>783</v>
      </c>
      <c r="N69" s="290" t="s">
        <v>743</v>
      </c>
      <c r="O69" s="290" t="s">
        <v>763</v>
      </c>
      <c r="P69" s="290" t="s">
        <v>745</v>
      </c>
      <c r="Q69" s="290" t="s">
        <v>746</v>
      </c>
      <c r="R69" s="315" t="b">
        <f aca="false">FALSE()</f>
        <v>0</v>
      </c>
      <c r="S69" s="290" t="n">
        <v>150</v>
      </c>
      <c r="T69" s="290" t="n">
        <v>100</v>
      </c>
      <c r="U69" s="290" t="n">
        <v>85</v>
      </c>
      <c r="V69" s="290" t="n">
        <v>90</v>
      </c>
      <c r="W69" s="290" t="n">
        <v>30</v>
      </c>
      <c r="X69" s="290" t="n">
        <v>100</v>
      </c>
      <c r="Y69" s="290" t="n">
        <v>1</v>
      </c>
      <c r="Z69" s="290" t="n">
        <v>1</v>
      </c>
      <c r="AA69" s="290" t="n">
        <v>1</v>
      </c>
      <c r="AB69" s="290" t="n">
        <v>9450</v>
      </c>
      <c r="AC69" s="290" t="s">
        <v>836</v>
      </c>
      <c r="AD69" s="290" t="s">
        <v>182</v>
      </c>
      <c r="AE69" s="290" t="n">
        <v>100</v>
      </c>
      <c r="AF69" s="290" t="n">
        <v>135</v>
      </c>
      <c r="AG69" s="290" t="n">
        <v>430</v>
      </c>
      <c r="AH69" s="290" t="n">
        <v>600</v>
      </c>
      <c r="AI69" s="290" t="n">
        <v>282</v>
      </c>
      <c r="AJ69" s="315" t="b">
        <f aca="false">FALSE()</f>
        <v>0</v>
      </c>
      <c r="AK69" s="315" t="b">
        <f aca="false">FALSE()</f>
        <v>0</v>
      </c>
      <c r="AL69" s="290" t="s">
        <v>748</v>
      </c>
      <c r="AM69" s="315" t="b">
        <f aca="false">FALSE()</f>
        <v>0</v>
      </c>
      <c r="AN69" s="315" t="b">
        <f aca="false">FALSE()</f>
        <v>0</v>
      </c>
      <c r="AO69" s="290" t="n">
        <v>525</v>
      </c>
      <c r="AP69" s="290" t="n">
        <v>1</v>
      </c>
      <c r="AQ69" s="290" t="n">
        <v>8</v>
      </c>
      <c r="AR69" s="290" t="n">
        <v>25</v>
      </c>
      <c r="AS69" s="290" t="n">
        <v>90</v>
      </c>
      <c r="AT69" s="290" t="n">
        <v>1</v>
      </c>
      <c r="AU69" s="315" t="b">
        <f aca="false">FALSE()</f>
        <v>0</v>
      </c>
      <c r="AV69" s="315" t="b">
        <f aca="false">FALSE()</f>
        <v>0</v>
      </c>
      <c r="AW69" s="290" t="n">
        <v>5</v>
      </c>
      <c r="AX69" s="315" t="b">
        <f aca="false">FALSE()</f>
        <v>0</v>
      </c>
      <c r="AY69" s="315" t="b">
        <f aca="false">TRUE()</f>
        <v>1</v>
      </c>
      <c r="AZ69" s="290" t="n">
        <v>100</v>
      </c>
      <c r="BA69" s="290" t="n">
        <v>50</v>
      </c>
      <c r="BB69" s="290" t="n">
        <v>300</v>
      </c>
      <c r="BC69" s="290" t="n">
        <v>0</v>
      </c>
      <c r="BD69" s="290" t="n">
        <v>0</v>
      </c>
      <c r="BE69" s="290" t="n">
        <v>2</v>
      </c>
      <c r="BF69" s="290" t="n">
        <v>0</v>
      </c>
      <c r="BG69" s="290" t="n">
        <v>0</v>
      </c>
      <c r="BH69" s="290" t="n">
        <v>0</v>
      </c>
      <c r="BI69" s="290" t="n">
        <v>2</v>
      </c>
      <c r="BJ69" s="290" t="n">
        <v>2</v>
      </c>
      <c r="BK69" s="290" t="n">
        <v>0</v>
      </c>
      <c r="BL69" s="290" t="n">
        <v>0</v>
      </c>
      <c r="BM69" s="290" t="n">
        <v>0</v>
      </c>
      <c r="BN69" s="290" t="n">
        <v>0</v>
      </c>
      <c r="BO69" s="290" t="n">
        <v>0</v>
      </c>
      <c r="BP69" s="290" t="s">
        <v>182</v>
      </c>
      <c r="BQ69" s="290" t="s">
        <v>182</v>
      </c>
      <c r="BR69" s="290" t="s">
        <v>182</v>
      </c>
      <c r="BS69" s="290" t="s">
        <v>182</v>
      </c>
      <c r="BT69" s="290" t="n">
        <v>68</v>
      </c>
      <c r="BU69" s="316" t="b">
        <f aca="false">FALSE()</f>
        <v>0</v>
      </c>
      <c r="BV69" s="290"/>
      <c r="BW69" s="3"/>
      <c r="BX69" s="85" t="n">
        <v>28</v>
      </c>
      <c r="BY69" s="3" t="s">
        <v>1021</v>
      </c>
      <c r="BZ69" s="3" t="s">
        <v>775</v>
      </c>
      <c r="CA69" s="3"/>
      <c r="CB69" s="3"/>
      <c r="CC69" s="3"/>
      <c r="CD69" s="3"/>
      <c r="CE69" s="3"/>
      <c r="CF69" s="3"/>
      <c r="CG69" s="311" t="b">
        <f aca="false">IF(BZ69="Saddle",TRUE(),)</f>
        <v>1</v>
      </c>
      <c r="CH69" s="3" t="s">
        <v>776</v>
      </c>
      <c r="CI69" s="3" t="s">
        <v>750</v>
      </c>
      <c r="CJ69" s="3" t="s">
        <v>795</v>
      </c>
      <c r="CK69" s="3" t="s">
        <v>796</v>
      </c>
      <c r="CL69" s="3" t="s">
        <v>797</v>
      </c>
      <c r="CM69" s="3" t="s">
        <v>798</v>
      </c>
      <c r="CN69" s="3" t="s">
        <v>799</v>
      </c>
      <c r="CO69" s="3"/>
      <c r="CP69" s="3"/>
      <c r="CQ69" s="3"/>
      <c r="CR69" s="3"/>
      <c r="CS69" s="3"/>
      <c r="CT69" s="3"/>
      <c r="CU69" s="3" t="s">
        <v>750</v>
      </c>
      <c r="CV69" s="3" t="s">
        <v>777</v>
      </c>
      <c r="CW69" s="3" t="s">
        <v>778</v>
      </c>
      <c r="CX69" s="3" t="s">
        <v>779</v>
      </c>
      <c r="CY69" s="3" t="s">
        <v>780</v>
      </c>
      <c r="CZ69" s="3" t="s">
        <v>781</v>
      </c>
    </row>
    <row r="70" customFormat="false" ht="15.75" hidden="false" customHeight="false" outlineLevel="0" collapsed="false">
      <c r="A70" s="290" t="s">
        <v>100</v>
      </c>
      <c r="B70" s="290" t="s">
        <v>379</v>
      </c>
      <c r="C70" s="290" t="s">
        <v>182</v>
      </c>
      <c r="D70" s="290" t="s">
        <v>182</v>
      </c>
      <c r="E70" s="290" t="s">
        <v>182</v>
      </c>
      <c r="F70" s="315" t="b">
        <f aca="false">TRUE()</f>
        <v>1</v>
      </c>
      <c r="G70" s="290" t="s">
        <v>524</v>
      </c>
      <c r="H70" s="290" t="s">
        <v>379</v>
      </c>
      <c r="I70" s="290" t="n">
        <v>90</v>
      </c>
      <c r="J70" s="290" t="s">
        <v>761</v>
      </c>
      <c r="K70" s="290" t="s">
        <v>884</v>
      </c>
      <c r="L70" s="290" t="n">
        <v>9</v>
      </c>
      <c r="M70" s="290" t="s">
        <v>771</v>
      </c>
      <c r="N70" s="290" t="s">
        <v>743</v>
      </c>
      <c r="O70" s="290" t="s">
        <v>763</v>
      </c>
      <c r="P70" s="290" t="s">
        <v>745</v>
      </c>
      <c r="Q70" s="290" t="s">
        <v>746</v>
      </c>
      <c r="R70" s="315" t="b">
        <f aca="false">FALSE()</f>
        <v>0</v>
      </c>
      <c r="S70" s="290" t="n">
        <v>150</v>
      </c>
      <c r="T70" s="290" t="n">
        <v>100</v>
      </c>
      <c r="U70" s="290" t="n">
        <v>85</v>
      </c>
      <c r="V70" s="290" t="n">
        <v>90</v>
      </c>
      <c r="W70" s="290" t="n">
        <v>30</v>
      </c>
      <c r="X70" s="290" t="n">
        <v>100</v>
      </c>
      <c r="Y70" s="290" t="n">
        <v>1</v>
      </c>
      <c r="Z70" s="290" t="n">
        <v>1</v>
      </c>
      <c r="AA70" s="290" t="n">
        <v>1</v>
      </c>
      <c r="AB70" s="290" t="n">
        <v>9580</v>
      </c>
      <c r="AC70" s="290" t="s">
        <v>836</v>
      </c>
      <c r="AD70" s="290" t="s">
        <v>182</v>
      </c>
      <c r="AE70" s="290" t="n">
        <v>100</v>
      </c>
      <c r="AF70" s="290" t="n">
        <v>135</v>
      </c>
      <c r="AG70" s="290" t="n">
        <v>430</v>
      </c>
      <c r="AH70" s="290" t="n">
        <v>600</v>
      </c>
      <c r="AI70" s="290" t="n">
        <v>282</v>
      </c>
      <c r="AJ70" s="315" t="b">
        <f aca="false">FALSE()</f>
        <v>0</v>
      </c>
      <c r="AK70" s="315" t="b">
        <f aca="false">FALSE()</f>
        <v>0</v>
      </c>
      <c r="AL70" s="290" t="s">
        <v>748</v>
      </c>
      <c r="AM70" s="315" t="b">
        <f aca="false">FALSE()</f>
        <v>0</v>
      </c>
      <c r="AN70" s="315" t="b">
        <f aca="false">FALSE()</f>
        <v>0</v>
      </c>
      <c r="AO70" s="290" t="n">
        <v>525</v>
      </c>
      <c r="AP70" s="290" t="n">
        <v>1</v>
      </c>
      <c r="AQ70" s="290" t="n">
        <v>8</v>
      </c>
      <c r="AR70" s="290" t="n">
        <v>25</v>
      </c>
      <c r="AS70" s="290" t="n">
        <v>90</v>
      </c>
      <c r="AT70" s="290" t="n">
        <v>1</v>
      </c>
      <c r="AU70" s="315" t="b">
        <f aca="false">FALSE()</f>
        <v>0</v>
      </c>
      <c r="AV70" s="315" t="b">
        <f aca="false">FALSE()</f>
        <v>0</v>
      </c>
      <c r="AW70" s="290" t="n">
        <v>5</v>
      </c>
      <c r="AX70" s="315" t="b">
        <f aca="false">FALSE()</f>
        <v>0</v>
      </c>
      <c r="AY70" s="315" t="b">
        <f aca="false">TRUE()</f>
        <v>1</v>
      </c>
      <c r="AZ70" s="290" t="n">
        <v>100</v>
      </c>
      <c r="BA70" s="290" t="n">
        <v>50</v>
      </c>
      <c r="BB70" s="290" t="n">
        <v>290</v>
      </c>
      <c r="BC70" s="290" t="n">
        <v>0</v>
      </c>
      <c r="BD70" s="290" t="n">
        <v>0</v>
      </c>
      <c r="BE70" s="290" t="n">
        <v>0</v>
      </c>
      <c r="BF70" s="290" t="n">
        <v>0</v>
      </c>
      <c r="BG70" s="290" t="n">
        <v>0</v>
      </c>
      <c r="BH70" s="290" t="n">
        <v>0</v>
      </c>
      <c r="BI70" s="290" t="n">
        <v>2</v>
      </c>
      <c r="BJ70" s="290" t="n">
        <v>2</v>
      </c>
      <c r="BK70" s="290" t="n">
        <v>0</v>
      </c>
      <c r="BL70" s="290" t="n">
        <v>0</v>
      </c>
      <c r="BM70" s="290" t="n">
        <v>2</v>
      </c>
      <c r="BN70" s="290" t="n">
        <v>0</v>
      </c>
      <c r="BO70" s="290" t="n">
        <v>0</v>
      </c>
      <c r="BP70" s="290" t="s">
        <v>182</v>
      </c>
      <c r="BQ70" s="290" t="s">
        <v>182</v>
      </c>
      <c r="BR70" s="290" t="s">
        <v>182</v>
      </c>
      <c r="BS70" s="290" t="s">
        <v>182</v>
      </c>
      <c r="BT70" s="290" t="n">
        <v>69</v>
      </c>
      <c r="BU70" s="316" t="b">
        <f aca="false">TRUE()</f>
        <v>1</v>
      </c>
      <c r="BV70" s="290"/>
      <c r="BW70" s="290" t="s">
        <v>761</v>
      </c>
      <c r="BX70" s="85" t="n">
        <v>45</v>
      </c>
      <c r="BY70" s="3" t="s">
        <v>1022</v>
      </c>
      <c r="BZ70" s="3" t="s">
        <v>775</v>
      </c>
      <c r="CA70" s="3"/>
      <c r="CB70" s="3"/>
      <c r="CC70" s="3"/>
      <c r="CD70" s="3"/>
      <c r="CE70" s="3"/>
      <c r="CF70" s="3"/>
      <c r="CG70" s="311" t="b">
        <f aca="false">IF(BZ70="Saddle",TRUE(),)</f>
        <v>1</v>
      </c>
      <c r="CH70" s="3" t="s">
        <v>776</v>
      </c>
      <c r="CI70" s="3" t="s">
        <v>750</v>
      </c>
      <c r="CJ70" s="3" t="s">
        <v>795</v>
      </c>
      <c r="CK70" s="3" t="s">
        <v>796</v>
      </c>
      <c r="CL70" s="3" t="s">
        <v>797</v>
      </c>
      <c r="CM70" s="3" t="s">
        <v>798</v>
      </c>
      <c r="CN70" s="3" t="s">
        <v>799</v>
      </c>
      <c r="CO70" s="3"/>
      <c r="CP70" s="3"/>
      <c r="CQ70" s="3"/>
      <c r="CR70" s="3"/>
      <c r="CS70" s="3"/>
      <c r="CT70" s="3"/>
      <c r="CU70" s="3" t="s">
        <v>750</v>
      </c>
      <c r="CV70" s="3" t="s">
        <v>777</v>
      </c>
      <c r="CW70" s="3" t="s">
        <v>778</v>
      </c>
      <c r="CX70" s="3" t="s">
        <v>779</v>
      </c>
      <c r="CY70" s="3" t="s">
        <v>780</v>
      </c>
      <c r="CZ70" s="3" t="s">
        <v>781</v>
      </c>
    </row>
    <row r="71" customFormat="false" ht="15.75" hidden="false" customHeight="false" outlineLevel="0" collapsed="false">
      <c r="A71" s="290" t="s">
        <v>54</v>
      </c>
      <c r="B71" s="290" t="s">
        <v>384</v>
      </c>
      <c r="C71" s="290" t="s">
        <v>182</v>
      </c>
      <c r="D71" s="290" t="s">
        <v>182</v>
      </c>
      <c r="E71" s="290" t="s">
        <v>182</v>
      </c>
      <c r="F71" s="315" t="b">
        <f aca="false">TRUE()</f>
        <v>1</v>
      </c>
      <c r="G71" s="290" t="s">
        <v>464</v>
      </c>
      <c r="H71" s="290" t="s">
        <v>384</v>
      </c>
      <c r="I71" s="290" t="n">
        <v>94</v>
      </c>
      <c r="J71" s="3"/>
      <c r="K71" s="290" t="s">
        <v>741</v>
      </c>
      <c r="L71" s="290" t="n">
        <v>6</v>
      </c>
      <c r="M71" s="290" t="s">
        <v>758</v>
      </c>
      <c r="N71" s="290" t="s">
        <v>743</v>
      </c>
      <c r="O71" s="290" t="s">
        <v>744</v>
      </c>
      <c r="P71" s="290" t="s">
        <v>745</v>
      </c>
      <c r="Q71" s="290" t="s">
        <v>746</v>
      </c>
      <c r="R71" s="315" t="b">
        <f aca="false">FALSE()</f>
        <v>0</v>
      </c>
      <c r="S71" s="290" t="n">
        <v>100</v>
      </c>
      <c r="T71" s="290" t="n">
        <v>100</v>
      </c>
      <c r="U71" s="290" t="n">
        <v>105</v>
      </c>
      <c r="V71" s="290" t="n">
        <v>110</v>
      </c>
      <c r="W71" s="290" t="n">
        <v>110</v>
      </c>
      <c r="X71" s="290" t="n">
        <v>100</v>
      </c>
      <c r="Y71" s="290" t="n">
        <v>1</v>
      </c>
      <c r="Z71" s="290" t="n">
        <v>1</v>
      </c>
      <c r="AA71" s="290" t="n">
        <v>1</v>
      </c>
      <c r="AB71" s="290" t="n">
        <v>2100</v>
      </c>
      <c r="AC71" s="290" t="s">
        <v>747</v>
      </c>
      <c r="AD71" s="290" t="s">
        <v>182</v>
      </c>
      <c r="AE71" s="290" t="n">
        <v>60</v>
      </c>
      <c r="AF71" s="290" t="n">
        <v>100</v>
      </c>
      <c r="AG71" s="290" t="n">
        <v>550</v>
      </c>
      <c r="AH71" s="290" t="n">
        <v>700</v>
      </c>
      <c r="AI71" s="290" t="n">
        <v>325</v>
      </c>
      <c r="AJ71" s="315" t="b">
        <f aca="false">FALSE()</f>
        <v>0</v>
      </c>
      <c r="AK71" s="315" t="b">
        <f aca="false">FALSE()</f>
        <v>0</v>
      </c>
      <c r="AL71" s="290" t="s">
        <v>765</v>
      </c>
      <c r="AM71" s="315" t="b">
        <f aca="false">FALSE()</f>
        <v>0</v>
      </c>
      <c r="AN71" s="315" t="b">
        <f aca="false">FALSE()</f>
        <v>0</v>
      </c>
      <c r="AO71" s="290" t="n">
        <v>350</v>
      </c>
      <c r="AP71" s="290" t="n">
        <v>1</v>
      </c>
      <c r="AQ71" s="290" t="n">
        <v>5</v>
      </c>
      <c r="AR71" s="290" t="n">
        <v>25</v>
      </c>
      <c r="AS71" s="290" t="n">
        <v>90</v>
      </c>
      <c r="AT71" s="290" t="n">
        <v>1</v>
      </c>
      <c r="AU71" s="315" t="b">
        <f aca="false">FALSE()</f>
        <v>0</v>
      </c>
      <c r="AV71" s="315" t="b">
        <f aca="false">TRUE()</f>
        <v>1</v>
      </c>
      <c r="AW71" s="290" t="n">
        <v>5</v>
      </c>
      <c r="AX71" s="315" t="b">
        <f aca="false">FALSE()</f>
        <v>0</v>
      </c>
      <c r="AY71" s="315" t="b">
        <f aca="false">TRUE()</f>
        <v>1</v>
      </c>
      <c r="AZ71" s="290" t="n">
        <v>100</v>
      </c>
      <c r="BA71" s="290" t="n">
        <v>50</v>
      </c>
      <c r="BB71" s="290" t="n">
        <v>1010</v>
      </c>
      <c r="BC71" s="290" t="n">
        <v>0</v>
      </c>
      <c r="BD71" s="290" t="n">
        <v>0</v>
      </c>
      <c r="BE71" s="290" t="n">
        <v>0</v>
      </c>
      <c r="BF71" s="290" t="n">
        <v>0</v>
      </c>
      <c r="BG71" s="290" t="n">
        <v>0</v>
      </c>
      <c r="BH71" s="290" t="n">
        <v>0</v>
      </c>
      <c r="BI71" s="290" t="n">
        <v>0</v>
      </c>
      <c r="BJ71" s="290" t="n">
        <v>0</v>
      </c>
      <c r="BK71" s="290" t="n">
        <v>0</v>
      </c>
      <c r="BL71" s="290" t="n">
        <v>3</v>
      </c>
      <c r="BM71" s="290" t="n">
        <v>0</v>
      </c>
      <c r="BN71" s="290" t="n">
        <v>0</v>
      </c>
      <c r="BO71" s="290" t="n">
        <v>0</v>
      </c>
      <c r="BP71" s="290" t="s">
        <v>182</v>
      </c>
      <c r="BQ71" s="290" t="s">
        <v>182</v>
      </c>
      <c r="BR71" s="290" t="s">
        <v>182</v>
      </c>
      <c r="BS71" s="290" t="s">
        <v>182</v>
      </c>
      <c r="BT71" s="290" t="n">
        <v>70</v>
      </c>
      <c r="BU71" s="316" t="b">
        <f aca="false">FALSE()</f>
        <v>0</v>
      </c>
      <c r="BV71" s="290"/>
      <c r="BW71" s="3"/>
      <c r="BX71" s="3"/>
      <c r="BY71" s="3"/>
      <c r="BZ71" s="3"/>
      <c r="CA71" s="3"/>
      <c r="CB71" s="3"/>
      <c r="CC71" s="3"/>
      <c r="CD71" s="3"/>
      <c r="CE71" s="3"/>
      <c r="CF71" s="3"/>
      <c r="CG71" s="3" t="n">
        <f aca="false">IF(BZ71="Saddle",TRUE(),)</f>
        <v>0</v>
      </c>
      <c r="CH71" s="3"/>
      <c r="CI71" s="3"/>
      <c r="CJ71" s="3"/>
      <c r="CK71" s="3"/>
      <c r="CL71" s="3"/>
      <c r="CM71" s="3"/>
      <c r="CN71" s="3"/>
      <c r="CO71" s="3"/>
      <c r="CP71" s="3"/>
      <c r="CQ71" s="3"/>
      <c r="CR71" s="3"/>
      <c r="CS71" s="3"/>
      <c r="CT71" s="3"/>
      <c r="CU71" s="3" t="s">
        <v>1023</v>
      </c>
      <c r="CV71" s="3" t="s">
        <v>1024</v>
      </c>
      <c r="CW71" s="3" t="s">
        <v>1025</v>
      </c>
      <c r="CX71" s="3" t="s">
        <v>1026</v>
      </c>
      <c r="CY71" s="3" t="s">
        <v>1027</v>
      </c>
      <c r="CZ71" s="3" t="s">
        <v>1028</v>
      </c>
    </row>
    <row r="72" customFormat="false" ht="15.75" hidden="false" customHeight="false" outlineLevel="0" collapsed="false">
      <c r="A72" s="290" t="s">
        <v>29</v>
      </c>
      <c r="B72" s="290" t="s">
        <v>371</v>
      </c>
      <c r="C72" s="290" t="s">
        <v>182</v>
      </c>
      <c r="D72" s="290" t="s">
        <v>182</v>
      </c>
      <c r="E72" s="290" t="s">
        <v>182</v>
      </c>
      <c r="F72" s="315" t="b">
        <f aca="false">TRUE()</f>
        <v>1</v>
      </c>
      <c r="G72" s="290" t="s">
        <v>469</v>
      </c>
      <c r="H72" s="290" t="s">
        <v>371</v>
      </c>
      <c r="I72" s="290" t="n">
        <v>86</v>
      </c>
      <c r="J72" s="3"/>
      <c r="K72" s="290" t="s">
        <v>884</v>
      </c>
      <c r="L72" s="290" t="n">
        <v>7</v>
      </c>
      <c r="M72" s="290" t="s">
        <v>783</v>
      </c>
      <c r="N72" s="290" t="s">
        <v>743</v>
      </c>
      <c r="O72" s="290" t="s">
        <v>763</v>
      </c>
      <c r="P72" s="290" t="s">
        <v>745</v>
      </c>
      <c r="Q72" s="290" t="s">
        <v>746</v>
      </c>
      <c r="R72" s="315" t="b">
        <f aca="false">FALSE()</f>
        <v>0</v>
      </c>
      <c r="S72" s="290" t="n">
        <v>120</v>
      </c>
      <c r="T72" s="290" t="n">
        <v>80</v>
      </c>
      <c r="U72" s="290" t="n">
        <v>90</v>
      </c>
      <c r="V72" s="290" t="n">
        <v>100</v>
      </c>
      <c r="W72" s="290" t="n">
        <v>120</v>
      </c>
      <c r="X72" s="290" t="n">
        <v>100</v>
      </c>
      <c r="Y72" s="290" t="n">
        <v>1</v>
      </c>
      <c r="Z72" s="290" t="n">
        <v>1</v>
      </c>
      <c r="AA72" s="290" t="n">
        <v>1</v>
      </c>
      <c r="AB72" s="290" t="n">
        <v>2920</v>
      </c>
      <c r="AC72" s="290" t="s">
        <v>836</v>
      </c>
      <c r="AD72" s="290" t="s">
        <v>182</v>
      </c>
      <c r="AE72" s="290" t="n">
        <v>50</v>
      </c>
      <c r="AF72" s="290" t="n">
        <v>75</v>
      </c>
      <c r="AG72" s="290" t="n">
        <v>350</v>
      </c>
      <c r="AH72" s="290" t="n">
        <v>500</v>
      </c>
      <c r="AI72" s="290" t="n">
        <v>200</v>
      </c>
      <c r="AJ72" s="315" t="b">
        <f aca="false">FALSE()</f>
        <v>0</v>
      </c>
      <c r="AK72" s="315" t="b">
        <f aca="false">FALSE()</f>
        <v>0</v>
      </c>
      <c r="AL72" s="290" t="s">
        <v>765</v>
      </c>
      <c r="AM72" s="315" t="b">
        <f aca="false">FALSE()</f>
        <v>0</v>
      </c>
      <c r="AN72" s="315" t="b">
        <f aca="false">FALSE()</f>
        <v>0</v>
      </c>
      <c r="AO72" s="290" t="n">
        <v>475</v>
      </c>
      <c r="AP72" s="290" t="n">
        <v>1</v>
      </c>
      <c r="AQ72" s="290" t="n">
        <v>7</v>
      </c>
      <c r="AR72" s="290" t="n">
        <v>25</v>
      </c>
      <c r="AS72" s="290" t="n">
        <v>90</v>
      </c>
      <c r="AT72" s="290" t="n">
        <v>1</v>
      </c>
      <c r="AU72" s="315" t="b">
        <f aca="false">FALSE()</f>
        <v>0</v>
      </c>
      <c r="AV72" s="315" t="b">
        <f aca="false">FALSE()</f>
        <v>0</v>
      </c>
      <c r="AW72" s="290" t="n">
        <v>5</v>
      </c>
      <c r="AX72" s="315" t="b">
        <f aca="false">FALSE()</f>
        <v>0</v>
      </c>
      <c r="AY72" s="315" t="b">
        <f aca="false">TRUE()</f>
        <v>1</v>
      </c>
      <c r="AZ72" s="290" t="n">
        <v>100</v>
      </c>
      <c r="BA72" s="290" t="n">
        <v>50</v>
      </c>
      <c r="BB72" s="290" t="n">
        <v>860</v>
      </c>
      <c r="BC72" s="290" t="n">
        <v>0</v>
      </c>
      <c r="BD72" s="290" t="n">
        <v>0</v>
      </c>
      <c r="BE72" s="290" t="n">
        <v>3</v>
      </c>
      <c r="BF72" s="290" t="n">
        <v>0</v>
      </c>
      <c r="BG72" s="290" t="n">
        <v>0</v>
      </c>
      <c r="BH72" s="290" t="n">
        <v>0</v>
      </c>
      <c r="BI72" s="290" t="n">
        <v>0</v>
      </c>
      <c r="BJ72" s="290" t="n">
        <v>0</v>
      </c>
      <c r="BK72" s="290" t="n">
        <v>0</v>
      </c>
      <c r="BL72" s="290" t="n">
        <v>0</v>
      </c>
      <c r="BM72" s="290" t="n">
        <v>0</v>
      </c>
      <c r="BN72" s="290" t="n">
        <v>0</v>
      </c>
      <c r="BO72" s="290" t="n">
        <v>0</v>
      </c>
      <c r="BP72" s="290" t="s">
        <v>182</v>
      </c>
      <c r="BQ72" s="290" t="s">
        <v>182</v>
      </c>
      <c r="BR72" s="290" t="s">
        <v>182</v>
      </c>
      <c r="BS72" s="290" t="s">
        <v>182</v>
      </c>
      <c r="BT72" s="290" t="n">
        <v>71</v>
      </c>
      <c r="BU72" s="316" t="b">
        <f aca="false">FALSE()</f>
        <v>0</v>
      </c>
      <c r="BV72" s="290"/>
      <c r="BW72" s="3"/>
      <c r="BX72" s="85" t="n">
        <v>20</v>
      </c>
      <c r="BY72" s="3" t="s">
        <v>1029</v>
      </c>
      <c r="BZ72" s="3" t="s">
        <v>775</v>
      </c>
      <c r="CA72" s="3"/>
      <c r="CB72" s="3"/>
      <c r="CC72" s="3"/>
      <c r="CD72" s="3"/>
      <c r="CE72" s="3"/>
      <c r="CF72" s="3"/>
      <c r="CG72" s="311" t="b">
        <f aca="false">IF(BZ72="Saddle",TRUE(),)</f>
        <v>1</v>
      </c>
      <c r="CH72" s="3" t="s">
        <v>776</v>
      </c>
      <c r="CI72" s="3"/>
      <c r="CJ72" s="3"/>
      <c r="CK72" s="3"/>
      <c r="CL72" s="3"/>
      <c r="CM72" s="3"/>
      <c r="CN72" s="3"/>
      <c r="CO72" s="3"/>
      <c r="CP72" s="3"/>
      <c r="CQ72" s="3"/>
      <c r="CR72" s="3"/>
      <c r="CS72" s="3"/>
      <c r="CT72" s="3"/>
      <c r="CU72" s="85" t="n">
        <v>8</v>
      </c>
      <c r="CV72" s="3" t="s">
        <v>858</v>
      </c>
      <c r="CW72" s="3" t="s">
        <v>859</v>
      </c>
      <c r="CX72" s="3" t="s">
        <v>860</v>
      </c>
      <c r="CY72" s="3" t="s">
        <v>1030</v>
      </c>
      <c r="CZ72" s="3" t="s">
        <v>1031</v>
      </c>
    </row>
    <row r="73" customFormat="false" ht="15.75" hidden="false" customHeight="false" outlineLevel="0" collapsed="false">
      <c r="A73" s="290" t="s">
        <v>30</v>
      </c>
      <c r="B73" s="290" t="s">
        <v>372</v>
      </c>
      <c r="C73" s="290" t="s">
        <v>182</v>
      </c>
      <c r="D73" s="290" t="s">
        <v>182</v>
      </c>
      <c r="E73" s="290" t="s">
        <v>182</v>
      </c>
      <c r="F73" s="315" t="b">
        <f aca="false">TRUE()</f>
        <v>1</v>
      </c>
      <c r="G73" s="290" t="s">
        <v>544</v>
      </c>
      <c r="H73" s="290" t="s">
        <v>372</v>
      </c>
      <c r="I73" s="290" t="n">
        <v>86</v>
      </c>
      <c r="J73" s="290" t="s">
        <v>761</v>
      </c>
      <c r="K73" s="290" t="s">
        <v>884</v>
      </c>
      <c r="L73" s="290" t="n">
        <v>8</v>
      </c>
      <c r="M73" s="290" t="s">
        <v>783</v>
      </c>
      <c r="N73" s="290" t="s">
        <v>814</v>
      </c>
      <c r="O73" s="290" t="s">
        <v>763</v>
      </c>
      <c r="P73" s="290" t="s">
        <v>745</v>
      </c>
      <c r="Q73" s="290" t="s">
        <v>746</v>
      </c>
      <c r="R73" s="315" t="b">
        <f aca="false">FALSE()</f>
        <v>0</v>
      </c>
      <c r="S73" s="290" t="n">
        <v>120</v>
      </c>
      <c r="T73" s="290" t="n">
        <v>80</v>
      </c>
      <c r="U73" s="290" t="n">
        <v>95</v>
      </c>
      <c r="V73" s="290" t="n">
        <v>100</v>
      </c>
      <c r="W73" s="290" t="n">
        <v>120</v>
      </c>
      <c r="X73" s="290" t="n">
        <v>100</v>
      </c>
      <c r="Y73" s="290" t="n">
        <v>1</v>
      </c>
      <c r="Z73" s="290" t="n">
        <v>1</v>
      </c>
      <c r="AA73" s="290" t="n">
        <v>1</v>
      </c>
      <c r="AB73" s="290" t="n">
        <v>3110</v>
      </c>
      <c r="AC73" s="290" t="s">
        <v>836</v>
      </c>
      <c r="AD73" s="290" t="s">
        <v>182</v>
      </c>
      <c r="AE73" s="290" t="n">
        <v>50</v>
      </c>
      <c r="AF73" s="290" t="n">
        <v>75</v>
      </c>
      <c r="AG73" s="290" t="n">
        <v>350</v>
      </c>
      <c r="AH73" s="290" t="n">
        <v>500</v>
      </c>
      <c r="AI73" s="290" t="n">
        <v>200</v>
      </c>
      <c r="AJ73" s="315" t="b">
        <f aca="false">FALSE()</f>
        <v>0</v>
      </c>
      <c r="AK73" s="315" t="b">
        <f aca="false">FALSE()</f>
        <v>0</v>
      </c>
      <c r="AL73" s="290" t="s">
        <v>765</v>
      </c>
      <c r="AM73" s="315" t="b">
        <f aca="false">FALSE()</f>
        <v>0</v>
      </c>
      <c r="AN73" s="315" t="b">
        <f aca="false">FALSE()</f>
        <v>0</v>
      </c>
      <c r="AO73" s="290" t="n">
        <v>475</v>
      </c>
      <c r="AP73" s="290" t="n">
        <v>1</v>
      </c>
      <c r="AQ73" s="290" t="n">
        <v>7</v>
      </c>
      <c r="AR73" s="290" t="n">
        <v>25</v>
      </c>
      <c r="AS73" s="290" t="n">
        <v>90</v>
      </c>
      <c r="AT73" s="290" t="n">
        <v>1</v>
      </c>
      <c r="AU73" s="315" t="b">
        <f aca="false">FALSE()</f>
        <v>0</v>
      </c>
      <c r="AV73" s="315" t="b">
        <f aca="false">FALSE()</f>
        <v>0</v>
      </c>
      <c r="AW73" s="290" t="n">
        <v>5</v>
      </c>
      <c r="AX73" s="315" t="b">
        <f aca="false">FALSE()</f>
        <v>0</v>
      </c>
      <c r="AY73" s="315" t="b">
        <f aca="false">TRUE()</f>
        <v>1</v>
      </c>
      <c r="AZ73" s="290" t="n">
        <v>100</v>
      </c>
      <c r="BA73" s="290" t="n">
        <v>50</v>
      </c>
      <c r="BB73" s="290" t="n">
        <v>840</v>
      </c>
      <c r="BC73" s="290" t="n">
        <v>0</v>
      </c>
      <c r="BD73" s="290" t="n">
        <v>3</v>
      </c>
      <c r="BE73" s="290" t="n">
        <v>0</v>
      </c>
      <c r="BF73" s="290" t="n">
        <v>0</v>
      </c>
      <c r="BG73" s="290" t="n">
        <v>0</v>
      </c>
      <c r="BH73" s="290" t="n">
        <v>0</v>
      </c>
      <c r="BI73" s="290" t="n">
        <v>0</v>
      </c>
      <c r="BJ73" s="290" t="n">
        <v>0</v>
      </c>
      <c r="BK73" s="290" t="n">
        <v>0</v>
      </c>
      <c r="BL73" s="290" t="n">
        <v>0</v>
      </c>
      <c r="BM73" s="290" t="n">
        <v>0</v>
      </c>
      <c r="BN73" s="290" t="n">
        <v>0</v>
      </c>
      <c r="BO73" s="290" t="n">
        <v>0</v>
      </c>
      <c r="BP73" s="290" t="s">
        <v>182</v>
      </c>
      <c r="BQ73" s="290" t="s">
        <v>182</v>
      </c>
      <c r="BR73" s="290" t="s">
        <v>182</v>
      </c>
      <c r="BS73" s="290" t="s">
        <v>182</v>
      </c>
      <c r="BT73" s="290" t="n">
        <v>72</v>
      </c>
      <c r="BU73" s="316" t="b">
        <f aca="false">TRUE()</f>
        <v>1</v>
      </c>
      <c r="BV73" s="290"/>
      <c r="BW73" s="290" t="s">
        <v>761</v>
      </c>
      <c r="BX73" s="85" t="n">
        <v>27</v>
      </c>
      <c r="BY73" s="3" t="s">
        <v>1032</v>
      </c>
      <c r="BZ73" s="3" t="s">
        <v>775</v>
      </c>
      <c r="CA73" s="3"/>
      <c r="CB73" s="3"/>
      <c r="CC73" s="3"/>
      <c r="CD73" s="3"/>
      <c r="CE73" s="3"/>
      <c r="CF73" s="3"/>
      <c r="CG73" s="311" t="b">
        <f aca="false">IF(BZ73="Saddle",TRUE(),)</f>
        <v>1</v>
      </c>
      <c r="CH73" s="3" t="s">
        <v>776</v>
      </c>
      <c r="CI73" s="3"/>
      <c r="CJ73" s="3"/>
      <c r="CK73" s="3"/>
      <c r="CL73" s="3"/>
      <c r="CM73" s="3"/>
      <c r="CN73" s="3"/>
      <c r="CO73" s="3"/>
      <c r="CP73" s="3"/>
      <c r="CQ73" s="3"/>
      <c r="CR73" s="3"/>
      <c r="CS73" s="3"/>
      <c r="CT73" s="3"/>
      <c r="CU73" s="85" t="n">
        <v>8</v>
      </c>
      <c r="CV73" s="3" t="s">
        <v>858</v>
      </c>
      <c r="CW73" s="3" t="s">
        <v>859</v>
      </c>
      <c r="CX73" s="3" t="s">
        <v>860</v>
      </c>
      <c r="CY73" s="3" t="s">
        <v>1030</v>
      </c>
      <c r="CZ73" s="3" t="s">
        <v>1031</v>
      </c>
    </row>
    <row r="74" customFormat="false" ht="15.75" hidden="false" customHeight="false" outlineLevel="0" collapsed="false">
      <c r="A74" s="290" t="s">
        <v>53</v>
      </c>
      <c r="B74" s="290" t="s">
        <v>396</v>
      </c>
      <c r="C74" s="290" t="s">
        <v>182</v>
      </c>
      <c r="D74" s="290" t="s">
        <v>182</v>
      </c>
      <c r="E74" s="290" t="s">
        <v>182</v>
      </c>
      <c r="F74" s="315" t="b">
        <f aca="false">TRUE()</f>
        <v>1</v>
      </c>
      <c r="G74" s="290" t="s">
        <v>501</v>
      </c>
      <c r="H74" s="290" t="s">
        <v>396</v>
      </c>
      <c r="I74" s="290" t="n">
        <v>105</v>
      </c>
      <c r="J74" s="290" t="s">
        <v>761</v>
      </c>
      <c r="K74" s="290" t="s">
        <v>793</v>
      </c>
      <c r="L74" s="290" t="n">
        <v>9</v>
      </c>
      <c r="M74" s="290" t="s">
        <v>757</v>
      </c>
      <c r="N74" s="290" t="s">
        <v>743</v>
      </c>
      <c r="O74" s="290" t="s">
        <v>790</v>
      </c>
      <c r="P74" s="290" t="s">
        <v>745</v>
      </c>
      <c r="Q74" s="290" t="s">
        <v>746</v>
      </c>
      <c r="R74" s="315" t="b">
        <f aca="false">FALSE()</f>
        <v>0</v>
      </c>
      <c r="S74" s="290" t="n">
        <v>100</v>
      </c>
      <c r="T74" s="290" t="n">
        <v>100</v>
      </c>
      <c r="U74" s="290" t="n">
        <v>105</v>
      </c>
      <c r="V74" s="290" t="n">
        <v>110</v>
      </c>
      <c r="W74" s="290" t="n">
        <v>90</v>
      </c>
      <c r="X74" s="290" t="n">
        <v>100</v>
      </c>
      <c r="Y74" s="290" t="n">
        <v>1</v>
      </c>
      <c r="Z74" s="290" t="n">
        <v>1</v>
      </c>
      <c r="AA74" s="290" t="n">
        <v>1</v>
      </c>
      <c r="AB74" s="290" t="n">
        <v>6720</v>
      </c>
      <c r="AC74" s="290" t="s">
        <v>747</v>
      </c>
      <c r="AD74" s="290" t="s">
        <v>182</v>
      </c>
      <c r="AE74" s="290" t="n">
        <v>150</v>
      </c>
      <c r="AF74" s="290" t="n">
        <v>200</v>
      </c>
      <c r="AG74" s="290" t="n">
        <v>1000</v>
      </c>
      <c r="AH74" s="290" t="n">
        <v>1400</v>
      </c>
      <c r="AI74" s="290" t="n">
        <v>500</v>
      </c>
      <c r="AJ74" s="315" t="b">
        <f aca="false">FALSE()</f>
        <v>0</v>
      </c>
      <c r="AK74" s="315" t="b">
        <f aca="false">FALSE()</f>
        <v>0</v>
      </c>
      <c r="AL74" s="290" t="s">
        <v>759</v>
      </c>
      <c r="AM74" s="315" t="b">
        <f aca="false">FALSE()</f>
        <v>0</v>
      </c>
      <c r="AN74" s="315" t="b">
        <f aca="false">FALSE()</f>
        <v>0</v>
      </c>
      <c r="AO74" s="290" t="n">
        <v>525</v>
      </c>
      <c r="AP74" s="290" t="n">
        <v>1</v>
      </c>
      <c r="AQ74" s="290" t="n">
        <v>8</v>
      </c>
      <c r="AR74" s="290" t="n">
        <v>25</v>
      </c>
      <c r="AS74" s="290" t="n">
        <v>90</v>
      </c>
      <c r="AT74" s="290" t="n">
        <v>1</v>
      </c>
      <c r="AU74" s="315" t="b">
        <f aca="false">FALSE()</f>
        <v>0</v>
      </c>
      <c r="AV74" s="315" t="b">
        <f aca="false">FALSE()</f>
        <v>0</v>
      </c>
      <c r="AW74" s="290" t="n">
        <v>5</v>
      </c>
      <c r="AX74" s="315" t="b">
        <f aca="false">FALSE()</f>
        <v>0</v>
      </c>
      <c r="AY74" s="315" t="b">
        <f aca="false">TRUE()</f>
        <v>1</v>
      </c>
      <c r="AZ74" s="290" t="n">
        <v>230</v>
      </c>
      <c r="BA74" s="290" t="n">
        <v>50</v>
      </c>
      <c r="BB74" s="290" t="n">
        <v>370</v>
      </c>
      <c r="BC74" s="290" t="n">
        <v>3</v>
      </c>
      <c r="BD74" s="290" t="n">
        <v>0</v>
      </c>
      <c r="BE74" s="290" t="n">
        <v>0</v>
      </c>
      <c r="BF74" s="290" t="n">
        <v>0</v>
      </c>
      <c r="BG74" s="290" t="n">
        <v>0</v>
      </c>
      <c r="BH74" s="290" t="n">
        <v>0</v>
      </c>
      <c r="BI74" s="290" t="n">
        <v>0</v>
      </c>
      <c r="BJ74" s="290" t="n">
        <v>0</v>
      </c>
      <c r="BK74" s="290" t="n">
        <v>0</v>
      </c>
      <c r="BL74" s="290" t="n">
        <v>0</v>
      </c>
      <c r="BM74" s="290" t="n">
        <v>0</v>
      </c>
      <c r="BN74" s="290" t="n">
        <v>3</v>
      </c>
      <c r="BO74" s="290" t="n">
        <v>0</v>
      </c>
      <c r="BP74" s="290" t="s">
        <v>182</v>
      </c>
      <c r="BQ74" s="290" t="s">
        <v>182</v>
      </c>
      <c r="BR74" s="290" t="s">
        <v>182</v>
      </c>
      <c r="BS74" s="290" t="s">
        <v>182</v>
      </c>
      <c r="BT74" s="290" t="n">
        <v>73</v>
      </c>
      <c r="BU74" s="316" t="b">
        <f aca="false">TRUE()</f>
        <v>1</v>
      </c>
      <c r="BV74" s="290"/>
      <c r="BW74" s="3"/>
      <c r="BX74" s="85" t="n">
        <v>38</v>
      </c>
      <c r="BY74" s="3" t="s">
        <v>1033</v>
      </c>
      <c r="BZ74" s="3" t="s">
        <v>775</v>
      </c>
      <c r="CA74" s="3"/>
      <c r="CB74" s="3"/>
      <c r="CC74" s="3"/>
      <c r="CD74" s="3"/>
      <c r="CE74" s="3"/>
      <c r="CF74" s="3"/>
      <c r="CG74" s="311" t="b">
        <f aca="false">IF(BZ74="Saddle",TRUE(),)</f>
        <v>1</v>
      </c>
      <c r="CH74" s="3" t="s">
        <v>902</v>
      </c>
      <c r="CI74" s="3"/>
      <c r="CJ74" s="3"/>
      <c r="CK74" s="3"/>
      <c r="CL74" s="3"/>
      <c r="CM74" s="3"/>
      <c r="CN74" s="3"/>
      <c r="CO74" s="3"/>
      <c r="CP74" s="3"/>
      <c r="CQ74" s="3"/>
      <c r="CR74" s="3"/>
      <c r="CS74" s="3"/>
      <c r="CT74" s="3"/>
      <c r="CU74" s="3"/>
      <c r="CV74" s="3" t="s">
        <v>1034</v>
      </c>
      <c r="CW74" s="3" t="s">
        <v>1035</v>
      </c>
      <c r="CX74" s="3" t="s">
        <v>1036</v>
      </c>
      <c r="CY74" s="3" t="s">
        <v>1037</v>
      </c>
      <c r="CZ74" s="3" t="s">
        <v>1038</v>
      </c>
    </row>
    <row r="75" customFormat="false" ht="15.75" hidden="false" customHeight="false" outlineLevel="0" collapsed="false">
      <c r="A75" s="290" t="s">
        <v>24</v>
      </c>
      <c r="B75" s="290" t="s">
        <v>386</v>
      </c>
      <c r="C75" s="290" t="s">
        <v>182</v>
      </c>
      <c r="D75" s="290" t="s">
        <v>182</v>
      </c>
      <c r="E75" s="290" t="s">
        <v>182</v>
      </c>
      <c r="F75" s="315" t="b">
        <f aca="false">TRUE()</f>
        <v>1</v>
      </c>
      <c r="G75" s="290" t="s">
        <v>1039</v>
      </c>
      <c r="H75" s="290" t="s">
        <v>386</v>
      </c>
      <c r="I75" s="290" t="n">
        <v>96</v>
      </c>
      <c r="J75" s="3"/>
      <c r="K75" s="290" t="s">
        <v>884</v>
      </c>
      <c r="L75" s="290" t="n">
        <v>9</v>
      </c>
      <c r="M75" s="290" t="s">
        <v>757</v>
      </c>
      <c r="N75" s="290" t="s">
        <v>743</v>
      </c>
      <c r="O75" s="290" t="s">
        <v>763</v>
      </c>
      <c r="P75" s="290" t="s">
        <v>745</v>
      </c>
      <c r="Q75" s="290" t="s">
        <v>746</v>
      </c>
      <c r="R75" s="315" t="b">
        <f aca="false">FALSE()</f>
        <v>0</v>
      </c>
      <c r="S75" s="290" t="n">
        <v>100</v>
      </c>
      <c r="T75" s="290" t="n">
        <v>150</v>
      </c>
      <c r="U75" s="290" t="n">
        <v>125</v>
      </c>
      <c r="V75" s="290" t="n">
        <v>120</v>
      </c>
      <c r="W75" s="290" t="n">
        <v>50</v>
      </c>
      <c r="X75" s="290" t="n">
        <v>100</v>
      </c>
      <c r="Y75" s="290" t="n">
        <v>1</v>
      </c>
      <c r="Z75" s="290" t="n">
        <v>1</v>
      </c>
      <c r="AA75" s="290" t="n">
        <v>1</v>
      </c>
      <c r="AB75" s="290" t="n">
        <v>10520</v>
      </c>
      <c r="AC75" s="290" t="s">
        <v>747</v>
      </c>
      <c r="AD75" s="290" t="s">
        <v>182</v>
      </c>
      <c r="AE75" s="290" t="n">
        <v>150</v>
      </c>
      <c r="AF75" s="290" t="n">
        <v>400</v>
      </c>
      <c r="AG75" s="290" t="n">
        <v>700</v>
      </c>
      <c r="AH75" s="290" t="n">
        <v>900</v>
      </c>
      <c r="AI75" s="290" t="n">
        <v>500</v>
      </c>
      <c r="AJ75" s="315" t="b">
        <f aca="false">FALSE()</f>
        <v>0</v>
      </c>
      <c r="AK75" s="315" t="b">
        <f aca="false">FALSE()</f>
        <v>0</v>
      </c>
      <c r="AL75" s="290" t="s">
        <v>759</v>
      </c>
      <c r="AM75" s="315" t="b">
        <f aca="false">FALSE()</f>
        <v>0</v>
      </c>
      <c r="AN75" s="315" t="b">
        <f aca="false">FALSE()</f>
        <v>0</v>
      </c>
      <c r="AO75" s="290" t="n">
        <v>600</v>
      </c>
      <c r="AP75" s="290" t="n">
        <v>1</v>
      </c>
      <c r="AQ75" s="290" t="n">
        <v>9</v>
      </c>
      <c r="AR75" s="290" t="n">
        <v>25</v>
      </c>
      <c r="AS75" s="290" t="n">
        <v>90</v>
      </c>
      <c r="AT75" s="290" t="n">
        <v>1</v>
      </c>
      <c r="AU75" s="315" t="b">
        <f aca="false">FALSE()</f>
        <v>0</v>
      </c>
      <c r="AV75" s="315" t="b">
        <f aca="false">FALSE()</f>
        <v>0</v>
      </c>
      <c r="AW75" s="290" t="n">
        <v>5</v>
      </c>
      <c r="AX75" s="315" t="b">
        <f aca="false">FALSE()</f>
        <v>0</v>
      </c>
      <c r="AY75" s="315" t="b">
        <f aca="false">TRUE()</f>
        <v>1</v>
      </c>
      <c r="AZ75" s="290" t="n">
        <v>100</v>
      </c>
      <c r="BA75" s="290" t="n">
        <v>50</v>
      </c>
      <c r="BB75" s="290" t="n">
        <v>10</v>
      </c>
      <c r="BC75" s="290" t="n">
        <v>3</v>
      </c>
      <c r="BD75" s="290" t="n">
        <v>0</v>
      </c>
      <c r="BE75" s="290" t="n">
        <v>0</v>
      </c>
      <c r="BF75" s="290" t="n">
        <v>0</v>
      </c>
      <c r="BG75" s="290" t="n">
        <v>0</v>
      </c>
      <c r="BH75" s="290" t="n">
        <v>0</v>
      </c>
      <c r="BI75" s="290" t="n">
        <v>0</v>
      </c>
      <c r="BJ75" s="290" t="n">
        <v>4</v>
      </c>
      <c r="BK75" s="290" t="n">
        <v>0</v>
      </c>
      <c r="BL75" s="290" t="n">
        <v>0</v>
      </c>
      <c r="BM75" s="290" t="n">
        <v>0</v>
      </c>
      <c r="BN75" s="290" t="n">
        <v>0</v>
      </c>
      <c r="BO75" s="290" t="n">
        <v>0</v>
      </c>
      <c r="BP75" s="290" t="s">
        <v>1040</v>
      </c>
      <c r="BQ75" s="290" t="s">
        <v>182</v>
      </c>
      <c r="BR75" s="290" t="s">
        <v>182</v>
      </c>
      <c r="BS75" s="290" t="s">
        <v>182</v>
      </c>
      <c r="BT75" s="290" t="n">
        <v>74</v>
      </c>
      <c r="BU75" s="316" t="b">
        <f aca="false">FALSE()</f>
        <v>0</v>
      </c>
      <c r="BV75" s="290"/>
      <c r="BW75" s="3"/>
      <c r="BX75" s="85" t="n">
        <v>38</v>
      </c>
      <c r="BY75" s="3" t="s">
        <v>1041</v>
      </c>
      <c r="BZ75" s="3" t="s">
        <v>775</v>
      </c>
      <c r="CA75" s="3"/>
      <c r="CB75" s="3"/>
      <c r="CC75" s="3"/>
      <c r="CD75" s="3"/>
      <c r="CE75" s="3"/>
      <c r="CF75" s="3"/>
      <c r="CG75" s="311" t="b">
        <f aca="false">IF(BZ75="Saddle",TRUE(),)</f>
        <v>1</v>
      </c>
      <c r="CH75" s="3" t="s">
        <v>776</v>
      </c>
      <c r="CI75" s="3"/>
      <c r="CJ75" s="3"/>
      <c r="CK75" s="3"/>
      <c r="CL75" s="3"/>
      <c r="CM75" s="3"/>
      <c r="CN75" s="3"/>
      <c r="CO75" s="3"/>
      <c r="CP75" s="3"/>
      <c r="CQ75" s="3"/>
      <c r="CR75" s="3"/>
      <c r="CS75" s="3"/>
      <c r="CT75" s="3"/>
      <c r="CU75" s="3"/>
      <c r="CV75" s="3" t="s">
        <v>891</v>
      </c>
      <c r="CW75" s="3" t="s">
        <v>892</v>
      </c>
      <c r="CX75" s="3" t="s">
        <v>893</v>
      </c>
      <c r="CY75" s="3" t="s">
        <v>894</v>
      </c>
      <c r="CZ75" s="3" t="s">
        <v>895</v>
      </c>
    </row>
    <row r="76" customFormat="false" ht="15.75" hidden="false" customHeight="false" outlineLevel="0" collapsed="false">
      <c r="A76" s="290" t="s">
        <v>31</v>
      </c>
      <c r="B76" s="290" t="s">
        <v>308</v>
      </c>
      <c r="C76" s="290" t="s">
        <v>182</v>
      </c>
      <c r="D76" s="290" t="s">
        <v>182</v>
      </c>
      <c r="E76" s="290" t="s">
        <v>182</v>
      </c>
      <c r="F76" s="315" t="b">
        <f aca="false">TRUE()</f>
        <v>1</v>
      </c>
      <c r="G76" s="290" t="s">
        <v>1042</v>
      </c>
      <c r="H76" s="290" t="s">
        <v>308</v>
      </c>
      <c r="I76" s="290" t="n">
        <v>35</v>
      </c>
      <c r="J76" s="3"/>
      <c r="K76" s="290" t="s">
        <v>773</v>
      </c>
      <c r="L76" s="290" t="n">
        <v>3</v>
      </c>
      <c r="M76" s="290" t="s">
        <v>783</v>
      </c>
      <c r="N76" s="290" t="s">
        <v>743</v>
      </c>
      <c r="O76" s="290" t="s">
        <v>763</v>
      </c>
      <c r="P76" s="290" t="s">
        <v>745</v>
      </c>
      <c r="Q76" s="290" t="s">
        <v>746</v>
      </c>
      <c r="R76" s="315" t="b">
        <f aca="false">FALSE()</f>
        <v>0</v>
      </c>
      <c r="S76" s="290" t="n">
        <v>100</v>
      </c>
      <c r="T76" s="290" t="n">
        <v>70</v>
      </c>
      <c r="U76" s="290" t="n">
        <v>70</v>
      </c>
      <c r="V76" s="290" t="n">
        <v>90</v>
      </c>
      <c r="W76" s="290" t="n">
        <v>120</v>
      </c>
      <c r="X76" s="290" t="n">
        <v>100</v>
      </c>
      <c r="Y76" s="290" t="n">
        <v>1</v>
      </c>
      <c r="Z76" s="290" t="n">
        <v>1</v>
      </c>
      <c r="AA76" s="290" t="n">
        <v>1</v>
      </c>
      <c r="AB76" s="290" t="n">
        <v>2510</v>
      </c>
      <c r="AC76" s="290" t="s">
        <v>764</v>
      </c>
      <c r="AD76" s="290" t="s">
        <v>182</v>
      </c>
      <c r="AE76" s="290" t="n">
        <v>70</v>
      </c>
      <c r="AF76" s="290" t="n">
        <v>70</v>
      </c>
      <c r="AG76" s="290" t="n">
        <v>400</v>
      </c>
      <c r="AH76" s="290" t="n">
        <v>550</v>
      </c>
      <c r="AI76" s="290" t="n">
        <v>235</v>
      </c>
      <c r="AJ76" s="315" t="b">
        <f aca="false">FALSE()</f>
        <v>0</v>
      </c>
      <c r="AK76" s="315" t="b">
        <f aca="false">FALSE()</f>
        <v>0</v>
      </c>
      <c r="AL76" s="290" t="s">
        <v>765</v>
      </c>
      <c r="AM76" s="315" t="b">
        <f aca="false">FALSE()</f>
        <v>0</v>
      </c>
      <c r="AN76" s="315" t="b">
        <f aca="false">FALSE()</f>
        <v>0</v>
      </c>
      <c r="AO76" s="290" t="n">
        <v>300</v>
      </c>
      <c r="AP76" s="290" t="n">
        <v>1</v>
      </c>
      <c r="AQ76" s="290" t="n">
        <v>4</v>
      </c>
      <c r="AR76" s="290" t="n">
        <v>25</v>
      </c>
      <c r="AS76" s="290" t="n">
        <v>90</v>
      </c>
      <c r="AT76" s="290" t="n">
        <v>1</v>
      </c>
      <c r="AU76" s="315" t="b">
        <f aca="false">FALSE()</f>
        <v>0</v>
      </c>
      <c r="AV76" s="315" t="b">
        <f aca="false">FALSE()</f>
        <v>0</v>
      </c>
      <c r="AW76" s="290" t="n">
        <v>0</v>
      </c>
      <c r="AX76" s="315" t="b">
        <f aca="false">FALSE()</f>
        <v>0</v>
      </c>
      <c r="AY76" s="315" t="b">
        <f aca="false">TRUE()</f>
        <v>1</v>
      </c>
      <c r="AZ76" s="290" t="n">
        <v>100</v>
      </c>
      <c r="BA76" s="290" t="n">
        <v>50</v>
      </c>
      <c r="BB76" s="290" t="n">
        <v>930</v>
      </c>
      <c r="BC76" s="290" t="n">
        <v>0</v>
      </c>
      <c r="BD76" s="290" t="n">
        <v>0</v>
      </c>
      <c r="BE76" s="290" t="n">
        <v>2</v>
      </c>
      <c r="BF76" s="290" t="n">
        <v>0</v>
      </c>
      <c r="BG76" s="290" t="n">
        <v>0</v>
      </c>
      <c r="BH76" s="290" t="n">
        <v>0</v>
      </c>
      <c r="BI76" s="290" t="n">
        <v>0</v>
      </c>
      <c r="BJ76" s="290" t="n">
        <v>0</v>
      </c>
      <c r="BK76" s="290" t="n">
        <v>0</v>
      </c>
      <c r="BL76" s="290" t="n">
        <v>0</v>
      </c>
      <c r="BM76" s="290" t="n">
        <v>0</v>
      </c>
      <c r="BN76" s="290" t="n">
        <v>0</v>
      </c>
      <c r="BO76" s="290" t="n">
        <v>1</v>
      </c>
      <c r="BP76" s="290" t="s">
        <v>182</v>
      </c>
      <c r="BQ76" s="290" t="s">
        <v>182</v>
      </c>
      <c r="BR76" s="290" t="s">
        <v>182</v>
      </c>
      <c r="BS76" s="290" t="s">
        <v>182</v>
      </c>
      <c r="BT76" s="290" t="n">
        <v>75</v>
      </c>
      <c r="BU76" s="316" t="b">
        <f aca="false">FALSE()</f>
        <v>0</v>
      </c>
      <c r="BV76" s="290"/>
      <c r="BW76" s="3"/>
      <c r="BX76" s="3"/>
      <c r="BY76" s="3"/>
      <c r="BZ76" s="3"/>
      <c r="CA76" s="3"/>
      <c r="CB76" s="3"/>
      <c r="CC76" s="3"/>
      <c r="CD76" s="3"/>
      <c r="CE76" s="3"/>
      <c r="CF76" s="3"/>
      <c r="CG76" s="3" t="n">
        <f aca="false">IF(BZ76="Saddle",TRUE(),)</f>
        <v>0</v>
      </c>
      <c r="CH76" s="3"/>
      <c r="CI76" s="3"/>
      <c r="CJ76" s="3"/>
      <c r="CK76" s="3"/>
      <c r="CL76" s="3"/>
      <c r="CM76" s="3"/>
      <c r="CN76" s="3"/>
      <c r="CO76" s="3"/>
      <c r="CP76" s="3"/>
      <c r="CQ76" s="3"/>
      <c r="CR76" s="3"/>
      <c r="CS76" s="3"/>
      <c r="CT76" s="3"/>
      <c r="CU76" s="3"/>
      <c r="CV76" s="3" t="s">
        <v>1043</v>
      </c>
      <c r="CW76" s="3" t="s">
        <v>1044</v>
      </c>
      <c r="CX76" s="3" t="s">
        <v>1045</v>
      </c>
      <c r="CY76" s="3" t="s">
        <v>1046</v>
      </c>
      <c r="CZ76" s="3" t="s">
        <v>1047</v>
      </c>
    </row>
    <row r="77" customFormat="false" ht="15.75" hidden="false" customHeight="false" outlineLevel="0" collapsed="false">
      <c r="A77" s="290" t="s">
        <v>121</v>
      </c>
      <c r="B77" s="290" t="s">
        <v>337</v>
      </c>
      <c r="C77" s="290" t="s">
        <v>182</v>
      </c>
      <c r="D77" s="290" t="s">
        <v>182</v>
      </c>
      <c r="E77" s="290" t="s">
        <v>182</v>
      </c>
      <c r="F77" s="315" t="b">
        <f aca="false">TRUE()</f>
        <v>1</v>
      </c>
      <c r="G77" s="290" t="s">
        <v>455</v>
      </c>
      <c r="H77" s="290" t="s">
        <v>337</v>
      </c>
      <c r="I77" s="290" t="n">
        <v>59</v>
      </c>
      <c r="J77" s="3"/>
      <c r="K77" s="290" t="s">
        <v>741</v>
      </c>
      <c r="L77" s="290" t="n">
        <v>4</v>
      </c>
      <c r="M77" s="290" t="s">
        <v>771</v>
      </c>
      <c r="N77" s="290" t="s">
        <v>743</v>
      </c>
      <c r="O77" s="290" t="s">
        <v>763</v>
      </c>
      <c r="P77" s="290" t="s">
        <v>745</v>
      </c>
      <c r="Q77" s="290" t="s">
        <v>746</v>
      </c>
      <c r="R77" s="315" t="b">
        <f aca="false">FALSE()</f>
        <v>0</v>
      </c>
      <c r="S77" s="290" t="n">
        <v>100</v>
      </c>
      <c r="T77" s="290" t="n">
        <v>80</v>
      </c>
      <c r="U77" s="290" t="n">
        <v>85</v>
      </c>
      <c r="V77" s="290" t="n">
        <v>110</v>
      </c>
      <c r="W77" s="290" t="n">
        <v>100</v>
      </c>
      <c r="X77" s="290" t="n">
        <v>100</v>
      </c>
      <c r="Y77" s="290" t="n">
        <v>1</v>
      </c>
      <c r="Z77" s="290" t="n">
        <v>1</v>
      </c>
      <c r="AA77" s="290" t="n">
        <v>1</v>
      </c>
      <c r="AB77" s="290" t="n">
        <v>2800</v>
      </c>
      <c r="AC77" s="290" t="s">
        <v>747</v>
      </c>
      <c r="AD77" s="290" t="s">
        <v>182</v>
      </c>
      <c r="AE77" s="290" t="n">
        <v>35</v>
      </c>
      <c r="AF77" s="290" t="n">
        <v>70</v>
      </c>
      <c r="AG77" s="290" t="n">
        <v>550</v>
      </c>
      <c r="AH77" s="290" t="n">
        <v>700</v>
      </c>
      <c r="AI77" s="290" t="n">
        <v>310</v>
      </c>
      <c r="AJ77" s="315" t="b">
        <f aca="false">FALSE()</f>
        <v>0</v>
      </c>
      <c r="AK77" s="315" t="b">
        <f aca="false">FALSE()</f>
        <v>0</v>
      </c>
      <c r="AL77" s="290" t="s">
        <v>748</v>
      </c>
      <c r="AM77" s="315" t="b">
        <f aca="false">FALSE()</f>
        <v>0</v>
      </c>
      <c r="AN77" s="315" t="b">
        <f aca="false">FALSE()</f>
        <v>0</v>
      </c>
      <c r="AO77" s="290" t="n">
        <v>475</v>
      </c>
      <c r="AP77" s="290" t="n">
        <v>1</v>
      </c>
      <c r="AQ77" s="290" t="n">
        <v>7</v>
      </c>
      <c r="AR77" s="290" t="n">
        <v>25</v>
      </c>
      <c r="AS77" s="290" t="n">
        <v>90</v>
      </c>
      <c r="AT77" s="290" t="n">
        <v>1</v>
      </c>
      <c r="AU77" s="315" t="b">
        <f aca="false">FALSE()</f>
        <v>0</v>
      </c>
      <c r="AV77" s="315" t="b">
        <f aca="false">FALSE()</f>
        <v>0</v>
      </c>
      <c r="AW77" s="290" t="n">
        <v>0</v>
      </c>
      <c r="AX77" s="315" t="b">
        <f aca="false">FALSE()</f>
        <v>0</v>
      </c>
      <c r="AY77" s="315" t="b">
        <f aca="false">TRUE()</f>
        <v>1</v>
      </c>
      <c r="AZ77" s="290" t="n">
        <v>100</v>
      </c>
      <c r="BA77" s="290" t="n">
        <v>50</v>
      </c>
      <c r="BB77" s="290" t="n">
        <v>880</v>
      </c>
      <c r="BC77" s="290" t="n">
        <v>0</v>
      </c>
      <c r="BD77" s="290" t="n">
        <v>0</v>
      </c>
      <c r="BE77" s="290" t="n">
        <v>0</v>
      </c>
      <c r="BF77" s="290" t="n">
        <v>0</v>
      </c>
      <c r="BG77" s="290" t="n">
        <v>0</v>
      </c>
      <c r="BH77" s="290" t="n">
        <v>0</v>
      </c>
      <c r="BI77" s="290" t="n">
        <v>2</v>
      </c>
      <c r="BJ77" s="290" t="n">
        <v>0</v>
      </c>
      <c r="BK77" s="290" t="n">
        <v>0</v>
      </c>
      <c r="BL77" s="290" t="n">
        <v>0</v>
      </c>
      <c r="BM77" s="290" t="n">
        <v>2</v>
      </c>
      <c r="BN77" s="290" t="n">
        <v>0</v>
      </c>
      <c r="BO77" s="290" t="n">
        <v>0</v>
      </c>
      <c r="BP77" s="290" t="s">
        <v>182</v>
      </c>
      <c r="BQ77" s="290" t="s">
        <v>182</v>
      </c>
      <c r="BR77" s="290" t="s">
        <v>182</v>
      </c>
      <c r="BS77" s="290" t="s">
        <v>182</v>
      </c>
      <c r="BT77" s="290" t="n">
        <v>76</v>
      </c>
      <c r="BU77" s="316" t="b">
        <f aca="false">FALSE()</f>
        <v>0</v>
      </c>
      <c r="BV77" s="290"/>
      <c r="BW77" s="3"/>
      <c r="BX77" s="85" t="n">
        <v>29</v>
      </c>
      <c r="BY77" s="3" t="s">
        <v>1048</v>
      </c>
      <c r="BZ77" s="3" t="s">
        <v>775</v>
      </c>
      <c r="CA77" s="3"/>
      <c r="CB77" s="3"/>
      <c r="CC77" s="3"/>
      <c r="CD77" s="3"/>
      <c r="CE77" s="3"/>
      <c r="CF77" s="3"/>
      <c r="CG77" s="311" t="b">
        <f aca="false">IF(BZ77="Saddle",TRUE(),)</f>
        <v>1</v>
      </c>
      <c r="CH77" s="3" t="s">
        <v>776</v>
      </c>
      <c r="CI77" s="3"/>
      <c r="CJ77" s="3" t="s">
        <v>976</v>
      </c>
      <c r="CK77" s="3" t="s">
        <v>976</v>
      </c>
      <c r="CL77" s="3" t="s">
        <v>976</v>
      </c>
      <c r="CM77" s="3" t="s">
        <v>976</v>
      </c>
      <c r="CN77" s="3" t="s">
        <v>976</v>
      </c>
      <c r="CO77" s="3"/>
      <c r="CP77" s="3"/>
      <c r="CQ77" s="3"/>
      <c r="CR77" s="3"/>
      <c r="CS77" s="3"/>
      <c r="CT77" s="3"/>
      <c r="CU77" s="3" t="s">
        <v>818</v>
      </c>
      <c r="CV77" s="3"/>
      <c r="CW77" s="3" t="s">
        <v>819</v>
      </c>
      <c r="CX77" s="3" t="s">
        <v>820</v>
      </c>
      <c r="CY77" s="3" t="s">
        <v>821</v>
      </c>
      <c r="CZ77" s="3" t="s">
        <v>822</v>
      </c>
    </row>
    <row r="78" customFormat="false" ht="15.75" hidden="false" customHeight="false" outlineLevel="0" collapsed="false">
      <c r="A78" s="290" t="s">
        <v>130</v>
      </c>
      <c r="B78" s="290" t="s">
        <v>398</v>
      </c>
      <c r="C78" s="290" t="s">
        <v>182</v>
      </c>
      <c r="D78" s="290" t="s">
        <v>182</v>
      </c>
      <c r="E78" s="290" t="s">
        <v>182</v>
      </c>
      <c r="F78" s="315" t="b">
        <f aca="false">TRUE()</f>
        <v>1</v>
      </c>
      <c r="G78" s="290" t="s">
        <v>506</v>
      </c>
      <c r="H78" s="290" t="s">
        <v>398</v>
      </c>
      <c r="I78" s="290" t="n">
        <v>107</v>
      </c>
      <c r="J78" s="290" t="s">
        <v>761</v>
      </c>
      <c r="K78" s="290" t="s">
        <v>793</v>
      </c>
      <c r="L78" s="290" t="n">
        <v>10</v>
      </c>
      <c r="M78" s="290" t="s">
        <v>758</v>
      </c>
      <c r="N78" s="290" t="s">
        <v>743</v>
      </c>
      <c r="O78" s="290" t="s">
        <v>763</v>
      </c>
      <c r="P78" s="290" t="s">
        <v>745</v>
      </c>
      <c r="Q78" s="290" t="s">
        <v>746</v>
      </c>
      <c r="R78" s="315" t="b">
        <f aca="false">FALSE()</f>
        <v>0</v>
      </c>
      <c r="S78" s="290" t="n">
        <v>120</v>
      </c>
      <c r="T78" s="290" t="n">
        <v>130</v>
      </c>
      <c r="U78" s="290" t="n">
        <v>120</v>
      </c>
      <c r="V78" s="290" t="n">
        <v>140</v>
      </c>
      <c r="W78" s="290" t="n">
        <v>90</v>
      </c>
      <c r="X78" s="290" t="n">
        <v>100</v>
      </c>
      <c r="Y78" s="290" t="n">
        <v>1</v>
      </c>
      <c r="Z78" s="290" t="n">
        <v>1</v>
      </c>
      <c r="AA78" s="290" t="n">
        <v>1</v>
      </c>
      <c r="AB78" s="290" t="n">
        <v>9060</v>
      </c>
      <c r="AC78" s="290" t="s">
        <v>747</v>
      </c>
      <c r="AD78" s="290" t="s">
        <v>182</v>
      </c>
      <c r="AE78" s="290" t="n">
        <v>80</v>
      </c>
      <c r="AF78" s="290" t="n">
        <v>80</v>
      </c>
      <c r="AG78" s="290" t="n">
        <v>850</v>
      </c>
      <c r="AH78" s="290" t="n">
        <v>1200</v>
      </c>
      <c r="AI78" s="290" t="n">
        <v>465</v>
      </c>
      <c r="AJ78" s="315" t="b">
        <f aca="false">FALSE()</f>
        <v>0</v>
      </c>
      <c r="AK78" s="315" t="b">
        <f aca="false">FALSE()</f>
        <v>0</v>
      </c>
      <c r="AL78" s="290" t="s">
        <v>759</v>
      </c>
      <c r="AM78" s="315" t="b">
        <f aca="false">FALSE()</f>
        <v>0</v>
      </c>
      <c r="AN78" s="315" t="b">
        <f aca="false">FALSE()</f>
        <v>0</v>
      </c>
      <c r="AO78" s="290" t="n">
        <v>525</v>
      </c>
      <c r="AP78" s="290" t="n">
        <v>1</v>
      </c>
      <c r="AQ78" s="290" t="n">
        <v>8</v>
      </c>
      <c r="AR78" s="290" t="n">
        <v>25</v>
      </c>
      <c r="AS78" s="290" t="n">
        <v>90</v>
      </c>
      <c r="AT78" s="290" t="n">
        <v>1</v>
      </c>
      <c r="AU78" s="315" t="b">
        <f aca="false">FALSE()</f>
        <v>0</v>
      </c>
      <c r="AV78" s="315" t="b">
        <f aca="false">TRUE()</f>
        <v>1</v>
      </c>
      <c r="AW78" s="290" t="n">
        <v>5</v>
      </c>
      <c r="AX78" s="315" t="b">
        <f aca="false">FALSE()</f>
        <v>0</v>
      </c>
      <c r="AY78" s="315" t="b">
        <f aca="false">TRUE()</f>
        <v>1</v>
      </c>
      <c r="AZ78" s="290" t="n">
        <v>250</v>
      </c>
      <c r="BA78" s="290" t="n">
        <v>50</v>
      </c>
      <c r="BB78" s="290" t="n">
        <v>60</v>
      </c>
      <c r="BC78" s="290" t="n">
        <v>0</v>
      </c>
      <c r="BD78" s="290" t="n">
        <v>0</v>
      </c>
      <c r="BE78" s="290" t="n">
        <v>0</v>
      </c>
      <c r="BF78" s="290" t="n">
        <v>0</v>
      </c>
      <c r="BG78" s="290" t="n">
        <v>0</v>
      </c>
      <c r="BH78" s="290" t="n">
        <v>1</v>
      </c>
      <c r="BI78" s="290" t="n">
        <v>0</v>
      </c>
      <c r="BJ78" s="290" t="n">
        <v>0</v>
      </c>
      <c r="BK78" s="290" t="n">
        <v>0</v>
      </c>
      <c r="BL78" s="290" t="n">
        <v>0</v>
      </c>
      <c r="BM78" s="290" t="n">
        <v>0</v>
      </c>
      <c r="BN78" s="290" t="n">
        <v>0</v>
      </c>
      <c r="BO78" s="290" t="n">
        <v>0</v>
      </c>
      <c r="BP78" s="290" t="s">
        <v>182</v>
      </c>
      <c r="BQ78" s="290" t="s">
        <v>182</v>
      </c>
      <c r="BR78" s="290" t="s">
        <v>182</v>
      </c>
      <c r="BS78" s="290" t="s">
        <v>182</v>
      </c>
      <c r="BT78" s="290" t="n">
        <v>77</v>
      </c>
      <c r="BU78" s="316" t="b">
        <f aca="false">TRUE()</f>
        <v>1</v>
      </c>
      <c r="BV78" s="290"/>
      <c r="BW78" s="3"/>
      <c r="BX78" s="85" t="n">
        <v>47</v>
      </c>
      <c r="BY78" s="3" t="s">
        <v>1049</v>
      </c>
      <c r="BZ78" s="3" t="s">
        <v>775</v>
      </c>
      <c r="CA78" s="3"/>
      <c r="CB78" s="3"/>
      <c r="CC78" s="3"/>
      <c r="CD78" s="3"/>
      <c r="CE78" s="3"/>
      <c r="CF78" s="3"/>
      <c r="CG78" s="311" t="b">
        <f aca="false">IF(BZ78="Saddle",TRUE(),)</f>
        <v>1</v>
      </c>
      <c r="CH78" s="3" t="s">
        <v>914</v>
      </c>
      <c r="CI78" s="3"/>
      <c r="CJ78" s="3"/>
      <c r="CK78" s="3"/>
      <c r="CL78" s="3"/>
      <c r="CM78" s="3"/>
      <c r="CN78" s="3"/>
      <c r="CO78" s="3"/>
      <c r="CP78" s="3"/>
      <c r="CQ78" s="3"/>
      <c r="CR78" s="3"/>
      <c r="CS78" s="3"/>
      <c r="CT78" s="3"/>
      <c r="CU78" s="3"/>
      <c r="CV78" s="3" t="s">
        <v>1016</v>
      </c>
      <c r="CW78" s="3" t="s">
        <v>1017</v>
      </c>
      <c r="CX78" s="3" t="s">
        <v>1018</v>
      </c>
      <c r="CY78" s="3" t="s">
        <v>1019</v>
      </c>
      <c r="CZ78" s="3" t="s">
        <v>1020</v>
      </c>
    </row>
    <row r="79" customFormat="false" ht="15.75" hidden="false" customHeight="false" outlineLevel="0" collapsed="false">
      <c r="A79" s="290" t="s">
        <v>131</v>
      </c>
      <c r="B79" s="290" t="s">
        <v>360</v>
      </c>
      <c r="C79" s="290" t="s">
        <v>182</v>
      </c>
      <c r="D79" s="290" t="s">
        <v>182</v>
      </c>
      <c r="E79" s="290" t="s">
        <v>182</v>
      </c>
      <c r="F79" s="315" t="b">
        <f aca="false">TRUE()</f>
        <v>1</v>
      </c>
      <c r="G79" s="290" t="s">
        <v>1050</v>
      </c>
      <c r="H79" s="290" t="s">
        <v>360</v>
      </c>
      <c r="I79" s="290" t="n">
        <v>79</v>
      </c>
      <c r="J79" s="3"/>
      <c r="K79" s="290" t="s">
        <v>793</v>
      </c>
      <c r="L79" s="290" t="n">
        <v>7</v>
      </c>
      <c r="M79" s="290" t="s">
        <v>771</v>
      </c>
      <c r="N79" s="290" t="s">
        <v>743</v>
      </c>
      <c r="O79" s="290" t="s">
        <v>744</v>
      </c>
      <c r="P79" s="290" t="s">
        <v>745</v>
      </c>
      <c r="Q79" s="290" t="s">
        <v>746</v>
      </c>
      <c r="R79" s="315" t="b">
        <f aca="false">FALSE()</f>
        <v>0</v>
      </c>
      <c r="S79" s="290" t="n">
        <v>110</v>
      </c>
      <c r="T79" s="290" t="n">
        <v>90</v>
      </c>
      <c r="U79" s="290" t="n">
        <v>90</v>
      </c>
      <c r="V79" s="290" t="n">
        <v>100</v>
      </c>
      <c r="W79" s="290" t="n">
        <v>90</v>
      </c>
      <c r="X79" s="290" t="n">
        <v>100</v>
      </c>
      <c r="Y79" s="290" t="n">
        <v>1</v>
      </c>
      <c r="Z79" s="290" t="n">
        <v>1</v>
      </c>
      <c r="AA79" s="290" t="n">
        <v>1</v>
      </c>
      <c r="AB79" s="290" t="n">
        <v>5900</v>
      </c>
      <c r="AC79" s="290" t="s">
        <v>764</v>
      </c>
      <c r="AD79" s="290" t="s">
        <v>182</v>
      </c>
      <c r="AE79" s="290" t="n">
        <v>50</v>
      </c>
      <c r="AF79" s="290" t="n">
        <v>100</v>
      </c>
      <c r="AG79" s="290" t="n">
        <v>400</v>
      </c>
      <c r="AH79" s="290" t="n">
        <v>550</v>
      </c>
      <c r="AI79" s="290" t="n">
        <v>250</v>
      </c>
      <c r="AJ79" s="315" t="b">
        <f aca="false">FALSE()</f>
        <v>0</v>
      </c>
      <c r="AK79" s="315" t="b">
        <f aca="false">FALSE()</f>
        <v>0</v>
      </c>
      <c r="AL79" s="290" t="s">
        <v>748</v>
      </c>
      <c r="AM79" s="315" t="b">
        <f aca="false">FALSE()</f>
        <v>0</v>
      </c>
      <c r="AN79" s="315" t="b">
        <f aca="false">FALSE()</f>
        <v>0</v>
      </c>
      <c r="AO79" s="290" t="n">
        <v>350</v>
      </c>
      <c r="AP79" s="290" t="n">
        <v>1</v>
      </c>
      <c r="AQ79" s="290" t="n">
        <v>5</v>
      </c>
      <c r="AR79" s="290" t="n">
        <v>25</v>
      </c>
      <c r="AS79" s="290" t="n">
        <v>90</v>
      </c>
      <c r="AT79" s="290" t="n">
        <v>1</v>
      </c>
      <c r="AU79" s="315" t="b">
        <f aca="false">FALSE()</f>
        <v>0</v>
      </c>
      <c r="AV79" s="315" t="b">
        <f aca="false">FALSE()</f>
        <v>0</v>
      </c>
      <c r="AW79" s="290" t="n">
        <v>5</v>
      </c>
      <c r="AX79" s="315" t="b">
        <f aca="false">FALSE()</f>
        <v>0</v>
      </c>
      <c r="AY79" s="315" t="b">
        <f aca="false">TRUE()</f>
        <v>1</v>
      </c>
      <c r="AZ79" s="290" t="n">
        <v>100</v>
      </c>
      <c r="BA79" s="290" t="n">
        <v>50</v>
      </c>
      <c r="BB79" s="290" t="n">
        <v>450</v>
      </c>
      <c r="BC79" s="290" t="n">
        <v>0</v>
      </c>
      <c r="BD79" s="290" t="n">
        <v>0</v>
      </c>
      <c r="BE79" s="290" t="n">
        <v>0</v>
      </c>
      <c r="BF79" s="290" t="n">
        <v>0</v>
      </c>
      <c r="BG79" s="290" t="n">
        <v>0</v>
      </c>
      <c r="BH79" s="290" t="n">
        <v>0</v>
      </c>
      <c r="BI79" s="290" t="n">
        <v>0</v>
      </c>
      <c r="BJ79" s="290" t="n">
        <v>0</v>
      </c>
      <c r="BK79" s="290" t="n">
        <v>0</v>
      </c>
      <c r="BL79" s="290" t="n">
        <v>2</v>
      </c>
      <c r="BM79" s="290" t="n">
        <v>2</v>
      </c>
      <c r="BN79" s="290" t="n">
        <v>0</v>
      </c>
      <c r="BO79" s="290" t="n">
        <v>1</v>
      </c>
      <c r="BP79" s="290" t="s">
        <v>182</v>
      </c>
      <c r="BQ79" s="290" t="s">
        <v>182</v>
      </c>
      <c r="BR79" s="290" t="s">
        <v>182</v>
      </c>
      <c r="BS79" s="290" t="s">
        <v>182</v>
      </c>
      <c r="BT79" s="290" t="n">
        <v>78</v>
      </c>
      <c r="BU79" s="316" t="b">
        <f aca="false">FALSE()</f>
        <v>0</v>
      </c>
      <c r="BV79" s="290"/>
      <c r="BW79" s="3"/>
      <c r="BX79" s="3"/>
      <c r="BY79" s="3"/>
      <c r="BZ79" s="3"/>
      <c r="CA79" s="3" t="s">
        <v>1051</v>
      </c>
      <c r="CB79" s="85" t="n">
        <v>1.1</v>
      </c>
      <c r="CC79" s="85" t="n">
        <v>1.3</v>
      </c>
      <c r="CD79" s="85" t="n">
        <v>1.6</v>
      </c>
      <c r="CE79" s="85" t="n">
        <v>2</v>
      </c>
      <c r="CF79" s="85" t="n">
        <v>2.5</v>
      </c>
      <c r="CG79" s="3" t="n">
        <f aca="false">IF(BZ79="Saddle",TRUE(),)</f>
        <v>0</v>
      </c>
      <c r="CH79" s="3"/>
      <c r="CI79" s="3"/>
      <c r="CJ79" s="3"/>
      <c r="CK79" s="3"/>
      <c r="CL79" s="3"/>
      <c r="CM79" s="3"/>
      <c r="CN79" s="3"/>
      <c r="CO79" s="3"/>
      <c r="CP79" s="3"/>
      <c r="CQ79" s="3"/>
      <c r="CR79" s="3"/>
      <c r="CS79" s="3"/>
      <c r="CT79" s="3"/>
      <c r="CU79" s="3"/>
      <c r="CV79" s="3" t="s">
        <v>1052</v>
      </c>
      <c r="CW79" s="3" t="s">
        <v>1053</v>
      </c>
      <c r="CX79" s="3" t="s">
        <v>1054</v>
      </c>
      <c r="CY79" s="3" t="s">
        <v>1055</v>
      </c>
      <c r="CZ79" s="3" t="s">
        <v>1056</v>
      </c>
    </row>
    <row r="80" customFormat="false" ht="15.75" hidden="false" customHeight="false" outlineLevel="0" collapsed="false">
      <c r="A80" s="290" t="s">
        <v>148</v>
      </c>
      <c r="B80" s="290" t="s">
        <v>280</v>
      </c>
      <c r="C80" s="290" t="s">
        <v>182</v>
      </c>
      <c r="D80" s="290" t="s">
        <v>182</v>
      </c>
      <c r="E80" s="290" t="s">
        <v>182</v>
      </c>
      <c r="F80" s="315" t="b">
        <f aca="false">TRUE()</f>
        <v>1</v>
      </c>
      <c r="G80" s="290" t="s">
        <v>1057</v>
      </c>
      <c r="H80" s="290" t="s">
        <v>280</v>
      </c>
      <c r="I80" s="290" t="n">
        <v>14</v>
      </c>
      <c r="J80" s="3"/>
      <c r="K80" s="290" t="s">
        <v>762</v>
      </c>
      <c r="L80" s="290" t="n">
        <v>2</v>
      </c>
      <c r="M80" s="290" t="s">
        <v>789</v>
      </c>
      <c r="N80" s="290" t="s">
        <v>743</v>
      </c>
      <c r="O80" s="290" t="s">
        <v>763</v>
      </c>
      <c r="P80" s="290" t="s">
        <v>745</v>
      </c>
      <c r="Q80" s="290" t="s">
        <v>746</v>
      </c>
      <c r="R80" s="315" t="b">
        <f aca="false">FALSE()</f>
        <v>0</v>
      </c>
      <c r="S80" s="290" t="n">
        <v>70</v>
      </c>
      <c r="T80" s="290" t="n">
        <v>70</v>
      </c>
      <c r="U80" s="290" t="n">
        <v>70</v>
      </c>
      <c r="V80" s="290" t="n">
        <v>70</v>
      </c>
      <c r="W80" s="290" t="n">
        <v>140</v>
      </c>
      <c r="X80" s="290" t="n">
        <v>100</v>
      </c>
      <c r="Y80" s="290" t="n">
        <v>1.7</v>
      </c>
      <c r="Z80" s="290" t="n">
        <v>1.3</v>
      </c>
      <c r="AA80" s="290" t="n">
        <v>1</v>
      </c>
      <c r="AB80" s="290" t="n">
        <v>1000</v>
      </c>
      <c r="AC80" s="290" t="s">
        <v>764</v>
      </c>
      <c r="AD80" s="290" t="s">
        <v>182</v>
      </c>
      <c r="AE80" s="290" t="n">
        <v>30</v>
      </c>
      <c r="AF80" s="290" t="n">
        <v>60</v>
      </c>
      <c r="AG80" s="290" t="n">
        <v>350</v>
      </c>
      <c r="AH80" s="290" t="n">
        <v>450</v>
      </c>
      <c r="AI80" s="290" t="n">
        <v>190</v>
      </c>
      <c r="AJ80" s="315" t="b">
        <f aca="false">FALSE()</f>
        <v>0</v>
      </c>
      <c r="AK80" s="315" t="b">
        <f aca="false">FALSE()</f>
        <v>0</v>
      </c>
      <c r="AL80" s="290" t="s">
        <v>765</v>
      </c>
      <c r="AM80" s="315" t="b">
        <f aca="false">FALSE()</f>
        <v>0</v>
      </c>
      <c r="AN80" s="315" t="b">
        <f aca="false">FALSE()</f>
        <v>0</v>
      </c>
      <c r="AO80" s="290" t="n">
        <v>100</v>
      </c>
      <c r="AP80" s="290" t="n">
        <v>1</v>
      </c>
      <c r="AQ80" s="290" t="n">
        <v>1</v>
      </c>
      <c r="AR80" s="290" t="n">
        <v>25</v>
      </c>
      <c r="AS80" s="290" t="n">
        <v>90</v>
      </c>
      <c r="AT80" s="290" t="n">
        <v>1</v>
      </c>
      <c r="AU80" s="315" t="b">
        <f aca="false">TRUE()</f>
        <v>1</v>
      </c>
      <c r="AV80" s="315" t="b">
        <f aca="false">FALSE()</f>
        <v>0</v>
      </c>
      <c r="AW80" s="290" t="n">
        <v>0</v>
      </c>
      <c r="AX80" s="315" t="b">
        <f aca="false">FALSE()</f>
        <v>0</v>
      </c>
      <c r="AY80" s="315" t="b">
        <f aca="false">TRUE()</f>
        <v>1</v>
      </c>
      <c r="AZ80" s="290" t="n">
        <v>100</v>
      </c>
      <c r="BA80" s="290" t="n">
        <v>50</v>
      </c>
      <c r="BB80" s="290" t="n">
        <v>1450</v>
      </c>
      <c r="BC80" s="290" t="n">
        <v>0</v>
      </c>
      <c r="BD80" s="290" t="n">
        <v>0</v>
      </c>
      <c r="BE80" s="290" t="n">
        <v>0</v>
      </c>
      <c r="BF80" s="290" t="n">
        <v>0</v>
      </c>
      <c r="BG80" s="290" t="n">
        <v>0</v>
      </c>
      <c r="BH80" s="290" t="n">
        <v>1</v>
      </c>
      <c r="BI80" s="290" t="n">
        <v>0</v>
      </c>
      <c r="BJ80" s="290" t="n">
        <v>0</v>
      </c>
      <c r="BK80" s="290" t="n">
        <v>0</v>
      </c>
      <c r="BL80" s="290" t="n">
        <v>0</v>
      </c>
      <c r="BM80" s="290" t="n">
        <v>0</v>
      </c>
      <c r="BN80" s="290" t="n">
        <v>0</v>
      </c>
      <c r="BO80" s="290" t="n">
        <v>1</v>
      </c>
      <c r="BP80" s="290" t="s">
        <v>182</v>
      </c>
      <c r="BQ80" s="290" t="s">
        <v>182</v>
      </c>
      <c r="BR80" s="290" t="s">
        <v>182</v>
      </c>
      <c r="BS80" s="290" t="s">
        <v>182</v>
      </c>
      <c r="BT80" s="290" t="n">
        <v>79</v>
      </c>
      <c r="BU80" s="316" t="b">
        <f aca="false">FALSE()</f>
        <v>0</v>
      </c>
      <c r="BV80" s="290"/>
      <c r="BW80" s="3"/>
      <c r="BX80" s="3"/>
      <c r="BY80" s="3"/>
      <c r="BZ80" s="3"/>
      <c r="CA80" s="3"/>
      <c r="CB80" s="3"/>
      <c r="CC80" s="3"/>
      <c r="CD80" s="3"/>
      <c r="CE80" s="3"/>
      <c r="CF80" s="3"/>
      <c r="CG80" s="3" t="n">
        <f aca="false">IF(BZ80="Saddle",TRUE(),)</f>
        <v>0</v>
      </c>
      <c r="CH80" s="3"/>
      <c r="CI80" s="3"/>
      <c r="CJ80" s="3"/>
      <c r="CK80" s="3"/>
      <c r="CL80" s="3"/>
      <c r="CM80" s="3"/>
      <c r="CN80" s="3"/>
      <c r="CO80" s="3"/>
      <c r="CP80" s="3"/>
      <c r="CQ80" s="3"/>
      <c r="CR80" s="3"/>
      <c r="CS80" s="3"/>
      <c r="CT80" s="3"/>
      <c r="CU80" s="3"/>
      <c r="CV80" s="3" t="s">
        <v>1058</v>
      </c>
      <c r="CW80" s="3" t="s">
        <v>1059</v>
      </c>
      <c r="CX80" s="3" t="s">
        <v>1060</v>
      </c>
      <c r="CY80" s="3" t="s">
        <v>1061</v>
      </c>
      <c r="CZ80" s="3" t="s">
        <v>1062</v>
      </c>
    </row>
    <row r="81" customFormat="false" ht="15.75" hidden="false" customHeight="false" outlineLevel="0" collapsed="false">
      <c r="A81" s="290" t="s">
        <v>150</v>
      </c>
      <c r="B81" s="290" t="s">
        <v>357</v>
      </c>
      <c r="C81" s="290" t="s">
        <v>182</v>
      </c>
      <c r="D81" s="290" t="s">
        <v>182</v>
      </c>
      <c r="E81" s="290" t="s">
        <v>182</v>
      </c>
      <c r="F81" s="315" t="b">
        <f aca="false">TRUE()</f>
        <v>1</v>
      </c>
      <c r="G81" s="290" t="s">
        <v>1063</v>
      </c>
      <c r="H81" s="290" t="s">
        <v>357</v>
      </c>
      <c r="I81" s="290" t="n">
        <v>76</v>
      </c>
      <c r="J81" s="3"/>
      <c r="K81" s="290" t="s">
        <v>741</v>
      </c>
      <c r="L81" s="290" t="n">
        <v>6</v>
      </c>
      <c r="M81" s="290" t="s">
        <v>757</v>
      </c>
      <c r="N81" s="290" t="s">
        <v>743</v>
      </c>
      <c r="O81" s="290" t="s">
        <v>744</v>
      </c>
      <c r="P81" s="290" t="s">
        <v>745</v>
      </c>
      <c r="Q81" s="290" t="s">
        <v>746</v>
      </c>
      <c r="R81" s="315" t="b">
        <f aca="false">FALSE()</f>
        <v>0</v>
      </c>
      <c r="S81" s="290" t="n">
        <v>90</v>
      </c>
      <c r="T81" s="290" t="n">
        <v>50</v>
      </c>
      <c r="U81" s="290" t="n">
        <v>110</v>
      </c>
      <c r="V81" s="290" t="n">
        <v>80</v>
      </c>
      <c r="W81" s="290" t="n">
        <v>120</v>
      </c>
      <c r="X81" s="290" t="n">
        <v>100</v>
      </c>
      <c r="Y81" s="290" t="n">
        <v>1</v>
      </c>
      <c r="Z81" s="290" t="n">
        <v>1</v>
      </c>
      <c r="AA81" s="290" t="n">
        <v>1</v>
      </c>
      <c r="AB81" s="290" t="n">
        <v>1540</v>
      </c>
      <c r="AC81" s="290" t="s">
        <v>764</v>
      </c>
      <c r="AD81" s="290" t="s">
        <v>182</v>
      </c>
      <c r="AE81" s="290" t="n">
        <v>70</v>
      </c>
      <c r="AF81" s="290" t="n">
        <v>145</v>
      </c>
      <c r="AG81" s="290" t="n">
        <v>440</v>
      </c>
      <c r="AH81" s="290" t="n">
        <v>620</v>
      </c>
      <c r="AI81" s="290" t="n">
        <v>292</v>
      </c>
      <c r="AJ81" s="315" t="b">
        <f aca="false">FALSE()</f>
        <v>0</v>
      </c>
      <c r="AK81" s="315" t="b">
        <f aca="false">FALSE()</f>
        <v>0</v>
      </c>
      <c r="AL81" s="290" t="s">
        <v>765</v>
      </c>
      <c r="AM81" s="315" t="b">
        <f aca="false">FALSE()</f>
        <v>0</v>
      </c>
      <c r="AN81" s="315" t="b">
        <f aca="false">FALSE()</f>
        <v>0</v>
      </c>
      <c r="AO81" s="290" t="n">
        <v>350</v>
      </c>
      <c r="AP81" s="290" t="n">
        <v>1</v>
      </c>
      <c r="AQ81" s="290" t="n">
        <v>5</v>
      </c>
      <c r="AR81" s="290" t="n">
        <v>25</v>
      </c>
      <c r="AS81" s="290" t="n">
        <v>90</v>
      </c>
      <c r="AT81" s="290" t="n">
        <v>1</v>
      </c>
      <c r="AU81" s="315" t="b">
        <f aca="false">FALSE()</f>
        <v>0</v>
      </c>
      <c r="AV81" s="315" t="b">
        <f aca="false">FALSE()</f>
        <v>0</v>
      </c>
      <c r="AW81" s="290" t="n">
        <v>5</v>
      </c>
      <c r="AX81" s="315" t="b">
        <f aca="false">FALSE()</f>
        <v>0</v>
      </c>
      <c r="AY81" s="315" t="b">
        <f aca="false">TRUE()</f>
        <v>1</v>
      </c>
      <c r="AZ81" s="290" t="n">
        <v>100</v>
      </c>
      <c r="BA81" s="290" t="n">
        <v>50</v>
      </c>
      <c r="BB81" s="290" t="n">
        <v>1160</v>
      </c>
      <c r="BC81" s="290" t="n">
        <v>2</v>
      </c>
      <c r="BD81" s="290" t="n">
        <v>0</v>
      </c>
      <c r="BE81" s="290" t="n">
        <v>0</v>
      </c>
      <c r="BF81" s="290" t="n">
        <v>0</v>
      </c>
      <c r="BG81" s="290" t="n">
        <v>3</v>
      </c>
      <c r="BH81" s="290" t="n">
        <v>0</v>
      </c>
      <c r="BI81" s="290" t="n">
        <v>0</v>
      </c>
      <c r="BJ81" s="290" t="n">
        <v>0</v>
      </c>
      <c r="BK81" s="290" t="n">
        <v>0</v>
      </c>
      <c r="BL81" s="290" t="n">
        <v>0</v>
      </c>
      <c r="BM81" s="290" t="n">
        <v>0</v>
      </c>
      <c r="BN81" s="290" t="n">
        <v>2</v>
      </c>
      <c r="BO81" s="290" t="n">
        <v>0</v>
      </c>
      <c r="BP81" s="290" t="s">
        <v>182</v>
      </c>
      <c r="BQ81" s="290" t="s">
        <v>182</v>
      </c>
      <c r="BR81" s="290" t="s">
        <v>182</v>
      </c>
      <c r="BS81" s="290" t="s">
        <v>182</v>
      </c>
      <c r="BT81" s="290" t="n">
        <v>80</v>
      </c>
      <c r="BU81" s="316" t="b">
        <f aca="false">FALSE()</f>
        <v>0</v>
      </c>
      <c r="BV81" s="290"/>
      <c r="BW81" s="3"/>
      <c r="BX81" s="3"/>
      <c r="BY81" s="3"/>
      <c r="BZ81" s="3"/>
      <c r="CA81" s="3"/>
      <c r="CB81" s="3"/>
      <c r="CC81" s="3"/>
      <c r="CD81" s="3"/>
      <c r="CE81" s="3"/>
      <c r="CF81" s="3"/>
      <c r="CG81" s="3" t="n">
        <f aca="false">IF(BZ81="Saddle",TRUE(),)</f>
        <v>0</v>
      </c>
      <c r="CH81" s="3"/>
      <c r="CI81" s="3" t="s">
        <v>750</v>
      </c>
      <c r="CJ81" s="3" t="s">
        <v>1064</v>
      </c>
      <c r="CK81" s="3" t="s">
        <v>1064</v>
      </c>
      <c r="CL81" s="3" t="s">
        <v>1064</v>
      </c>
      <c r="CM81" s="3" t="s">
        <v>1064</v>
      </c>
      <c r="CN81" s="3" t="s">
        <v>1064</v>
      </c>
      <c r="CO81" s="3"/>
      <c r="CP81" s="3"/>
      <c r="CQ81" s="3"/>
      <c r="CR81" s="3"/>
      <c r="CS81" s="3"/>
      <c r="CT81" s="3"/>
      <c r="CU81" s="3"/>
      <c r="CV81" s="3" t="s">
        <v>752</v>
      </c>
      <c r="CW81" s="3" t="s">
        <v>753</v>
      </c>
      <c r="CX81" s="3" t="s">
        <v>754</v>
      </c>
      <c r="CY81" s="3" t="s">
        <v>755</v>
      </c>
      <c r="CZ81" s="3" t="s">
        <v>756</v>
      </c>
    </row>
    <row r="82" customFormat="false" ht="15.75" hidden="false" customHeight="false" outlineLevel="0" collapsed="false">
      <c r="A82" s="290" t="s">
        <v>95</v>
      </c>
      <c r="B82" s="290" t="s">
        <v>349</v>
      </c>
      <c r="C82" s="290" t="s">
        <v>182</v>
      </c>
      <c r="D82" s="290" t="s">
        <v>182</v>
      </c>
      <c r="E82" s="290" t="s">
        <v>182</v>
      </c>
      <c r="F82" s="315" t="b">
        <f aca="false">TRUE()</f>
        <v>1</v>
      </c>
      <c r="G82" s="290" t="s">
        <v>1065</v>
      </c>
      <c r="H82" s="290" t="s">
        <v>349</v>
      </c>
      <c r="I82" s="290" t="n">
        <v>69</v>
      </c>
      <c r="J82" s="3"/>
      <c r="K82" s="290" t="s">
        <v>793</v>
      </c>
      <c r="L82" s="290" t="n">
        <v>5</v>
      </c>
      <c r="M82" s="290" t="s">
        <v>789</v>
      </c>
      <c r="N82" s="290" t="s">
        <v>743</v>
      </c>
      <c r="O82" s="290" t="s">
        <v>744</v>
      </c>
      <c r="P82" s="290" t="s">
        <v>745</v>
      </c>
      <c r="Q82" s="290" t="s">
        <v>746</v>
      </c>
      <c r="R82" s="315" t="b">
        <f aca="false">FALSE()</f>
        <v>0</v>
      </c>
      <c r="S82" s="290" t="n">
        <v>120</v>
      </c>
      <c r="T82" s="290" t="n">
        <v>70</v>
      </c>
      <c r="U82" s="290" t="n">
        <v>70</v>
      </c>
      <c r="V82" s="290" t="n">
        <v>70</v>
      </c>
      <c r="W82" s="290" t="n">
        <v>140</v>
      </c>
      <c r="X82" s="290" t="n">
        <v>100</v>
      </c>
      <c r="Y82" s="290" t="n">
        <v>1</v>
      </c>
      <c r="Z82" s="290" t="n">
        <v>1</v>
      </c>
      <c r="AA82" s="290" t="n">
        <v>1</v>
      </c>
      <c r="AB82" s="290" t="n">
        <v>2450</v>
      </c>
      <c r="AC82" s="290" t="s">
        <v>747</v>
      </c>
      <c r="AD82" s="290" t="s">
        <v>182</v>
      </c>
      <c r="AE82" s="290" t="n">
        <v>90</v>
      </c>
      <c r="AF82" s="290" t="n">
        <v>170</v>
      </c>
      <c r="AG82" s="290" t="n">
        <v>750</v>
      </c>
      <c r="AH82" s="290" t="n">
        <v>850</v>
      </c>
      <c r="AI82" s="290" t="n">
        <v>460</v>
      </c>
      <c r="AJ82" s="315" t="b">
        <f aca="false">FALSE()</f>
        <v>0</v>
      </c>
      <c r="AK82" s="315" t="b">
        <f aca="false">FALSE()</f>
        <v>0</v>
      </c>
      <c r="AL82" s="290" t="s">
        <v>765</v>
      </c>
      <c r="AM82" s="315" t="b">
        <f aca="false">FALSE()</f>
        <v>0</v>
      </c>
      <c r="AN82" s="315" t="b">
        <f aca="false">FALSE()</f>
        <v>0</v>
      </c>
      <c r="AO82" s="290" t="n">
        <v>350</v>
      </c>
      <c r="AP82" s="290" t="n">
        <v>1</v>
      </c>
      <c r="AQ82" s="290" t="n">
        <v>5</v>
      </c>
      <c r="AR82" s="290" t="n">
        <v>25</v>
      </c>
      <c r="AS82" s="290" t="n">
        <v>90</v>
      </c>
      <c r="AT82" s="290" t="n">
        <v>1</v>
      </c>
      <c r="AU82" s="315" t="b">
        <f aca="false">FALSE()</f>
        <v>0</v>
      </c>
      <c r="AV82" s="315" t="b">
        <f aca="false">TRUE()</f>
        <v>1</v>
      </c>
      <c r="AW82" s="290" t="n">
        <v>5</v>
      </c>
      <c r="AX82" s="315" t="b">
        <f aca="false">FALSE()</f>
        <v>0</v>
      </c>
      <c r="AY82" s="315" t="b">
        <f aca="false">TRUE()</f>
        <v>1</v>
      </c>
      <c r="AZ82" s="290" t="n">
        <v>100</v>
      </c>
      <c r="BA82" s="290" t="n">
        <v>30</v>
      </c>
      <c r="BB82" s="290" t="n">
        <v>940</v>
      </c>
      <c r="BC82" s="290" t="n">
        <v>0</v>
      </c>
      <c r="BD82" s="290" t="n">
        <v>0</v>
      </c>
      <c r="BE82" s="290" t="n">
        <v>0</v>
      </c>
      <c r="BF82" s="290" t="n">
        <v>0</v>
      </c>
      <c r="BG82" s="290" t="n">
        <v>2</v>
      </c>
      <c r="BH82" s="290" t="n">
        <v>0</v>
      </c>
      <c r="BI82" s="290" t="n">
        <v>0</v>
      </c>
      <c r="BJ82" s="290" t="n">
        <v>1</v>
      </c>
      <c r="BK82" s="290" t="n">
        <v>0</v>
      </c>
      <c r="BL82" s="290" t="n">
        <v>2</v>
      </c>
      <c r="BM82" s="290" t="n">
        <v>0</v>
      </c>
      <c r="BN82" s="290" t="n">
        <v>2</v>
      </c>
      <c r="BO82" s="290" t="n">
        <v>0</v>
      </c>
      <c r="BP82" s="290" t="s">
        <v>1066</v>
      </c>
      <c r="BQ82" s="290" t="s">
        <v>182</v>
      </c>
      <c r="BR82" s="290" t="s">
        <v>182</v>
      </c>
      <c r="BS82" s="290" t="s">
        <v>182</v>
      </c>
      <c r="BT82" s="290" t="n">
        <v>81</v>
      </c>
      <c r="BU82" s="316" t="b">
        <f aca="false">FALSE()</f>
        <v>0</v>
      </c>
      <c r="BV82" s="290"/>
      <c r="BW82" s="3"/>
      <c r="BX82" s="3"/>
      <c r="BY82" s="3"/>
      <c r="BZ82" s="3"/>
      <c r="CA82" s="3"/>
      <c r="CB82" s="3"/>
      <c r="CC82" s="3"/>
      <c r="CD82" s="3"/>
      <c r="CE82" s="3"/>
      <c r="CF82" s="3"/>
      <c r="CG82" s="3" t="n">
        <f aca="false">IF(BZ82="Saddle",TRUE(),)</f>
        <v>0</v>
      </c>
      <c r="CH82" s="3"/>
      <c r="CI82" s="3"/>
      <c r="CJ82" s="3"/>
      <c r="CK82" s="3"/>
      <c r="CL82" s="3"/>
      <c r="CM82" s="3"/>
      <c r="CN82" s="3"/>
      <c r="CO82" s="3"/>
      <c r="CP82" s="3"/>
      <c r="CQ82" s="3"/>
      <c r="CR82" s="3"/>
      <c r="CS82" s="3"/>
      <c r="CT82" s="3"/>
      <c r="CU82" s="3" t="s">
        <v>1023</v>
      </c>
      <c r="CV82" s="3" t="s">
        <v>1024</v>
      </c>
      <c r="CW82" s="3" t="s">
        <v>1025</v>
      </c>
      <c r="CX82" s="3" t="s">
        <v>1026</v>
      </c>
      <c r="CY82" s="3" t="s">
        <v>1027</v>
      </c>
      <c r="CZ82" s="3" t="s">
        <v>1028</v>
      </c>
    </row>
    <row r="83" customFormat="false" ht="15.75" hidden="false" customHeight="false" outlineLevel="0" collapsed="false">
      <c r="A83" s="290" t="s">
        <v>74</v>
      </c>
      <c r="B83" s="290" t="s">
        <v>281</v>
      </c>
      <c r="C83" s="290" t="s">
        <v>182</v>
      </c>
      <c r="D83" s="290" t="s">
        <v>182</v>
      </c>
      <c r="E83" s="290" t="s">
        <v>182</v>
      </c>
      <c r="F83" s="315" t="b">
        <f aca="false">TRUE()</f>
        <v>1</v>
      </c>
      <c r="G83" s="290" t="s">
        <v>1067</v>
      </c>
      <c r="H83" s="290" t="s">
        <v>281</v>
      </c>
      <c r="I83" s="290" t="n">
        <v>15</v>
      </c>
      <c r="J83" s="3"/>
      <c r="K83" s="290" t="s">
        <v>762</v>
      </c>
      <c r="L83" s="290" t="n">
        <v>1</v>
      </c>
      <c r="M83" s="290" t="s">
        <v>758</v>
      </c>
      <c r="N83" s="290" t="s">
        <v>743</v>
      </c>
      <c r="O83" s="290" t="s">
        <v>790</v>
      </c>
      <c r="P83" s="290" t="s">
        <v>745</v>
      </c>
      <c r="Q83" s="290" t="s">
        <v>746</v>
      </c>
      <c r="R83" s="315" t="b">
        <f aca="false">FALSE()</f>
        <v>0</v>
      </c>
      <c r="S83" s="290" t="n">
        <v>70</v>
      </c>
      <c r="T83" s="290" t="n">
        <v>70</v>
      </c>
      <c r="U83" s="290" t="n">
        <v>70</v>
      </c>
      <c r="V83" s="290" t="n">
        <v>80</v>
      </c>
      <c r="W83" s="290" t="n">
        <v>100</v>
      </c>
      <c r="X83" s="290" t="n">
        <v>100</v>
      </c>
      <c r="Y83" s="290" t="n">
        <v>1</v>
      </c>
      <c r="Z83" s="290" t="n">
        <v>1</v>
      </c>
      <c r="AA83" s="290" t="n">
        <v>1</v>
      </c>
      <c r="AB83" s="290" t="n">
        <v>1050</v>
      </c>
      <c r="AC83" s="290" t="s">
        <v>836</v>
      </c>
      <c r="AD83" s="290" t="s">
        <v>182</v>
      </c>
      <c r="AE83" s="290" t="n">
        <v>26</v>
      </c>
      <c r="AF83" s="290" t="n">
        <v>70</v>
      </c>
      <c r="AG83" s="290" t="n">
        <v>380</v>
      </c>
      <c r="AH83" s="290" t="n">
        <v>550</v>
      </c>
      <c r="AI83" s="290" t="n">
        <v>225</v>
      </c>
      <c r="AJ83" s="315" t="b">
        <f aca="false">FALSE()</f>
        <v>0</v>
      </c>
      <c r="AK83" s="315" t="b">
        <f aca="false">FALSE()</f>
        <v>0</v>
      </c>
      <c r="AL83" s="290" t="s">
        <v>765</v>
      </c>
      <c r="AM83" s="315" t="b">
        <f aca="false">FALSE()</f>
        <v>0</v>
      </c>
      <c r="AN83" s="315" t="b">
        <f aca="false">FALSE()</f>
        <v>0</v>
      </c>
      <c r="AO83" s="290" t="n">
        <v>225</v>
      </c>
      <c r="AP83" s="290" t="n">
        <v>1</v>
      </c>
      <c r="AQ83" s="290" t="n">
        <v>3</v>
      </c>
      <c r="AR83" s="290" t="n">
        <v>25</v>
      </c>
      <c r="AS83" s="290" t="n">
        <v>90</v>
      </c>
      <c r="AT83" s="290" t="n">
        <v>1</v>
      </c>
      <c r="AU83" s="315" t="b">
        <f aca="false">TRUE()</f>
        <v>1</v>
      </c>
      <c r="AV83" s="315" t="b">
        <f aca="false">TRUE()</f>
        <v>1</v>
      </c>
      <c r="AW83" s="290" t="n">
        <v>0</v>
      </c>
      <c r="AX83" s="315" t="b">
        <f aca="false">FALSE()</f>
        <v>0</v>
      </c>
      <c r="AY83" s="315" t="b">
        <f aca="false">TRUE()</f>
        <v>1</v>
      </c>
      <c r="AZ83" s="290" t="n">
        <v>100</v>
      </c>
      <c r="BA83" s="290" t="n">
        <v>50</v>
      </c>
      <c r="BB83" s="290" t="n">
        <v>1390</v>
      </c>
      <c r="BC83" s="290" t="n">
        <v>0</v>
      </c>
      <c r="BD83" s="290" t="n">
        <v>0</v>
      </c>
      <c r="BE83" s="290" t="n">
        <v>0</v>
      </c>
      <c r="BF83" s="290" t="n">
        <v>0</v>
      </c>
      <c r="BG83" s="290" t="n">
        <v>0</v>
      </c>
      <c r="BH83" s="290" t="n">
        <v>1</v>
      </c>
      <c r="BI83" s="290" t="n">
        <v>0</v>
      </c>
      <c r="BJ83" s="290" t="n">
        <v>0</v>
      </c>
      <c r="BK83" s="290" t="n">
        <v>0</v>
      </c>
      <c r="BL83" s="290" t="n">
        <v>0</v>
      </c>
      <c r="BM83" s="290" t="n">
        <v>0</v>
      </c>
      <c r="BN83" s="290" t="n">
        <v>0</v>
      </c>
      <c r="BO83" s="290" t="n">
        <v>0</v>
      </c>
      <c r="BP83" s="290" t="s">
        <v>182</v>
      </c>
      <c r="BQ83" s="290" t="s">
        <v>182</v>
      </c>
      <c r="BR83" s="290" t="s">
        <v>182</v>
      </c>
      <c r="BS83" s="290" t="s">
        <v>182</v>
      </c>
      <c r="BT83" s="290" t="n">
        <v>82</v>
      </c>
      <c r="BU83" s="316" t="b">
        <f aca="false">FALSE()</f>
        <v>0</v>
      </c>
      <c r="BV83" s="290"/>
      <c r="BW83" s="3"/>
      <c r="BX83" s="3"/>
      <c r="BY83" s="3"/>
      <c r="BZ83" s="3"/>
      <c r="CA83" s="3"/>
      <c r="CB83" s="3"/>
      <c r="CC83" s="3"/>
      <c r="CD83" s="3"/>
      <c r="CE83" s="3"/>
      <c r="CF83" s="3"/>
      <c r="CG83" s="3" t="n">
        <f aca="false">IF(BZ83="Saddle",TRUE(),)</f>
        <v>0</v>
      </c>
      <c r="CH83" s="3"/>
      <c r="CI83" s="3"/>
      <c r="CJ83" s="3"/>
      <c r="CK83" s="3"/>
      <c r="CL83" s="3"/>
      <c r="CM83" s="3"/>
      <c r="CN83" s="3"/>
      <c r="CO83" s="3"/>
      <c r="CP83" s="3"/>
      <c r="CQ83" s="3"/>
      <c r="CR83" s="3"/>
      <c r="CS83" s="3"/>
      <c r="CT83" s="3"/>
      <c r="CU83" s="3" t="s">
        <v>1068</v>
      </c>
      <c r="CV83" s="3" t="s">
        <v>850</v>
      </c>
      <c r="CW83" s="3" t="s">
        <v>851</v>
      </c>
      <c r="CX83" s="3" t="s">
        <v>852</v>
      </c>
      <c r="CY83" s="3" t="s">
        <v>853</v>
      </c>
      <c r="CZ83" s="3" t="s">
        <v>854</v>
      </c>
    </row>
    <row r="84" customFormat="false" ht="15.75" hidden="false" customHeight="false" outlineLevel="0" collapsed="false">
      <c r="A84" s="290" t="s">
        <v>85</v>
      </c>
      <c r="B84" s="290" t="s">
        <v>363</v>
      </c>
      <c r="C84" s="290" t="s">
        <v>182</v>
      </c>
      <c r="D84" s="290" t="s">
        <v>182</v>
      </c>
      <c r="E84" s="290" t="s">
        <v>182</v>
      </c>
      <c r="F84" s="315" t="b">
        <f aca="false">TRUE()</f>
        <v>1</v>
      </c>
      <c r="G84" s="290" t="s">
        <v>1069</v>
      </c>
      <c r="H84" s="290" t="s">
        <v>363</v>
      </c>
      <c r="I84" s="290" t="n">
        <v>81</v>
      </c>
      <c r="J84" s="3"/>
      <c r="K84" s="290" t="s">
        <v>762</v>
      </c>
      <c r="L84" s="290" t="n">
        <v>1</v>
      </c>
      <c r="M84" s="290" t="s">
        <v>814</v>
      </c>
      <c r="N84" s="290" t="s">
        <v>743</v>
      </c>
      <c r="O84" s="290" t="s">
        <v>1070</v>
      </c>
      <c r="P84" s="290" t="s">
        <v>745</v>
      </c>
      <c r="Q84" s="290" t="s">
        <v>746</v>
      </c>
      <c r="R84" s="315" t="b">
        <f aca="false">FALSE()</f>
        <v>0</v>
      </c>
      <c r="S84" s="290" t="n">
        <v>70</v>
      </c>
      <c r="T84" s="290" t="n">
        <v>100</v>
      </c>
      <c r="U84" s="290" t="n">
        <v>70</v>
      </c>
      <c r="V84" s="290" t="n">
        <v>70</v>
      </c>
      <c r="W84" s="290" t="n">
        <v>100</v>
      </c>
      <c r="X84" s="290" t="n">
        <v>100</v>
      </c>
      <c r="Y84" s="290" t="n">
        <v>1</v>
      </c>
      <c r="Z84" s="290" t="n">
        <v>1</v>
      </c>
      <c r="AA84" s="290" t="n">
        <v>1</v>
      </c>
      <c r="AB84" s="290" t="n">
        <v>1260</v>
      </c>
      <c r="AC84" s="290" t="s">
        <v>836</v>
      </c>
      <c r="AD84" s="290" t="s">
        <v>182</v>
      </c>
      <c r="AE84" s="290" t="n">
        <v>50</v>
      </c>
      <c r="AF84" s="290" t="n">
        <v>100</v>
      </c>
      <c r="AG84" s="290" t="n">
        <v>700</v>
      </c>
      <c r="AH84" s="290" t="n">
        <v>900</v>
      </c>
      <c r="AI84" s="290" t="n">
        <v>400</v>
      </c>
      <c r="AJ84" s="315" t="b">
        <f aca="false">FALSE()</f>
        <v>0</v>
      </c>
      <c r="AK84" s="315" t="b">
        <f aca="false">FALSE()</f>
        <v>0</v>
      </c>
      <c r="AL84" s="290" t="s">
        <v>765</v>
      </c>
      <c r="AM84" s="315" t="b">
        <f aca="false">FALSE()</f>
        <v>0</v>
      </c>
      <c r="AN84" s="315" t="b">
        <f aca="false">FALSE()</f>
        <v>0</v>
      </c>
      <c r="AO84" s="290" t="n">
        <v>100</v>
      </c>
      <c r="AP84" s="290" t="n">
        <v>1</v>
      </c>
      <c r="AQ84" s="290" t="n">
        <v>1</v>
      </c>
      <c r="AR84" s="290" t="n">
        <v>25</v>
      </c>
      <c r="AS84" s="290" t="n">
        <v>90</v>
      </c>
      <c r="AT84" s="290" t="n">
        <v>1</v>
      </c>
      <c r="AU84" s="315" t="b">
        <f aca="false">TRUE()</f>
        <v>1</v>
      </c>
      <c r="AV84" s="315" t="b">
        <f aca="false">FALSE()</f>
        <v>0</v>
      </c>
      <c r="AW84" s="290" t="n">
        <v>0</v>
      </c>
      <c r="AX84" s="315" t="b">
        <f aca="false">FALSE()</f>
        <v>0</v>
      </c>
      <c r="AY84" s="315" t="b">
        <f aca="false">TRUE()</f>
        <v>1</v>
      </c>
      <c r="AZ84" s="290" t="n">
        <v>100</v>
      </c>
      <c r="BA84" s="290" t="n">
        <v>50</v>
      </c>
      <c r="BB84" s="290" t="n">
        <v>1260</v>
      </c>
      <c r="BC84" s="290" t="n">
        <v>0</v>
      </c>
      <c r="BD84" s="290" t="n">
        <v>1</v>
      </c>
      <c r="BE84" s="290" t="n">
        <v>0</v>
      </c>
      <c r="BF84" s="290" t="n">
        <v>0</v>
      </c>
      <c r="BG84" s="290" t="n">
        <v>0</v>
      </c>
      <c r="BH84" s="290" t="n">
        <v>0</v>
      </c>
      <c r="BI84" s="290" t="n">
        <v>0</v>
      </c>
      <c r="BJ84" s="290" t="n">
        <v>0</v>
      </c>
      <c r="BK84" s="290" t="n">
        <v>0</v>
      </c>
      <c r="BL84" s="290" t="n">
        <v>0</v>
      </c>
      <c r="BM84" s="290" t="n">
        <v>0</v>
      </c>
      <c r="BN84" s="290" t="n">
        <v>0</v>
      </c>
      <c r="BO84" s="290" t="n">
        <v>0</v>
      </c>
      <c r="BP84" s="290" t="s">
        <v>182</v>
      </c>
      <c r="BQ84" s="290" t="s">
        <v>182</v>
      </c>
      <c r="BR84" s="290" t="s">
        <v>182</v>
      </c>
      <c r="BS84" s="290" t="s">
        <v>182</v>
      </c>
      <c r="BT84" s="290" t="n">
        <v>83</v>
      </c>
      <c r="BU84" s="316" t="b">
        <f aca="false">FALSE()</f>
        <v>0</v>
      </c>
      <c r="BV84" s="290"/>
      <c r="BW84" s="3"/>
      <c r="BX84" s="3"/>
      <c r="BY84" s="3"/>
      <c r="BZ84" s="3"/>
      <c r="CA84" s="3"/>
      <c r="CB84" s="3"/>
      <c r="CC84" s="3"/>
      <c r="CD84" s="3"/>
      <c r="CE84" s="3"/>
      <c r="CF84" s="3"/>
      <c r="CG84" s="3" t="n">
        <f aca="false">IF(BZ84="Saddle",TRUE(),)</f>
        <v>0</v>
      </c>
      <c r="CH84" s="3"/>
      <c r="CI84" s="3"/>
      <c r="CJ84" s="3"/>
      <c r="CK84" s="3"/>
      <c r="CL84" s="3"/>
      <c r="CM84" s="3"/>
      <c r="CN84" s="3"/>
      <c r="CO84" s="3"/>
      <c r="CP84" s="3"/>
      <c r="CQ84" s="3"/>
      <c r="CR84" s="3"/>
      <c r="CS84" s="3"/>
      <c r="CT84" s="3"/>
      <c r="CU84" s="3" t="s">
        <v>1071</v>
      </c>
      <c r="CV84" s="3" t="s">
        <v>850</v>
      </c>
      <c r="CW84" s="3" t="s">
        <v>851</v>
      </c>
      <c r="CX84" s="3" t="s">
        <v>852</v>
      </c>
      <c r="CY84" s="3" t="s">
        <v>853</v>
      </c>
      <c r="CZ84" s="3" t="s">
        <v>854</v>
      </c>
    </row>
    <row r="85" customFormat="false" ht="15.75" hidden="false" customHeight="false" outlineLevel="0" collapsed="false">
      <c r="A85" s="290" t="s">
        <v>86</v>
      </c>
      <c r="B85" s="290" t="s">
        <v>364</v>
      </c>
      <c r="C85" s="290" t="s">
        <v>182</v>
      </c>
      <c r="D85" s="290" t="s">
        <v>182</v>
      </c>
      <c r="E85" s="290" t="s">
        <v>182</v>
      </c>
      <c r="F85" s="315" t="b">
        <f aca="false">TRUE()</f>
        <v>1</v>
      </c>
      <c r="G85" s="290" t="s">
        <v>1072</v>
      </c>
      <c r="H85" s="290" t="s">
        <v>364</v>
      </c>
      <c r="I85" s="290" t="n">
        <v>81</v>
      </c>
      <c r="J85" s="3"/>
      <c r="K85" s="290" t="s">
        <v>762</v>
      </c>
      <c r="L85" s="290" t="n">
        <v>2</v>
      </c>
      <c r="M85" s="290" t="s">
        <v>757</v>
      </c>
      <c r="N85" s="290" t="s">
        <v>743</v>
      </c>
      <c r="O85" s="290" t="s">
        <v>1070</v>
      </c>
      <c r="P85" s="290" t="s">
        <v>745</v>
      </c>
      <c r="Q85" s="290" t="s">
        <v>746</v>
      </c>
      <c r="R85" s="315" t="b">
        <f aca="false">FALSE()</f>
        <v>0</v>
      </c>
      <c r="S85" s="290" t="n">
        <v>70</v>
      </c>
      <c r="T85" s="290" t="n">
        <v>100</v>
      </c>
      <c r="U85" s="290" t="n">
        <v>70</v>
      </c>
      <c r="V85" s="290" t="n">
        <v>70</v>
      </c>
      <c r="W85" s="290" t="n">
        <v>100</v>
      </c>
      <c r="X85" s="290" t="n">
        <v>100</v>
      </c>
      <c r="Y85" s="290" t="n">
        <v>1</v>
      </c>
      <c r="Z85" s="290" t="n">
        <v>1</v>
      </c>
      <c r="AA85" s="290" t="n">
        <v>1</v>
      </c>
      <c r="AB85" s="290" t="n">
        <v>1240</v>
      </c>
      <c r="AC85" s="290" t="s">
        <v>836</v>
      </c>
      <c r="AD85" s="290" t="s">
        <v>182</v>
      </c>
      <c r="AE85" s="290" t="n">
        <v>50</v>
      </c>
      <c r="AF85" s="290" t="n">
        <v>100</v>
      </c>
      <c r="AG85" s="290" t="n">
        <v>700</v>
      </c>
      <c r="AH85" s="290" t="n">
        <v>900</v>
      </c>
      <c r="AI85" s="290" t="n">
        <v>400</v>
      </c>
      <c r="AJ85" s="315" t="b">
        <f aca="false">FALSE()</f>
        <v>0</v>
      </c>
      <c r="AK85" s="315" t="b">
        <f aca="false">FALSE()</f>
        <v>0</v>
      </c>
      <c r="AL85" s="290" t="s">
        <v>765</v>
      </c>
      <c r="AM85" s="315" t="b">
        <f aca="false">FALSE()</f>
        <v>0</v>
      </c>
      <c r="AN85" s="315" t="b">
        <f aca="false">FALSE()</f>
        <v>0</v>
      </c>
      <c r="AO85" s="290" t="n">
        <v>100</v>
      </c>
      <c r="AP85" s="290" t="n">
        <v>1</v>
      </c>
      <c r="AQ85" s="290" t="n">
        <v>1</v>
      </c>
      <c r="AR85" s="290" t="n">
        <v>25</v>
      </c>
      <c r="AS85" s="290" t="n">
        <v>90</v>
      </c>
      <c r="AT85" s="290" t="n">
        <v>1</v>
      </c>
      <c r="AU85" s="315" t="b">
        <f aca="false">TRUE()</f>
        <v>1</v>
      </c>
      <c r="AV85" s="315" t="b">
        <f aca="false">FALSE()</f>
        <v>0</v>
      </c>
      <c r="AW85" s="290" t="n">
        <v>0</v>
      </c>
      <c r="AX85" s="315" t="b">
        <f aca="false">FALSE()</f>
        <v>0</v>
      </c>
      <c r="AY85" s="315" t="b">
        <f aca="false">TRUE()</f>
        <v>1</v>
      </c>
      <c r="AZ85" s="290" t="n">
        <v>100</v>
      </c>
      <c r="BA85" s="290" t="n">
        <v>50</v>
      </c>
      <c r="BB85" s="290" t="n">
        <v>1270</v>
      </c>
      <c r="BC85" s="290" t="n">
        <v>1</v>
      </c>
      <c r="BD85" s="290" t="n">
        <v>0</v>
      </c>
      <c r="BE85" s="290" t="n">
        <v>0</v>
      </c>
      <c r="BF85" s="290" t="n">
        <v>0</v>
      </c>
      <c r="BG85" s="290" t="n">
        <v>0</v>
      </c>
      <c r="BH85" s="290" t="n">
        <v>0</v>
      </c>
      <c r="BI85" s="290" t="n">
        <v>0</v>
      </c>
      <c r="BJ85" s="290" t="n">
        <v>0</v>
      </c>
      <c r="BK85" s="290" t="n">
        <v>0</v>
      </c>
      <c r="BL85" s="290" t="n">
        <v>0</v>
      </c>
      <c r="BM85" s="290" t="n">
        <v>0</v>
      </c>
      <c r="BN85" s="290" t="n">
        <v>0</v>
      </c>
      <c r="BO85" s="290" t="n">
        <v>0</v>
      </c>
      <c r="BP85" s="290" t="s">
        <v>182</v>
      </c>
      <c r="BQ85" s="290" t="s">
        <v>182</v>
      </c>
      <c r="BR85" s="290" t="s">
        <v>182</v>
      </c>
      <c r="BS85" s="290" t="s">
        <v>182</v>
      </c>
      <c r="BT85" s="290" t="n">
        <v>84</v>
      </c>
      <c r="BU85" s="316" t="b">
        <f aca="false">FALSE()</f>
        <v>0</v>
      </c>
      <c r="BV85" s="290"/>
      <c r="BW85" s="290" t="s">
        <v>761</v>
      </c>
      <c r="BX85" s="3"/>
      <c r="BY85" s="3"/>
      <c r="BZ85" s="3"/>
      <c r="CA85" s="3"/>
      <c r="CB85" s="3"/>
      <c r="CC85" s="3"/>
      <c r="CD85" s="3"/>
      <c r="CE85" s="3"/>
      <c r="CF85" s="3"/>
      <c r="CG85" s="3" t="n">
        <f aca="false">IF(BZ85="Saddle",TRUE(),)</f>
        <v>0</v>
      </c>
      <c r="CH85" s="3"/>
      <c r="CI85" s="3"/>
      <c r="CJ85" s="3"/>
      <c r="CK85" s="3"/>
      <c r="CL85" s="3"/>
      <c r="CM85" s="3"/>
      <c r="CN85" s="3"/>
      <c r="CO85" s="3"/>
      <c r="CP85" s="3"/>
      <c r="CQ85" s="3"/>
      <c r="CR85" s="3"/>
      <c r="CS85" s="3"/>
      <c r="CT85" s="3"/>
      <c r="CU85" s="3" t="s">
        <v>1073</v>
      </c>
      <c r="CV85" s="3" t="s">
        <v>850</v>
      </c>
      <c r="CW85" s="3" t="s">
        <v>851</v>
      </c>
      <c r="CX85" s="3" t="s">
        <v>852</v>
      </c>
      <c r="CY85" s="3" t="s">
        <v>853</v>
      </c>
      <c r="CZ85" s="3" t="s">
        <v>854</v>
      </c>
    </row>
    <row r="86" customFormat="false" ht="15.75" hidden="false" customHeight="false" outlineLevel="0" collapsed="false">
      <c r="A86" s="290" t="s">
        <v>87</v>
      </c>
      <c r="B86" s="290" t="s">
        <v>292</v>
      </c>
      <c r="C86" s="290" t="s">
        <v>182</v>
      </c>
      <c r="D86" s="290" t="s">
        <v>182</v>
      </c>
      <c r="E86" s="290" t="s">
        <v>182</v>
      </c>
      <c r="F86" s="315" t="b">
        <f aca="false">TRUE()</f>
        <v>1</v>
      </c>
      <c r="G86" s="290" t="s">
        <v>1074</v>
      </c>
      <c r="H86" s="290" t="s">
        <v>292</v>
      </c>
      <c r="I86" s="290" t="n">
        <v>23</v>
      </c>
      <c r="J86" s="3"/>
      <c r="K86" s="290" t="s">
        <v>762</v>
      </c>
      <c r="L86" s="290" t="n">
        <v>1</v>
      </c>
      <c r="M86" s="290" t="s">
        <v>758</v>
      </c>
      <c r="N86" s="290" t="s">
        <v>743</v>
      </c>
      <c r="O86" s="290" t="s">
        <v>898</v>
      </c>
      <c r="P86" s="290" t="s">
        <v>745</v>
      </c>
      <c r="Q86" s="290" t="s">
        <v>746</v>
      </c>
      <c r="R86" s="315" t="b">
        <f aca="false">FALSE()</f>
        <v>0</v>
      </c>
      <c r="S86" s="290" t="n">
        <v>60</v>
      </c>
      <c r="T86" s="290" t="n">
        <v>100</v>
      </c>
      <c r="U86" s="290" t="n">
        <v>60</v>
      </c>
      <c r="V86" s="290" t="n">
        <v>70</v>
      </c>
      <c r="W86" s="290" t="n">
        <v>100</v>
      </c>
      <c r="X86" s="290" t="n">
        <v>100</v>
      </c>
      <c r="Y86" s="290" t="n">
        <v>1</v>
      </c>
      <c r="Z86" s="290" t="n">
        <v>1</v>
      </c>
      <c r="AA86" s="290" t="n">
        <v>1</v>
      </c>
      <c r="AB86" s="290" t="n">
        <v>1200</v>
      </c>
      <c r="AC86" s="290" t="s">
        <v>836</v>
      </c>
      <c r="AD86" s="290" t="s">
        <v>182</v>
      </c>
      <c r="AE86" s="290" t="n">
        <v>60</v>
      </c>
      <c r="AF86" s="290" t="n">
        <v>120</v>
      </c>
      <c r="AG86" s="290" t="n">
        <v>400</v>
      </c>
      <c r="AH86" s="290" t="n">
        <v>550</v>
      </c>
      <c r="AI86" s="290" t="n">
        <v>260</v>
      </c>
      <c r="AJ86" s="315" t="b">
        <f aca="false">FALSE()</f>
        <v>0</v>
      </c>
      <c r="AK86" s="315" t="b">
        <f aca="false">FALSE()</f>
        <v>0</v>
      </c>
      <c r="AL86" s="290" t="s">
        <v>765</v>
      </c>
      <c r="AM86" s="315" t="b">
        <f aca="false">FALSE()</f>
        <v>0</v>
      </c>
      <c r="AN86" s="315" t="b">
        <f aca="false">FALSE()</f>
        <v>0</v>
      </c>
      <c r="AO86" s="290" t="n">
        <v>225</v>
      </c>
      <c r="AP86" s="290" t="n">
        <v>1</v>
      </c>
      <c r="AQ86" s="290" t="n">
        <v>3</v>
      </c>
      <c r="AR86" s="290" t="n">
        <v>25</v>
      </c>
      <c r="AS86" s="290" t="n">
        <v>90</v>
      </c>
      <c r="AT86" s="290" t="n">
        <v>1</v>
      </c>
      <c r="AU86" s="315" t="b">
        <f aca="false">FALSE()</f>
        <v>0</v>
      </c>
      <c r="AV86" s="315" t="b">
        <f aca="false">TRUE()</f>
        <v>1</v>
      </c>
      <c r="AW86" s="290" t="n">
        <v>0</v>
      </c>
      <c r="AX86" s="315" t="b">
        <f aca="false">FALSE()</f>
        <v>0</v>
      </c>
      <c r="AY86" s="315" t="b">
        <f aca="false">TRUE()</f>
        <v>1</v>
      </c>
      <c r="AZ86" s="290" t="n">
        <v>100</v>
      </c>
      <c r="BA86" s="290" t="n">
        <v>50</v>
      </c>
      <c r="BB86" s="290" t="n">
        <v>1290</v>
      </c>
      <c r="BC86" s="290" t="n">
        <v>0</v>
      </c>
      <c r="BD86" s="290" t="n">
        <v>0</v>
      </c>
      <c r="BE86" s="290" t="n">
        <v>0</v>
      </c>
      <c r="BF86" s="290" t="n">
        <v>0</v>
      </c>
      <c r="BG86" s="290" t="n">
        <v>0</v>
      </c>
      <c r="BH86" s="290" t="n">
        <v>1</v>
      </c>
      <c r="BI86" s="290" t="n">
        <v>0</v>
      </c>
      <c r="BJ86" s="290" t="n">
        <v>0</v>
      </c>
      <c r="BK86" s="290" t="n">
        <v>0</v>
      </c>
      <c r="BL86" s="290" t="n">
        <v>0</v>
      </c>
      <c r="BM86" s="290" t="n">
        <v>0</v>
      </c>
      <c r="BN86" s="290" t="n">
        <v>2</v>
      </c>
      <c r="BO86" s="290" t="n">
        <v>0</v>
      </c>
      <c r="BP86" s="290" t="s">
        <v>182</v>
      </c>
      <c r="BQ86" s="290" t="s">
        <v>182</v>
      </c>
      <c r="BR86" s="290" t="s">
        <v>182</v>
      </c>
      <c r="BS86" s="290" t="s">
        <v>182</v>
      </c>
      <c r="BT86" s="290" t="n">
        <v>85</v>
      </c>
      <c r="BU86" s="316" t="b">
        <f aca="false">FALSE()</f>
        <v>0</v>
      </c>
      <c r="BV86" s="290"/>
      <c r="BW86" s="3"/>
      <c r="BX86" s="85" t="n">
        <v>9</v>
      </c>
      <c r="BY86" s="3" t="s">
        <v>1075</v>
      </c>
      <c r="BZ86" s="3" t="s">
        <v>809</v>
      </c>
      <c r="CA86" s="3"/>
      <c r="CB86" s="3"/>
      <c r="CC86" s="3"/>
      <c r="CD86" s="3"/>
      <c r="CE86" s="3"/>
      <c r="CF86" s="3"/>
      <c r="CG86" s="3" t="n">
        <f aca="false">IF(BZ86="Saddle",TRUE(),)</f>
        <v>0</v>
      </c>
      <c r="CH86" s="3"/>
      <c r="CI86" s="3"/>
      <c r="CJ86" s="3"/>
      <c r="CK86" s="3"/>
      <c r="CL86" s="3"/>
      <c r="CM86" s="3"/>
      <c r="CN86" s="3"/>
      <c r="CO86" s="3"/>
      <c r="CP86" s="3"/>
      <c r="CQ86" s="3"/>
      <c r="CR86" s="3"/>
      <c r="CS86" s="3"/>
      <c r="CT86" s="3"/>
      <c r="CU86" s="3"/>
      <c r="CV86" s="3"/>
      <c r="CW86" s="3"/>
      <c r="CX86" s="3"/>
      <c r="CY86" s="3"/>
      <c r="CZ86" s="3"/>
    </row>
    <row r="87" customFormat="false" ht="15.75" hidden="false" customHeight="false" outlineLevel="0" collapsed="false">
      <c r="A87" s="290" t="s">
        <v>108</v>
      </c>
      <c r="B87" s="290" t="s">
        <v>299</v>
      </c>
      <c r="C87" s="290" t="s">
        <v>182</v>
      </c>
      <c r="D87" s="290" t="s">
        <v>182</v>
      </c>
      <c r="E87" s="290" t="s">
        <v>182</v>
      </c>
      <c r="F87" s="315" t="b">
        <f aca="false">TRUE()</f>
        <v>1</v>
      </c>
      <c r="G87" s="290" t="s">
        <v>1076</v>
      </c>
      <c r="H87" s="290" t="s">
        <v>299</v>
      </c>
      <c r="I87" s="290" t="n">
        <v>29</v>
      </c>
      <c r="J87" s="3"/>
      <c r="K87" s="290" t="s">
        <v>773</v>
      </c>
      <c r="L87" s="290" t="n">
        <v>2</v>
      </c>
      <c r="M87" s="290" t="s">
        <v>789</v>
      </c>
      <c r="N87" s="290" t="s">
        <v>743</v>
      </c>
      <c r="O87" s="290" t="s">
        <v>763</v>
      </c>
      <c r="P87" s="290" t="s">
        <v>745</v>
      </c>
      <c r="Q87" s="290" t="s">
        <v>746</v>
      </c>
      <c r="R87" s="315" t="b">
        <f aca="false">FALSE()</f>
        <v>0</v>
      </c>
      <c r="S87" s="290" t="n">
        <v>90</v>
      </c>
      <c r="T87" s="290" t="n">
        <v>100</v>
      </c>
      <c r="U87" s="290" t="n">
        <v>50</v>
      </c>
      <c r="V87" s="290" t="n">
        <v>80</v>
      </c>
      <c r="W87" s="290" t="n">
        <v>100</v>
      </c>
      <c r="X87" s="290" t="n">
        <v>100</v>
      </c>
      <c r="Y87" s="290" t="n">
        <v>1</v>
      </c>
      <c r="Z87" s="290" t="n">
        <v>1</v>
      </c>
      <c r="AA87" s="290" t="n">
        <v>1</v>
      </c>
      <c r="AB87" s="290" t="n">
        <v>2620</v>
      </c>
      <c r="AC87" s="290" t="s">
        <v>764</v>
      </c>
      <c r="AD87" s="290" t="s">
        <v>182</v>
      </c>
      <c r="AE87" s="290" t="n">
        <v>55</v>
      </c>
      <c r="AF87" s="290" t="n">
        <v>55</v>
      </c>
      <c r="AG87" s="290" t="n">
        <v>580</v>
      </c>
      <c r="AH87" s="290" t="n">
        <v>700</v>
      </c>
      <c r="AI87" s="290" t="n">
        <v>317</v>
      </c>
      <c r="AJ87" s="315" t="b">
        <f aca="false">FALSE()</f>
        <v>0</v>
      </c>
      <c r="AK87" s="315" t="b">
        <f aca="false">FALSE()</f>
        <v>0</v>
      </c>
      <c r="AL87" s="290" t="s">
        <v>765</v>
      </c>
      <c r="AM87" s="315" t="b">
        <f aca="false">FALSE()</f>
        <v>0</v>
      </c>
      <c r="AN87" s="315" t="b">
        <f aca="false">FALSE()</f>
        <v>0</v>
      </c>
      <c r="AO87" s="290" t="n">
        <v>225</v>
      </c>
      <c r="AP87" s="290" t="n">
        <v>1</v>
      </c>
      <c r="AQ87" s="290" t="n">
        <v>3</v>
      </c>
      <c r="AR87" s="290" t="n">
        <v>25</v>
      </c>
      <c r="AS87" s="290" t="n">
        <v>90</v>
      </c>
      <c r="AT87" s="290" t="n">
        <v>1</v>
      </c>
      <c r="AU87" s="315" t="b">
        <f aca="false">FALSE()</f>
        <v>0</v>
      </c>
      <c r="AV87" s="315" t="b">
        <f aca="false">FALSE()</f>
        <v>0</v>
      </c>
      <c r="AW87" s="290" t="n">
        <v>0</v>
      </c>
      <c r="AX87" s="315" t="b">
        <f aca="false">FALSE()</f>
        <v>0</v>
      </c>
      <c r="AY87" s="315" t="b">
        <f aca="false">TRUE()</f>
        <v>1</v>
      </c>
      <c r="AZ87" s="290" t="n">
        <v>100</v>
      </c>
      <c r="BA87" s="290" t="n">
        <v>20</v>
      </c>
      <c r="BB87" s="290" t="n">
        <v>910</v>
      </c>
      <c r="BC87" s="290" t="n">
        <v>0</v>
      </c>
      <c r="BD87" s="290" t="n">
        <v>0</v>
      </c>
      <c r="BE87" s="290" t="n">
        <v>0</v>
      </c>
      <c r="BF87" s="290" t="n">
        <v>0</v>
      </c>
      <c r="BG87" s="290" t="n">
        <v>0</v>
      </c>
      <c r="BH87" s="290" t="n">
        <v>0</v>
      </c>
      <c r="BI87" s="290" t="n">
        <v>0</v>
      </c>
      <c r="BJ87" s="290" t="n">
        <v>0</v>
      </c>
      <c r="BK87" s="290" t="n">
        <v>0</v>
      </c>
      <c r="BL87" s="290" t="n">
        <v>0</v>
      </c>
      <c r="BM87" s="290" t="n">
        <v>0</v>
      </c>
      <c r="BN87" s="290" t="n">
        <v>0</v>
      </c>
      <c r="BO87" s="290" t="n">
        <v>1</v>
      </c>
      <c r="BP87" s="290" t="s">
        <v>182</v>
      </c>
      <c r="BQ87" s="290" t="s">
        <v>182</v>
      </c>
      <c r="BR87" s="290" t="s">
        <v>182</v>
      </c>
      <c r="BS87" s="290" t="s">
        <v>182</v>
      </c>
      <c r="BT87" s="290" t="n">
        <v>86</v>
      </c>
      <c r="BU87" s="316" t="b">
        <f aca="false">FALSE()</f>
        <v>0</v>
      </c>
      <c r="BV87" s="290"/>
      <c r="BW87" s="3"/>
      <c r="BX87" s="3"/>
      <c r="BY87" s="3"/>
      <c r="BZ87" s="3"/>
      <c r="CA87" s="3"/>
      <c r="CB87" s="3"/>
      <c r="CC87" s="3"/>
      <c r="CD87" s="3"/>
      <c r="CE87" s="3"/>
      <c r="CF87" s="3"/>
      <c r="CG87" s="3" t="n">
        <f aca="false">IF(BZ87="Saddle",TRUE(),)</f>
        <v>0</v>
      </c>
      <c r="CH87" s="3"/>
      <c r="CI87" s="3"/>
      <c r="CJ87" s="3"/>
      <c r="CK87" s="3"/>
      <c r="CL87" s="3"/>
      <c r="CM87" s="3"/>
      <c r="CN87" s="3"/>
      <c r="CO87" s="3"/>
      <c r="CP87" s="3"/>
      <c r="CQ87" s="3"/>
      <c r="CR87" s="3"/>
      <c r="CS87" s="3"/>
      <c r="CT87" s="3"/>
      <c r="CU87" s="3"/>
      <c r="CV87" s="3" t="s">
        <v>1077</v>
      </c>
      <c r="CW87" s="3" t="s">
        <v>1078</v>
      </c>
      <c r="CX87" s="3" t="s">
        <v>1079</v>
      </c>
      <c r="CY87" s="3" t="s">
        <v>1080</v>
      </c>
      <c r="CZ87" s="3" t="s">
        <v>1081</v>
      </c>
    </row>
    <row r="88" customFormat="false" ht="15.75" hidden="false" customHeight="false" outlineLevel="0" collapsed="false">
      <c r="A88" s="290" t="s">
        <v>152</v>
      </c>
      <c r="B88" s="290" t="s">
        <v>380</v>
      </c>
      <c r="C88" s="290" t="s">
        <v>182</v>
      </c>
      <c r="D88" s="290" t="s">
        <v>182</v>
      </c>
      <c r="E88" s="290" t="s">
        <v>182</v>
      </c>
      <c r="F88" s="315" t="b">
        <f aca="false">TRUE()</f>
        <v>1</v>
      </c>
      <c r="G88" s="290" t="s">
        <v>441</v>
      </c>
      <c r="H88" s="290" t="s">
        <v>380</v>
      </c>
      <c r="I88" s="290" t="n">
        <v>91</v>
      </c>
      <c r="J88" s="3"/>
      <c r="K88" s="290" t="s">
        <v>793</v>
      </c>
      <c r="L88" s="290" t="n">
        <v>7</v>
      </c>
      <c r="M88" s="290" t="s">
        <v>771</v>
      </c>
      <c r="N88" s="290" t="s">
        <v>743</v>
      </c>
      <c r="O88" s="290" t="s">
        <v>744</v>
      </c>
      <c r="P88" s="290" t="s">
        <v>745</v>
      </c>
      <c r="Q88" s="290" t="s">
        <v>746</v>
      </c>
      <c r="R88" s="315" t="b">
        <f aca="false">FALSE()</f>
        <v>0</v>
      </c>
      <c r="S88" s="290" t="n">
        <v>140</v>
      </c>
      <c r="T88" s="290" t="n">
        <v>100</v>
      </c>
      <c r="U88" s="290" t="n">
        <v>80</v>
      </c>
      <c r="V88" s="290" t="n">
        <v>100</v>
      </c>
      <c r="W88" s="290" t="n">
        <v>100</v>
      </c>
      <c r="X88" s="290" t="n">
        <v>100</v>
      </c>
      <c r="Y88" s="290" t="n">
        <v>1</v>
      </c>
      <c r="Z88" s="290" t="n">
        <v>1</v>
      </c>
      <c r="AA88" s="290" t="n">
        <v>1</v>
      </c>
      <c r="AB88" s="290" t="n">
        <v>5900</v>
      </c>
      <c r="AC88" s="290" t="s">
        <v>747</v>
      </c>
      <c r="AD88" s="290" t="s">
        <v>182</v>
      </c>
      <c r="AE88" s="290" t="n">
        <v>70</v>
      </c>
      <c r="AF88" s="290" t="n">
        <v>100</v>
      </c>
      <c r="AG88" s="290" t="n">
        <v>365</v>
      </c>
      <c r="AH88" s="290" t="n">
        <v>550</v>
      </c>
      <c r="AI88" s="290" t="n">
        <v>150</v>
      </c>
      <c r="AJ88" s="315" t="b">
        <f aca="false">FALSE()</f>
        <v>0</v>
      </c>
      <c r="AK88" s="315" t="b">
        <f aca="false">FALSE()</f>
        <v>0</v>
      </c>
      <c r="AL88" s="290" t="s">
        <v>765</v>
      </c>
      <c r="AM88" s="315" t="b">
        <f aca="false">FALSE()</f>
        <v>0</v>
      </c>
      <c r="AN88" s="315" t="b">
        <f aca="false">FALSE()</f>
        <v>0</v>
      </c>
      <c r="AO88" s="290" t="n">
        <v>525</v>
      </c>
      <c r="AP88" s="290" t="n">
        <v>1</v>
      </c>
      <c r="AQ88" s="290" t="n">
        <v>8</v>
      </c>
      <c r="AR88" s="290" t="n">
        <v>25</v>
      </c>
      <c r="AS88" s="290" t="n">
        <v>90</v>
      </c>
      <c r="AT88" s="290" t="n">
        <v>1</v>
      </c>
      <c r="AU88" s="315" t="b">
        <f aca="false">FALSE()</f>
        <v>0</v>
      </c>
      <c r="AV88" s="315" t="b">
        <f aca="false">FALSE()</f>
        <v>0</v>
      </c>
      <c r="AW88" s="290" t="n">
        <v>5</v>
      </c>
      <c r="AX88" s="315" t="b">
        <f aca="false">TRUE()</f>
        <v>1</v>
      </c>
      <c r="AY88" s="315" t="b">
        <f aca="false">TRUE()</f>
        <v>1</v>
      </c>
      <c r="AZ88" s="290" t="n">
        <v>100</v>
      </c>
      <c r="BA88" s="290" t="n">
        <v>50</v>
      </c>
      <c r="BB88" s="290" t="n">
        <v>460</v>
      </c>
      <c r="BC88" s="290" t="n">
        <v>0</v>
      </c>
      <c r="BD88" s="290" t="n">
        <v>0</v>
      </c>
      <c r="BE88" s="290" t="n">
        <v>0</v>
      </c>
      <c r="BF88" s="290" t="n">
        <v>0</v>
      </c>
      <c r="BG88" s="290" t="n">
        <v>2</v>
      </c>
      <c r="BH88" s="290" t="n">
        <v>0</v>
      </c>
      <c r="BI88" s="290" t="n">
        <v>3</v>
      </c>
      <c r="BJ88" s="290" t="n">
        <v>0</v>
      </c>
      <c r="BK88" s="290" t="n">
        <v>0</v>
      </c>
      <c r="BL88" s="290" t="n">
        <v>0</v>
      </c>
      <c r="BM88" s="290" t="n">
        <v>2</v>
      </c>
      <c r="BN88" s="290" t="n">
        <v>4</v>
      </c>
      <c r="BO88" s="290" t="n">
        <v>0</v>
      </c>
      <c r="BP88" s="290" t="s">
        <v>182</v>
      </c>
      <c r="BQ88" s="290" t="s">
        <v>182</v>
      </c>
      <c r="BR88" s="290" t="s">
        <v>182</v>
      </c>
      <c r="BS88" s="290" t="s">
        <v>182</v>
      </c>
      <c r="BT88" s="290" t="n">
        <v>87</v>
      </c>
      <c r="BU88" s="316" t="b">
        <f aca="false">FALSE()</f>
        <v>0</v>
      </c>
      <c r="BV88" s="290"/>
      <c r="BW88" s="3"/>
      <c r="BX88" s="85" t="n">
        <v>44</v>
      </c>
      <c r="BY88" s="3" t="s">
        <v>1082</v>
      </c>
      <c r="BZ88" s="3" t="s">
        <v>775</v>
      </c>
      <c r="CA88" s="3"/>
      <c r="CB88" s="3"/>
      <c r="CC88" s="3"/>
      <c r="CD88" s="3"/>
      <c r="CE88" s="3"/>
      <c r="CF88" s="3"/>
      <c r="CG88" s="311" t="b">
        <f aca="false">IF(BZ88="Saddle",TRUE(),)</f>
        <v>1</v>
      </c>
      <c r="CH88" s="3" t="s">
        <v>776</v>
      </c>
      <c r="CI88" s="3"/>
      <c r="CJ88" s="3"/>
      <c r="CK88" s="3"/>
      <c r="CL88" s="3"/>
      <c r="CM88" s="3"/>
      <c r="CN88" s="3"/>
      <c r="CO88" s="3"/>
      <c r="CP88" s="3"/>
      <c r="CQ88" s="3"/>
      <c r="CR88" s="3"/>
      <c r="CS88" s="3"/>
      <c r="CT88" s="3"/>
      <c r="CU88" s="85" t="n">
        <v>8</v>
      </c>
      <c r="CV88" s="3" t="s">
        <v>860</v>
      </c>
      <c r="CW88" s="3" t="s">
        <v>1030</v>
      </c>
      <c r="CX88" s="3" t="s">
        <v>1031</v>
      </c>
      <c r="CY88" s="3" t="s">
        <v>1083</v>
      </c>
      <c r="CZ88" s="3" t="s">
        <v>1084</v>
      </c>
    </row>
    <row r="89" customFormat="false" ht="15.75" hidden="false" customHeight="false" outlineLevel="0" collapsed="false">
      <c r="A89" s="290" t="s">
        <v>153</v>
      </c>
      <c r="B89" s="290" t="s">
        <v>381</v>
      </c>
      <c r="C89" s="290" t="s">
        <v>182</v>
      </c>
      <c r="D89" s="290" t="s">
        <v>182</v>
      </c>
      <c r="E89" s="290" t="s">
        <v>182</v>
      </c>
      <c r="F89" s="315" t="b">
        <f aca="false">TRUE()</f>
        <v>1</v>
      </c>
      <c r="G89" s="290" t="s">
        <v>1085</v>
      </c>
      <c r="H89" s="290" t="s">
        <v>381</v>
      </c>
      <c r="I89" s="290" t="n">
        <v>91</v>
      </c>
      <c r="J89" s="3"/>
      <c r="K89" s="290" t="s">
        <v>793</v>
      </c>
      <c r="L89" s="290" t="n">
        <v>8</v>
      </c>
      <c r="M89" s="290" t="s">
        <v>783</v>
      </c>
      <c r="N89" s="290" t="s">
        <v>743</v>
      </c>
      <c r="O89" s="290" t="s">
        <v>744</v>
      </c>
      <c r="P89" s="290" t="s">
        <v>745</v>
      </c>
      <c r="Q89" s="290" t="s">
        <v>746</v>
      </c>
      <c r="R89" s="315" t="b">
        <f aca="false">FALSE()</f>
        <v>0</v>
      </c>
      <c r="S89" s="290" t="n">
        <v>140</v>
      </c>
      <c r="T89" s="290" t="n">
        <v>100</v>
      </c>
      <c r="U89" s="290" t="n">
        <v>80</v>
      </c>
      <c r="V89" s="290" t="n">
        <v>110</v>
      </c>
      <c r="W89" s="290" t="n">
        <v>100</v>
      </c>
      <c r="X89" s="290" t="n">
        <v>100</v>
      </c>
      <c r="Y89" s="290" t="n">
        <v>1</v>
      </c>
      <c r="Z89" s="290" t="n">
        <v>1</v>
      </c>
      <c r="AA89" s="290" t="n">
        <v>1</v>
      </c>
      <c r="AB89" s="290" t="n">
        <v>5700</v>
      </c>
      <c r="AC89" s="290" t="s">
        <v>747</v>
      </c>
      <c r="AD89" s="290" t="s">
        <v>182</v>
      </c>
      <c r="AE89" s="290" t="n">
        <v>70</v>
      </c>
      <c r="AF89" s="290" t="n">
        <v>100</v>
      </c>
      <c r="AG89" s="290" t="n">
        <v>365</v>
      </c>
      <c r="AH89" s="290" t="n">
        <v>550</v>
      </c>
      <c r="AI89" s="290" t="n">
        <v>150</v>
      </c>
      <c r="AJ89" s="315" t="b">
        <f aca="false">FALSE()</f>
        <v>0</v>
      </c>
      <c r="AK89" s="315" t="b">
        <f aca="false">FALSE()</f>
        <v>0</v>
      </c>
      <c r="AL89" s="290" t="s">
        <v>765</v>
      </c>
      <c r="AM89" s="315" t="b">
        <f aca="false">FALSE()</f>
        <v>0</v>
      </c>
      <c r="AN89" s="315" t="b">
        <f aca="false">FALSE()</f>
        <v>0</v>
      </c>
      <c r="AO89" s="290" t="n">
        <v>525</v>
      </c>
      <c r="AP89" s="290" t="n">
        <v>1</v>
      </c>
      <c r="AQ89" s="290" t="n">
        <v>8</v>
      </c>
      <c r="AR89" s="290" t="n">
        <v>25</v>
      </c>
      <c r="AS89" s="290" t="n">
        <v>90</v>
      </c>
      <c r="AT89" s="290" t="n">
        <v>1</v>
      </c>
      <c r="AU89" s="315" t="b">
        <f aca="false">FALSE()</f>
        <v>0</v>
      </c>
      <c r="AV89" s="315" t="b">
        <f aca="false">FALSE()</f>
        <v>0</v>
      </c>
      <c r="AW89" s="290" t="n">
        <v>5</v>
      </c>
      <c r="AX89" s="315" t="b">
        <f aca="false">TRUE()</f>
        <v>1</v>
      </c>
      <c r="AY89" s="315" t="b">
        <f aca="false">TRUE()</f>
        <v>1</v>
      </c>
      <c r="AZ89" s="290" t="n">
        <v>100</v>
      </c>
      <c r="BA89" s="290" t="n">
        <v>50</v>
      </c>
      <c r="BB89" s="290" t="n">
        <v>480</v>
      </c>
      <c r="BC89" s="290" t="n">
        <v>0</v>
      </c>
      <c r="BD89" s="290" t="n">
        <v>0</v>
      </c>
      <c r="BE89" s="290" t="n">
        <v>1</v>
      </c>
      <c r="BF89" s="290" t="n">
        <v>0</v>
      </c>
      <c r="BG89" s="290" t="n">
        <v>2</v>
      </c>
      <c r="BH89" s="290" t="n">
        <v>0</v>
      </c>
      <c r="BI89" s="290" t="n">
        <v>3</v>
      </c>
      <c r="BJ89" s="290" t="n">
        <v>0</v>
      </c>
      <c r="BK89" s="290" t="n">
        <v>0</v>
      </c>
      <c r="BL89" s="290" t="n">
        <v>0</v>
      </c>
      <c r="BM89" s="290" t="n">
        <v>0</v>
      </c>
      <c r="BN89" s="290" t="n">
        <v>4</v>
      </c>
      <c r="BO89" s="290" t="n">
        <v>0</v>
      </c>
      <c r="BP89" s="290" t="s">
        <v>182</v>
      </c>
      <c r="BQ89" s="290" t="s">
        <v>182</v>
      </c>
      <c r="BR89" s="290" t="s">
        <v>182</v>
      </c>
      <c r="BS89" s="290" t="s">
        <v>182</v>
      </c>
      <c r="BT89" s="290" t="n">
        <v>88</v>
      </c>
      <c r="BU89" s="316" t="b">
        <f aca="false">FALSE()</f>
        <v>0</v>
      </c>
      <c r="BV89" s="290"/>
      <c r="BW89" s="290" t="s">
        <v>761</v>
      </c>
      <c r="BX89" s="85" t="n">
        <v>45</v>
      </c>
      <c r="BY89" s="3" t="s">
        <v>1086</v>
      </c>
      <c r="BZ89" s="3" t="s">
        <v>775</v>
      </c>
      <c r="CA89" s="3"/>
      <c r="CB89" s="3"/>
      <c r="CC89" s="3"/>
      <c r="CD89" s="3"/>
      <c r="CE89" s="3"/>
      <c r="CF89" s="3"/>
      <c r="CG89" s="311" t="b">
        <f aca="false">IF(BZ89="Saddle",TRUE(),)</f>
        <v>1</v>
      </c>
      <c r="CH89" s="3" t="s">
        <v>776</v>
      </c>
      <c r="CI89" s="3"/>
      <c r="CJ89" s="3"/>
      <c r="CK89" s="3"/>
      <c r="CL89" s="3"/>
      <c r="CM89" s="3"/>
      <c r="CN89" s="3"/>
      <c r="CO89" s="3"/>
      <c r="CP89" s="3"/>
      <c r="CQ89" s="3"/>
      <c r="CR89" s="3"/>
      <c r="CS89" s="3"/>
      <c r="CT89" s="3"/>
      <c r="CU89" s="85" t="n">
        <v>8</v>
      </c>
      <c r="CV89" s="3" t="s">
        <v>860</v>
      </c>
      <c r="CW89" s="3" t="s">
        <v>1030</v>
      </c>
      <c r="CX89" s="3" t="s">
        <v>1031</v>
      </c>
      <c r="CY89" s="3" t="s">
        <v>1083</v>
      </c>
      <c r="CZ89" s="3" t="s">
        <v>1084</v>
      </c>
    </row>
    <row r="90" customFormat="false" ht="15.75" hidden="false" customHeight="false" outlineLevel="0" collapsed="false">
      <c r="A90" s="290" t="s">
        <v>144</v>
      </c>
      <c r="B90" s="290" t="s">
        <v>359</v>
      </c>
      <c r="C90" s="290" t="s">
        <v>182</v>
      </c>
      <c r="D90" s="290" t="s">
        <v>182</v>
      </c>
      <c r="E90" s="290" t="s">
        <v>182</v>
      </c>
      <c r="F90" s="315" t="b">
        <f aca="false">TRUE()</f>
        <v>1</v>
      </c>
      <c r="G90" s="290" t="s">
        <v>1087</v>
      </c>
      <c r="H90" s="290" t="s">
        <v>359</v>
      </c>
      <c r="I90" s="290" t="n">
        <v>78</v>
      </c>
      <c r="J90" s="3"/>
      <c r="K90" s="290" t="s">
        <v>741</v>
      </c>
      <c r="L90" s="290" t="n">
        <v>8</v>
      </c>
      <c r="M90" s="290" t="s">
        <v>783</v>
      </c>
      <c r="N90" s="290" t="s">
        <v>743</v>
      </c>
      <c r="O90" s="290" t="s">
        <v>744</v>
      </c>
      <c r="P90" s="290" t="s">
        <v>745</v>
      </c>
      <c r="Q90" s="290" t="s">
        <v>746</v>
      </c>
      <c r="R90" s="315" t="b">
        <f aca="false">FALSE()</f>
        <v>0</v>
      </c>
      <c r="S90" s="290" t="n">
        <v>100</v>
      </c>
      <c r="T90" s="290" t="n">
        <v>100</v>
      </c>
      <c r="U90" s="290" t="n">
        <v>100</v>
      </c>
      <c r="V90" s="290" t="n">
        <v>120</v>
      </c>
      <c r="W90" s="290" t="n">
        <v>100</v>
      </c>
      <c r="X90" s="290" t="n">
        <v>100</v>
      </c>
      <c r="Y90" s="290" t="n">
        <v>1</v>
      </c>
      <c r="Z90" s="290" t="n">
        <v>1</v>
      </c>
      <c r="AA90" s="290" t="n">
        <v>1</v>
      </c>
      <c r="AB90" s="290" t="n">
        <v>1960</v>
      </c>
      <c r="AC90" s="290" t="s">
        <v>747</v>
      </c>
      <c r="AD90" s="290" t="s">
        <v>182</v>
      </c>
      <c r="AE90" s="290" t="n">
        <v>100</v>
      </c>
      <c r="AF90" s="290" t="n">
        <v>150</v>
      </c>
      <c r="AG90" s="290" t="n">
        <v>400</v>
      </c>
      <c r="AH90" s="290" t="n">
        <v>550</v>
      </c>
      <c r="AI90" s="290" t="n">
        <v>275</v>
      </c>
      <c r="AJ90" s="315" t="b">
        <f aca="false">FALSE()</f>
        <v>0</v>
      </c>
      <c r="AK90" s="315" t="b">
        <f aca="false">FALSE()</f>
        <v>0</v>
      </c>
      <c r="AL90" s="290" t="s">
        <v>765</v>
      </c>
      <c r="AM90" s="315" t="b">
        <f aca="false">FALSE()</f>
        <v>0</v>
      </c>
      <c r="AN90" s="315" t="b">
        <f aca="false">FALSE()</f>
        <v>0</v>
      </c>
      <c r="AO90" s="290" t="n">
        <v>225</v>
      </c>
      <c r="AP90" s="290" t="n">
        <v>1</v>
      </c>
      <c r="AQ90" s="290" t="n">
        <v>3</v>
      </c>
      <c r="AR90" s="290" t="n">
        <v>25</v>
      </c>
      <c r="AS90" s="290" t="n">
        <v>90</v>
      </c>
      <c r="AT90" s="290" t="n">
        <v>1</v>
      </c>
      <c r="AU90" s="315" t="b">
        <f aca="false">FALSE()</f>
        <v>0</v>
      </c>
      <c r="AV90" s="315" t="b">
        <f aca="false">FALSE()</f>
        <v>0</v>
      </c>
      <c r="AW90" s="290" t="n">
        <v>5</v>
      </c>
      <c r="AX90" s="315" t="b">
        <f aca="false">FALSE()</f>
        <v>0</v>
      </c>
      <c r="AY90" s="315" t="b">
        <f aca="false">TRUE()</f>
        <v>1</v>
      </c>
      <c r="AZ90" s="290" t="n">
        <v>100</v>
      </c>
      <c r="BA90" s="290" t="n">
        <v>50</v>
      </c>
      <c r="BB90" s="290" t="n">
        <v>1050</v>
      </c>
      <c r="BC90" s="290" t="n">
        <v>0</v>
      </c>
      <c r="BD90" s="290" t="n">
        <v>0</v>
      </c>
      <c r="BE90" s="290" t="n">
        <v>2</v>
      </c>
      <c r="BF90" s="290" t="n">
        <v>0</v>
      </c>
      <c r="BG90" s="290" t="n">
        <v>2</v>
      </c>
      <c r="BH90" s="290" t="n">
        <v>2</v>
      </c>
      <c r="BI90" s="290" t="n">
        <v>0</v>
      </c>
      <c r="BJ90" s="290" t="n">
        <v>0</v>
      </c>
      <c r="BK90" s="290" t="n">
        <v>0</v>
      </c>
      <c r="BL90" s="290" t="n">
        <v>3</v>
      </c>
      <c r="BM90" s="290" t="n">
        <v>0</v>
      </c>
      <c r="BN90" s="290" t="n">
        <v>1</v>
      </c>
      <c r="BO90" s="290" t="n">
        <v>0</v>
      </c>
      <c r="BP90" s="290" t="s">
        <v>182</v>
      </c>
      <c r="BQ90" s="290" t="s">
        <v>182</v>
      </c>
      <c r="BR90" s="290" t="s">
        <v>182</v>
      </c>
      <c r="BS90" s="290" t="s">
        <v>182</v>
      </c>
      <c r="BT90" s="290" t="n">
        <v>89</v>
      </c>
      <c r="BU90" s="316" t="b">
        <f aca="false">FALSE()</f>
        <v>0</v>
      </c>
      <c r="BV90" s="290"/>
      <c r="BW90" s="3"/>
      <c r="BX90" s="3"/>
      <c r="BY90" s="3"/>
      <c r="BZ90" s="3"/>
      <c r="CA90" s="3"/>
      <c r="CB90" s="3"/>
      <c r="CC90" s="3"/>
      <c r="CD90" s="3"/>
      <c r="CE90" s="3"/>
      <c r="CF90" s="3"/>
      <c r="CG90" s="3" t="n">
        <f aca="false">IF(BZ90="Saddle",TRUE(),)</f>
        <v>0</v>
      </c>
      <c r="CH90" s="3"/>
      <c r="CI90" s="3"/>
      <c r="CJ90" s="3"/>
      <c r="CK90" s="3"/>
      <c r="CL90" s="3"/>
      <c r="CM90" s="3"/>
      <c r="CN90" s="3"/>
      <c r="CO90" s="3"/>
      <c r="CP90" s="3"/>
      <c r="CQ90" s="3"/>
      <c r="CR90" s="3"/>
      <c r="CS90" s="3"/>
      <c r="CT90" s="3"/>
      <c r="CU90" s="3"/>
      <c r="CV90" s="3" t="s">
        <v>1088</v>
      </c>
      <c r="CW90" s="3" t="s">
        <v>1089</v>
      </c>
      <c r="CX90" s="3" t="s">
        <v>1090</v>
      </c>
      <c r="CY90" s="3" t="s">
        <v>1091</v>
      </c>
      <c r="CZ90" s="3" t="s">
        <v>1092</v>
      </c>
    </row>
    <row r="91" customFormat="false" ht="15.75" hidden="false" customHeight="false" outlineLevel="0" collapsed="false">
      <c r="A91" s="290" t="s">
        <v>110</v>
      </c>
      <c r="B91" s="290" t="s">
        <v>312</v>
      </c>
      <c r="C91" s="290" t="s">
        <v>182</v>
      </c>
      <c r="D91" s="290" t="s">
        <v>182</v>
      </c>
      <c r="E91" s="290" t="s">
        <v>182</v>
      </c>
      <c r="F91" s="315" t="b">
        <f aca="false">TRUE()</f>
        <v>1</v>
      </c>
      <c r="G91" s="290" t="s">
        <v>1093</v>
      </c>
      <c r="H91" s="290" t="s">
        <v>312</v>
      </c>
      <c r="I91" s="290" t="n">
        <v>38</v>
      </c>
      <c r="J91" s="3"/>
      <c r="K91" s="290" t="s">
        <v>793</v>
      </c>
      <c r="L91" s="290" t="n">
        <v>3</v>
      </c>
      <c r="M91" s="290" t="s">
        <v>789</v>
      </c>
      <c r="N91" s="290" t="s">
        <v>743</v>
      </c>
      <c r="O91" s="290" t="s">
        <v>790</v>
      </c>
      <c r="P91" s="290" t="s">
        <v>745</v>
      </c>
      <c r="Q91" s="290" t="s">
        <v>746</v>
      </c>
      <c r="R91" s="315" t="b">
        <f aca="false">FALSE()</f>
        <v>0</v>
      </c>
      <c r="S91" s="290" t="n">
        <v>100</v>
      </c>
      <c r="T91" s="290" t="n">
        <v>100</v>
      </c>
      <c r="U91" s="290" t="n">
        <v>95</v>
      </c>
      <c r="V91" s="290" t="n">
        <v>80</v>
      </c>
      <c r="W91" s="290" t="n">
        <v>100</v>
      </c>
      <c r="X91" s="290" t="n">
        <v>100</v>
      </c>
      <c r="Y91" s="290" t="n">
        <v>1</v>
      </c>
      <c r="Z91" s="290" t="n">
        <v>1</v>
      </c>
      <c r="AA91" s="290" t="n">
        <v>1</v>
      </c>
      <c r="AB91" s="290" t="n">
        <v>6300</v>
      </c>
      <c r="AC91" s="290" t="s">
        <v>836</v>
      </c>
      <c r="AD91" s="290" t="s">
        <v>182</v>
      </c>
      <c r="AE91" s="290" t="n">
        <v>150</v>
      </c>
      <c r="AF91" s="290" t="n">
        <v>150</v>
      </c>
      <c r="AG91" s="290" t="n">
        <v>600</v>
      </c>
      <c r="AH91" s="290" t="n">
        <v>750</v>
      </c>
      <c r="AI91" s="290" t="n">
        <v>450</v>
      </c>
      <c r="AJ91" s="315" t="b">
        <f aca="false">FALSE()</f>
        <v>0</v>
      </c>
      <c r="AK91" s="315" t="b">
        <f aca="false">FALSE()</f>
        <v>0</v>
      </c>
      <c r="AL91" s="290" t="s">
        <v>765</v>
      </c>
      <c r="AM91" s="315" t="b">
        <f aca="false">FALSE()</f>
        <v>0</v>
      </c>
      <c r="AN91" s="315" t="b">
        <f aca="false">FALSE()</f>
        <v>0</v>
      </c>
      <c r="AO91" s="290" t="n">
        <v>475</v>
      </c>
      <c r="AP91" s="290" t="n">
        <v>1</v>
      </c>
      <c r="AQ91" s="290" t="n">
        <v>7</v>
      </c>
      <c r="AR91" s="290" t="n">
        <v>25</v>
      </c>
      <c r="AS91" s="290" t="n">
        <v>90</v>
      </c>
      <c r="AT91" s="290" t="n">
        <v>1</v>
      </c>
      <c r="AU91" s="315" t="b">
        <f aca="false">FALSE()</f>
        <v>0</v>
      </c>
      <c r="AV91" s="315" t="b">
        <f aca="false">FALSE()</f>
        <v>0</v>
      </c>
      <c r="AW91" s="290" t="n">
        <v>3</v>
      </c>
      <c r="AX91" s="315" t="b">
        <f aca="false">TRUE()</f>
        <v>1</v>
      </c>
      <c r="AY91" s="315" t="b">
        <f aca="false">TRUE()</f>
        <v>1</v>
      </c>
      <c r="AZ91" s="290" t="n">
        <v>100</v>
      </c>
      <c r="BA91" s="290" t="n">
        <v>50</v>
      </c>
      <c r="BB91" s="290" t="n">
        <v>420</v>
      </c>
      <c r="BC91" s="290" t="n">
        <v>0</v>
      </c>
      <c r="BD91" s="290" t="n">
        <v>0</v>
      </c>
      <c r="BE91" s="290" t="n">
        <v>0</v>
      </c>
      <c r="BF91" s="290" t="n">
        <v>0</v>
      </c>
      <c r="BG91" s="290" t="n">
        <v>0</v>
      </c>
      <c r="BH91" s="290" t="n">
        <v>2</v>
      </c>
      <c r="BI91" s="290" t="n">
        <v>0</v>
      </c>
      <c r="BJ91" s="290" t="n">
        <v>0</v>
      </c>
      <c r="BK91" s="290" t="n">
        <v>0</v>
      </c>
      <c r="BL91" s="290" t="n">
        <v>0</v>
      </c>
      <c r="BM91" s="290" t="n">
        <v>0</v>
      </c>
      <c r="BN91" s="290" t="n">
        <v>0</v>
      </c>
      <c r="BO91" s="290" t="n">
        <v>0</v>
      </c>
      <c r="BP91" s="290" t="s">
        <v>182</v>
      </c>
      <c r="BQ91" s="290" t="s">
        <v>182</v>
      </c>
      <c r="BR91" s="290" t="s">
        <v>182</v>
      </c>
      <c r="BS91" s="290" t="s">
        <v>182</v>
      </c>
      <c r="BT91" s="290" t="n">
        <v>90</v>
      </c>
      <c r="BU91" s="316" t="b">
        <f aca="false">FALSE()</f>
        <v>0</v>
      </c>
      <c r="BV91" s="290"/>
      <c r="BW91" s="3"/>
      <c r="BX91" s="85" t="n">
        <v>15</v>
      </c>
      <c r="BY91" s="3" t="s">
        <v>1094</v>
      </c>
      <c r="BZ91" s="3" t="s">
        <v>775</v>
      </c>
      <c r="CA91" s="3"/>
      <c r="CB91" s="3"/>
      <c r="CC91" s="3"/>
      <c r="CD91" s="3"/>
      <c r="CE91" s="3"/>
      <c r="CF91" s="3"/>
      <c r="CG91" s="311" t="b">
        <f aca="false">IF(BZ91="Saddle",TRUE(),)</f>
        <v>1</v>
      </c>
      <c r="CH91" s="3" t="s">
        <v>902</v>
      </c>
      <c r="CI91" s="3"/>
      <c r="CJ91" s="3"/>
      <c r="CK91" s="3"/>
      <c r="CL91" s="3"/>
      <c r="CM91" s="3"/>
      <c r="CN91" s="3"/>
      <c r="CO91" s="3"/>
      <c r="CP91" s="3"/>
      <c r="CQ91" s="3"/>
      <c r="CR91" s="3"/>
      <c r="CS91" s="3"/>
      <c r="CT91" s="3"/>
      <c r="CU91" s="3" t="s">
        <v>818</v>
      </c>
      <c r="CV91" s="3"/>
      <c r="CW91" s="3" t="s">
        <v>819</v>
      </c>
      <c r="CX91" s="3" t="s">
        <v>820</v>
      </c>
      <c r="CY91" s="3" t="s">
        <v>821</v>
      </c>
      <c r="CZ91" s="3" t="s">
        <v>822</v>
      </c>
    </row>
    <row r="92" customFormat="false" ht="15.75" hidden="false" customHeight="false" outlineLevel="0" collapsed="false">
      <c r="A92" s="290" t="s">
        <v>57</v>
      </c>
      <c r="B92" s="290" t="s">
        <v>298</v>
      </c>
      <c r="C92" s="290" t="s">
        <v>182</v>
      </c>
      <c r="D92" s="290" t="s">
        <v>182</v>
      </c>
      <c r="E92" s="290" t="s">
        <v>182</v>
      </c>
      <c r="F92" s="315" t="b">
        <f aca="false">TRUE()</f>
        <v>1</v>
      </c>
      <c r="G92" s="290" t="s">
        <v>1095</v>
      </c>
      <c r="H92" s="290" t="s">
        <v>298</v>
      </c>
      <c r="I92" s="290" t="n">
        <v>28</v>
      </c>
      <c r="J92" s="3"/>
      <c r="K92" s="290" t="s">
        <v>762</v>
      </c>
      <c r="L92" s="290" t="n">
        <v>1</v>
      </c>
      <c r="M92" s="290" t="s">
        <v>783</v>
      </c>
      <c r="N92" s="290" t="s">
        <v>743</v>
      </c>
      <c r="O92" s="290" t="s">
        <v>744</v>
      </c>
      <c r="P92" s="290" t="s">
        <v>745</v>
      </c>
      <c r="Q92" s="290" t="s">
        <v>746</v>
      </c>
      <c r="R92" s="315" t="b">
        <f aca="false">FALSE()</f>
        <v>0</v>
      </c>
      <c r="S92" s="290" t="n">
        <v>75</v>
      </c>
      <c r="T92" s="290" t="n">
        <v>100</v>
      </c>
      <c r="U92" s="290" t="n">
        <v>65</v>
      </c>
      <c r="V92" s="290" t="n">
        <v>70</v>
      </c>
      <c r="W92" s="290" t="n">
        <v>100</v>
      </c>
      <c r="X92" s="290" t="n">
        <v>100</v>
      </c>
      <c r="Y92" s="290" t="n">
        <v>1</v>
      </c>
      <c r="Z92" s="290" t="n">
        <v>1</v>
      </c>
      <c r="AA92" s="290" t="n">
        <v>1</v>
      </c>
      <c r="AB92" s="290" t="n">
        <v>1220</v>
      </c>
      <c r="AC92" s="290" t="s">
        <v>764</v>
      </c>
      <c r="AD92" s="290" t="s">
        <v>182</v>
      </c>
      <c r="AE92" s="290" t="n">
        <v>100</v>
      </c>
      <c r="AF92" s="290" t="n">
        <v>100</v>
      </c>
      <c r="AG92" s="290" t="n">
        <v>400</v>
      </c>
      <c r="AH92" s="290" t="n">
        <v>550</v>
      </c>
      <c r="AI92" s="290" t="n">
        <v>250</v>
      </c>
      <c r="AJ92" s="315" t="b">
        <f aca="false">FALSE()</f>
        <v>0</v>
      </c>
      <c r="AK92" s="315" t="b">
        <f aca="false">FALSE()</f>
        <v>0</v>
      </c>
      <c r="AL92" s="290" t="s">
        <v>765</v>
      </c>
      <c r="AM92" s="315" t="b">
        <f aca="false">FALSE()</f>
        <v>0</v>
      </c>
      <c r="AN92" s="315" t="b">
        <f aca="false">FALSE()</f>
        <v>0</v>
      </c>
      <c r="AO92" s="290" t="n">
        <v>225</v>
      </c>
      <c r="AP92" s="290" t="n">
        <v>1</v>
      </c>
      <c r="AQ92" s="290" t="n">
        <v>3</v>
      </c>
      <c r="AR92" s="290" t="n">
        <v>25</v>
      </c>
      <c r="AS92" s="290" t="n">
        <v>90</v>
      </c>
      <c r="AT92" s="290" t="n">
        <v>1</v>
      </c>
      <c r="AU92" s="315" t="b">
        <f aca="false">FALSE()</f>
        <v>0</v>
      </c>
      <c r="AV92" s="315" t="b">
        <f aca="false">FALSE()</f>
        <v>0</v>
      </c>
      <c r="AW92" s="290" t="n">
        <v>0</v>
      </c>
      <c r="AX92" s="315" t="b">
        <f aca="false">FALSE()</f>
        <v>0</v>
      </c>
      <c r="AY92" s="315" t="b">
        <f aca="false">TRUE()</f>
        <v>1</v>
      </c>
      <c r="AZ92" s="290" t="n">
        <v>100</v>
      </c>
      <c r="BA92" s="290" t="n">
        <v>50</v>
      </c>
      <c r="BB92" s="290" t="n">
        <v>1280</v>
      </c>
      <c r="BC92" s="290" t="n">
        <v>0</v>
      </c>
      <c r="BD92" s="290" t="n">
        <v>0</v>
      </c>
      <c r="BE92" s="290" t="n">
        <v>1</v>
      </c>
      <c r="BF92" s="290" t="n">
        <v>0</v>
      </c>
      <c r="BG92" s="290" t="n">
        <v>1</v>
      </c>
      <c r="BH92" s="290" t="n">
        <v>1</v>
      </c>
      <c r="BI92" s="290" t="n">
        <v>0</v>
      </c>
      <c r="BJ92" s="290" t="n">
        <v>0</v>
      </c>
      <c r="BK92" s="290" t="n">
        <v>0</v>
      </c>
      <c r="BL92" s="290" t="n">
        <v>1</v>
      </c>
      <c r="BM92" s="290" t="n">
        <v>0</v>
      </c>
      <c r="BN92" s="290" t="n">
        <v>1</v>
      </c>
      <c r="BO92" s="290" t="n">
        <v>0</v>
      </c>
      <c r="BP92" s="290" t="s">
        <v>182</v>
      </c>
      <c r="BQ92" s="290" t="s">
        <v>182</v>
      </c>
      <c r="BR92" s="290" t="s">
        <v>182</v>
      </c>
      <c r="BS92" s="290" t="s">
        <v>182</v>
      </c>
      <c r="BT92" s="290" t="n">
        <v>91</v>
      </c>
      <c r="BU92" s="316" t="b">
        <f aca="false">FALSE()</f>
        <v>0</v>
      </c>
      <c r="BV92" s="290"/>
      <c r="BW92" s="3"/>
      <c r="BX92" s="85" t="n">
        <v>17</v>
      </c>
      <c r="BY92" s="3" t="s">
        <v>1096</v>
      </c>
      <c r="BZ92" s="3" t="s">
        <v>865</v>
      </c>
      <c r="CA92" s="3"/>
      <c r="CB92" s="3"/>
      <c r="CC92" s="3"/>
      <c r="CD92" s="3"/>
      <c r="CE92" s="3"/>
      <c r="CF92" s="3"/>
      <c r="CG92" s="3" t="n">
        <f aca="false">IF(BZ92="Saddle",TRUE(),)</f>
        <v>0</v>
      </c>
      <c r="CH92" s="3"/>
      <c r="CI92" s="3"/>
      <c r="CJ92" s="3"/>
      <c r="CK92" s="3"/>
      <c r="CL92" s="3"/>
      <c r="CM92" s="3"/>
      <c r="CN92" s="3"/>
      <c r="CO92" s="3"/>
      <c r="CP92" s="3"/>
      <c r="CQ92" s="3"/>
      <c r="CR92" s="3"/>
      <c r="CS92" s="3"/>
      <c r="CT92" s="3"/>
      <c r="CU92" s="3"/>
      <c r="CV92" s="3"/>
      <c r="CW92" s="3"/>
      <c r="CX92" s="3"/>
      <c r="CY92" s="3"/>
      <c r="CZ92" s="3"/>
    </row>
    <row r="93" customFormat="false" ht="15.75" hidden="false" customHeight="false" outlineLevel="0" collapsed="false">
      <c r="A93" s="290" t="s">
        <v>97</v>
      </c>
      <c r="B93" s="290" t="s">
        <v>394</v>
      </c>
      <c r="C93" s="290" t="s">
        <v>182</v>
      </c>
      <c r="D93" s="290" t="s">
        <v>182</v>
      </c>
      <c r="E93" s="290" t="s">
        <v>182</v>
      </c>
      <c r="F93" s="315" t="b">
        <f aca="false">TRUE()</f>
        <v>1</v>
      </c>
      <c r="G93" s="290" t="s">
        <v>457</v>
      </c>
      <c r="H93" s="290" t="s">
        <v>394</v>
      </c>
      <c r="I93" s="290" t="n">
        <v>104</v>
      </c>
      <c r="J93" s="290" t="s">
        <v>761</v>
      </c>
      <c r="K93" s="290" t="s">
        <v>793</v>
      </c>
      <c r="L93" s="290" t="n">
        <v>9</v>
      </c>
      <c r="M93" s="290" t="s">
        <v>783</v>
      </c>
      <c r="N93" s="290" t="s">
        <v>743</v>
      </c>
      <c r="O93" s="290" t="s">
        <v>744</v>
      </c>
      <c r="P93" s="290" t="s">
        <v>745</v>
      </c>
      <c r="Q93" s="290" t="s">
        <v>746</v>
      </c>
      <c r="R93" s="315" t="b">
        <f aca="false">FALSE()</f>
        <v>0</v>
      </c>
      <c r="S93" s="290" t="n">
        <v>110</v>
      </c>
      <c r="T93" s="290" t="n">
        <v>100</v>
      </c>
      <c r="U93" s="290" t="n">
        <v>110</v>
      </c>
      <c r="V93" s="290" t="n">
        <v>105</v>
      </c>
      <c r="W93" s="290" t="n">
        <v>100</v>
      </c>
      <c r="X93" s="290" t="n">
        <v>100</v>
      </c>
      <c r="Y93" s="290" t="n">
        <v>1</v>
      </c>
      <c r="Z93" s="290" t="n">
        <v>1</v>
      </c>
      <c r="AA93" s="290" t="n">
        <v>1</v>
      </c>
      <c r="AB93" s="290" t="n">
        <v>7160</v>
      </c>
      <c r="AC93" s="290" t="s">
        <v>836</v>
      </c>
      <c r="AD93" s="290" t="s">
        <v>182</v>
      </c>
      <c r="AE93" s="290" t="n">
        <v>60</v>
      </c>
      <c r="AF93" s="290" t="n">
        <v>100</v>
      </c>
      <c r="AG93" s="290" t="n">
        <v>450</v>
      </c>
      <c r="AH93" s="290" t="n">
        <v>550</v>
      </c>
      <c r="AI93" s="290" t="n">
        <v>275</v>
      </c>
      <c r="AJ93" s="315" t="b">
        <f aca="false">FALSE()</f>
        <v>0</v>
      </c>
      <c r="AK93" s="315" t="b">
        <f aca="false">FALSE()</f>
        <v>0</v>
      </c>
      <c r="AL93" s="290" t="s">
        <v>759</v>
      </c>
      <c r="AM93" s="315" t="b">
        <f aca="false">FALSE()</f>
        <v>0</v>
      </c>
      <c r="AN93" s="315" t="b">
        <f aca="false">FALSE()</f>
        <v>0</v>
      </c>
      <c r="AO93" s="290" t="n">
        <v>400</v>
      </c>
      <c r="AP93" s="290" t="n">
        <v>1</v>
      </c>
      <c r="AQ93" s="290" t="n">
        <v>6</v>
      </c>
      <c r="AR93" s="290" t="n">
        <v>25</v>
      </c>
      <c r="AS93" s="290" t="n">
        <v>90</v>
      </c>
      <c r="AT93" s="290" t="n">
        <v>1</v>
      </c>
      <c r="AU93" s="315" t="b">
        <f aca="false">FALSE()</f>
        <v>0</v>
      </c>
      <c r="AV93" s="315" t="b">
        <f aca="false">FALSE()</f>
        <v>0</v>
      </c>
      <c r="AW93" s="290" t="n">
        <v>5</v>
      </c>
      <c r="AX93" s="315" t="b">
        <f aca="false">FALSE()</f>
        <v>0</v>
      </c>
      <c r="AY93" s="315" t="b">
        <f aca="false">TRUE()</f>
        <v>1</v>
      </c>
      <c r="AZ93" s="290" t="n">
        <v>100</v>
      </c>
      <c r="BA93" s="290" t="n">
        <v>30</v>
      </c>
      <c r="BB93" s="290" t="n">
        <v>250</v>
      </c>
      <c r="BC93" s="290" t="n">
        <v>0</v>
      </c>
      <c r="BD93" s="290" t="n">
        <v>0</v>
      </c>
      <c r="BE93" s="290" t="n">
        <v>4</v>
      </c>
      <c r="BF93" s="290" t="n">
        <v>0</v>
      </c>
      <c r="BG93" s="290" t="n">
        <v>3</v>
      </c>
      <c r="BH93" s="290" t="n">
        <v>2</v>
      </c>
      <c r="BI93" s="290" t="n">
        <v>0</v>
      </c>
      <c r="BJ93" s="290" t="n">
        <v>0</v>
      </c>
      <c r="BK93" s="290" t="n">
        <v>0</v>
      </c>
      <c r="BL93" s="290" t="n">
        <v>3</v>
      </c>
      <c r="BM93" s="290" t="n">
        <v>0</v>
      </c>
      <c r="BN93" s="290" t="n">
        <v>0</v>
      </c>
      <c r="BO93" s="290" t="n">
        <v>0</v>
      </c>
      <c r="BP93" s="290" t="s">
        <v>1097</v>
      </c>
      <c r="BQ93" s="290" t="s">
        <v>182</v>
      </c>
      <c r="BR93" s="290" t="s">
        <v>182</v>
      </c>
      <c r="BS93" s="290" t="s">
        <v>182</v>
      </c>
      <c r="BT93" s="290" t="n">
        <v>92</v>
      </c>
      <c r="BU93" s="316" t="b">
        <f aca="false">TRUE()</f>
        <v>1</v>
      </c>
      <c r="BV93" s="290"/>
      <c r="BW93" s="3"/>
      <c r="BX93" s="3"/>
      <c r="BY93" s="3"/>
      <c r="BZ93" s="3"/>
      <c r="CA93" s="3" t="s">
        <v>1098</v>
      </c>
      <c r="CB93" s="85" t="n">
        <v>1000</v>
      </c>
      <c r="CC93" s="85" t="n">
        <v>1100</v>
      </c>
      <c r="CD93" s="85" t="n">
        <v>1300</v>
      </c>
      <c r="CE93" s="85" t="n">
        <v>1600</v>
      </c>
      <c r="CF93" s="85" t="n">
        <v>2000</v>
      </c>
      <c r="CG93" s="3" t="n">
        <f aca="false">IF(BZ93="Saddle",TRUE(),)</f>
        <v>0</v>
      </c>
      <c r="CH93" s="3"/>
      <c r="CI93" s="3"/>
      <c r="CJ93" s="3"/>
      <c r="CK93" s="3"/>
      <c r="CL93" s="3"/>
      <c r="CM93" s="3"/>
      <c r="CN93" s="3"/>
      <c r="CO93" s="3"/>
      <c r="CP93" s="3"/>
      <c r="CQ93" s="3"/>
      <c r="CR93" s="3"/>
      <c r="CS93" s="3"/>
      <c r="CT93" s="3"/>
      <c r="CU93" s="3"/>
      <c r="CV93" s="3"/>
      <c r="CW93" s="3"/>
      <c r="CX93" s="3"/>
      <c r="CY93" s="3"/>
      <c r="CZ93" s="3"/>
    </row>
    <row r="94" customFormat="false" ht="15.75" hidden="false" customHeight="false" outlineLevel="0" collapsed="false">
      <c r="A94" s="290" t="s">
        <v>98</v>
      </c>
      <c r="B94" s="290" t="s">
        <v>395</v>
      </c>
      <c r="C94" s="290" t="s">
        <v>182</v>
      </c>
      <c r="D94" s="290" t="s">
        <v>182</v>
      </c>
      <c r="E94" s="290" t="s">
        <v>182</v>
      </c>
      <c r="F94" s="315" t="b">
        <f aca="false">TRUE()</f>
        <v>1</v>
      </c>
      <c r="G94" s="290" t="s">
        <v>536</v>
      </c>
      <c r="H94" s="290" t="s">
        <v>395</v>
      </c>
      <c r="I94" s="290" t="n">
        <v>104</v>
      </c>
      <c r="J94" s="290" t="s">
        <v>761</v>
      </c>
      <c r="K94" s="290" t="s">
        <v>793</v>
      </c>
      <c r="L94" s="290" t="n">
        <v>10</v>
      </c>
      <c r="M94" s="290" t="s">
        <v>758</v>
      </c>
      <c r="N94" s="290" t="s">
        <v>743</v>
      </c>
      <c r="O94" s="290" t="s">
        <v>744</v>
      </c>
      <c r="P94" s="290" t="s">
        <v>745</v>
      </c>
      <c r="Q94" s="290" t="s">
        <v>746</v>
      </c>
      <c r="R94" s="315" t="b">
        <f aca="false">FALSE()</f>
        <v>0</v>
      </c>
      <c r="S94" s="290" t="n">
        <v>110</v>
      </c>
      <c r="T94" s="290" t="n">
        <v>100</v>
      </c>
      <c r="U94" s="290" t="n">
        <v>110</v>
      </c>
      <c r="V94" s="290" t="n">
        <v>115</v>
      </c>
      <c r="W94" s="290" t="n">
        <v>100</v>
      </c>
      <c r="X94" s="290" t="n">
        <v>100</v>
      </c>
      <c r="Y94" s="290" t="n">
        <v>1</v>
      </c>
      <c r="Z94" s="290" t="n">
        <v>1</v>
      </c>
      <c r="AA94" s="290" t="n">
        <v>1</v>
      </c>
      <c r="AB94" s="290" t="n">
        <v>7610</v>
      </c>
      <c r="AC94" s="290" t="s">
        <v>836</v>
      </c>
      <c r="AD94" s="290" t="s">
        <v>182</v>
      </c>
      <c r="AE94" s="290" t="n">
        <v>60</v>
      </c>
      <c r="AF94" s="290" t="n">
        <v>100</v>
      </c>
      <c r="AG94" s="290" t="n">
        <v>450</v>
      </c>
      <c r="AH94" s="290" t="n">
        <v>550</v>
      </c>
      <c r="AI94" s="290" t="n">
        <v>275</v>
      </c>
      <c r="AJ94" s="315" t="b">
        <f aca="false">FALSE()</f>
        <v>0</v>
      </c>
      <c r="AK94" s="315" t="b">
        <f aca="false">FALSE()</f>
        <v>0</v>
      </c>
      <c r="AL94" s="290" t="s">
        <v>759</v>
      </c>
      <c r="AM94" s="315" t="b">
        <f aca="false">FALSE()</f>
        <v>0</v>
      </c>
      <c r="AN94" s="315" t="b">
        <f aca="false">FALSE()</f>
        <v>0</v>
      </c>
      <c r="AO94" s="290" t="n">
        <v>400</v>
      </c>
      <c r="AP94" s="290" t="n">
        <v>1</v>
      </c>
      <c r="AQ94" s="290" t="n">
        <v>6</v>
      </c>
      <c r="AR94" s="290" t="n">
        <v>25</v>
      </c>
      <c r="AS94" s="290" t="n">
        <v>90</v>
      </c>
      <c r="AT94" s="290" t="n">
        <v>1</v>
      </c>
      <c r="AU94" s="315" t="b">
        <f aca="false">FALSE()</f>
        <v>0</v>
      </c>
      <c r="AV94" s="315" t="b">
        <f aca="false">FALSE()</f>
        <v>0</v>
      </c>
      <c r="AW94" s="290" t="n">
        <v>5</v>
      </c>
      <c r="AX94" s="315" t="b">
        <f aca="false">FALSE()</f>
        <v>0</v>
      </c>
      <c r="AY94" s="315" t="b">
        <f aca="false">TRUE()</f>
        <v>1</v>
      </c>
      <c r="AZ94" s="290" t="n">
        <v>100</v>
      </c>
      <c r="BA94" s="290" t="n">
        <v>30</v>
      </c>
      <c r="BB94" s="290" t="n">
        <v>210</v>
      </c>
      <c r="BC94" s="290" t="n">
        <v>0</v>
      </c>
      <c r="BD94" s="290" t="n">
        <v>0</v>
      </c>
      <c r="BE94" s="290" t="n">
        <v>0</v>
      </c>
      <c r="BF94" s="290" t="n">
        <v>0</v>
      </c>
      <c r="BG94" s="290" t="n">
        <v>3</v>
      </c>
      <c r="BH94" s="290" t="n">
        <v>2</v>
      </c>
      <c r="BI94" s="290" t="n">
        <v>0</v>
      </c>
      <c r="BJ94" s="290" t="n">
        <v>0</v>
      </c>
      <c r="BK94" s="290" t="n">
        <v>0</v>
      </c>
      <c r="BL94" s="290" t="n">
        <v>3</v>
      </c>
      <c r="BM94" s="290" t="n">
        <v>0</v>
      </c>
      <c r="BN94" s="290" t="n">
        <v>0</v>
      </c>
      <c r="BO94" s="290" t="n">
        <v>0</v>
      </c>
      <c r="BP94" s="290" t="s">
        <v>182</v>
      </c>
      <c r="BQ94" s="290" t="s">
        <v>182</v>
      </c>
      <c r="BR94" s="290" t="s">
        <v>182</v>
      </c>
      <c r="BS94" s="290" t="s">
        <v>182</v>
      </c>
      <c r="BT94" s="290" t="n">
        <v>93</v>
      </c>
      <c r="BU94" s="316" t="b">
        <f aca="false">TRUE()</f>
        <v>1</v>
      </c>
      <c r="BV94" s="290"/>
      <c r="BW94" s="290" t="s">
        <v>761</v>
      </c>
      <c r="BX94" s="3"/>
      <c r="BY94" s="3"/>
      <c r="BZ94" s="3"/>
      <c r="CA94" s="3" t="s">
        <v>1098</v>
      </c>
      <c r="CB94" s="85" t="n">
        <v>1000</v>
      </c>
      <c r="CC94" s="85" t="n">
        <v>1100</v>
      </c>
      <c r="CD94" s="85" t="n">
        <v>1300</v>
      </c>
      <c r="CE94" s="85" t="n">
        <v>1600</v>
      </c>
      <c r="CF94" s="85" t="n">
        <v>2000</v>
      </c>
      <c r="CG94" s="3" t="n">
        <f aca="false">IF(BZ94="Saddle",TRUE(),)</f>
        <v>0</v>
      </c>
      <c r="CH94" s="3"/>
      <c r="CI94" s="3"/>
      <c r="CJ94" s="3"/>
      <c r="CK94" s="3"/>
      <c r="CL94" s="3"/>
      <c r="CM94" s="3"/>
      <c r="CN94" s="3"/>
      <c r="CO94" s="3"/>
      <c r="CP94" s="3"/>
      <c r="CQ94" s="3"/>
      <c r="CR94" s="3"/>
      <c r="CS94" s="3"/>
      <c r="CT94" s="3"/>
      <c r="CU94" s="3"/>
      <c r="CV94" s="3"/>
      <c r="CW94" s="3"/>
      <c r="CX94" s="3"/>
      <c r="CY94" s="3"/>
      <c r="CZ94" s="3"/>
    </row>
    <row r="95" customFormat="false" ht="15.75" hidden="false" customHeight="false" outlineLevel="0" collapsed="false">
      <c r="A95" s="290" t="s">
        <v>50</v>
      </c>
      <c r="B95" s="290" t="s">
        <v>328</v>
      </c>
      <c r="C95" s="290" t="s">
        <v>182</v>
      </c>
      <c r="D95" s="290" t="s">
        <v>182</v>
      </c>
      <c r="E95" s="290" t="s">
        <v>182</v>
      </c>
      <c r="F95" s="315" t="b">
        <f aca="false">TRUE()</f>
        <v>1</v>
      </c>
      <c r="G95" s="290" t="s">
        <v>1099</v>
      </c>
      <c r="H95" s="290" t="s">
        <v>328</v>
      </c>
      <c r="I95" s="290" t="n">
        <v>51</v>
      </c>
      <c r="J95" s="3"/>
      <c r="K95" s="290" t="s">
        <v>793</v>
      </c>
      <c r="L95" s="290" t="n">
        <v>8</v>
      </c>
      <c r="M95" s="290" t="s">
        <v>783</v>
      </c>
      <c r="N95" s="290" t="s">
        <v>743</v>
      </c>
      <c r="O95" s="290" t="s">
        <v>744</v>
      </c>
      <c r="P95" s="290" t="s">
        <v>745</v>
      </c>
      <c r="Q95" s="290" t="s">
        <v>746</v>
      </c>
      <c r="R95" s="315" t="b">
        <f aca="false">FALSE()</f>
        <v>0</v>
      </c>
      <c r="S95" s="290" t="n">
        <v>90</v>
      </c>
      <c r="T95" s="290" t="n">
        <v>100</v>
      </c>
      <c r="U95" s="290" t="n">
        <v>105</v>
      </c>
      <c r="V95" s="290" t="n">
        <v>100</v>
      </c>
      <c r="W95" s="290" t="n">
        <v>100</v>
      </c>
      <c r="X95" s="290" t="n">
        <v>100</v>
      </c>
      <c r="Y95" s="290" t="n">
        <v>1</v>
      </c>
      <c r="Z95" s="290" t="n">
        <v>1</v>
      </c>
      <c r="AA95" s="290" t="n">
        <v>1</v>
      </c>
      <c r="AB95" s="290" t="n">
        <v>6830</v>
      </c>
      <c r="AC95" s="290" t="s">
        <v>747</v>
      </c>
      <c r="AD95" s="290" t="s">
        <v>182</v>
      </c>
      <c r="AE95" s="290" t="n">
        <v>150</v>
      </c>
      <c r="AF95" s="290" t="n">
        <v>250</v>
      </c>
      <c r="AG95" s="290" t="n">
        <v>450</v>
      </c>
      <c r="AH95" s="290" t="n">
        <v>550</v>
      </c>
      <c r="AI95" s="290" t="n">
        <v>350</v>
      </c>
      <c r="AJ95" s="315" t="b">
        <f aca="false">FALSE()</f>
        <v>0</v>
      </c>
      <c r="AK95" s="315" t="b">
        <f aca="false">FALSE()</f>
        <v>0</v>
      </c>
      <c r="AL95" s="290" t="s">
        <v>748</v>
      </c>
      <c r="AM95" s="315" t="b">
        <f aca="false">FALSE()</f>
        <v>0</v>
      </c>
      <c r="AN95" s="315" t="b">
        <f aca="false">FALSE()</f>
        <v>0</v>
      </c>
      <c r="AO95" s="290" t="n">
        <v>475</v>
      </c>
      <c r="AP95" s="290" t="n">
        <v>1</v>
      </c>
      <c r="AQ95" s="290" t="n">
        <v>7</v>
      </c>
      <c r="AR95" s="290" t="n">
        <v>25</v>
      </c>
      <c r="AS95" s="290" t="n">
        <v>90</v>
      </c>
      <c r="AT95" s="290" t="n">
        <v>1</v>
      </c>
      <c r="AU95" s="315" t="b">
        <f aca="false">FALSE()</f>
        <v>0</v>
      </c>
      <c r="AV95" s="315" t="b">
        <f aca="false">FALSE()</f>
        <v>0</v>
      </c>
      <c r="AW95" s="290" t="n">
        <v>5</v>
      </c>
      <c r="AX95" s="315" t="b">
        <f aca="false">FALSE()</f>
        <v>0</v>
      </c>
      <c r="AY95" s="315" t="b">
        <f aca="false">TRUE()</f>
        <v>1</v>
      </c>
      <c r="AZ95" s="290" t="n">
        <v>100</v>
      </c>
      <c r="BA95" s="290" t="n">
        <v>10</v>
      </c>
      <c r="BB95" s="290" t="n">
        <v>330</v>
      </c>
      <c r="BC95" s="290" t="n">
        <v>0</v>
      </c>
      <c r="BD95" s="290" t="n">
        <v>0</v>
      </c>
      <c r="BE95" s="290" t="n">
        <v>2</v>
      </c>
      <c r="BF95" s="290" t="n">
        <v>0</v>
      </c>
      <c r="BG95" s="290" t="n">
        <v>2</v>
      </c>
      <c r="BH95" s="290" t="n">
        <v>2</v>
      </c>
      <c r="BI95" s="290" t="n">
        <v>1</v>
      </c>
      <c r="BJ95" s="290" t="n">
        <v>0</v>
      </c>
      <c r="BK95" s="290" t="n">
        <v>0</v>
      </c>
      <c r="BL95" s="290" t="n">
        <v>2</v>
      </c>
      <c r="BM95" s="290" t="n">
        <v>0</v>
      </c>
      <c r="BN95" s="290" t="n">
        <v>0</v>
      </c>
      <c r="BO95" s="290" t="n">
        <v>0</v>
      </c>
      <c r="BP95" s="290" t="s">
        <v>182</v>
      </c>
      <c r="BQ95" s="290" t="s">
        <v>182</v>
      </c>
      <c r="BR95" s="290" t="s">
        <v>182</v>
      </c>
      <c r="BS95" s="290" t="s">
        <v>182</v>
      </c>
      <c r="BT95" s="290" t="n">
        <v>94</v>
      </c>
      <c r="BU95" s="316" t="b">
        <f aca="false">FALSE()</f>
        <v>0</v>
      </c>
      <c r="BV95" s="290"/>
      <c r="BW95" s="3"/>
      <c r="BX95" s="3"/>
      <c r="BY95" s="3"/>
      <c r="BZ95" s="3"/>
      <c r="CA95" s="3"/>
      <c r="CB95" s="3"/>
      <c r="CC95" s="3"/>
      <c r="CD95" s="3"/>
      <c r="CE95" s="3"/>
      <c r="CF95" s="3"/>
      <c r="CG95" s="3" t="n">
        <f aca="false">IF(BZ95="Saddle",TRUE(),)</f>
        <v>0</v>
      </c>
      <c r="CH95" s="3"/>
      <c r="CI95" s="3"/>
      <c r="CJ95" s="3"/>
      <c r="CK95" s="3"/>
      <c r="CL95" s="3"/>
      <c r="CM95" s="3"/>
      <c r="CN95" s="3"/>
      <c r="CO95" s="3"/>
      <c r="CP95" s="3"/>
      <c r="CQ95" s="3"/>
      <c r="CR95" s="3"/>
      <c r="CS95" s="3"/>
      <c r="CT95" s="3"/>
      <c r="CU95" s="3"/>
      <c r="CV95" s="3"/>
      <c r="CW95" s="3" t="s">
        <v>1100</v>
      </c>
      <c r="CX95" s="3" t="s">
        <v>1101</v>
      </c>
      <c r="CY95" s="3" t="s">
        <v>1102</v>
      </c>
      <c r="CZ95" s="3" t="s">
        <v>1103</v>
      </c>
    </row>
    <row r="96" customFormat="false" ht="15.75" hidden="false" customHeight="false" outlineLevel="0" collapsed="false">
      <c r="A96" s="290" t="s">
        <v>22</v>
      </c>
      <c r="B96" s="290" t="s">
        <v>327</v>
      </c>
      <c r="C96" s="290" t="s">
        <v>182</v>
      </c>
      <c r="D96" s="290" t="s">
        <v>182</v>
      </c>
      <c r="E96" s="290" t="s">
        <v>182</v>
      </c>
      <c r="F96" s="315" t="b">
        <f aca="false">TRUE()</f>
        <v>1</v>
      </c>
      <c r="G96" s="290" t="s">
        <v>1104</v>
      </c>
      <c r="H96" s="290" t="s">
        <v>327</v>
      </c>
      <c r="I96" s="290" t="n">
        <v>50</v>
      </c>
      <c r="J96" s="3"/>
      <c r="K96" s="290" t="s">
        <v>741</v>
      </c>
      <c r="L96" s="290" t="n">
        <v>4</v>
      </c>
      <c r="M96" s="290" t="s">
        <v>783</v>
      </c>
      <c r="N96" s="290" t="s">
        <v>743</v>
      </c>
      <c r="O96" s="290" t="s">
        <v>744</v>
      </c>
      <c r="P96" s="290" t="s">
        <v>745</v>
      </c>
      <c r="Q96" s="290" t="s">
        <v>746</v>
      </c>
      <c r="R96" s="315" t="b">
        <f aca="false">FALSE()</f>
        <v>0</v>
      </c>
      <c r="S96" s="290" t="n">
        <v>80</v>
      </c>
      <c r="T96" s="290" t="n">
        <v>100</v>
      </c>
      <c r="U96" s="290" t="n">
        <v>90</v>
      </c>
      <c r="V96" s="290" t="n">
        <v>90</v>
      </c>
      <c r="W96" s="290" t="n">
        <v>100</v>
      </c>
      <c r="X96" s="290" t="n">
        <v>100</v>
      </c>
      <c r="Y96" s="290" t="n">
        <v>1</v>
      </c>
      <c r="Z96" s="290" t="n">
        <v>1</v>
      </c>
      <c r="AA96" s="290" t="n">
        <v>1</v>
      </c>
      <c r="AB96" s="290" t="n">
        <v>1880</v>
      </c>
      <c r="AC96" s="290" t="s">
        <v>747</v>
      </c>
      <c r="AD96" s="290" t="s">
        <v>182</v>
      </c>
      <c r="AE96" s="290" t="n">
        <v>125</v>
      </c>
      <c r="AF96" s="290" t="n">
        <v>250</v>
      </c>
      <c r="AG96" s="290" t="n">
        <v>450</v>
      </c>
      <c r="AH96" s="290" t="n">
        <v>550</v>
      </c>
      <c r="AI96" s="290" t="n">
        <v>350</v>
      </c>
      <c r="AJ96" s="315" t="b">
        <f aca="false">FALSE()</f>
        <v>0</v>
      </c>
      <c r="AK96" s="315" t="b">
        <f aca="false">FALSE()</f>
        <v>0</v>
      </c>
      <c r="AL96" s="290" t="s">
        <v>765</v>
      </c>
      <c r="AM96" s="315" t="b">
        <f aca="false">FALSE()</f>
        <v>0</v>
      </c>
      <c r="AN96" s="315" t="b">
        <f aca="false">FALSE()</f>
        <v>0</v>
      </c>
      <c r="AO96" s="290" t="n">
        <v>225</v>
      </c>
      <c r="AP96" s="290" t="n">
        <v>1</v>
      </c>
      <c r="AQ96" s="290" t="n">
        <v>3</v>
      </c>
      <c r="AR96" s="290" t="n">
        <v>25</v>
      </c>
      <c r="AS96" s="290" t="n">
        <v>90</v>
      </c>
      <c r="AT96" s="290" t="n">
        <v>1</v>
      </c>
      <c r="AU96" s="315" t="b">
        <f aca="false">FALSE()</f>
        <v>0</v>
      </c>
      <c r="AV96" s="315" t="b">
        <f aca="false">FALSE()</f>
        <v>0</v>
      </c>
      <c r="AW96" s="290" t="n">
        <v>1</v>
      </c>
      <c r="AX96" s="315" t="b">
        <f aca="false">FALSE()</f>
        <v>0</v>
      </c>
      <c r="AY96" s="315" t="b">
        <f aca="false">TRUE()</f>
        <v>1</v>
      </c>
      <c r="AZ96" s="290" t="n">
        <v>100</v>
      </c>
      <c r="BA96" s="290" t="n">
        <v>10</v>
      </c>
      <c r="BB96" s="290" t="n">
        <v>1070</v>
      </c>
      <c r="BC96" s="290" t="n">
        <v>0</v>
      </c>
      <c r="BD96" s="290" t="n">
        <v>0</v>
      </c>
      <c r="BE96" s="290" t="n">
        <v>1</v>
      </c>
      <c r="BF96" s="290" t="n">
        <v>0</v>
      </c>
      <c r="BG96" s="290" t="n">
        <v>1</v>
      </c>
      <c r="BH96" s="290" t="n">
        <v>1</v>
      </c>
      <c r="BI96" s="290" t="n">
        <v>1</v>
      </c>
      <c r="BJ96" s="290" t="n">
        <v>0</v>
      </c>
      <c r="BK96" s="290" t="n">
        <v>0</v>
      </c>
      <c r="BL96" s="290" t="n">
        <v>1</v>
      </c>
      <c r="BM96" s="290" t="n">
        <v>0</v>
      </c>
      <c r="BN96" s="290" t="n">
        <v>2</v>
      </c>
      <c r="BO96" s="290" t="n">
        <v>1</v>
      </c>
      <c r="BP96" s="290" t="s">
        <v>182</v>
      </c>
      <c r="BQ96" s="290" t="s">
        <v>182</v>
      </c>
      <c r="BR96" s="290" t="s">
        <v>182</v>
      </c>
      <c r="BS96" s="290" t="s">
        <v>182</v>
      </c>
      <c r="BT96" s="290" t="n">
        <v>95</v>
      </c>
      <c r="BU96" s="316" t="b">
        <f aca="false">FALSE()</f>
        <v>0</v>
      </c>
      <c r="BV96" s="290"/>
      <c r="BW96" s="3"/>
      <c r="BX96" s="3"/>
      <c r="BY96" s="3"/>
      <c r="BZ96" s="3"/>
      <c r="CA96" s="3"/>
      <c r="CB96" s="3"/>
      <c r="CC96" s="3"/>
      <c r="CD96" s="3"/>
      <c r="CE96" s="3"/>
      <c r="CF96" s="3"/>
      <c r="CG96" s="3" t="n">
        <f aca="false">IF(BZ96="Saddle",TRUE(),)</f>
        <v>0</v>
      </c>
      <c r="CH96" s="3"/>
      <c r="CI96" s="3" t="s">
        <v>877</v>
      </c>
      <c r="CJ96" s="3" t="s">
        <v>1105</v>
      </c>
      <c r="CK96" s="3" t="s">
        <v>1106</v>
      </c>
      <c r="CL96" s="3" t="s">
        <v>1107</v>
      </c>
      <c r="CM96" s="3" t="s">
        <v>1108</v>
      </c>
      <c r="CN96" s="3" t="s">
        <v>1109</v>
      </c>
      <c r="CO96" s="3"/>
      <c r="CP96" s="3"/>
      <c r="CQ96" s="3"/>
      <c r="CR96" s="3"/>
      <c r="CS96" s="3"/>
      <c r="CT96" s="3"/>
      <c r="CU96" s="3" t="s">
        <v>50</v>
      </c>
      <c r="CV96" s="3" t="s">
        <v>1110</v>
      </c>
      <c r="CW96" s="3" t="s">
        <v>1111</v>
      </c>
      <c r="CX96" s="3" t="s">
        <v>1112</v>
      </c>
      <c r="CY96" s="3" t="s">
        <v>1113</v>
      </c>
      <c r="CZ96" s="3" t="s">
        <v>1114</v>
      </c>
    </row>
    <row r="97" customFormat="false" ht="15.75" hidden="false" customHeight="false" outlineLevel="0" collapsed="false">
      <c r="A97" s="290" t="s">
        <v>142</v>
      </c>
      <c r="B97" s="290" t="s">
        <v>348</v>
      </c>
      <c r="C97" s="290" t="s">
        <v>182</v>
      </c>
      <c r="D97" s="290" t="s">
        <v>182</v>
      </c>
      <c r="E97" s="290" t="s">
        <v>182</v>
      </c>
      <c r="F97" s="315" t="b">
        <f aca="false">TRUE()</f>
        <v>1</v>
      </c>
      <c r="G97" s="290" t="s">
        <v>1115</v>
      </c>
      <c r="H97" s="290" t="s">
        <v>348</v>
      </c>
      <c r="I97" s="290" t="n">
        <v>68</v>
      </c>
      <c r="J97" s="3"/>
      <c r="K97" s="290" t="s">
        <v>741</v>
      </c>
      <c r="L97" s="290" t="n">
        <v>5</v>
      </c>
      <c r="M97" s="290" t="s">
        <v>758</v>
      </c>
      <c r="N97" s="290" t="s">
        <v>743</v>
      </c>
      <c r="O97" s="290" t="s">
        <v>744</v>
      </c>
      <c r="P97" s="290" t="s">
        <v>745</v>
      </c>
      <c r="Q97" s="290" t="s">
        <v>746</v>
      </c>
      <c r="R97" s="315" t="b">
        <f aca="false">FALSE()</f>
        <v>0</v>
      </c>
      <c r="S97" s="290" t="n">
        <v>95</v>
      </c>
      <c r="T97" s="290" t="n">
        <v>100</v>
      </c>
      <c r="U97" s="290" t="n">
        <v>95</v>
      </c>
      <c r="V97" s="290" t="n">
        <v>80</v>
      </c>
      <c r="W97" s="290" t="n">
        <v>100</v>
      </c>
      <c r="X97" s="290" t="n">
        <v>100</v>
      </c>
      <c r="Y97" s="290" t="n">
        <v>1</v>
      </c>
      <c r="Z97" s="290" t="n">
        <v>1</v>
      </c>
      <c r="AA97" s="290" t="n">
        <v>1</v>
      </c>
      <c r="AB97" s="290" t="n">
        <v>3810</v>
      </c>
      <c r="AC97" s="290" t="s">
        <v>747</v>
      </c>
      <c r="AD97" s="290" t="s">
        <v>182</v>
      </c>
      <c r="AE97" s="290" t="n">
        <v>80</v>
      </c>
      <c r="AF97" s="290" t="n">
        <v>140</v>
      </c>
      <c r="AG97" s="290" t="n">
        <v>400</v>
      </c>
      <c r="AH97" s="290" t="n">
        <v>550</v>
      </c>
      <c r="AI97" s="290" t="n">
        <v>270</v>
      </c>
      <c r="AJ97" s="315" t="b">
        <f aca="false">FALSE()</f>
        <v>0</v>
      </c>
      <c r="AK97" s="315" t="b">
        <f aca="false">FALSE()</f>
        <v>0</v>
      </c>
      <c r="AL97" s="290" t="s">
        <v>765</v>
      </c>
      <c r="AM97" s="315" t="b">
        <f aca="false">FALSE()</f>
        <v>0</v>
      </c>
      <c r="AN97" s="315" t="b">
        <f aca="false">FALSE()</f>
        <v>0</v>
      </c>
      <c r="AO97" s="290" t="n">
        <v>350</v>
      </c>
      <c r="AP97" s="290" t="n">
        <v>1</v>
      </c>
      <c r="AQ97" s="290" t="n">
        <v>5</v>
      </c>
      <c r="AR97" s="290" t="n">
        <v>25</v>
      </c>
      <c r="AS97" s="290" t="n">
        <v>90</v>
      </c>
      <c r="AT97" s="290" t="n">
        <v>1</v>
      </c>
      <c r="AU97" s="315" t="b">
        <f aca="false">FALSE()</f>
        <v>0</v>
      </c>
      <c r="AV97" s="315" t="b">
        <f aca="false">TRUE()</f>
        <v>1</v>
      </c>
      <c r="AW97" s="290" t="n">
        <v>3</v>
      </c>
      <c r="AX97" s="315" t="b">
        <f aca="false">FALSE()</f>
        <v>0</v>
      </c>
      <c r="AY97" s="315" t="b">
        <f aca="false">TRUE()</f>
        <v>1</v>
      </c>
      <c r="AZ97" s="290" t="n">
        <v>100</v>
      </c>
      <c r="BA97" s="290" t="n">
        <v>50</v>
      </c>
      <c r="BB97" s="290" t="n">
        <v>750</v>
      </c>
      <c r="BC97" s="290" t="n">
        <v>0</v>
      </c>
      <c r="BD97" s="290" t="n">
        <v>0</v>
      </c>
      <c r="BE97" s="290" t="n">
        <v>0</v>
      </c>
      <c r="BF97" s="290" t="n">
        <v>0</v>
      </c>
      <c r="BG97" s="290" t="n">
        <v>0</v>
      </c>
      <c r="BH97" s="290" t="n">
        <v>2</v>
      </c>
      <c r="BI97" s="290" t="n">
        <v>0</v>
      </c>
      <c r="BJ97" s="290" t="n">
        <v>2</v>
      </c>
      <c r="BK97" s="290" t="n">
        <v>0</v>
      </c>
      <c r="BL97" s="290" t="n">
        <v>0</v>
      </c>
      <c r="BM97" s="290" t="n">
        <v>0</v>
      </c>
      <c r="BN97" s="290" t="n">
        <v>2</v>
      </c>
      <c r="BO97" s="290" t="n">
        <v>0</v>
      </c>
      <c r="BP97" s="290" t="s">
        <v>182</v>
      </c>
      <c r="BQ97" s="290" t="s">
        <v>182</v>
      </c>
      <c r="BR97" s="290" t="s">
        <v>182</v>
      </c>
      <c r="BS97" s="290" t="s">
        <v>182</v>
      </c>
      <c r="BT97" s="290" t="n">
        <v>96</v>
      </c>
      <c r="BU97" s="316" t="b">
        <f aca="false">FALSE()</f>
        <v>0</v>
      </c>
      <c r="BV97" s="290"/>
      <c r="BW97" s="3"/>
      <c r="BX97" s="3"/>
      <c r="BY97" s="3"/>
      <c r="BZ97" s="3"/>
      <c r="CA97" s="3" t="s">
        <v>1116</v>
      </c>
      <c r="CB97" s="85" t="n">
        <v>10000</v>
      </c>
      <c r="CC97" s="85" t="n">
        <v>11000</v>
      </c>
      <c r="CD97" s="85" t="n">
        <v>13000</v>
      </c>
      <c r="CE97" s="85" t="n">
        <v>16000</v>
      </c>
      <c r="CF97" s="85" t="n">
        <v>20000</v>
      </c>
      <c r="CG97" s="3" t="n">
        <f aca="false">IF(BZ97="Saddle",TRUE(),)</f>
        <v>0</v>
      </c>
      <c r="CH97" s="3"/>
      <c r="CI97" s="3"/>
      <c r="CJ97" s="3"/>
      <c r="CK97" s="3"/>
      <c r="CL97" s="3"/>
      <c r="CM97" s="3"/>
      <c r="CN97" s="3"/>
      <c r="CO97" s="3"/>
      <c r="CP97" s="3"/>
      <c r="CQ97" s="3"/>
      <c r="CR97" s="3"/>
      <c r="CS97" s="3"/>
      <c r="CT97" s="3"/>
      <c r="CU97" s="3"/>
      <c r="CV97" s="3"/>
      <c r="CW97" s="3"/>
      <c r="CX97" s="3"/>
      <c r="CY97" s="3"/>
      <c r="CZ97" s="3"/>
    </row>
    <row r="98" customFormat="false" ht="15.75" hidden="false" customHeight="false" outlineLevel="0" collapsed="false">
      <c r="A98" s="290" t="s">
        <v>106</v>
      </c>
      <c r="B98" s="290" t="s">
        <v>305</v>
      </c>
      <c r="C98" s="290" t="s">
        <v>182</v>
      </c>
      <c r="D98" s="290" t="s">
        <v>182</v>
      </c>
      <c r="E98" s="290" t="s">
        <v>182</v>
      </c>
      <c r="F98" s="315" t="b">
        <f aca="false">TRUE()</f>
        <v>1</v>
      </c>
      <c r="G98" s="290" t="s">
        <v>443</v>
      </c>
      <c r="H98" s="290" t="s">
        <v>305</v>
      </c>
      <c r="I98" s="290" t="n">
        <v>33</v>
      </c>
      <c r="J98" s="3"/>
      <c r="K98" s="290" t="s">
        <v>793</v>
      </c>
      <c r="L98" s="290" t="n">
        <v>6</v>
      </c>
      <c r="M98" s="290" t="s">
        <v>783</v>
      </c>
      <c r="N98" s="290" t="s">
        <v>743</v>
      </c>
      <c r="O98" s="290" t="s">
        <v>744</v>
      </c>
      <c r="P98" s="290" t="s">
        <v>745</v>
      </c>
      <c r="Q98" s="290" t="s">
        <v>746</v>
      </c>
      <c r="R98" s="315" t="b">
        <f aca="false">FALSE()</f>
        <v>0</v>
      </c>
      <c r="S98" s="290" t="n">
        <v>100</v>
      </c>
      <c r="T98" s="290" t="n">
        <v>100</v>
      </c>
      <c r="U98" s="290" t="n">
        <v>90</v>
      </c>
      <c r="V98" s="290" t="n">
        <v>90</v>
      </c>
      <c r="W98" s="290" t="n">
        <v>100</v>
      </c>
      <c r="X98" s="290" t="n">
        <v>100</v>
      </c>
      <c r="Y98" s="290" t="n">
        <v>1</v>
      </c>
      <c r="Z98" s="290" t="n">
        <v>1</v>
      </c>
      <c r="AA98" s="290" t="n">
        <v>1</v>
      </c>
      <c r="AB98" s="290" t="n">
        <v>6200</v>
      </c>
      <c r="AC98" s="290" t="s">
        <v>747</v>
      </c>
      <c r="AD98" s="290" t="s">
        <v>182</v>
      </c>
      <c r="AE98" s="290" t="n">
        <v>50</v>
      </c>
      <c r="AF98" s="290" t="n">
        <v>100</v>
      </c>
      <c r="AG98" s="290" t="n">
        <v>500</v>
      </c>
      <c r="AH98" s="290" t="n">
        <v>700</v>
      </c>
      <c r="AI98" s="290" t="n">
        <v>275</v>
      </c>
      <c r="AJ98" s="315" t="b">
        <f aca="false">FALSE()</f>
        <v>0</v>
      </c>
      <c r="AK98" s="315" t="b">
        <f aca="false">FALSE()</f>
        <v>0</v>
      </c>
      <c r="AL98" s="290" t="s">
        <v>748</v>
      </c>
      <c r="AM98" s="315" t="b">
        <f aca="false">FALSE()</f>
        <v>0</v>
      </c>
      <c r="AN98" s="315" t="b">
        <f aca="false">FALSE()</f>
        <v>0</v>
      </c>
      <c r="AO98" s="290" t="n">
        <v>350</v>
      </c>
      <c r="AP98" s="290" t="n">
        <v>1</v>
      </c>
      <c r="AQ98" s="290" t="n">
        <v>5</v>
      </c>
      <c r="AR98" s="290" t="n">
        <v>25</v>
      </c>
      <c r="AS98" s="290" t="n">
        <v>90</v>
      </c>
      <c r="AT98" s="290" t="n">
        <v>1</v>
      </c>
      <c r="AU98" s="315" t="b">
        <f aca="false">FALSE()</f>
        <v>0</v>
      </c>
      <c r="AV98" s="315" t="b">
        <f aca="false">FALSE()</f>
        <v>0</v>
      </c>
      <c r="AW98" s="290" t="n">
        <v>3</v>
      </c>
      <c r="AX98" s="315" t="b">
        <f aca="false">FALSE()</f>
        <v>0</v>
      </c>
      <c r="AY98" s="315" t="b">
        <f aca="false">TRUE()</f>
        <v>1</v>
      </c>
      <c r="AZ98" s="290" t="n">
        <v>100</v>
      </c>
      <c r="BA98" s="290" t="n">
        <v>50</v>
      </c>
      <c r="BB98" s="290" t="n">
        <v>430</v>
      </c>
      <c r="BC98" s="290" t="n">
        <v>0</v>
      </c>
      <c r="BD98" s="290" t="n">
        <v>0</v>
      </c>
      <c r="BE98" s="290" t="n">
        <v>2</v>
      </c>
      <c r="BF98" s="290" t="n">
        <v>0</v>
      </c>
      <c r="BG98" s="290" t="n">
        <v>2</v>
      </c>
      <c r="BH98" s="290" t="n">
        <v>0</v>
      </c>
      <c r="BI98" s="290" t="n">
        <v>2</v>
      </c>
      <c r="BJ98" s="290" t="n">
        <v>0</v>
      </c>
      <c r="BK98" s="290" t="n">
        <v>0</v>
      </c>
      <c r="BL98" s="290" t="n">
        <v>0</v>
      </c>
      <c r="BM98" s="290" t="n">
        <v>0</v>
      </c>
      <c r="BN98" s="290" t="n">
        <v>3</v>
      </c>
      <c r="BO98" s="290" t="n">
        <v>0</v>
      </c>
      <c r="BP98" s="290" t="s">
        <v>182</v>
      </c>
      <c r="BQ98" s="290" t="s">
        <v>182</v>
      </c>
      <c r="BR98" s="290" t="s">
        <v>182</v>
      </c>
      <c r="BS98" s="290" t="s">
        <v>182</v>
      </c>
      <c r="BT98" s="290" t="n">
        <v>97</v>
      </c>
      <c r="BU98" s="316" t="b">
        <f aca="false">FALSE()</f>
        <v>0</v>
      </c>
      <c r="BV98" s="290"/>
      <c r="BW98" s="3"/>
      <c r="BX98" s="85" t="n">
        <v>24</v>
      </c>
      <c r="BY98" s="3" t="s">
        <v>1117</v>
      </c>
      <c r="BZ98" s="3" t="s">
        <v>775</v>
      </c>
      <c r="CA98" s="3" t="s">
        <v>1118</v>
      </c>
      <c r="CB98" s="85" t="n">
        <v>30</v>
      </c>
      <c r="CC98" s="85" t="n">
        <v>33</v>
      </c>
      <c r="CD98" s="85" t="n">
        <v>39</v>
      </c>
      <c r="CE98" s="85" t="n">
        <v>48</v>
      </c>
      <c r="CF98" s="85" t="n">
        <v>60</v>
      </c>
      <c r="CG98" s="317" t="b">
        <f aca="false">IF(BZ98="Saddle",TRUE(),)</f>
        <v>1</v>
      </c>
      <c r="CH98" s="3" t="s">
        <v>776</v>
      </c>
      <c r="CI98" s="3"/>
      <c r="CJ98" s="3"/>
      <c r="CK98" s="3"/>
      <c r="CL98" s="3"/>
      <c r="CM98" s="3"/>
      <c r="CN98" s="3"/>
      <c r="CO98" s="3"/>
      <c r="CP98" s="3"/>
      <c r="CQ98" s="3"/>
      <c r="CR98" s="3"/>
      <c r="CS98" s="3"/>
      <c r="CT98" s="3"/>
      <c r="CU98" s="3"/>
      <c r="CV98" s="3"/>
      <c r="CW98" s="3"/>
      <c r="CX98" s="3"/>
      <c r="CY98" s="3"/>
      <c r="CZ98" s="3"/>
    </row>
    <row r="99" customFormat="false" ht="15.75" hidden="false" customHeight="false" outlineLevel="0" collapsed="false">
      <c r="A99" s="290" t="s">
        <v>107</v>
      </c>
      <c r="B99" s="290" t="s">
        <v>306</v>
      </c>
      <c r="C99" s="290" t="s">
        <v>182</v>
      </c>
      <c r="D99" s="290" t="s">
        <v>182</v>
      </c>
      <c r="E99" s="290" t="s">
        <v>182</v>
      </c>
      <c r="F99" s="315" t="b">
        <f aca="false">TRUE()</f>
        <v>1</v>
      </c>
      <c r="G99" s="290" t="s">
        <v>526</v>
      </c>
      <c r="H99" s="290" t="s">
        <v>306</v>
      </c>
      <c r="I99" s="290" t="n">
        <v>33</v>
      </c>
      <c r="J99" s="290" t="s">
        <v>761</v>
      </c>
      <c r="K99" s="290" t="s">
        <v>793</v>
      </c>
      <c r="L99" s="290" t="n">
        <v>7</v>
      </c>
      <c r="M99" s="290" t="s">
        <v>810</v>
      </c>
      <c r="N99" s="290" t="s">
        <v>743</v>
      </c>
      <c r="O99" s="290" t="s">
        <v>744</v>
      </c>
      <c r="P99" s="290" t="s">
        <v>745</v>
      </c>
      <c r="Q99" s="290" t="s">
        <v>746</v>
      </c>
      <c r="R99" s="315" t="b">
        <f aca="false">FALSE()</f>
        <v>0</v>
      </c>
      <c r="S99" s="290" t="n">
        <v>100</v>
      </c>
      <c r="T99" s="290" t="n">
        <v>100</v>
      </c>
      <c r="U99" s="290" t="n">
        <v>100</v>
      </c>
      <c r="V99" s="290" t="n">
        <v>100</v>
      </c>
      <c r="W99" s="290" t="n">
        <v>100</v>
      </c>
      <c r="X99" s="290" t="n">
        <v>100</v>
      </c>
      <c r="Y99" s="290" t="n">
        <v>1</v>
      </c>
      <c r="Z99" s="290" t="n">
        <v>1</v>
      </c>
      <c r="AA99" s="290" t="n">
        <v>1</v>
      </c>
      <c r="AB99" s="290" t="n">
        <v>6610</v>
      </c>
      <c r="AC99" s="290" t="s">
        <v>747</v>
      </c>
      <c r="AD99" s="290" t="s">
        <v>182</v>
      </c>
      <c r="AE99" s="290" t="n">
        <v>50</v>
      </c>
      <c r="AF99" s="290" t="n">
        <v>100</v>
      </c>
      <c r="AG99" s="290" t="n">
        <v>500</v>
      </c>
      <c r="AH99" s="290" t="n">
        <v>700</v>
      </c>
      <c r="AI99" s="290" t="n">
        <v>275</v>
      </c>
      <c r="AJ99" s="315" t="b">
        <f aca="false">FALSE()</f>
        <v>0</v>
      </c>
      <c r="AK99" s="315" t="b">
        <f aca="false">FALSE()</f>
        <v>0</v>
      </c>
      <c r="AL99" s="290" t="s">
        <v>748</v>
      </c>
      <c r="AM99" s="315" t="b">
        <f aca="false">FALSE()</f>
        <v>0</v>
      </c>
      <c r="AN99" s="315" t="b">
        <f aca="false">FALSE()</f>
        <v>0</v>
      </c>
      <c r="AO99" s="290" t="n">
        <v>350</v>
      </c>
      <c r="AP99" s="290" t="n">
        <v>1</v>
      </c>
      <c r="AQ99" s="290" t="n">
        <v>5</v>
      </c>
      <c r="AR99" s="290" t="n">
        <v>25</v>
      </c>
      <c r="AS99" s="290" t="n">
        <v>90</v>
      </c>
      <c r="AT99" s="290" t="n">
        <v>1</v>
      </c>
      <c r="AU99" s="315" t="b">
        <f aca="false">FALSE()</f>
        <v>0</v>
      </c>
      <c r="AV99" s="315" t="b">
        <f aca="false">FALSE()</f>
        <v>0</v>
      </c>
      <c r="AW99" s="290" t="n">
        <v>3</v>
      </c>
      <c r="AX99" s="315" t="b">
        <f aca="false">FALSE()</f>
        <v>0</v>
      </c>
      <c r="AY99" s="315" t="b">
        <f aca="false">TRUE()</f>
        <v>1</v>
      </c>
      <c r="AZ99" s="290" t="n">
        <v>100</v>
      </c>
      <c r="BA99" s="290" t="n">
        <v>50</v>
      </c>
      <c r="BB99" s="290" t="n">
        <v>390</v>
      </c>
      <c r="BC99" s="290" t="n">
        <v>0</v>
      </c>
      <c r="BD99" s="290" t="n">
        <v>0</v>
      </c>
      <c r="BE99" s="290" t="n">
        <v>0</v>
      </c>
      <c r="BF99" s="290" t="n">
        <v>2</v>
      </c>
      <c r="BG99" s="290" t="n">
        <v>2</v>
      </c>
      <c r="BH99" s="290" t="n">
        <v>0</v>
      </c>
      <c r="BI99" s="290" t="n">
        <v>2</v>
      </c>
      <c r="BJ99" s="290" t="n">
        <v>0</v>
      </c>
      <c r="BK99" s="290" t="n">
        <v>0</v>
      </c>
      <c r="BL99" s="290" t="n">
        <v>0</v>
      </c>
      <c r="BM99" s="290" t="n">
        <v>0</v>
      </c>
      <c r="BN99" s="290" t="n">
        <v>3</v>
      </c>
      <c r="BO99" s="290" t="n">
        <v>0</v>
      </c>
      <c r="BP99" s="290" t="s">
        <v>182</v>
      </c>
      <c r="BQ99" s="290" t="s">
        <v>182</v>
      </c>
      <c r="BR99" s="290" t="s">
        <v>182</v>
      </c>
      <c r="BS99" s="290" t="s">
        <v>182</v>
      </c>
      <c r="BT99" s="290" t="n">
        <v>98</v>
      </c>
      <c r="BU99" s="316" t="b">
        <f aca="false">TRUE()</f>
        <v>1</v>
      </c>
      <c r="BV99" s="290"/>
      <c r="BW99" s="290" t="s">
        <v>761</v>
      </c>
      <c r="BX99" s="85" t="n">
        <v>25</v>
      </c>
      <c r="BY99" s="3" t="s">
        <v>1119</v>
      </c>
      <c r="BZ99" s="3" t="s">
        <v>775</v>
      </c>
      <c r="CA99" s="3" t="s">
        <v>1118</v>
      </c>
      <c r="CB99" s="85" t="n">
        <v>30</v>
      </c>
      <c r="CC99" s="85" t="n">
        <v>33</v>
      </c>
      <c r="CD99" s="85" t="n">
        <v>39</v>
      </c>
      <c r="CE99" s="85" t="n">
        <v>48</v>
      </c>
      <c r="CF99" s="85" t="n">
        <v>60</v>
      </c>
      <c r="CG99" s="317" t="b">
        <f aca="false">IF(BZ99="Saddle",TRUE(),)</f>
        <v>1</v>
      </c>
      <c r="CH99" s="3" t="s">
        <v>776</v>
      </c>
      <c r="CI99" s="3"/>
      <c r="CJ99" s="3"/>
      <c r="CK99" s="3"/>
      <c r="CL99" s="3"/>
      <c r="CM99" s="3"/>
      <c r="CN99" s="3"/>
      <c r="CO99" s="3"/>
      <c r="CP99" s="3"/>
      <c r="CQ99" s="3"/>
      <c r="CR99" s="3"/>
      <c r="CS99" s="3"/>
      <c r="CT99" s="3"/>
      <c r="CU99" s="3"/>
      <c r="CV99" s="3"/>
      <c r="CW99" s="3"/>
      <c r="CX99" s="3"/>
      <c r="CY99" s="3"/>
      <c r="CZ99" s="3"/>
    </row>
    <row r="100" customFormat="false" ht="15.75" hidden="false" customHeight="false" outlineLevel="0" collapsed="false">
      <c r="A100" s="290" t="s">
        <v>13</v>
      </c>
      <c r="B100" s="290" t="s">
        <v>317</v>
      </c>
      <c r="C100" s="290" t="s">
        <v>182</v>
      </c>
      <c r="D100" s="290" t="s">
        <v>182</v>
      </c>
      <c r="E100" s="290" t="s">
        <v>182</v>
      </c>
      <c r="F100" s="315" t="b">
        <f aca="false">TRUE()</f>
        <v>1</v>
      </c>
      <c r="G100" s="290" t="s">
        <v>1120</v>
      </c>
      <c r="H100" s="290" t="s">
        <v>317</v>
      </c>
      <c r="I100" s="290" t="n">
        <v>42</v>
      </c>
      <c r="J100" s="3"/>
      <c r="K100" s="290" t="s">
        <v>741</v>
      </c>
      <c r="L100" s="290" t="n">
        <v>4</v>
      </c>
      <c r="M100" s="290" t="s">
        <v>757</v>
      </c>
      <c r="N100" s="290" t="s">
        <v>743</v>
      </c>
      <c r="O100" s="290" t="s">
        <v>763</v>
      </c>
      <c r="P100" s="290" t="s">
        <v>745</v>
      </c>
      <c r="Q100" s="290" t="s">
        <v>746</v>
      </c>
      <c r="R100" s="315" t="b">
        <f aca="false">FALSE()</f>
        <v>0</v>
      </c>
      <c r="S100" s="290" t="n">
        <v>85</v>
      </c>
      <c r="T100" s="290" t="n">
        <v>100</v>
      </c>
      <c r="U100" s="290" t="n">
        <v>95</v>
      </c>
      <c r="V100" s="290" t="n">
        <v>95</v>
      </c>
      <c r="W100" s="290" t="n">
        <v>100</v>
      </c>
      <c r="X100" s="290" t="n">
        <v>100</v>
      </c>
      <c r="Y100" s="290" t="n">
        <v>1</v>
      </c>
      <c r="Z100" s="290" t="n">
        <v>1</v>
      </c>
      <c r="AA100" s="290" t="n">
        <v>1</v>
      </c>
      <c r="AB100" s="290" t="n">
        <v>3520</v>
      </c>
      <c r="AC100" s="290" t="s">
        <v>747</v>
      </c>
      <c r="AD100" s="290" t="s">
        <v>182</v>
      </c>
      <c r="AE100" s="290" t="n">
        <v>87</v>
      </c>
      <c r="AF100" s="290" t="n">
        <v>87</v>
      </c>
      <c r="AG100" s="290" t="n">
        <v>600</v>
      </c>
      <c r="AH100" s="290" t="n">
        <v>800</v>
      </c>
      <c r="AI100" s="290" t="n">
        <v>343</v>
      </c>
      <c r="AJ100" s="315" t="b">
        <f aca="false">FALSE()</f>
        <v>0</v>
      </c>
      <c r="AK100" s="315" t="b">
        <f aca="false">FALSE()</f>
        <v>0</v>
      </c>
      <c r="AL100" s="290" t="s">
        <v>748</v>
      </c>
      <c r="AM100" s="315" t="b">
        <f aca="false">FALSE()</f>
        <v>0</v>
      </c>
      <c r="AN100" s="315" t="b">
        <f aca="false">FALSE()</f>
        <v>0</v>
      </c>
      <c r="AO100" s="290" t="n">
        <v>350</v>
      </c>
      <c r="AP100" s="290" t="n">
        <v>1</v>
      </c>
      <c r="AQ100" s="290" t="n">
        <v>5</v>
      </c>
      <c r="AR100" s="290" t="n">
        <v>25</v>
      </c>
      <c r="AS100" s="290" t="n">
        <v>90</v>
      </c>
      <c r="AT100" s="290" t="n">
        <v>1</v>
      </c>
      <c r="AU100" s="315" t="b">
        <f aca="false">FALSE()</f>
        <v>0</v>
      </c>
      <c r="AV100" s="315" t="b">
        <f aca="false">FALSE()</f>
        <v>0</v>
      </c>
      <c r="AW100" s="290" t="n">
        <v>3</v>
      </c>
      <c r="AX100" s="315" t="b">
        <f aca="false">FALSE()</f>
        <v>0</v>
      </c>
      <c r="AY100" s="315" t="b">
        <f aca="false">TRUE()</f>
        <v>1</v>
      </c>
      <c r="AZ100" s="290" t="n">
        <v>100</v>
      </c>
      <c r="BA100" s="290" t="n">
        <v>50</v>
      </c>
      <c r="BB100" s="290" t="n">
        <v>790</v>
      </c>
      <c r="BC100" s="290" t="n">
        <v>2</v>
      </c>
      <c r="BD100" s="290" t="n">
        <v>0</v>
      </c>
      <c r="BE100" s="290" t="n">
        <v>0</v>
      </c>
      <c r="BF100" s="290" t="n">
        <v>0</v>
      </c>
      <c r="BG100" s="290" t="n">
        <v>0</v>
      </c>
      <c r="BH100" s="290" t="n">
        <v>0</v>
      </c>
      <c r="BI100" s="290" t="n">
        <v>1</v>
      </c>
      <c r="BJ100" s="290" t="n">
        <v>0</v>
      </c>
      <c r="BK100" s="290" t="n">
        <v>0</v>
      </c>
      <c r="BL100" s="290" t="n">
        <v>0</v>
      </c>
      <c r="BM100" s="290" t="n">
        <v>0</v>
      </c>
      <c r="BN100" s="290" t="n">
        <v>0</v>
      </c>
      <c r="BO100" s="290" t="n">
        <v>0</v>
      </c>
      <c r="BP100" s="290" t="s">
        <v>182</v>
      </c>
      <c r="BQ100" s="290" t="s">
        <v>182</v>
      </c>
      <c r="BR100" s="290" t="s">
        <v>182</v>
      </c>
      <c r="BS100" s="290" t="s">
        <v>182</v>
      </c>
      <c r="BT100" s="290" t="n">
        <v>99</v>
      </c>
      <c r="BU100" s="316" t="b">
        <f aca="false">FALSE()</f>
        <v>0</v>
      </c>
      <c r="BV100" s="290"/>
      <c r="BW100" s="3"/>
      <c r="BX100" s="85" t="n">
        <v>16</v>
      </c>
      <c r="BY100" s="3" t="s">
        <v>1121</v>
      </c>
      <c r="BZ100" s="3" t="s">
        <v>775</v>
      </c>
      <c r="CA100" s="3"/>
      <c r="CB100" s="3"/>
      <c r="CC100" s="3"/>
      <c r="CD100" s="3"/>
      <c r="CE100" s="3"/>
      <c r="CF100" s="3"/>
      <c r="CG100" s="311" t="b">
        <f aca="false">IF(BZ100="Saddle",TRUE(),)</f>
        <v>1</v>
      </c>
      <c r="CH100" s="3" t="s">
        <v>776</v>
      </c>
      <c r="CI100" s="3"/>
      <c r="CJ100" s="3" t="s">
        <v>975</v>
      </c>
      <c r="CK100" s="3" t="s">
        <v>975</v>
      </c>
      <c r="CL100" s="3" t="s">
        <v>975</v>
      </c>
      <c r="CM100" s="3" t="s">
        <v>975</v>
      </c>
      <c r="CN100" s="3" t="s">
        <v>975</v>
      </c>
      <c r="CO100" s="3"/>
      <c r="CP100" s="3"/>
      <c r="CQ100" s="3"/>
      <c r="CR100" s="3"/>
      <c r="CS100" s="3"/>
      <c r="CT100" s="3"/>
      <c r="CU100" s="3" t="s">
        <v>818</v>
      </c>
      <c r="CV100" s="3"/>
      <c r="CW100" s="3" t="s">
        <v>819</v>
      </c>
      <c r="CX100" s="3" t="s">
        <v>820</v>
      </c>
      <c r="CY100" s="3" t="s">
        <v>821</v>
      </c>
      <c r="CZ100" s="3" t="s">
        <v>822</v>
      </c>
    </row>
    <row r="101" customFormat="false" ht="15.75" hidden="false" customHeight="false" outlineLevel="0" collapsed="false">
      <c r="A101" s="290" t="s">
        <v>120</v>
      </c>
      <c r="B101" s="290" t="s">
        <v>338</v>
      </c>
      <c r="C101" s="290" t="s">
        <v>182</v>
      </c>
      <c r="D101" s="290" t="s">
        <v>182</v>
      </c>
      <c r="E101" s="290" t="s">
        <v>182</v>
      </c>
      <c r="F101" s="315" t="b">
        <f aca="false">TRUE()</f>
        <v>1</v>
      </c>
      <c r="G101" s="290" t="s">
        <v>447</v>
      </c>
      <c r="H101" s="290" t="s">
        <v>338</v>
      </c>
      <c r="I101" s="290" t="n">
        <v>60</v>
      </c>
      <c r="J101" s="3"/>
      <c r="K101" s="290" t="s">
        <v>741</v>
      </c>
      <c r="L101" s="290" t="n">
        <v>5</v>
      </c>
      <c r="M101" s="290" t="s">
        <v>810</v>
      </c>
      <c r="N101" s="290" t="s">
        <v>743</v>
      </c>
      <c r="O101" s="290" t="s">
        <v>763</v>
      </c>
      <c r="P101" s="290" t="s">
        <v>745</v>
      </c>
      <c r="Q101" s="290" t="s">
        <v>746</v>
      </c>
      <c r="R101" s="315" t="b">
        <f aca="false">FALSE()</f>
        <v>0</v>
      </c>
      <c r="S101" s="290" t="n">
        <v>90</v>
      </c>
      <c r="T101" s="290" t="n">
        <v>100</v>
      </c>
      <c r="U101" s="290" t="n">
        <v>100</v>
      </c>
      <c r="V101" s="290" t="n">
        <v>80</v>
      </c>
      <c r="W101" s="290" t="n">
        <v>100</v>
      </c>
      <c r="X101" s="290" t="n">
        <v>100</v>
      </c>
      <c r="Y101" s="290" t="n">
        <v>1</v>
      </c>
      <c r="Z101" s="290" t="n">
        <v>1</v>
      </c>
      <c r="AA101" s="290" t="n">
        <v>1</v>
      </c>
      <c r="AB101" s="290" t="n">
        <v>3880</v>
      </c>
      <c r="AC101" s="290" t="s">
        <v>747</v>
      </c>
      <c r="AD101" s="290" t="s">
        <v>182</v>
      </c>
      <c r="AE101" s="290" t="n">
        <v>110</v>
      </c>
      <c r="AF101" s="290" t="n">
        <v>210</v>
      </c>
      <c r="AG101" s="290" t="n">
        <v>700</v>
      </c>
      <c r="AH101" s="290" t="n">
        <v>1150</v>
      </c>
      <c r="AI101" s="290" t="n">
        <v>455</v>
      </c>
      <c r="AJ101" s="315" t="b">
        <f aca="false">FALSE()</f>
        <v>0</v>
      </c>
      <c r="AK101" s="315" t="b">
        <f aca="false">FALSE()</f>
        <v>0</v>
      </c>
      <c r="AL101" s="290" t="s">
        <v>765</v>
      </c>
      <c r="AM101" s="315" t="b">
        <f aca="false">FALSE()</f>
        <v>0</v>
      </c>
      <c r="AN101" s="315" t="b">
        <f aca="false">FALSE()</f>
        <v>0</v>
      </c>
      <c r="AO101" s="290" t="n">
        <v>350</v>
      </c>
      <c r="AP101" s="290" t="n">
        <v>1</v>
      </c>
      <c r="AQ101" s="290" t="n">
        <v>5</v>
      </c>
      <c r="AR101" s="290" t="n">
        <v>25</v>
      </c>
      <c r="AS101" s="290" t="n">
        <v>90</v>
      </c>
      <c r="AT101" s="290" t="n">
        <v>1</v>
      </c>
      <c r="AU101" s="315" t="b">
        <f aca="false">FALSE()</f>
        <v>0</v>
      </c>
      <c r="AV101" s="315" t="b">
        <f aca="false">FALSE()</f>
        <v>0</v>
      </c>
      <c r="AW101" s="290" t="n">
        <v>3</v>
      </c>
      <c r="AX101" s="315" t="b">
        <f aca="false">TRUE()</f>
        <v>1</v>
      </c>
      <c r="AY101" s="315" t="b">
        <f aca="false">TRUE()</f>
        <v>1</v>
      </c>
      <c r="AZ101" s="290" t="n">
        <v>100</v>
      </c>
      <c r="BA101" s="290" t="n">
        <v>50</v>
      </c>
      <c r="BB101" s="290" t="n">
        <v>740</v>
      </c>
      <c r="BC101" s="290" t="n">
        <v>0</v>
      </c>
      <c r="BD101" s="290" t="n">
        <v>0</v>
      </c>
      <c r="BE101" s="290" t="n">
        <v>0</v>
      </c>
      <c r="BF101" s="290" t="n">
        <v>2</v>
      </c>
      <c r="BG101" s="290" t="n">
        <v>0</v>
      </c>
      <c r="BH101" s="290" t="n">
        <v>0</v>
      </c>
      <c r="BI101" s="290" t="n">
        <v>0</v>
      </c>
      <c r="BJ101" s="290" t="n">
        <v>0</v>
      </c>
      <c r="BK101" s="290" t="n">
        <v>0</v>
      </c>
      <c r="BL101" s="290" t="n">
        <v>0</v>
      </c>
      <c r="BM101" s="290" t="n">
        <v>0</v>
      </c>
      <c r="BN101" s="290" t="n">
        <v>0</v>
      </c>
      <c r="BO101" s="290" t="n">
        <v>0</v>
      </c>
      <c r="BP101" s="290" t="s">
        <v>182</v>
      </c>
      <c r="BQ101" s="290" t="s">
        <v>182</v>
      </c>
      <c r="BR101" s="290" t="s">
        <v>182</v>
      </c>
      <c r="BS101" s="290" t="s">
        <v>182</v>
      </c>
      <c r="BT101" s="290" t="n">
        <v>100</v>
      </c>
      <c r="BU101" s="316" t="b">
        <f aca="false">FALSE()</f>
        <v>0</v>
      </c>
      <c r="BV101" s="290"/>
      <c r="BW101" s="3"/>
      <c r="BX101" s="85" t="n">
        <v>26</v>
      </c>
      <c r="BY101" s="3" t="s">
        <v>1122</v>
      </c>
      <c r="BZ101" s="3" t="s">
        <v>775</v>
      </c>
      <c r="CA101" s="3"/>
      <c r="CB101" s="3"/>
      <c r="CC101" s="3"/>
      <c r="CD101" s="3"/>
      <c r="CE101" s="3"/>
      <c r="CF101" s="3"/>
      <c r="CG101" s="311" t="b">
        <f aca="false">IF(BZ101="Saddle",TRUE(),)</f>
        <v>1</v>
      </c>
      <c r="CH101" s="3" t="s">
        <v>776</v>
      </c>
      <c r="CI101" s="3"/>
      <c r="CJ101" s="3"/>
      <c r="CK101" s="3"/>
      <c r="CL101" s="3"/>
      <c r="CM101" s="3"/>
      <c r="CN101" s="3"/>
      <c r="CO101" s="3"/>
      <c r="CP101" s="3"/>
      <c r="CQ101" s="3"/>
      <c r="CR101" s="3"/>
      <c r="CS101" s="3"/>
      <c r="CT101" s="3"/>
      <c r="CU101" s="3" t="s">
        <v>818</v>
      </c>
      <c r="CV101" s="3"/>
      <c r="CW101" s="3" t="s">
        <v>819</v>
      </c>
      <c r="CX101" s="3" t="s">
        <v>820</v>
      </c>
      <c r="CY101" s="3" t="s">
        <v>821</v>
      </c>
      <c r="CZ101" s="3" t="s">
        <v>822</v>
      </c>
    </row>
    <row r="102" customFormat="false" ht="15.75" hidden="false" customHeight="false" outlineLevel="0" collapsed="false">
      <c r="A102" s="290" t="s">
        <v>62</v>
      </c>
      <c r="B102" s="290" t="s">
        <v>291</v>
      </c>
      <c r="C102" s="290" t="s">
        <v>182</v>
      </c>
      <c r="D102" s="290" t="s">
        <v>182</v>
      </c>
      <c r="E102" s="290" t="s">
        <v>182</v>
      </c>
      <c r="F102" s="315" t="b">
        <f aca="false">TRUE()</f>
        <v>1</v>
      </c>
      <c r="G102" s="290" t="s">
        <v>467</v>
      </c>
      <c r="H102" s="290" t="s">
        <v>291</v>
      </c>
      <c r="I102" s="290" t="n">
        <v>22</v>
      </c>
      <c r="J102" s="3"/>
      <c r="K102" s="290" t="s">
        <v>762</v>
      </c>
      <c r="L102" s="290" t="n">
        <v>1</v>
      </c>
      <c r="M102" s="290" t="s">
        <v>742</v>
      </c>
      <c r="N102" s="290" t="s">
        <v>743</v>
      </c>
      <c r="O102" s="290" t="s">
        <v>744</v>
      </c>
      <c r="P102" s="290" t="s">
        <v>745</v>
      </c>
      <c r="Q102" s="290" t="s">
        <v>746</v>
      </c>
      <c r="R102" s="315" t="b">
        <f aca="false">FALSE()</f>
        <v>0</v>
      </c>
      <c r="S102" s="290" t="n">
        <v>65</v>
      </c>
      <c r="T102" s="290" t="n">
        <v>100</v>
      </c>
      <c r="U102" s="290" t="n">
        <v>80</v>
      </c>
      <c r="V102" s="290" t="n">
        <v>50</v>
      </c>
      <c r="W102" s="290" t="n">
        <v>100</v>
      </c>
      <c r="X102" s="290" t="n">
        <v>100</v>
      </c>
      <c r="Y102" s="290" t="n">
        <v>1</v>
      </c>
      <c r="Z102" s="290" t="n">
        <v>1</v>
      </c>
      <c r="AA102" s="290" t="n">
        <v>1</v>
      </c>
      <c r="AB102" s="290" t="n">
        <v>1360</v>
      </c>
      <c r="AC102" s="290" t="s">
        <v>764</v>
      </c>
      <c r="AD102" s="290" t="s">
        <v>182</v>
      </c>
      <c r="AE102" s="290" t="n">
        <v>30</v>
      </c>
      <c r="AF102" s="290" t="n">
        <v>60</v>
      </c>
      <c r="AG102" s="290" t="n">
        <v>300</v>
      </c>
      <c r="AH102" s="290" t="n">
        <v>550</v>
      </c>
      <c r="AI102" s="290" t="n">
        <v>240</v>
      </c>
      <c r="AJ102" s="315" t="b">
        <f aca="false">FALSE()</f>
        <v>0</v>
      </c>
      <c r="AK102" s="315" t="b">
        <f aca="false">FALSE()</f>
        <v>0</v>
      </c>
      <c r="AL102" s="290" t="s">
        <v>765</v>
      </c>
      <c r="AM102" s="315" t="b">
        <f aca="false">FALSE()</f>
        <v>0</v>
      </c>
      <c r="AN102" s="315" t="b">
        <f aca="false">FALSE()</f>
        <v>0</v>
      </c>
      <c r="AO102" s="290" t="n">
        <v>150</v>
      </c>
      <c r="AP102" s="290" t="n">
        <v>1</v>
      </c>
      <c r="AQ102" s="290" t="n">
        <v>2</v>
      </c>
      <c r="AR102" s="290" t="n">
        <v>25</v>
      </c>
      <c r="AS102" s="290" t="n">
        <v>90</v>
      </c>
      <c r="AT102" s="290" t="n">
        <v>1</v>
      </c>
      <c r="AU102" s="315" t="b">
        <f aca="false">TRUE()</f>
        <v>1</v>
      </c>
      <c r="AV102" s="315" t="b">
        <f aca="false">FALSE()</f>
        <v>0</v>
      </c>
      <c r="AW102" s="290" t="n">
        <v>0</v>
      </c>
      <c r="AX102" s="315" t="b">
        <f aca="false">FALSE()</f>
        <v>0</v>
      </c>
      <c r="AY102" s="315" t="b">
        <f aca="false">TRUE()</f>
        <v>1</v>
      </c>
      <c r="AZ102" s="290" t="n">
        <v>100</v>
      </c>
      <c r="BA102" s="290" t="n">
        <v>50</v>
      </c>
      <c r="BB102" s="290" t="n">
        <v>1220</v>
      </c>
      <c r="BC102" s="290" t="n">
        <v>0</v>
      </c>
      <c r="BD102" s="290" t="n">
        <v>0</v>
      </c>
      <c r="BE102" s="290" t="n">
        <v>0</v>
      </c>
      <c r="BF102" s="290" t="n">
        <v>0</v>
      </c>
      <c r="BG102" s="290" t="n">
        <v>1</v>
      </c>
      <c r="BH102" s="290" t="n">
        <v>0</v>
      </c>
      <c r="BI102" s="290" t="n">
        <v>0</v>
      </c>
      <c r="BJ102" s="290" t="n">
        <v>1</v>
      </c>
      <c r="BK102" s="290" t="n">
        <v>0</v>
      </c>
      <c r="BL102" s="290" t="n">
        <v>0</v>
      </c>
      <c r="BM102" s="290" t="n">
        <v>0</v>
      </c>
      <c r="BN102" s="290" t="n">
        <v>1</v>
      </c>
      <c r="BO102" s="290" t="n">
        <v>0</v>
      </c>
      <c r="BP102" s="290" t="s">
        <v>182</v>
      </c>
      <c r="BQ102" s="290" t="s">
        <v>182</v>
      </c>
      <c r="BR102" s="290" t="s">
        <v>182</v>
      </c>
      <c r="BS102" s="290" t="s">
        <v>182</v>
      </c>
      <c r="BT102" s="290" t="n">
        <v>101</v>
      </c>
      <c r="BU102" s="316" t="b">
        <f aca="false">FALSE()</f>
        <v>0</v>
      </c>
      <c r="BV102" s="290"/>
      <c r="BW102" s="3"/>
      <c r="BX102" s="3"/>
      <c r="BY102" s="3"/>
      <c r="BZ102" s="3"/>
      <c r="CA102" s="3" t="s">
        <v>1123</v>
      </c>
      <c r="CB102" s="85" t="n">
        <v>10000</v>
      </c>
      <c r="CC102" s="85" t="n">
        <v>11000</v>
      </c>
      <c r="CD102" s="85" t="n">
        <v>13000</v>
      </c>
      <c r="CE102" s="85" t="n">
        <v>16000</v>
      </c>
      <c r="CF102" s="85" t="n">
        <v>20000</v>
      </c>
      <c r="CG102" s="3" t="n">
        <f aca="false">IF(BZ102="Saddle",TRUE(),)</f>
        <v>0</v>
      </c>
      <c r="CH102" s="3"/>
      <c r="CI102" s="3"/>
      <c r="CJ102" s="3"/>
      <c r="CK102" s="3"/>
      <c r="CL102" s="3"/>
      <c r="CM102" s="3"/>
      <c r="CN102" s="3"/>
      <c r="CO102" s="3"/>
      <c r="CP102" s="3"/>
      <c r="CQ102" s="3"/>
      <c r="CR102" s="3"/>
      <c r="CS102" s="3"/>
      <c r="CT102" s="3"/>
      <c r="CU102" s="3"/>
      <c r="CV102" s="3"/>
      <c r="CW102" s="3"/>
      <c r="CX102" s="3"/>
      <c r="CY102" s="3"/>
      <c r="CZ102" s="3"/>
    </row>
    <row r="103" customFormat="false" ht="15.75" hidden="false" customHeight="false" outlineLevel="0" collapsed="false">
      <c r="A103" s="290" t="s">
        <v>15</v>
      </c>
      <c r="B103" s="290" t="s">
        <v>388</v>
      </c>
      <c r="C103" s="290" t="s">
        <v>182</v>
      </c>
      <c r="D103" s="290" t="s">
        <v>182</v>
      </c>
      <c r="E103" s="290" t="s">
        <v>182</v>
      </c>
      <c r="F103" s="315" t="b">
        <f aca="false">TRUE()</f>
        <v>1</v>
      </c>
      <c r="G103" s="290" t="s">
        <v>498</v>
      </c>
      <c r="H103" s="290" t="s">
        <v>388</v>
      </c>
      <c r="I103" s="290" t="n">
        <v>98</v>
      </c>
      <c r="J103" s="3"/>
      <c r="K103" s="290" t="s">
        <v>884</v>
      </c>
      <c r="L103" s="290" t="n">
        <v>9</v>
      </c>
      <c r="M103" s="290" t="s">
        <v>885</v>
      </c>
      <c r="N103" s="290" t="s">
        <v>758</v>
      </c>
      <c r="O103" s="290" t="s">
        <v>969</v>
      </c>
      <c r="P103" s="290" t="s">
        <v>745</v>
      </c>
      <c r="Q103" s="290" t="s">
        <v>746</v>
      </c>
      <c r="R103" s="315" t="b">
        <f aca="false">FALSE()</f>
        <v>0</v>
      </c>
      <c r="S103" s="290" t="n">
        <v>100</v>
      </c>
      <c r="T103" s="290" t="n">
        <v>100</v>
      </c>
      <c r="U103" s="290" t="n">
        <v>125</v>
      </c>
      <c r="V103" s="290" t="n">
        <v>125</v>
      </c>
      <c r="W103" s="290" t="n">
        <v>100</v>
      </c>
      <c r="X103" s="290" t="n">
        <v>100</v>
      </c>
      <c r="Y103" s="290" t="n">
        <v>1</v>
      </c>
      <c r="Z103" s="290" t="n">
        <v>1</v>
      </c>
      <c r="AA103" s="290" t="n">
        <v>1</v>
      </c>
      <c r="AB103" s="290" t="n">
        <v>8200</v>
      </c>
      <c r="AC103" s="290" t="s">
        <v>747</v>
      </c>
      <c r="AD103" s="290" t="s">
        <v>182</v>
      </c>
      <c r="AE103" s="290" t="n">
        <v>100</v>
      </c>
      <c r="AF103" s="290" t="n">
        <v>150</v>
      </c>
      <c r="AG103" s="290" t="n">
        <v>600</v>
      </c>
      <c r="AH103" s="290" t="n">
        <v>800</v>
      </c>
      <c r="AI103" s="290" t="n">
        <v>375</v>
      </c>
      <c r="AJ103" s="315" t="b">
        <f aca="false">FALSE()</f>
        <v>0</v>
      </c>
      <c r="AK103" s="315" t="b">
        <f aca="false">FALSE()</f>
        <v>0</v>
      </c>
      <c r="AL103" s="290" t="s">
        <v>759</v>
      </c>
      <c r="AM103" s="315" t="b">
        <f aca="false">FALSE()</f>
        <v>0</v>
      </c>
      <c r="AN103" s="315" t="b">
        <f aca="false">FALSE()</f>
        <v>0</v>
      </c>
      <c r="AO103" s="290" t="n">
        <v>600</v>
      </c>
      <c r="AP103" s="290" t="n">
        <v>1</v>
      </c>
      <c r="AQ103" s="290" t="n">
        <v>9</v>
      </c>
      <c r="AR103" s="290" t="n">
        <v>25</v>
      </c>
      <c r="AS103" s="290" t="n">
        <v>90</v>
      </c>
      <c r="AT103" s="290" t="n">
        <v>1</v>
      </c>
      <c r="AU103" s="315" t="b">
        <f aca="false">FALSE()</f>
        <v>0</v>
      </c>
      <c r="AV103" s="315" t="b">
        <f aca="false">TRUE()</f>
        <v>1</v>
      </c>
      <c r="AW103" s="290" t="n">
        <v>5</v>
      </c>
      <c r="AX103" s="315" t="b">
        <f aca="false">FALSE()</f>
        <v>0</v>
      </c>
      <c r="AY103" s="315" t="b">
        <f aca="false">TRUE()</f>
        <v>1</v>
      </c>
      <c r="AZ103" s="290" t="n">
        <v>300</v>
      </c>
      <c r="BA103" s="290" t="n">
        <v>50</v>
      </c>
      <c r="BB103" s="290" t="n">
        <v>150</v>
      </c>
      <c r="BC103" s="290" t="n">
        <v>0</v>
      </c>
      <c r="BD103" s="290" t="n">
        <v>0</v>
      </c>
      <c r="BE103" s="290" t="n">
        <v>0</v>
      </c>
      <c r="BF103" s="290" t="n">
        <v>0</v>
      </c>
      <c r="BG103" s="290" t="n">
        <v>1</v>
      </c>
      <c r="BH103" s="290" t="n">
        <v>0</v>
      </c>
      <c r="BI103" s="290" t="n">
        <v>0</v>
      </c>
      <c r="BJ103" s="290" t="n">
        <v>4</v>
      </c>
      <c r="BK103" s="290" t="n">
        <v>3</v>
      </c>
      <c r="BL103" s="290" t="n">
        <v>0</v>
      </c>
      <c r="BM103" s="290" t="n">
        <v>0</v>
      </c>
      <c r="BN103" s="290" t="n">
        <v>0</v>
      </c>
      <c r="BO103" s="290" t="n">
        <v>0</v>
      </c>
      <c r="BP103" s="290" t="s">
        <v>802</v>
      </c>
      <c r="BQ103" s="290" t="s">
        <v>182</v>
      </c>
      <c r="BR103" s="290" t="s">
        <v>182</v>
      </c>
      <c r="BS103" s="290" t="s">
        <v>182</v>
      </c>
      <c r="BT103" s="290" t="n">
        <v>102</v>
      </c>
      <c r="BU103" s="316" t="b">
        <f aca="false">FALSE()</f>
        <v>0</v>
      </c>
      <c r="BV103" s="290"/>
      <c r="BW103" s="3"/>
      <c r="BX103" s="85" t="n">
        <v>47</v>
      </c>
      <c r="BY103" s="3" t="s">
        <v>1124</v>
      </c>
      <c r="BZ103" s="3" t="s">
        <v>775</v>
      </c>
      <c r="CA103" s="3"/>
      <c r="CB103" s="3"/>
      <c r="CC103" s="3"/>
      <c r="CD103" s="3"/>
      <c r="CE103" s="3"/>
      <c r="CF103" s="3"/>
      <c r="CG103" s="311" t="b">
        <f aca="false">IF(BZ103="Saddle",TRUE(),)</f>
        <v>1</v>
      </c>
      <c r="CH103" s="3" t="s">
        <v>914</v>
      </c>
      <c r="CI103" s="3"/>
      <c r="CJ103" s="3"/>
      <c r="CK103" s="3"/>
      <c r="CL103" s="3"/>
      <c r="CM103" s="3"/>
      <c r="CN103" s="3"/>
      <c r="CO103" s="3"/>
      <c r="CP103" s="3"/>
      <c r="CQ103" s="3"/>
      <c r="CR103" s="3"/>
      <c r="CS103" s="3"/>
      <c r="CT103" s="3"/>
      <c r="CU103" s="3" t="s">
        <v>750</v>
      </c>
      <c r="CV103" s="3" t="s">
        <v>779</v>
      </c>
      <c r="CW103" s="3" t="s">
        <v>780</v>
      </c>
      <c r="CX103" s="3" t="s">
        <v>781</v>
      </c>
      <c r="CY103" s="3" t="s">
        <v>1125</v>
      </c>
      <c r="CZ103" s="3" t="s">
        <v>1126</v>
      </c>
    </row>
    <row r="104" customFormat="false" ht="15.75" hidden="false" customHeight="false" outlineLevel="0" collapsed="false">
      <c r="A104" s="290" t="s">
        <v>147</v>
      </c>
      <c r="B104" s="290" t="s">
        <v>358</v>
      </c>
      <c r="C104" s="290" t="s">
        <v>182</v>
      </c>
      <c r="D104" s="290" t="s">
        <v>182</v>
      </c>
      <c r="E104" s="290" t="s">
        <v>182</v>
      </c>
      <c r="F104" s="315" t="b">
        <f aca="false">TRUE()</f>
        <v>1</v>
      </c>
      <c r="G104" s="290" t="s">
        <v>1127</v>
      </c>
      <c r="H104" s="290" t="s">
        <v>358</v>
      </c>
      <c r="I104" s="290" t="n">
        <v>77</v>
      </c>
      <c r="J104" s="3"/>
      <c r="K104" s="290" t="s">
        <v>741</v>
      </c>
      <c r="L104" s="290" t="n">
        <v>8</v>
      </c>
      <c r="M104" s="290" t="s">
        <v>783</v>
      </c>
      <c r="N104" s="290" t="s">
        <v>743</v>
      </c>
      <c r="O104" s="290" t="s">
        <v>744</v>
      </c>
      <c r="P104" s="290" t="s">
        <v>745</v>
      </c>
      <c r="Q104" s="290" t="s">
        <v>746</v>
      </c>
      <c r="R104" s="315" t="b">
        <f aca="false">FALSE()</f>
        <v>0</v>
      </c>
      <c r="S104" s="290" t="n">
        <v>90</v>
      </c>
      <c r="T104" s="290" t="n">
        <v>100</v>
      </c>
      <c r="U104" s="290" t="n">
        <v>115</v>
      </c>
      <c r="V104" s="290" t="n">
        <v>90</v>
      </c>
      <c r="W104" s="290" t="n">
        <v>100</v>
      </c>
      <c r="X104" s="290" t="n">
        <v>100</v>
      </c>
      <c r="Y104" s="290" t="n">
        <v>1</v>
      </c>
      <c r="Z104" s="290" t="n">
        <v>1</v>
      </c>
      <c r="AA104" s="290" t="n">
        <v>1</v>
      </c>
      <c r="AB104" s="290" t="n">
        <v>2200</v>
      </c>
      <c r="AC104" s="290" t="s">
        <v>747</v>
      </c>
      <c r="AD104" s="290" t="s">
        <v>182</v>
      </c>
      <c r="AE104" s="290" t="n">
        <v>50</v>
      </c>
      <c r="AF104" s="290" t="n">
        <v>195</v>
      </c>
      <c r="AG104" s="290" t="n">
        <v>500</v>
      </c>
      <c r="AH104" s="290" t="n">
        <v>700</v>
      </c>
      <c r="AI104" s="290" t="n">
        <v>275</v>
      </c>
      <c r="AJ104" s="315" t="b">
        <f aca="false">FALSE()</f>
        <v>0</v>
      </c>
      <c r="AK104" s="315" t="b">
        <f aca="false">FALSE()</f>
        <v>0</v>
      </c>
      <c r="AL104" s="290" t="s">
        <v>765</v>
      </c>
      <c r="AM104" s="315" t="b">
        <f aca="false">FALSE()</f>
        <v>0</v>
      </c>
      <c r="AN104" s="315" t="b">
        <f aca="false">FALSE()</f>
        <v>0</v>
      </c>
      <c r="AO104" s="290" t="n">
        <v>225</v>
      </c>
      <c r="AP104" s="290" t="n">
        <v>1</v>
      </c>
      <c r="AQ104" s="290" t="n">
        <v>3</v>
      </c>
      <c r="AR104" s="290" t="n">
        <v>25</v>
      </c>
      <c r="AS104" s="290" t="n">
        <v>90</v>
      </c>
      <c r="AT104" s="290" t="n">
        <v>1</v>
      </c>
      <c r="AU104" s="315" t="b">
        <f aca="false">FALSE()</f>
        <v>0</v>
      </c>
      <c r="AV104" s="315" t="b">
        <f aca="false">FALSE()</f>
        <v>0</v>
      </c>
      <c r="AW104" s="290" t="n">
        <v>5</v>
      </c>
      <c r="AX104" s="315" t="b">
        <f aca="false">FALSE()</f>
        <v>0</v>
      </c>
      <c r="AY104" s="315" t="b">
        <f aca="false">TRUE()</f>
        <v>1</v>
      </c>
      <c r="AZ104" s="290" t="n">
        <v>100</v>
      </c>
      <c r="BA104" s="290" t="n">
        <v>50</v>
      </c>
      <c r="BB104" s="290" t="n">
        <v>990</v>
      </c>
      <c r="BC104" s="290" t="n">
        <v>0</v>
      </c>
      <c r="BD104" s="290" t="n">
        <v>0</v>
      </c>
      <c r="BE104" s="290" t="n">
        <v>2</v>
      </c>
      <c r="BF104" s="290" t="n">
        <v>0</v>
      </c>
      <c r="BG104" s="290" t="n">
        <v>3</v>
      </c>
      <c r="BH104" s="290" t="n">
        <v>3</v>
      </c>
      <c r="BI104" s="290" t="n">
        <v>2</v>
      </c>
      <c r="BJ104" s="290" t="n">
        <v>0</v>
      </c>
      <c r="BK104" s="290" t="n">
        <v>0</v>
      </c>
      <c r="BL104" s="290" t="n">
        <v>0</v>
      </c>
      <c r="BM104" s="290" t="n">
        <v>0</v>
      </c>
      <c r="BN104" s="290" t="n">
        <v>2</v>
      </c>
      <c r="BO104" s="290" t="n">
        <v>0</v>
      </c>
      <c r="BP104" s="290" t="s">
        <v>182</v>
      </c>
      <c r="BQ104" s="290" t="s">
        <v>182</v>
      </c>
      <c r="BR104" s="290" t="s">
        <v>182</v>
      </c>
      <c r="BS104" s="290" t="s">
        <v>182</v>
      </c>
      <c r="BT104" s="290" t="n">
        <v>103</v>
      </c>
      <c r="BU104" s="316" t="b">
        <f aca="false">FALSE()</f>
        <v>0</v>
      </c>
      <c r="BV104" s="290"/>
      <c r="BW104" s="3"/>
      <c r="BX104" s="3"/>
      <c r="BY104" s="3"/>
      <c r="BZ104" s="3"/>
      <c r="CA104" s="3"/>
      <c r="CB104" s="3"/>
      <c r="CC104" s="3"/>
      <c r="CD104" s="3"/>
      <c r="CE104" s="3"/>
      <c r="CF104" s="3"/>
      <c r="CG104" s="3" t="n">
        <f aca="false">IF(BZ104="Saddle",TRUE(),)</f>
        <v>0</v>
      </c>
      <c r="CH104" s="3"/>
      <c r="CI104" s="3" t="s">
        <v>750</v>
      </c>
      <c r="CJ104" s="3" t="s">
        <v>1128</v>
      </c>
      <c r="CK104" s="3" t="s">
        <v>1128</v>
      </c>
      <c r="CL104" s="3" t="s">
        <v>1128</v>
      </c>
      <c r="CM104" s="3" t="s">
        <v>1128</v>
      </c>
      <c r="CN104" s="3" t="s">
        <v>1128</v>
      </c>
      <c r="CO104" s="3"/>
      <c r="CP104" s="3"/>
      <c r="CQ104" s="3"/>
      <c r="CR104" s="3"/>
      <c r="CS104" s="3"/>
      <c r="CT104" s="3"/>
      <c r="CU104" s="3"/>
      <c r="CV104" s="3" t="s">
        <v>1129</v>
      </c>
      <c r="CW104" s="3" t="s">
        <v>1130</v>
      </c>
      <c r="CX104" s="3" t="s">
        <v>1131</v>
      </c>
      <c r="CY104" s="3" t="s">
        <v>1132</v>
      </c>
      <c r="CZ104" s="3" t="s">
        <v>1133</v>
      </c>
    </row>
    <row r="105" customFormat="false" ht="15.75" hidden="false" customHeight="false" outlineLevel="0" collapsed="false">
      <c r="A105" s="290" t="s">
        <v>58</v>
      </c>
      <c r="B105" s="290" t="s">
        <v>334</v>
      </c>
      <c r="C105" s="290" t="s">
        <v>182</v>
      </c>
      <c r="D105" s="290" t="s">
        <v>182</v>
      </c>
      <c r="E105" s="290" t="s">
        <v>182</v>
      </c>
      <c r="F105" s="315" t="b">
        <f aca="false">TRUE()</f>
        <v>1</v>
      </c>
      <c r="G105" s="290" t="s">
        <v>429</v>
      </c>
      <c r="H105" s="290" t="s">
        <v>334</v>
      </c>
      <c r="I105" s="290" t="n">
        <v>57</v>
      </c>
      <c r="J105" s="3"/>
      <c r="K105" s="290" t="s">
        <v>773</v>
      </c>
      <c r="L105" s="290" t="n">
        <v>5</v>
      </c>
      <c r="M105" s="290" t="s">
        <v>771</v>
      </c>
      <c r="N105" s="290" t="s">
        <v>743</v>
      </c>
      <c r="O105" s="290" t="s">
        <v>763</v>
      </c>
      <c r="P105" s="290" t="s">
        <v>745</v>
      </c>
      <c r="Q105" s="290" t="s">
        <v>746</v>
      </c>
      <c r="R105" s="315" t="b">
        <f aca="false">FALSE()</f>
        <v>0</v>
      </c>
      <c r="S105" s="290" t="n">
        <v>90</v>
      </c>
      <c r="T105" s="290" t="n">
        <v>100</v>
      </c>
      <c r="U105" s="290" t="n">
        <v>95</v>
      </c>
      <c r="V105" s="290" t="n">
        <v>105</v>
      </c>
      <c r="W105" s="290" t="n">
        <v>100</v>
      </c>
      <c r="X105" s="290" t="n">
        <v>100</v>
      </c>
      <c r="Y105" s="290" t="n">
        <v>1</v>
      </c>
      <c r="Z105" s="290" t="n">
        <v>1</v>
      </c>
      <c r="AA105" s="290" t="n">
        <v>1</v>
      </c>
      <c r="AB105" s="290" t="n">
        <v>3730</v>
      </c>
      <c r="AC105" s="290" t="s">
        <v>747</v>
      </c>
      <c r="AD105" s="290" t="s">
        <v>182</v>
      </c>
      <c r="AE105" s="290" t="n">
        <v>65</v>
      </c>
      <c r="AF105" s="290" t="n">
        <v>130</v>
      </c>
      <c r="AG105" s="290" t="n">
        <v>600</v>
      </c>
      <c r="AH105" s="290" t="n">
        <v>750</v>
      </c>
      <c r="AI105" s="290" t="n">
        <v>315</v>
      </c>
      <c r="AJ105" s="315" t="b">
        <f aca="false">FALSE()</f>
        <v>0</v>
      </c>
      <c r="AK105" s="315" t="b">
        <f aca="false">FALSE()</f>
        <v>0</v>
      </c>
      <c r="AL105" s="290" t="s">
        <v>765</v>
      </c>
      <c r="AM105" s="315" t="b">
        <f aca="false">FALSE()</f>
        <v>0</v>
      </c>
      <c r="AN105" s="315" t="b">
        <f aca="false">FALSE()</f>
        <v>0</v>
      </c>
      <c r="AO105" s="290" t="n">
        <v>225</v>
      </c>
      <c r="AP105" s="290" t="n">
        <v>1</v>
      </c>
      <c r="AQ105" s="290" t="n">
        <v>3</v>
      </c>
      <c r="AR105" s="290" t="n">
        <v>25</v>
      </c>
      <c r="AS105" s="290" t="n">
        <v>90</v>
      </c>
      <c r="AT105" s="290" t="n">
        <v>1</v>
      </c>
      <c r="AU105" s="315" t="b">
        <f aca="false">FALSE()</f>
        <v>0</v>
      </c>
      <c r="AV105" s="315" t="b">
        <f aca="false">FALSE()</f>
        <v>0</v>
      </c>
      <c r="AW105" s="290" t="n">
        <v>3</v>
      </c>
      <c r="AX105" s="315" t="b">
        <f aca="false">FALSE()</f>
        <v>0</v>
      </c>
      <c r="AY105" s="315" t="b">
        <f aca="false">TRUE()</f>
        <v>1</v>
      </c>
      <c r="AZ105" s="290" t="n">
        <v>100</v>
      </c>
      <c r="BA105" s="290" t="n">
        <v>50</v>
      </c>
      <c r="BB105" s="290" t="n">
        <v>760</v>
      </c>
      <c r="BC105" s="290" t="n">
        <v>0</v>
      </c>
      <c r="BD105" s="290" t="n">
        <v>0</v>
      </c>
      <c r="BE105" s="290" t="n">
        <v>0</v>
      </c>
      <c r="BF105" s="290" t="n">
        <v>0</v>
      </c>
      <c r="BG105" s="290" t="n">
        <v>0</v>
      </c>
      <c r="BH105" s="290" t="n">
        <v>0</v>
      </c>
      <c r="BI105" s="290" t="n">
        <v>0</v>
      </c>
      <c r="BJ105" s="290" t="n">
        <v>0</v>
      </c>
      <c r="BK105" s="290" t="n">
        <v>0</v>
      </c>
      <c r="BL105" s="290" t="n">
        <v>0</v>
      </c>
      <c r="BM105" s="290" t="n">
        <v>2</v>
      </c>
      <c r="BN105" s="290" t="n">
        <v>0</v>
      </c>
      <c r="BO105" s="290" t="n">
        <v>0</v>
      </c>
      <c r="BP105" s="290" t="s">
        <v>182</v>
      </c>
      <c r="BQ105" s="290" t="s">
        <v>182</v>
      </c>
      <c r="BR105" s="290" t="s">
        <v>182</v>
      </c>
      <c r="BS105" s="290" t="s">
        <v>182</v>
      </c>
      <c r="BT105" s="290" t="n">
        <v>104</v>
      </c>
      <c r="BU105" s="316" t="b">
        <f aca="false">FALSE()</f>
        <v>0</v>
      </c>
      <c r="BV105" s="290"/>
      <c r="BW105" s="3"/>
      <c r="BX105" s="3"/>
      <c r="BY105" s="3"/>
      <c r="BZ105" s="3"/>
      <c r="CA105" s="3"/>
      <c r="CB105" s="3"/>
      <c r="CC105" s="3"/>
      <c r="CD105" s="3"/>
      <c r="CE105" s="3"/>
      <c r="CF105" s="3"/>
      <c r="CG105" s="3" t="n">
        <f aca="false">IF(BZ105="Saddle",TRUE(),)</f>
        <v>0</v>
      </c>
      <c r="CH105" s="3"/>
      <c r="CI105" s="3"/>
      <c r="CJ105" s="3"/>
      <c r="CK105" s="3"/>
      <c r="CL105" s="3"/>
      <c r="CM105" s="3"/>
      <c r="CN105" s="3"/>
      <c r="CO105" s="3"/>
      <c r="CP105" s="3"/>
      <c r="CQ105" s="3"/>
      <c r="CR105" s="3"/>
      <c r="CS105" s="3"/>
      <c r="CT105" s="3"/>
      <c r="CU105" s="3" t="s">
        <v>1134</v>
      </c>
      <c r="CV105" s="3" t="s">
        <v>850</v>
      </c>
      <c r="CW105" s="3" t="s">
        <v>851</v>
      </c>
      <c r="CX105" s="3" t="s">
        <v>852</v>
      </c>
      <c r="CY105" s="3" t="s">
        <v>853</v>
      </c>
      <c r="CZ105" s="3" t="s">
        <v>854</v>
      </c>
    </row>
    <row r="106" customFormat="false" ht="15.75" hidden="false" customHeight="false" outlineLevel="0" collapsed="false">
      <c r="A106" s="290" t="s">
        <v>79</v>
      </c>
      <c r="B106" s="290" t="s">
        <v>403</v>
      </c>
      <c r="C106" s="290" t="s">
        <v>182</v>
      </c>
      <c r="D106" s="290" t="s">
        <v>182</v>
      </c>
      <c r="E106" s="290" t="s">
        <v>182</v>
      </c>
      <c r="F106" s="315" t="b">
        <f aca="false">TRUE()</f>
        <v>1</v>
      </c>
      <c r="G106" s="290" t="s">
        <v>485</v>
      </c>
      <c r="H106" s="290" t="s">
        <v>403</v>
      </c>
      <c r="I106" s="290" t="n">
        <v>111</v>
      </c>
      <c r="J106" s="290" t="s">
        <v>761</v>
      </c>
      <c r="K106" s="290" t="s">
        <v>884</v>
      </c>
      <c r="L106" s="290" t="n">
        <v>20</v>
      </c>
      <c r="M106" s="290" t="s">
        <v>885</v>
      </c>
      <c r="N106" s="290" t="s">
        <v>743</v>
      </c>
      <c r="O106" s="290" t="s">
        <v>1070</v>
      </c>
      <c r="P106" s="290" t="s">
        <v>745</v>
      </c>
      <c r="Q106" s="290" t="s">
        <v>746</v>
      </c>
      <c r="R106" s="315" t="b">
        <f aca="false">FALSE()</f>
        <v>0</v>
      </c>
      <c r="S106" s="290" t="n">
        <v>110</v>
      </c>
      <c r="T106" s="290" t="n">
        <v>100</v>
      </c>
      <c r="U106" s="290" t="n">
        <v>140</v>
      </c>
      <c r="V106" s="290" t="n">
        <v>110</v>
      </c>
      <c r="W106" s="290" t="n">
        <v>100</v>
      </c>
      <c r="X106" s="290" t="n">
        <v>100</v>
      </c>
      <c r="Y106" s="290" t="n">
        <v>1</v>
      </c>
      <c r="Z106" s="290" t="n">
        <v>1</v>
      </c>
      <c r="AA106" s="290" t="n">
        <v>1</v>
      </c>
      <c r="AB106" s="290" t="n">
        <v>8680</v>
      </c>
      <c r="AC106" s="290" t="s">
        <v>747</v>
      </c>
      <c r="AD106" s="290" t="s">
        <v>182</v>
      </c>
      <c r="AE106" s="290" t="n">
        <v>600</v>
      </c>
      <c r="AF106" s="290" t="n">
        <v>800</v>
      </c>
      <c r="AG106" s="290" t="n">
        <v>1700</v>
      </c>
      <c r="AH106" s="290" t="n">
        <v>3300</v>
      </c>
      <c r="AI106" s="290" t="n">
        <v>1250</v>
      </c>
      <c r="AJ106" s="315" t="b">
        <f aca="false">FALSE()</f>
        <v>0</v>
      </c>
      <c r="AK106" s="315" t="b">
        <f aca="false">FALSE()</f>
        <v>0</v>
      </c>
      <c r="AL106" s="290" t="s">
        <v>1005</v>
      </c>
      <c r="AM106" s="315" t="b">
        <f aca="false">FALSE()</f>
        <v>0</v>
      </c>
      <c r="AN106" s="315" t="b">
        <f aca="false">FALSE()</f>
        <v>0</v>
      </c>
      <c r="AO106" s="290" t="n">
        <v>600</v>
      </c>
      <c r="AP106" s="290" t="n">
        <v>1</v>
      </c>
      <c r="AQ106" s="290" t="n">
        <v>9</v>
      </c>
      <c r="AR106" s="290" t="n">
        <v>25</v>
      </c>
      <c r="AS106" s="290" t="n">
        <v>90</v>
      </c>
      <c r="AT106" s="290" t="n">
        <v>1</v>
      </c>
      <c r="AU106" s="315" t="b">
        <f aca="false">FALSE()</f>
        <v>0</v>
      </c>
      <c r="AV106" s="315" t="b">
        <f aca="false">FALSE()</f>
        <v>0</v>
      </c>
      <c r="AW106" s="290" t="n">
        <v>5</v>
      </c>
      <c r="AX106" s="315" t="b">
        <f aca="false">FALSE()</f>
        <v>0</v>
      </c>
      <c r="AY106" s="315" t="b">
        <f aca="false">TRUE()</f>
        <v>1</v>
      </c>
      <c r="AZ106" s="290" t="n">
        <v>100</v>
      </c>
      <c r="BA106" s="290" t="n">
        <v>50</v>
      </c>
      <c r="BB106" s="290" t="n">
        <v>90</v>
      </c>
      <c r="BC106" s="290" t="n">
        <v>0</v>
      </c>
      <c r="BD106" s="290" t="n">
        <v>0</v>
      </c>
      <c r="BE106" s="290" t="n">
        <v>0</v>
      </c>
      <c r="BF106" s="290" t="n">
        <v>0</v>
      </c>
      <c r="BG106" s="290" t="n">
        <v>0</v>
      </c>
      <c r="BH106" s="290" t="n">
        <v>3</v>
      </c>
      <c r="BI106" s="290" t="n">
        <v>0</v>
      </c>
      <c r="BJ106" s="290" t="n">
        <v>0</v>
      </c>
      <c r="BK106" s="290" t="n">
        <v>3</v>
      </c>
      <c r="BL106" s="290" t="n">
        <v>0</v>
      </c>
      <c r="BM106" s="290" t="n">
        <v>0</v>
      </c>
      <c r="BN106" s="290" t="n">
        <v>0</v>
      </c>
      <c r="BO106" s="290" t="n">
        <v>0</v>
      </c>
      <c r="BP106" s="290" t="s">
        <v>1006</v>
      </c>
      <c r="BQ106" s="290" t="s">
        <v>1135</v>
      </c>
      <c r="BR106" s="290" t="s">
        <v>182</v>
      </c>
      <c r="BS106" s="290" t="s">
        <v>182</v>
      </c>
      <c r="BT106" s="290" t="n">
        <v>105</v>
      </c>
      <c r="BU106" s="316" t="b">
        <f aca="false">TRUE()</f>
        <v>1</v>
      </c>
      <c r="BV106" s="290"/>
      <c r="BW106" s="3"/>
      <c r="BX106" s="85" t="n">
        <v>50</v>
      </c>
      <c r="BY106" s="3" t="s">
        <v>1136</v>
      </c>
      <c r="BZ106" s="3" t="s">
        <v>775</v>
      </c>
      <c r="CA106" s="3" t="s">
        <v>1137</v>
      </c>
      <c r="CB106" s="85" t="n">
        <v>13</v>
      </c>
      <c r="CC106" s="85" t="n">
        <v>14.3</v>
      </c>
      <c r="CD106" s="85" t="n">
        <v>16.9</v>
      </c>
      <c r="CE106" s="85" t="n">
        <v>20.9</v>
      </c>
      <c r="CF106" s="85" t="n">
        <v>26</v>
      </c>
      <c r="CG106" s="311" t="b">
        <f aca="false">IF(BZ106="Saddle",TRUE(),)</f>
        <v>1</v>
      </c>
      <c r="CH106" s="3" t="s">
        <v>902</v>
      </c>
      <c r="CI106" s="3"/>
      <c r="CJ106" s="3"/>
      <c r="CK106" s="3"/>
      <c r="CL106" s="3"/>
      <c r="CM106" s="3"/>
      <c r="CN106" s="3"/>
      <c r="CO106" s="3"/>
      <c r="CP106" s="3"/>
      <c r="CQ106" s="3"/>
      <c r="CR106" s="3"/>
      <c r="CS106" s="3"/>
      <c r="CT106" s="3"/>
      <c r="CU106" s="3"/>
      <c r="CV106" s="3"/>
      <c r="CW106" s="3"/>
      <c r="CX106" s="3"/>
      <c r="CY106" s="3"/>
      <c r="CZ106" s="3"/>
    </row>
    <row r="107" customFormat="false" ht="15.75" hidden="false" customHeight="false" outlineLevel="0" collapsed="false">
      <c r="A107" s="290" t="s">
        <v>40</v>
      </c>
      <c r="B107" s="290" t="s">
        <v>287</v>
      </c>
      <c r="C107" s="290" t="s">
        <v>182</v>
      </c>
      <c r="D107" s="290" t="s">
        <v>182</v>
      </c>
      <c r="E107" s="290" t="s">
        <v>182</v>
      </c>
      <c r="F107" s="315" t="b">
        <f aca="false">TRUE()</f>
        <v>1</v>
      </c>
      <c r="G107" s="290" t="s">
        <v>1138</v>
      </c>
      <c r="H107" s="290" t="s">
        <v>287</v>
      </c>
      <c r="I107" s="290" t="n">
        <v>19</v>
      </c>
      <c r="J107" s="3"/>
      <c r="K107" s="290" t="s">
        <v>762</v>
      </c>
      <c r="L107" s="290" t="n">
        <v>1</v>
      </c>
      <c r="M107" s="290" t="s">
        <v>758</v>
      </c>
      <c r="N107" s="290" t="s">
        <v>743</v>
      </c>
      <c r="O107" s="290" t="s">
        <v>744</v>
      </c>
      <c r="P107" s="290" t="s">
        <v>745</v>
      </c>
      <c r="Q107" s="290" t="s">
        <v>746</v>
      </c>
      <c r="R107" s="315" t="b">
        <f aca="false">FALSE()</f>
        <v>0</v>
      </c>
      <c r="S107" s="290" t="n">
        <v>70</v>
      </c>
      <c r="T107" s="290" t="n">
        <v>100</v>
      </c>
      <c r="U107" s="290" t="n">
        <v>75</v>
      </c>
      <c r="V107" s="290" t="n">
        <v>60</v>
      </c>
      <c r="W107" s="290" t="n">
        <v>100</v>
      </c>
      <c r="X107" s="290" t="n">
        <v>100</v>
      </c>
      <c r="Y107" s="290" t="n">
        <v>1</v>
      </c>
      <c r="Z107" s="290" t="n">
        <v>1</v>
      </c>
      <c r="AA107" s="290" t="n">
        <v>1</v>
      </c>
      <c r="AB107" s="290" t="n">
        <v>1330</v>
      </c>
      <c r="AC107" s="290" t="s">
        <v>875</v>
      </c>
      <c r="AD107" s="290" t="s">
        <v>182</v>
      </c>
      <c r="AE107" s="290" t="n">
        <v>70</v>
      </c>
      <c r="AF107" s="290" t="n">
        <v>140</v>
      </c>
      <c r="AG107" s="290" t="n">
        <v>300</v>
      </c>
      <c r="AH107" s="290" t="n">
        <v>550</v>
      </c>
      <c r="AI107" s="290" t="n">
        <v>220</v>
      </c>
      <c r="AJ107" s="315" t="b">
        <f aca="false">FALSE()</f>
        <v>0</v>
      </c>
      <c r="AK107" s="315" t="b">
        <f aca="false">FALSE()</f>
        <v>0</v>
      </c>
      <c r="AL107" s="290" t="s">
        <v>765</v>
      </c>
      <c r="AM107" s="315" t="b">
        <f aca="false">FALSE()</f>
        <v>0</v>
      </c>
      <c r="AN107" s="315" t="b">
        <f aca="false">FALSE()</f>
        <v>0</v>
      </c>
      <c r="AO107" s="290" t="n">
        <v>225</v>
      </c>
      <c r="AP107" s="290" t="n">
        <v>1</v>
      </c>
      <c r="AQ107" s="290" t="n">
        <v>3</v>
      </c>
      <c r="AR107" s="290" t="n">
        <v>25</v>
      </c>
      <c r="AS107" s="290" t="n">
        <v>90</v>
      </c>
      <c r="AT107" s="290" t="n">
        <v>1</v>
      </c>
      <c r="AU107" s="315" t="b">
        <f aca="false">FALSE()</f>
        <v>0</v>
      </c>
      <c r="AV107" s="315" t="b">
        <f aca="false">TRUE()</f>
        <v>1</v>
      </c>
      <c r="AW107" s="290" t="n">
        <v>0</v>
      </c>
      <c r="AX107" s="315" t="b">
        <f aca="false">FALSE()</f>
        <v>0</v>
      </c>
      <c r="AY107" s="315" t="b">
        <f aca="false">TRUE()</f>
        <v>1</v>
      </c>
      <c r="AZ107" s="290" t="n">
        <v>100</v>
      </c>
      <c r="BA107" s="290" t="n">
        <v>50</v>
      </c>
      <c r="BB107" s="290" t="n">
        <v>1230</v>
      </c>
      <c r="BC107" s="290" t="n">
        <v>0</v>
      </c>
      <c r="BD107" s="290" t="n">
        <v>0</v>
      </c>
      <c r="BE107" s="290" t="n">
        <v>0</v>
      </c>
      <c r="BF107" s="290" t="n">
        <v>0</v>
      </c>
      <c r="BG107" s="290" t="n">
        <v>1</v>
      </c>
      <c r="BH107" s="290" t="n">
        <v>1</v>
      </c>
      <c r="BI107" s="290" t="n">
        <v>0</v>
      </c>
      <c r="BJ107" s="290" t="n">
        <v>0</v>
      </c>
      <c r="BK107" s="290" t="n">
        <v>0</v>
      </c>
      <c r="BL107" s="290" t="n">
        <v>0</v>
      </c>
      <c r="BM107" s="290" t="n">
        <v>0</v>
      </c>
      <c r="BN107" s="290" t="n">
        <v>1</v>
      </c>
      <c r="BO107" s="290" t="n">
        <v>0</v>
      </c>
      <c r="BP107" s="290" t="s">
        <v>182</v>
      </c>
      <c r="BQ107" s="290" t="s">
        <v>182</v>
      </c>
      <c r="BR107" s="290" t="s">
        <v>182</v>
      </c>
      <c r="BS107" s="290" t="s">
        <v>182</v>
      </c>
      <c r="BT107" s="290" t="n">
        <v>106</v>
      </c>
      <c r="BU107" s="316" t="b">
        <f aca="false">FALSE()</f>
        <v>0</v>
      </c>
      <c r="BV107" s="290"/>
      <c r="BW107" s="3"/>
      <c r="BX107" s="85" t="n">
        <v>8</v>
      </c>
      <c r="BY107" s="3" t="s">
        <v>1139</v>
      </c>
      <c r="BZ107" s="3" t="s">
        <v>865</v>
      </c>
      <c r="CA107" s="3" t="s">
        <v>1140</v>
      </c>
      <c r="CB107" s="85" t="n">
        <v>1</v>
      </c>
      <c r="CC107" s="85" t="n">
        <v>1.1</v>
      </c>
      <c r="CD107" s="85" t="n">
        <v>1.3</v>
      </c>
      <c r="CE107" s="85" t="n">
        <v>1.6</v>
      </c>
      <c r="CF107" s="85" t="n">
        <v>2</v>
      </c>
      <c r="CG107" s="3" t="n">
        <f aca="false">IF(BZ107="Saddle",TRUE(),)</f>
        <v>0</v>
      </c>
      <c r="CH107" s="3"/>
      <c r="CI107" s="3"/>
      <c r="CJ107" s="3"/>
      <c r="CK107" s="3"/>
      <c r="CL107" s="3"/>
      <c r="CM107" s="3"/>
      <c r="CN107" s="3"/>
      <c r="CO107" s="3"/>
      <c r="CP107" s="3"/>
      <c r="CQ107" s="3"/>
      <c r="CR107" s="3"/>
      <c r="CS107" s="3"/>
      <c r="CT107" s="3"/>
      <c r="CU107" s="3"/>
      <c r="CV107" s="3"/>
      <c r="CW107" s="3"/>
      <c r="CX107" s="3"/>
      <c r="CY107" s="3"/>
      <c r="CZ107" s="3"/>
    </row>
    <row r="108" customFormat="false" ht="15.75" hidden="false" customHeight="false" outlineLevel="0" collapsed="false">
      <c r="A108" s="290" t="s">
        <v>139</v>
      </c>
      <c r="B108" s="290" t="s">
        <v>272</v>
      </c>
      <c r="C108" s="290" t="s">
        <v>182</v>
      </c>
      <c r="D108" s="290" t="s">
        <v>182</v>
      </c>
      <c r="E108" s="290" t="s">
        <v>182</v>
      </c>
      <c r="F108" s="315" t="b">
        <f aca="false">TRUE()</f>
        <v>1</v>
      </c>
      <c r="G108" s="290" t="s">
        <v>1141</v>
      </c>
      <c r="H108" s="290" t="s">
        <v>272</v>
      </c>
      <c r="I108" s="290" t="n">
        <v>8</v>
      </c>
      <c r="J108" s="3"/>
      <c r="K108" s="290" t="s">
        <v>762</v>
      </c>
      <c r="L108" s="290" t="n">
        <v>1</v>
      </c>
      <c r="M108" s="290" t="s">
        <v>783</v>
      </c>
      <c r="N108" s="290" t="s">
        <v>743</v>
      </c>
      <c r="O108" s="290" t="s">
        <v>744</v>
      </c>
      <c r="P108" s="290" t="s">
        <v>745</v>
      </c>
      <c r="Q108" s="290" t="s">
        <v>746</v>
      </c>
      <c r="R108" s="315" t="b">
        <f aca="false">FALSE()</f>
        <v>0</v>
      </c>
      <c r="S108" s="290" t="n">
        <v>80</v>
      </c>
      <c r="T108" s="290" t="n">
        <v>100</v>
      </c>
      <c r="U108" s="290" t="n">
        <v>70</v>
      </c>
      <c r="V108" s="290" t="n">
        <v>70</v>
      </c>
      <c r="W108" s="290" t="n">
        <v>100</v>
      </c>
      <c r="X108" s="290" t="n">
        <v>100</v>
      </c>
      <c r="Y108" s="290" t="n">
        <v>1.2</v>
      </c>
      <c r="Z108" s="290" t="n">
        <v>1.1</v>
      </c>
      <c r="AA108" s="290" t="n">
        <v>1</v>
      </c>
      <c r="AB108" s="290" t="n">
        <v>1280</v>
      </c>
      <c r="AC108" s="290" t="s">
        <v>764</v>
      </c>
      <c r="AD108" s="290" t="s">
        <v>182</v>
      </c>
      <c r="AE108" s="290" t="n">
        <v>48</v>
      </c>
      <c r="AF108" s="290" t="n">
        <v>48</v>
      </c>
      <c r="AG108" s="290" t="n">
        <v>300</v>
      </c>
      <c r="AH108" s="290" t="n">
        <v>400</v>
      </c>
      <c r="AI108" s="290" t="n">
        <v>174</v>
      </c>
      <c r="AJ108" s="315" t="b">
        <f aca="false">FALSE()</f>
        <v>0</v>
      </c>
      <c r="AK108" s="315" t="b">
        <f aca="false">FALSE()</f>
        <v>0</v>
      </c>
      <c r="AL108" s="290" t="s">
        <v>765</v>
      </c>
      <c r="AM108" s="315" t="b">
        <f aca="false">FALSE()</f>
        <v>0</v>
      </c>
      <c r="AN108" s="315" t="b">
        <f aca="false">FALSE()</f>
        <v>0</v>
      </c>
      <c r="AO108" s="290" t="n">
        <v>150</v>
      </c>
      <c r="AP108" s="290" t="n">
        <v>1</v>
      </c>
      <c r="AQ108" s="290" t="n">
        <v>2</v>
      </c>
      <c r="AR108" s="290" t="n">
        <v>25</v>
      </c>
      <c r="AS108" s="290" t="n">
        <v>90</v>
      </c>
      <c r="AT108" s="290" t="n">
        <v>1</v>
      </c>
      <c r="AU108" s="315" t="b">
        <f aca="false">TRUE()</f>
        <v>1</v>
      </c>
      <c r="AV108" s="315" t="b">
        <f aca="false">FALSE()</f>
        <v>0</v>
      </c>
      <c r="AW108" s="290" t="n">
        <v>0</v>
      </c>
      <c r="AX108" s="315" t="b">
        <f aca="false">FALSE()</f>
        <v>0</v>
      </c>
      <c r="AY108" s="315" t="b">
        <f aca="false">TRUE()</f>
        <v>1</v>
      </c>
      <c r="AZ108" s="290" t="n">
        <v>100</v>
      </c>
      <c r="BA108" s="290" t="n">
        <v>50</v>
      </c>
      <c r="BB108" s="290" t="n">
        <v>1250</v>
      </c>
      <c r="BC108" s="290" t="n">
        <v>0</v>
      </c>
      <c r="BD108" s="290" t="n">
        <v>0</v>
      </c>
      <c r="BE108" s="290" t="n">
        <v>1</v>
      </c>
      <c r="BF108" s="290" t="n">
        <v>0</v>
      </c>
      <c r="BG108" s="290" t="n">
        <v>1</v>
      </c>
      <c r="BH108" s="290" t="n">
        <v>1</v>
      </c>
      <c r="BI108" s="290" t="n">
        <v>1</v>
      </c>
      <c r="BJ108" s="290" t="n">
        <v>0</v>
      </c>
      <c r="BK108" s="290" t="n">
        <v>0</v>
      </c>
      <c r="BL108" s="290" t="n">
        <v>0</v>
      </c>
      <c r="BM108" s="290" t="n">
        <v>0</v>
      </c>
      <c r="BN108" s="290" t="n">
        <v>1</v>
      </c>
      <c r="BO108" s="290" t="n">
        <v>0</v>
      </c>
      <c r="BP108" s="290" t="s">
        <v>182</v>
      </c>
      <c r="BQ108" s="290" t="s">
        <v>182</v>
      </c>
      <c r="BR108" s="290" t="s">
        <v>182</v>
      </c>
      <c r="BS108" s="290" t="s">
        <v>182</v>
      </c>
      <c r="BT108" s="290" t="n">
        <v>107</v>
      </c>
      <c r="BU108" s="316" t="b">
        <f aca="false">FALSE()</f>
        <v>0</v>
      </c>
      <c r="BV108" s="290"/>
      <c r="BW108" s="3"/>
      <c r="BX108" s="85" t="n">
        <v>12</v>
      </c>
      <c r="BY108" s="3" t="s">
        <v>1142</v>
      </c>
      <c r="BZ108" s="3" t="s">
        <v>1143</v>
      </c>
      <c r="CA108" s="3" t="s">
        <v>1143</v>
      </c>
      <c r="CB108" s="85" t="n">
        <v>20</v>
      </c>
      <c r="CC108" s="85" t="n">
        <v>22</v>
      </c>
      <c r="CD108" s="85" t="n">
        <v>26</v>
      </c>
      <c r="CE108" s="85" t="n">
        <v>32</v>
      </c>
      <c r="CF108" s="85" t="n">
        <v>40</v>
      </c>
      <c r="CG108" s="3" t="n">
        <f aca="false">IF(BZ108="Saddle",TRUE(),)</f>
        <v>0</v>
      </c>
      <c r="CH108" s="3"/>
      <c r="CI108" s="3"/>
      <c r="CJ108" s="3"/>
      <c r="CK108" s="3"/>
      <c r="CL108" s="3"/>
      <c r="CM108" s="3"/>
      <c r="CN108" s="3"/>
      <c r="CO108" s="3"/>
      <c r="CP108" s="3"/>
      <c r="CQ108" s="3"/>
      <c r="CR108" s="3"/>
      <c r="CS108" s="3"/>
      <c r="CT108" s="3"/>
      <c r="CU108" s="3"/>
      <c r="CV108" s="3"/>
      <c r="CW108" s="3"/>
      <c r="CX108" s="3"/>
      <c r="CY108" s="3"/>
      <c r="CZ108" s="3"/>
    </row>
    <row r="109" customFormat="false" ht="15.75" hidden="false" customHeight="false" outlineLevel="0" collapsed="false">
      <c r="A109" s="290" t="s">
        <v>25</v>
      </c>
      <c r="B109" s="290" t="s">
        <v>367</v>
      </c>
      <c r="C109" s="290" t="s">
        <v>182</v>
      </c>
      <c r="D109" s="290" t="s">
        <v>182</v>
      </c>
      <c r="E109" s="290" t="s">
        <v>182</v>
      </c>
      <c r="F109" s="315" t="b">
        <f aca="false">TRUE()</f>
        <v>1</v>
      </c>
      <c r="G109" s="290" t="s">
        <v>463</v>
      </c>
      <c r="H109" s="290" t="s">
        <v>367</v>
      </c>
      <c r="I109" s="290" t="n">
        <v>84</v>
      </c>
      <c r="J109" s="3"/>
      <c r="K109" s="290" t="s">
        <v>793</v>
      </c>
      <c r="L109" s="290" t="n">
        <v>7</v>
      </c>
      <c r="M109" s="290" t="s">
        <v>757</v>
      </c>
      <c r="N109" s="290" t="s">
        <v>743</v>
      </c>
      <c r="O109" s="290" t="s">
        <v>763</v>
      </c>
      <c r="P109" s="290" t="s">
        <v>745</v>
      </c>
      <c r="Q109" s="290" t="s">
        <v>746</v>
      </c>
      <c r="R109" s="315" t="b">
        <f aca="false">FALSE()</f>
        <v>0</v>
      </c>
      <c r="S109" s="290" t="n">
        <v>105</v>
      </c>
      <c r="T109" s="290" t="n">
        <v>100</v>
      </c>
      <c r="U109" s="290" t="n">
        <v>110</v>
      </c>
      <c r="V109" s="290" t="n">
        <v>80</v>
      </c>
      <c r="W109" s="290" t="n">
        <v>100</v>
      </c>
      <c r="X109" s="290" t="n">
        <v>100</v>
      </c>
      <c r="Y109" s="290" t="n">
        <v>1</v>
      </c>
      <c r="Z109" s="290" t="n">
        <v>1</v>
      </c>
      <c r="AA109" s="290" t="n">
        <v>1</v>
      </c>
      <c r="AB109" s="290" t="n">
        <v>4040</v>
      </c>
      <c r="AC109" s="290" t="s">
        <v>747</v>
      </c>
      <c r="AD109" s="290" t="s">
        <v>182</v>
      </c>
      <c r="AE109" s="290" t="n">
        <v>90</v>
      </c>
      <c r="AF109" s="290" t="n">
        <v>180</v>
      </c>
      <c r="AG109" s="290" t="n">
        <v>750</v>
      </c>
      <c r="AH109" s="290" t="n">
        <v>900</v>
      </c>
      <c r="AI109" s="290" t="n">
        <v>465</v>
      </c>
      <c r="AJ109" s="315" t="b">
        <f aca="false">FALSE()</f>
        <v>0</v>
      </c>
      <c r="AK109" s="315" t="b">
        <f aca="false">FALSE()</f>
        <v>0</v>
      </c>
      <c r="AL109" s="290" t="s">
        <v>759</v>
      </c>
      <c r="AM109" s="315" t="b">
        <f aca="false">FALSE()</f>
        <v>0</v>
      </c>
      <c r="AN109" s="315" t="b">
        <f aca="false">FALSE()</f>
        <v>0</v>
      </c>
      <c r="AO109" s="290" t="n">
        <v>475</v>
      </c>
      <c r="AP109" s="290" t="n">
        <v>1</v>
      </c>
      <c r="AQ109" s="290" t="n">
        <v>7</v>
      </c>
      <c r="AR109" s="290" t="n">
        <v>25</v>
      </c>
      <c r="AS109" s="290" t="n">
        <v>90</v>
      </c>
      <c r="AT109" s="290" t="n">
        <v>1</v>
      </c>
      <c r="AU109" s="315" t="b">
        <f aca="false">FALSE()</f>
        <v>0</v>
      </c>
      <c r="AV109" s="315" t="b">
        <f aca="false">FALSE()</f>
        <v>0</v>
      </c>
      <c r="AW109" s="290" t="n">
        <v>5</v>
      </c>
      <c r="AX109" s="315" t="b">
        <f aca="false">TRUE()</f>
        <v>1</v>
      </c>
      <c r="AY109" s="315" t="b">
        <f aca="false">TRUE()</f>
        <v>1</v>
      </c>
      <c r="AZ109" s="290" t="n">
        <v>100</v>
      </c>
      <c r="BA109" s="290" t="n">
        <v>50</v>
      </c>
      <c r="BB109" s="290" t="n">
        <v>710</v>
      </c>
      <c r="BC109" s="290" t="n">
        <v>3</v>
      </c>
      <c r="BD109" s="290" t="n">
        <v>0</v>
      </c>
      <c r="BE109" s="290" t="n">
        <v>0</v>
      </c>
      <c r="BF109" s="290" t="n">
        <v>0</v>
      </c>
      <c r="BG109" s="290" t="n">
        <v>0</v>
      </c>
      <c r="BH109" s="290" t="n">
        <v>0</v>
      </c>
      <c r="BI109" s="290" t="n">
        <v>2</v>
      </c>
      <c r="BJ109" s="290" t="n">
        <v>0</v>
      </c>
      <c r="BK109" s="290" t="n">
        <v>0</v>
      </c>
      <c r="BL109" s="290" t="n">
        <v>0</v>
      </c>
      <c r="BM109" s="290" t="n">
        <v>0</v>
      </c>
      <c r="BN109" s="290" t="n">
        <v>0</v>
      </c>
      <c r="BO109" s="290" t="n">
        <v>0</v>
      </c>
      <c r="BP109" s="290" t="s">
        <v>182</v>
      </c>
      <c r="BQ109" s="290" t="s">
        <v>182</v>
      </c>
      <c r="BR109" s="290" t="s">
        <v>182</v>
      </c>
      <c r="BS109" s="290" t="s">
        <v>182</v>
      </c>
      <c r="BT109" s="290" t="n">
        <v>108</v>
      </c>
      <c r="BU109" s="316" t="b">
        <f aca="false">FALSE()</f>
        <v>0</v>
      </c>
      <c r="BV109" s="290"/>
      <c r="BW109" s="3"/>
      <c r="BX109" s="85" t="n">
        <v>32</v>
      </c>
      <c r="BY109" s="3" t="s">
        <v>1144</v>
      </c>
      <c r="BZ109" s="3" t="s">
        <v>775</v>
      </c>
      <c r="CA109" s="3"/>
      <c r="CB109" s="3"/>
      <c r="CC109" s="3"/>
      <c r="CD109" s="3"/>
      <c r="CE109" s="3"/>
      <c r="CF109" s="3"/>
      <c r="CG109" s="311" t="b">
        <f aca="false">IF(BZ109="Saddle",TRUE(),)</f>
        <v>1</v>
      </c>
      <c r="CH109" s="3" t="s">
        <v>776</v>
      </c>
      <c r="CI109" s="3"/>
      <c r="CJ109" s="3"/>
      <c r="CK109" s="3"/>
      <c r="CL109" s="3"/>
      <c r="CM109" s="3"/>
      <c r="CN109" s="3"/>
      <c r="CO109" s="3"/>
      <c r="CP109" s="3"/>
      <c r="CQ109" s="3"/>
      <c r="CR109" s="3"/>
      <c r="CS109" s="3"/>
      <c r="CT109" s="3"/>
      <c r="CU109" s="3"/>
      <c r="CV109" s="3" t="s">
        <v>1145</v>
      </c>
      <c r="CW109" s="3" t="s">
        <v>1146</v>
      </c>
      <c r="CX109" s="3" t="s">
        <v>1147</v>
      </c>
      <c r="CY109" s="3" t="s">
        <v>1148</v>
      </c>
      <c r="CZ109" s="3" t="s">
        <v>1149</v>
      </c>
    </row>
    <row r="110" customFormat="false" ht="15.75" hidden="false" customHeight="false" outlineLevel="0" collapsed="false">
      <c r="A110" s="290" t="s">
        <v>27</v>
      </c>
      <c r="B110" s="290" t="s">
        <v>368</v>
      </c>
      <c r="C110" s="290" t="s">
        <v>182</v>
      </c>
      <c r="D110" s="290" t="s">
        <v>182</v>
      </c>
      <c r="E110" s="290" t="s">
        <v>182</v>
      </c>
      <c r="F110" s="315" t="b">
        <f aca="false">TRUE()</f>
        <v>1</v>
      </c>
      <c r="G110" s="290" t="s">
        <v>540</v>
      </c>
      <c r="H110" s="290" t="s">
        <v>368</v>
      </c>
      <c r="I110" s="290" t="n">
        <v>84</v>
      </c>
      <c r="J110" s="290" t="s">
        <v>761</v>
      </c>
      <c r="K110" s="290" t="s">
        <v>793</v>
      </c>
      <c r="L110" s="290" t="n">
        <v>8</v>
      </c>
      <c r="M110" s="290" t="s">
        <v>757</v>
      </c>
      <c r="N110" s="290" t="s">
        <v>758</v>
      </c>
      <c r="O110" s="290" t="s">
        <v>763</v>
      </c>
      <c r="P110" s="290" t="s">
        <v>745</v>
      </c>
      <c r="Q110" s="290" t="s">
        <v>746</v>
      </c>
      <c r="R110" s="315" t="b">
        <f aca="false">FALSE()</f>
        <v>0</v>
      </c>
      <c r="S110" s="290" t="n">
        <v>105</v>
      </c>
      <c r="T110" s="290" t="n">
        <v>100</v>
      </c>
      <c r="U110" s="290" t="n">
        <v>115</v>
      </c>
      <c r="V110" s="290" t="n">
        <v>80</v>
      </c>
      <c r="W110" s="290" t="n">
        <v>100</v>
      </c>
      <c r="X110" s="290" t="n">
        <v>100</v>
      </c>
      <c r="Y110" s="290" t="n">
        <v>1</v>
      </c>
      <c r="Z110" s="290" t="n">
        <v>1</v>
      </c>
      <c r="AA110" s="290" t="n">
        <v>1</v>
      </c>
      <c r="AB110" s="290" t="n">
        <v>4360</v>
      </c>
      <c r="AC110" s="290" t="s">
        <v>747</v>
      </c>
      <c r="AD110" s="290" t="s">
        <v>182</v>
      </c>
      <c r="AE110" s="290" t="n">
        <v>60</v>
      </c>
      <c r="AF110" s="290" t="n">
        <v>90</v>
      </c>
      <c r="AG110" s="290" t="n">
        <v>750</v>
      </c>
      <c r="AH110" s="290" t="n">
        <v>900</v>
      </c>
      <c r="AI110" s="290" t="n">
        <v>420</v>
      </c>
      <c r="AJ110" s="315" t="b">
        <f aca="false">FALSE()</f>
        <v>0</v>
      </c>
      <c r="AK110" s="315" t="b">
        <f aca="false">FALSE()</f>
        <v>0</v>
      </c>
      <c r="AL110" s="290" t="s">
        <v>759</v>
      </c>
      <c r="AM110" s="315" t="b">
        <f aca="false">FALSE()</f>
        <v>0</v>
      </c>
      <c r="AN110" s="315" t="b">
        <f aca="false">FALSE()</f>
        <v>0</v>
      </c>
      <c r="AO110" s="290" t="n">
        <v>475</v>
      </c>
      <c r="AP110" s="290" t="n">
        <v>1</v>
      </c>
      <c r="AQ110" s="290" t="n">
        <v>7</v>
      </c>
      <c r="AR110" s="290" t="n">
        <v>25</v>
      </c>
      <c r="AS110" s="290" t="n">
        <v>90</v>
      </c>
      <c r="AT110" s="290" t="n">
        <v>1</v>
      </c>
      <c r="AU110" s="315" t="b">
        <f aca="false">FALSE()</f>
        <v>0</v>
      </c>
      <c r="AV110" s="315" t="b">
        <f aca="false">TRUE()</f>
        <v>1</v>
      </c>
      <c r="AW110" s="290" t="n">
        <v>5</v>
      </c>
      <c r="AX110" s="315" t="b">
        <f aca="false">TRUE()</f>
        <v>1</v>
      </c>
      <c r="AY110" s="315" t="b">
        <f aca="false">TRUE()</f>
        <v>1</v>
      </c>
      <c r="AZ110" s="290" t="n">
        <v>100</v>
      </c>
      <c r="BA110" s="290" t="n">
        <v>50</v>
      </c>
      <c r="BB110" s="290" t="n">
        <v>670</v>
      </c>
      <c r="BC110" s="290" t="n">
        <v>3</v>
      </c>
      <c r="BD110" s="290" t="n">
        <v>0</v>
      </c>
      <c r="BE110" s="290" t="n">
        <v>0</v>
      </c>
      <c r="BF110" s="290" t="n">
        <v>0</v>
      </c>
      <c r="BG110" s="290" t="n">
        <v>0</v>
      </c>
      <c r="BH110" s="290" t="n">
        <v>0</v>
      </c>
      <c r="BI110" s="290" t="n">
        <v>2</v>
      </c>
      <c r="BJ110" s="290" t="n">
        <v>0</v>
      </c>
      <c r="BK110" s="290" t="n">
        <v>0</v>
      </c>
      <c r="BL110" s="290" t="n">
        <v>0</v>
      </c>
      <c r="BM110" s="290" t="n">
        <v>0</v>
      </c>
      <c r="BN110" s="290" t="n">
        <v>0</v>
      </c>
      <c r="BO110" s="290" t="n">
        <v>0</v>
      </c>
      <c r="BP110" s="290" t="s">
        <v>182</v>
      </c>
      <c r="BQ110" s="290" t="s">
        <v>182</v>
      </c>
      <c r="BR110" s="290" t="s">
        <v>182</v>
      </c>
      <c r="BS110" s="290" t="s">
        <v>182</v>
      </c>
      <c r="BT110" s="290" t="n">
        <v>109</v>
      </c>
      <c r="BU110" s="316" t="b">
        <f aca="false">TRUE()</f>
        <v>1</v>
      </c>
      <c r="BV110" s="290"/>
      <c r="BW110" s="290" t="s">
        <v>761</v>
      </c>
      <c r="BX110" s="85" t="n">
        <v>35</v>
      </c>
      <c r="BY110" s="3" t="s">
        <v>1150</v>
      </c>
      <c r="BZ110" s="3" t="s">
        <v>775</v>
      </c>
      <c r="CA110" s="3"/>
      <c r="CB110" s="3"/>
      <c r="CC110" s="3"/>
      <c r="CD110" s="3"/>
      <c r="CE110" s="3"/>
      <c r="CF110" s="3"/>
      <c r="CG110" s="311" t="b">
        <f aca="false">IF(BZ110="Saddle",TRUE(),)</f>
        <v>1</v>
      </c>
      <c r="CH110" s="3" t="s">
        <v>776</v>
      </c>
      <c r="CI110" s="3"/>
      <c r="CJ110" s="3"/>
      <c r="CK110" s="3"/>
      <c r="CL110" s="3"/>
      <c r="CM110" s="3"/>
      <c r="CN110" s="3"/>
      <c r="CO110" s="3"/>
      <c r="CP110" s="3"/>
      <c r="CQ110" s="3"/>
      <c r="CR110" s="3"/>
      <c r="CS110" s="3"/>
      <c r="CT110" s="3"/>
      <c r="CU110" s="3"/>
      <c r="CV110" s="3" t="s">
        <v>1151</v>
      </c>
      <c r="CW110" s="3" t="s">
        <v>1152</v>
      </c>
      <c r="CX110" s="3" t="s">
        <v>1153</v>
      </c>
      <c r="CY110" s="3" t="s">
        <v>1154</v>
      </c>
      <c r="CZ110" s="3" t="s">
        <v>1155</v>
      </c>
    </row>
    <row r="111" customFormat="false" ht="15.75" hidden="false" customHeight="false" outlineLevel="0" collapsed="false">
      <c r="A111" s="290" t="s">
        <v>88</v>
      </c>
      <c r="B111" s="290" t="s">
        <v>376</v>
      </c>
      <c r="C111" s="290" t="s">
        <v>182</v>
      </c>
      <c r="D111" s="290" t="s">
        <v>182</v>
      </c>
      <c r="E111" s="290" t="s">
        <v>182</v>
      </c>
      <c r="F111" s="315" t="b">
        <f aca="false">TRUE()</f>
        <v>1</v>
      </c>
      <c r="G111" s="290" t="s">
        <v>454</v>
      </c>
      <c r="H111" s="290" t="s">
        <v>376</v>
      </c>
      <c r="I111" s="290" t="n">
        <v>89</v>
      </c>
      <c r="J111" s="3"/>
      <c r="K111" s="290" t="s">
        <v>884</v>
      </c>
      <c r="L111" s="290" t="n">
        <v>8</v>
      </c>
      <c r="M111" s="290" t="s">
        <v>789</v>
      </c>
      <c r="N111" s="290" t="s">
        <v>743</v>
      </c>
      <c r="O111" s="290" t="s">
        <v>763</v>
      </c>
      <c r="P111" s="290" t="s">
        <v>745</v>
      </c>
      <c r="Q111" s="290" t="s">
        <v>746</v>
      </c>
      <c r="R111" s="315" t="b">
        <f aca="false">FALSE()</f>
        <v>0</v>
      </c>
      <c r="S111" s="290" t="n">
        <v>120</v>
      </c>
      <c r="T111" s="290" t="n">
        <v>100</v>
      </c>
      <c r="U111" s="290" t="n">
        <v>85</v>
      </c>
      <c r="V111" s="290" t="n">
        <v>90</v>
      </c>
      <c r="W111" s="290" t="n">
        <v>100</v>
      </c>
      <c r="X111" s="290" t="n">
        <v>100</v>
      </c>
      <c r="Y111" s="290" t="n">
        <v>1</v>
      </c>
      <c r="Z111" s="290" t="n">
        <v>1</v>
      </c>
      <c r="AA111" s="290" t="n">
        <v>1</v>
      </c>
      <c r="AB111" s="290" t="n">
        <v>5800</v>
      </c>
      <c r="AC111" s="290" t="s">
        <v>764</v>
      </c>
      <c r="AD111" s="290" t="s">
        <v>182</v>
      </c>
      <c r="AE111" s="290" t="n">
        <v>80</v>
      </c>
      <c r="AF111" s="290" t="n">
        <v>80</v>
      </c>
      <c r="AG111" s="290" t="n">
        <v>500</v>
      </c>
      <c r="AH111" s="290" t="n">
        <v>700</v>
      </c>
      <c r="AI111" s="290" t="n">
        <v>290</v>
      </c>
      <c r="AJ111" s="315" t="b">
        <f aca="false">FALSE()</f>
        <v>0</v>
      </c>
      <c r="AK111" s="315" t="b">
        <f aca="false">FALSE()</f>
        <v>0</v>
      </c>
      <c r="AL111" s="290" t="s">
        <v>748</v>
      </c>
      <c r="AM111" s="315" t="b">
        <f aca="false">FALSE()</f>
        <v>0</v>
      </c>
      <c r="AN111" s="315" t="b">
        <f aca="false">FALSE()</f>
        <v>0</v>
      </c>
      <c r="AO111" s="290" t="n">
        <v>475</v>
      </c>
      <c r="AP111" s="290" t="n">
        <v>1</v>
      </c>
      <c r="AQ111" s="290" t="n">
        <v>7</v>
      </c>
      <c r="AR111" s="290" t="n">
        <v>25</v>
      </c>
      <c r="AS111" s="290" t="n">
        <v>90</v>
      </c>
      <c r="AT111" s="290" t="n">
        <v>1</v>
      </c>
      <c r="AU111" s="315" t="b">
        <f aca="false">FALSE()</f>
        <v>0</v>
      </c>
      <c r="AV111" s="315" t="b">
        <f aca="false">FALSE()</f>
        <v>0</v>
      </c>
      <c r="AW111" s="290" t="n">
        <v>5</v>
      </c>
      <c r="AX111" s="315" t="b">
        <f aca="false">FALSE()</f>
        <v>0</v>
      </c>
      <c r="AY111" s="315" t="b">
        <f aca="false">TRUE()</f>
        <v>1</v>
      </c>
      <c r="AZ111" s="290" t="n">
        <v>100</v>
      </c>
      <c r="BA111" s="290" t="n">
        <v>90</v>
      </c>
      <c r="BB111" s="290" t="n">
        <v>470</v>
      </c>
      <c r="BC111" s="290" t="n">
        <v>0</v>
      </c>
      <c r="BD111" s="290" t="n">
        <v>0</v>
      </c>
      <c r="BE111" s="290" t="n">
        <v>0</v>
      </c>
      <c r="BF111" s="290" t="n">
        <v>0</v>
      </c>
      <c r="BG111" s="290" t="n">
        <v>0</v>
      </c>
      <c r="BH111" s="290" t="n">
        <v>1</v>
      </c>
      <c r="BI111" s="290" t="n">
        <v>0</v>
      </c>
      <c r="BJ111" s="290" t="n">
        <v>0</v>
      </c>
      <c r="BK111" s="290" t="n">
        <v>0</v>
      </c>
      <c r="BL111" s="290" t="n">
        <v>0</v>
      </c>
      <c r="BM111" s="290" t="n">
        <v>0</v>
      </c>
      <c r="BN111" s="290" t="n">
        <v>0</v>
      </c>
      <c r="BO111" s="290" t="n">
        <v>0</v>
      </c>
      <c r="BP111" s="290" t="s">
        <v>182</v>
      </c>
      <c r="BQ111" s="290" t="s">
        <v>182</v>
      </c>
      <c r="BR111" s="290" t="s">
        <v>182</v>
      </c>
      <c r="BS111" s="290" t="s">
        <v>182</v>
      </c>
      <c r="BT111" s="290" t="n">
        <v>110</v>
      </c>
      <c r="BU111" s="316" t="b">
        <f aca="false">FALSE()</f>
        <v>0</v>
      </c>
      <c r="BV111" s="290"/>
      <c r="BW111" s="3"/>
      <c r="BX111" s="85" t="n">
        <v>22</v>
      </c>
      <c r="BY111" s="3" t="s">
        <v>1156</v>
      </c>
      <c r="BZ111" s="3" t="s">
        <v>775</v>
      </c>
      <c r="CA111" s="3"/>
      <c r="CB111" s="3"/>
      <c r="CC111" s="3"/>
      <c r="CD111" s="3"/>
      <c r="CE111" s="3"/>
      <c r="CF111" s="3"/>
      <c r="CG111" s="311" t="b">
        <f aca="false">IF(BZ111="Saddle",TRUE(),)</f>
        <v>1</v>
      </c>
      <c r="CH111" s="3" t="s">
        <v>776</v>
      </c>
      <c r="CI111" s="3"/>
      <c r="CJ111" s="3"/>
      <c r="CK111" s="3"/>
      <c r="CL111" s="3"/>
      <c r="CM111" s="3"/>
      <c r="CN111" s="3"/>
      <c r="CO111" s="3"/>
      <c r="CP111" s="3"/>
      <c r="CQ111" s="3"/>
      <c r="CR111" s="3"/>
      <c r="CS111" s="3"/>
      <c r="CT111" s="3"/>
      <c r="CU111" s="85" t="n">
        <v>8</v>
      </c>
      <c r="CV111" s="3" t="s">
        <v>858</v>
      </c>
      <c r="CW111" s="3" t="s">
        <v>859</v>
      </c>
      <c r="CX111" s="3" t="s">
        <v>860</v>
      </c>
      <c r="CY111" s="3" t="s">
        <v>1030</v>
      </c>
      <c r="CZ111" s="3" t="s">
        <v>1031</v>
      </c>
    </row>
    <row r="112" customFormat="false" ht="15.75" hidden="false" customHeight="false" outlineLevel="0" collapsed="false">
      <c r="A112" s="290" t="s">
        <v>75</v>
      </c>
      <c r="B112" s="290" t="s">
        <v>377</v>
      </c>
      <c r="C112" s="290" t="s">
        <v>182</v>
      </c>
      <c r="D112" s="290" t="s">
        <v>182</v>
      </c>
      <c r="E112" s="290" t="s">
        <v>182</v>
      </c>
      <c r="F112" s="315" t="b">
        <f aca="false">TRUE()</f>
        <v>1</v>
      </c>
      <c r="G112" s="290" t="s">
        <v>534</v>
      </c>
      <c r="H112" s="290" t="s">
        <v>377</v>
      </c>
      <c r="I112" s="290" t="n">
        <v>89</v>
      </c>
      <c r="J112" s="290" t="s">
        <v>761</v>
      </c>
      <c r="K112" s="290" t="s">
        <v>884</v>
      </c>
      <c r="L112" s="290" t="n">
        <v>9</v>
      </c>
      <c r="M112" s="290" t="s">
        <v>771</v>
      </c>
      <c r="N112" s="290" t="s">
        <v>743</v>
      </c>
      <c r="O112" s="290" t="s">
        <v>763</v>
      </c>
      <c r="P112" s="290" t="s">
        <v>745</v>
      </c>
      <c r="Q112" s="290" t="s">
        <v>746</v>
      </c>
      <c r="R112" s="315" t="b">
        <f aca="false">FALSE()</f>
        <v>0</v>
      </c>
      <c r="S112" s="290" t="n">
        <v>120</v>
      </c>
      <c r="T112" s="290" t="n">
        <v>100</v>
      </c>
      <c r="U112" s="290" t="n">
        <v>85</v>
      </c>
      <c r="V112" s="290" t="n">
        <v>90</v>
      </c>
      <c r="W112" s="290" t="n">
        <v>100</v>
      </c>
      <c r="X112" s="290" t="n">
        <v>100</v>
      </c>
      <c r="Y112" s="290" t="n">
        <v>1</v>
      </c>
      <c r="Z112" s="290" t="n">
        <v>1</v>
      </c>
      <c r="AA112" s="290" t="n">
        <v>1</v>
      </c>
      <c r="AB112" s="290" t="n">
        <v>6100</v>
      </c>
      <c r="AC112" s="290" t="s">
        <v>764</v>
      </c>
      <c r="AD112" s="290" t="s">
        <v>182</v>
      </c>
      <c r="AE112" s="290" t="n">
        <v>80</v>
      </c>
      <c r="AF112" s="290" t="n">
        <v>80</v>
      </c>
      <c r="AG112" s="290" t="n">
        <v>500</v>
      </c>
      <c r="AH112" s="290" t="n">
        <v>700</v>
      </c>
      <c r="AI112" s="290" t="n">
        <v>290</v>
      </c>
      <c r="AJ112" s="315" t="b">
        <f aca="false">FALSE()</f>
        <v>0</v>
      </c>
      <c r="AK112" s="315" t="b">
        <f aca="false">FALSE()</f>
        <v>0</v>
      </c>
      <c r="AL112" s="290" t="s">
        <v>748</v>
      </c>
      <c r="AM112" s="315" t="b">
        <f aca="false">FALSE()</f>
        <v>0</v>
      </c>
      <c r="AN112" s="315" t="b">
        <f aca="false">FALSE()</f>
        <v>0</v>
      </c>
      <c r="AO112" s="290" t="n">
        <v>475</v>
      </c>
      <c r="AP112" s="290" t="n">
        <v>1</v>
      </c>
      <c r="AQ112" s="290" t="n">
        <v>7</v>
      </c>
      <c r="AR112" s="290" t="n">
        <v>25</v>
      </c>
      <c r="AS112" s="290" t="n">
        <v>90</v>
      </c>
      <c r="AT112" s="290" t="n">
        <v>1</v>
      </c>
      <c r="AU112" s="315" t="b">
        <f aca="false">FALSE()</f>
        <v>0</v>
      </c>
      <c r="AV112" s="315" t="b">
        <f aca="false">FALSE()</f>
        <v>0</v>
      </c>
      <c r="AW112" s="290" t="n">
        <v>5</v>
      </c>
      <c r="AX112" s="315" t="b">
        <f aca="false">FALSE()</f>
        <v>0</v>
      </c>
      <c r="AY112" s="315" t="b">
        <f aca="false">TRUE()</f>
        <v>1</v>
      </c>
      <c r="AZ112" s="290" t="n">
        <v>100</v>
      </c>
      <c r="BA112" s="290" t="n">
        <v>90</v>
      </c>
      <c r="BB112" s="290" t="n">
        <v>440</v>
      </c>
      <c r="BC112" s="290" t="n">
        <v>0</v>
      </c>
      <c r="BD112" s="290" t="n">
        <v>0</v>
      </c>
      <c r="BE112" s="290" t="n">
        <v>0</v>
      </c>
      <c r="BF112" s="290" t="n">
        <v>0</v>
      </c>
      <c r="BG112" s="290" t="n">
        <v>0</v>
      </c>
      <c r="BH112" s="290" t="n">
        <v>1</v>
      </c>
      <c r="BI112" s="290" t="n">
        <v>0</v>
      </c>
      <c r="BJ112" s="290" t="n">
        <v>0</v>
      </c>
      <c r="BK112" s="290" t="n">
        <v>0</v>
      </c>
      <c r="BL112" s="290" t="n">
        <v>0</v>
      </c>
      <c r="BM112" s="290" t="n">
        <v>3</v>
      </c>
      <c r="BN112" s="290" t="n">
        <v>0</v>
      </c>
      <c r="BO112" s="290" t="n">
        <v>0</v>
      </c>
      <c r="BP112" s="290" t="s">
        <v>182</v>
      </c>
      <c r="BQ112" s="290" t="s">
        <v>182</v>
      </c>
      <c r="BR112" s="290" t="s">
        <v>182</v>
      </c>
      <c r="BS112" s="290" t="s">
        <v>182</v>
      </c>
      <c r="BT112" s="290" t="n">
        <v>111</v>
      </c>
      <c r="BU112" s="316" t="b">
        <f aca="false">TRUE()</f>
        <v>1</v>
      </c>
      <c r="BV112" s="290"/>
      <c r="BW112" s="290" t="s">
        <v>761</v>
      </c>
      <c r="BX112" s="85" t="n">
        <v>42</v>
      </c>
      <c r="BY112" s="3" t="s">
        <v>1157</v>
      </c>
      <c r="BZ112" s="3" t="s">
        <v>775</v>
      </c>
      <c r="CA112" s="3"/>
      <c r="CB112" s="3"/>
      <c r="CC112" s="3"/>
      <c r="CD112" s="3"/>
      <c r="CE112" s="3"/>
      <c r="CF112" s="3"/>
      <c r="CG112" s="311" t="b">
        <f aca="false">IF(BZ112="Saddle",TRUE(),)</f>
        <v>1</v>
      </c>
      <c r="CH112" s="3" t="s">
        <v>776</v>
      </c>
      <c r="CI112" s="3"/>
      <c r="CJ112" s="3"/>
      <c r="CK112" s="3"/>
      <c r="CL112" s="3"/>
      <c r="CM112" s="3"/>
      <c r="CN112" s="3"/>
      <c r="CO112" s="3"/>
      <c r="CP112" s="3"/>
      <c r="CQ112" s="3"/>
      <c r="CR112" s="3"/>
      <c r="CS112" s="3"/>
      <c r="CT112" s="3"/>
      <c r="CU112" s="85" t="n">
        <v>8</v>
      </c>
      <c r="CV112" s="3" t="s">
        <v>858</v>
      </c>
      <c r="CW112" s="3" t="s">
        <v>859</v>
      </c>
      <c r="CX112" s="3" t="s">
        <v>860</v>
      </c>
      <c r="CY112" s="3" t="s">
        <v>1030</v>
      </c>
      <c r="CZ112" s="3" t="s">
        <v>1031</v>
      </c>
    </row>
    <row r="113" customFormat="false" ht="15.75" hidden="false" customHeight="false" outlineLevel="0" collapsed="false">
      <c r="A113" s="290" t="s">
        <v>69</v>
      </c>
      <c r="B113" s="290" t="s">
        <v>278</v>
      </c>
      <c r="C113" s="290" t="s">
        <v>182</v>
      </c>
      <c r="D113" s="290" t="s">
        <v>182</v>
      </c>
      <c r="E113" s="290" t="s">
        <v>182</v>
      </c>
      <c r="F113" s="315" t="b">
        <f aca="false">TRUE()</f>
        <v>1</v>
      </c>
      <c r="G113" s="290" t="s">
        <v>1158</v>
      </c>
      <c r="H113" s="290" t="s">
        <v>278</v>
      </c>
      <c r="I113" s="290" t="n">
        <v>13</v>
      </c>
      <c r="J113" s="3"/>
      <c r="K113" s="290" t="s">
        <v>762</v>
      </c>
      <c r="L113" s="290" t="n">
        <v>1</v>
      </c>
      <c r="M113" s="290" t="s">
        <v>783</v>
      </c>
      <c r="N113" s="290" t="s">
        <v>742</v>
      </c>
      <c r="O113" s="290" t="s">
        <v>898</v>
      </c>
      <c r="P113" s="290" t="s">
        <v>745</v>
      </c>
      <c r="Q113" s="290" t="s">
        <v>746</v>
      </c>
      <c r="R113" s="315" t="b">
        <f aca="false">FALSE()</f>
        <v>0</v>
      </c>
      <c r="S113" s="290" t="n">
        <v>70</v>
      </c>
      <c r="T113" s="290" t="n">
        <v>100</v>
      </c>
      <c r="U113" s="290" t="n">
        <v>70</v>
      </c>
      <c r="V113" s="290" t="n">
        <v>70</v>
      </c>
      <c r="W113" s="290" t="n">
        <v>100</v>
      </c>
      <c r="X113" s="290" t="n">
        <v>100</v>
      </c>
      <c r="Y113" s="290" t="n">
        <v>1.8</v>
      </c>
      <c r="Z113" s="290" t="n">
        <v>1.3</v>
      </c>
      <c r="AA113" s="290" t="n">
        <v>1</v>
      </c>
      <c r="AB113" s="290" t="n">
        <v>1310</v>
      </c>
      <c r="AC113" s="290" t="s">
        <v>764</v>
      </c>
      <c r="AD113" s="290" t="s">
        <v>182</v>
      </c>
      <c r="AE113" s="290" t="n">
        <v>50</v>
      </c>
      <c r="AF113" s="290" t="n">
        <v>50</v>
      </c>
      <c r="AG113" s="290" t="n">
        <v>300</v>
      </c>
      <c r="AH113" s="290" t="n">
        <v>400</v>
      </c>
      <c r="AI113" s="290" t="n">
        <v>175</v>
      </c>
      <c r="AJ113" s="315" t="b">
        <f aca="false">FALSE()</f>
        <v>0</v>
      </c>
      <c r="AK113" s="315" t="b">
        <f aca="false">FALSE()</f>
        <v>0</v>
      </c>
      <c r="AL113" s="290" t="s">
        <v>765</v>
      </c>
      <c r="AM113" s="315" t="b">
        <f aca="false">FALSE()</f>
        <v>0</v>
      </c>
      <c r="AN113" s="315" t="b">
        <f aca="false">FALSE()</f>
        <v>0</v>
      </c>
      <c r="AO113" s="290" t="n">
        <v>100</v>
      </c>
      <c r="AP113" s="290" t="n">
        <v>1</v>
      </c>
      <c r="AQ113" s="290" t="n">
        <v>1</v>
      </c>
      <c r="AR113" s="290" t="n">
        <v>25</v>
      </c>
      <c r="AS113" s="290" t="n">
        <v>90</v>
      </c>
      <c r="AT113" s="290" t="n">
        <v>1</v>
      </c>
      <c r="AU113" s="315" t="b">
        <f aca="false">TRUE()</f>
        <v>1</v>
      </c>
      <c r="AV113" s="315" t="b">
        <f aca="false">FALSE()</f>
        <v>0</v>
      </c>
      <c r="AW113" s="290" t="n">
        <v>0</v>
      </c>
      <c r="AX113" s="315" t="b">
        <f aca="false">FALSE()</f>
        <v>0</v>
      </c>
      <c r="AY113" s="315" t="b">
        <f aca="false">TRUE()</f>
        <v>1</v>
      </c>
      <c r="AZ113" s="290" t="n">
        <v>100</v>
      </c>
      <c r="BA113" s="290" t="n">
        <v>50</v>
      </c>
      <c r="BB113" s="290" t="n">
        <v>1240</v>
      </c>
      <c r="BC113" s="290" t="n">
        <v>0</v>
      </c>
      <c r="BD113" s="290" t="n">
        <v>0</v>
      </c>
      <c r="BE113" s="290" t="n">
        <v>1</v>
      </c>
      <c r="BF113" s="290" t="n">
        <v>0</v>
      </c>
      <c r="BG113" s="290" t="n">
        <v>0</v>
      </c>
      <c r="BH113" s="290" t="n">
        <v>0</v>
      </c>
      <c r="BI113" s="290" t="n">
        <v>0</v>
      </c>
      <c r="BJ113" s="290" t="n">
        <v>0</v>
      </c>
      <c r="BK113" s="290" t="n">
        <v>0</v>
      </c>
      <c r="BL113" s="290" t="n">
        <v>0</v>
      </c>
      <c r="BM113" s="290" t="n">
        <v>0</v>
      </c>
      <c r="BN113" s="290" t="n">
        <v>0</v>
      </c>
      <c r="BO113" s="290" t="n">
        <v>0</v>
      </c>
      <c r="BP113" s="290" t="s">
        <v>182</v>
      </c>
      <c r="BQ113" s="290" t="s">
        <v>182</v>
      </c>
      <c r="BR113" s="290" t="s">
        <v>182</v>
      </c>
      <c r="BS113" s="290" t="s">
        <v>182</v>
      </c>
      <c r="BT113" s="290" t="n">
        <v>112</v>
      </c>
      <c r="BU113" s="316" t="b">
        <f aca="false">FALSE()</f>
        <v>0</v>
      </c>
      <c r="BV113" s="290"/>
      <c r="BW113" s="3"/>
      <c r="BX113" s="3"/>
      <c r="BY113" s="3"/>
      <c r="BZ113" s="3"/>
      <c r="CA113" s="3"/>
      <c r="CB113" s="3"/>
      <c r="CC113" s="3"/>
      <c r="CD113" s="3"/>
      <c r="CE113" s="3"/>
      <c r="CF113" s="3"/>
      <c r="CG113" s="3" t="n">
        <f aca="false">IF(BZ113="Saddle",TRUE(),)</f>
        <v>0</v>
      </c>
      <c r="CH113" s="3"/>
      <c r="CI113" s="3"/>
      <c r="CJ113" s="3"/>
      <c r="CK113" s="3"/>
      <c r="CL113" s="3"/>
      <c r="CM113" s="3"/>
      <c r="CN113" s="3"/>
      <c r="CO113" s="3"/>
      <c r="CP113" s="3"/>
      <c r="CQ113" s="3"/>
      <c r="CR113" s="3"/>
      <c r="CS113" s="3"/>
      <c r="CT113" s="3"/>
      <c r="CU113" s="3"/>
      <c r="CV113" s="3" t="s">
        <v>1159</v>
      </c>
      <c r="CW113" s="3" t="s">
        <v>1160</v>
      </c>
      <c r="CX113" s="3" t="s">
        <v>1161</v>
      </c>
      <c r="CY113" s="3" t="s">
        <v>1162</v>
      </c>
      <c r="CZ113" s="3" t="s">
        <v>1163</v>
      </c>
    </row>
    <row r="114" customFormat="false" ht="15.75" hidden="false" customHeight="false" outlineLevel="0" collapsed="false">
      <c r="A114" s="290" t="s">
        <v>70</v>
      </c>
      <c r="B114" s="290" t="s">
        <v>279</v>
      </c>
      <c r="C114" s="290" t="s">
        <v>1164</v>
      </c>
      <c r="D114" s="290" t="s">
        <v>182</v>
      </c>
      <c r="E114" s="290" t="s">
        <v>1165</v>
      </c>
      <c r="F114" s="315" t="b">
        <f aca="false">TRUE()</f>
        <v>1</v>
      </c>
      <c r="G114" s="290" t="s">
        <v>1158</v>
      </c>
      <c r="H114" s="290" t="s">
        <v>279</v>
      </c>
      <c r="I114" s="290" t="n">
        <v>13</v>
      </c>
      <c r="J114" s="3"/>
      <c r="K114" s="290" t="s">
        <v>762</v>
      </c>
      <c r="L114" s="290" t="n">
        <v>10</v>
      </c>
      <c r="M114" s="290" t="s">
        <v>783</v>
      </c>
      <c r="N114" s="290" t="s">
        <v>742</v>
      </c>
      <c r="O114" s="290" t="s">
        <v>898</v>
      </c>
      <c r="P114" s="290" t="s">
        <v>745</v>
      </c>
      <c r="Q114" s="290" t="s">
        <v>746</v>
      </c>
      <c r="R114" s="315" t="b">
        <f aca="false">FALSE()</f>
        <v>0</v>
      </c>
      <c r="S114" s="290" t="n">
        <v>70</v>
      </c>
      <c r="T114" s="290" t="n">
        <v>100</v>
      </c>
      <c r="U114" s="290" t="n">
        <v>70</v>
      </c>
      <c r="V114" s="290" t="n">
        <v>70</v>
      </c>
      <c r="W114" s="290" t="n">
        <v>100</v>
      </c>
      <c r="X114" s="290" t="n">
        <v>100</v>
      </c>
      <c r="Y114" s="290" t="n">
        <v>1.8</v>
      </c>
      <c r="Z114" s="290" t="n">
        <v>1.3</v>
      </c>
      <c r="AA114" s="290" t="n">
        <v>1</v>
      </c>
      <c r="AB114" s="290" t="n">
        <v>1310</v>
      </c>
      <c r="AC114" s="290" t="s">
        <v>764</v>
      </c>
      <c r="AD114" s="290" t="s">
        <v>182</v>
      </c>
      <c r="AE114" s="290" t="n">
        <v>50</v>
      </c>
      <c r="AF114" s="290" t="n">
        <v>50</v>
      </c>
      <c r="AG114" s="290" t="n">
        <v>300</v>
      </c>
      <c r="AH114" s="290" t="n">
        <v>400</v>
      </c>
      <c r="AI114" s="290" t="n">
        <v>175</v>
      </c>
      <c r="AJ114" s="315" t="b">
        <f aca="false">FALSE()</f>
        <v>0</v>
      </c>
      <c r="AK114" s="315" t="b">
        <f aca="false">FALSE()</f>
        <v>0</v>
      </c>
      <c r="AL114" s="290" t="s">
        <v>765</v>
      </c>
      <c r="AM114" s="315" t="b">
        <f aca="false">FALSE()</f>
        <v>0</v>
      </c>
      <c r="AN114" s="315" t="b">
        <f aca="false">FALSE()</f>
        <v>0</v>
      </c>
      <c r="AO114" s="290" t="n">
        <v>100</v>
      </c>
      <c r="AP114" s="290" t="n">
        <v>1</v>
      </c>
      <c r="AQ114" s="290" t="n">
        <v>1</v>
      </c>
      <c r="AR114" s="290" t="n">
        <v>25</v>
      </c>
      <c r="AS114" s="290" t="n">
        <v>90</v>
      </c>
      <c r="AT114" s="290" t="n">
        <v>1</v>
      </c>
      <c r="AU114" s="315" t="b">
        <f aca="false">TRUE()</f>
        <v>1</v>
      </c>
      <c r="AV114" s="315" t="b">
        <f aca="false">FALSE()</f>
        <v>0</v>
      </c>
      <c r="AW114" s="290" t="n">
        <v>0</v>
      </c>
      <c r="AX114" s="315" t="b">
        <f aca="false">FALSE()</f>
        <v>0</v>
      </c>
      <c r="AY114" s="315" t="b">
        <f aca="false">TRUE()</f>
        <v>1</v>
      </c>
      <c r="AZ114" s="290" t="n">
        <v>100</v>
      </c>
      <c r="BA114" s="290" t="n">
        <v>50</v>
      </c>
      <c r="BB114" s="290" t="n">
        <v>1240</v>
      </c>
      <c r="BC114" s="290" t="n">
        <v>0</v>
      </c>
      <c r="BD114" s="290" t="n">
        <v>0</v>
      </c>
      <c r="BE114" s="290" t="n">
        <v>1</v>
      </c>
      <c r="BF114" s="290" t="n">
        <v>0</v>
      </c>
      <c r="BG114" s="290" t="n">
        <v>0</v>
      </c>
      <c r="BH114" s="290" t="n">
        <v>0</v>
      </c>
      <c r="BI114" s="290" t="n">
        <v>0</v>
      </c>
      <c r="BJ114" s="290" t="n">
        <v>0</v>
      </c>
      <c r="BK114" s="290" t="n">
        <v>0</v>
      </c>
      <c r="BL114" s="290" t="n">
        <v>0</v>
      </c>
      <c r="BM114" s="290" t="n">
        <v>0</v>
      </c>
      <c r="BN114" s="290" t="n">
        <v>0</v>
      </c>
      <c r="BO114" s="290" t="n">
        <v>0</v>
      </c>
      <c r="BP114" s="290" t="s">
        <v>182</v>
      </c>
      <c r="BQ114" s="290" t="s">
        <v>182</v>
      </c>
      <c r="BR114" s="290" t="s">
        <v>182</v>
      </c>
      <c r="BS114" s="290" t="s">
        <v>182</v>
      </c>
      <c r="BT114" s="290" t="n">
        <v>113</v>
      </c>
      <c r="BU114" s="316" t="b">
        <f aca="false">FALSE()</f>
        <v>0</v>
      </c>
      <c r="BV114" s="290"/>
      <c r="BW114" s="290" t="s">
        <v>761</v>
      </c>
      <c r="BX114" s="3"/>
      <c r="BY114" s="3"/>
      <c r="BZ114" s="3"/>
      <c r="CA114" s="3"/>
      <c r="CB114" s="3"/>
      <c r="CC114" s="3"/>
      <c r="CD114" s="3"/>
      <c r="CE114" s="3"/>
      <c r="CF114" s="3"/>
      <c r="CG114" s="3" t="n">
        <f aca="false">IF(BZ114="Saddle",TRUE(),)</f>
        <v>0</v>
      </c>
      <c r="CH114" s="3"/>
      <c r="CI114" s="3"/>
      <c r="CJ114" s="3"/>
      <c r="CK114" s="3"/>
      <c r="CL114" s="3"/>
      <c r="CM114" s="3"/>
      <c r="CN114" s="3"/>
      <c r="CO114" s="3"/>
      <c r="CP114" s="3"/>
      <c r="CQ114" s="3"/>
      <c r="CR114" s="3"/>
      <c r="CS114" s="3"/>
      <c r="CT114" s="3"/>
      <c r="CU114" s="3"/>
      <c r="CV114" s="3" t="s">
        <v>1159</v>
      </c>
      <c r="CW114" s="3" t="s">
        <v>1160</v>
      </c>
      <c r="CX114" s="3" t="s">
        <v>1161</v>
      </c>
      <c r="CY114" s="3" t="s">
        <v>1162</v>
      </c>
      <c r="CZ114" s="3" t="s">
        <v>1163</v>
      </c>
    </row>
    <row r="115" customFormat="false" ht="15.75" hidden="false" customHeight="false" outlineLevel="0" collapsed="false">
      <c r="A115" s="290" t="s">
        <v>137</v>
      </c>
      <c r="B115" s="290" t="s">
        <v>330</v>
      </c>
      <c r="C115" s="290" t="s">
        <v>182</v>
      </c>
      <c r="D115" s="290" t="s">
        <v>182</v>
      </c>
      <c r="E115" s="290" t="s">
        <v>182</v>
      </c>
      <c r="F115" s="315" t="b">
        <f aca="false">TRUE()</f>
        <v>1</v>
      </c>
      <c r="G115" s="290" t="s">
        <v>482</v>
      </c>
      <c r="H115" s="290" t="s">
        <v>330</v>
      </c>
      <c r="I115" s="290" t="n">
        <v>53</v>
      </c>
      <c r="J115" s="3"/>
      <c r="K115" s="290" t="s">
        <v>762</v>
      </c>
      <c r="L115" s="290" t="n">
        <v>1</v>
      </c>
      <c r="M115" s="290" t="s">
        <v>771</v>
      </c>
      <c r="N115" s="290" t="s">
        <v>743</v>
      </c>
      <c r="O115" s="290" t="s">
        <v>898</v>
      </c>
      <c r="P115" s="290" t="s">
        <v>745</v>
      </c>
      <c r="Q115" s="290" t="s">
        <v>746</v>
      </c>
      <c r="R115" s="315" t="b">
        <f aca="false">FALSE()</f>
        <v>0</v>
      </c>
      <c r="S115" s="290" t="n">
        <v>60</v>
      </c>
      <c r="T115" s="290" t="n">
        <v>100</v>
      </c>
      <c r="U115" s="290" t="n">
        <v>60</v>
      </c>
      <c r="V115" s="290" t="n">
        <v>60</v>
      </c>
      <c r="W115" s="290" t="n">
        <v>100</v>
      </c>
      <c r="X115" s="290" t="n">
        <v>100</v>
      </c>
      <c r="Y115" s="290" t="n">
        <v>1.3</v>
      </c>
      <c r="Z115" s="290" t="n">
        <v>1.1</v>
      </c>
      <c r="AA115" s="290" t="n">
        <v>1</v>
      </c>
      <c r="AB115" s="290" t="n">
        <v>1180</v>
      </c>
      <c r="AC115" s="290" t="s">
        <v>764</v>
      </c>
      <c r="AD115" s="290" t="s">
        <v>182</v>
      </c>
      <c r="AE115" s="290" t="n">
        <v>55</v>
      </c>
      <c r="AF115" s="290" t="n">
        <v>100</v>
      </c>
      <c r="AG115" s="290" t="n">
        <v>250</v>
      </c>
      <c r="AH115" s="290" t="n">
        <v>400</v>
      </c>
      <c r="AI115" s="290" t="n">
        <v>175</v>
      </c>
      <c r="AJ115" s="315" t="b">
        <f aca="false">FALSE()</f>
        <v>0</v>
      </c>
      <c r="AK115" s="315" t="b">
        <f aca="false">FALSE()</f>
        <v>0</v>
      </c>
      <c r="AL115" s="290" t="s">
        <v>765</v>
      </c>
      <c r="AM115" s="315" t="b">
        <f aca="false">FALSE()</f>
        <v>0</v>
      </c>
      <c r="AN115" s="315" t="b">
        <f aca="false">FALSE()</f>
        <v>0</v>
      </c>
      <c r="AO115" s="290" t="n">
        <v>150</v>
      </c>
      <c r="AP115" s="290" t="n">
        <v>1</v>
      </c>
      <c r="AQ115" s="290" t="n">
        <v>2</v>
      </c>
      <c r="AR115" s="290" t="n">
        <v>25</v>
      </c>
      <c r="AS115" s="290" t="n">
        <v>90</v>
      </c>
      <c r="AT115" s="290" t="n">
        <v>1</v>
      </c>
      <c r="AU115" s="315" t="b">
        <f aca="false">TRUE()</f>
        <v>1</v>
      </c>
      <c r="AV115" s="315" t="b">
        <f aca="false">FALSE()</f>
        <v>0</v>
      </c>
      <c r="AW115" s="290" t="n">
        <v>0</v>
      </c>
      <c r="AX115" s="315" t="b">
        <f aca="false">FALSE()</f>
        <v>0</v>
      </c>
      <c r="AY115" s="315" t="b">
        <f aca="false">TRUE()</f>
        <v>1</v>
      </c>
      <c r="AZ115" s="290" t="n">
        <v>100</v>
      </c>
      <c r="BA115" s="290" t="n">
        <v>50</v>
      </c>
      <c r="BB115" s="290" t="n">
        <v>1300</v>
      </c>
      <c r="BC115" s="290" t="n">
        <v>0</v>
      </c>
      <c r="BD115" s="290" t="n">
        <v>0</v>
      </c>
      <c r="BE115" s="290" t="n">
        <v>0</v>
      </c>
      <c r="BF115" s="290" t="n">
        <v>0</v>
      </c>
      <c r="BG115" s="290" t="n">
        <v>0</v>
      </c>
      <c r="BH115" s="290" t="n">
        <v>1</v>
      </c>
      <c r="BI115" s="290" t="n">
        <v>0</v>
      </c>
      <c r="BJ115" s="290" t="n">
        <v>0</v>
      </c>
      <c r="BK115" s="290" t="n">
        <v>0</v>
      </c>
      <c r="BL115" s="290" t="n">
        <v>0</v>
      </c>
      <c r="BM115" s="290" t="n">
        <v>1</v>
      </c>
      <c r="BN115" s="290" t="n">
        <v>0</v>
      </c>
      <c r="BO115" s="290" t="n">
        <v>0</v>
      </c>
      <c r="BP115" s="290" t="s">
        <v>182</v>
      </c>
      <c r="BQ115" s="290" t="s">
        <v>182</v>
      </c>
      <c r="BR115" s="290" t="s">
        <v>182</v>
      </c>
      <c r="BS115" s="290" t="s">
        <v>182</v>
      </c>
      <c r="BT115" s="290" t="n">
        <v>114</v>
      </c>
      <c r="BU115" s="316" t="b">
        <f aca="false">FALSE()</f>
        <v>0</v>
      </c>
      <c r="BV115" s="290"/>
      <c r="BW115" s="3"/>
      <c r="BX115" s="3"/>
      <c r="BY115" s="3"/>
      <c r="BZ115" s="3"/>
      <c r="CA115" s="3"/>
      <c r="CB115" s="3"/>
      <c r="CC115" s="3"/>
      <c r="CD115" s="3"/>
      <c r="CE115" s="3"/>
      <c r="CF115" s="3"/>
      <c r="CG115" s="3" t="n">
        <f aca="false">IF(BZ115="Saddle",TRUE(),)</f>
        <v>0</v>
      </c>
      <c r="CH115" s="3"/>
      <c r="CI115" s="3"/>
      <c r="CJ115" s="3"/>
      <c r="CK115" s="3"/>
      <c r="CL115" s="3"/>
      <c r="CM115" s="3"/>
      <c r="CN115" s="3"/>
      <c r="CO115" s="3"/>
      <c r="CP115" s="3"/>
      <c r="CQ115" s="3"/>
      <c r="CR115" s="3"/>
      <c r="CS115" s="3"/>
      <c r="CT115" s="3"/>
      <c r="CU115" s="3" t="s">
        <v>138</v>
      </c>
      <c r="CV115" s="3" t="s">
        <v>1110</v>
      </c>
      <c r="CW115" s="3" t="s">
        <v>1111</v>
      </c>
      <c r="CX115" s="3" t="s">
        <v>1112</v>
      </c>
      <c r="CY115" s="3" t="s">
        <v>1113</v>
      </c>
      <c r="CZ115" s="3" t="s">
        <v>1114</v>
      </c>
    </row>
    <row r="116" customFormat="false" ht="15.75" hidden="false" customHeight="false" outlineLevel="0" collapsed="false">
      <c r="A116" s="290" t="s">
        <v>138</v>
      </c>
      <c r="B116" s="290" t="s">
        <v>331</v>
      </c>
      <c r="C116" s="290" t="s">
        <v>182</v>
      </c>
      <c r="D116" s="290" t="s">
        <v>182</v>
      </c>
      <c r="E116" s="290" t="s">
        <v>182</v>
      </c>
      <c r="F116" s="315" t="b">
        <f aca="false">TRUE()</f>
        <v>1</v>
      </c>
      <c r="G116" s="290" t="s">
        <v>1166</v>
      </c>
      <c r="H116" s="290" t="s">
        <v>331</v>
      </c>
      <c r="I116" s="290" t="n">
        <v>54</v>
      </c>
      <c r="J116" s="3"/>
      <c r="K116" s="290" t="s">
        <v>793</v>
      </c>
      <c r="L116" s="290" t="n">
        <v>6</v>
      </c>
      <c r="M116" s="290" t="s">
        <v>771</v>
      </c>
      <c r="N116" s="290" t="s">
        <v>743</v>
      </c>
      <c r="O116" s="290" t="s">
        <v>898</v>
      </c>
      <c r="P116" s="290" t="s">
        <v>745</v>
      </c>
      <c r="Q116" s="290" t="s">
        <v>746</v>
      </c>
      <c r="R116" s="315" t="b">
        <f aca="false">FALSE()</f>
        <v>0</v>
      </c>
      <c r="S116" s="290" t="n">
        <v>100</v>
      </c>
      <c r="T116" s="290" t="n">
        <v>100</v>
      </c>
      <c r="U116" s="290" t="n">
        <v>90</v>
      </c>
      <c r="V116" s="290" t="n">
        <v>90</v>
      </c>
      <c r="W116" s="290" t="n">
        <v>100</v>
      </c>
      <c r="X116" s="290" t="n">
        <v>100</v>
      </c>
      <c r="Y116" s="290" t="n">
        <v>1</v>
      </c>
      <c r="Z116" s="290" t="n">
        <v>1</v>
      </c>
      <c r="AA116" s="290" t="n">
        <v>1</v>
      </c>
      <c r="AB116" s="290" t="n">
        <v>6400</v>
      </c>
      <c r="AC116" s="290" t="s">
        <v>764</v>
      </c>
      <c r="AD116" s="290" t="s">
        <v>182</v>
      </c>
      <c r="AE116" s="290" t="n">
        <v>60</v>
      </c>
      <c r="AF116" s="290" t="n">
        <v>120</v>
      </c>
      <c r="AG116" s="290" t="n">
        <v>300</v>
      </c>
      <c r="AH116" s="290" t="n">
        <v>500</v>
      </c>
      <c r="AI116" s="290" t="n">
        <v>210</v>
      </c>
      <c r="AJ116" s="315" t="b">
        <f aca="false">FALSE()</f>
        <v>0</v>
      </c>
      <c r="AK116" s="315" t="b">
        <f aca="false">FALSE()</f>
        <v>0</v>
      </c>
      <c r="AL116" s="290" t="s">
        <v>765</v>
      </c>
      <c r="AM116" s="315" t="b">
        <f aca="false">FALSE()</f>
        <v>0</v>
      </c>
      <c r="AN116" s="315" t="b">
        <f aca="false">FALSE()</f>
        <v>0</v>
      </c>
      <c r="AO116" s="290" t="n">
        <v>225</v>
      </c>
      <c r="AP116" s="290" t="n">
        <v>1</v>
      </c>
      <c r="AQ116" s="290" t="n">
        <v>3</v>
      </c>
      <c r="AR116" s="290" t="n">
        <v>25</v>
      </c>
      <c r="AS116" s="290" t="n">
        <v>90</v>
      </c>
      <c r="AT116" s="290" t="n">
        <v>1</v>
      </c>
      <c r="AU116" s="315" t="b">
        <f aca="false">FALSE()</f>
        <v>0</v>
      </c>
      <c r="AV116" s="315" t="b">
        <f aca="false">FALSE()</f>
        <v>0</v>
      </c>
      <c r="AW116" s="290" t="n">
        <v>5</v>
      </c>
      <c r="AX116" s="315" t="b">
        <f aca="false">FALSE()</f>
        <v>0</v>
      </c>
      <c r="AY116" s="315" t="b">
        <f aca="false">TRUE()</f>
        <v>1</v>
      </c>
      <c r="AZ116" s="290" t="n">
        <v>100</v>
      </c>
      <c r="BA116" s="290" t="n">
        <v>50</v>
      </c>
      <c r="BB116" s="290" t="n">
        <v>410</v>
      </c>
      <c r="BC116" s="290" t="n">
        <v>0</v>
      </c>
      <c r="BD116" s="290" t="n">
        <v>0</v>
      </c>
      <c r="BE116" s="290" t="n">
        <v>0</v>
      </c>
      <c r="BF116" s="290" t="n">
        <v>0</v>
      </c>
      <c r="BG116" s="290" t="n">
        <v>0</v>
      </c>
      <c r="BH116" s="290" t="n">
        <v>2</v>
      </c>
      <c r="BI116" s="290" t="n">
        <v>0</v>
      </c>
      <c r="BJ116" s="290" t="n">
        <v>0</v>
      </c>
      <c r="BK116" s="290" t="n">
        <v>0</v>
      </c>
      <c r="BL116" s="290" t="n">
        <v>0</v>
      </c>
      <c r="BM116" s="290" t="n">
        <v>2</v>
      </c>
      <c r="BN116" s="290" t="n">
        <v>0</v>
      </c>
      <c r="BO116" s="290" t="n">
        <v>0</v>
      </c>
      <c r="BP116" s="290" t="s">
        <v>182</v>
      </c>
      <c r="BQ116" s="290" t="s">
        <v>182</v>
      </c>
      <c r="BR116" s="290" t="s">
        <v>182</v>
      </c>
      <c r="BS116" s="290" t="s">
        <v>182</v>
      </c>
      <c r="BT116" s="290" t="n">
        <v>115</v>
      </c>
      <c r="BU116" s="316" t="b">
        <f aca="false">FALSE()</f>
        <v>0</v>
      </c>
      <c r="BV116" s="290"/>
      <c r="BW116" s="3"/>
      <c r="BX116" s="85" t="n">
        <v>14</v>
      </c>
      <c r="BY116" s="3" t="s">
        <v>1167</v>
      </c>
      <c r="BZ116" s="3" t="s">
        <v>775</v>
      </c>
      <c r="CA116" s="3"/>
      <c r="CB116" s="3"/>
      <c r="CC116" s="3"/>
      <c r="CD116" s="3"/>
      <c r="CE116" s="3"/>
      <c r="CF116" s="3"/>
      <c r="CG116" s="311" t="b">
        <f aca="false">IF(BZ116="Saddle",TRUE(),)</f>
        <v>1</v>
      </c>
      <c r="CH116" s="3" t="s">
        <v>776</v>
      </c>
      <c r="CI116" s="3"/>
      <c r="CJ116" s="3"/>
      <c r="CK116" s="3"/>
      <c r="CL116" s="3"/>
      <c r="CM116" s="3"/>
      <c r="CN116" s="3"/>
      <c r="CO116" s="3"/>
      <c r="CP116" s="3"/>
      <c r="CQ116" s="3"/>
      <c r="CR116" s="3"/>
      <c r="CS116" s="3"/>
      <c r="CT116" s="3"/>
      <c r="CU116" s="3"/>
      <c r="CV116" s="3"/>
      <c r="CW116" s="3" t="s">
        <v>1100</v>
      </c>
      <c r="CX116" s="3" t="s">
        <v>1101</v>
      </c>
      <c r="CY116" s="3" t="s">
        <v>1102</v>
      </c>
      <c r="CZ116" s="3" t="s">
        <v>1103</v>
      </c>
    </row>
    <row r="117" customFormat="false" ht="15.75" hidden="false" customHeight="false" outlineLevel="0" collapsed="false">
      <c r="A117" s="290" t="s">
        <v>84</v>
      </c>
      <c r="B117" s="290" t="s">
        <v>356</v>
      </c>
      <c r="C117" s="290" t="s">
        <v>182</v>
      </c>
      <c r="D117" s="290" t="s">
        <v>182</v>
      </c>
      <c r="E117" s="290" t="s">
        <v>182</v>
      </c>
      <c r="F117" s="315" t="b">
        <f aca="false">TRUE()</f>
        <v>1</v>
      </c>
      <c r="G117" s="290" t="s">
        <v>438</v>
      </c>
      <c r="H117" s="290" t="s">
        <v>356</v>
      </c>
      <c r="I117" s="290" t="n">
        <v>75</v>
      </c>
      <c r="J117" s="3"/>
      <c r="K117" s="290" t="s">
        <v>741</v>
      </c>
      <c r="L117" s="290" t="n">
        <v>6</v>
      </c>
      <c r="M117" s="290" t="s">
        <v>758</v>
      </c>
      <c r="N117" s="290" t="s">
        <v>743</v>
      </c>
      <c r="O117" s="290" t="s">
        <v>744</v>
      </c>
      <c r="P117" s="290" t="s">
        <v>745</v>
      </c>
      <c r="Q117" s="290" t="s">
        <v>746</v>
      </c>
      <c r="R117" s="315" t="b">
        <f aca="false">FALSE()</f>
        <v>0</v>
      </c>
      <c r="S117" s="290" t="n">
        <v>90</v>
      </c>
      <c r="T117" s="290" t="n">
        <v>100</v>
      </c>
      <c r="U117" s="290" t="n">
        <v>105</v>
      </c>
      <c r="V117" s="290" t="n">
        <v>90</v>
      </c>
      <c r="W117" s="290" t="n">
        <v>100</v>
      </c>
      <c r="X117" s="290" t="n">
        <v>100</v>
      </c>
      <c r="Y117" s="290" t="n">
        <v>1</v>
      </c>
      <c r="Z117" s="290" t="n">
        <v>1</v>
      </c>
      <c r="AA117" s="290" t="n">
        <v>1</v>
      </c>
      <c r="AB117" s="290" t="n">
        <v>4120</v>
      </c>
      <c r="AC117" s="290" t="s">
        <v>747</v>
      </c>
      <c r="AD117" s="290" t="s">
        <v>182</v>
      </c>
      <c r="AE117" s="290" t="n">
        <v>70</v>
      </c>
      <c r="AF117" s="290" t="n">
        <v>145</v>
      </c>
      <c r="AG117" s="290" t="n">
        <v>440</v>
      </c>
      <c r="AH117" s="290" t="n">
        <v>620</v>
      </c>
      <c r="AI117" s="290" t="n">
        <v>292</v>
      </c>
      <c r="AJ117" s="315" t="b">
        <f aca="false">FALSE()</f>
        <v>0</v>
      </c>
      <c r="AK117" s="315" t="b">
        <f aca="false">FALSE()</f>
        <v>0</v>
      </c>
      <c r="AL117" s="290" t="s">
        <v>765</v>
      </c>
      <c r="AM117" s="315" t="b">
        <f aca="false">FALSE()</f>
        <v>0</v>
      </c>
      <c r="AN117" s="315" t="b">
        <f aca="false">FALSE()</f>
        <v>0</v>
      </c>
      <c r="AO117" s="290" t="n">
        <v>350</v>
      </c>
      <c r="AP117" s="290" t="n">
        <v>1</v>
      </c>
      <c r="AQ117" s="290" t="n">
        <v>5</v>
      </c>
      <c r="AR117" s="290" t="n">
        <v>25</v>
      </c>
      <c r="AS117" s="290" t="n">
        <v>90</v>
      </c>
      <c r="AT117" s="290" t="n">
        <v>1</v>
      </c>
      <c r="AU117" s="315" t="b">
        <f aca="false">FALSE()</f>
        <v>0</v>
      </c>
      <c r="AV117" s="315" t="b">
        <f aca="false">TRUE()</f>
        <v>1</v>
      </c>
      <c r="AW117" s="290" t="n">
        <v>3</v>
      </c>
      <c r="AX117" s="315" t="b">
        <f aca="false">FALSE()</f>
        <v>0</v>
      </c>
      <c r="AY117" s="315" t="b">
        <f aca="false">TRUE()</f>
        <v>1</v>
      </c>
      <c r="AZ117" s="290" t="n">
        <v>100</v>
      </c>
      <c r="BA117" s="290" t="n">
        <v>50</v>
      </c>
      <c r="BB117" s="290" t="n">
        <v>700</v>
      </c>
      <c r="BC117" s="290" t="n">
        <v>0</v>
      </c>
      <c r="BD117" s="290" t="n">
        <v>0</v>
      </c>
      <c r="BE117" s="290" t="n">
        <v>0</v>
      </c>
      <c r="BF117" s="290" t="n">
        <v>0</v>
      </c>
      <c r="BG117" s="290" t="n">
        <v>2</v>
      </c>
      <c r="BH117" s="290" t="n">
        <v>0</v>
      </c>
      <c r="BI117" s="290" t="n">
        <v>0</v>
      </c>
      <c r="BJ117" s="290" t="n">
        <v>0</v>
      </c>
      <c r="BK117" s="290" t="n">
        <v>0</v>
      </c>
      <c r="BL117" s="290" t="n">
        <v>2</v>
      </c>
      <c r="BM117" s="290" t="n">
        <v>0</v>
      </c>
      <c r="BN117" s="290" t="n">
        <v>2</v>
      </c>
      <c r="BO117" s="290" t="n">
        <v>0</v>
      </c>
      <c r="BP117" s="290" t="s">
        <v>182</v>
      </c>
      <c r="BQ117" s="290" t="s">
        <v>182</v>
      </c>
      <c r="BR117" s="290" t="s">
        <v>182</v>
      </c>
      <c r="BS117" s="290" t="s">
        <v>182</v>
      </c>
      <c r="BT117" s="290" t="n">
        <v>116</v>
      </c>
      <c r="BU117" s="316" t="b">
        <f aca="false">FALSE()</f>
        <v>0</v>
      </c>
      <c r="BV117" s="290"/>
      <c r="BW117" s="3"/>
      <c r="BX117" s="3"/>
      <c r="BY117" s="3"/>
      <c r="BZ117" s="3"/>
      <c r="CA117" s="3"/>
      <c r="CB117" s="3"/>
      <c r="CC117" s="3"/>
      <c r="CD117" s="3"/>
      <c r="CE117" s="3"/>
      <c r="CF117" s="3"/>
      <c r="CG117" s="3" t="n">
        <f aca="false">IF(BZ117="Saddle",TRUE(),)</f>
        <v>0</v>
      </c>
      <c r="CH117" s="3"/>
      <c r="CI117" s="3"/>
      <c r="CJ117" s="3"/>
      <c r="CK117" s="3"/>
      <c r="CL117" s="3"/>
      <c r="CM117" s="3"/>
      <c r="CN117" s="3"/>
      <c r="CO117" s="3"/>
      <c r="CP117" s="3"/>
      <c r="CQ117" s="3"/>
      <c r="CR117" s="3"/>
      <c r="CS117" s="3"/>
      <c r="CT117" s="3"/>
      <c r="CU117" s="3"/>
      <c r="CV117" s="3" t="s">
        <v>1151</v>
      </c>
      <c r="CW117" s="3" t="s">
        <v>1152</v>
      </c>
      <c r="CX117" s="3" t="s">
        <v>1153</v>
      </c>
      <c r="CY117" s="3" t="s">
        <v>1154</v>
      </c>
      <c r="CZ117" s="3" t="s">
        <v>1155</v>
      </c>
    </row>
    <row r="118" customFormat="false" ht="15.75" hidden="false" customHeight="false" outlineLevel="0" collapsed="false">
      <c r="A118" s="290" t="s">
        <v>125</v>
      </c>
      <c r="B118" s="290" t="s">
        <v>313</v>
      </c>
      <c r="C118" s="290" t="s">
        <v>182</v>
      </c>
      <c r="D118" s="290" t="s">
        <v>182</v>
      </c>
      <c r="E118" s="290" t="s">
        <v>182</v>
      </c>
      <c r="F118" s="315" t="b">
        <f aca="false">TRUE()</f>
        <v>1</v>
      </c>
      <c r="G118" s="290" t="s">
        <v>1168</v>
      </c>
      <c r="H118" s="290" t="s">
        <v>313</v>
      </c>
      <c r="I118" s="290" t="n">
        <v>39</v>
      </c>
      <c r="J118" s="3"/>
      <c r="K118" s="290" t="s">
        <v>762</v>
      </c>
      <c r="L118" s="290" t="n">
        <v>1</v>
      </c>
      <c r="M118" s="290" t="s">
        <v>789</v>
      </c>
      <c r="N118" s="290" t="s">
        <v>743</v>
      </c>
      <c r="O118" s="290" t="s">
        <v>744</v>
      </c>
      <c r="P118" s="290" t="s">
        <v>745</v>
      </c>
      <c r="Q118" s="290" t="s">
        <v>746</v>
      </c>
      <c r="R118" s="315" t="b">
        <f aca="false">FALSE()</f>
        <v>0</v>
      </c>
      <c r="S118" s="290" t="n">
        <v>75</v>
      </c>
      <c r="T118" s="290" t="n">
        <v>100</v>
      </c>
      <c r="U118" s="290" t="n">
        <v>65</v>
      </c>
      <c r="V118" s="290" t="n">
        <v>70</v>
      </c>
      <c r="W118" s="290" t="n">
        <v>100</v>
      </c>
      <c r="X118" s="290" t="n">
        <v>100</v>
      </c>
      <c r="Y118" s="290" t="n">
        <v>1</v>
      </c>
      <c r="Z118" s="290" t="n">
        <v>1</v>
      </c>
      <c r="AA118" s="290" t="n">
        <v>1</v>
      </c>
      <c r="AB118" s="290" t="n">
        <v>1160</v>
      </c>
      <c r="AC118" s="290" t="s">
        <v>764</v>
      </c>
      <c r="AD118" s="290" t="s">
        <v>182</v>
      </c>
      <c r="AE118" s="290" t="n">
        <v>50</v>
      </c>
      <c r="AF118" s="290" t="n">
        <v>100</v>
      </c>
      <c r="AG118" s="290" t="n">
        <v>245</v>
      </c>
      <c r="AH118" s="290" t="n">
        <v>350</v>
      </c>
      <c r="AI118" s="290" t="n">
        <v>172</v>
      </c>
      <c r="AJ118" s="315" t="b">
        <f aca="false">FALSE()</f>
        <v>0</v>
      </c>
      <c r="AK118" s="315" t="b">
        <f aca="false">FALSE()</f>
        <v>0</v>
      </c>
      <c r="AL118" s="290" t="s">
        <v>765</v>
      </c>
      <c r="AM118" s="315" t="b">
        <f aca="false">FALSE()</f>
        <v>0</v>
      </c>
      <c r="AN118" s="315" t="b">
        <f aca="false">FALSE()</f>
        <v>0</v>
      </c>
      <c r="AO118" s="290" t="n">
        <v>150</v>
      </c>
      <c r="AP118" s="290" t="n">
        <v>1</v>
      </c>
      <c r="AQ118" s="290" t="n">
        <v>2</v>
      </c>
      <c r="AR118" s="290" t="n">
        <v>25</v>
      </c>
      <c r="AS118" s="290" t="n">
        <v>90</v>
      </c>
      <c r="AT118" s="290" t="n">
        <v>1</v>
      </c>
      <c r="AU118" s="315" t="b">
        <f aca="false">TRUE()</f>
        <v>1</v>
      </c>
      <c r="AV118" s="315" t="b">
        <f aca="false">FALSE()</f>
        <v>0</v>
      </c>
      <c r="AW118" s="290" t="n">
        <v>0</v>
      </c>
      <c r="AX118" s="315" t="b">
        <f aca="false">FALSE()</f>
        <v>0</v>
      </c>
      <c r="AY118" s="315" t="b">
        <f aca="false">TRUE()</f>
        <v>1</v>
      </c>
      <c r="AZ118" s="290" t="n">
        <v>100</v>
      </c>
      <c r="BA118" s="290" t="n">
        <v>50</v>
      </c>
      <c r="BB118" s="290" t="n">
        <v>1310</v>
      </c>
      <c r="BC118" s="290" t="n">
        <v>0</v>
      </c>
      <c r="BD118" s="290" t="n">
        <v>0</v>
      </c>
      <c r="BE118" s="290" t="n">
        <v>0</v>
      </c>
      <c r="BF118" s="290" t="n">
        <v>0</v>
      </c>
      <c r="BG118" s="290" t="n">
        <v>1</v>
      </c>
      <c r="BH118" s="290" t="n">
        <v>1</v>
      </c>
      <c r="BI118" s="290" t="n">
        <v>0</v>
      </c>
      <c r="BJ118" s="290" t="n">
        <v>0</v>
      </c>
      <c r="BK118" s="290" t="n">
        <v>0</v>
      </c>
      <c r="BL118" s="290" t="n">
        <v>0</v>
      </c>
      <c r="BM118" s="290" t="n">
        <v>0</v>
      </c>
      <c r="BN118" s="290" t="n">
        <v>1</v>
      </c>
      <c r="BO118" s="290" t="n">
        <v>0</v>
      </c>
      <c r="BP118" s="290" t="s">
        <v>182</v>
      </c>
      <c r="BQ118" s="290" t="s">
        <v>182</v>
      </c>
      <c r="BR118" s="290" t="s">
        <v>182</v>
      </c>
      <c r="BS118" s="290" t="s">
        <v>182</v>
      </c>
      <c r="BT118" s="290" t="n">
        <v>117</v>
      </c>
      <c r="BU118" s="316" t="b">
        <f aca="false">FALSE()</f>
        <v>0</v>
      </c>
      <c r="BV118" s="290"/>
      <c r="BW118" s="3"/>
      <c r="BX118" s="3"/>
      <c r="BY118" s="3"/>
      <c r="BZ118" s="3"/>
      <c r="CA118" s="3"/>
      <c r="CB118" s="3"/>
      <c r="CC118" s="3"/>
      <c r="CD118" s="3"/>
      <c r="CE118" s="3"/>
      <c r="CF118" s="3"/>
      <c r="CG118" s="3" t="n">
        <f aca="false">IF(BZ118="Saddle",TRUE(),)</f>
        <v>0</v>
      </c>
      <c r="CH118" s="3"/>
      <c r="CI118" s="3" t="s">
        <v>1169</v>
      </c>
      <c r="CJ118" s="3" t="s">
        <v>1170</v>
      </c>
      <c r="CK118" s="3" t="s">
        <v>1171</v>
      </c>
      <c r="CL118" s="3" t="s">
        <v>1172</v>
      </c>
      <c r="CM118" s="3" t="s">
        <v>1173</v>
      </c>
      <c r="CN118" s="3" t="s">
        <v>1174</v>
      </c>
      <c r="CO118" s="3"/>
      <c r="CP118" s="3"/>
      <c r="CQ118" s="3"/>
      <c r="CR118" s="3"/>
      <c r="CS118" s="3"/>
      <c r="CT118" s="3"/>
      <c r="CU118" s="3" t="s">
        <v>1175</v>
      </c>
      <c r="CV118" s="3" t="s">
        <v>850</v>
      </c>
      <c r="CW118" s="3" t="s">
        <v>851</v>
      </c>
      <c r="CX118" s="3" t="s">
        <v>852</v>
      </c>
      <c r="CY118" s="3" t="s">
        <v>853</v>
      </c>
      <c r="CZ118" s="3" t="s">
        <v>854</v>
      </c>
    </row>
    <row r="119" customFormat="false" ht="15.75" hidden="false" customHeight="false" outlineLevel="0" collapsed="false">
      <c r="A119" s="290" t="s">
        <v>20</v>
      </c>
      <c r="B119" s="290" t="s">
        <v>354</v>
      </c>
      <c r="C119" s="290" t="s">
        <v>182</v>
      </c>
      <c r="D119" s="290" t="s">
        <v>182</v>
      </c>
      <c r="E119" s="290" t="s">
        <v>182</v>
      </c>
      <c r="F119" s="315" t="b">
        <f aca="false">TRUE()</f>
        <v>1</v>
      </c>
      <c r="G119" s="290" t="s">
        <v>1176</v>
      </c>
      <c r="H119" s="290" t="s">
        <v>354</v>
      </c>
      <c r="I119" s="290" t="n">
        <v>73</v>
      </c>
      <c r="J119" s="3"/>
      <c r="K119" s="290" t="s">
        <v>793</v>
      </c>
      <c r="L119" s="290" t="n">
        <v>6</v>
      </c>
      <c r="M119" s="290" t="s">
        <v>810</v>
      </c>
      <c r="N119" s="290" t="s">
        <v>743</v>
      </c>
      <c r="O119" s="290" t="s">
        <v>790</v>
      </c>
      <c r="P119" s="290" t="s">
        <v>745</v>
      </c>
      <c r="Q119" s="290" t="s">
        <v>746</v>
      </c>
      <c r="R119" s="315" t="b">
        <f aca="false">FALSE()</f>
        <v>0</v>
      </c>
      <c r="S119" s="290" t="n">
        <v>105</v>
      </c>
      <c r="T119" s="290" t="n">
        <v>100</v>
      </c>
      <c r="U119" s="290" t="n">
        <v>115</v>
      </c>
      <c r="V119" s="290" t="n">
        <v>80</v>
      </c>
      <c r="W119" s="290" t="n">
        <v>100</v>
      </c>
      <c r="X119" s="290" t="n">
        <v>100</v>
      </c>
      <c r="Y119" s="290" t="n">
        <v>1</v>
      </c>
      <c r="Z119" s="290" t="n">
        <v>1</v>
      </c>
      <c r="AA119" s="290" t="n">
        <v>1</v>
      </c>
      <c r="AB119" s="290" t="n">
        <v>7490</v>
      </c>
      <c r="AC119" s="290" t="s">
        <v>747</v>
      </c>
      <c r="AD119" s="290" t="s">
        <v>182</v>
      </c>
      <c r="AE119" s="290" t="n">
        <v>100</v>
      </c>
      <c r="AF119" s="290" t="n">
        <v>200</v>
      </c>
      <c r="AG119" s="290" t="n">
        <v>750</v>
      </c>
      <c r="AH119" s="290" t="n">
        <v>1200</v>
      </c>
      <c r="AI119" s="290" t="n">
        <v>375</v>
      </c>
      <c r="AJ119" s="315" t="b">
        <f aca="false">FALSE()</f>
        <v>0</v>
      </c>
      <c r="AK119" s="315" t="b">
        <f aca="false">FALSE()</f>
        <v>0</v>
      </c>
      <c r="AL119" s="290" t="s">
        <v>748</v>
      </c>
      <c r="AM119" s="315" t="b">
        <f aca="false">FALSE()</f>
        <v>0</v>
      </c>
      <c r="AN119" s="315" t="b">
        <f aca="false">FALSE()</f>
        <v>0</v>
      </c>
      <c r="AO119" s="290" t="n">
        <v>475</v>
      </c>
      <c r="AP119" s="290" t="n">
        <v>1</v>
      </c>
      <c r="AQ119" s="290" t="n">
        <v>7</v>
      </c>
      <c r="AR119" s="290" t="n">
        <v>25</v>
      </c>
      <c r="AS119" s="290" t="n">
        <v>90</v>
      </c>
      <c r="AT119" s="290" t="n">
        <v>1</v>
      </c>
      <c r="AU119" s="315" t="b">
        <f aca="false">FALSE()</f>
        <v>0</v>
      </c>
      <c r="AV119" s="315" t="b">
        <f aca="false">FALSE()</f>
        <v>0</v>
      </c>
      <c r="AW119" s="290" t="n">
        <v>5</v>
      </c>
      <c r="AX119" s="315" t="b">
        <f aca="false">TRUE()</f>
        <v>1</v>
      </c>
      <c r="AY119" s="315" t="b">
        <f aca="false">TRUE()</f>
        <v>1</v>
      </c>
      <c r="AZ119" s="290" t="n">
        <v>160</v>
      </c>
      <c r="BA119" s="290" t="n">
        <v>50</v>
      </c>
      <c r="BB119" s="290" t="n">
        <v>220</v>
      </c>
      <c r="BC119" s="290" t="n">
        <v>0</v>
      </c>
      <c r="BD119" s="290" t="n">
        <v>0</v>
      </c>
      <c r="BE119" s="290" t="n">
        <v>0</v>
      </c>
      <c r="BF119" s="290" t="n">
        <v>2</v>
      </c>
      <c r="BG119" s="290" t="n">
        <v>0</v>
      </c>
      <c r="BH119" s="290" t="n">
        <v>1</v>
      </c>
      <c r="BI119" s="290" t="n">
        <v>0</v>
      </c>
      <c r="BJ119" s="290" t="n">
        <v>0</v>
      </c>
      <c r="BK119" s="290" t="n">
        <v>0</v>
      </c>
      <c r="BL119" s="290" t="n">
        <v>0</v>
      </c>
      <c r="BM119" s="290" t="n">
        <v>0</v>
      </c>
      <c r="BN119" s="290" t="n">
        <v>3</v>
      </c>
      <c r="BO119" s="290" t="n">
        <v>0</v>
      </c>
      <c r="BP119" s="290" t="s">
        <v>182</v>
      </c>
      <c r="BQ119" s="290" t="s">
        <v>182</v>
      </c>
      <c r="BR119" s="290" t="s">
        <v>182</v>
      </c>
      <c r="BS119" s="290" t="s">
        <v>182</v>
      </c>
      <c r="BT119" s="290" t="n">
        <v>118</v>
      </c>
      <c r="BU119" s="316" t="b">
        <f aca="false">FALSE()</f>
        <v>0</v>
      </c>
      <c r="BV119" s="290"/>
      <c r="BW119" s="3"/>
      <c r="BX119" s="85" t="n">
        <v>34</v>
      </c>
      <c r="BY119" s="3" t="s">
        <v>1177</v>
      </c>
      <c r="BZ119" s="3" t="s">
        <v>775</v>
      </c>
      <c r="CA119" s="3"/>
      <c r="CB119" s="3"/>
      <c r="CC119" s="3"/>
      <c r="CD119" s="3"/>
      <c r="CE119" s="3"/>
      <c r="CF119" s="3"/>
      <c r="CG119" s="311" t="b">
        <f aca="false">IF(BZ119="Saddle",TRUE(),)</f>
        <v>1</v>
      </c>
      <c r="CH119" s="3" t="s">
        <v>902</v>
      </c>
      <c r="CI119" s="3" t="s">
        <v>750</v>
      </c>
      <c r="CJ119" s="3" t="s">
        <v>838</v>
      </c>
      <c r="CK119" s="3" t="s">
        <v>838</v>
      </c>
      <c r="CL119" s="3" t="s">
        <v>838</v>
      </c>
      <c r="CM119" s="3" t="s">
        <v>838</v>
      </c>
      <c r="CN119" s="3" t="s">
        <v>838</v>
      </c>
      <c r="CO119" s="3"/>
      <c r="CP119" s="3"/>
      <c r="CQ119" s="3"/>
      <c r="CR119" s="3"/>
      <c r="CS119" s="3"/>
      <c r="CT119" s="3"/>
      <c r="CU119" s="3"/>
      <c r="CV119" s="3" t="s">
        <v>839</v>
      </c>
      <c r="CW119" s="3" t="s">
        <v>840</v>
      </c>
      <c r="CX119" s="3" t="s">
        <v>841</v>
      </c>
      <c r="CY119" s="3" t="s">
        <v>842</v>
      </c>
      <c r="CZ119" s="3" t="s">
        <v>843</v>
      </c>
    </row>
    <row r="120" customFormat="false" ht="15.75" hidden="false" customHeight="false" outlineLevel="0" collapsed="false">
      <c r="A120" s="290" t="s">
        <v>149</v>
      </c>
      <c r="B120" s="290" t="s">
        <v>382</v>
      </c>
      <c r="C120" s="290" t="s">
        <v>182</v>
      </c>
      <c r="D120" s="290" t="s">
        <v>182</v>
      </c>
      <c r="E120" s="290" t="s">
        <v>182</v>
      </c>
      <c r="F120" s="315" t="b">
        <f aca="false">TRUE()</f>
        <v>1</v>
      </c>
      <c r="G120" s="290" t="s">
        <v>1178</v>
      </c>
      <c r="H120" s="290" t="s">
        <v>382</v>
      </c>
      <c r="I120" s="290" t="n">
        <v>92</v>
      </c>
      <c r="J120" s="3"/>
      <c r="K120" s="290" t="s">
        <v>793</v>
      </c>
      <c r="L120" s="290" t="n">
        <v>8</v>
      </c>
      <c r="M120" s="290" t="s">
        <v>742</v>
      </c>
      <c r="N120" s="290" t="s">
        <v>783</v>
      </c>
      <c r="O120" s="290" t="s">
        <v>744</v>
      </c>
      <c r="P120" s="290" t="s">
        <v>745</v>
      </c>
      <c r="Q120" s="290" t="s">
        <v>746</v>
      </c>
      <c r="R120" s="315" t="b">
        <f aca="false">FALSE()</f>
        <v>0</v>
      </c>
      <c r="S120" s="290" t="n">
        <v>120</v>
      </c>
      <c r="T120" s="290" t="n">
        <v>100</v>
      </c>
      <c r="U120" s="290" t="n">
        <v>100</v>
      </c>
      <c r="V120" s="290" t="n">
        <v>120</v>
      </c>
      <c r="W120" s="290" t="n">
        <v>100</v>
      </c>
      <c r="X120" s="290" t="n">
        <v>100</v>
      </c>
      <c r="Y120" s="290" t="n">
        <v>1</v>
      </c>
      <c r="Z120" s="290" t="n">
        <v>1</v>
      </c>
      <c r="AA120" s="290" t="n">
        <v>1</v>
      </c>
      <c r="AB120" s="290" t="n">
        <v>6830</v>
      </c>
      <c r="AC120" s="290" t="s">
        <v>747</v>
      </c>
      <c r="AD120" s="290" t="s">
        <v>182</v>
      </c>
      <c r="AE120" s="290" t="n">
        <v>55</v>
      </c>
      <c r="AF120" s="290" t="n">
        <v>110</v>
      </c>
      <c r="AG120" s="290" t="n">
        <v>500</v>
      </c>
      <c r="AH120" s="290" t="n">
        <v>600</v>
      </c>
      <c r="AI120" s="290" t="n">
        <v>110</v>
      </c>
      <c r="AJ120" s="315" t="b">
        <f aca="false">FALSE()</f>
        <v>0</v>
      </c>
      <c r="AK120" s="315" t="b">
        <f aca="false">FALSE()</f>
        <v>0</v>
      </c>
      <c r="AL120" s="290" t="s">
        <v>748</v>
      </c>
      <c r="AM120" s="315" t="b">
        <f aca="false">FALSE()</f>
        <v>0</v>
      </c>
      <c r="AN120" s="315" t="b">
        <f aca="false">FALSE()</f>
        <v>0</v>
      </c>
      <c r="AO120" s="290" t="n">
        <v>400</v>
      </c>
      <c r="AP120" s="290" t="n">
        <v>1</v>
      </c>
      <c r="AQ120" s="290" t="n">
        <v>6</v>
      </c>
      <c r="AR120" s="290" t="n">
        <v>25</v>
      </c>
      <c r="AS120" s="290" t="n">
        <v>90</v>
      </c>
      <c r="AT120" s="290" t="n">
        <v>1</v>
      </c>
      <c r="AU120" s="315" t="b">
        <f aca="false">FALSE()</f>
        <v>0</v>
      </c>
      <c r="AV120" s="315" t="b">
        <f aca="false">FALSE()</f>
        <v>0</v>
      </c>
      <c r="AW120" s="290" t="n">
        <v>5</v>
      </c>
      <c r="AX120" s="315" t="b">
        <f aca="false">FALSE()</f>
        <v>0</v>
      </c>
      <c r="AY120" s="315" t="b">
        <f aca="false">TRUE()</f>
        <v>1</v>
      </c>
      <c r="AZ120" s="290" t="n">
        <v>100</v>
      </c>
      <c r="BA120" s="290" t="n">
        <v>85</v>
      </c>
      <c r="BB120" s="290" t="n">
        <v>340</v>
      </c>
      <c r="BC120" s="290" t="n">
        <v>0</v>
      </c>
      <c r="BD120" s="290" t="n">
        <v>0</v>
      </c>
      <c r="BE120" s="290" t="n">
        <v>1</v>
      </c>
      <c r="BF120" s="290" t="n">
        <v>0</v>
      </c>
      <c r="BG120" s="290" t="n">
        <v>1</v>
      </c>
      <c r="BH120" s="290" t="n">
        <v>0</v>
      </c>
      <c r="BI120" s="290" t="n">
        <v>3</v>
      </c>
      <c r="BJ120" s="290" t="n">
        <v>0</v>
      </c>
      <c r="BK120" s="290" t="n">
        <v>0</v>
      </c>
      <c r="BL120" s="290" t="n">
        <v>0</v>
      </c>
      <c r="BM120" s="290" t="n">
        <v>0</v>
      </c>
      <c r="BN120" s="290" t="n">
        <v>3</v>
      </c>
      <c r="BO120" s="290" t="n">
        <v>0</v>
      </c>
      <c r="BP120" s="290" t="s">
        <v>802</v>
      </c>
      <c r="BQ120" s="290" t="s">
        <v>182</v>
      </c>
      <c r="BR120" s="290" t="s">
        <v>182</v>
      </c>
      <c r="BS120" s="290" t="s">
        <v>182</v>
      </c>
      <c r="BT120" s="290" t="n">
        <v>119</v>
      </c>
      <c r="BU120" s="316" t="b">
        <f aca="false">FALSE()</f>
        <v>0</v>
      </c>
      <c r="BV120" s="290"/>
      <c r="BW120" s="3"/>
      <c r="BX120" s="3"/>
      <c r="BY120" s="3"/>
      <c r="BZ120" s="3"/>
      <c r="CA120" s="3"/>
      <c r="CB120" s="3"/>
      <c r="CC120" s="3"/>
      <c r="CD120" s="3"/>
      <c r="CE120" s="3"/>
      <c r="CF120" s="3"/>
      <c r="CG120" s="3" t="n">
        <f aca="false">IF(BZ120="Saddle",TRUE(),)</f>
        <v>0</v>
      </c>
      <c r="CH120" s="3"/>
      <c r="CI120" s="3"/>
      <c r="CJ120" s="3" t="s">
        <v>1179</v>
      </c>
      <c r="CK120" s="3" t="s">
        <v>1180</v>
      </c>
      <c r="CL120" s="3" t="s">
        <v>1181</v>
      </c>
      <c r="CM120" s="3" t="s">
        <v>1182</v>
      </c>
      <c r="CN120" s="3" t="s">
        <v>1183</v>
      </c>
      <c r="CO120" s="3"/>
      <c r="CP120" s="3"/>
      <c r="CQ120" s="3"/>
      <c r="CR120" s="3"/>
      <c r="CS120" s="3"/>
      <c r="CT120" s="3"/>
      <c r="CU120" s="3"/>
      <c r="CV120" s="3" t="s">
        <v>1184</v>
      </c>
      <c r="CW120" s="3" t="s">
        <v>1185</v>
      </c>
      <c r="CX120" s="3" t="s">
        <v>1186</v>
      </c>
      <c r="CY120" s="3" t="s">
        <v>1187</v>
      </c>
      <c r="CZ120" s="3" t="s">
        <v>1188</v>
      </c>
    </row>
    <row r="121" customFormat="false" ht="15.75" hidden="false" customHeight="false" outlineLevel="0" collapsed="false">
      <c r="A121" s="290" t="s">
        <v>113</v>
      </c>
      <c r="B121" s="290" t="s">
        <v>399</v>
      </c>
      <c r="C121" s="290" t="s">
        <v>182</v>
      </c>
      <c r="D121" s="290" t="s">
        <v>182</v>
      </c>
      <c r="E121" s="290" t="s">
        <v>182</v>
      </c>
      <c r="F121" s="315" t="b">
        <f aca="false">TRUE()</f>
        <v>1</v>
      </c>
      <c r="G121" s="290" t="s">
        <v>487</v>
      </c>
      <c r="H121" s="290" t="s">
        <v>399</v>
      </c>
      <c r="I121" s="290" t="n">
        <v>108</v>
      </c>
      <c r="J121" s="290" t="s">
        <v>761</v>
      </c>
      <c r="K121" s="290" t="s">
        <v>793</v>
      </c>
      <c r="L121" s="290" t="n">
        <v>20</v>
      </c>
      <c r="M121" s="290" t="s">
        <v>789</v>
      </c>
      <c r="N121" s="290" t="s">
        <v>743</v>
      </c>
      <c r="O121" s="290" t="s">
        <v>763</v>
      </c>
      <c r="P121" s="290" t="s">
        <v>745</v>
      </c>
      <c r="Q121" s="290" t="s">
        <v>746</v>
      </c>
      <c r="R121" s="315" t="b">
        <f aca="false">FALSE()</f>
        <v>0</v>
      </c>
      <c r="S121" s="290" t="n">
        <v>130</v>
      </c>
      <c r="T121" s="290" t="n">
        <v>110</v>
      </c>
      <c r="U121" s="290" t="n">
        <v>120</v>
      </c>
      <c r="V121" s="290" t="n">
        <v>145</v>
      </c>
      <c r="W121" s="290" t="n">
        <v>100</v>
      </c>
      <c r="X121" s="290" t="n">
        <v>100</v>
      </c>
      <c r="Y121" s="290" t="n">
        <v>1</v>
      </c>
      <c r="Z121" s="290" t="n">
        <v>1</v>
      </c>
      <c r="AA121" s="290" t="n">
        <v>1</v>
      </c>
      <c r="AB121" s="290" t="n">
        <v>8810</v>
      </c>
      <c r="AC121" s="290" t="s">
        <v>747</v>
      </c>
      <c r="AD121" s="290" t="s">
        <v>182</v>
      </c>
      <c r="AE121" s="290" t="n">
        <v>50</v>
      </c>
      <c r="AF121" s="290" t="n">
        <v>100</v>
      </c>
      <c r="AG121" s="290" t="n">
        <v>800</v>
      </c>
      <c r="AH121" s="290" t="n">
        <v>1400</v>
      </c>
      <c r="AI121" s="290" t="n">
        <v>450</v>
      </c>
      <c r="AJ121" s="315" t="b">
        <f aca="false">FALSE()</f>
        <v>0</v>
      </c>
      <c r="AK121" s="315" t="b">
        <f aca="false">FALSE()</f>
        <v>0</v>
      </c>
      <c r="AL121" s="290" t="s">
        <v>1005</v>
      </c>
      <c r="AM121" s="315" t="b">
        <f aca="false">FALSE()</f>
        <v>0</v>
      </c>
      <c r="AN121" s="315" t="b">
        <f aca="false">FALSE()</f>
        <v>0</v>
      </c>
      <c r="AO121" s="290" t="n">
        <v>600</v>
      </c>
      <c r="AP121" s="290" t="n">
        <v>1</v>
      </c>
      <c r="AQ121" s="290" t="n">
        <v>9</v>
      </c>
      <c r="AR121" s="290" t="n">
        <v>25</v>
      </c>
      <c r="AS121" s="290" t="n">
        <v>90</v>
      </c>
      <c r="AT121" s="290" t="n">
        <v>1</v>
      </c>
      <c r="AU121" s="315" t="b">
        <f aca="false">FALSE()</f>
        <v>0</v>
      </c>
      <c r="AV121" s="315" t="b">
        <f aca="false">FALSE()</f>
        <v>0</v>
      </c>
      <c r="AW121" s="290" t="n">
        <v>5</v>
      </c>
      <c r="AX121" s="315" t="b">
        <f aca="false">FALSE()</f>
        <v>0</v>
      </c>
      <c r="AY121" s="315" t="b">
        <f aca="false">TRUE()</f>
        <v>1</v>
      </c>
      <c r="AZ121" s="290" t="n">
        <v>100</v>
      </c>
      <c r="BA121" s="290" t="n">
        <v>50</v>
      </c>
      <c r="BB121" s="290" t="n">
        <v>80</v>
      </c>
      <c r="BC121" s="290" t="n">
        <v>0</v>
      </c>
      <c r="BD121" s="290" t="n">
        <v>0</v>
      </c>
      <c r="BE121" s="290" t="n">
        <v>0</v>
      </c>
      <c r="BF121" s="290" t="n">
        <v>0</v>
      </c>
      <c r="BG121" s="290" t="n">
        <v>0</v>
      </c>
      <c r="BH121" s="290" t="n">
        <v>0</v>
      </c>
      <c r="BI121" s="290" t="n">
        <v>2</v>
      </c>
      <c r="BJ121" s="290" t="n">
        <v>2</v>
      </c>
      <c r="BK121" s="290" t="n">
        <v>0</v>
      </c>
      <c r="BL121" s="290" t="n">
        <v>0</v>
      </c>
      <c r="BM121" s="290" t="n">
        <v>0</v>
      </c>
      <c r="BN121" s="290" t="n">
        <v>0</v>
      </c>
      <c r="BO121" s="290" t="n">
        <v>0</v>
      </c>
      <c r="BP121" s="290" t="s">
        <v>1006</v>
      </c>
      <c r="BQ121" s="290" t="s">
        <v>1189</v>
      </c>
      <c r="BR121" s="290" t="s">
        <v>182</v>
      </c>
      <c r="BS121" s="290" t="s">
        <v>182</v>
      </c>
      <c r="BT121" s="290" t="n">
        <v>120</v>
      </c>
      <c r="BU121" s="316" t="b">
        <f aca="false">TRUE()</f>
        <v>1</v>
      </c>
      <c r="BV121" s="290"/>
      <c r="BW121" s="3"/>
      <c r="BX121" s="85" t="n">
        <v>49</v>
      </c>
      <c r="BY121" s="3" t="s">
        <v>1190</v>
      </c>
      <c r="BZ121" s="3" t="s">
        <v>775</v>
      </c>
      <c r="CA121" s="3"/>
      <c r="CB121" s="3"/>
      <c r="CC121" s="3"/>
      <c r="CD121" s="3"/>
      <c r="CE121" s="3"/>
      <c r="CF121" s="3"/>
      <c r="CG121" s="311" t="b">
        <f aca="false">IF(BZ121="Saddle",TRUE(),)</f>
        <v>1</v>
      </c>
      <c r="CH121" s="3" t="s">
        <v>776</v>
      </c>
      <c r="CI121" s="3"/>
      <c r="CJ121" s="3"/>
      <c r="CK121" s="3"/>
      <c r="CL121" s="3"/>
      <c r="CM121" s="3"/>
      <c r="CN121" s="3"/>
      <c r="CO121" s="3"/>
      <c r="CP121" s="3"/>
      <c r="CQ121" s="3"/>
      <c r="CR121" s="3"/>
      <c r="CS121" s="3"/>
      <c r="CT121" s="3"/>
      <c r="CU121" s="3" t="s">
        <v>818</v>
      </c>
      <c r="CV121" s="3"/>
      <c r="CW121" s="3" t="s">
        <v>819</v>
      </c>
      <c r="CX121" s="3" t="s">
        <v>820</v>
      </c>
      <c r="CY121" s="3" t="s">
        <v>821</v>
      </c>
      <c r="CZ121" s="3" t="s">
        <v>822</v>
      </c>
    </row>
    <row r="122" customFormat="false" ht="15.75" hidden="false" customHeight="false" outlineLevel="0" collapsed="false">
      <c r="A122" s="290" t="s">
        <v>111</v>
      </c>
      <c r="B122" s="290" t="s">
        <v>289</v>
      </c>
      <c r="C122" s="290" t="s">
        <v>182</v>
      </c>
      <c r="D122" s="290" t="s">
        <v>182</v>
      </c>
      <c r="E122" s="290" t="s">
        <v>182</v>
      </c>
      <c r="F122" s="315" t="b">
        <f aca="false">TRUE()</f>
        <v>1</v>
      </c>
      <c r="G122" s="290" t="s">
        <v>1191</v>
      </c>
      <c r="H122" s="290" t="s">
        <v>289</v>
      </c>
      <c r="I122" s="290" t="n">
        <v>21</v>
      </c>
      <c r="J122" s="3"/>
      <c r="K122" s="290" t="s">
        <v>762</v>
      </c>
      <c r="L122" s="290" t="n">
        <v>6</v>
      </c>
      <c r="M122" s="290" t="s">
        <v>758</v>
      </c>
      <c r="N122" s="290" t="s">
        <v>743</v>
      </c>
      <c r="O122" s="290" t="s">
        <v>763</v>
      </c>
      <c r="P122" s="290" t="s">
        <v>745</v>
      </c>
      <c r="Q122" s="290" t="s">
        <v>746</v>
      </c>
      <c r="R122" s="315" t="b">
        <f aca="false">FALSE()</f>
        <v>0</v>
      </c>
      <c r="S122" s="290" t="n">
        <v>75</v>
      </c>
      <c r="T122" s="290" t="n">
        <v>70</v>
      </c>
      <c r="U122" s="290" t="n">
        <v>85</v>
      </c>
      <c r="V122" s="290" t="n">
        <v>70</v>
      </c>
      <c r="W122" s="290" t="n">
        <v>140</v>
      </c>
      <c r="X122" s="290" t="n">
        <v>100</v>
      </c>
      <c r="Y122" s="290" t="n">
        <v>1</v>
      </c>
      <c r="Z122" s="290" t="n">
        <v>1</v>
      </c>
      <c r="AA122" s="290" t="n">
        <v>1</v>
      </c>
      <c r="AB122" s="290" t="n">
        <v>1480</v>
      </c>
      <c r="AC122" s="290" t="s">
        <v>764</v>
      </c>
      <c r="AD122" s="290" t="s">
        <v>182</v>
      </c>
      <c r="AE122" s="290" t="n">
        <v>30</v>
      </c>
      <c r="AF122" s="290" t="n">
        <v>60</v>
      </c>
      <c r="AG122" s="290" t="n">
        <v>300</v>
      </c>
      <c r="AH122" s="290" t="n">
        <v>500</v>
      </c>
      <c r="AI122" s="290" t="n">
        <v>164</v>
      </c>
      <c r="AJ122" s="315" t="b">
        <f aca="false">FALSE()</f>
        <v>0</v>
      </c>
      <c r="AK122" s="315" t="b">
        <f aca="false">FALSE()</f>
        <v>0</v>
      </c>
      <c r="AL122" s="290" t="s">
        <v>765</v>
      </c>
      <c r="AM122" s="315" t="b">
        <f aca="false">FALSE()</f>
        <v>0</v>
      </c>
      <c r="AN122" s="315" t="b">
        <f aca="false">FALSE()</f>
        <v>0</v>
      </c>
      <c r="AO122" s="290" t="n">
        <v>150</v>
      </c>
      <c r="AP122" s="290" t="n">
        <v>1</v>
      </c>
      <c r="AQ122" s="290" t="n">
        <v>2</v>
      </c>
      <c r="AR122" s="290" t="n">
        <v>25</v>
      </c>
      <c r="AS122" s="290" t="n">
        <v>90</v>
      </c>
      <c r="AT122" s="290" t="n">
        <v>1</v>
      </c>
      <c r="AU122" s="315" t="b">
        <f aca="false">TRUE()</f>
        <v>1</v>
      </c>
      <c r="AV122" s="315" t="b">
        <f aca="false">FALSE()</f>
        <v>0</v>
      </c>
      <c r="AW122" s="290" t="n">
        <v>0</v>
      </c>
      <c r="AX122" s="315" t="b">
        <f aca="false">FALSE()</f>
        <v>0</v>
      </c>
      <c r="AY122" s="315" t="b">
        <f aca="false">TRUE()</f>
        <v>1</v>
      </c>
      <c r="AZ122" s="290" t="n">
        <v>100</v>
      </c>
      <c r="BA122" s="290" t="n">
        <v>50</v>
      </c>
      <c r="BB122" s="290" t="n">
        <v>1180</v>
      </c>
      <c r="BC122" s="290" t="n">
        <v>0</v>
      </c>
      <c r="BD122" s="290" t="n">
        <v>0</v>
      </c>
      <c r="BE122" s="290" t="n">
        <v>0</v>
      </c>
      <c r="BF122" s="290" t="n">
        <v>0</v>
      </c>
      <c r="BG122" s="290" t="n">
        <v>0</v>
      </c>
      <c r="BH122" s="290" t="n">
        <v>1</v>
      </c>
      <c r="BI122" s="290" t="n">
        <v>0</v>
      </c>
      <c r="BJ122" s="290" t="n">
        <v>0</v>
      </c>
      <c r="BK122" s="290" t="n">
        <v>0</v>
      </c>
      <c r="BL122" s="290" t="n">
        <v>0</v>
      </c>
      <c r="BM122" s="290" t="n">
        <v>0</v>
      </c>
      <c r="BN122" s="290" t="n">
        <v>0</v>
      </c>
      <c r="BO122" s="290" t="n">
        <v>0</v>
      </c>
      <c r="BP122" s="290" t="s">
        <v>182</v>
      </c>
      <c r="BQ122" s="290" t="s">
        <v>182</v>
      </c>
      <c r="BR122" s="290" t="s">
        <v>182</v>
      </c>
      <c r="BS122" s="290" t="s">
        <v>182</v>
      </c>
      <c r="BT122" s="290" t="n">
        <v>121</v>
      </c>
      <c r="BU122" s="316" t="b">
        <f aca="false">FALSE()</f>
        <v>0</v>
      </c>
      <c r="BV122" s="290"/>
      <c r="BW122" s="3"/>
      <c r="BX122" s="3"/>
      <c r="BY122" s="3"/>
      <c r="BZ122" s="3"/>
      <c r="CA122" s="3"/>
      <c r="CB122" s="3"/>
      <c r="CC122" s="3"/>
      <c r="CD122" s="3"/>
      <c r="CE122" s="3"/>
      <c r="CF122" s="3"/>
      <c r="CG122" s="3" t="n">
        <f aca="false">IF(BZ122="Saddle",TRUE(),)</f>
        <v>0</v>
      </c>
      <c r="CH122" s="3"/>
      <c r="CI122" s="3" t="s">
        <v>750</v>
      </c>
      <c r="CJ122" s="3" t="s">
        <v>1192</v>
      </c>
      <c r="CK122" s="3" t="s">
        <v>1192</v>
      </c>
      <c r="CL122" s="3" t="s">
        <v>1192</v>
      </c>
      <c r="CM122" s="3" t="s">
        <v>1192</v>
      </c>
      <c r="CN122" s="3" t="s">
        <v>1192</v>
      </c>
      <c r="CO122" s="3"/>
      <c r="CP122" s="3"/>
      <c r="CQ122" s="3"/>
      <c r="CR122" s="3"/>
      <c r="CS122" s="3"/>
      <c r="CT122" s="3"/>
      <c r="CU122" s="3"/>
      <c r="CV122" s="3" t="s">
        <v>752</v>
      </c>
      <c r="CW122" s="3" t="s">
        <v>753</v>
      </c>
      <c r="CX122" s="3" t="s">
        <v>754</v>
      </c>
      <c r="CY122" s="3" t="s">
        <v>755</v>
      </c>
      <c r="CZ122" s="3" t="s">
        <v>756</v>
      </c>
    </row>
    <row r="123" customFormat="false" ht="15.75" hidden="false" customHeight="false" outlineLevel="0" collapsed="false">
      <c r="A123" s="290" t="s">
        <v>115</v>
      </c>
      <c r="B123" s="290" t="s">
        <v>275</v>
      </c>
      <c r="C123" s="290" t="s">
        <v>182</v>
      </c>
      <c r="D123" s="290" t="s">
        <v>182</v>
      </c>
      <c r="E123" s="290" t="s">
        <v>182</v>
      </c>
      <c r="F123" s="315" t="b">
        <f aca="false">TRUE()</f>
        <v>1</v>
      </c>
      <c r="G123" s="290" t="s">
        <v>1193</v>
      </c>
      <c r="H123" s="290" t="s">
        <v>275</v>
      </c>
      <c r="I123" s="290" t="n">
        <v>11</v>
      </c>
      <c r="J123" s="3"/>
      <c r="K123" s="290" t="s">
        <v>793</v>
      </c>
      <c r="L123" s="290" t="n">
        <v>6</v>
      </c>
      <c r="M123" s="290" t="s">
        <v>814</v>
      </c>
      <c r="N123" s="290" t="s">
        <v>771</v>
      </c>
      <c r="O123" s="290" t="s">
        <v>744</v>
      </c>
      <c r="P123" s="290" t="s">
        <v>745</v>
      </c>
      <c r="Q123" s="290" t="s">
        <v>746</v>
      </c>
      <c r="R123" s="315" t="b">
        <f aca="false">FALSE()</f>
        <v>0</v>
      </c>
      <c r="S123" s="290" t="n">
        <v>95</v>
      </c>
      <c r="T123" s="290" t="n">
        <v>70</v>
      </c>
      <c r="U123" s="290" t="n">
        <v>95</v>
      </c>
      <c r="V123" s="290" t="n">
        <v>95</v>
      </c>
      <c r="W123" s="290" t="n">
        <v>100</v>
      </c>
      <c r="X123" s="290" t="n">
        <v>100</v>
      </c>
      <c r="Y123" s="290" t="n">
        <v>1</v>
      </c>
      <c r="Z123" s="290" t="n">
        <v>1</v>
      </c>
      <c r="AA123" s="290" t="n">
        <v>1</v>
      </c>
      <c r="AB123" s="290" t="n">
        <v>5410</v>
      </c>
      <c r="AC123" s="290" t="s">
        <v>747</v>
      </c>
      <c r="AD123" s="290" t="s">
        <v>182</v>
      </c>
      <c r="AE123" s="290" t="n">
        <v>50</v>
      </c>
      <c r="AF123" s="290" t="n">
        <v>110</v>
      </c>
      <c r="AG123" s="290" t="n">
        <v>450</v>
      </c>
      <c r="AH123" s="290" t="n">
        <v>600</v>
      </c>
      <c r="AI123" s="290" t="n">
        <v>280</v>
      </c>
      <c r="AJ123" s="315" t="b">
        <f aca="false">FALSE()</f>
        <v>0</v>
      </c>
      <c r="AK123" s="315" t="b">
        <f aca="false">FALSE()</f>
        <v>0</v>
      </c>
      <c r="AL123" s="290" t="s">
        <v>765</v>
      </c>
      <c r="AM123" s="315" t="b">
        <f aca="false">FALSE()</f>
        <v>0</v>
      </c>
      <c r="AN123" s="315" t="b">
        <f aca="false">FALSE()</f>
        <v>0</v>
      </c>
      <c r="AO123" s="290" t="n">
        <v>525</v>
      </c>
      <c r="AP123" s="290" t="n">
        <v>1</v>
      </c>
      <c r="AQ123" s="290" t="n">
        <v>8</v>
      </c>
      <c r="AR123" s="290" t="n">
        <v>25</v>
      </c>
      <c r="AS123" s="290" t="n">
        <v>90</v>
      </c>
      <c r="AT123" s="290" t="n">
        <v>1</v>
      </c>
      <c r="AU123" s="315" t="b">
        <f aca="false">FALSE()</f>
        <v>0</v>
      </c>
      <c r="AV123" s="315" t="b">
        <f aca="false">FALSE()</f>
        <v>0</v>
      </c>
      <c r="AW123" s="290" t="n">
        <v>3</v>
      </c>
      <c r="AX123" s="315" t="b">
        <f aca="false">FALSE()</f>
        <v>0</v>
      </c>
      <c r="AY123" s="315" t="b">
        <f aca="false">TRUE()</f>
        <v>1</v>
      </c>
      <c r="AZ123" s="290" t="n">
        <v>100</v>
      </c>
      <c r="BA123" s="290" t="n">
        <v>50</v>
      </c>
      <c r="BB123" s="290" t="n">
        <v>520</v>
      </c>
      <c r="BC123" s="290" t="n">
        <v>0</v>
      </c>
      <c r="BD123" s="290" t="n">
        <v>2</v>
      </c>
      <c r="BE123" s="290" t="n">
        <v>0</v>
      </c>
      <c r="BF123" s="290" t="n">
        <v>0</v>
      </c>
      <c r="BG123" s="290" t="n">
        <v>2</v>
      </c>
      <c r="BH123" s="290" t="n">
        <v>0</v>
      </c>
      <c r="BI123" s="290" t="n">
        <v>0</v>
      </c>
      <c r="BJ123" s="290" t="n">
        <v>2</v>
      </c>
      <c r="BK123" s="290" t="n">
        <v>0</v>
      </c>
      <c r="BL123" s="290" t="n">
        <v>0</v>
      </c>
      <c r="BM123" s="290" t="n">
        <v>2</v>
      </c>
      <c r="BN123" s="290" t="n">
        <v>2</v>
      </c>
      <c r="BO123" s="290" t="n">
        <v>0</v>
      </c>
      <c r="BP123" s="290" t="s">
        <v>182</v>
      </c>
      <c r="BQ123" s="290" t="s">
        <v>182</v>
      </c>
      <c r="BR123" s="290" t="s">
        <v>182</v>
      </c>
      <c r="BS123" s="290" t="s">
        <v>182</v>
      </c>
      <c r="BT123" s="290" t="n">
        <v>122</v>
      </c>
      <c r="BU123" s="316" t="b">
        <f aca="false">FALSE()</f>
        <v>0</v>
      </c>
      <c r="BV123" s="290"/>
      <c r="BW123" s="3"/>
      <c r="BX123" s="3"/>
      <c r="BY123" s="3"/>
      <c r="BZ123" s="3"/>
      <c r="CA123" s="3"/>
      <c r="CB123" s="3"/>
      <c r="CC123" s="3"/>
      <c r="CD123" s="3"/>
      <c r="CE123" s="3"/>
      <c r="CF123" s="3"/>
      <c r="CG123" s="3" t="n">
        <f aca="false">IF(BZ123="Saddle",TRUE(),)</f>
        <v>0</v>
      </c>
      <c r="CH123" s="3"/>
      <c r="CI123" s="3"/>
      <c r="CJ123" s="3"/>
      <c r="CK123" s="3"/>
      <c r="CL123" s="3"/>
      <c r="CM123" s="3"/>
      <c r="CN123" s="3"/>
      <c r="CO123" s="3"/>
      <c r="CP123" s="3"/>
      <c r="CQ123" s="3"/>
      <c r="CR123" s="3"/>
      <c r="CS123" s="3"/>
      <c r="CT123" s="3"/>
      <c r="CU123" s="3"/>
      <c r="CV123" s="3" t="s">
        <v>921</v>
      </c>
      <c r="CW123" s="3" t="s">
        <v>922</v>
      </c>
      <c r="CX123" s="3" t="s">
        <v>923</v>
      </c>
      <c r="CY123" s="3" t="s">
        <v>924</v>
      </c>
      <c r="CZ123" s="3" t="s">
        <v>925</v>
      </c>
    </row>
    <row r="124" customFormat="false" ht="15.75" hidden="false" customHeight="false" outlineLevel="0" collapsed="false">
      <c r="A124" s="290" t="s">
        <v>36</v>
      </c>
      <c r="B124" s="290" t="s">
        <v>332</v>
      </c>
      <c r="C124" s="290" t="s">
        <v>182</v>
      </c>
      <c r="D124" s="290" t="s">
        <v>182</v>
      </c>
      <c r="E124" s="290" t="s">
        <v>182</v>
      </c>
      <c r="F124" s="315" t="b">
        <f aca="false">TRUE()</f>
        <v>1</v>
      </c>
      <c r="G124" s="290" t="s">
        <v>1194</v>
      </c>
      <c r="H124" s="290" t="s">
        <v>332</v>
      </c>
      <c r="I124" s="290" t="n">
        <v>55</v>
      </c>
      <c r="J124" s="3"/>
      <c r="K124" s="290" t="s">
        <v>741</v>
      </c>
      <c r="L124" s="290" t="n">
        <v>4</v>
      </c>
      <c r="M124" s="290" t="s">
        <v>771</v>
      </c>
      <c r="N124" s="290" t="s">
        <v>885</v>
      </c>
      <c r="O124" s="290" t="s">
        <v>763</v>
      </c>
      <c r="P124" s="290" t="s">
        <v>745</v>
      </c>
      <c r="Q124" s="290" t="s">
        <v>746</v>
      </c>
      <c r="R124" s="315" t="b">
        <f aca="false">FALSE()</f>
        <v>0</v>
      </c>
      <c r="S124" s="290" t="n">
        <v>90</v>
      </c>
      <c r="T124" s="290" t="n">
        <v>100</v>
      </c>
      <c r="U124" s="290" t="n">
        <v>80</v>
      </c>
      <c r="V124" s="290" t="n">
        <v>80</v>
      </c>
      <c r="W124" s="290" t="n">
        <v>100</v>
      </c>
      <c r="X124" s="290" t="n">
        <v>100</v>
      </c>
      <c r="Y124" s="290" t="n">
        <v>1</v>
      </c>
      <c r="Z124" s="290" t="n">
        <v>1</v>
      </c>
      <c r="AA124" s="290" t="n">
        <v>1</v>
      </c>
      <c r="AB124" s="290" t="n">
        <v>3450</v>
      </c>
      <c r="AC124" s="290" t="s">
        <v>764</v>
      </c>
      <c r="AD124" s="290" t="s">
        <v>182</v>
      </c>
      <c r="AE124" s="290" t="n">
        <v>100</v>
      </c>
      <c r="AF124" s="290" t="n">
        <v>180</v>
      </c>
      <c r="AG124" s="290" t="n">
        <v>600</v>
      </c>
      <c r="AH124" s="290" t="n">
        <v>800</v>
      </c>
      <c r="AI124" s="290" t="n">
        <v>390</v>
      </c>
      <c r="AJ124" s="315" t="b">
        <f aca="false">FALSE()</f>
        <v>0</v>
      </c>
      <c r="AK124" s="315" t="b">
        <f aca="false">FALSE()</f>
        <v>0</v>
      </c>
      <c r="AL124" s="290" t="s">
        <v>765</v>
      </c>
      <c r="AM124" s="315" t="b">
        <f aca="false">FALSE()</f>
        <v>0</v>
      </c>
      <c r="AN124" s="315" t="b">
        <f aca="false">FALSE()</f>
        <v>0</v>
      </c>
      <c r="AO124" s="290" t="n">
        <v>225</v>
      </c>
      <c r="AP124" s="290" t="n">
        <v>1</v>
      </c>
      <c r="AQ124" s="290" t="n">
        <v>3</v>
      </c>
      <c r="AR124" s="290" t="n">
        <v>25</v>
      </c>
      <c r="AS124" s="290" t="n">
        <v>90</v>
      </c>
      <c r="AT124" s="290" t="n">
        <v>1</v>
      </c>
      <c r="AU124" s="315" t="b">
        <f aca="false">FALSE()</f>
        <v>0</v>
      </c>
      <c r="AV124" s="315" t="b">
        <f aca="false">FALSE()</f>
        <v>0</v>
      </c>
      <c r="AW124" s="290" t="n">
        <v>0</v>
      </c>
      <c r="AX124" s="315" t="b">
        <f aca="false">FALSE()</f>
        <v>0</v>
      </c>
      <c r="AY124" s="315" t="b">
        <f aca="false">TRUE()</f>
        <v>1</v>
      </c>
      <c r="AZ124" s="290" t="n">
        <v>100</v>
      </c>
      <c r="BA124" s="290" t="n">
        <v>50</v>
      </c>
      <c r="BB124" s="290" t="n">
        <v>800</v>
      </c>
      <c r="BC124" s="290" t="n">
        <v>0</v>
      </c>
      <c r="BD124" s="290" t="n">
        <v>0</v>
      </c>
      <c r="BE124" s="290" t="n">
        <v>0</v>
      </c>
      <c r="BF124" s="290" t="n">
        <v>0</v>
      </c>
      <c r="BG124" s="290" t="n">
        <v>0</v>
      </c>
      <c r="BH124" s="290" t="n">
        <v>1</v>
      </c>
      <c r="BI124" s="290" t="n">
        <v>0</v>
      </c>
      <c r="BJ124" s="290" t="n">
        <v>0</v>
      </c>
      <c r="BK124" s="290" t="n">
        <v>0</v>
      </c>
      <c r="BL124" s="290" t="n">
        <v>0</v>
      </c>
      <c r="BM124" s="290" t="n">
        <v>1</v>
      </c>
      <c r="BN124" s="290" t="n">
        <v>0</v>
      </c>
      <c r="BO124" s="290" t="n">
        <v>0</v>
      </c>
      <c r="BP124" s="290" t="s">
        <v>182</v>
      </c>
      <c r="BQ124" s="290" t="s">
        <v>182</v>
      </c>
      <c r="BR124" s="290" t="s">
        <v>182</v>
      </c>
      <c r="BS124" s="290" t="s">
        <v>182</v>
      </c>
      <c r="BT124" s="290" t="n">
        <v>123</v>
      </c>
      <c r="BU124" s="316" t="b">
        <f aca="false">FALSE()</f>
        <v>0</v>
      </c>
      <c r="BV124" s="290"/>
      <c r="BW124" s="3"/>
      <c r="BX124" s="85" t="n">
        <v>13</v>
      </c>
      <c r="BY124" s="3" t="s">
        <v>1195</v>
      </c>
      <c r="BZ124" s="3" t="s">
        <v>775</v>
      </c>
      <c r="CA124" s="3"/>
      <c r="CB124" s="3"/>
      <c r="CC124" s="3"/>
      <c r="CD124" s="3"/>
      <c r="CE124" s="3"/>
      <c r="CF124" s="3"/>
      <c r="CG124" s="311" t="b">
        <f aca="false">IF(BZ124="Saddle",TRUE(),)</f>
        <v>1</v>
      </c>
      <c r="CH124" s="3" t="s">
        <v>776</v>
      </c>
      <c r="CI124" s="3" t="s">
        <v>750</v>
      </c>
      <c r="CJ124" s="3" t="s">
        <v>1196</v>
      </c>
      <c r="CK124" s="3" t="s">
        <v>1196</v>
      </c>
      <c r="CL124" s="3" t="s">
        <v>1196</v>
      </c>
      <c r="CM124" s="3" t="s">
        <v>1196</v>
      </c>
      <c r="CN124" s="3" t="s">
        <v>1196</v>
      </c>
      <c r="CO124" s="3"/>
      <c r="CP124" s="3"/>
      <c r="CQ124" s="3"/>
      <c r="CR124" s="3"/>
      <c r="CS124" s="3"/>
      <c r="CT124" s="3"/>
      <c r="CU124" s="3"/>
      <c r="CV124" s="3" t="s">
        <v>839</v>
      </c>
      <c r="CW124" s="3" t="s">
        <v>840</v>
      </c>
      <c r="CX124" s="3" t="s">
        <v>841</v>
      </c>
      <c r="CY124" s="3" t="s">
        <v>842</v>
      </c>
      <c r="CZ124" s="3" t="s">
        <v>843</v>
      </c>
    </row>
    <row r="125" customFormat="false" ht="15.75" hidden="false" customHeight="false" outlineLevel="0" collapsed="false">
      <c r="A125" s="290" t="s">
        <v>119</v>
      </c>
      <c r="B125" s="290" t="s">
        <v>385</v>
      </c>
      <c r="C125" s="290" t="s">
        <v>182</v>
      </c>
      <c r="D125" s="290" t="s">
        <v>182</v>
      </c>
      <c r="E125" s="290" t="s">
        <v>182</v>
      </c>
      <c r="F125" s="315" t="b">
        <f aca="false">TRUE()</f>
        <v>1</v>
      </c>
      <c r="G125" s="290" t="s">
        <v>1197</v>
      </c>
      <c r="H125" s="290" t="s">
        <v>385</v>
      </c>
      <c r="I125" s="290" t="n">
        <v>95</v>
      </c>
      <c r="J125" s="3"/>
      <c r="K125" s="290" t="s">
        <v>793</v>
      </c>
      <c r="L125" s="290" t="n">
        <v>7</v>
      </c>
      <c r="M125" s="290" t="s">
        <v>885</v>
      </c>
      <c r="N125" s="290" t="s">
        <v>743</v>
      </c>
      <c r="O125" s="290" t="s">
        <v>1070</v>
      </c>
      <c r="P125" s="290" t="s">
        <v>745</v>
      </c>
      <c r="Q125" s="290" t="s">
        <v>746</v>
      </c>
      <c r="R125" s="315" t="b">
        <f aca="false">FALSE()</f>
        <v>0</v>
      </c>
      <c r="S125" s="290" t="n">
        <v>105</v>
      </c>
      <c r="T125" s="290" t="n">
        <v>100</v>
      </c>
      <c r="U125" s="290" t="n">
        <v>100</v>
      </c>
      <c r="V125" s="290" t="n">
        <v>100</v>
      </c>
      <c r="W125" s="290" t="n">
        <v>100</v>
      </c>
      <c r="X125" s="290" t="n">
        <v>100</v>
      </c>
      <c r="Y125" s="290" t="n">
        <v>1</v>
      </c>
      <c r="Z125" s="290" t="n">
        <v>1</v>
      </c>
      <c r="AA125" s="290" t="n">
        <v>1</v>
      </c>
      <c r="AB125" s="290" t="n">
        <v>6830</v>
      </c>
      <c r="AC125" s="290" t="s">
        <v>836</v>
      </c>
      <c r="AD125" s="290" t="s">
        <v>182</v>
      </c>
      <c r="AE125" s="290" t="n">
        <v>120</v>
      </c>
      <c r="AF125" s="290" t="n">
        <v>240</v>
      </c>
      <c r="AG125" s="290" t="n">
        <v>800</v>
      </c>
      <c r="AH125" s="290" t="n">
        <v>950</v>
      </c>
      <c r="AI125" s="290" t="n">
        <v>470</v>
      </c>
      <c r="AJ125" s="315" t="b">
        <f aca="false">FALSE()</f>
        <v>0</v>
      </c>
      <c r="AK125" s="315" t="b">
        <f aca="false">FALSE()</f>
        <v>0</v>
      </c>
      <c r="AL125" s="290" t="s">
        <v>765</v>
      </c>
      <c r="AM125" s="315" t="b">
        <f aca="false">FALSE()</f>
        <v>0</v>
      </c>
      <c r="AN125" s="315" t="b">
        <f aca="false">FALSE()</f>
        <v>0</v>
      </c>
      <c r="AO125" s="290" t="n">
        <v>300</v>
      </c>
      <c r="AP125" s="290" t="n">
        <v>1</v>
      </c>
      <c r="AQ125" s="290" t="n">
        <v>4</v>
      </c>
      <c r="AR125" s="290" t="n">
        <v>25</v>
      </c>
      <c r="AS125" s="290" t="n">
        <v>90</v>
      </c>
      <c r="AT125" s="290" t="n">
        <v>1</v>
      </c>
      <c r="AU125" s="315" t="b">
        <f aca="false">FALSE()</f>
        <v>0</v>
      </c>
      <c r="AV125" s="315" t="b">
        <f aca="false">FALSE()</f>
        <v>0</v>
      </c>
      <c r="AW125" s="290" t="n">
        <v>5</v>
      </c>
      <c r="AX125" s="315" t="b">
        <f aca="false">FALSE()</f>
        <v>0</v>
      </c>
      <c r="AY125" s="315" t="b">
        <f aca="false">TRUE()</f>
        <v>1</v>
      </c>
      <c r="AZ125" s="290" t="n">
        <v>220</v>
      </c>
      <c r="BA125" s="290" t="n">
        <v>50</v>
      </c>
      <c r="BB125" s="290" t="n">
        <v>350</v>
      </c>
      <c r="BC125" s="290" t="n">
        <v>0</v>
      </c>
      <c r="BD125" s="290" t="n">
        <v>0</v>
      </c>
      <c r="BE125" s="290" t="n">
        <v>0</v>
      </c>
      <c r="BF125" s="290" t="n">
        <v>0</v>
      </c>
      <c r="BG125" s="290" t="n">
        <v>1</v>
      </c>
      <c r="BH125" s="290" t="n">
        <v>2</v>
      </c>
      <c r="BI125" s="290" t="n">
        <v>0</v>
      </c>
      <c r="BJ125" s="290" t="n">
        <v>2</v>
      </c>
      <c r="BK125" s="290" t="n">
        <v>0</v>
      </c>
      <c r="BL125" s="290" t="n">
        <v>0</v>
      </c>
      <c r="BM125" s="290" t="n">
        <v>0</v>
      </c>
      <c r="BN125" s="290" t="n">
        <v>3</v>
      </c>
      <c r="BO125" s="290" t="n">
        <v>0</v>
      </c>
      <c r="BP125" s="290" t="s">
        <v>182</v>
      </c>
      <c r="BQ125" s="290" t="s">
        <v>182</v>
      </c>
      <c r="BR125" s="290" t="s">
        <v>182</v>
      </c>
      <c r="BS125" s="290" t="s">
        <v>182</v>
      </c>
      <c r="BT125" s="290" t="n">
        <v>124</v>
      </c>
      <c r="BU125" s="316" t="b">
        <f aca="false">FALSE()</f>
        <v>0</v>
      </c>
      <c r="BV125" s="290"/>
      <c r="BW125" s="3"/>
      <c r="BX125" s="85" t="n">
        <v>36</v>
      </c>
      <c r="BY125" s="3" t="s">
        <v>1198</v>
      </c>
      <c r="BZ125" s="3" t="s">
        <v>775</v>
      </c>
      <c r="CA125" s="3"/>
      <c r="CB125" s="3"/>
      <c r="CC125" s="3"/>
      <c r="CD125" s="3"/>
      <c r="CE125" s="3"/>
      <c r="CF125" s="3"/>
      <c r="CG125" s="311" t="b">
        <f aca="false">IF(BZ125="Saddle",TRUE(),)</f>
        <v>1</v>
      </c>
      <c r="CH125" s="3" t="s">
        <v>914</v>
      </c>
      <c r="CI125" s="3"/>
      <c r="CJ125" s="3"/>
      <c r="CK125" s="3"/>
      <c r="CL125" s="3"/>
      <c r="CM125" s="3"/>
      <c r="CN125" s="3"/>
      <c r="CO125" s="3"/>
      <c r="CP125" s="3"/>
      <c r="CQ125" s="3"/>
      <c r="CR125" s="3"/>
      <c r="CS125" s="3"/>
      <c r="CT125" s="3"/>
      <c r="CU125" s="3"/>
      <c r="CV125" s="3" t="s">
        <v>1199</v>
      </c>
      <c r="CW125" s="3" t="s">
        <v>1200</v>
      </c>
      <c r="CX125" s="3" t="s">
        <v>1201</v>
      </c>
      <c r="CY125" s="3" t="s">
        <v>1202</v>
      </c>
      <c r="CZ125" s="3" t="s">
        <v>1203</v>
      </c>
    </row>
    <row r="126" customFormat="false" ht="15.75" hidden="false" customHeight="false" outlineLevel="0" collapsed="false">
      <c r="A126" s="290" t="s">
        <v>73</v>
      </c>
      <c r="B126" s="290" t="s">
        <v>387</v>
      </c>
      <c r="C126" s="290" t="s">
        <v>182</v>
      </c>
      <c r="D126" s="290" t="s">
        <v>182</v>
      </c>
      <c r="E126" s="290" t="s">
        <v>182</v>
      </c>
      <c r="F126" s="315" t="b">
        <f aca="false">TRUE()</f>
        <v>1</v>
      </c>
      <c r="G126" s="290" t="s">
        <v>452</v>
      </c>
      <c r="H126" s="290" t="s">
        <v>387</v>
      </c>
      <c r="I126" s="290" t="n">
        <v>97</v>
      </c>
      <c r="J126" s="3"/>
      <c r="K126" s="290" t="s">
        <v>793</v>
      </c>
      <c r="L126" s="290" t="n">
        <v>7</v>
      </c>
      <c r="M126" s="290" t="s">
        <v>758</v>
      </c>
      <c r="N126" s="290" t="s">
        <v>743</v>
      </c>
      <c r="O126" s="290" t="s">
        <v>790</v>
      </c>
      <c r="P126" s="290" t="s">
        <v>745</v>
      </c>
      <c r="Q126" s="290" t="s">
        <v>746</v>
      </c>
      <c r="R126" s="315" t="b">
        <f aca="false">FALSE()</f>
        <v>0</v>
      </c>
      <c r="S126" s="290" t="n">
        <v>100</v>
      </c>
      <c r="T126" s="290" t="n">
        <v>100</v>
      </c>
      <c r="U126" s="290" t="n">
        <v>125</v>
      </c>
      <c r="V126" s="290" t="n">
        <v>100</v>
      </c>
      <c r="W126" s="290" t="n">
        <v>100</v>
      </c>
      <c r="X126" s="290" t="n">
        <v>100</v>
      </c>
      <c r="Y126" s="290" t="n">
        <v>1</v>
      </c>
      <c r="Z126" s="290" t="n">
        <v>1</v>
      </c>
      <c r="AA126" s="290" t="n">
        <v>1</v>
      </c>
      <c r="AB126" s="290" t="n">
        <v>7840</v>
      </c>
      <c r="AC126" s="290" t="s">
        <v>747</v>
      </c>
      <c r="AD126" s="290" t="s">
        <v>182</v>
      </c>
      <c r="AE126" s="290" t="n">
        <v>100</v>
      </c>
      <c r="AF126" s="290" t="n">
        <v>100</v>
      </c>
      <c r="AG126" s="290" t="n">
        <v>700</v>
      </c>
      <c r="AH126" s="290" t="n">
        <v>1100</v>
      </c>
      <c r="AI126" s="290" t="n">
        <v>450</v>
      </c>
      <c r="AJ126" s="315" t="b">
        <f aca="false">FALSE()</f>
        <v>0</v>
      </c>
      <c r="AK126" s="315" t="b">
        <f aca="false">FALSE()</f>
        <v>0</v>
      </c>
      <c r="AL126" s="290" t="s">
        <v>759</v>
      </c>
      <c r="AM126" s="315" t="b">
        <f aca="false">FALSE()</f>
        <v>0</v>
      </c>
      <c r="AN126" s="315" t="b">
        <f aca="false">FALSE()</f>
        <v>0</v>
      </c>
      <c r="AO126" s="290" t="n">
        <v>525</v>
      </c>
      <c r="AP126" s="290" t="n">
        <v>1</v>
      </c>
      <c r="AQ126" s="290" t="n">
        <v>8</v>
      </c>
      <c r="AR126" s="290" t="n">
        <v>25</v>
      </c>
      <c r="AS126" s="290" t="n">
        <v>90</v>
      </c>
      <c r="AT126" s="290" t="n">
        <v>1</v>
      </c>
      <c r="AU126" s="315" t="b">
        <f aca="false">FALSE()</f>
        <v>0</v>
      </c>
      <c r="AV126" s="315" t="b">
        <f aca="false">TRUE()</f>
        <v>1</v>
      </c>
      <c r="AW126" s="290" t="n">
        <v>5</v>
      </c>
      <c r="AX126" s="315" t="b">
        <f aca="false">TRUE()</f>
        <v>1</v>
      </c>
      <c r="AY126" s="315" t="b">
        <f aca="false">TRUE()</f>
        <v>1</v>
      </c>
      <c r="AZ126" s="290" t="n">
        <v>170</v>
      </c>
      <c r="BA126" s="290" t="n">
        <v>50</v>
      </c>
      <c r="BB126" s="290" t="n">
        <v>190</v>
      </c>
      <c r="BC126" s="290" t="n">
        <v>0</v>
      </c>
      <c r="BD126" s="290" t="n">
        <v>0</v>
      </c>
      <c r="BE126" s="290" t="n">
        <v>0</v>
      </c>
      <c r="BF126" s="290" t="n">
        <v>0</v>
      </c>
      <c r="BG126" s="290" t="n">
        <v>0</v>
      </c>
      <c r="BH126" s="290" t="n">
        <v>0</v>
      </c>
      <c r="BI126" s="290" t="n">
        <v>0</v>
      </c>
      <c r="BJ126" s="290" t="n">
        <v>0</v>
      </c>
      <c r="BK126" s="290" t="n">
        <v>0</v>
      </c>
      <c r="BL126" s="290" t="n">
        <v>0</v>
      </c>
      <c r="BM126" s="290" t="n">
        <v>0</v>
      </c>
      <c r="BN126" s="290" t="n">
        <v>3</v>
      </c>
      <c r="BO126" s="290" t="n">
        <v>0</v>
      </c>
      <c r="BP126" s="290" t="s">
        <v>182</v>
      </c>
      <c r="BQ126" s="290" t="s">
        <v>182</v>
      </c>
      <c r="BR126" s="290" t="s">
        <v>182</v>
      </c>
      <c r="BS126" s="290" t="s">
        <v>182</v>
      </c>
      <c r="BT126" s="290" t="n">
        <v>125</v>
      </c>
      <c r="BU126" s="316" t="b">
        <f aca="false">FALSE()</f>
        <v>0</v>
      </c>
      <c r="BV126" s="290"/>
      <c r="BW126" s="3"/>
      <c r="BX126" s="85" t="n">
        <v>33</v>
      </c>
      <c r="BY126" s="3" t="s">
        <v>1204</v>
      </c>
      <c r="BZ126" s="3" t="s">
        <v>775</v>
      </c>
      <c r="CA126" s="3"/>
      <c r="CB126" s="3"/>
      <c r="CC126" s="3"/>
      <c r="CD126" s="3"/>
      <c r="CE126" s="3"/>
      <c r="CF126" s="3"/>
      <c r="CG126" s="311" t="b">
        <f aca="false">IF(BZ126="Saddle",TRUE(),)</f>
        <v>1</v>
      </c>
      <c r="CH126" s="3" t="s">
        <v>914</v>
      </c>
      <c r="CI126" s="3" t="s">
        <v>750</v>
      </c>
      <c r="CJ126" s="3" t="s">
        <v>912</v>
      </c>
      <c r="CK126" s="3" t="s">
        <v>912</v>
      </c>
      <c r="CL126" s="3" t="s">
        <v>912</v>
      </c>
      <c r="CM126" s="3" t="s">
        <v>912</v>
      </c>
      <c r="CN126" s="3" t="s">
        <v>912</v>
      </c>
      <c r="CO126" s="3"/>
      <c r="CP126" s="3"/>
      <c r="CQ126" s="3"/>
      <c r="CR126" s="3"/>
      <c r="CS126" s="3"/>
      <c r="CT126" s="3"/>
      <c r="CU126" s="3"/>
      <c r="CV126" s="3" t="s">
        <v>839</v>
      </c>
      <c r="CW126" s="3" t="s">
        <v>840</v>
      </c>
      <c r="CX126" s="3" t="s">
        <v>841</v>
      </c>
      <c r="CY126" s="3" t="s">
        <v>842</v>
      </c>
      <c r="CZ126" s="3" t="s">
        <v>843</v>
      </c>
    </row>
    <row r="127" customFormat="false" ht="15.75" hidden="false" customHeight="false" outlineLevel="0" collapsed="false">
      <c r="A127" s="290" t="s">
        <v>14</v>
      </c>
      <c r="B127" s="290" t="s">
        <v>355</v>
      </c>
      <c r="C127" s="290" t="s">
        <v>182</v>
      </c>
      <c r="D127" s="290" t="s">
        <v>182</v>
      </c>
      <c r="E127" s="290" t="s">
        <v>182</v>
      </c>
      <c r="F127" s="315" t="b">
        <f aca="false">TRUE()</f>
        <v>1</v>
      </c>
      <c r="G127" s="290" t="s">
        <v>1205</v>
      </c>
      <c r="H127" s="290" t="s">
        <v>355</v>
      </c>
      <c r="I127" s="290" t="n">
        <v>74</v>
      </c>
      <c r="J127" s="3"/>
      <c r="K127" s="290" t="s">
        <v>793</v>
      </c>
      <c r="L127" s="290" t="n">
        <v>7</v>
      </c>
      <c r="M127" s="290" t="s">
        <v>757</v>
      </c>
      <c r="N127" s="290" t="s">
        <v>743</v>
      </c>
      <c r="O127" s="290" t="s">
        <v>790</v>
      </c>
      <c r="P127" s="290" t="s">
        <v>745</v>
      </c>
      <c r="Q127" s="290" t="s">
        <v>746</v>
      </c>
      <c r="R127" s="315" t="b">
        <f aca="false">FALSE()</f>
        <v>0</v>
      </c>
      <c r="S127" s="290" t="n">
        <v>95</v>
      </c>
      <c r="T127" s="290" t="n">
        <v>100</v>
      </c>
      <c r="U127" s="290" t="n">
        <v>105</v>
      </c>
      <c r="V127" s="290" t="n">
        <v>120</v>
      </c>
      <c r="W127" s="290" t="n">
        <v>100</v>
      </c>
      <c r="X127" s="290" t="n">
        <v>100</v>
      </c>
      <c r="Y127" s="290" t="n">
        <v>1</v>
      </c>
      <c r="Z127" s="290" t="n">
        <v>1</v>
      </c>
      <c r="AA127" s="290" t="n">
        <v>1</v>
      </c>
      <c r="AB127" s="290" t="n">
        <v>6720</v>
      </c>
      <c r="AC127" s="290" t="s">
        <v>747</v>
      </c>
      <c r="AD127" s="290" t="s">
        <v>182</v>
      </c>
      <c r="AE127" s="290" t="n">
        <v>100</v>
      </c>
      <c r="AF127" s="290" t="n">
        <v>200</v>
      </c>
      <c r="AG127" s="290" t="n">
        <v>800</v>
      </c>
      <c r="AH127" s="290" t="n">
        <v>1300</v>
      </c>
      <c r="AI127" s="290" t="n">
        <v>375</v>
      </c>
      <c r="AJ127" s="315" t="b">
        <f aca="false">FALSE()</f>
        <v>0</v>
      </c>
      <c r="AK127" s="315" t="b">
        <f aca="false">FALSE()</f>
        <v>0</v>
      </c>
      <c r="AL127" s="290" t="s">
        <v>759</v>
      </c>
      <c r="AM127" s="315" t="b">
        <f aca="false">FALSE()</f>
        <v>0</v>
      </c>
      <c r="AN127" s="315" t="b">
        <f aca="false">FALSE()</f>
        <v>0</v>
      </c>
      <c r="AO127" s="290" t="n">
        <v>475</v>
      </c>
      <c r="AP127" s="290" t="n">
        <v>1</v>
      </c>
      <c r="AQ127" s="290" t="n">
        <v>7</v>
      </c>
      <c r="AR127" s="290" t="n">
        <v>25</v>
      </c>
      <c r="AS127" s="290" t="n">
        <v>90</v>
      </c>
      <c r="AT127" s="290" t="n">
        <v>1</v>
      </c>
      <c r="AU127" s="315" t="b">
        <f aca="false">FALSE()</f>
        <v>0</v>
      </c>
      <c r="AV127" s="315" t="b">
        <f aca="false">FALSE()</f>
        <v>0</v>
      </c>
      <c r="AW127" s="290" t="n">
        <v>5</v>
      </c>
      <c r="AX127" s="315" t="b">
        <f aca="false">TRUE()</f>
        <v>1</v>
      </c>
      <c r="AY127" s="315" t="b">
        <f aca="false">TRUE()</f>
        <v>1</v>
      </c>
      <c r="AZ127" s="290" t="n">
        <v>150</v>
      </c>
      <c r="BA127" s="290" t="n">
        <v>50</v>
      </c>
      <c r="BB127" s="290" t="n">
        <v>380</v>
      </c>
      <c r="BC127" s="290" t="n">
        <v>3</v>
      </c>
      <c r="BD127" s="290" t="n">
        <v>0</v>
      </c>
      <c r="BE127" s="290" t="n">
        <v>0</v>
      </c>
      <c r="BF127" s="290" t="n">
        <v>0</v>
      </c>
      <c r="BG127" s="290" t="n">
        <v>0</v>
      </c>
      <c r="BH127" s="290" t="n">
        <v>0</v>
      </c>
      <c r="BI127" s="290" t="n">
        <v>0</v>
      </c>
      <c r="BJ127" s="290" t="n">
        <v>0</v>
      </c>
      <c r="BK127" s="290" t="n">
        <v>0</v>
      </c>
      <c r="BL127" s="290" t="n">
        <v>0</v>
      </c>
      <c r="BM127" s="290" t="n">
        <v>0</v>
      </c>
      <c r="BN127" s="290" t="n">
        <v>3</v>
      </c>
      <c r="BO127" s="290" t="n">
        <v>0</v>
      </c>
      <c r="BP127" s="290" t="s">
        <v>182</v>
      </c>
      <c r="BQ127" s="290" t="s">
        <v>182</v>
      </c>
      <c r="BR127" s="290" t="s">
        <v>182</v>
      </c>
      <c r="BS127" s="290" t="s">
        <v>182</v>
      </c>
      <c r="BT127" s="290" t="n">
        <v>126</v>
      </c>
      <c r="BU127" s="316" t="b">
        <f aca="false">FALSE()</f>
        <v>0</v>
      </c>
      <c r="BV127" s="290"/>
      <c r="BW127" s="3"/>
      <c r="BX127" s="85" t="n">
        <v>37</v>
      </c>
      <c r="BY127" s="3" t="s">
        <v>1206</v>
      </c>
      <c r="BZ127" s="3" t="s">
        <v>775</v>
      </c>
      <c r="CA127" s="3"/>
      <c r="CB127" s="3"/>
      <c r="CC127" s="3"/>
      <c r="CD127" s="3"/>
      <c r="CE127" s="3"/>
      <c r="CF127" s="3"/>
      <c r="CG127" s="311" t="b">
        <f aca="false">IF(BZ127="Saddle",TRUE(),)</f>
        <v>1</v>
      </c>
      <c r="CH127" s="3" t="s">
        <v>914</v>
      </c>
      <c r="CI127" s="3" t="s">
        <v>750</v>
      </c>
      <c r="CJ127" s="3" t="s">
        <v>910</v>
      </c>
      <c r="CK127" s="3" t="s">
        <v>910</v>
      </c>
      <c r="CL127" s="3" t="s">
        <v>910</v>
      </c>
      <c r="CM127" s="3" t="s">
        <v>910</v>
      </c>
      <c r="CN127" s="3" t="s">
        <v>910</v>
      </c>
      <c r="CO127" s="3"/>
      <c r="CP127" s="3"/>
      <c r="CQ127" s="3"/>
      <c r="CR127" s="3"/>
      <c r="CS127" s="3"/>
      <c r="CT127" s="3"/>
      <c r="CU127" s="3"/>
      <c r="CV127" s="3" t="s">
        <v>839</v>
      </c>
      <c r="CW127" s="3" t="s">
        <v>840</v>
      </c>
      <c r="CX127" s="3" t="s">
        <v>841</v>
      </c>
      <c r="CY127" s="3" t="s">
        <v>842</v>
      </c>
      <c r="CZ127" s="3" t="s">
        <v>843</v>
      </c>
    </row>
    <row r="128" customFormat="false" ht="15.75" hidden="false" customHeight="false" outlineLevel="0" collapsed="false">
      <c r="A128" s="290" t="s">
        <v>26</v>
      </c>
      <c r="B128" s="290" t="s">
        <v>353</v>
      </c>
      <c r="C128" s="290" t="s">
        <v>182</v>
      </c>
      <c r="D128" s="290" t="s">
        <v>182</v>
      </c>
      <c r="E128" s="290" t="s">
        <v>182</v>
      </c>
      <c r="F128" s="315" t="b">
        <f aca="false">TRUE()</f>
        <v>1</v>
      </c>
      <c r="G128" s="290" t="s">
        <v>1207</v>
      </c>
      <c r="H128" s="290" t="s">
        <v>353</v>
      </c>
      <c r="I128" s="290" t="n">
        <v>72</v>
      </c>
      <c r="J128" s="3"/>
      <c r="K128" s="290" t="s">
        <v>741</v>
      </c>
      <c r="L128" s="290" t="n">
        <v>7</v>
      </c>
      <c r="M128" s="290" t="s">
        <v>757</v>
      </c>
      <c r="N128" s="290" t="s">
        <v>743</v>
      </c>
      <c r="O128" s="290" t="s">
        <v>744</v>
      </c>
      <c r="P128" s="290" t="s">
        <v>745</v>
      </c>
      <c r="Q128" s="290" t="s">
        <v>746</v>
      </c>
      <c r="R128" s="315" t="b">
        <f aca="false">FALSE()</f>
        <v>0</v>
      </c>
      <c r="S128" s="290" t="n">
        <v>80</v>
      </c>
      <c r="T128" s="290" t="n">
        <v>100</v>
      </c>
      <c r="U128" s="290" t="n">
        <v>125</v>
      </c>
      <c r="V128" s="290" t="n">
        <v>80</v>
      </c>
      <c r="W128" s="290" t="n">
        <v>100</v>
      </c>
      <c r="X128" s="290" t="n">
        <v>100</v>
      </c>
      <c r="Y128" s="290" t="n">
        <v>1</v>
      </c>
      <c r="Z128" s="290" t="n">
        <v>1</v>
      </c>
      <c r="AA128" s="290" t="n">
        <v>1</v>
      </c>
      <c r="AB128" s="290" t="n">
        <v>4520</v>
      </c>
      <c r="AC128" s="290" t="s">
        <v>747</v>
      </c>
      <c r="AD128" s="290" t="s">
        <v>182</v>
      </c>
      <c r="AE128" s="290" t="n">
        <v>80</v>
      </c>
      <c r="AF128" s="290" t="n">
        <v>160</v>
      </c>
      <c r="AG128" s="290" t="n">
        <v>600</v>
      </c>
      <c r="AH128" s="290" t="n">
        <v>900</v>
      </c>
      <c r="AI128" s="290" t="n">
        <v>320</v>
      </c>
      <c r="AJ128" s="315" t="b">
        <f aca="false">FALSE()</f>
        <v>0</v>
      </c>
      <c r="AK128" s="315" t="b">
        <f aca="false">FALSE()</f>
        <v>0</v>
      </c>
      <c r="AL128" s="290" t="s">
        <v>748</v>
      </c>
      <c r="AM128" s="315" t="b">
        <f aca="false">FALSE()</f>
        <v>0</v>
      </c>
      <c r="AN128" s="315" t="b">
        <f aca="false">FALSE()</f>
        <v>0</v>
      </c>
      <c r="AO128" s="290" t="n">
        <v>300</v>
      </c>
      <c r="AP128" s="290" t="n">
        <v>1</v>
      </c>
      <c r="AQ128" s="290" t="n">
        <v>4</v>
      </c>
      <c r="AR128" s="290" t="n">
        <v>25</v>
      </c>
      <c r="AS128" s="290" t="n">
        <v>90</v>
      </c>
      <c r="AT128" s="290" t="n">
        <v>1</v>
      </c>
      <c r="AU128" s="315" t="b">
        <f aca="false">FALSE()</f>
        <v>0</v>
      </c>
      <c r="AV128" s="315" t="b">
        <f aca="false">FALSE()</f>
        <v>0</v>
      </c>
      <c r="AW128" s="290" t="n">
        <v>5</v>
      </c>
      <c r="AX128" s="315" t="b">
        <f aca="false">FALSE()</f>
        <v>0</v>
      </c>
      <c r="AY128" s="315" t="b">
        <f aca="false">TRUE()</f>
        <v>1</v>
      </c>
      <c r="AZ128" s="290" t="n">
        <v>100</v>
      </c>
      <c r="BA128" s="290" t="n">
        <v>50</v>
      </c>
      <c r="BB128" s="290" t="n">
        <v>640</v>
      </c>
      <c r="BC128" s="290" t="n">
        <v>2</v>
      </c>
      <c r="BD128" s="290" t="n">
        <v>0</v>
      </c>
      <c r="BE128" s="290" t="n">
        <v>0</v>
      </c>
      <c r="BF128" s="290" t="n">
        <v>0</v>
      </c>
      <c r="BG128" s="290" t="n">
        <v>1</v>
      </c>
      <c r="BH128" s="290" t="n">
        <v>1</v>
      </c>
      <c r="BI128" s="290" t="n">
        <v>3</v>
      </c>
      <c r="BJ128" s="290" t="n">
        <v>0</v>
      </c>
      <c r="BK128" s="290" t="n">
        <v>0</v>
      </c>
      <c r="BL128" s="290" t="n">
        <v>0</v>
      </c>
      <c r="BM128" s="290" t="n">
        <v>0</v>
      </c>
      <c r="BN128" s="290" t="n">
        <v>2</v>
      </c>
      <c r="BO128" s="290" t="n">
        <v>0</v>
      </c>
      <c r="BP128" s="290" t="s">
        <v>182</v>
      </c>
      <c r="BQ128" s="290" t="s">
        <v>182</v>
      </c>
      <c r="BR128" s="290" t="s">
        <v>182</v>
      </c>
      <c r="BS128" s="290" t="s">
        <v>182</v>
      </c>
      <c r="BT128" s="290" t="n">
        <v>127</v>
      </c>
      <c r="BU128" s="316" t="b">
        <f aca="false">FALSE()</f>
        <v>0</v>
      </c>
      <c r="BV128" s="290"/>
      <c r="BW128" s="3"/>
      <c r="BX128" s="3"/>
      <c r="BY128" s="3"/>
      <c r="BZ128" s="3"/>
      <c r="CA128" s="3" t="s">
        <v>1208</v>
      </c>
      <c r="CB128" s="85" t="n">
        <v>1.1</v>
      </c>
      <c r="CC128" s="85" t="n">
        <v>1.3</v>
      </c>
      <c r="CD128" s="85" t="n">
        <v>1.6</v>
      </c>
      <c r="CE128" s="85" t="n">
        <v>2</v>
      </c>
      <c r="CF128" s="85" t="n">
        <v>2.5</v>
      </c>
      <c r="CG128" s="3" t="n">
        <f aca="false">IF(BZ128="Saddle",TRUE(),)</f>
        <v>0</v>
      </c>
      <c r="CH128" s="3"/>
      <c r="CI128" s="3"/>
      <c r="CJ128" s="3"/>
      <c r="CK128" s="3"/>
      <c r="CL128" s="3"/>
      <c r="CM128" s="3"/>
      <c r="CN128" s="3"/>
      <c r="CO128" s="3"/>
      <c r="CP128" s="3"/>
      <c r="CQ128" s="3"/>
      <c r="CR128" s="3"/>
      <c r="CS128" s="3"/>
      <c r="CT128" s="3"/>
      <c r="CU128" s="3"/>
      <c r="CV128" s="3"/>
      <c r="CW128" s="3"/>
      <c r="CX128" s="3"/>
      <c r="CY128" s="3"/>
      <c r="CZ128" s="3"/>
    </row>
    <row r="129" customFormat="false" ht="15.75" hidden="false" customHeight="false" outlineLevel="0" collapsed="false">
      <c r="A129" s="290" t="s">
        <v>34</v>
      </c>
      <c r="B129" s="290" t="s">
        <v>295</v>
      </c>
      <c r="C129" s="290" t="s">
        <v>182</v>
      </c>
      <c r="D129" s="290" t="s">
        <v>182</v>
      </c>
      <c r="E129" s="290" t="s">
        <v>182</v>
      </c>
      <c r="F129" s="315" t="b">
        <f aca="false">TRUE()</f>
        <v>1</v>
      </c>
      <c r="G129" s="290" t="s">
        <v>1209</v>
      </c>
      <c r="H129" s="290" t="s">
        <v>295</v>
      </c>
      <c r="I129" s="290" t="n">
        <v>25</v>
      </c>
      <c r="J129" s="3"/>
      <c r="K129" s="290" t="s">
        <v>741</v>
      </c>
      <c r="L129" s="290" t="n">
        <v>3</v>
      </c>
      <c r="M129" s="290" t="s">
        <v>814</v>
      </c>
      <c r="N129" s="290" t="s">
        <v>743</v>
      </c>
      <c r="O129" s="290" t="s">
        <v>898</v>
      </c>
      <c r="P129" s="290" t="s">
        <v>745</v>
      </c>
      <c r="Q129" s="290" t="s">
        <v>746</v>
      </c>
      <c r="R129" s="315" t="b">
        <f aca="false">FALSE()</f>
        <v>0</v>
      </c>
      <c r="S129" s="290" t="n">
        <v>80</v>
      </c>
      <c r="T129" s="290" t="n">
        <v>100</v>
      </c>
      <c r="U129" s="290" t="n">
        <v>70</v>
      </c>
      <c r="V129" s="290" t="n">
        <v>80</v>
      </c>
      <c r="W129" s="290" t="n">
        <v>100</v>
      </c>
      <c r="X129" s="290" t="n">
        <v>100</v>
      </c>
      <c r="Y129" s="290" t="n">
        <v>1.2</v>
      </c>
      <c r="Z129" s="290" t="n">
        <v>1.1</v>
      </c>
      <c r="AA129" s="290" t="n">
        <v>1</v>
      </c>
      <c r="AB129" s="290" t="n">
        <v>2860</v>
      </c>
      <c r="AC129" s="290" t="s">
        <v>764</v>
      </c>
      <c r="AD129" s="290" t="s">
        <v>182</v>
      </c>
      <c r="AE129" s="290" t="n">
        <v>30</v>
      </c>
      <c r="AF129" s="290" t="n">
        <v>150</v>
      </c>
      <c r="AG129" s="290" t="n">
        <v>550</v>
      </c>
      <c r="AH129" s="290" t="n">
        <v>700</v>
      </c>
      <c r="AI129" s="290" t="n">
        <v>350</v>
      </c>
      <c r="AJ129" s="315" t="b">
        <f aca="false">FALSE()</f>
        <v>0</v>
      </c>
      <c r="AK129" s="315" t="b">
        <f aca="false">FALSE()</f>
        <v>0</v>
      </c>
      <c r="AL129" s="290" t="s">
        <v>765</v>
      </c>
      <c r="AM129" s="315" t="b">
        <f aca="false">FALSE()</f>
        <v>0</v>
      </c>
      <c r="AN129" s="315" t="b">
        <f aca="false">FALSE()</f>
        <v>0</v>
      </c>
      <c r="AO129" s="290" t="n">
        <v>225</v>
      </c>
      <c r="AP129" s="290" t="n">
        <v>1</v>
      </c>
      <c r="AQ129" s="290" t="n">
        <v>3</v>
      </c>
      <c r="AR129" s="290" t="n">
        <v>25</v>
      </c>
      <c r="AS129" s="290" t="n">
        <v>90</v>
      </c>
      <c r="AT129" s="290" t="n">
        <v>1</v>
      </c>
      <c r="AU129" s="315" t="b">
        <f aca="false">FALSE()</f>
        <v>0</v>
      </c>
      <c r="AV129" s="315" t="b">
        <f aca="false">FALSE()</f>
        <v>0</v>
      </c>
      <c r="AW129" s="290" t="n">
        <v>0</v>
      </c>
      <c r="AX129" s="315" t="b">
        <f aca="false">FALSE()</f>
        <v>0</v>
      </c>
      <c r="AY129" s="315" t="b">
        <f aca="false">TRUE()</f>
        <v>1</v>
      </c>
      <c r="AZ129" s="290" t="n">
        <v>100</v>
      </c>
      <c r="BA129" s="290" t="n">
        <v>50</v>
      </c>
      <c r="BB129" s="290" t="n">
        <v>870</v>
      </c>
      <c r="BC129" s="290" t="n">
        <v>0</v>
      </c>
      <c r="BD129" s="290" t="n">
        <v>1</v>
      </c>
      <c r="BE129" s="290" t="n">
        <v>0</v>
      </c>
      <c r="BF129" s="290" t="n">
        <v>0</v>
      </c>
      <c r="BG129" s="290" t="n">
        <v>0</v>
      </c>
      <c r="BH129" s="290" t="n">
        <v>0</v>
      </c>
      <c r="BI129" s="290" t="n">
        <v>0</v>
      </c>
      <c r="BJ129" s="290" t="n">
        <v>0</v>
      </c>
      <c r="BK129" s="290" t="n">
        <v>0</v>
      </c>
      <c r="BL129" s="290" t="n">
        <v>0</v>
      </c>
      <c r="BM129" s="290" t="n">
        <v>0</v>
      </c>
      <c r="BN129" s="290" t="n">
        <v>1</v>
      </c>
      <c r="BO129" s="290" t="n">
        <v>0</v>
      </c>
      <c r="BP129" s="290" t="s">
        <v>182</v>
      </c>
      <c r="BQ129" s="290" t="s">
        <v>182</v>
      </c>
      <c r="BR129" s="290" t="s">
        <v>182</v>
      </c>
      <c r="BS129" s="290" t="s">
        <v>182</v>
      </c>
      <c r="BT129" s="290" t="n">
        <v>128</v>
      </c>
      <c r="BU129" s="316" t="b">
        <f aca="false">FALSE()</f>
        <v>0</v>
      </c>
      <c r="BV129" s="290"/>
      <c r="BW129" s="3"/>
      <c r="BX129" s="85" t="n">
        <v>7</v>
      </c>
      <c r="BY129" s="3" t="s">
        <v>1210</v>
      </c>
      <c r="BZ129" s="3" t="s">
        <v>809</v>
      </c>
      <c r="CA129" s="3"/>
      <c r="CB129" s="3"/>
      <c r="CC129" s="3"/>
      <c r="CD129" s="3"/>
      <c r="CE129" s="3"/>
      <c r="CF129" s="3"/>
      <c r="CG129" s="3" t="n">
        <f aca="false">IF(BZ129="Saddle",TRUE(),)</f>
        <v>0</v>
      </c>
      <c r="CH129" s="3"/>
      <c r="CI129" s="3"/>
      <c r="CJ129" s="3"/>
      <c r="CK129" s="3"/>
      <c r="CL129" s="3"/>
      <c r="CM129" s="3"/>
      <c r="CN129" s="3"/>
      <c r="CO129" s="3"/>
      <c r="CP129" s="3"/>
      <c r="CQ129" s="3"/>
      <c r="CR129" s="3"/>
      <c r="CS129" s="3"/>
      <c r="CT129" s="3"/>
      <c r="CU129" s="3"/>
      <c r="CV129" s="3"/>
      <c r="CW129" s="3"/>
      <c r="CX129" s="3"/>
      <c r="CY129" s="3"/>
      <c r="CZ129" s="3"/>
    </row>
    <row r="130" customFormat="false" ht="15.75" hidden="false" customHeight="false" outlineLevel="0" collapsed="false">
      <c r="A130" s="290" t="s">
        <v>109</v>
      </c>
      <c r="B130" s="290" t="s">
        <v>400</v>
      </c>
      <c r="C130" s="290" t="s">
        <v>182</v>
      </c>
      <c r="D130" s="290" t="s">
        <v>182</v>
      </c>
      <c r="E130" s="290" t="s">
        <v>182</v>
      </c>
      <c r="F130" s="315" t="b">
        <f aca="false">TRUE()</f>
        <v>1</v>
      </c>
      <c r="G130" s="290" t="s">
        <v>489</v>
      </c>
      <c r="H130" s="290" t="s">
        <v>400</v>
      </c>
      <c r="I130" s="290" t="n">
        <v>109</v>
      </c>
      <c r="J130" s="290" t="s">
        <v>761</v>
      </c>
      <c r="K130" s="290" t="s">
        <v>793</v>
      </c>
      <c r="L130" s="290" t="n">
        <v>20</v>
      </c>
      <c r="M130" s="290" t="s">
        <v>758</v>
      </c>
      <c r="N130" s="290" t="s">
        <v>743</v>
      </c>
      <c r="O130" s="290" t="s">
        <v>763</v>
      </c>
      <c r="P130" s="290" t="s">
        <v>745</v>
      </c>
      <c r="Q130" s="290" t="s">
        <v>746</v>
      </c>
      <c r="R130" s="315" t="b">
        <f aca="false">FALSE()</f>
        <v>0</v>
      </c>
      <c r="S130" s="290" t="n">
        <v>130</v>
      </c>
      <c r="T130" s="290" t="n">
        <v>100</v>
      </c>
      <c r="U130" s="290" t="n">
        <v>145</v>
      </c>
      <c r="V130" s="290" t="n">
        <v>120</v>
      </c>
      <c r="W130" s="290" t="n">
        <v>100</v>
      </c>
      <c r="X130" s="290" t="n">
        <v>100</v>
      </c>
      <c r="Y130" s="290" t="n">
        <v>1</v>
      </c>
      <c r="Z130" s="290" t="n">
        <v>1</v>
      </c>
      <c r="AA130" s="290" t="n">
        <v>1</v>
      </c>
      <c r="AB130" s="290" t="n">
        <v>8930</v>
      </c>
      <c r="AC130" s="290" t="s">
        <v>747</v>
      </c>
      <c r="AD130" s="290" t="s">
        <v>182</v>
      </c>
      <c r="AE130" s="290" t="n">
        <v>100</v>
      </c>
      <c r="AF130" s="290" t="n">
        <v>350</v>
      </c>
      <c r="AG130" s="290" t="n">
        <v>900</v>
      </c>
      <c r="AH130" s="290" t="n">
        <v>1600</v>
      </c>
      <c r="AI130" s="290" t="n">
        <v>625</v>
      </c>
      <c r="AJ130" s="315" t="b">
        <f aca="false">FALSE()</f>
        <v>0</v>
      </c>
      <c r="AK130" s="315" t="b">
        <f aca="false">FALSE()</f>
        <v>0</v>
      </c>
      <c r="AL130" s="290" t="s">
        <v>1005</v>
      </c>
      <c r="AM130" s="315" t="b">
        <f aca="false">FALSE()</f>
        <v>0</v>
      </c>
      <c r="AN130" s="315" t="b">
        <f aca="false">FALSE()</f>
        <v>0</v>
      </c>
      <c r="AO130" s="290" t="n">
        <v>600</v>
      </c>
      <c r="AP130" s="290" t="n">
        <v>1</v>
      </c>
      <c r="AQ130" s="290" t="n">
        <v>9</v>
      </c>
      <c r="AR130" s="290" t="n">
        <v>25</v>
      </c>
      <c r="AS130" s="290" t="n">
        <v>90</v>
      </c>
      <c r="AT130" s="290" t="n">
        <v>1</v>
      </c>
      <c r="AU130" s="315" t="b">
        <f aca="false">FALSE()</f>
        <v>0</v>
      </c>
      <c r="AV130" s="315" t="b">
        <f aca="false">TRUE()</f>
        <v>1</v>
      </c>
      <c r="AW130" s="290" t="n">
        <v>5</v>
      </c>
      <c r="AX130" s="315" t="b">
        <f aca="false">FALSE()</f>
        <v>0</v>
      </c>
      <c r="AY130" s="315" t="b">
        <f aca="false">TRUE()</f>
        <v>1</v>
      </c>
      <c r="AZ130" s="290" t="n">
        <v>100</v>
      </c>
      <c r="BA130" s="290" t="n">
        <v>50</v>
      </c>
      <c r="BB130" s="290" t="n">
        <v>70</v>
      </c>
      <c r="BC130" s="290" t="n">
        <v>0</v>
      </c>
      <c r="BD130" s="290" t="n">
        <v>0</v>
      </c>
      <c r="BE130" s="290" t="n">
        <v>0</v>
      </c>
      <c r="BF130" s="290" t="n">
        <v>0</v>
      </c>
      <c r="BG130" s="290" t="n">
        <v>0</v>
      </c>
      <c r="BH130" s="290" t="n">
        <v>0</v>
      </c>
      <c r="BI130" s="290" t="n">
        <v>2</v>
      </c>
      <c r="BJ130" s="290" t="n">
        <v>2</v>
      </c>
      <c r="BK130" s="290" t="n">
        <v>0</v>
      </c>
      <c r="BL130" s="290" t="n">
        <v>0</v>
      </c>
      <c r="BM130" s="290" t="n">
        <v>0</v>
      </c>
      <c r="BN130" s="290" t="n">
        <v>0</v>
      </c>
      <c r="BO130" s="290" t="n">
        <v>0</v>
      </c>
      <c r="BP130" s="290" t="s">
        <v>1006</v>
      </c>
      <c r="BQ130" s="290" t="s">
        <v>1211</v>
      </c>
      <c r="BR130" s="290" t="s">
        <v>182</v>
      </c>
      <c r="BS130" s="290" t="s">
        <v>182</v>
      </c>
      <c r="BT130" s="290" t="n">
        <v>129</v>
      </c>
      <c r="BU130" s="316" t="b">
        <f aca="false">TRUE()</f>
        <v>1</v>
      </c>
      <c r="BV130" s="290"/>
      <c r="BW130" s="3"/>
      <c r="BX130" s="85" t="n">
        <v>49</v>
      </c>
      <c r="BY130" s="3" t="s">
        <v>1212</v>
      </c>
      <c r="BZ130" s="3" t="s">
        <v>775</v>
      </c>
      <c r="CA130" s="3"/>
      <c r="CB130" s="3"/>
      <c r="CC130" s="3"/>
      <c r="CD130" s="3"/>
      <c r="CE130" s="3"/>
      <c r="CF130" s="3"/>
      <c r="CG130" s="311" t="b">
        <f aca="false">IF(BZ130="Saddle",TRUE(),)</f>
        <v>1</v>
      </c>
      <c r="CH130" s="3" t="s">
        <v>776</v>
      </c>
      <c r="CI130" s="3"/>
      <c r="CJ130" s="3"/>
      <c r="CK130" s="3"/>
      <c r="CL130" s="3"/>
      <c r="CM130" s="3"/>
      <c r="CN130" s="3"/>
      <c r="CO130" s="3"/>
      <c r="CP130" s="3"/>
      <c r="CQ130" s="3"/>
      <c r="CR130" s="3"/>
      <c r="CS130" s="3"/>
      <c r="CT130" s="3"/>
      <c r="CU130" s="3" t="s">
        <v>818</v>
      </c>
      <c r="CV130" s="3"/>
      <c r="CW130" s="3" t="s">
        <v>819</v>
      </c>
      <c r="CX130" s="3" t="s">
        <v>820</v>
      </c>
      <c r="CY130" s="3" t="s">
        <v>821</v>
      </c>
      <c r="CZ130" s="3" t="s">
        <v>822</v>
      </c>
    </row>
    <row r="131" customFormat="false" ht="15.75" hidden="false" customHeight="false" outlineLevel="0" collapsed="false">
      <c r="A131" s="290" t="s">
        <v>116</v>
      </c>
      <c r="B131" s="290" t="s">
        <v>373</v>
      </c>
      <c r="C131" s="290" t="s">
        <v>182</v>
      </c>
      <c r="D131" s="290" t="s">
        <v>182</v>
      </c>
      <c r="E131" s="290" t="s">
        <v>182</v>
      </c>
      <c r="F131" s="315" t="b">
        <f aca="false">TRUE()</f>
        <v>1</v>
      </c>
      <c r="G131" s="290" t="s">
        <v>491</v>
      </c>
      <c r="H131" s="290" t="s">
        <v>373</v>
      </c>
      <c r="I131" s="290" t="n">
        <v>87</v>
      </c>
      <c r="J131" s="3"/>
      <c r="K131" s="290" t="s">
        <v>741</v>
      </c>
      <c r="L131" s="290" t="n">
        <v>8</v>
      </c>
      <c r="M131" s="290" t="s">
        <v>783</v>
      </c>
      <c r="N131" s="290" t="s">
        <v>743</v>
      </c>
      <c r="O131" s="290" t="s">
        <v>744</v>
      </c>
      <c r="P131" s="290" t="s">
        <v>745</v>
      </c>
      <c r="Q131" s="290" t="s">
        <v>746</v>
      </c>
      <c r="R131" s="315" t="b">
        <f aca="false">FALSE()</f>
        <v>0</v>
      </c>
      <c r="S131" s="290" t="n">
        <v>100</v>
      </c>
      <c r="T131" s="290" t="n">
        <v>100</v>
      </c>
      <c r="U131" s="290" t="n">
        <v>95</v>
      </c>
      <c r="V131" s="290" t="n">
        <v>100</v>
      </c>
      <c r="W131" s="290" t="n">
        <v>100</v>
      </c>
      <c r="X131" s="290" t="n">
        <v>100</v>
      </c>
      <c r="Y131" s="290" t="n">
        <v>1</v>
      </c>
      <c r="Z131" s="290" t="n">
        <v>1</v>
      </c>
      <c r="AA131" s="290" t="n">
        <v>1</v>
      </c>
      <c r="AB131" s="290" t="n">
        <v>3590</v>
      </c>
      <c r="AC131" s="290" t="s">
        <v>764</v>
      </c>
      <c r="AD131" s="290" t="s">
        <v>182</v>
      </c>
      <c r="AE131" s="290" t="n">
        <v>100</v>
      </c>
      <c r="AF131" s="290" t="n">
        <v>150</v>
      </c>
      <c r="AG131" s="290" t="n">
        <v>550</v>
      </c>
      <c r="AH131" s="290" t="n">
        <v>700</v>
      </c>
      <c r="AI131" s="290" t="n">
        <v>350</v>
      </c>
      <c r="AJ131" s="315" t="b">
        <f aca="false">FALSE()</f>
        <v>0</v>
      </c>
      <c r="AK131" s="315" t="b">
        <f aca="false">FALSE()</f>
        <v>0</v>
      </c>
      <c r="AL131" s="290" t="s">
        <v>765</v>
      </c>
      <c r="AM131" s="315" t="b">
        <f aca="false">FALSE()</f>
        <v>0</v>
      </c>
      <c r="AN131" s="315" t="b">
        <f aca="false">FALSE()</f>
        <v>0</v>
      </c>
      <c r="AO131" s="290" t="n">
        <v>225</v>
      </c>
      <c r="AP131" s="290" t="n">
        <v>1</v>
      </c>
      <c r="AQ131" s="290" t="n">
        <v>3</v>
      </c>
      <c r="AR131" s="290" t="n">
        <v>25</v>
      </c>
      <c r="AS131" s="290" t="n">
        <v>90</v>
      </c>
      <c r="AT131" s="290" t="n">
        <v>1</v>
      </c>
      <c r="AU131" s="315" t="b">
        <f aca="false">FALSE()</f>
        <v>0</v>
      </c>
      <c r="AV131" s="315" t="b">
        <f aca="false">FALSE()</f>
        <v>0</v>
      </c>
      <c r="AW131" s="290" t="n">
        <v>3</v>
      </c>
      <c r="AX131" s="315" t="b">
        <f aca="false">FALSE()</f>
        <v>0</v>
      </c>
      <c r="AY131" s="315" t="b">
        <f aca="false">TRUE()</f>
        <v>1</v>
      </c>
      <c r="AZ131" s="290" t="n">
        <v>100</v>
      </c>
      <c r="BA131" s="290" t="n">
        <v>50</v>
      </c>
      <c r="BB131" s="290" t="n">
        <v>780</v>
      </c>
      <c r="BC131" s="290" t="n">
        <v>0</v>
      </c>
      <c r="BD131" s="290" t="n">
        <v>0</v>
      </c>
      <c r="BE131" s="290" t="n">
        <v>3</v>
      </c>
      <c r="BF131" s="290" t="n">
        <v>0</v>
      </c>
      <c r="BG131" s="290" t="n">
        <v>2</v>
      </c>
      <c r="BH131" s="290" t="n">
        <v>2</v>
      </c>
      <c r="BI131" s="290" t="n">
        <v>0</v>
      </c>
      <c r="BJ131" s="290" t="n">
        <v>0</v>
      </c>
      <c r="BK131" s="290" t="n">
        <v>0</v>
      </c>
      <c r="BL131" s="290" t="n">
        <v>2</v>
      </c>
      <c r="BM131" s="290" t="n">
        <v>0</v>
      </c>
      <c r="BN131" s="290" t="n">
        <v>1</v>
      </c>
      <c r="BO131" s="290" t="n">
        <v>0</v>
      </c>
      <c r="BP131" s="290" t="s">
        <v>182</v>
      </c>
      <c r="BQ131" s="290" t="s">
        <v>182</v>
      </c>
      <c r="BR131" s="290" t="s">
        <v>182</v>
      </c>
      <c r="BS131" s="290" t="s">
        <v>182</v>
      </c>
      <c r="BT131" s="290" t="n">
        <v>130</v>
      </c>
      <c r="BU131" s="316" t="b">
        <f aca="false">FALSE()</f>
        <v>0</v>
      </c>
      <c r="BV131" s="290"/>
      <c r="BW131" s="3"/>
      <c r="BX131" s="3"/>
      <c r="BY131" s="3"/>
      <c r="BZ131" s="3"/>
      <c r="CA131" s="3" t="s">
        <v>1213</v>
      </c>
      <c r="CB131" s="85" t="n">
        <v>400</v>
      </c>
      <c r="CC131" s="85" t="n">
        <v>440</v>
      </c>
      <c r="CD131" s="85" t="n">
        <v>520</v>
      </c>
      <c r="CE131" s="85" t="n">
        <v>640</v>
      </c>
      <c r="CF131" s="85" t="n">
        <v>800</v>
      </c>
      <c r="CG131" s="3" t="n">
        <f aca="false">IF(BZ131="Saddle",TRUE(),)</f>
        <v>0</v>
      </c>
      <c r="CH131" s="3"/>
      <c r="CI131" s="3"/>
      <c r="CJ131" s="3"/>
      <c r="CK131" s="3"/>
      <c r="CL131" s="3"/>
      <c r="CM131" s="3"/>
      <c r="CN131" s="3"/>
      <c r="CO131" s="3"/>
      <c r="CP131" s="3"/>
      <c r="CQ131" s="3"/>
      <c r="CR131" s="3"/>
      <c r="CS131" s="3"/>
      <c r="CT131" s="3"/>
      <c r="CU131" s="3"/>
      <c r="CV131" s="3"/>
      <c r="CW131" s="3"/>
      <c r="CX131" s="3"/>
      <c r="CY131" s="3"/>
      <c r="CZ131" s="3"/>
    </row>
    <row r="132" customFormat="false" ht="15.75" hidden="false" customHeight="false" outlineLevel="0" collapsed="false">
      <c r="A132" s="290" t="s">
        <v>67</v>
      </c>
      <c r="B132" s="290" t="s">
        <v>329</v>
      </c>
      <c r="C132" s="290" t="s">
        <v>182</v>
      </c>
      <c r="D132" s="290" t="s">
        <v>182</v>
      </c>
      <c r="E132" s="290" t="s">
        <v>182</v>
      </c>
      <c r="F132" s="315" t="b">
        <f aca="false">TRUE()</f>
        <v>1</v>
      </c>
      <c r="G132" s="290" t="s">
        <v>1214</v>
      </c>
      <c r="H132" s="290" t="s">
        <v>329</v>
      </c>
      <c r="I132" s="290" t="n">
        <v>52</v>
      </c>
      <c r="J132" s="3"/>
      <c r="K132" s="290" t="s">
        <v>793</v>
      </c>
      <c r="L132" s="290" t="n">
        <v>6</v>
      </c>
      <c r="M132" s="290" t="s">
        <v>789</v>
      </c>
      <c r="N132" s="290" t="s">
        <v>743</v>
      </c>
      <c r="O132" s="290" t="s">
        <v>763</v>
      </c>
      <c r="P132" s="290" t="s">
        <v>745</v>
      </c>
      <c r="Q132" s="290" t="s">
        <v>746</v>
      </c>
      <c r="R132" s="315" t="b">
        <f aca="false">FALSE()</f>
        <v>0</v>
      </c>
      <c r="S132" s="290" t="n">
        <v>110</v>
      </c>
      <c r="T132" s="290" t="n">
        <v>100</v>
      </c>
      <c r="U132" s="290" t="n">
        <v>80</v>
      </c>
      <c r="V132" s="290" t="n">
        <v>80</v>
      </c>
      <c r="W132" s="290" t="n">
        <v>100</v>
      </c>
      <c r="X132" s="290" t="n">
        <v>100</v>
      </c>
      <c r="Y132" s="290" t="n">
        <v>1</v>
      </c>
      <c r="Z132" s="290" t="n">
        <v>1</v>
      </c>
      <c r="AA132" s="290" t="n">
        <v>1</v>
      </c>
      <c r="AB132" s="290" t="n">
        <v>5510</v>
      </c>
      <c r="AC132" s="290" t="s">
        <v>875</v>
      </c>
      <c r="AD132" s="290" t="s">
        <v>182</v>
      </c>
      <c r="AE132" s="290" t="n">
        <v>32</v>
      </c>
      <c r="AF132" s="290" t="n">
        <v>64</v>
      </c>
      <c r="AG132" s="290" t="n">
        <v>600</v>
      </c>
      <c r="AH132" s="290" t="n">
        <v>800</v>
      </c>
      <c r="AI132" s="290" t="n">
        <v>332</v>
      </c>
      <c r="AJ132" s="315" t="b">
        <f aca="false">FALSE()</f>
        <v>0</v>
      </c>
      <c r="AK132" s="315" t="b">
        <f aca="false">FALSE()</f>
        <v>0</v>
      </c>
      <c r="AL132" s="290" t="s">
        <v>765</v>
      </c>
      <c r="AM132" s="315" t="b">
        <f aca="false">FALSE()</f>
        <v>0</v>
      </c>
      <c r="AN132" s="315" t="b">
        <f aca="false">FALSE()</f>
        <v>0</v>
      </c>
      <c r="AO132" s="290" t="n">
        <v>300</v>
      </c>
      <c r="AP132" s="290" t="n">
        <v>1</v>
      </c>
      <c r="AQ132" s="290" t="n">
        <v>4</v>
      </c>
      <c r="AR132" s="290" t="n">
        <v>25</v>
      </c>
      <c r="AS132" s="290" t="n">
        <v>90</v>
      </c>
      <c r="AT132" s="290" t="n">
        <v>1</v>
      </c>
      <c r="AU132" s="315" t="b">
        <f aca="false">FALSE()</f>
        <v>0</v>
      </c>
      <c r="AV132" s="315" t="b">
        <f aca="false">FALSE()</f>
        <v>0</v>
      </c>
      <c r="AW132" s="290" t="n">
        <v>1</v>
      </c>
      <c r="AX132" s="315" t="b">
        <f aca="false">FALSE()</f>
        <v>0</v>
      </c>
      <c r="AY132" s="315" t="b">
        <f aca="false">TRUE()</f>
        <v>1</v>
      </c>
      <c r="AZ132" s="290" t="n">
        <v>100</v>
      </c>
      <c r="BA132" s="290" t="n">
        <v>50</v>
      </c>
      <c r="BB132" s="290" t="n">
        <v>510</v>
      </c>
      <c r="BC132" s="290" t="n">
        <v>0</v>
      </c>
      <c r="BD132" s="290" t="n">
        <v>0</v>
      </c>
      <c r="BE132" s="290" t="n">
        <v>0</v>
      </c>
      <c r="BF132" s="290" t="n">
        <v>0</v>
      </c>
      <c r="BG132" s="290" t="n">
        <v>0</v>
      </c>
      <c r="BH132" s="290" t="n">
        <v>2</v>
      </c>
      <c r="BI132" s="290" t="n">
        <v>0</v>
      </c>
      <c r="BJ132" s="290" t="n">
        <v>0</v>
      </c>
      <c r="BK132" s="290" t="n">
        <v>0</v>
      </c>
      <c r="BL132" s="290" t="n">
        <v>0</v>
      </c>
      <c r="BM132" s="290" t="n">
        <v>0</v>
      </c>
      <c r="BN132" s="290" t="n">
        <v>0</v>
      </c>
      <c r="BO132" s="290" t="n">
        <v>0</v>
      </c>
      <c r="BP132" s="290" t="s">
        <v>182</v>
      </c>
      <c r="BQ132" s="290" t="s">
        <v>182</v>
      </c>
      <c r="BR132" s="290" t="s">
        <v>182</v>
      </c>
      <c r="BS132" s="290" t="s">
        <v>182</v>
      </c>
      <c r="BT132" s="290" t="n">
        <v>131</v>
      </c>
      <c r="BU132" s="316" t="b">
        <f aca="false">FALSE()</f>
        <v>0</v>
      </c>
      <c r="BV132" s="290"/>
      <c r="BW132" s="3"/>
      <c r="BX132" s="85" t="n">
        <v>13</v>
      </c>
      <c r="BY132" s="3" t="s">
        <v>1215</v>
      </c>
      <c r="BZ132" s="3" t="s">
        <v>775</v>
      </c>
      <c r="CA132" s="3"/>
      <c r="CB132" s="3"/>
      <c r="CC132" s="3"/>
      <c r="CD132" s="3"/>
      <c r="CE132" s="3"/>
      <c r="CF132" s="3"/>
      <c r="CG132" s="311" t="b">
        <f aca="false">IF(BZ132="Saddle",TRUE(),)</f>
        <v>1</v>
      </c>
      <c r="CH132" s="3" t="s">
        <v>776</v>
      </c>
      <c r="CI132" s="3"/>
      <c r="CJ132" s="3"/>
      <c r="CK132" s="3"/>
      <c r="CL132" s="3"/>
      <c r="CM132" s="3"/>
      <c r="CN132" s="3"/>
      <c r="CO132" s="3"/>
      <c r="CP132" s="3"/>
      <c r="CQ132" s="3"/>
      <c r="CR132" s="3"/>
      <c r="CS132" s="3"/>
      <c r="CT132" s="3"/>
      <c r="CU132" s="3"/>
      <c r="CV132" s="3" t="s">
        <v>1216</v>
      </c>
      <c r="CW132" s="3" t="s">
        <v>1217</v>
      </c>
      <c r="CX132" s="3" t="s">
        <v>1218</v>
      </c>
      <c r="CY132" s="3" t="s">
        <v>1219</v>
      </c>
      <c r="CZ132" s="3" t="s">
        <v>1220</v>
      </c>
    </row>
    <row r="133" customFormat="false" ht="15.75" hidden="false" customHeight="false" outlineLevel="0" collapsed="false">
      <c r="A133" s="290" t="s">
        <v>37</v>
      </c>
      <c r="B133" s="290" t="s">
        <v>316</v>
      </c>
      <c r="C133" s="290" t="s">
        <v>182</v>
      </c>
      <c r="D133" s="290" t="s">
        <v>182</v>
      </c>
      <c r="E133" s="290" t="s">
        <v>182</v>
      </c>
      <c r="F133" s="315" t="b">
        <f aca="false">TRUE()</f>
        <v>1</v>
      </c>
      <c r="G133" s="290" t="s">
        <v>1221</v>
      </c>
      <c r="H133" s="290" t="s">
        <v>316</v>
      </c>
      <c r="I133" s="290" t="n">
        <v>41</v>
      </c>
      <c r="J133" s="3"/>
      <c r="K133" s="290" t="s">
        <v>741</v>
      </c>
      <c r="L133" s="290" t="n">
        <v>4</v>
      </c>
      <c r="M133" s="290" t="s">
        <v>783</v>
      </c>
      <c r="N133" s="290" t="s">
        <v>743</v>
      </c>
      <c r="O133" s="290" t="s">
        <v>790</v>
      </c>
      <c r="P133" s="290" t="s">
        <v>745</v>
      </c>
      <c r="Q133" s="290" t="s">
        <v>746</v>
      </c>
      <c r="R133" s="315" t="b">
        <f aca="false">FALSE()</f>
        <v>0</v>
      </c>
      <c r="S133" s="290" t="n">
        <v>70</v>
      </c>
      <c r="T133" s="290" t="n">
        <v>100</v>
      </c>
      <c r="U133" s="290" t="n">
        <v>80</v>
      </c>
      <c r="V133" s="290" t="n">
        <v>80</v>
      </c>
      <c r="W133" s="290" t="n">
        <v>100</v>
      </c>
      <c r="X133" s="290" t="n">
        <v>100</v>
      </c>
      <c r="Y133" s="290" t="n">
        <v>1</v>
      </c>
      <c r="Z133" s="290" t="n">
        <v>1</v>
      </c>
      <c r="AA133" s="290" t="n">
        <v>1</v>
      </c>
      <c r="AB133" s="290" t="n">
        <v>5700</v>
      </c>
      <c r="AC133" s="290" t="s">
        <v>764</v>
      </c>
      <c r="AD133" s="290" t="s">
        <v>182</v>
      </c>
      <c r="AE133" s="290" t="n">
        <v>30</v>
      </c>
      <c r="AF133" s="290" t="n">
        <v>150</v>
      </c>
      <c r="AG133" s="290" t="n">
        <v>550</v>
      </c>
      <c r="AH133" s="290" t="n">
        <v>700</v>
      </c>
      <c r="AI133" s="290" t="n">
        <v>350</v>
      </c>
      <c r="AJ133" s="315" t="b">
        <f aca="false">FALSE()</f>
        <v>0</v>
      </c>
      <c r="AK133" s="315" t="b">
        <f aca="false">FALSE()</f>
        <v>0</v>
      </c>
      <c r="AL133" s="290" t="s">
        <v>765</v>
      </c>
      <c r="AM133" s="315" t="b">
        <f aca="false">FALSE()</f>
        <v>0</v>
      </c>
      <c r="AN133" s="315" t="b">
        <f aca="false">FALSE()</f>
        <v>0</v>
      </c>
      <c r="AO133" s="290" t="n">
        <v>225</v>
      </c>
      <c r="AP133" s="290" t="n">
        <v>1</v>
      </c>
      <c r="AQ133" s="290" t="n">
        <v>3</v>
      </c>
      <c r="AR133" s="290" t="n">
        <v>25</v>
      </c>
      <c r="AS133" s="290" t="n">
        <v>90</v>
      </c>
      <c r="AT133" s="290" t="n">
        <v>1</v>
      </c>
      <c r="AU133" s="315" t="b">
        <f aca="false">FALSE()</f>
        <v>0</v>
      </c>
      <c r="AV133" s="315" t="b">
        <f aca="false">FALSE()</f>
        <v>0</v>
      </c>
      <c r="AW133" s="290" t="n">
        <v>0</v>
      </c>
      <c r="AX133" s="315" t="b">
        <f aca="false">FALSE()</f>
        <v>0</v>
      </c>
      <c r="AY133" s="315" t="b">
        <f aca="false">TRUE()</f>
        <v>1</v>
      </c>
      <c r="AZ133" s="290" t="n">
        <v>100</v>
      </c>
      <c r="BA133" s="290" t="n">
        <v>50</v>
      </c>
      <c r="BB133" s="290" t="n">
        <v>490</v>
      </c>
      <c r="BC133" s="290" t="n">
        <v>0</v>
      </c>
      <c r="BD133" s="290" t="n">
        <v>0</v>
      </c>
      <c r="BE133" s="290" t="n">
        <v>2</v>
      </c>
      <c r="BF133" s="290" t="n">
        <v>0</v>
      </c>
      <c r="BG133" s="290" t="n">
        <v>0</v>
      </c>
      <c r="BH133" s="290" t="n">
        <v>0</v>
      </c>
      <c r="BI133" s="290" t="n">
        <v>0</v>
      </c>
      <c r="BJ133" s="290" t="n">
        <v>0</v>
      </c>
      <c r="BK133" s="290" t="n">
        <v>0</v>
      </c>
      <c r="BL133" s="290" t="n">
        <v>1</v>
      </c>
      <c r="BM133" s="290" t="n">
        <v>0</v>
      </c>
      <c r="BN133" s="290" t="n">
        <v>0</v>
      </c>
      <c r="BO133" s="290" t="n">
        <v>0</v>
      </c>
      <c r="BP133" s="290" t="s">
        <v>182</v>
      </c>
      <c r="BQ133" s="290" t="s">
        <v>182</v>
      </c>
      <c r="BR133" s="290" t="s">
        <v>182</v>
      </c>
      <c r="BS133" s="290" t="s">
        <v>182</v>
      </c>
      <c r="BT133" s="290" t="n">
        <v>132</v>
      </c>
      <c r="BU133" s="316" t="b">
        <f aca="false">FALSE()</f>
        <v>0</v>
      </c>
      <c r="BV133" s="290"/>
      <c r="BW133" s="3"/>
      <c r="BX133" s="3"/>
      <c r="BY133" s="3"/>
      <c r="BZ133" s="3"/>
      <c r="CA133" s="3" t="s">
        <v>1222</v>
      </c>
      <c r="CB133" s="85" t="n">
        <v>1.1</v>
      </c>
      <c r="CC133" s="85" t="n">
        <v>1.3</v>
      </c>
      <c r="CD133" s="85" t="n">
        <v>1.6</v>
      </c>
      <c r="CE133" s="85" t="n">
        <v>2</v>
      </c>
      <c r="CF133" s="85" t="n">
        <v>2.5</v>
      </c>
      <c r="CG133" s="3" t="n">
        <f aca="false">IF(BZ133="Saddle",TRUE(),)</f>
        <v>0</v>
      </c>
      <c r="CH133" s="3"/>
      <c r="CI133" s="3"/>
      <c r="CJ133" s="3"/>
      <c r="CK133" s="3"/>
      <c r="CL133" s="3"/>
      <c r="CM133" s="3"/>
      <c r="CN133" s="3"/>
      <c r="CO133" s="3"/>
      <c r="CP133" s="3"/>
      <c r="CQ133" s="3"/>
      <c r="CR133" s="3"/>
      <c r="CS133" s="3"/>
      <c r="CT133" s="3"/>
      <c r="CU133" s="3"/>
      <c r="CV133" s="3"/>
      <c r="CW133" s="3"/>
      <c r="CX133" s="3"/>
      <c r="CY133" s="3"/>
      <c r="CZ133" s="3"/>
    </row>
    <row r="134" customFormat="false" ht="15.75" hidden="false" customHeight="false" outlineLevel="0" collapsed="false">
      <c r="A134" s="290" t="s">
        <v>105</v>
      </c>
      <c r="B134" s="290" t="s">
        <v>389</v>
      </c>
      <c r="C134" s="290" t="s">
        <v>182</v>
      </c>
      <c r="D134" s="290" t="s">
        <v>182</v>
      </c>
      <c r="E134" s="290" t="s">
        <v>182</v>
      </c>
      <c r="F134" s="315" t="b">
        <f aca="false">TRUE()</f>
        <v>1</v>
      </c>
      <c r="G134" s="290" t="s">
        <v>458</v>
      </c>
      <c r="H134" s="290" t="s">
        <v>389</v>
      </c>
      <c r="I134" s="290" t="n">
        <v>99</v>
      </c>
      <c r="J134" s="3"/>
      <c r="K134" s="290" t="s">
        <v>793</v>
      </c>
      <c r="L134" s="290" t="n">
        <v>9</v>
      </c>
      <c r="M134" s="290" t="s">
        <v>758</v>
      </c>
      <c r="N134" s="290" t="s">
        <v>742</v>
      </c>
      <c r="O134" s="290" t="s">
        <v>898</v>
      </c>
      <c r="P134" s="290" t="s">
        <v>745</v>
      </c>
      <c r="Q134" s="290" t="s">
        <v>746</v>
      </c>
      <c r="R134" s="315" t="b">
        <f aca="false">FALSE()</f>
        <v>0</v>
      </c>
      <c r="S134" s="290" t="n">
        <v>100</v>
      </c>
      <c r="T134" s="290" t="n">
        <v>100</v>
      </c>
      <c r="U134" s="290" t="n">
        <v>100</v>
      </c>
      <c r="V134" s="290" t="n">
        <v>130</v>
      </c>
      <c r="W134" s="290" t="n">
        <v>100</v>
      </c>
      <c r="X134" s="290" t="n">
        <v>100</v>
      </c>
      <c r="Y134" s="290" t="n">
        <v>1</v>
      </c>
      <c r="Z134" s="290" t="n">
        <v>1</v>
      </c>
      <c r="AA134" s="290" t="n">
        <v>1</v>
      </c>
      <c r="AB134" s="290" t="n">
        <v>7050</v>
      </c>
      <c r="AC134" s="290" t="s">
        <v>747</v>
      </c>
      <c r="AD134" s="290" t="s">
        <v>182</v>
      </c>
      <c r="AE134" s="290" t="n">
        <v>100</v>
      </c>
      <c r="AF134" s="290" t="n">
        <v>200</v>
      </c>
      <c r="AG134" s="290" t="n">
        <v>1000</v>
      </c>
      <c r="AH134" s="290" t="n">
        <v>1200</v>
      </c>
      <c r="AI134" s="290" t="n">
        <v>600</v>
      </c>
      <c r="AJ134" s="315" t="b">
        <f aca="false">FALSE()</f>
        <v>0</v>
      </c>
      <c r="AK134" s="315" t="b">
        <f aca="false">FALSE()</f>
        <v>0</v>
      </c>
      <c r="AL134" s="290" t="s">
        <v>759</v>
      </c>
      <c r="AM134" s="315" t="b">
        <f aca="false">FALSE()</f>
        <v>0</v>
      </c>
      <c r="AN134" s="315" t="b">
        <f aca="false">FALSE()</f>
        <v>0</v>
      </c>
      <c r="AO134" s="290" t="n">
        <v>475</v>
      </c>
      <c r="AP134" s="290" t="n">
        <v>1</v>
      </c>
      <c r="AQ134" s="290" t="n">
        <v>7</v>
      </c>
      <c r="AR134" s="290" t="n">
        <v>25</v>
      </c>
      <c r="AS134" s="290" t="n">
        <v>90</v>
      </c>
      <c r="AT134" s="290" t="n">
        <v>1</v>
      </c>
      <c r="AU134" s="315" t="b">
        <f aca="false">FALSE()</f>
        <v>0</v>
      </c>
      <c r="AV134" s="315" t="b">
        <f aca="false">TRUE()</f>
        <v>1</v>
      </c>
      <c r="AW134" s="290" t="n">
        <v>5</v>
      </c>
      <c r="AX134" s="315" t="b">
        <f aca="false">TRUE()</f>
        <v>1</v>
      </c>
      <c r="AY134" s="315" t="b">
        <f aca="false">TRUE()</f>
        <v>1</v>
      </c>
      <c r="AZ134" s="290" t="n">
        <v>100</v>
      </c>
      <c r="BA134" s="290" t="n">
        <v>50</v>
      </c>
      <c r="BB134" s="290" t="n">
        <v>260</v>
      </c>
      <c r="BC134" s="290" t="n">
        <v>0</v>
      </c>
      <c r="BD134" s="290" t="n">
        <v>0</v>
      </c>
      <c r="BE134" s="290" t="n">
        <v>0</v>
      </c>
      <c r="BF134" s="290" t="n">
        <v>0</v>
      </c>
      <c r="BG134" s="290" t="n">
        <v>0</v>
      </c>
      <c r="BH134" s="290" t="n">
        <v>0</v>
      </c>
      <c r="BI134" s="290" t="n">
        <v>2</v>
      </c>
      <c r="BJ134" s="290" t="n">
        <v>3</v>
      </c>
      <c r="BK134" s="290" t="n">
        <v>0</v>
      </c>
      <c r="BL134" s="290" t="n">
        <v>0</v>
      </c>
      <c r="BM134" s="290" t="n">
        <v>0</v>
      </c>
      <c r="BN134" s="290" t="n">
        <v>0</v>
      </c>
      <c r="BO134" s="290" t="n">
        <v>0</v>
      </c>
      <c r="BP134" s="290" t="s">
        <v>182</v>
      </c>
      <c r="BQ134" s="290" t="s">
        <v>182</v>
      </c>
      <c r="BR134" s="290" t="s">
        <v>182</v>
      </c>
      <c r="BS134" s="290" t="s">
        <v>182</v>
      </c>
      <c r="BT134" s="290" t="n">
        <v>133</v>
      </c>
      <c r="BU134" s="316" t="b">
        <f aca="false">FALSE()</f>
        <v>0</v>
      </c>
      <c r="BV134" s="290"/>
      <c r="BW134" s="3"/>
      <c r="BX134" s="3"/>
      <c r="BY134" s="3"/>
      <c r="BZ134" s="3"/>
      <c r="CA134" s="3"/>
      <c r="CB134" s="3"/>
      <c r="CC134" s="3"/>
      <c r="CD134" s="3"/>
      <c r="CE134" s="3"/>
      <c r="CF134" s="3"/>
      <c r="CG134" s="3" t="n">
        <f aca="false">IF(BZ134="Saddle",TRUE(),)</f>
        <v>0</v>
      </c>
      <c r="CH134" s="3"/>
      <c r="CI134" s="3"/>
      <c r="CJ134" s="3" t="s">
        <v>1186</v>
      </c>
      <c r="CK134" s="3" t="s">
        <v>1187</v>
      </c>
      <c r="CL134" s="3" t="s">
        <v>1188</v>
      </c>
      <c r="CM134" s="3" t="s">
        <v>1223</v>
      </c>
      <c r="CN134" s="3" t="s">
        <v>1224</v>
      </c>
      <c r="CO134" s="3"/>
      <c r="CP134" s="3"/>
      <c r="CQ134" s="3"/>
      <c r="CR134" s="3"/>
      <c r="CS134" s="3"/>
      <c r="CT134" s="3"/>
      <c r="CU134" s="3"/>
      <c r="CV134" s="3" t="s">
        <v>1225</v>
      </c>
      <c r="CW134" s="3" t="s">
        <v>1226</v>
      </c>
      <c r="CX134" s="3" t="s">
        <v>1227</v>
      </c>
      <c r="CY134" s="3" t="s">
        <v>1228</v>
      </c>
      <c r="CZ134" s="3" t="s">
        <v>1229</v>
      </c>
    </row>
    <row r="135" customFormat="false" ht="15.75" hidden="false" customHeight="false" outlineLevel="0" collapsed="false">
      <c r="A135" s="290" t="s">
        <v>112</v>
      </c>
      <c r="B135" s="290" t="s">
        <v>397</v>
      </c>
      <c r="C135" s="290" t="s">
        <v>182</v>
      </c>
      <c r="D135" s="290" t="s">
        <v>182</v>
      </c>
      <c r="E135" s="290" t="s">
        <v>182</v>
      </c>
      <c r="F135" s="315" t="b">
        <f aca="false">TRUE()</f>
        <v>1</v>
      </c>
      <c r="G135" s="290" t="s">
        <v>504</v>
      </c>
      <c r="H135" s="290" t="s">
        <v>397</v>
      </c>
      <c r="I135" s="290" t="n">
        <v>106</v>
      </c>
      <c r="J135" s="290" t="s">
        <v>761</v>
      </c>
      <c r="K135" s="290" t="s">
        <v>793</v>
      </c>
      <c r="L135" s="290" t="n">
        <v>9</v>
      </c>
      <c r="M135" s="290" t="s">
        <v>885</v>
      </c>
      <c r="N135" s="290" t="s">
        <v>810</v>
      </c>
      <c r="O135" s="290" t="s">
        <v>744</v>
      </c>
      <c r="P135" s="290" t="s">
        <v>745</v>
      </c>
      <c r="Q135" s="290" t="s">
        <v>746</v>
      </c>
      <c r="R135" s="315" t="b">
        <f aca="false">FALSE()</f>
        <v>0</v>
      </c>
      <c r="S135" s="290" t="n">
        <v>100</v>
      </c>
      <c r="T135" s="290" t="n">
        <v>100</v>
      </c>
      <c r="U135" s="290" t="n">
        <v>130</v>
      </c>
      <c r="V135" s="290" t="n">
        <v>100</v>
      </c>
      <c r="W135" s="290" t="n">
        <v>100</v>
      </c>
      <c r="X135" s="290" t="n">
        <v>100</v>
      </c>
      <c r="Y135" s="290" t="n">
        <v>1</v>
      </c>
      <c r="Z135" s="290" t="n">
        <v>1</v>
      </c>
      <c r="AA135" s="290" t="n">
        <v>1</v>
      </c>
      <c r="AB135" s="290" t="n">
        <v>8320</v>
      </c>
      <c r="AC135" s="290" t="s">
        <v>747</v>
      </c>
      <c r="AD135" s="290" t="s">
        <v>182</v>
      </c>
      <c r="AE135" s="290" t="n">
        <v>100</v>
      </c>
      <c r="AF135" s="290" t="n">
        <v>185</v>
      </c>
      <c r="AG135" s="290" t="n">
        <v>900</v>
      </c>
      <c r="AH135" s="290" t="n">
        <v>1200</v>
      </c>
      <c r="AI135" s="290" t="n">
        <v>250</v>
      </c>
      <c r="AJ135" s="315" t="b">
        <f aca="false">FALSE()</f>
        <v>0</v>
      </c>
      <c r="AK135" s="315" t="b">
        <f aca="false">FALSE()</f>
        <v>0</v>
      </c>
      <c r="AL135" s="290" t="s">
        <v>759</v>
      </c>
      <c r="AM135" s="315" t="b">
        <f aca="false">FALSE()</f>
        <v>0</v>
      </c>
      <c r="AN135" s="315" t="b">
        <f aca="false">FALSE()</f>
        <v>0</v>
      </c>
      <c r="AO135" s="290" t="n">
        <v>475</v>
      </c>
      <c r="AP135" s="290" t="n">
        <v>1</v>
      </c>
      <c r="AQ135" s="290" t="n">
        <v>7</v>
      </c>
      <c r="AR135" s="290" t="n">
        <v>25</v>
      </c>
      <c r="AS135" s="290" t="n">
        <v>90</v>
      </c>
      <c r="AT135" s="290" t="n">
        <v>1</v>
      </c>
      <c r="AU135" s="315" t="b">
        <f aca="false">FALSE()</f>
        <v>0</v>
      </c>
      <c r="AV135" s="315" t="b">
        <f aca="false">FALSE()</f>
        <v>0</v>
      </c>
      <c r="AW135" s="290" t="n">
        <v>5</v>
      </c>
      <c r="AX135" s="315" t="b">
        <f aca="false">TRUE()</f>
        <v>1</v>
      </c>
      <c r="AY135" s="315" t="b">
        <f aca="false">TRUE()</f>
        <v>1</v>
      </c>
      <c r="AZ135" s="290" t="n">
        <v>100</v>
      </c>
      <c r="BA135" s="290" t="n">
        <v>50</v>
      </c>
      <c r="BB135" s="290" t="n">
        <v>140</v>
      </c>
      <c r="BC135" s="290" t="n">
        <v>0</v>
      </c>
      <c r="BD135" s="290" t="n">
        <v>0</v>
      </c>
      <c r="BE135" s="290" t="n">
        <v>0</v>
      </c>
      <c r="BF135" s="290" t="n">
        <v>4</v>
      </c>
      <c r="BG135" s="290" t="n">
        <v>2</v>
      </c>
      <c r="BH135" s="290" t="n">
        <v>0</v>
      </c>
      <c r="BI135" s="290" t="n">
        <v>0</v>
      </c>
      <c r="BJ135" s="290" t="n">
        <v>0</v>
      </c>
      <c r="BK135" s="290" t="n">
        <v>0</v>
      </c>
      <c r="BL135" s="290" t="n">
        <v>0</v>
      </c>
      <c r="BM135" s="290" t="n">
        <v>0</v>
      </c>
      <c r="BN135" s="290" t="n">
        <v>3</v>
      </c>
      <c r="BO135" s="290" t="n">
        <v>0</v>
      </c>
      <c r="BP135" s="290" t="s">
        <v>1230</v>
      </c>
      <c r="BQ135" s="290" t="s">
        <v>182</v>
      </c>
      <c r="BR135" s="290" t="s">
        <v>182</v>
      </c>
      <c r="BS135" s="290" t="s">
        <v>182</v>
      </c>
      <c r="BT135" s="290" t="n">
        <v>134</v>
      </c>
      <c r="BU135" s="316" t="b">
        <f aca="false">TRUE()</f>
        <v>1</v>
      </c>
      <c r="BV135" s="290"/>
      <c r="BW135" s="3"/>
      <c r="BX135" s="3"/>
      <c r="BY135" s="3"/>
      <c r="BZ135" s="3"/>
      <c r="CA135" s="3"/>
      <c r="CB135" s="3"/>
      <c r="CC135" s="3"/>
      <c r="CD135" s="3"/>
      <c r="CE135" s="3"/>
      <c r="CF135" s="3"/>
      <c r="CG135" s="3" t="n">
        <f aca="false">IF(BZ135="Saddle",TRUE(),)</f>
        <v>0</v>
      </c>
      <c r="CH135" s="3"/>
      <c r="CI135" s="3"/>
      <c r="CJ135" s="3"/>
      <c r="CK135" s="3"/>
      <c r="CL135" s="3"/>
      <c r="CM135" s="3"/>
      <c r="CN135" s="3"/>
      <c r="CO135" s="3"/>
      <c r="CP135" s="3"/>
      <c r="CQ135" s="3"/>
      <c r="CR135" s="3"/>
      <c r="CS135" s="3"/>
      <c r="CT135" s="3"/>
      <c r="CU135" s="3"/>
      <c r="CV135" s="3" t="s">
        <v>1231</v>
      </c>
      <c r="CW135" s="3" t="s">
        <v>1232</v>
      </c>
      <c r="CX135" s="3" t="s">
        <v>1233</v>
      </c>
      <c r="CY135" s="3" t="s">
        <v>1234</v>
      </c>
      <c r="CZ135" s="3" t="s">
        <v>1235</v>
      </c>
    </row>
    <row r="136" customFormat="false" ht="15.75" hidden="false" customHeight="false" outlineLevel="0" collapsed="false">
      <c r="A136" s="290" t="s">
        <v>38</v>
      </c>
      <c r="B136" s="290" t="s">
        <v>286</v>
      </c>
      <c r="C136" s="290" t="s">
        <v>182</v>
      </c>
      <c r="D136" s="290" t="s">
        <v>182</v>
      </c>
      <c r="E136" s="290" t="s">
        <v>182</v>
      </c>
      <c r="F136" s="315" t="b">
        <f aca="false">TRUE()</f>
        <v>1</v>
      </c>
      <c r="G136" s="290" t="s">
        <v>1236</v>
      </c>
      <c r="H136" s="290" t="s">
        <v>286</v>
      </c>
      <c r="I136" s="290" t="n">
        <v>18</v>
      </c>
      <c r="J136" s="3"/>
      <c r="K136" s="290" t="s">
        <v>762</v>
      </c>
      <c r="L136" s="290" t="n">
        <v>1</v>
      </c>
      <c r="M136" s="290" t="s">
        <v>789</v>
      </c>
      <c r="N136" s="290" t="s">
        <v>743</v>
      </c>
      <c r="O136" s="290" t="s">
        <v>763</v>
      </c>
      <c r="P136" s="290" t="s">
        <v>745</v>
      </c>
      <c r="Q136" s="290" t="s">
        <v>746</v>
      </c>
      <c r="R136" s="315" t="b">
        <f aca="false">FALSE()</f>
        <v>0</v>
      </c>
      <c r="S136" s="290" t="n">
        <v>70</v>
      </c>
      <c r="T136" s="290" t="n">
        <v>100</v>
      </c>
      <c r="U136" s="290" t="n">
        <v>70</v>
      </c>
      <c r="V136" s="290" t="n">
        <v>75</v>
      </c>
      <c r="W136" s="290" t="n">
        <v>100</v>
      </c>
      <c r="X136" s="290" t="n">
        <v>100</v>
      </c>
      <c r="Y136" s="290" t="n">
        <v>1.7</v>
      </c>
      <c r="Z136" s="290" t="n">
        <v>1.3</v>
      </c>
      <c r="AA136" s="290" t="n">
        <v>1</v>
      </c>
      <c r="AB136" s="290" t="n">
        <v>1420</v>
      </c>
      <c r="AC136" s="290" t="s">
        <v>764</v>
      </c>
      <c r="AD136" s="290" t="s">
        <v>182</v>
      </c>
      <c r="AE136" s="290" t="n">
        <v>20</v>
      </c>
      <c r="AF136" s="290" t="n">
        <v>40</v>
      </c>
      <c r="AG136" s="290" t="n">
        <v>300</v>
      </c>
      <c r="AH136" s="290" t="n">
        <v>450</v>
      </c>
      <c r="AI136" s="290" t="n">
        <v>170</v>
      </c>
      <c r="AJ136" s="315" t="b">
        <f aca="false">FALSE()</f>
        <v>0</v>
      </c>
      <c r="AK136" s="315" t="b">
        <f aca="false">FALSE()</f>
        <v>0</v>
      </c>
      <c r="AL136" s="290" t="s">
        <v>765</v>
      </c>
      <c r="AM136" s="315" t="b">
        <f aca="false">FALSE()</f>
        <v>0</v>
      </c>
      <c r="AN136" s="315" t="b">
        <f aca="false">FALSE()</f>
        <v>0</v>
      </c>
      <c r="AO136" s="290" t="n">
        <v>150</v>
      </c>
      <c r="AP136" s="290" t="n">
        <v>1</v>
      </c>
      <c r="AQ136" s="290" t="n">
        <v>2</v>
      </c>
      <c r="AR136" s="290" t="n">
        <v>25</v>
      </c>
      <c r="AS136" s="290" t="n">
        <v>90</v>
      </c>
      <c r="AT136" s="290" t="n">
        <v>1</v>
      </c>
      <c r="AU136" s="315" t="b">
        <f aca="false">TRUE()</f>
        <v>1</v>
      </c>
      <c r="AV136" s="315" t="b">
        <f aca="false">FALSE()</f>
        <v>0</v>
      </c>
      <c r="AW136" s="290" t="n">
        <v>0</v>
      </c>
      <c r="AX136" s="315" t="b">
        <f aca="false">FALSE()</f>
        <v>0</v>
      </c>
      <c r="AY136" s="315" t="b">
        <f aca="false">TRUE()</f>
        <v>1</v>
      </c>
      <c r="AZ136" s="290" t="n">
        <v>100</v>
      </c>
      <c r="BA136" s="290" t="n">
        <v>50</v>
      </c>
      <c r="BB136" s="290" t="n">
        <v>1455</v>
      </c>
      <c r="BC136" s="290" t="n">
        <v>0</v>
      </c>
      <c r="BD136" s="290" t="n">
        <v>0</v>
      </c>
      <c r="BE136" s="290" t="n">
        <v>0</v>
      </c>
      <c r="BF136" s="290" t="n">
        <v>0</v>
      </c>
      <c r="BG136" s="290" t="n">
        <v>0</v>
      </c>
      <c r="BH136" s="290" t="n">
        <v>1</v>
      </c>
      <c r="BI136" s="290" t="n">
        <v>0</v>
      </c>
      <c r="BJ136" s="290" t="n">
        <v>0</v>
      </c>
      <c r="BK136" s="290" t="n">
        <v>0</v>
      </c>
      <c r="BL136" s="290" t="n">
        <v>0</v>
      </c>
      <c r="BM136" s="290" t="n">
        <v>0</v>
      </c>
      <c r="BN136" s="290" t="n">
        <v>0</v>
      </c>
      <c r="BO136" s="290" t="n">
        <v>1</v>
      </c>
      <c r="BP136" s="290" t="s">
        <v>182</v>
      </c>
      <c r="BQ136" s="290" t="s">
        <v>182</v>
      </c>
      <c r="BR136" s="290" t="s">
        <v>182</v>
      </c>
      <c r="BS136" s="290" t="s">
        <v>182</v>
      </c>
      <c r="BT136" s="290" t="n">
        <v>135</v>
      </c>
      <c r="BU136" s="316" t="b">
        <f aca="false">FALSE()</f>
        <v>0</v>
      </c>
      <c r="BV136" s="290"/>
      <c r="BW136" s="3"/>
      <c r="BX136" s="3"/>
      <c r="BY136" s="3"/>
      <c r="BZ136" s="3"/>
      <c r="CA136" s="3"/>
      <c r="CB136" s="3"/>
      <c r="CC136" s="3"/>
      <c r="CD136" s="3"/>
      <c r="CE136" s="3"/>
      <c r="CF136" s="3"/>
      <c r="CG136" s="3" t="n">
        <f aca="false">IF(BZ136="Saddle",TRUE(),)</f>
        <v>0</v>
      </c>
      <c r="CH136" s="3"/>
      <c r="CI136" s="3" t="s">
        <v>877</v>
      </c>
      <c r="CJ136" s="3" t="s">
        <v>940</v>
      </c>
      <c r="CK136" s="3" t="s">
        <v>941</v>
      </c>
      <c r="CL136" s="3" t="s">
        <v>942</v>
      </c>
      <c r="CM136" s="3" t="s">
        <v>943</v>
      </c>
      <c r="CN136" s="3" t="s">
        <v>944</v>
      </c>
      <c r="CO136" s="3"/>
      <c r="CP136" s="3"/>
      <c r="CQ136" s="3"/>
      <c r="CR136" s="3"/>
      <c r="CS136" s="3"/>
      <c r="CT136" s="3"/>
      <c r="CU136" s="3" t="s">
        <v>1175</v>
      </c>
      <c r="CV136" s="3" t="s">
        <v>850</v>
      </c>
      <c r="CW136" s="3" t="s">
        <v>851</v>
      </c>
      <c r="CX136" s="3" t="s">
        <v>852</v>
      </c>
      <c r="CY136" s="3" t="s">
        <v>853</v>
      </c>
      <c r="CZ136" s="3" t="s">
        <v>854</v>
      </c>
    </row>
    <row r="137" customFormat="false" ht="15.75" hidden="false" customHeight="false" outlineLevel="0" collapsed="false">
      <c r="A137" s="290" t="s">
        <v>47</v>
      </c>
      <c r="B137" s="290" t="s">
        <v>318</v>
      </c>
      <c r="C137" s="290" t="s">
        <v>182</v>
      </c>
      <c r="D137" s="290" t="s">
        <v>182</v>
      </c>
      <c r="E137" s="290" t="s">
        <v>182</v>
      </c>
      <c r="F137" s="315" t="b">
        <f aca="false">TRUE()</f>
        <v>1</v>
      </c>
      <c r="G137" s="290" t="s">
        <v>472</v>
      </c>
      <c r="H137" s="290" t="s">
        <v>318</v>
      </c>
      <c r="I137" s="290" t="n">
        <v>43</v>
      </c>
      <c r="J137" s="3"/>
      <c r="K137" s="290" t="s">
        <v>741</v>
      </c>
      <c r="L137" s="290" t="n">
        <v>4</v>
      </c>
      <c r="M137" s="290" t="s">
        <v>742</v>
      </c>
      <c r="N137" s="290" t="s">
        <v>743</v>
      </c>
      <c r="O137" s="290" t="s">
        <v>886</v>
      </c>
      <c r="P137" s="290" t="s">
        <v>745</v>
      </c>
      <c r="Q137" s="290" t="s">
        <v>746</v>
      </c>
      <c r="R137" s="315" t="b">
        <f aca="false">FALSE()</f>
        <v>0</v>
      </c>
      <c r="S137" s="290" t="n">
        <v>100</v>
      </c>
      <c r="T137" s="290" t="n">
        <v>100</v>
      </c>
      <c r="U137" s="290" t="n">
        <v>70</v>
      </c>
      <c r="V137" s="290" t="n">
        <v>95</v>
      </c>
      <c r="W137" s="290" t="n">
        <v>100</v>
      </c>
      <c r="X137" s="290" t="n">
        <v>100</v>
      </c>
      <c r="Y137" s="290" t="n">
        <v>1</v>
      </c>
      <c r="Z137" s="290" t="n">
        <v>1</v>
      </c>
      <c r="AA137" s="290" t="n">
        <v>1</v>
      </c>
      <c r="AB137" s="290" t="n">
        <v>4690</v>
      </c>
      <c r="AC137" s="290" t="s">
        <v>836</v>
      </c>
      <c r="AD137" s="290" t="s">
        <v>182</v>
      </c>
      <c r="AE137" s="290" t="n">
        <v>100</v>
      </c>
      <c r="AF137" s="290" t="n">
        <v>150</v>
      </c>
      <c r="AG137" s="290" t="n">
        <v>450</v>
      </c>
      <c r="AH137" s="290" t="n">
        <v>600</v>
      </c>
      <c r="AI137" s="290" t="n">
        <v>300</v>
      </c>
      <c r="AJ137" s="315" t="b">
        <f aca="false">FALSE()</f>
        <v>0</v>
      </c>
      <c r="AK137" s="315" t="b">
        <f aca="false">FALSE()</f>
        <v>0</v>
      </c>
      <c r="AL137" s="290" t="s">
        <v>765</v>
      </c>
      <c r="AM137" s="315" t="b">
        <f aca="false">FALSE()</f>
        <v>0</v>
      </c>
      <c r="AN137" s="315" t="b">
        <f aca="false">FALSE()</f>
        <v>0</v>
      </c>
      <c r="AO137" s="290" t="n">
        <v>300</v>
      </c>
      <c r="AP137" s="290" t="n">
        <v>1</v>
      </c>
      <c r="AQ137" s="290" t="n">
        <v>4</v>
      </c>
      <c r="AR137" s="290" t="n">
        <v>25</v>
      </c>
      <c r="AS137" s="290" t="n">
        <v>90</v>
      </c>
      <c r="AT137" s="290" t="n">
        <v>1</v>
      </c>
      <c r="AU137" s="315" t="b">
        <f aca="false">FALSE()</f>
        <v>0</v>
      </c>
      <c r="AV137" s="315" t="b">
        <f aca="false">FALSE()</f>
        <v>0</v>
      </c>
      <c r="AW137" s="290" t="n">
        <v>0</v>
      </c>
      <c r="AX137" s="315" t="b">
        <f aca="false">FALSE()</f>
        <v>0</v>
      </c>
      <c r="AY137" s="315" t="b">
        <f aca="false">TRUE()</f>
        <v>1</v>
      </c>
      <c r="AZ137" s="290" t="n">
        <v>100</v>
      </c>
      <c r="BA137" s="290" t="n">
        <v>50</v>
      </c>
      <c r="BB137" s="290" t="n">
        <v>895</v>
      </c>
      <c r="BC137" s="290" t="n">
        <v>0</v>
      </c>
      <c r="BD137" s="290" t="n">
        <v>1</v>
      </c>
      <c r="BE137" s="290" t="n">
        <v>0</v>
      </c>
      <c r="BF137" s="290" t="n">
        <v>0</v>
      </c>
      <c r="BG137" s="290" t="n">
        <v>0</v>
      </c>
      <c r="BH137" s="290" t="n">
        <v>0</v>
      </c>
      <c r="BI137" s="290" t="n">
        <v>0</v>
      </c>
      <c r="BJ137" s="290" t="n">
        <v>2</v>
      </c>
      <c r="BK137" s="290" t="n">
        <v>1</v>
      </c>
      <c r="BL137" s="290" t="n">
        <v>0</v>
      </c>
      <c r="BM137" s="290" t="n">
        <v>0</v>
      </c>
      <c r="BN137" s="290" t="n">
        <v>1</v>
      </c>
      <c r="BO137" s="290" t="n">
        <v>0</v>
      </c>
      <c r="BP137" s="290" t="s">
        <v>182</v>
      </c>
      <c r="BQ137" s="290" t="s">
        <v>182</v>
      </c>
      <c r="BR137" s="290" t="s">
        <v>182</v>
      </c>
      <c r="BS137" s="290" t="s">
        <v>182</v>
      </c>
      <c r="BT137" s="290" t="n">
        <v>136</v>
      </c>
      <c r="BU137" s="316" t="b">
        <f aca="false">FALSE()</f>
        <v>0</v>
      </c>
      <c r="BV137" s="290"/>
      <c r="BW137" s="3"/>
      <c r="BX137" s="3"/>
      <c r="BY137" s="3"/>
      <c r="BZ137" s="3"/>
      <c r="CA137" s="3"/>
      <c r="CB137" s="3"/>
      <c r="CC137" s="3"/>
      <c r="CD137" s="3"/>
      <c r="CE137" s="3"/>
      <c r="CF137" s="3"/>
      <c r="CG137" s="3" t="n">
        <f aca="false">IF(BZ137="Saddle",TRUE(),)</f>
        <v>0</v>
      </c>
      <c r="CH137" s="3"/>
      <c r="CI137" s="3"/>
      <c r="CJ137" s="3"/>
      <c r="CK137" s="3"/>
      <c r="CL137" s="3"/>
      <c r="CM137" s="3"/>
      <c r="CN137" s="3"/>
      <c r="CO137" s="3"/>
      <c r="CP137" s="3"/>
      <c r="CQ137" s="3"/>
      <c r="CR137" s="3"/>
      <c r="CS137" s="3"/>
      <c r="CT137" s="3"/>
      <c r="CU137" s="3" t="s">
        <v>1237</v>
      </c>
      <c r="CV137" s="3" t="s">
        <v>850</v>
      </c>
      <c r="CW137" s="3" t="s">
        <v>851</v>
      </c>
      <c r="CX137" s="3" t="s">
        <v>852</v>
      </c>
      <c r="CY137" s="3" t="s">
        <v>853</v>
      </c>
      <c r="CZ137" s="3" t="s">
        <v>854</v>
      </c>
    </row>
    <row r="138" customFormat="false" ht="15.75" hidden="false" customHeight="false" outlineLevel="0" collapsed="false">
      <c r="A138" s="290" t="s">
        <v>56</v>
      </c>
      <c r="B138" s="290" t="s">
        <v>350</v>
      </c>
      <c r="C138" s="290" t="s">
        <v>182</v>
      </c>
      <c r="D138" s="290" t="s">
        <v>182</v>
      </c>
      <c r="E138" s="290" t="s">
        <v>182</v>
      </c>
      <c r="F138" s="315" t="b">
        <f aca="false">TRUE()</f>
        <v>1</v>
      </c>
      <c r="G138" s="290" t="s">
        <v>461</v>
      </c>
      <c r="H138" s="290" t="s">
        <v>350</v>
      </c>
      <c r="I138" s="290" t="n">
        <v>70</v>
      </c>
      <c r="J138" s="3"/>
      <c r="K138" s="290" t="s">
        <v>762</v>
      </c>
      <c r="L138" s="290" t="n">
        <v>1</v>
      </c>
      <c r="M138" s="290" t="s">
        <v>757</v>
      </c>
      <c r="N138" s="290" t="s">
        <v>743</v>
      </c>
      <c r="O138" s="290" t="s">
        <v>744</v>
      </c>
      <c r="P138" s="290" t="s">
        <v>745</v>
      </c>
      <c r="Q138" s="290" t="s">
        <v>746</v>
      </c>
      <c r="R138" s="315" t="b">
        <f aca="false">FALSE()</f>
        <v>0</v>
      </c>
      <c r="S138" s="290" t="n">
        <v>60</v>
      </c>
      <c r="T138" s="290" t="n">
        <v>100</v>
      </c>
      <c r="U138" s="290" t="n">
        <v>70</v>
      </c>
      <c r="V138" s="290" t="n">
        <v>80</v>
      </c>
      <c r="W138" s="290" t="n">
        <v>100</v>
      </c>
      <c r="X138" s="290" t="n">
        <v>100</v>
      </c>
      <c r="Y138" s="290" t="n">
        <v>1.3</v>
      </c>
      <c r="Z138" s="290" t="n">
        <v>1.1</v>
      </c>
      <c r="AA138" s="290" t="n">
        <v>1</v>
      </c>
      <c r="AB138" s="290" t="n">
        <v>2500</v>
      </c>
      <c r="AC138" s="290" t="s">
        <v>764</v>
      </c>
      <c r="AD138" s="290" t="s">
        <v>182</v>
      </c>
      <c r="AE138" s="290" t="n">
        <v>65</v>
      </c>
      <c r="AF138" s="290" t="n">
        <v>98</v>
      </c>
      <c r="AG138" s="290" t="n">
        <v>250</v>
      </c>
      <c r="AH138" s="290" t="n">
        <v>375</v>
      </c>
      <c r="AI138" s="290" t="n">
        <v>140</v>
      </c>
      <c r="AJ138" s="315" t="b">
        <f aca="false">FALSE()</f>
        <v>0</v>
      </c>
      <c r="AK138" s="315" t="b">
        <f aca="false">FALSE()</f>
        <v>0</v>
      </c>
      <c r="AL138" s="290" t="s">
        <v>765</v>
      </c>
      <c r="AM138" s="315" t="b">
        <f aca="false">FALSE()</f>
        <v>0</v>
      </c>
      <c r="AN138" s="315" t="b">
        <f aca="false">FALSE()</f>
        <v>0</v>
      </c>
      <c r="AO138" s="290" t="n">
        <v>150</v>
      </c>
      <c r="AP138" s="290" t="n">
        <v>1</v>
      </c>
      <c r="AQ138" s="290" t="n">
        <v>2</v>
      </c>
      <c r="AR138" s="290" t="n">
        <v>25</v>
      </c>
      <c r="AS138" s="290" t="n">
        <v>90</v>
      </c>
      <c r="AT138" s="290" t="n">
        <v>1</v>
      </c>
      <c r="AU138" s="315" t="b">
        <f aca="false">TRUE()</f>
        <v>1</v>
      </c>
      <c r="AV138" s="315" t="b">
        <f aca="false">FALSE()</f>
        <v>0</v>
      </c>
      <c r="AW138" s="290" t="n">
        <v>0</v>
      </c>
      <c r="AX138" s="315" t="b">
        <f aca="false">FALSE()</f>
        <v>0</v>
      </c>
      <c r="AY138" s="315" t="b">
        <f aca="false">TRUE()</f>
        <v>1</v>
      </c>
      <c r="AZ138" s="290" t="n">
        <v>100</v>
      </c>
      <c r="BA138" s="290" t="n">
        <v>50</v>
      </c>
      <c r="BB138" s="290" t="n">
        <v>1405</v>
      </c>
      <c r="BC138" s="290" t="n">
        <v>1</v>
      </c>
      <c r="BD138" s="290" t="n">
        <v>0</v>
      </c>
      <c r="BE138" s="290" t="n">
        <v>0</v>
      </c>
      <c r="BF138" s="290" t="n">
        <v>0</v>
      </c>
      <c r="BG138" s="290" t="n">
        <v>1</v>
      </c>
      <c r="BH138" s="290" t="n">
        <v>0</v>
      </c>
      <c r="BI138" s="290" t="n">
        <v>0</v>
      </c>
      <c r="BJ138" s="290" t="n">
        <v>0</v>
      </c>
      <c r="BK138" s="290" t="n">
        <v>0</v>
      </c>
      <c r="BL138" s="290" t="n">
        <v>0</v>
      </c>
      <c r="BM138" s="290" t="n">
        <v>0</v>
      </c>
      <c r="BN138" s="290" t="n">
        <v>1</v>
      </c>
      <c r="BO138" s="290" t="n">
        <v>1</v>
      </c>
      <c r="BP138" s="290" t="s">
        <v>182</v>
      </c>
      <c r="BQ138" s="290" t="s">
        <v>182</v>
      </c>
      <c r="BR138" s="290" t="s">
        <v>182</v>
      </c>
      <c r="BS138" s="290" t="s">
        <v>182</v>
      </c>
      <c r="BT138" s="290" t="n">
        <v>137</v>
      </c>
      <c r="BU138" s="316" t="b">
        <f aca="false">FALSE()</f>
        <v>0</v>
      </c>
      <c r="BV138" s="290"/>
      <c r="BW138" s="3"/>
      <c r="BX138" s="3"/>
      <c r="BY138" s="3"/>
      <c r="BZ138" s="3"/>
      <c r="CA138" s="3"/>
      <c r="CB138" s="3"/>
      <c r="CC138" s="3"/>
      <c r="CD138" s="3"/>
      <c r="CE138" s="3"/>
      <c r="CF138" s="3"/>
      <c r="CG138" s="3" t="n">
        <f aca="false">IF(BZ138="Saddle",TRUE(),)</f>
        <v>0</v>
      </c>
      <c r="CH138" s="3"/>
      <c r="CI138" s="3"/>
      <c r="CJ138" s="3"/>
      <c r="CK138" s="3"/>
      <c r="CL138" s="3"/>
      <c r="CM138" s="3"/>
      <c r="CN138" s="3"/>
      <c r="CO138" s="3"/>
      <c r="CP138" s="3"/>
      <c r="CQ138" s="3"/>
      <c r="CR138" s="3"/>
      <c r="CS138" s="3"/>
      <c r="CT138" s="3"/>
      <c r="CU138" s="3"/>
      <c r="CV138" s="3" t="s">
        <v>1238</v>
      </c>
      <c r="CW138" s="3" t="s">
        <v>1239</v>
      </c>
      <c r="CX138" s="3" t="s">
        <v>1240</v>
      </c>
      <c r="CY138" s="3" t="s">
        <v>1241</v>
      </c>
      <c r="CZ138" s="3" t="s">
        <v>1242</v>
      </c>
    </row>
    <row r="139" customFormat="false" ht="15.75" hidden="false" customHeight="false" outlineLevel="0" collapsed="false">
      <c r="A139" s="290" t="s">
        <v>128</v>
      </c>
      <c r="B139" s="290" t="s">
        <v>273</v>
      </c>
      <c r="C139" s="290" t="s">
        <v>182</v>
      </c>
      <c r="D139" s="290" t="s">
        <v>182</v>
      </c>
      <c r="E139" s="290" t="s">
        <v>182</v>
      </c>
      <c r="F139" s="315" t="b">
        <f aca="false">TRUE()</f>
        <v>1</v>
      </c>
      <c r="G139" s="290" t="s">
        <v>475</v>
      </c>
      <c r="H139" s="290" t="s">
        <v>273</v>
      </c>
      <c r="I139" s="290" t="n">
        <v>9</v>
      </c>
      <c r="J139" s="3"/>
      <c r="K139" s="290" t="s">
        <v>773</v>
      </c>
      <c r="L139" s="290" t="n">
        <v>2</v>
      </c>
      <c r="M139" s="290" t="s">
        <v>757</v>
      </c>
      <c r="N139" s="290" t="s">
        <v>743</v>
      </c>
      <c r="O139" s="290" t="s">
        <v>763</v>
      </c>
      <c r="P139" s="290" t="s">
        <v>745</v>
      </c>
      <c r="Q139" s="290" t="s">
        <v>746</v>
      </c>
      <c r="R139" s="315" t="b">
        <f aca="false">FALSE()</f>
        <v>0</v>
      </c>
      <c r="S139" s="290" t="n">
        <v>75</v>
      </c>
      <c r="T139" s="290" t="n">
        <v>100</v>
      </c>
      <c r="U139" s="290" t="n">
        <v>70</v>
      </c>
      <c r="V139" s="290" t="n">
        <v>75</v>
      </c>
      <c r="W139" s="290" t="n">
        <v>100</v>
      </c>
      <c r="X139" s="290" t="n">
        <v>100</v>
      </c>
      <c r="Y139" s="290" t="n">
        <v>1.3</v>
      </c>
      <c r="Z139" s="290" t="n">
        <v>1.1</v>
      </c>
      <c r="AA139" s="290" t="n">
        <v>1</v>
      </c>
      <c r="AB139" s="290" t="n">
        <v>2950</v>
      </c>
      <c r="AC139" s="290" t="s">
        <v>764</v>
      </c>
      <c r="AD139" s="290" t="s">
        <v>182</v>
      </c>
      <c r="AE139" s="290" t="n">
        <v>70</v>
      </c>
      <c r="AF139" s="290" t="n">
        <v>100</v>
      </c>
      <c r="AG139" s="290" t="n">
        <v>400</v>
      </c>
      <c r="AH139" s="290" t="n">
        <v>550</v>
      </c>
      <c r="AI139" s="290" t="n">
        <v>-1</v>
      </c>
      <c r="AJ139" s="315" t="b">
        <f aca="false">FALSE()</f>
        <v>0</v>
      </c>
      <c r="AK139" s="315" t="b">
        <f aca="false">FALSE()</f>
        <v>0</v>
      </c>
      <c r="AL139" s="290" t="s">
        <v>765</v>
      </c>
      <c r="AM139" s="315" t="b">
        <f aca="false">FALSE()</f>
        <v>0</v>
      </c>
      <c r="AN139" s="315" t="b">
        <f aca="false">FALSE()</f>
        <v>0</v>
      </c>
      <c r="AO139" s="290" t="n">
        <v>225</v>
      </c>
      <c r="AP139" s="290" t="n">
        <v>1</v>
      </c>
      <c r="AQ139" s="290" t="n">
        <v>3</v>
      </c>
      <c r="AR139" s="290" t="n">
        <v>25</v>
      </c>
      <c r="AS139" s="290" t="n">
        <v>90</v>
      </c>
      <c r="AT139" s="290" t="n">
        <v>1</v>
      </c>
      <c r="AU139" s="315" t="b">
        <f aca="false">FALSE()</f>
        <v>0</v>
      </c>
      <c r="AV139" s="315" t="b">
        <f aca="false">FALSE()</f>
        <v>0</v>
      </c>
      <c r="AW139" s="290" t="n">
        <v>0</v>
      </c>
      <c r="AX139" s="315" t="b">
        <f aca="false">FALSE()</f>
        <v>0</v>
      </c>
      <c r="AY139" s="315" t="b">
        <f aca="false">TRUE()</f>
        <v>1</v>
      </c>
      <c r="AZ139" s="290" t="n">
        <v>100</v>
      </c>
      <c r="BA139" s="290" t="n">
        <v>50</v>
      </c>
      <c r="BB139" s="290" t="n">
        <v>1155</v>
      </c>
      <c r="BC139" s="290" t="n">
        <v>1</v>
      </c>
      <c r="BD139" s="290" t="n">
        <v>0</v>
      </c>
      <c r="BE139" s="290" t="n">
        <v>0</v>
      </c>
      <c r="BF139" s="290" t="n">
        <v>0</v>
      </c>
      <c r="BG139" s="290" t="n">
        <v>0</v>
      </c>
      <c r="BH139" s="290" t="n">
        <v>0</v>
      </c>
      <c r="BI139" s="290" t="n">
        <v>0</v>
      </c>
      <c r="BJ139" s="290" t="n">
        <v>0</v>
      </c>
      <c r="BK139" s="290" t="n">
        <v>0</v>
      </c>
      <c r="BL139" s="290" t="n">
        <v>0</v>
      </c>
      <c r="BM139" s="290" t="n">
        <v>0</v>
      </c>
      <c r="BN139" s="290" t="n">
        <v>0</v>
      </c>
      <c r="BO139" s="290" t="n">
        <v>0</v>
      </c>
      <c r="BP139" s="290" t="s">
        <v>182</v>
      </c>
      <c r="BQ139" s="290" t="s">
        <v>182</v>
      </c>
      <c r="BR139" s="290" t="s">
        <v>182</v>
      </c>
      <c r="BS139" s="290" t="s">
        <v>182</v>
      </c>
      <c r="BT139" s="290" t="n">
        <v>138</v>
      </c>
      <c r="BU139" s="316" t="b">
        <f aca="false">FALSE()</f>
        <v>0</v>
      </c>
      <c r="BV139" s="290"/>
      <c r="BW139" s="3"/>
      <c r="BX139" s="3"/>
      <c r="BY139" s="3"/>
      <c r="BZ139" s="3"/>
      <c r="CA139" s="3"/>
      <c r="CB139" s="3"/>
      <c r="CC139" s="3"/>
      <c r="CD139" s="3"/>
      <c r="CE139" s="3"/>
      <c r="CF139" s="3"/>
      <c r="CG139" s="3" t="n">
        <f aca="false">IF(BZ139="Saddle",TRUE(),)</f>
        <v>0</v>
      </c>
      <c r="CH139" s="3"/>
      <c r="CI139" s="3"/>
      <c r="CJ139" s="3"/>
      <c r="CK139" s="3"/>
      <c r="CL139" s="3"/>
      <c r="CM139" s="3"/>
      <c r="CN139" s="3"/>
      <c r="CO139" s="3"/>
      <c r="CP139" s="3"/>
      <c r="CQ139" s="3"/>
      <c r="CR139" s="3"/>
      <c r="CS139" s="3"/>
      <c r="CT139" s="3"/>
      <c r="CU139" s="3" t="s">
        <v>1073</v>
      </c>
      <c r="CV139" s="3" t="s">
        <v>850</v>
      </c>
      <c r="CW139" s="3" t="s">
        <v>851</v>
      </c>
      <c r="CX139" s="3" t="s">
        <v>852</v>
      </c>
      <c r="CY139" s="3" t="s">
        <v>853</v>
      </c>
      <c r="CZ139" s="3" t="s">
        <v>854</v>
      </c>
    </row>
    <row r="140" customFormat="false" ht="15.75" hidden="false" customHeight="false" outlineLevel="0" collapsed="false">
      <c r="A140" s="309" t="s">
        <v>609</v>
      </c>
      <c r="B140" s="309" t="s">
        <v>1243</v>
      </c>
      <c r="C140" s="309" t="s">
        <v>1244</v>
      </c>
      <c r="D140" s="309" t="s">
        <v>1245</v>
      </c>
      <c r="E140" s="309" t="s">
        <v>1246</v>
      </c>
      <c r="F140" s="318" t="b">
        <f aca="false">TRUE()</f>
        <v>1</v>
      </c>
      <c r="G140" s="309" t="s">
        <v>938</v>
      </c>
      <c r="H140" s="309" t="s">
        <v>1243</v>
      </c>
      <c r="I140" s="312" t="n">
        <v>-1</v>
      </c>
      <c r="J140" s="3"/>
      <c r="K140" s="309" t="s">
        <v>884</v>
      </c>
      <c r="L140" s="312" t="n">
        <v>3</v>
      </c>
      <c r="M140" s="309" t="s">
        <v>789</v>
      </c>
      <c r="N140" s="309" t="s">
        <v>743</v>
      </c>
      <c r="O140" s="309" t="s">
        <v>763</v>
      </c>
      <c r="P140" s="309" t="s">
        <v>745</v>
      </c>
      <c r="Q140" s="309" t="s">
        <v>746</v>
      </c>
      <c r="R140" s="318" t="b">
        <f aca="false">FALSE()</f>
        <v>0</v>
      </c>
      <c r="S140" s="312" t="n">
        <v>90</v>
      </c>
      <c r="T140" s="312" t="n">
        <v>90</v>
      </c>
      <c r="U140" s="312" t="n">
        <v>90</v>
      </c>
      <c r="V140" s="312" t="n">
        <v>90</v>
      </c>
      <c r="W140" s="312" t="n">
        <v>100</v>
      </c>
      <c r="X140" s="312" t="n">
        <v>100</v>
      </c>
      <c r="Y140" s="312" t="n">
        <v>0.4</v>
      </c>
      <c r="Z140" s="312" t="n">
        <v>0.7</v>
      </c>
      <c r="AA140" s="312" t="n">
        <v>10</v>
      </c>
      <c r="AB140" s="312" t="n">
        <v>3040</v>
      </c>
      <c r="AC140" s="309" t="s">
        <v>836</v>
      </c>
      <c r="AD140" s="309" t="s">
        <v>182</v>
      </c>
      <c r="AE140" s="312" t="n">
        <v>62</v>
      </c>
      <c r="AF140" s="312" t="n">
        <v>62</v>
      </c>
      <c r="AG140" s="312" t="n">
        <v>460</v>
      </c>
      <c r="AH140" s="312" t="n">
        <v>900</v>
      </c>
      <c r="AI140" s="312" t="n">
        <v>261</v>
      </c>
      <c r="AJ140" s="318" t="b">
        <f aca="false">TRUE()</f>
        <v>1</v>
      </c>
      <c r="AK140" s="318" t="b">
        <f aca="false">FALSE()</f>
        <v>0</v>
      </c>
      <c r="AL140" s="309" t="s">
        <v>1247</v>
      </c>
      <c r="AM140" s="318" t="b">
        <f aca="false">FALSE()</f>
        <v>0</v>
      </c>
      <c r="AN140" s="318" t="b">
        <f aca="false">FALSE()</f>
        <v>0</v>
      </c>
      <c r="AO140" s="312" t="n">
        <v>225</v>
      </c>
      <c r="AP140" s="312" t="n">
        <v>1</v>
      </c>
      <c r="AQ140" s="312" t="n">
        <v>3</v>
      </c>
      <c r="AR140" s="312" t="n">
        <v>25</v>
      </c>
      <c r="AS140" s="312" t="n">
        <v>90</v>
      </c>
      <c r="AT140" s="312" t="n">
        <v>1</v>
      </c>
      <c r="AU140" s="318" t="b">
        <f aca="false">FALSE()</f>
        <v>0</v>
      </c>
      <c r="AV140" s="318" t="b">
        <f aca="false">FALSE()</f>
        <v>0</v>
      </c>
      <c r="AW140" s="312" t="n">
        <v>9</v>
      </c>
      <c r="AX140" s="318" t="b">
        <f aca="false">FALSE()</f>
        <v>0</v>
      </c>
      <c r="AY140" s="318" t="b">
        <f aca="false">TRUE()</f>
        <v>1</v>
      </c>
      <c r="AZ140" s="312" t="n">
        <v>100</v>
      </c>
      <c r="BA140" s="312" t="n">
        <v>50</v>
      </c>
      <c r="BB140" s="312" t="n">
        <v>890</v>
      </c>
      <c r="BC140" s="312" t="n">
        <v>0</v>
      </c>
      <c r="BD140" s="312" t="n">
        <v>0</v>
      </c>
      <c r="BE140" s="312" t="n">
        <v>0</v>
      </c>
      <c r="BF140" s="312" t="n">
        <v>0</v>
      </c>
      <c r="BG140" s="312" t="n">
        <v>0</v>
      </c>
      <c r="BH140" s="312" t="n">
        <v>0</v>
      </c>
      <c r="BI140" s="312" t="n">
        <v>0</v>
      </c>
      <c r="BJ140" s="312" t="n">
        <v>0</v>
      </c>
      <c r="BK140" s="312" t="n">
        <v>0</v>
      </c>
      <c r="BL140" s="312" t="n">
        <v>0</v>
      </c>
      <c r="BM140" s="312" t="n">
        <v>0</v>
      </c>
      <c r="BN140" s="312" t="n">
        <v>0</v>
      </c>
      <c r="BO140" s="312" t="n">
        <v>1</v>
      </c>
      <c r="BP140" s="309" t="s">
        <v>182</v>
      </c>
      <c r="BQ140" s="309" t="s">
        <v>182</v>
      </c>
      <c r="BR140" s="309" t="s">
        <v>182</v>
      </c>
      <c r="BS140" s="309" t="s">
        <v>182</v>
      </c>
      <c r="BT140" s="312" t="n">
        <v>202</v>
      </c>
      <c r="BU140" s="318" t="b">
        <f aca="false">FALSE()</f>
        <v>0</v>
      </c>
      <c r="BV140" s="3" t="e">
        <f aca="false">xlookup(MID($A140,7,50),$A$2:$A$139,$BV$2:$BV$139,,0,1)</f>
        <v>#NAME?</v>
      </c>
      <c r="BW140" s="3"/>
      <c r="BX140" s="85" t="n">
        <v>7</v>
      </c>
      <c r="BY140" s="3" t="s">
        <v>939</v>
      </c>
      <c r="BZ140" s="3" t="s">
        <v>775</v>
      </c>
      <c r="CA140" s="3"/>
      <c r="CB140" s="3"/>
      <c r="CC140" s="3"/>
      <c r="CD140" s="3"/>
      <c r="CE140" s="3"/>
      <c r="CF140" s="3"/>
      <c r="CG140" s="311" t="b">
        <f aca="false">TRUE()</f>
        <v>1</v>
      </c>
      <c r="CH140" s="3" t="s">
        <v>776</v>
      </c>
      <c r="CI140" s="3"/>
      <c r="CJ140" s="3"/>
      <c r="CK140" s="3"/>
      <c r="CL140" s="3"/>
      <c r="CM140" s="3"/>
      <c r="CN140" s="3"/>
      <c r="CO140" s="3"/>
      <c r="CP140" s="3"/>
      <c r="CQ140" s="3"/>
      <c r="CR140" s="3"/>
      <c r="CS140" s="3"/>
      <c r="CT140" s="3"/>
      <c r="CU140" s="3"/>
      <c r="CV140" s="3" t="s">
        <v>940</v>
      </c>
      <c r="CW140" s="3" t="s">
        <v>941</v>
      </c>
      <c r="CX140" s="3" t="s">
        <v>942</v>
      </c>
      <c r="CY140" s="3" t="s">
        <v>943</v>
      </c>
      <c r="CZ140" s="3" t="s">
        <v>944</v>
      </c>
    </row>
    <row r="141" customFormat="false" ht="15.75" hidden="false" customHeight="false" outlineLevel="0" collapsed="false">
      <c r="A141" s="309" t="s">
        <v>1248</v>
      </c>
      <c r="B141" s="309" t="s">
        <v>1249</v>
      </c>
      <c r="C141" s="309" t="s">
        <v>1250</v>
      </c>
      <c r="D141" s="309" t="s">
        <v>1251</v>
      </c>
      <c r="E141" s="309" t="s">
        <v>1252</v>
      </c>
      <c r="F141" s="318" t="b">
        <f aca="false">TRUE()</f>
        <v>1</v>
      </c>
      <c r="G141" s="309" t="s">
        <v>497</v>
      </c>
      <c r="H141" s="309" t="s">
        <v>1249</v>
      </c>
      <c r="I141" s="312" t="n">
        <v>-1</v>
      </c>
      <c r="J141" s="3"/>
      <c r="K141" s="309" t="s">
        <v>884</v>
      </c>
      <c r="L141" s="312" t="n">
        <v>6</v>
      </c>
      <c r="M141" s="309" t="s">
        <v>757</v>
      </c>
      <c r="N141" s="309" t="s">
        <v>743</v>
      </c>
      <c r="O141" s="309" t="s">
        <v>763</v>
      </c>
      <c r="P141" s="309" t="s">
        <v>745</v>
      </c>
      <c r="Q141" s="309" t="s">
        <v>746</v>
      </c>
      <c r="R141" s="318" t="b">
        <f aca="false">FALSE()</f>
        <v>0</v>
      </c>
      <c r="S141" s="312" t="n">
        <v>100</v>
      </c>
      <c r="T141" s="312" t="n">
        <v>70</v>
      </c>
      <c r="U141" s="312" t="n">
        <v>115</v>
      </c>
      <c r="V141" s="312" t="n">
        <v>100</v>
      </c>
      <c r="W141" s="312" t="n">
        <v>110</v>
      </c>
      <c r="X141" s="312" t="n">
        <v>100</v>
      </c>
      <c r="Y141" s="312" t="n">
        <v>0.2</v>
      </c>
      <c r="Z141" s="312" t="n">
        <v>0.7</v>
      </c>
      <c r="AA141" s="312" t="n">
        <v>10</v>
      </c>
      <c r="AB141" s="312" t="n">
        <v>3170</v>
      </c>
      <c r="AC141" s="309" t="s">
        <v>1253</v>
      </c>
      <c r="AD141" s="309" t="s">
        <v>182</v>
      </c>
      <c r="AE141" s="312" t="n">
        <v>80</v>
      </c>
      <c r="AF141" s="312" t="n">
        <v>130</v>
      </c>
      <c r="AG141" s="312" t="n">
        <v>700</v>
      </c>
      <c r="AH141" s="312" t="n">
        <v>1000</v>
      </c>
      <c r="AI141" s="312" t="n">
        <v>415</v>
      </c>
      <c r="AJ141" s="318" t="b">
        <f aca="false">TRUE()</f>
        <v>1</v>
      </c>
      <c r="AK141" s="318" t="b">
        <f aca="false">FALSE()</f>
        <v>0</v>
      </c>
      <c r="AL141" s="309" t="s">
        <v>1247</v>
      </c>
      <c r="AM141" s="318" t="b">
        <f aca="false">FALSE()</f>
        <v>0</v>
      </c>
      <c r="AN141" s="318" t="b">
        <f aca="false">FALSE()</f>
        <v>0</v>
      </c>
      <c r="AO141" s="312" t="n">
        <v>300</v>
      </c>
      <c r="AP141" s="312" t="n">
        <v>1</v>
      </c>
      <c r="AQ141" s="312" t="n">
        <v>4</v>
      </c>
      <c r="AR141" s="312" t="n">
        <v>25</v>
      </c>
      <c r="AS141" s="312" t="n">
        <v>90</v>
      </c>
      <c r="AT141" s="312" t="n">
        <v>1</v>
      </c>
      <c r="AU141" s="318" t="b">
        <f aca="false">FALSE()</f>
        <v>0</v>
      </c>
      <c r="AV141" s="318" t="b">
        <f aca="false">FALSE()</f>
        <v>0</v>
      </c>
      <c r="AW141" s="312" t="n">
        <v>9</v>
      </c>
      <c r="AX141" s="318" t="b">
        <f aca="false">TRUE()</f>
        <v>1</v>
      </c>
      <c r="AY141" s="318" t="b">
        <f aca="false">TRUE()</f>
        <v>1</v>
      </c>
      <c r="AZ141" s="312" t="n">
        <v>100</v>
      </c>
      <c r="BA141" s="312" t="n">
        <v>50</v>
      </c>
      <c r="BB141" s="312" t="n">
        <v>830</v>
      </c>
      <c r="BC141" s="312" t="n">
        <v>2</v>
      </c>
      <c r="BD141" s="312" t="n">
        <v>0</v>
      </c>
      <c r="BE141" s="312" t="n">
        <v>0</v>
      </c>
      <c r="BF141" s="312" t="n">
        <v>0</v>
      </c>
      <c r="BG141" s="312" t="n">
        <v>0</v>
      </c>
      <c r="BH141" s="312" t="n">
        <v>0</v>
      </c>
      <c r="BI141" s="312" t="n">
        <v>0</v>
      </c>
      <c r="BJ141" s="312" t="n">
        <v>0</v>
      </c>
      <c r="BK141" s="312" t="n">
        <v>0</v>
      </c>
      <c r="BL141" s="312" t="n">
        <v>0</v>
      </c>
      <c r="BM141" s="312" t="n">
        <v>0</v>
      </c>
      <c r="BN141" s="312" t="n">
        <v>0</v>
      </c>
      <c r="BO141" s="312" t="n">
        <v>0</v>
      </c>
      <c r="BP141" s="309" t="s">
        <v>182</v>
      </c>
      <c r="BQ141" s="309" t="s">
        <v>182</v>
      </c>
      <c r="BR141" s="309" t="s">
        <v>182</v>
      </c>
      <c r="BS141" s="309" t="s">
        <v>182</v>
      </c>
      <c r="BT141" s="312" t="n">
        <v>203</v>
      </c>
      <c r="BU141" s="318" t="b">
        <f aca="false">FALSE()</f>
        <v>0</v>
      </c>
      <c r="BV141" s="3" t="e">
        <f aca="false">xlookup(MID($A141,7,50),$A$2:$A$139,$BV$2:$BV$139,,0,1)</f>
        <v>#NAME?</v>
      </c>
      <c r="BW141" s="3"/>
      <c r="BX141" s="85" t="n">
        <v>30</v>
      </c>
      <c r="BY141" s="3" t="s">
        <v>974</v>
      </c>
      <c r="BZ141" s="3" t="s">
        <v>775</v>
      </c>
      <c r="CA141" s="3"/>
      <c r="CB141" s="3"/>
      <c r="CC141" s="3"/>
      <c r="CD141" s="3"/>
      <c r="CE141" s="3"/>
      <c r="CF141" s="3"/>
      <c r="CG141" s="311" t="b">
        <f aca="false">TRUE()</f>
        <v>1</v>
      </c>
      <c r="CH141" s="3" t="s">
        <v>776</v>
      </c>
      <c r="CI141" s="3"/>
      <c r="CJ141" s="3" t="s">
        <v>975</v>
      </c>
      <c r="CK141" s="3" t="s">
        <v>975</v>
      </c>
      <c r="CL141" s="3" t="s">
        <v>975</v>
      </c>
      <c r="CM141" s="3" t="s">
        <v>975</v>
      </c>
      <c r="CN141" s="3" t="s">
        <v>975</v>
      </c>
      <c r="CO141" s="3"/>
      <c r="CP141" s="3" t="s">
        <v>976</v>
      </c>
      <c r="CQ141" s="3" t="s">
        <v>976</v>
      </c>
      <c r="CR141" s="3" t="s">
        <v>976</v>
      </c>
      <c r="CS141" s="3" t="s">
        <v>976</v>
      </c>
      <c r="CT141" s="3" t="s">
        <v>976</v>
      </c>
      <c r="CU141" s="3" t="s">
        <v>818</v>
      </c>
      <c r="CV141" s="3"/>
      <c r="CW141" s="3" t="s">
        <v>819</v>
      </c>
      <c r="CX141" s="3" t="s">
        <v>820</v>
      </c>
      <c r="CY141" s="3" t="s">
        <v>821</v>
      </c>
      <c r="CZ141" s="3" t="s">
        <v>822</v>
      </c>
    </row>
    <row r="142" customFormat="false" ht="15.75" hidden="false" customHeight="false" outlineLevel="0" collapsed="false">
      <c r="A142" s="309" t="s">
        <v>1254</v>
      </c>
      <c r="B142" s="309" t="s">
        <v>1255</v>
      </c>
      <c r="C142" s="309" t="s">
        <v>1256</v>
      </c>
      <c r="D142" s="309" t="s">
        <v>1257</v>
      </c>
      <c r="E142" s="309" t="s">
        <v>1258</v>
      </c>
      <c r="F142" s="318" t="b">
        <f aca="false">TRUE()</f>
        <v>1</v>
      </c>
      <c r="G142" s="309" t="s">
        <v>493</v>
      </c>
      <c r="H142" s="309" t="s">
        <v>1255</v>
      </c>
      <c r="I142" s="312" t="n">
        <v>-1</v>
      </c>
      <c r="J142" s="3"/>
      <c r="K142" s="309" t="s">
        <v>884</v>
      </c>
      <c r="L142" s="312" t="n">
        <v>10</v>
      </c>
      <c r="M142" s="309" t="s">
        <v>742</v>
      </c>
      <c r="N142" s="309" t="s">
        <v>743</v>
      </c>
      <c r="O142" s="309" t="s">
        <v>744</v>
      </c>
      <c r="P142" s="309" t="s">
        <v>745</v>
      </c>
      <c r="Q142" s="309" t="s">
        <v>746</v>
      </c>
      <c r="R142" s="318" t="b">
        <f aca="false">FALSE()</f>
        <v>0</v>
      </c>
      <c r="S142" s="312" t="n">
        <v>120</v>
      </c>
      <c r="T142" s="312" t="n">
        <v>130</v>
      </c>
      <c r="U142" s="312" t="n">
        <v>130</v>
      </c>
      <c r="V142" s="312" t="n">
        <v>100</v>
      </c>
      <c r="W142" s="312" t="n">
        <v>100</v>
      </c>
      <c r="X142" s="312" t="n">
        <v>100</v>
      </c>
      <c r="Y142" s="312" t="n">
        <v>0.2</v>
      </c>
      <c r="Z142" s="312" t="n">
        <v>0.7</v>
      </c>
      <c r="AA142" s="312" t="n">
        <v>10</v>
      </c>
      <c r="AB142" s="312" t="n">
        <v>9190</v>
      </c>
      <c r="AC142" s="309" t="s">
        <v>1253</v>
      </c>
      <c r="AD142" s="309" t="s">
        <v>182</v>
      </c>
      <c r="AE142" s="312" t="n">
        <v>80</v>
      </c>
      <c r="AF142" s="312" t="n">
        <v>160</v>
      </c>
      <c r="AG142" s="312" t="n">
        <v>800</v>
      </c>
      <c r="AH142" s="312" t="n">
        <v>1000</v>
      </c>
      <c r="AI142" s="312" t="n">
        <v>480</v>
      </c>
      <c r="AJ142" s="318" t="b">
        <f aca="false">TRUE()</f>
        <v>1</v>
      </c>
      <c r="AK142" s="318" t="b">
        <f aca="false">FALSE()</f>
        <v>0</v>
      </c>
      <c r="AL142" s="309" t="s">
        <v>1247</v>
      </c>
      <c r="AM142" s="318" t="b">
        <f aca="false">FALSE()</f>
        <v>0</v>
      </c>
      <c r="AN142" s="318" t="b">
        <f aca="false">FALSE()</f>
        <v>0</v>
      </c>
      <c r="AO142" s="312" t="n">
        <v>400</v>
      </c>
      <c r="AP142" s="312" t="n">
        <v>1</v>
      </c>
      <c r="AQ142" s="312" t="n">
        <v>6</v>
      </c>
      <c r="AR142" s="312" t="n">
        <v>25</v>
      </c>
      <c r="AS142" s="312" t="n">
        <v>90</v>
      </c>
      <c r="AT142" s="312" t="n">
        <v>1</v>
      </c>
      <c r="AU142" s="318" t="b">
        <f aca="false">FALSE()</f>
        <v>0</v>
      </c>
      <c r="AV142" s="318" t="b">
        <f aca="false">FALSE()</f>
        <v>0</v>
      </c>
      <c r="AW142" s="312" t="n">
        <v>9</v>
      </c>
      <c r="AX142" s="318" t="b">
        <f aca="false">TRUE()</f>
        <v>1</v>
      </c>
      <c r="AY142" s="318" t="b">
        <f aca="false">TRUE()</f>
        <v>1</v>
      </c>
      <c r="AZ142" s="312" t="n">
        <v>100</v>
      </c>
      <c r="BA142" s="312" t="n">
        <v>50</v>
      </c>
      <c r="BB142" s="312" t="n">
        <v>570</v>
      </c>
      <c r="BC142" s="312" t="n">
        <v>0</v>
      </c>
      <c r="BD142" s="312" t="n">
        <v>0</v>
      </c>
      <c r="BE142" s="312" t="n">
        <v>0</v>
      </c>
      <c r="BF142" s="312" t="n">
        <v>0</v>
      </c>
      <c r="BG142" s="312" t="n">
        <v>4</v>
      </c>
      <c r="BH142" s="312" t="n">
        <v>0</v>
      </c>
      <c r="BI142" s="312" t="n">
        <v>0</v>
      </c>
      <c r="BJ142" s="312" t="n">
        <v>3</v>
      </c>
      <c r="BK142" s="312" t="n">
        <v>0</v>
      </c>
      <c r="BL142" s="312" t="n">
        <v>0</v>
      </c>
      <c r="BM142" s="312" t="n">
        <v>0</v>
      </c>
      <c r="BN142" s="312" t="n">
        <v>2</v>
      </c>
      <c r="BO142" s="312" t="n">
        <v>0</v>
      </c>
      <c r="BP142" s="309" t="s">
        <v>749</v>
      </c>
      <c r="BQ142" s="309" t="s">
        <v>182</v>
      </c>
      <c r="BR142" s="309" t="s">
        <v>182</v>
      </c>
      <c r="BS142" s="309" t="s">
        <v>182</v>
      </c>
      <c r="BT142" s="312" t="n">
        <v>204</v>
      </c>
      <c r="BU142" s="318" t="b">
        <f aca="false">FALSE()</f>
        <v>0</v>
      </c>
      <c r="BV142" s="3" t="e">
        <f aca="false">xlookup(MID($A142,7,50),$A$2:$A$139,$BV$2:$BV$139,,0,1)</f>
        <v>#NAME?</v>
      </c>
      <c r="BW142" s="3"/>
      <c r="BX142" s="3"/>
      <c r="BY142" s="3"/>
      <c r="BZ142" s="3"/>
      <c r="CA142" s="3"/>
      <c r="CB142" s="3"/>
      <c r="CC142" s="3"/>
      <c r="CD142" s="3"/>
      <c r="CE142" s="3"/>
      <c r="CF142" s="3"/>
      <c r="CG142" s="3"/>
      <c r="CH142" s="3"/>
      <c r="CI142" s="3" t="s">
        <v>750</v>
      </c>
      <c r="CJ142" s="3" t="s">
        <v>751</v>
      </c>
      <c r="CK142" s="3" t="s">
        <v>751</v>
      </c>
      <c r="CL142" s="3" t="s">
        <v>751</v>
      </c>
      <c r="CM142" s="3" t="s">
        <v>751</v>
      </c>
      <c r="CN142" s="3" t="s">
        <v>751</v>
      </c>
      <c r="CO142" s="3"/>
      <c r="CP142" s="3"/>
      <c r="CQ142" s="3"/>
      <c r="CR142" s="3"/>
      <c r="CS142" s="3"/>
      <c r="CT142" s="3"/>
      <c r="CU142" s="3"/>
      <c r="CV142" s="3" t="s">
        <v>752</v>
      </c>
      <c r="CW142" s="3" t="s">
        <v>753</v>
      </c>
      <c r="CX142" s="3" t="s">
        <v>754</v>
      </c>
      <c r="CY142" s="3" t="s">
        <v>755</v>
      </c>
      <c r="CZ142" s="3" t="s">
        <v>756</v>
      </c>
    </row>
    <row r="143" customFormat="false" ht="15.75" hidden="false" customHeight="false" outlineLevel="0" collapsed="false">
      <c r="A143" s="309" t="s">
        <v>1259</v>
      </c>
      <c r="B143" s="309" t="s">
        <v>1260</v>
      </c>
      <c r="C143" s="309" t="s">
        <v>1261</v>
      </c>
      <c r="D143" s="309" t="s">
        <v>1262</v>
      </c>
      <c r="E143" s="309" t="s">
        <v>1263</v>
      </c>
      <c r="F143" s="318" t="b">
        <f aca="false">TRUE()</f>
        <v>1</v>
      </c>
      <c r="G143" s="309" t="s">
        <v>422</v>
      </c>
      <c r="H143" s="309" t="s">
        <v>1260</v>
      </c>
      <c r="I143" s="312" t="n">
        <v>-1</v>
      </c>
      <c r="J143" s="3"/>
      <c r="K143" s="309" t="s">
        <v>884</v>
      </c>
      <c r="L143" s="312" t="n">
        <v>4</v>
      </c>
      <c r="M143" s="309" t="s">
        <v>757</v>
      </c>
      <c r="N143" s="309" t="s">
        <v>758</v>
      </c>
      <c r="O143" s="309" t="s">
        <v>744</v>
      </c>
      <c r="P143" s="309" t="s">
        <v>745</v>
      </c>
      <c r="Q143" s="309" t="s">
        <v>746</v>
      </c>
      <c r="R143" s="318" t="b">
        <f aca="false">FALSE()</f>
        <v>0</v>
      </c>
      <c r="S143" s="312" t="n">
        <v>95</v>
      </c>
      <c r="T143" s="312" t="n">
        <v>150</v>
      </c>
      <c r="U143" s="312" t="n">
        <v>100</v>
      </c>
      <c r="V143" s="312" t="n">
        <v>85</v>
      </c>
      <c r="W143" s="312" t="n">
        <v>100</v>
      </c>
      <c r="X143" s="312" t="n">
        <v>100</v>
      </c>
      <c r="Y143" s="312" t="n">
        <v>0.2</v>
      </c>
      <c r="Z143" s="312" t="n">
        <v>0.7</v>
      </c>
      <c r="AA143" s="312" t="n">
        <v>10</v>
      </c>
      <c r="AB143" s="312" t="n">
        <v>4780</v>
      </c>
      <c r="AC143" s="309" t="s">
        <v>1253</v>
      </c>
      <c r="AD143" s="309" t="s">
        <v>182</v>
      </c>
      <c r="AE143" s="312" t="n">
        <v>80</v>
      </c>
      <c r="AF143" s="312" t="n">
        <v>160</v>
      </c>
      <c r="AG143" s="312" t="n">
        <v>700</v>
      </c>
      <c r="AH143" s="312" t="n">
        <v>960</v>
      </c>
      <c r="AI143" s="312" t="n">
        <v>320</v>
      </c>
      <c r="AJ143" s="318" t="b">
        <f aca="false">TRUE()</f>
        <v>1</v>
      </c>
      <c r="AK143" s="318" t="b">
        <f aca="false">FALSE()</f>
        <v>0</v>
      </c>
      <c r="AL143" s="309" t="s">
        <v>1247</v>
      </c>
      <c r="AM143" s="318" t="b">
        <f aca="false">FALSE()</f>
        <v>0</v>
      </c>
      <c r="AN143" s="318" t="b">
        <f aca="false">FALSE()</f>
        <v>0</v>
      </c>
      <c r="AO143" s="312" t="n">
        <v>300</v>
      </c>
      <c r="AP143" s="312" t="n">
        <v>1</v>
      </c>
      <c r="AQ143" s="312" t="n">
        <v>4</v>
      </c>
      <c r="AR143" s="312" t="n">
        <v>25</v>
      </c>
      <c r="AS143" s="312" t="n">
        <v>90</v>
      </c>
      <c r="AT143" s="312" t="n">
        <v>1</v>
      </c>
      <c r="AU143" s="318" t="b">
        <f aca="false">FALSE()</f>
        <v>0</v>
      </c>
      <c r="AV143" s="318" t="b">
        <f aca="false">TRUE()</f>
        <v>1</v>
      </c>
      <c r="AW143" s="312" t="n">
        <v>9</v>
      </c>
      <c r="AX143" s="318" t="b">
        <f aca="false">TRUE()</f>
        <v>1</v>
      </c>
      <c r="AY143" s="318" t="b">
        <f aca="false">TRUE()</f>
        <v>1</v>
      </c>
      <c r="AZ143" s="312" t="n">
        <v>100</v>
      </c>
      <c r="BA143" s="312" t="n">
        <v>50</v>
      </c>
      <c r="BB143" s="312" t="n">
        <v>590</v>
      </c>
      <c r="BC143" s="312" t="n">
        <v>1</v>
      </c>
      <c r="BD143" s="312" t="n">
        <v>0</v>
      </c>
      <c r="BE143" s="312" t="n">
        <v>0</v>
      </c>
      <c r="BF143" s="312" t="n">
        <v>0</v>
      </c>
      <c r="BG143" s="312" t="n">
        <v>2</v>
      </c>
      <c r="BH143" s="312" t="n">
        <v>0</v>
      </c>
      <c r="BI143" s="312" t="n">
        <v>0</v>
      </c>
      <c r="BJ143" s="312" t="n">
        <v>1</v>
      </c>
      <c r="BK143" s="312" t="n">
        <v>0</v>
      </c>
      <c r="BL143" s="312" t="n">
        <v>0</v>
      </c>
      <c r="BM143" s="312" t="n">
        <v>0</v>
      </c>
      <c r="BN143" s="312" t="n">
        <v>2</v>
      </c>
      <c r="BO143" s="312" t="n">
        <v>0</v>
      </c>
      <c r="BP143" s="309" t="s">
        <v>182</v>
      </c>
      <c r="BQ143" s="309" t="s">
        <v>182</v>
      </c>
      <c r="BR143" s="309" t="s">
        <v>182</v>
      </c>
      <c r="BS143" s="309" t="s">
        <v>182</v>
      </c>
      <c r="BT143" s="312" t="n">
        <v>206</v>
      </c>
      <c r="BU143" s="318" t="b">
        <f aca="false">FALSE()</f>
        <v>0</v>
      </c>
      <c r="BV143" s="3" t="e">
        <f aca="false">xlookup(MID($A143,7,50),$A$2:$A$139,$BV$2:$BV$139,,0,1)</f>
        <v>#NAME?</v>
      </c>
      <c r="BW143" s="3"/>
      <c r="BX143" s="3"/>
      <c r="BY143" s="3"/>
      <c r="BZ143" s="3"/>
      <c r="CA143" s="3" t="s">
        <v>760</v>
      </c>
      <c r="CB143" s="85" t="n">
        <v>1.1</v>
      </c>
      <c r="CC143" s="85" t="n">
        <v>1.3</v>
      </c>
      <c r="CD143" s="85" t="n">
        <v>1.6</v>
      </c>
      <c r="CE143" s="85" t="n">
        <v>2</v>
      </c>
      <c r="CF143" s="85" t="n">
        <v>2.5</v>
      </c>
      <c r="CG143" s="3"/>
      <c r="CH143" s="3"/>
      <c r="CI143" s="3"/>
      <c r="CJ143" s="3"/>
      <c r="CK143" s="3"/>
      <c r="CL143" s="3"/>
      <c r="CM143" s="3"/>
      <c r="CN143" s="3"/>
      <c r="CO143" s="3"/>
      <c r="CP143" s="3"/>
      <c r="CQ143" s="3"/>
      <c r="CR143" s="3"/>
      <c r="CS143" s="3"/>
      <c r="CT143" s="3"/>
      <c r="CU143" s="3"/>
      <c r="CV143" s="3"/>
      <c r="CW143" s="3"/>
      <c r="CX143" s="3"/>
      <c r="CY143" s="3"/>
      <c r="CZ143" s="3"/>
    </row>
    <row r="144" customFormat="false" ht="15.75" hidden="false" customHeight="false" outlineLevel="0" collapsed="false">
      <c r="A144" s="309" t="s">
        <v>1264</v>
      </c>
      <c r="B144" s="309" t="s">
        <v>1265</v>
      </c>
      <c r="C144" s="309" t="s">
        <v>1266</v>
      </c>
      <c r="D144" s="309" t="s">
        <v>1267</v>
      </c>
      <c r="E144" s="309" t="s">
        <v>1268</v>
      </c>
      <c r="F144" s="318" t="b">
        <f aca="false">TRUE()</f>
        <v>1</v>
      </c>
      <c r="G144" s="309" t="s">
        <v>512</v>
      </c>
      <c r="H144" s="309" t="s">
        <v>1265</v>
      </c>
      <c r="I144" s="312" t="n">
        <v>-1</v>
      </c>
      <c r="J144" s="3"/>
      <c r="K144" s="309" t="s">
        <v>884</v>
      </c>
      <c r="L144" s="312" t="n">
        <v>5</v>
      </c>
      <c r="M144" s="309" t="s">
        <v>758</v>
      </c>
      <c r="N144" s="309" t="s">
        <v>743</v>
      </c>
      <c r="O144" s="309" t="s">
        <v>744</v>
      </c>
      <c r="P144" s="309" t="s">
        <v>745</v>
      </c>
      <c r="Q144" s="309" t="s">
        <v>746</v>
      </c>
      <c r="R144" s="318" t="b">
        <f aca="false">FALSE()</f>
        <v>0</v>
      </c>
      <c r="S144" s="312" t="n">
        <v>95</v>
      </c>
      <c r="T144" s="312" t="n">
        <v>150</v>
      </c>
      <c r="U144" s="312" t="n">
        <v>105</v>
      </c>
      <c r="V144" s="312" t="n">
        <v>85</v>
      </c>
      <c r="W144" s="312" t="n">
        <v>100</v>
      </c>
      <c r="X144" s="312" t="n">
        <v>100</v>
      </c>
      <c r="Y144" s="312" t="n">
        <v>0.2</v>
      </c>
      <c r="Z144" s="312" t="n">
        <v>0.7</v>
      </c>
      <c r="AA144" s="312" t="n">
        <v>10</v>
      </c>
      <c r="AB144" s="312" t="n">
        <v>4870</v>
      </c>
      <c r="AC144" s="309" t="s">
        <v>1253</v>
      </c>
      <c r="AD144" s="309" t="s">
        <v>182</v>
      </c>
      <c r="AE144" s="312" t="n">
        <v>80</v>
      </c>
      <c r="AF144" s="312" t="n">
        <v>160</v>
      </c>
      <c r="AG144" s="312" t="n">
        <v>700</v>
      </c>
      <c r="AH144" s="312" t="n">
        <v>960</v>
      </c>
      <c r="AI144" s="312" t="n">
        <v>320</v>
      </c>
      <c r="AJ144" s="318" t="b">
        <f aca="false">TRUE()</f>
        <v>1</v>
      </c>
      <c r="AK144" s="318" t="b">
        <f aca="false">FALSE()</f>
        <v>0</v>
      </c>
      <c r="AL144" s="309" t="s">
        <v>1247</v>
      </c>
      <c r="AM144" s="318" t="b">
        <f aca="false">FALSE()</f>
        <v>0</v>
      </c>
      <c r="AN144" s="318" t="b">
        <f aca="false">FALSE()</f>
        <v>0</v>
      </c>
      <c r="AO144" s="312" t="n">
        <v>300</v>
      </c>
      <c r="AP144" s="312" t="n">
        <v>1</v>
      </c>
      <c r="AQ144" s="312" t="n">
        <v>4</v>
      </c>
      <c r="AR144" s="312" t="n">
        <v>25</v>
      </c>
      <c r="AS144" s="312" t="n">
        <v>90</v>
      </c>
      <c r="AT144" s="312" t="n">
        <v>1</v>
      </c>
      <c r="AU144" s="318" t="b">
        <f aca="false">FALSE()</f>
        <v>0</v>
      </c>
      <c r="AV144" s="318" t="b">
        <f aca="false">TRUE()</f>
        <v>1</v>
      </c>
      <c r="AW144" s="312" t="n">
        <v>9</v>
      </c>
      <c r="AX144" s="318" t="b">
        <f aca="false">TRUE()</f>
        <v>1</v>
      </c>
      <c r="AY144" s="318" t="b">
        <f aca="false">TRUE()</f>
        <v>1</v>
      </c>
      <c r="AZ144" s="312" t="n">
        <v>100</v>
      </c>
      <c r="BA144" s="312" t="n">
        <v>50</v>
      </c>
      <c r="BB144" s="312" t="n">
        <v>580</v>
      </c>
      <c r="BC144" s="312" t="n">
        <v>0</v>
      </c>
      <c r="BD144" s="312" t="n">
        <v>0</v>
      </c>
      <c r="BE144" s="312" t="n">
        <v>0</v>
      </c>
      <c r="BF144" s="312" t="n">
        <v>0</v>
      </c>
      <c r="BG144" s="312" t="n">
        <v>2</v>
      </c>
      <c r="BH144" s="312" t="n">
        <v>0</v>
      </c>
      <c r="BI144" s="312" t="n">
        <v>0</v>
      </c>
      <c r="BJ144" s="312" t="n">
        <v>1</v>
      </c>
      <c r="BK144" s="312" t="n">
        <v>0</v>
      </c>
      <c r="BL144" s="312" t="n">
        <v>0</v>
      </c>
      <c r="BM144" s="312" t="n">
        <v>0</v>
      </c>
      <c r="BN144" s="312" t="n">
        <v>2</v>
      </c>
      <c r="BO144" s="312" t="n">
        <v>0</v>
      </c>
      <c r="BP144" s="309" t="s">
        <v>182</v>
      </c>
      <c r="BQ144" s="309" t="s">
        <v>182</v>
      </c>
      <c r="BR144" s="309" t="s">
        <v>182</v>
      </c>
      <c r="BS144" s="309" t="s">
        <v>182</v>
      </c>
      <c r="BT144" s="312" t="n">
        <v>207</v>
      </c>
      <c r="BU144" s="318" t="b">
        <f aca="false">TRUE()</f>
        <v>1</v>
      </c>
      <c r="BV144" s="3" t="e">
        <f aca="false">xlookup(MID($A144,7,50),$A$2:$A$139,$BV$2:$BV$139,,0,1)</f>
        <v>#NAME?</v>
      </c>
      <c r="BW144" s="3"/>
      <c r="BX144" s="3"/>
      <c r="BY144" s="3"/>
      <c r="BZ144" s="3"/>
      <c r="CA144" s="3" t="s">
        <v>760</v>
      </c>
      <c r="CB144" s="85" t="n">
        <v>1.1</v>
      </c>
      <c r="CC144" s="85" t="n">
        <v>1.3</v>
      </c>
      <c r="CD144" s="85" t="n">
        <v>1.6</v>
      </c>
      <c r="CE144" s="85" t="n">
        <v>2</v>
      </c>
      <c r="CF144" s="85" t="n">
        <v>2.5</v>
      </c>
      <c r="CG144" s="3"/>
      <c r="CH144" s="3"/>
      <c r="CI144" s="3"/>
      <c r="CJ144" s="3"/>
      <c r="CK144" s="3"/>
      <c r="CL144" s="3"/>
      <c r="CM144" s="3"/>
      <c r="CN144" s="3"/>
      <c r="CO144" s="3"/>
      <c r="CP144" s="3"/>
      <c r="CQ144" s="3"/>
      <c r="CR144" s="3"/>
      <c r="CS144" s="3"/>
      <c r="CT144" s="3"/>
      <c r="CU144" s="3"/>
      <c r="CV144" s="3"/>
      <c r="CW144" s="3"/>
      <c r="CX144" s="3"/>
      <c r="CY144" s="3"/>
      <c r="CZ144" s="3"/>
    </row>
    <row r="145" customFormat="false" ht="15.75" hidden="false" customHeight="false" outlineLevel="0" collapsed="false">
      <c r="A145" s="309" t="s">
        <v>1269</v>
      </c>
      <c r="B145" s="309" t="s">
        <v>1270</v>
      </c>
      <c r="C145" s="309" t="s">
        <v>1271</v>
      </c>
      <c r="D145" s="309" t="s">
        <v>1272</v>
      </c>
      <c r="E145" s="309" t="s">
        <v>1273</v>
      </c>
      <c r="F145" s="318" t="b">
        <f aca="false">TRUE()</f>
        <v>1</v>
      </c>
      <c r="G145" s="309" t="s">
        <v>425</v>
      </c>
      <c r="H145" s="309" t="s">
        <v>1270</v>
      </c>
      <c r="I145" s="312" t="n">
        <v>-1</v>
      </c>
      <c r="J145" s="3"/>
      <c r="K145" s="309" t="s">
        <v>773</v>
      </c>
      <c r="L145" s="312" t="n">
        <v>1</v>
      </c>
      <c r="M145" s="309" t="s">
        <v>758</v>
      </c>
      <c r="N145" s="309" t="s">
        <v>743</v>
      </c>
      <c r="O145" s="309" t="s">
        <v>763</v>
      </c>
      <c r="P145" s="309" t="s">
        <v>745</v>
      </c>
      <c r="Q145" s="309" t="s">
        <v>746</v>
      </c>
      <c r="R145" s="318" t="b">
        <f aca="false">FALSE()</f>
        <v>0</v>
      </c>
      <c r="S145" s="312" t="n">
        <v>70</v>
      </c>
      <c r="T145" s="312" t="n">
        <v>70</v>
      </c>
      <c r="U145" s="312" t="n">
        <v>60</v>
      </c>
      <c r="V145" s="312" t="n">
        <v>70</v>
      </c>
      <c r="W145" s="312" t="n">
        <v>100</v>
      </c>
      <c r="X145" s="312" t="n">
        <v>100</v>
      </c>
      <c r="Y145" s="312" t="n">
        <v>0.4</v>
      </c>
      <c r="Z145" s="312" t="n">
        <v>0.7</v>
      </c>
      <c r="AA145" s="312" t="n">
        <v>10</v>
      </c>
      <c r="AB145" s="312" t="n">
        <v>1000</v>
      </c>
      <c r="AC145" s="309" t="s">
        <v>836</v>
      </c>
      <c r="AD145" s="309" t="s">
        <v>182</v>
      </c>
      <c r="AE145" s="312" t="n">
        <v>52</v>
      </c>
      <c r="AF145" s="312" t="n">
        <v>105</v>
      </c>
      <c r="AG145" s="312" t="n">
        <v>475</v>
      </c>
      <c r="AH145" s="312" t="n">
        <v>550</v>
      </c>
      <c r="AI145" s="312" t="n">
        <v>317</v>
      </c>
      <c r="AJ145" s="318" t="b">
        <f aca="false">TRUE()</f>
        <v>1</v>
      </c>
      <c r="AK145" s="318" t="b">
        <f aca="false">FALSE()</f>
        <v>0</v>
      </c>
      <c r="AL145" s="309" t="s">
        <v>1247</v>
      </c>
      <c r="AM145" s="318" t="b">
        <f aca="false">FALSE()</f>
        <v>0</v>
      </c>
      <c r="AN145" s="318" t="b">
        <f aca="false">FALSE()</f>
        <v>0</v>
      </c>
      <c r="AO145" s="312" t="n">
        <v>100</v>
      </c>
      <c r="AP145" s="312" t="n">
        <v>1</v>
      </c>
      <c r="AQ145" s="312" t="n">
        <v>1</v>
      </c>
      <c r="AR145" s="312" t="n">
        <v>25</v>
      </c>
      <c r="AS145" s="312" t="n">
        <v>90</v>
      </c>
      <c r="AT145" s="312" t="n">
        <v>1</v>
      </c>
      <c r="AU145" s="318" t="b">
        <f aca="false">FALSE()</f>
        <v>0</v>
      </c>
      <c r="AV145" s="318" t="b">
        <f aca="false">TRUE()</f>
        <v>1</v>
      </c>
      <c r="AW145" s="312" t="n">
        <v>9</v>
      </c>
      <c r="AX145" s="318" t="b">
        <f aca="false">FALSE()</f>
        <v>0</v>
      </c>
      <c r="AY145" s="318" t="b">
        <f aca="false">TRUE()</f>
        <v>1</v>
      </c>
      <c r="AZ145" s="312" t="n">
        <v>100</v>
      </c>
      <c r="BA145" s="312" t="n">
        <v>50</v>
      </c>
      <c r="BB145" s="312" t="n">
        <v>1480</v>
      </c>
      <c r="BC145" s="312" t="n">
        <v>0</v>
      </c>
      <c r="BD145" s="312" t="n">
        <v>0</v>
      </c>
      <c r="BE145" s="312" t="n">
        <v>0</v>
      </c>
      <c r="BF145" s="312" t="n">
        <v>0</v>
      </c>
      <c r="BG145" s="312" t="n">
        <v>0</v>
      </c>
      <c r="BH145" s="312" t="n">
        <v>0</v>
      </c>
      <c r="BI145" s="312" t="n">
        <v>0</v>
      </c>
      <c r="BJ145" s="312" t="n">
        <v>0</v>
      </c>
      <c r="BK145" s="312" t="n">
        <v>0</v>
      </c>
      <c r="BL145" s="312" t="n">
        <v>0</v>
      </c>
      <c r="BM145" s="312" t="n">
        <v>0</v>
      </c>
      <c r="BN145" s="312" t="n">
        <v>0</v>
      </c>
      <c r="BO145" s="312" t="n">
        <v>1</v>
      </c>
      <c r="BP145" s="309" t="s">
        <v>182</v>
      </c>
      <c r="BQ145" s="309" t="s">
        <v>182</v>
      </c>
      <c r="BR145" s="309" t="s">
        <v>182</v>
      </c>
      <c r="BS145" s="309" t="s">
        <v>182</v>
      </c>
      <c r="BT145" s="312" t="n">
        <v>208</v>
      </c>
      <c r="BU145" s="318" t="b">
        <f aca="false">FALSE()</f>
        <v>0</v>
      </c>
      <c r="BV145" s="3" t="e">
        <f aca="false">xlookup(MID($A145,7,50),$A$2:$A$139,$BV$2:$BV$139,,0,1)</f>
        <v>#NAME?</v>
      </c>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t="s">
        <v>766</v>
      </c>
      <c r="CW145" s="3" t="s">
        <v>767</v>
      </c>
      <c r="CX145" s="3" t="s">
        <v>768</v>
      </c>
      <c r="CY145" s="3" t="s">
        <v>769</v>
      </c>
      <c r="CZ145" s="3" t="s">
        <v>770</v>
      </c>
    </row>
    <row r="146" customFormat="false" ht="15.75" hidden="false" customHeight="false" outlineLevel="0" collapsed="false">
      <c r="A146" s="309" t="s">
        <v>1274</v>
      </c>
      <c r="B146" s="309" t="s">
        <v>1275</v>
      </c>
      <c r="C146" s="309" t="s">
        <v>1276</v>
      </c>
      <c r="D146" s="309" t="s">
        <v>1277</v>
      </c>
      <c r="E146" s="309" t="s">
        <v>1278</v>
      </c>
      <c r="F146" s="318" t="b">
        <f aca="false">TRUE()</f>
        <v>1</v>
      </c>
      <c r="G146" s="309" t="s">
        <v>514</v>
      </c>
      <c r="H146" s="309" t="s">
        <v>1275</v>
      </c>
      <c r="I146" s="312" t="n">
        <v>-1</v>
      </c>
      <c r="J146" s="3"/>
      <c r="K146" s="309" t="s">
        <v>773</v>
      </c>
      <c r="L146" s="312" t="n">
        <v>2</v>
      </c>
      <c r="M146" s="309" t="s">
        <v>771</v>
      </c>
      <c r="N146" s="309" t="s">
        <v>743</v>
      </c>
      <c r="O146" s="309" t="s">
        <v>763</v>
      </c>
      <c r="P146" s="309" t="s">
        <v>745</v>
      </c>
      <c r="Q146" s="309" t="s">
        <v>746</v>
      </c>
      <c r="R146" s="318" t="b">
        <f aca="false">FALSE()</f>
        <v>0</v>
      </c>
      <c r="S146" s="312" t="n">
        <v>70</v>
      </c>
      <c r="T146" s="312" t="n">
        <v>70</v>
      </c>
      <c r="U146" s="312" t="n">
        <v>65</v>
      </c>
      <c r="V146" s="312" t="n">
        <v>70</v>
      </c>
      <c r="W146" s="312" t="n">
        <v>100</v>
      </c>
      <c r="X146" s="312" t="n">
        <v>100</v>
      </c>
      <c r="Y146" s="312" t="n">
        <v>0.2</v>
      </c>
      <c r="Z146" s="312" t="n">
        <v>0.7</v>
      </c>
      <c r="AA146" s="312" t="n">
        <v>10</v>
      </c>
      <c r="AB146" s="312" t="n">
        <v>1010</v>
      </c>
      <c r="AC146" s="309" t="s">
        <v>836</v>
      </c>
      <c r="AD146" s="309" t="s">
        <v>182</v>
      </c>
      <c r="AE146" s="312" t="n">
        <v>52</v>
      </c>
      <c r="AF146" s="312" t="n">
        <v>105</v>
      </c>
      <c r="AG146" s="312" t="n">
        <v>475</v>
      </c>
      <c r="AH146" s="312" t="n">
        <v>550</v>
      </c>
      <c r="AI146" s="312" t="n">
        <v>317</v>
      </c>
      <c r="AJ146" s="318" t="b">
        <f aca="false">TRUE()</f>
        <v>1</v>
      </c>
      <c r="AK146" s="318" t="b">
        <f aca="false">FALSE()</f>
        <v>0</v>
      </c>
      <c r="AL146" s="309" t="s">
        <v>1247</v>
      </c>
      <c r="AM146" s="318" t="b">
        <f aca="false">FALSE()</f>
        <v>0</v>
      </c>
      <c r="AN146" s="318" t="b">
        <f aca="false">FALSE()</f>
        <v>0</v>
      </c>
      <c r="AO146" s="312" t="n">
        <v>100</v>
      </c>
      <c r="AP146" s="312" t="n">
        <v>1</v>
      </c>
      <c r="AQ146" s="312" t="n">
        <v>1</v>
      </c>
      <c r="AR146" s="312" t="n">
        <v>25</v>
      </c>
      <c r="AS146" s="312" t="n">
        <v>90</v>
      </c>
      <c r="AT146" s="312" t="n">
        <v>1</v>
      </c>
      <c r="AU146" s="318" t="b">
        <f aca="false">FALSE()</f>
        <v>0</v>
      </c>
      <c r="AV146" s="318" t="b">
        <f aca="false">FALSE()</f>
        <v>0</v>
      </c>
      <c r="AW146" s="312" t="n">
        <v>9</v>
      </c>
      <c r="AX146" s="318" t="b">
        <f aca="false">FALSE()</f>
        <v>0</v>
      </c>
      <c r="AY146" s="318" t="b">
        <f aca="false">TRUE()</f>
        <v>1</v>
      </c>
      <c r="AZ146" s="312" t="n">
        <v>100</v>
      </c>
      <c r="BA146" s="312" t="n">
        <v>50</v>
      </c>
      <c r="BB146" s="312" t="n">
        <v>1440</v>
      </c>
      <c r="BC146" s="312" t="n">
        <v>0</v>
      </c>
      <c r="BD146" s="312" t="n">
        <v>0</v>
      </c>
      <c r="BE146" s="312" t="n">
        <v>0</v>
      </c>
      <c r="BF146" s="312" t="n">
        <v>0</v>
      </c>
      <c r="BG146" s="312" t="n">
        <v>0</v>
      </c>
      <c r="BH146" s="312" t="n">
        <v>0</v>
      </c>
      <c r="BI146" s="312" t="n">
        <v>0</v>
      </c>
      <c r="BJ146" s="312" t="n">
        <v>0</v>
      </c>
      <c r="BK146" s="312" t="n">
        <v>0</v>
      </c>
      <c r="BL146" s="312" t="n">
        <v>0</v>
      </c>
      <c r="BM146" s="312" t="n">
        <v>1</v>
      </c>
      <c r="BN146" s="312" t="n">
        <v>0</v>
      </c>
      <c r="BO146" s="312" t="n">
        <v>1</v>
      </c>
      <c r="BP146" s="309" t="s">
        <v>182</v>
      </c>
      <c r="BQ146" s="309" t="s">
        <v>182</v>
      </c>
      <c r="BR146" s="309" t="s">
        <v>182</v>
      </c>
      <c r="BS146" s="309" t="s">
        <v>182</v>
      </c>
      <c r="BT146" s="312" t="n">
        <v>209</v>
      </c>
      <c r="BU146" s="318" t="b">
        <f aca="false">TRUE()</f>
        <v>1</v>
      </c>
      <c r="BV146" s="3" t="e">
        <f aca="false">xlookup(MID($A146,7,50),$A$2:$A$139,$BV$2:$BV$139,,0,1)</f>
        <v>#NAME?</v>
      </c>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t="s">
        <v>766</v>
      </c>
      <c r="CW146" s="3" t="s">
        <v>767</v>
      </c>
      <c r="CX146" s="3" t="s">
        <v>768</v>
      </c>
      <c r="CY146" s="3" t="s">
        <v>769</v>
      </c>
      <c r="CZ146" s="3" t="s">
        <v>770</v>
      </c>
    </row>
    <row r="147" customFormat="false" ht="15.75" hidden="false" customHeight="false" outlineLevel="0" collapsed="false">
      <c r="A147" s="309" t="s">
        <v>1279</v>
      </c>
      <c r="B147" s="309" t="s">
        <v>1280</v>
      </c>
      <c r="C147" s="309" t="s">
        <v>1281</v>
      </c>
      <c r="D147" s="309" t="s">
        <v>1282</v>
      </c>
      <c r="E147" s="309" t="s">
        <v>1283</v>
      </c>
      <c r="F147" s="318" t="b">
        <f aca="false">TRUE()</f>
        <v>1</v>
      </c>
      <c r="G147" s="309" t="s">
        <v>1042</v>
      </c>
      <c r="H147" s="309" t="s">
        <v>1280</v>
      </c>
      <c r="I147" s="312" t="n">
        <v>-1</v>
      </c>
      <c r="J147" s="3"/>
      <c r="K147" s="309" t="s">
        <v>741</v>
      </c>
      <c r="L147" s="312" t="n">
        <v>3</v>
      </c>
      <c r="M147" s="309" t="s">
        <v>783</v>
      </c>
      <c r="N147" s="309" t="s">
        <v>743</v>
      </c>
      <c r="O147" s="309" t="s">
        <v>763</v>
      </c>
      <c r="P147" s="309" t="s">
        <v>745</v>
      </c>
      <c r="Q147" s="309" t="s">
        <v>746</v>
      </c>
      <c r="R147" s="318" t="b">
        <f aca="false">FALSE()</f>
        <v>0</v>
      </c>
      <c r="S147" s="312" t="n">
        <v>100</v>
      </c>
      <c r="T147" s="312" t="n">
        <v>70</v>
      </c>
      <c r="U147" s="312" t="n">
        <v>70</v>
      </c>
      <c r="V147" s="312" t="n">
        <v>90</v>
      </c>
      <c r="W147" s="312" t="n">
        <v>120</v>
      </c>
      <c r="X147" s="312" t="n">
        <v>100</v>
      </c>
      <c r="Y147" s="312" t="n">
        <v>0.4</v>
      </c>
      <c r="Z147" s="312" t="n">
        <v>0.7</v>
      </c>
      <c r="AA147" s="312" t="n">
        <v>10</v>
      </c>
      <c r="AB147" s="312" t="n">
        <v>2510</v>
      </c>
      <c r="AC147" s="309" t="s">
        <v>836</v>
      </c>
      <c r="AD147" s="309" t="s">
        <v>182</v>
      </c>
      <c r="AE147" s="312" t="n">
        <v>70</v>
      </c>
      <c r="AF147" s="312" t="n">
        <v>70</v>
      </c>
      <c r="AG147" s="312" t="n">
        <v>400</v>
      </c>
      <c r="AH147" s="312" t="n">
        <v>550</v>
      </c>
      <c r="AI147" s="312" t="n">
        <v>235</v>
      </c>
      <c r="AJ147" s="318" t="b">
        <f aca="false">TRUE()</f>
        <v>1</v>
      </c>
      <c r="AK147" s="318" t="b">
        <f aca="false">FALSE()</f>
        <v>0</v>
      </c>
      <c r="AL147" s="309" t="s">
        <v>1247</v>
      </c>
      <c r="AM147" s="318" t="b">
        <f aca="false">FALSE()</f>
        <v>0</v>
      </c>
      <c r="AN147" s="318" t="b">
        <f aca="false">FALSE()</f>
        <v>0</v>
      </c>
      <c r="AO147" s="312" t="n">
        <v>300</v>
      </c>
      <c r="AP147" s="312" t="n">
        <v>1</v>
      </c>
      <c r="AQ147" s="312" t="n">
        <v>4</v>
      </c>
      <c r="AR147" s="312" t="n">
        <v>25</v>
      </c>
      <c r="AS147" s="312" t="n">
        <v>90</v>
      </c>
      <c r="AT147" s="312" t="n">
        <v>1</v>
      </c>
      <c r="AU147" s="318" t="b">
        <f aca="false">FALSE()</f>
        <v>0</v>
      </c>
      <c r="AV147" s="318" t="b">
        <f aca="false">FALSE()</f>
        <v>0</v>
      </c>
      <c r="AW147" s="312" t="n">
        <v>9</v>
      </c>
      <c r="AX147" s="318" t="b">
        <f aca="false">FALSE()</f>
        <v>0</v>
      </c>
      <c r="AY147" s="318" t="b">
        <f aca="false">TRUE()</f>
        <v>1</v>
      </c>
      <c r="AZ147" s="312" t="n">
        <v>100</v>
      </c>
      <c r="BA147" s="312" t="n">
        <v>50</v>
      </c>
      <c r="BB147" s="312" t="n">
        <v>930</v>
      </c>
      <c r="BC147" s="312" t="n">
        <v>0</v>
      </c>
      <c r="BD147" s="312" t="n">
        <v>0</v>
      </c>
      <c r="BE147" s="312" t="n">
        <v>2</v>
      </c>
      <c r="BF147" s="312" t="n">
        <v>0</v>
      </c>
      <c r="BG147" s="312" t="n">
        <v>0</v>
      </c>
      <c r="BH147" s="312" t="n">
        <v>0</v>
      </c>
      <c r="BI147" s="312" t="n">
        <v>0</v>
      </c>
      <c r="BJ147" s="312" t="n">
        <v>0</v>
      </c>
      <c r="BK147" s="312" t="n">
        <v>0</v>
      </c>
      <c r="BL147" s="312" t="n">
        <v>0</v>
      </c>
      <c r="BM147" s="312" t="n">
        <v>0</v>
      </c>
      <c r="BN147" s="312" t="n">
        <v>0</v>
      </c>
      <c r="BO147" s="312" t="n">
        <v>1</v>
      </c>
      <c r="BP147" s="309" t="s">
        <v>182</v>
      </c>
      <c r="BQ147" s="309" t="s">
        <v>182</v>
      </c>
      <c r="BR147" s="309" t="s">
        <v>182</v>
      </c>
      <c r="BS147" s="309" t="s">
        <v>182</v>
      </c>
      <c r="BT147" s="312" t="n">
        <v>211</v>
      </c>
      <c r="BU147" s="318" t="b">
        <f aca="false">FALSE()</f>
        <v>0</v>
      </c>
      <c r="BV147" s="3" t="e">
        <f aca="false">xlookup(MID($A147,7,50),$A$2:$A$139,$BV$2:$BV$139,,0,1)</f>
        <v>#NAME?</v>
      </c>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t="s">
        <v>1043</v>
      </c>
      <c r="CW147" s="3" t="s">
        <v>1044</v>
      </c>
      <c r="CX147" s="3" t="s">
        <v>1045</v>
      </c>
      <c r="CY147" s="3" t="s">
        <v>1046</v>
      </c>
      <c r="CZ147" s="3" t="s">
        <v>1047</v>
      </c>
    </row>
    <row r="148" customFormat="false" ht="15.75" hidden="false" customHeight="false" outlineLevel="0" collapsed="false">
      <c r="A148" s="309" t="s">
        <v>1284</v>
      </c>
      <c r="B148" s="309" t="s">
        <v>1285</v>
      </c>
      <c r="C148" s="309" t="s">
        <v>1286</v>
      </c>
      <c r="D148" s="309" t="s">
        <v>1287</v>
      </c>
      <c r="E148" s="309" t="s">
        <v>1288</v>
      </c>
      <c r="F148" s="318" t="b">
        <f aca="false">TRUE()</f>
        <v>1</v>
      </c>
      <c r="G148" s="309" t="s">
        <v>428</v>
      </c>
      <c r="H148" s="309" t="s">
        <v>1285</v>
      </c>
      <c r="I148" s="312" t="n">
        <v>-1</v>
      </c>
      <c r="J148" s="3"/>
      <c r="K148" s="309" t="s">
        <v>884</v>
      </c>
      <c r="L148" s="312" t="n">
        <v>4</v>
      </c>
      <c r="M148" s="309" t="s">
        <v>757</v>
      </c>
      <c r="N148" s="309" t="s">
        <v>758</v>
      </c>
      <c r="O148" s="309" t="s">
        <v>790</v>
      </c>
      <c r="P148" s="309" t="s">
        <v>745</v>
      </c>
      <c r="Q148" s="309" t="s">
        <v>746</v>
      </c>
      <c r="R148" s="318" t="b">
        <f aca="false">FALSE()</f>
        <v>0</v>
      </c>
      <c r="S148" s="312" t="n">
        <v>90</v>
      </c>
      <c r="T148" s="312" t="n">
        <v>100</v>
      </c>
      <c r="U148" s="312" t="n">
        <v>115</v>
      </c>
      <c r="V148" s="312" t="n">
        <v>90</v>
      </c>
      <c r="W148" s="312" t="n">
        <v>100</v>
      </c>
      <c r="X148" s="312" t="n">
        <v>100</v>
      </c>
      <c r="Y148" s="312" t="n">
        <v>0.2</v>
      </c>
      <c r="Z148" s="312" t="n">
        <v>0.7</v>
      </c>
      <c r="AA148" s="312" t="n">
        <v>10</v>
      </c>
      <c r="AB148" s="312" t="n">
        <v>4360</v>
      </c>
      <c r="AC148" s="309" t="s">
        <v>1253</v>
      </c>
      <c r="AD148" s="309" t="s">
        <v>182</v>
      </c>
      <c r="AE148" s="312" t="n">
        <v>100</v>
      </c>
      <c r="AF148" s="312" t="n">
        <v>350</v>
      </c>
      <c r="AG148" s="312" t="n">
        <v>700</v>
      </c>
      <c r="AH148" s="312" t="n">
        <v>950</v>
      </c>
      <c r="AI148" s="312" t="n">
        <v>475</v>
      </c>
      <c r="AJ148" s="318" t="b">
        <f aca="false">TRUE()</f>
        <v>1</v>
      </c>
      <c r="AK148" s="318" t="b">
        <f aca="false">FALSE()</f>
        <v>0</v>
      </c>
      <c r="AL148" s="309" t="s">
        <v>1247</v>
      </c>
      <c r="AM148" s="318" t="b">
        <f aca="false">FALSE()</f>
        <v>0</v>
      </c>
      <c r="AN148" s="318" t="b">
        <f aca="false">FALSE()</f>
        <v>0</v>
      </c>
      <c r="AO148" s="312" t="n">
        <v>400</v>
      </c>
      <c r="AP148" s="312" t="n">
        <v>1</v>
      </c>
      <c r="AQ148" s="312" t="n">
        <v>6</v>
      </c>
      <c r="AR148" s="312" t="n">
        <v>25</v>
      </c>
      <c r="AS148" s="312" t="n">
        <v>90</v>
      </c>
      <c r="AT148" s="312" t="n">
        <v>1</v>
      </c>
      <c r="AU148" s="318" t="b">
        <f aca="false">FALSE()</f>
        <v>0</v>
      </c>
      <c r="AV148" s="318" t="b">
        <f aca="false">TRUE()</f>
        <v>1</v>
      </c>
      <c r="AW148" s="312" t="n">
        <v>9</v>
      </c>
      <c r="AX148" s="318" t="b">
        <f aca="false">TRUE()</f>
        <v>1</v>
      </c>
      <c r="AY148" s="318" t="b">
        <f aca="false">TRUE()</f>
        <v>1</v>
      </c>
      <c r="AZ148" s="312" t="n">
        <v>150</v>
      </c>
      <c r="BA148" s="312" t="n">
        <v>50</v>
      </c>
      <c r="BB148" s="312" t="n">
        <v>660</v>
      </c>
      <c r="BC148" s="312" t="n">
        <v>1</v>
      </c>
      <c r="BD148" s="312" t="n">
        <v>0</v>
      </c>
      <c r="BE148" s="312" t="n">
        <v>0</v>
      </c>
      <c r="BF148" s="312" t="n">
        <v>0</v>
      </c>
      <c r="BG148" s="312" t="n">
        <v>0</v>
      </c>
      <c r="BH148" s="312" t="n">
        <v>0</v>
      </c>
      <c r="BI148" s="312" t="n">
        <v>0</v>
      </c>
      <c r="BJ148" s="312" t="n">
        <v>0</v>
      </c>
      <c r="BK148" s="312" t="n">
        <v>0</v>
      </c>
      <c r="BL148" s="312" t="n">
        <v>0</v>
      </c>
      <c r="BM148" s="312" t="n">
        <v>0</v>
      </c>
      <c r="BN148" s="312" t="n">
        <v>3</v>
      </c>
      <c r="BO148" s="312" t="n">
        <v>0</v>
      </c>
      <c r="BP148" s="309" t="s">
        <v>182</v>
      </c>
      <c r="BQ148" s="309" t="s">
        <v>182</v>
      </c>
      <c r="BR148" s="309" t="s">
        <v>182</v>
      </c>
      <c r="BS148" s="309" t="s">
        <v>182</v>
      </c>
      <c r="BT148" s="312" t="n">
        <v>212</v>
      </c>
      <c r="BU148" s="318" t="b">
        <f aca="false">FALSE()</f>
        <v>0</v>
      </c>
      <c r="BV148" s="3" t="e">
        <f aca="false">xlookup(MID($A148,7,50),$A$2:$A$139,$BV$2:$BV$139,,0,1)</f>
        <v>#NAME?</v>
      </c>
      <c r="BW148" s="3"/>
      <c r="BX148" s="85" t="n">
        <v>21</v>
      </c>
      <c r="BY148" s="3" t="s">
        <v>979</v>
      </c>
      <c r="BZ148" s="3" t="s">
        <v>775</v>
      </c>
      <c r="CA148" s="3"/>
      <c r="CB148" s="3"/>
      <c r="CC148" s="3"/>
      <c r="CD148" s="3"/>
      <c r="CE148" s="3"/>
      <c r="CF148" s="3"/>
      <c r="CG148" s="311" t="b">
        <f aca="false">TRUE()</f>
        <v>1</v>
      </c>
      <c r="CH148" s="3" t="s">
        <v>914</v>
      </c>
      <c r="CI148" s="3"/>
      <c r="CJ148" s="3"/>
      <c r="CK148" s="3"/>
      <c r="CL148" s="3"/>
      <c r="CM148" s="3"/>
      <c r="CN148" s="3"/>
      <c r="CO148" s="3"/>
      <c r="CP148" s="3"/>
      <c r="CQ148" s="3"/>
      <c r="CR148" s="3"/>
      <c r="CS148" s="3"/>
      <c r="CT148" s="3"/>
      <c r="CU148" s="3"/>
      <c r="CV148" s="3" t="s">
        <v>980</v>
      </c>
      <c r="CW148" s="3" t="s">
        <v>981</v>
      </c>
      <c r="CX148" s="3" t="s">
        <v>982</v>
      </c>
      <c r="CY148" s="3" t="s">
        <v>983</v>
      </c>
      <c r="CZ148" s="3" t="s">
        <v>984</v>
      </c>
    </row>
    <row r="149" customFormat="false" ht="15.75" hidden="false" customHeight="false" outlineLevel="0" collapsed="false">
      <c r="A149" s="309" t="s">
        <v>1289</v>
      </c>
      <c r="B149" s="309" t="s">
        <v>1290</v>
      </c>
      <c r="C149" s="309" t="s">
        <v>1291</v>
      </c>
      <c r="D149" s="309" t="s">
        <v>1292</v>
      </c>
      <c r="E149" s="309" t="s">
        <v>1293</v>
      </c>
      <c r="F149" s="318" t="b">
        <f aca="false">TRUE()</f>
        <v>1</v>
      </c>
      <c r="G149" s="309" t="s">
        <v>516</v>
      </c>
      <c r="H149" s="309" t="s">
        <v>1290</v>
      </c>
      <c r="I149" s="312" t="n">
        <v>-1</v>
      </c>
      <c r="J149" s="3"/>
      <c r="K149" s="309" t="s">
        <v>884</v>
      </c>
      <c r="L149" s="312" t="n">
        <v>5</v>
      </c>
      <c r="M149" s="309" t="s">
        <v>771</v>
      </c>
      <c r="N149" s="309" t="s">
        <v>758</v>
      </c>
      <c r="O149" s="309" t="s">
        <v>790</v>
      </c>
      <c r="P149" s="309" t="s">
        <v>745</v>
      </c>
      <c r="Q149" s="309" t="s">
        <v>746</v>
      </c>
      <c r="R149" s="318" t="b">
        <f aca="false">FALSE()</f>
        <v>0</v>
      </c>
      <c r="S149" s="312" t="n">
        <v>90</v>
      </c>
      <c r="T149" s="312" t="n">
        <v>100</v>
      </c>
      <c r="U149" s="312" t="n">
        <v>120</v>
      </c>
      <c r="V149" s="312" t="n">
        <v>95</v>
      </c>
      <c r="W149" s="312" t="n">
        <v>100</v>
      </c>
      <c r="X149" s="312" t="n">
        <v>100</v>
      </c>
      <c r="Y149" s="312" t="n">
        <v>0.2</v>
      </c>
      <c r="Z149" s="312" t="n">
        <v>0.7</v>
      </c>
      <c r="AA149" s="312" t="n">
        <v>10</v>
      </c>
      <c r="AB149" s="312" t="n">
        <v>4610</v>
      </c>
      <c r="AC149" s="309" t="s">
        <v>1253</v>
      </c>
      <c r="AD149" s="309" t="s">
        <v>182</v>
      </c>
      <c r="AE149" s="312" t="n">
        <v>100</v>
      </c>
      <c r="AF149" s="312" t="n">
        <v>350</v>
      </c>
      <c r="AG149" s="312" t="n">
        <v>700</v>
      </c>
      <c r="AH149" s="312" t="n">
        <v>950</v>
      </c>
      <c r="AI149" s="312" t="n">
        <v>475</v>
      </c>
      <c r="AJ149" s="318" t="b">
        <f aca="false">TRUE()</f>
        <v>1</v>
      </c>
      <c r="AK149" s="318" t="b">
        <f aca="false">FALSE()</f>
        <v>0</v>
      </c>
      <c r="AL149" s="309" t="s">
        <v>1247</v>
      </c>
      <c r="AM149" s="318" t="b">
        <f aca="false">FALSE()</f>
        <v>0</v>
      </c>
      <c r="AN149" s="318" t="b">
        <f aca="false">FALSE()</f>
        <v>0</v>
      </c>
      <c r="AO149" s="312" t="n">
        <v>400</v>
      </c>
      <c r="AP149" s="312" t="n">
        <v>1</v>
      </c>
      <c r="AQ149" s="312" t="n">
        <v>6</v>
      </c>
      <c r="AR149" s="312" t="n">
        <v>25</v>
      </c>
      <c r="AS149" s="312" t="n">
        <v>90</v>
      </c>
      <c r="AT149" s="312" t="n">
        <v>1</v>
      </c>
      <c r="AU149" s="318" t="b">
        <f aca="false">FALSE()</f>
        <v>0</v>
      </c>
      <c r="AV149" s="318" t="b">
        <f aca="false">TRUE()</f>
        <v>1</v>
      </c>
      <c r="AW149" s="312" t="n">
        <v>9</v>
      </c>
      <c r="AX149" s="318" t="b">
        <f aca="false">TRUE()</f>
        <v>1</v>
      </c>
      <c r="AY149" s="318" t="b">
        <f aca="false">TRUE()</f>
        <v>1</v>
      </c>
      <c r="AZ149" s="312" t="n">
        <v>150</v>
      </c>
      <c r="BA149" s="312" t="n">
        <v>50</v>
      </c>
      <c r="BB149" s="312" t="n">
        <v>620</v>
      </c>
      <c r="BC149" s="312" t="n">
        <v>0</v>
      </c>
      <c r="BD149" s="312" t="n">
        <v>0</v>
      </c>
      <c r="BE149" s="312" t="n">
        <v>0</v>
      </c>
      <c r="BF149" s="312" t="n">
        <v>0</v>
      </c>
      <c r="BG149" s="312" t="n">
        <v>0</v>
      </c>
      <c r="BH149" s="312" t="n">
        <v>0</v>
      </c>
      <c r="BI149" s="312" t="n">
        <v>0</v>
      </c>
      <c r="BJ149" s="312" t="n">
        <v>0</v>
      </c>
      <c r="BK149" s="312" t="n">
        <v>0</v>
      </c>
      <c r="BL149" s="312" t="n">
        <v>0</v>
      </c>
      <c r="BM149" s="312" t="n">
        <v>2</v>
      </c>
      <c r="BN149" s="312" t="n">
        <v>3</v>
      </c>
      <c r="BO149" s="312" t="n">
        <v>0</v>
      </c>
      <c r="BP149" s="309" t="s">
        <v>182</v>
      </c>
      <c r="BQ149" s="309" t="s">
        <v>182</v>
      </c>
      <c r="BR149" s="309" t="s">
        <v>182</v>
      </c>
      <c r="BS149" s="309" t="s">
        <v>182</v>
      </c>
      <c r="BT149" s="312" t="n">
        <v>213</v>
      </c>
      <c r="BU149" s="318" t="b">
        <f aca="false">TRUE()</f>
        <v>1</v>
      </c>
      <c r="BV149" s="3" t="e">
        <f aca="false">xlookup(MID($A149,7,50),$A$2:$A$139,$BV$2:$BV$139,,0,1)</f>
        <v>#NAME?</v>
      </c>
      <c r="BW149" s="3"/>
      <c r="BX149" s="85" t="n">
        <v>41</v>
      </c>
      <c r="BY149" s="3" t="s">
        <v>985</v>
      </c>
      <c r="BZ149" s="3" t="s">
        <v>775</v>
      </c>
      <c r="CA149" s="3"/>
      <c r="CB149" s="3"/>
      <c r="CC149" s="3"/>
      <c r="CD149" s="3"/>
      <c r="CE149" s="3"/>
      <c r="CF149" s="3"/>
      <c r="CG149" s="311" t="b">
        <f aca="false">TRUE()</f>
        <v>1</v>
      </c>
      <c r="CH149" s="3" t="s">
        <v>914</v>
      </c>
      <c r="CI149" s="3"/>
      <c r="CJ149" s="3"/>
      <c r="CK149" s="3"/>
      <c r="CL149" s="3"/>
      <c r="CM149" s="3"/>
      <c r="CN149" s="3"/>
      <c r="CO149" s="3"/>
      <c r="CP149" s="3"/>
      <c r="CQ149" s="3"/>
      <c r="CR149" s="3"/>
      <c r="CS149" s="3"/>
      <c r="CT149" s="3"/>
      <c r="CU149" s="3"/>
      <c r="CV149" s="3" t="s">
        <v>980</v>
      </c>
      <c r="CW149" s="3" t="s">
        <v>981</v>
      </c>
      <c r="CX149" s="3" t="s">
        <v>982</v>
      </c>
      <c r="CY149" s="3" t="s">
        <v>983</v>
      </c>
      <c r="CZ149" s="3" t="s">
        <v>984</v>
      </c>
    </row>
    <row r="150" customFormat="false" ht="15.75" hidden="false" customHeight="false" outlineLevel="0" collapsed="false">
      <c r="A150" s="309" t="s">
        <v>610</v>
      </c>
      <c r="B150" s="309" t="s">
        <v>1294</v>
      </c>
      <c r="C150" s="309" t="s">
        <v>1295</v>
      </c>
      <c r="D150" s="309" t="s">
        <v>1296</v>
      </c>
      <c r="E150" s="309" t="s">
        <v>1297</v>
      </c>
      <c r="F150" s="318" t="b">
        <f aca="false">TRUE()</f>
        <v>1</v>
      </c>
      <c r="G150" s="309" t="s">
        <v>489</v>
      </c>
      <c r="H150" s="309" t="s">
        <v>1294</v>
      </c>
      <c r="I150" s="312" t="n">
        <v>-1</v>
      </c>
      <c r="J150" s="3"/>
      <c r="K150" s="309" t="s">
        <v>884</v>
      </c>
      <c r="L150" s="312" t="n">
        <v>20</v>
      </c>
      <c r="M150" s="309" t="s">
        <v>758</v>
      </c>
      <c r="N150" s="309" t="s">
        <v>743</v>
      </c>
      <c r="O150" s="309" t="s">
        <v>763</v>
      </c>
      <c r="P150" s="309" t="s">
        <v>745</v>
      </c>
      <c r="Q150" s="309" t="s">
        <v>746</v>
      </c>
      <c r="R150" s="318" t="b">
        <f aca="false">FALSE()</f>
        <v>0</v>
      </c>
      <c r="S150" s="312" t="n">
        <v>260</v>
      </c>
      <c r="T150" s="312" t="n">
        <v>100</v>
      </c>
      <c r="U150" s="312" t="n">
        <v>145</v>
      </c>
      <c r="V150" s="312" t="n">
        <v>120</v>
      </c>
      <c r="W150" s="312" t="n">
        <v>100</v>
      </c>
      <c r="X150" s="312" t="n">
        <v>100</v>
      </c>
      <c r="Y150" s="312" t="n">
        <v>0.1</v>
      </c>
      <c r="Z150" s="312" t="n">
        <v>0.7</v>
      </c>
      <c r="AA150" s="312" t="n">
        <v>10</v>
      </c>
      <c r="AB150" s="312" t="n">
        <v>8930</v>
      </c>
      <c r="AC150" s="309" t="s">
        <v>1253</v>
      </c>
      <c r="AD150" s="309" t="s">
        <v>182</v>
      </c>
      <c r="AE150" s="312" t="n">
        <v>100</v>
      </c>
      <c r="AF150" s="312" t="n">
        <v>350</v>
      </c>
      <c r="AG150" s="312" t="n">
        <v>900</v>
      </c>
      <c r="AH150" s="312" t="n">
        <v>1600</v>
      </c>
      <c r="AI150" s="312" t="n">
        <v>625</v>
      </c>
      <c r="AJ150" s="318" t="b">
        <f aca="false">TRUE()</f>
        <v>1</v>
      </c>
      <c r="AK150" s="318" t="b">
        <f aca="false">FALSE()</f>
        <v>0</v>
      </c>
      <c r="AL150" s="309" t="s">
        <v>1005</v>
      </c>
      <c r="AM150" s="318" t="b">
        <f aca="false">FALSE()</f>
        <v>0</v>
      </c>
      <c r="AN150" s="318" t="b">
        <f aca="false">FALSE()</f>
        <v>0</v>
      </c>
      <c r="AO150" s="312" t="n">
        <v>600</v>
      </c>
      <c r="AP150" s="312" t="n">
        <v>1</v>
      </c>
      <c r="AQ150" s="312" t="n">
        <v>9</v>
      </c>
      <c r="AR150" s="312" t="n">
        <v>25</v>
      </c>
      <c r="AS150" s="312" t="n">
        <v>90</v>
      </c>
      <c r="AT150" s="312" t="n">
        <v>1</v>
      </c>
      <c r="AU150" s="318" t="b">
        <f aca="false">FALSE()</f>
        <v>0</v>
      </c>
      <c r="AV150" s="318" t="b">
        <f aca="false">TRUE()</f>
        <v>1</v>
      </c>
      <c r="AW150" s="312" t="n">
        <v>9</v>
      </c>
      <c r="AX150" s="318" t="b">
        <f aca="false">FALSE()</f>
        <v>0</v>
      </c>
      <c r="AY150" s="318" t="b">
        <f aca="false">TRUE()</f>
        <v>1</v>
      </c>
      <c r="AZ150" s="312" t="n">
        <v>100</v>
      </c>
      <c r="BA150" s="312" t="n">
        <v>50</v>
      </c>
      <c r="BB150" s="312" t="n">
        <v>70</v>
      </c>
      <c r="BC150" s="312" t="n">
        <v>0</v>
      </c>
      <c r="BD150" s="312" t="n">
        <v>0</v>
      </c>
      <c r="BE150" s="312" t="n">
        <v>0</v>
      </c>
      <c r="BF150" s="312" t="n">
        <v>0</v>
      </c>
      <c r="BG150" s="312" t="n">
        <v>0</v>
      </c>
      <c r="BH150" s="312" t="n">
        <v>0</v>
      </c>
      <c r="BI150" s="312" t="n">
        <v>2</v>
      </c>
      <c r="BJ150" s="312" t="n">
        <v>2</v>
      </c>
      <c r="BK150" s="312" t="n">
        <v>0</v>
      </c>
      <c r="BL150" s="312" t="n">
        <v>0</v>
      </c>
      <c r="BM150" s="312" t="n">
        <v>0</v>
      </c>
      <c r="BN150" s="312" t="n">
        <v>0</v>
      </c>
      <c r="BO150" s="312" t="n">
        <v>0</v>
      </c>
      <c r="BP150" s="309" t="s">
        <v>1006</v>
      </c>
      <c r="BQ150" s="309" t="s">
        <v>1211</v>
      </c>
      <c r="BR150" s="309" t="s">
        <v>182</v>
      </c>
      <c r="BS150" s="309" t="s">
        <v>182</v>
      </c>
      <c r="BT150" s="312" t="n">
        <v>214</v>
      </c>
      <c r="BU150" s="318" t="b">
        <f aca="false">TRUE()</f>
        <v>1</v>
      </c>
      <c r="BV150" s="3" t="e">
        <f aca="false">xlookup(MID($A150,7,50),$A$2:$A$139,$BV$2:$BV$139,,0,1)</f>
        <v>#NAME?</v>
      </c>
      <c r="BW150" s="3"/>
      <c r="BX150" s="85" t="n">
        <v>49</v>
      </c>
      <c r="BY150" s="3" t="s">
        <v>1212</v>
      </c>
      <c r="BZ150" s="3" t="s">
        <v>775</v>
      </c>
      <c r="CA150" s="3"/>
      <c r="CB150" s="3"/>
      <c r="CC150" s="3"/>
      <c r="CD150" s="3"/>
      <c r="CE150" s="3"/>
      <c r="CF150" s="3"/>
      <c r="CG150" s="311" t="b">
        <f aca="false">TRUE()</f>
        <v>1</v>
      </c>
      <c r="CH150" s="3" t="s">
        <v>776</v>
      </c>
      <c r="CI150" s="3"/>
      <c r="CJ150" s="3"/>
      <c r="CK150" s="3"/>
      <c r="CL150" s="3"/>
      <c r="CM150" s="3"/>
      <c r="CN150" s="3"/>
      <c r="CO150" s="3"/>
      <c r="CP150" s="3"/>
      <c r="CQ150" s="3"/>
      <c r="CR150" s="3"/>
      <c r="CS150" s="3"/>
      <c r="CT150" s="3"/>
      <c r="CU150" s="3" t="s">
        <v>818</v>
      </c>
      <c r="CV150" s="3"/>
      <c r="CW150" s="3" t="s">
        <v>819</v>
      </c>
      <c r="CX150" s="3" t="s">
        <v>820</v>
      </c>
      <c r="CY150" s="3" t="s">
        <v>821</v>
      </c>
      <c r="CZ150" s="3" t="s">
        <v>822</v>
      </c>
    </row>
    <row r="151" customFormat="false" ht="15.75" hidden="false" customHeight="false" outlineLevel="0" collapsed="false">
      <c r="A151" s="309" t="s">
        <v>1298</v>
      </c>
      <c r="B151" s="309" t="s">
        <v>1299</v>
      </c>
      <c r="C151" s="309" t="s">
        <v>1300</v>
      </c>
      <c r="D151" s="309" t="s">
        <v>1301</v>
      </c>
      <c r="E151" s="309" t="s">
        <v>1302</v>
      </c>
      <c r="F151" s="318" t="b">
        <f aca="false">TRUE()</f>
        <v>1</v>
      </c>
      <c r="G151" s="309" t="s">
        <v>506</v>
      </c>
      <c r="H151" s="309" t="s">
        <v>1299</v>
      </c>
      <c r="I151" s="312" t="n">
        <v>-1</v>
      </c>
      <c r="J151" s="3"/>
      <c r="K151" s="309" t="s">
        <v>884</v>
      </c>
      <c r="L151" s="312" t="n">
        <v>10</v>
      </c>
      <c r="M151" s="309" t="s">
        <v>758</v>
      </c>
      <c r="N151" s="309" t="s">
        <v>743</v>
      </c>
      <c r="O151" s="309" t="s">
        <v>763</v>
      </c>
      <c r="P151" s="309" t="s">
        <v>745</v>
      </c>
      <c r="Q151" s="309" t="s">
        <v>746</v>
      </c>
      <c r="R151" s="318" t="b">
        <f aca="false">FALSE()</f>
        <v>0</v>
      </c>
      <c r="S151" s="312" t="n">
        <v>120</v>
      </c>
      <c r="T151" s="312" t="n">
        <v>130</v>
      </c>
      <c r="U151" s="312" t="n">
        <v>120</v>
      </c>
      <c r="V151" s="312" t="n">
        <v>140</v>
      </c>
      <c r="W151" s="312" t="n">
        <v>90</v>
      </c>
      <c r="X151" s="312" t="n">
        <v>100</v>
      </c>
      <c r="Y151" s="312" t="n">
        <v>0.2</v>
      </c>
      <c r="Z151" s="312" t="n">
        <v>0.7</v>
      </c>
      <c r="AA151" s="312" t="n">
        <v>10</v>
      </c>
      <c r="AB151" s="312" t="n">
        <v>9060</v>
      </c>
      <c r="AC151" s="309" t="s">
        <v>1253</v>
      </c>
      <c r="AD151" s="309" t="s">
        <v>182</v>
      </c>
      <c r="AE151" s="312" t="n">
        <v>80</v>
      </c>
      <c r="AF151" s="312" t="n">
        <v>80</v>
      </c>
      <c r="AG151" s="312" t="n">
        <v>850</v>
      </c>
      <c r="AH151" s="312" t="n">
        <v>1300</v>
      </c>
      <c r="AI151" s="312" t="n">
        <v>465</v>
      </c>
      <c r="AJ151" s="318" t="b">
        <f aca="false">TRUE()</f>
        <v>1</v>
      </c>
      <c r="AK151" s="318" t="b">
        <f aca="false">FALSE()</f>
        <v>0</v>
      </c>
      <c r="AL151" s="309" t="s">
        <v>1247</v>
      </c>
      <c r="AM151" s="318" t="b">
        <f aca="false">FALSE()</f>
        <v>0</v>
      </c>
      <c r="AN151" s="318" t="b">
        <f aca="false">FALSE()</f>
        <v>0</v>
      </c>
      <c r="AO151" s="312" t="n">
        <v>525</v>
      </c>
      <c r="AP151" s="312" t="n">
        <v>1</v>
      </c>
      <c r="AQ151" s="312" t="n">
        <v>8</v>
      </c>
      <c r="AR151" s="312" t="n">
        <v>25</v>
      </c>
      <c r="AS151" s="312" t="n">
        <v>90</v>
      </c>
      <c r="AT151" s="312" t="n">
        <v>1</v>
      </c>
      <c r="AU151" s="318" t="b">
        <f aca="false">FALSE()</f>
        <v>0</v>
      </c>
      <c r="AV151" s="318" t="b">
        <f aca="false">TRUE()</f>
        <v>1</v>
      </c>
      <c r="AW151" s="312" t="n">
        <v>9</v>
      </c>
      <c r="AX151" s="318" t="b">
        <f aca="false">FALSE()</f>
        <v>0</v>
      </c>
      <c r="AY151" s="318" t="b">
        <f aca="false">TRUE()</f>
        <v>1</v>
      </c>
      <c r="AZ151" s="312" t="n">
        <v>250</v>
      </c>
      <c r="BA151" s="312" t="n">
        <v>50</v>
      </c>
      <c r="BB151" s="312" t="n">
        <v>60</v>
      </c>
      <c r="BC151" s="312" t="n">
        <v>0</v>
      </c>
      <c r="BD151" s="312" t="n">
        <v>0</v>
      </c>
      <c r="BE151" s="312" t="n">
        <v>0</v>
      </c>
      <c r="BF151" s="312" t="n">
        <v>0</v>
      </c>
      <c r="BG151" s="312" t="n">
        <v>0</v>
      </c>
      <c r="BH151" s="312" t="n">
        <v>1</v>
      </c>
      <c r="BI151" s="312" t="n">
        <v>0</v>
      </c>
      <c r="BJ151" s="312" t="n">
        <v>0</v>
      </c>
      <c r="BK151" s="312" t="n">
        <v>0</v>
      </c>
      <c r="BL151" s="312" t="n">
        <v>0</v>
      </c>
      <c r="BM151" s="312" t="n">
        <v>0</v>
      </c>
      <c r="BN151" s="312" t="n">
        <v>0</v>
      </c>
      <c r="BO151" s="312" t="n">
        <v>0</v>
      </c>
      <c r="BP151" s="309" t="s">
        <v>182</v>
      </c>
      <c r="BQ151" s="309" t="s">
        <v>182</v>
      </c>
      <c r="BR151" s="309" t="s">
        <v>182</v>
      </c>
      <c r="BS151" s="309" t="s">
        <v>182</v>
      </c>
      <c r="BT151" s="312" t="n">
        <v>216</v>
      </c>
      <c r="BU151" s="318" t="b">
        <f aca="false">TRUE()</f>
        <v>1</v>
      </c>
      <c r="BV151" s="3" t="e">
        <f aca="false">xlookup(MID($A151,7,50),$A$2:$A$139,$BV$2:$BV$139,,0,1)</f>
        <v>#NAME?</v>
      </c>
      <c r="BW151" s="3"/>
      <c r="BX151" s="85" t="n">
        <v>47</v>
      </c>
      <c r="BY151" s="3" t="s">
        <v>1049</v>
      </c>
      <c r="BZ151" s="3" t="s">
        <v>775</v>
      </c>
      <c r="CA151" s="3"/>
      <c r="CB151" s="3"/>
      <c r="CC151" s="3"/>
      <c r="CD151" s="3"/>
      <c r="CE151" s="3"/>
      <c r="CF151" s="3"/>
      <c r="CG151" s="311" t="b">
        <f aca="false">TRUE()</f>
        <v>1</v>
      </c>
      <c r="CH151" s="3" t="s">
        <v>914</v>
      </c>
      <c r="CI151" s="3"/>
      <c r="CJ151" s="3"/>
      <c r="CK151" s="3"/>
      <c r="CL151" s="3"/>
      <c r="CM151" s="3"/>
      <c r="CN151" s="3"/>
      <c r="CO151" s="3"/>
      <c r="CP151" s="3"/>
      <c r="CQ151" s="3"/>
      <c r="CR151" s="3"/>
      <c r="CS151" s="3"/>
      <c r="CT151" s="3"/>
      <c r="CU151" s="3"/>
      <c r="CV151" s="3" t="s">
        <v>1016</v>
      </c>
      <c r="CW151" s="3" t="s">
        <v>1017</v>
      </c>
      <c r="CX151" s="3" t="s">
        <v>1018</v>
      </c>
      <c r="CY151" s="3" t="s">
        <v>1019</v>
      </c>
      <c r="CZ151" s="3" t="s">
        <v>1020</v>
      </c>
    </row>
    <row r="152" customFormat="false" ht="15.75" hidden="false" customHeight="false" outlineLevel="0" collapsed="false">
      <c r="A152" s="309" t="s">
        <v>1303</v>
      </c>
      <c r="B152" s="309" t="s">
        <v>1304</v>
      </c>
      <c r="C152" s="309" t="s">
        <v>1305</v>
      </c>
      <c r="D152" s="309" t="s">
        <v>1306</v>
      </c>
      <c r="E152" s="309" t="s">
        <v>1307</v>
      </c>
      <c r="F152" s="318" t="b">
        <f aca="false">TRUE()</f>
        <v>1</v>
      </c>
      <c r="G152" s="309" t="s">
        <v>498</v>
      </c>
      <c r="H152" s="309" t="s">
        <v>1304</v>
      </c>
      <c r="I152" s="312" t="n">
        <v>-1</v>
      </c>
      <c r="J152" s="3"/>
      <c r="K152" s="309" t="s">
        <v>884</v>
      </c>
      <c r="L152" s="312" t="n">
        <v>9</v>
      </c>
      <c r="M152" s="309" t="s">
        <v>885</v>
      </c>
      <c r="N152" s="309" t="s">
        <v>758</v>
      </c>
      <c r="O152" s="309" t="s">
        <v>969</v>
      </c>
      <c r="P152" s="309" t="s">
        <v>745</v>
      </c>
      <c r="Q152" s="309" t="s">
        <v>746</v>
      </c>
      <c r="R152" s="318" t="b">
        <f aca="false">FALSE()</f>
        <v>0</v>
      </c>
      <c r="S152" s="312" t="n">
        <v>100</v>
      </c>
      <c r="T152" s="312" t="n">
        <v>100</v>
      </c>
      <c r="U152" s="312" t="n">
        <v>125</v>
      </c>
      <c r="V152" s="312" t="n">
        <v>125</v>
      </c>
      <c r="W152" s="312" t="n">
        <v>100</v>
      </c>
      <c r="X152" s="312" t="n">
        <v>100</v>
      </c>
      <c r="Y152" s="312" t="n">
        <v>0.2</v>
      </c>
      <c r="Z152" s="312" t="n">
        <v>0.7</v>
      </c>
      <c r="AA152" s="312" t="n">
        <v>10</v>
      </c>
      <c r="AB152" s="312" t="n">
        <v>8200</v>
      </c>
      <c r="AC152" s="309" t="s">
        <v>1253</v>
      </c>
      <c r="AD152" s="309" t="s">
        <v>182</v>
      </c>
      <c r="AE152" s="312" t="n">
        <v>100</v>
      </c>
      <c r="AF152" s="312" t="n">
        <v>150</v>
      </c>
      <c r="AG152" s="312" t="n">
        <v>600</v>
      </c>
      <c r="AH152" s="312" t="n">
        <v>900</v>
      </c>
      <c r="AI152" s="312" t="n">
        <v>375</v>
      </c>
      <c r="AJ152" s="318" t="b">
        <f aca="false">TRUE()</f>
        <v>1</v>
      </c>
      <c r="AK152" s="318" t="b">
        <f aca="false">FALSE()</f>
        <v>0</v>
      </c>
      <c r="AL152" s="309" t="s">
        <v>1247</v>
      </c>
      <c r="AM152" s="318" t="b">
        <f aca="false">FALSE()</f>
        <v>0</v>
      </c>
      <c r="AN152" s="318" t="b">
        <f aca="false">FALSE()</f>
        <v>0</v>
      </c>
      <c r="AO152" s="312" t="n">
        <v>600</v>
      </c>
      <c r="AP152" s="312" t="n">
        <v>1</v>
      </c>
      <c r="AQ152" s="312" t="n">
        <v>9</v>
      </c>
      <c r="AR152" s="312" t="n">
        <v>25</v>
      </c>
      <c r="AS152" s="312" t="n">
        <v>90</v>
      </c>
      <c r="AT152" s="312" t="n">
        <v>1</v>
      </c>
      <c r="AU152" s="318" t="b">
        <f aca="false">FALSE()</f>
        <v>0</v>
      </c>
      <c r="AV152" s="318" t="b">
        <f aca="false">TRUE()</f>
        <v>1</v>
      </c>
      <c r="AW152" s="312" t="n">
        <v>9</v>
      </c>
      <c r="AX152" s="318" t="b">
        <f aca="false">FALSE()</f>
        <v>0</v>
      </c>
      <c r="AY152" s="318" t="b">
        <f aca="false">TRUE()</f>
        <v>1</v>
      </c>
      <c r="AZ152" s="312" t="n">
        <v>300</v>
      </c>
      <c r="BA152" s="312" t="n">
        <v>50</v>
      </c>
      <c r="BB152" s="312" t="n">
        <v>150</v>
      </c>
      <c r="BC152" s="312" t="n">
        <v>0</v>
      </c>
      <c r="BD152" s="312" t="n">
        <v>0</v>
      </c>
      <c r="BE152" s="312" t="n">
        <v>0</v>
      </c>
      <c r="BF152" s="312" t="n">
        <v>0</v>
      </c>
      <c r="BG152" s="312" t="n">
        <v>1</v>
      </c>
      <c r="BH152" s="312" t="n">
        <v>0</v>
      </c>
      <c r="BI152" s="312" t="n">
        <v>0</v>
      </c>
      <c r="BJ152" s="312" t="n">
        <v>4</v>
      </c>
      <c r="BK152" s="312" t="n">
        <v>3</v>
      </c>
      <c r="BL152" s="312" t="n">
        <v>0</v>
      </c>
      <c r="BM152" s="312" t="n">
        <v>0</v>
      </c>
      <c r="BN152" s="312" t="n">
        <v>0</v>
      </c>
      <c r="BO152" s="312" t="n">
        <v>0</v>
      </c>
      <c r="BP152" s="309" t="s">
        <v>802</v>
      </c>
      <c r="BQ152" s="309" t="s">
        <v>182</v>
      </c>
      <c r="BR152" s="309" t="s">
        <v>182</v>
      </c>
      <c r="BS152" s="309" t="s">
        <v>182</v>
      </c>
      <c r="BT152" s="312" t="n">
        <v>217</v>
      </c>
      <c r="BU152" s="318" t="b">
        <f aca="false">FALSE()</f>
        <v>0</v>
      </c>
      <c r="BV152" s="3" t="e">
        <f aca="false">xlookup(MID($A152,7,50),$A$2:$A$139,$BV$2:$BV$139,,0,1)</f>
        <v>#NAME?</v>
      </c>
      <c r="BW152" s="3"/>
      <c r="BX152" s="85" t="n">
        <v>47</v>
      </c>
      <c r="BY152" s="3" t="s">
        <v>1124</v>
      </c>
      <c r="BZ152" s="3" t="s">
        <v>775</v>
      </c>
      <c r="CA152" s="3"/>
      <c r="CB152" s="3"/>
      <c r="CC152" s="3"/>
      <c r="CD152" s="3"/>
      <c r="CE152" s="3"/>
      <c r="CF152" s="3"/>
      <c r="CG152" s="311" t="b">
        <f aca="false">TRUE()</f>
        <v>1</v>
      </c>
      <c r="CH152" s="3" t="s">
        <v>914</v>
      </c>
      <c r="CI152" s="3"/>
      <c r="CJ152" s="3"/>
      <c r="CK152" s="3"/>
      <c r="CL152" s="3"/>
      <c r="CM152" s="3"/>
      <c r="CN152" s="3"/>
      <c r="CO152" s="3"/>
      <c r="CP152" s="3"/>
      <c r="CQ152" s="3"/>
      <c r="CR152" s="3"/>
      <c r="CS152" s="3"/>
      <c r="CT152" s="3"/>
      <c r="CU152" s="3" t="s">
        <v>750</v>
      </c>
      <c r="CV152" s="3" t="s">
        <v>779</v>
      </c>
      <c r="CW152" s="3" t="s">
        <v>780</v>
      </c>
      <c r="CX152" s="3" t="s">
        <v>781</v>
      </c>
      <c r="CY152" s="3" t="s">
        <v>1125</v>
      </c>
      <c r="CZ152" s="3" t="s">
        <v>1126</v>
      </c>
    </row>
    <row r="153" customFormat="false" ht="15.75" hidden="false" customHeight="false" outlineLevel="0" collapsed="false">
      <c r="A153" s="309" t="s">
        <v>1308</v>
      </c>
      <c r="B153" s="309" t="s">
        <v>1309</v>
      </c>
      <c r="C153" s="309" t="s">
        <v>1310</v>
      </c>
      <c r="D153" s="309" t="s">
        <v>1311</v>
      </c>
      <c r="E153" s="309" t="s">
        <v>1312</v>
      </c>
      <c r="F153" s="318" t="b">
        <f aca="false">TRUE()</f>
        <v>1</v>
      </c>
      <c r="G153" s="309" t="s">
        <v>949</v>
      </c>
      <c r="H153" s="309" t="s">
        <v>1309</v>
      </c>
      <c r="I153" s="312" t="n">
        <v>-1</v>
      </c>
      <c r="J153" s="3"/>
      <c r="K153" s="309" t="s">
        <v>884</v>
      </c>
      <c r="L153" s="312" t="n">
        <v>7</v>
      </c>
      <c r="M153" s="309" t="s">
        <v>814</v>
      </c>
      <c r="N153" s="309" t="s">
        <v>885</v>
      </c>
      <c r="O153" s="309" t="s">
        <v>886</v>
      </c>
      <c r="P153" s="309" t="s">
        <v>745</v>
      </c>
      <c r="Q153" s="309" t="s">
        <v>746</v>
      </c>
      <c r="R153" s="318" t="b">
        <f aca="false">FALSE()</f>
        <v>0</v>
      </c>
      <c r="S153" s="312" t="n">
        <v>110</v>
      </c>
      <c r="T153" s="312" t="n">
        <v>70</v>
      </c>
      <c r="U153" s="312" t="n">
        <v>100</v>
      </c>
      <c r="V153" s="312" t="n">
        <v>100</v>
      </c>
      <c r="W153" s="312" t="n">
        <v>100</v>
      </c>
      <c r="X153" s="312" t="n">
        <v>100</v>
      </c>
      <c r="Y153" s="312" t="n">
        <v>0.2</v>
      </c>
      <c r="Z153" s="312" t="n">
        <v>0.7</v>
      </c>
      <c r="AA153" s="312" t="n">
        <v>10</v>
      </c>
      <c r="AB153" s="312" t="n">
        <v>5600</v>
      </c>
      <c r="AC153" s="309" t="s">
        <v>1253</v>
      </c>
      <c r="AD153" s="309" t="s">
        <v>182</v>
      </c>
      <c r="AE153" s="312" t="n">
        <v>75</v>
      </c>
      <c r="AF153" s="312" t="n">
        <v>150</v>
      </c>
      <c r="AG153" s="312" t="n">
        <v>600</v>
      </c>
      <c r="AH153" s="312" t="n">
        <v>900</v>
      </c>
      <c r="AI153" s="312" t="n">
        <v>350</v>
      </c>
      <c r="AJ153" s="318" t="b">
        <f aca="false">TRUE()</f>
        <v>1</v>
      </c>
      <c r="AK153" s="318" t="b">
        <f aca="false">FALSE()</f>
        <v>0</v>
      </c>
      <c r="AL153" s="309" t="s">
        <v>1247</v>
      </c>
      <c r="AM153" s="318" t="b">
        <f aca="false">FALSE()</f>
        <v>0</v>
      </c>
      <c r="AN153" s="318" t="b">
        <f aca="false">FALSE()</f>
        <v>0</v>
      </c>
      <c r="AO153" s="312" t="n">
        <v>400</v>
      </c>
      <c r="AP153" s="312" t="n">
        <v>1</v>
      </c>
      <c r="AQ153" s="312" t="n">
        <v>6</v>
      </c>
      <c r="AR153" s="312" t="n">
        <v>25</v>
      </c>
      <c r="AS153" s="312" t="n">
        <v>90</v>
      </c>
      <c r="AT153" s="312" t="n">
        <v>1</v>
      </c>
      <c r="AU153" s="318" t="b">
        <f aca="false">FALSE()</f>
        <v>0</v>
      </c>
      <c r="AV153" s="318" t="b">
        <f aca="false">FALSE()</f>
        <v>0</v>
      </c>
      <c r="AW153" s="312" t="n">
        <v>9</v>
      </c>
      <c r="AX153" s="318" t="b">
        <f aca="false">FALSE()</f>
        <v>0</v>
      </c>
      <c r="AY153" s="318" t="b">
        <f aca="false">TRUE()</f>
        <v>1</v>
      </c>
      <c r="AZ153" s="312" t="n">
        <v>100</v>
      </c>
      <c r="BA153" s="312" t="n">
        <v>50</v>
      </c>
      <c r="BB153" s="312" t="n">
        <v>500</v>
      </c>
      <c r="BC153" s="312" t="n">
        <v>0</v>
      </c>
      <c r="BD153" s="312" t="n">
        <v>3</v>
      </c>
      <c r="BE153" s="312" t="n">
        <v>0</v>
      </c>
      <c r="BF153" s="312" t="n">
        <v>0</v>
      </c>
      <c r="BG153" s="312" t="n">
        <v>0</v>
      </c>
      <c r="BH153" s="312" t="n">
        <v>0</v>
      </c>
      <c r="BI153" s="312" t="n">
        <v>0</v>
      </c>
      <c r="BJ153" s="312" t="n">
        <v>0</v>
      </c>
      <c r="BK153" s="312" t="n">
        <v>0</v>
      </c>
      <c r="BL153" s="312" t="n">
        <v>0</v>
      </c>
      <c r="BM153" s="312" t="n">
        <v>0</v>
      </c>
      <c r="BN153" s="312" t="n">
        <v>0</v>
      </c>
      <c r="BO153" s="312" t="n">
        <v>0</v>
      </c>
      <c r="BP153" s="309" t="s">
        <v>182</v>
      </c>
      <c r="BQ153" s="309" t="s">
        <v>182</v>
      </c>
      <c r="BR153" s="309" t="s">
        <v>182</v>
      </c>
      <c r="BS153" s="309" t="s">
        <v>182</v>
      </c>
      <c r="BT153" s="312" t="n">
        <v>219</v>
      </c>
      <c r="BU153" s="318" t="b">
        <f aca="false">FALSE()</f>
        <v>0</v>
      </c>
      <c r="BV153" s="3" t="e">
        <f aca="false">xlookup(MID($A153,7,50),$A$2:$A$139,$BV$2:$BV$139,,0,1)</f>
        <v>#NAME?</v>
      </c>
      <c r="BW153" s="3"/>
      <c r="BX153" s="85" t="n">
        <v>24</v>
      </c>
      <c r="BY153" s="3" t="s">
        <v>950</v>
      </c>
      <c r="BZ153" s="3" t="s">
        <v>775</v>
      </c>
      <c r="CA153" s="3"/>
      <c r="CB153" s="3"/>
      <c r="CC153" s="3"/>
      <c r="CD153" s="3"/>
      <c r="CE153" s="3"/>
      <c r="CF153" s="3"/>
      <c r="CG153" s="311" t="b">
        <f aca="false">TRUE()</f>
        <v>1</v>
      </c>
      <c r="CH153" s="3" t="s">
        <v>889</v>
      </c>
      <c r="CI153" s="3" t="s">
        <v>750</v>
      </c>
      <c r="CJ153" s="3" t="s">
        <v>951</v>
      </c>
      <c r="CK153" s="3" t="s">
        <v>951</v>
      </c>
      <c r="CL153" s="3" t="s">
        <v>951</v>
      </c>
      <c r="CM153" s="3" t="s">
        <v>951</v>
      </c>
      <c r="CN153" s="3" t="s">
        <v>951</v>
      </c>
      <c r="CO153" s="3"/>
      <c r="CP153" s="3"/>
      <c r="CQ153" s="3"/>
      <c r="CR153" s="3"/>
      <c r="CS153" s="3"/>
      <c r="CT153" s="3"/>
      <c r="CU153" s="3"/>
      <c r="CV153" s="3" t="s">
        <v>839</v>
      </c>
      <c r="CW153" s="3" t="s">
        <v>840</v>
      </c>
      <c r="CX153" s="3" t="s">
        <v>841</v>
      </c>
      <c r="CY153" s="3" t="s">
        <v>842</v>
      </c>
      <c r="CZ153" s="3" t="s">
        <v>843</v>
      </c>
    </row>
    <row r="154" customFormat="false" ht="15.75" hidden="false" customHeight="false" outlineLevel="0" collapsed="false">
      <c r="A154" s="309" t="s">
        <v>1313</v>
      </c>
      <c r="B154" s="309" t="s">
        <v>1314</v>
      </c>
      <c r="C154" s="309" t="s">
        <v>1315</v>
      </c>
      <c r="D154" s="309" t="s">
        <v>1316</v>
      </c>
      <c r="E154" s="309" t="s">
        <v>1317</v>
      </c>
      <c r="F154" s="318" t="b">
        <f aca="false">TRUE()</f>
        <v>1</v>
      </c>
      <c r="G154" s="309" t="s">
        <v>470</v>
      </c>
      <c r="H154" s="309" t="s">
        <v>1314</v>
      </c>
      <c r="I154" s="312" t="n">
        <v>-1</v>
      </c>
      <c r="J154" s="3"/>
      <c r="K154" s="309" t="s">
        <v>741</v>
      </c>
      <c r="L154" s="312" t="n">
        <v>1</v>
      </c>
      <c r="M154" s="309" t="s">
        <v>814</v>
      </c>
      <c r="N154" s="309" t="s">
        <v>743</v>
      </c>
      <c r="O154" s="309" t="s">
        <v>744</v>
      </c>
      <c r="P154" s="309" t="s">
        <v>745</v>
      </c>
      <c r="Q154" s="309" t="s">
        <v>746</v>
      </c>
      <c r="R154" s="318" t="b">
        <f aca="false">FALSE()</f>
        <v>0</v>
      </c>
      <c r="S154" s="312" t="n">
        <v>60</v>
      </c>
      <c r="T154" s="312" t="n">
        <v>80</v>
      </c>
      <c r="U154" s="312" t="n">
        <v>80</v>
      </c>
      <c r="V154" s="312" t="n">
        <v>60</v>
      </c>
      <c r="W154" s="312" t="n">
        <v>100</v>
      </c>
      <c r="X154" s="312" t="n">
        <v>100</v>
      </c>
      <c r="Y154" s="312" t="n">
        <v>0.4</v>
      </c>
      <c r="Z154" s="312" t="n">
        <v>0.77</v>
      </c>
      <c r="AA154" s="312" t="n">
        <v>10</v>
      </c>
      <c r="AB154" s="312" t="n">
        <v>1120</v>
      </c>
      <c r="AC154" s="309" t="s">
        <v>836</v>
      </c>
      <c r="AD154" s="309" t="s">
        <v>182</v>
      </c>
      <c r="AE154" s="312" t="n">
        <v>70</v>
      </c>
      <c r="AF154" s="312" t="n">
        <v>105</v>
      </c>
      <c r="AG154" s="312" t="n">
        <v>300</v>
      </c>
      <c r="AH154" s="312" t="n">
        <v>400</v>
      </c>
      <c r="AI154" s="312" t="n">
        <v>202</v>
      </c>
      <c r="AJ154" s="318" t="b">
        <f aca="false">TRUE()</f>
        <v>1</v>
      </c>
      <c r="AK154" s="318" t="b">
        <f aca="false">FALSE()</f>
        <v>0</v>
      </c>
      <c r="AL154" s="309" t="s">
        <v>1247</v>
      </c>
      <c r="AM154" s="318" t="b">
        <f aca="false">FALSE()</f>
        <v>0</v>
      </c>
      <c r="AN154" s="318" t="b">
        <f aca="false">FALSE()</f>
        <v>0</v>
      </c>
      <c r="AO154" s="312" t="n">
        <v>150</v>
      </c>
      <c r="AP154" s="312" t="n">
        <v>1</v>
      </c>
      <c r="AQ154" s="312" t="n">
        <v>2</v>
      </c>
      <c r="AR154" s="312" t="n">
        <v>25</v>
      </c>
      <c r="AS154" s="312" t="n">
        <v>90</v>
      </c>
      <c r="AT154" s="312" t="n">
        <v>1</v>
      </c>
      <c r="AU154" s="318" t="b">
        <f aca="false">FALSE()</f>
        <v>0</v>
      </c>
      <c r="AV154" s="318" t="b">
        <f aca="false">FALSE()</f>
        <v>0</v>
      </c>
      <c r="AW154" s="312" t="n">
        <v>9</v>
      </c>
      <c r="AX154" s="318" t="b">
        <f aca="false">FALSE()</f>
        <v>0</v>
      </c>
      <c r="AY154" s="318" t="b">
        <f aca="false">TRUE()</f>
        <v>1</v>
      </c>
      <c r="AZ154" s="312" t="n">
        <v>100</v>
      </c>
      <c r="BA154" s="312" t="n">
        <v>50</v>
      </c>
      <c r="BB154" s="312" t="n">
        <v>1330</v>
      </c>
      <c r="BC154" s="312" t="n">
        <v>0</v>
      </c>
      <c r="BD154" s="312" t="n">
        <v>1</v>
      </c>
      <c r="BE154" s="312" t="n">
        <v>0</v>
      </c>
      <c r="BF154" s="312" t="n">
        <v>0</v>
      </c>
      <c r="BG154" s="312" t="n">
        <v>1</v>
      </c>
      <c r="BH154" s="312" t="n">
        <v>0</v>
      </c>
      <c r="BI154" s="312" t="n">
        <v>0</v>
      </c>
      <c r="BJ154" s="312" t="n">
        <v>0</v>
      </c>
      <c r="BK154" s="312" t="n">
        <v>0</v>
      </c>
      <c r="BL154" s="312" t="n">
        <v>0</v>
      </c>
      <c r="BM154" s="312" t="n">
        <v>0</v>
      </c>
      <c r="BN154" s="312" t="n">
        <v>1</v>
      </c>
      <c r="BO154" s="312" t="n">
        <v>0</v>
      </c>
      <c r="BP154" s="309" t="s">
        <v>182</v>
      </c>
      <c r="BQ154" s="309" t="s">
        <v>182</v>
      </c>
      <c r="BR154" s="309" t="s">
        <v>182</v>
      </c>
      <c r="BS154" s="309" t="s">
        <v>182</v>
      </c>
      <c r="BT154" s="312" t="n">
        <v>220</v>
      </c>
      <c r="BU154" s="318" t="b">
        <f aca="false">FALSE()</f>
        <v>0</v>
      </c>
      <c r="BV154" s="3" t="e">
        <f aca="false">xlookup(MID($A154,7,50),$A$2:$A$139,$BV$2:$BV$139,,0,1)</f>
        <v>#NAME?</v>
      </c>
      <c r="BW154" s="3"/>
      <c r="BX154" s="3"/>
      <c r="BY154" s="3"/>
      <c r="BZ154" s="3"/>
      <c r="CA154" s="3" t="s">
        <v>978</v>
      </c>
      <c r="CB154" s="85" t="n">
        <v>1</v>
      </c>
      <c r="CC154" s="85" t="n">
        <v>1.1</v>
      </c>
      <c r="CD154" s="85" t="n">
        <v>1.3</v>
      </c>
      <c r="CE154" s="85" t="n">
        <v>1.6</v>
      </c>
      <c r="CF154" s="85" t="n">
        <v>2</v>
      </c>
      <c r="CG154" s="3"/>
      <c r="CH154" s="3"/>
      <c r="CI154" s="3"/>
      <c r="CJ154" s="3"/>
      <c r="CK154" s="3"/>
      <c r="CL154" s="3"/>
      <c r="CM154" s="3"/>
      <c r="CN154" s="3"/>
      <c r="CO154" s="3"/>
      <c r="CP154" s="3"/>
      <c r="CQ154" s="3"/>
      <c r="CR154" s="3"/>
      <c r="CS154" s="3"/>
      <c r="CT154" s="3"/>
      <c r="CU154" s="3"/>
      <c r="CV154" s="3"/>
      <c r="CW154" s="3"/>
      <c r="CX154" s="3"/>
      <c r="CY154" s="3"/>
      <c r="CZ154" s="3"/>
    </row>
    <row r="155" customFormat="false" ht="15.75" hidden="false" customHeight="false" outlineLevel="0" collapsed="false">
      <c r="A155" s="309" t="s">
        <v>1318</v>
      </c>
      <c r="B155" s="309" t="s">
        <v>1319</v>
      </c>
      <c r="C155" s="309" t="s">
        <v>1320</v>
      </c>
      <c r="D155" s="309" t="s">
        <v>1321</v>
      </c>
      <c r="E155" s="309" t="s">
        <v>1322</v>
      </c>
      <c r="F155" s="318" t="b">
        <f aca="false">TRUE()</f>
        <v>1</v>
      </c>
      <c r="G155" s="309" t="s">
        <v>772</v>
      </c>
      <c r="H155" s="309" t="s">
        <v>1319</v>
      </c>
      <c r="I155" s="312" t="n">
        <v>-1</v>
      </c>
      <c r="J155" s="3"/>
      <c r="K155" s="309" t="s">
        <v>884</v>
      </c>
      <c r="L155" s="312" t="n">
        <v>1</v>
      </c>
      <c r="M155" s="309" t="s">
        <v>742</v>
      </c>
      <c r="N155" s="309" t="s">
        <v>743</v>
      </c>
      <c r="O155" s="309" t="s">
        <v>763</v>
      </c>
      <c r="P155" s="309" t="s">
        <v>745</v>
      </c>
      <c r="Q155" s="309" t="s">
        <v>746</v>
      </c>
      <c r="R155" s="318" t="b">
        <f aca="false">FALSE()</f>
        <v>0</v>
      </c>
      <c r="S155" s="312" t="n">
        <v>80</v>
      </c>
      <c r="T155" s="312" t="n">
        <v>100</v>
      </c>
      <c r="U155" s="312" t="n">
        <v>70</v>
      </c>
      <c r="V155" s="312" t="n">
        <v>70</v>
      </c>
      <c r="W155" s="312" t="n">
        <v>100</v>
      </c>
      <c r="X155" s="312" t="n">
        <v>100</v>
      </c>
      <c r="Y155" s="312" t="n">
        <v>0.4</v>
      </c>
      <c r="Z155" s="312" t="n">
        <v>0.7</v>
      </c>
      <c r="AA155" s="312" t="n">
        <v>10</v>
      </c>
      <c r="AB155" s="312" t="n">
        <v>1610</v>
      </c>
      <c r="AC155" s="309" t="s">
        <v>1253</v>
      </c>
      <c r="AD155" s="309" t="s">
        <v>182</v>
      </c>
      <c r="AE155" s="312" t="n">
        <v>70</v>
      </c>
      <c r="AF155" s="312" t="n">
        <v>150</v>
      </c>
      <c r="AG155" s="312" t="n">
        <v>450</v>
      </c>
      <c r="AH155" s="312" t="n">
        <v>800</v>
      </c>
      <c r="AI155" s="312" t="n">
        <v>300</v>
      </c>
      <c r="AJ155" s="318" t="b">
        <f aca="false">TRUE()</f>
        <v>1</v>
      </c>
      <c r="AK155" s="318" t="b">
        <f aca="false">FALSE()</f>
        <v>0</v>
      </c>
      <c r="AL155" s="309" t="s">
        <v>1247</v>
      </c>
      <c r="AM155" s="318" t="b">
        <f aca="false">FALSE()</f>
        <v>0</v>
      </c>
      <c r="AN155" s="318" t="b">
        <f aca="false">FALSE()</f>
        <v>0</v>
      </c>
      <c r="AO155" s="312" t="n">
        <v>225</v>
      </c>
      <c r="AP155" s="312" t="n">
        <v>1</v>
      </c>
      <c r="AQ155" s="312" t="n">
        <v>3</v>
      </c>
      <c r="AR155" s="312" t="n">
        <v>25</v>
      </c>
      <c r="AS155" s="312" t="n">
        <v>90</v>
      </c>
      <c r="AT155" s="312" t="n">
        <v>1</v>
      </c>
      <c r="AU155" s="318" t="b">
        <f aca="false">FALSE()</f>
        <v>0</v>
      </c>
      <c r="AV155" s="318" t="b">
        <f aca="false">FALSE()</f>
        <v>0</v>
      </c>
      <c r="AW155" s="312" t="n">
        <v>9</v>
      </c>
      <c r="AX155" s="318" t="b">
        <f aca="false">TRUE()</f>
        <v>1</v>
      </c>
      <c r="AY155" s="318" t="b">
        <f aca="false">TRUE()</f>
        <v>1</v>
      </c>
      <c r="AZ155" s="312" t="n">
        <v>100</v>
      </c>
      <c r="BA155" s="312" t="n">
        <v>50</v>
      </c>
      <c r="BB155" s="312" t="n">
        <v>1130</v>
      </c>
      <c r="BC155" s="312" t="n">
        <v>0</v>
      </c>
      <c r="BD155" s="312" t="n">
        <v>0</v>
      </c>
      <c r="BE155" s="312" t="n">
        <v>0</v>
      </c>
      <c r="BF155" s="312" t="n">
        <v>0</v>
      </c>
      <c r="BG155" s="312" t="n">
        <v>0</v>
      </c>
      <c r="BH155" s="312" t="n">
        <v>0</v>
      </c>
      <c r="BI155" s="312" t="n">
        <v>0</v>
      </c>
      <c r="BJ155" s="312" t="n">
        <v>1</v>
      </c>
      <c r="BK155" s="312" t="n">
        <v>0</v>
      </c>
      <c r="BL155" s="312" t="n">
        <v>0</v>
      </c>
      <c r="BM155" s="312" t="n">
        <v>0</v>
      </c>
      <c r="BN155" s="312" t="n">
        <v>0</v>
      </c>
      <c r="BO155" s="312" t="n">
        <v>0</v>
      </c>
      <c r="BP155" s="309" t="s">
        <v>182</v>
      </c>
      <c r="BQ155" s="309" t="s">
        <v>182</v>
      </c>
      <c r="BR155" s="309" t="s">
        <v>182</v>
      </c>
      <c r="BS155" s="309" t="s">
        <v>182</v>
      </c>
      <c r="BT155" s="312" t="n">
        <v>221</v>
      </c>
      <c r="BU155" s="318" t="b">
        <f aca="false">FALSE()</f>
        <v>0</v>
      </c>
      <c r="BV155" s="3" t="e">
        <f aca="false">xlookup(MID($A155,7,50),$A$2:$A$139,$BV$2:$BV$139,,0,1)</f>
        <v>#NAME?</v>
      </c>
      <c r="BW155" s="3"/>
      <c r="BX155" s="85" t="n">
        <v>6</v>
      </c>
      <c r="BY155" s="3" t="s">
        <v>774</v>
      </c>
      <c r="BZ155" s="3" t="s">
        <v>775</v>
      </c>
      <c r="CA155" s="3"/>
      <c r="CB155" s="3"/>
      <c r="CC155" s="3"/>
      <c r="CD155" s="3"/>
      <c r="CE155" s="3"/>
      <c r="CF155" s="3"/>
      <c r="CG155" s="311" t="b">
        <f aca="false">TRUE()</f>
        <v>1</v>
      </c>
      <c r="CH155" s="3" t="s">
        <v>776</v>
      </c>
      <c r="CI155" s="3"/>
      <c r="CJ155" s="3"/>
      <c r="CK155" s="3"/>
      <c r="CL155" s="3"/>
      <c r="CM155" s="3"/>
      <c r="CN155" s="3"/>
      <c r="CO155" s="3"/>
      <c r="CP155" s="3"/>
      <c r="CQ155" s="3"/>
      <c r="CR155" s="3"/>
      <c r="CS155" s="3"/>
      <c r="CT155" s="3"/>
      <c r="CU155" s="3" t="s">
        <v>750</v>
      </c>
      <c r="CV155" s="3" t="s">
        <v>777</v>
      </c>
      <c r="CW155" s="3" t="s">
        <v>778</v>
      </c>
      <c r="CX155" s="3" t="s">
        <v>779</v>
      </c>
      <c r="CY155" s="3" t="s">
        <v>780</v>
      </c>
      <c r="CZ155" s="3" t="s">
        <v>781</v>
      </c>
    </row>
    <row r="156" customFormat="false" ht="15.75" hidden="false" customHeight="false" outlineLevel="0" collapsed="false">
      <c r="A156" s="309" t="s">
        <v>1323</v>
      </c>
      <c r="B156" s="309" t="s">
        <v>1324</v>
      </c>
      <c r="C156" s="309" t="s">
        <v>1325</v>
      </c>
      <c r="D156" s="309" t="s">
        <v>1326</v>
      </c>
      <c r="E156" s="309" t="s">
        <v>1327</v>
      </c>
      <c r="F156" s="318" t="b">
        <f aca="false">TRUE()</f>
        <v>1</v>
      </c>
      <c r="G156" s="309" t="s">
        <v>1193</v>
      </c>
      <c r="H156" s="309" t="s">
        <v>1324</v>
      </c>
      <c r="I156" s="312" t="n">
        <v>-1</v>
      </c>
      <c r="J156" s="3"/>
      <c r="K156" s="309" t="s">
        <v>884</v>
      </c>
      <c r="L156" s="312" t="n">
        <v>6</v>
      </c>
      <c r="M156" s="309" t="s">
        <v>814</v>
      </c>
      <c r="N156" s="309" t="s">
        <v>771</v>
      </c>
      <c r="O156" s="309" t="s">
        <v>744</v>
      </c>
      <c r="P156" s="309" t="s">
        <v>745</v>
      </c>
      <c r="Q156" s="309" t="s">
        <v>746</v>
      </c>
      <c r="R156" s="318" t="b">
        <f aca="false">FALSE()</f>
        <v>0</v>
      </c>
      <c r="S156" s="312" t="n">
        <v>95</v>
      </c>
      <c r="T156" s="312" t="n">
        <v>70</v>
      </c>
      <c r="U156" s="312" t="n">
        <v>95</v>
      </c>
      <c r="V156" s="312" t="n">
        <v>95</v>
      </c>
      <c r="W156" s="312" t="n">
        <v>100</v>
      </c>
      <c r="X156" s="312" t="n">
        <v>100</v>
      </c>
      <c r="Y156" s="312" t="n">
        <v>0.4</v>
      </c>
      <c r="Z156" s="312" t="n">
        <v>0.7</v>
      </c>
      <c r="AA156" s="312" t="n">
        <v>10</v>
      </c>
      <c r="AB156" s="312" t="n">
        <v>5410</v>
      </c>
      <c r="AC156" s="309" t="s">
        <v>1253</v>
      </c>
      <c r="AD156" s="309" t="s">
        <v>182</v>
      </c>
      <c r="AE156" s="312" t="n">
        <v>50</v>
      </c>
      <c r="AF156" s="312" t="n">
        <v>110</v>
      </c>
      <c r="AG156" s="312" t="n">
        <v>450</v>
      </c>
      <c r="AH156" s="312" t="n">
        <v>600</v>
      </c>
      <c r="AI156" s="312" t="n">
        <v>280</v>
      </c>
      <c r="AJ156" s="318" t="b">
        <f aca="false">TRUE()</f>
        <v>1</v>
      </c>
      <c r="AK156" s="318" t="b">
        <f aca="false">FALSE()</f>
        <v>0</v>
      </c>
      <c r="AL156" s="309" t="s">
        <v>1247</v>
      </c>
      <c r="AM156" s="318" t="b">
        <f aca="false">FALSE()</f>
        <v>0</v>
      </c>
      <c r="AN156" s="318" t="b">
        <f aca="false">FALSE()</f>
        <v>0</v>
      </c>
      <c r="AO156" s="312" t="n">
        <v>525</v>
      </c>
      <c r="AP156" s="312" t="n">
        <v>1</v>
      </c>
      <c r="AQ156" s="312" t="n">
        <v>8</v>
      </c>
      <c r="AR156" s="312" t="n">
        <v>25</v>
      </c>
      <c r="AS156" s="312" t="n">
        <v>90</v>
      </c>
      <c r="AT156" s="312" t="n">
        <v>1</v>
      </c>
      <c r="AU156" s="318" t="b">
        <f aca="false">FALSE()</f>
        <v>0</v>
      </c>
      <c r="AV156" s="318" t="b">
        <f aca="false">FALSE()</f>
        <v>0</v>
      </c>
      <c r="AW156" s="312" t="n">
        <v>9</v>
      </c>
      <c r="AX156" s="318" t="b">
        <f aca="false">FALSE()</f>
        <v>0</v>
      </c>
      <c r="AY156" s="318" t="b">
        <f aca="false">TRUE()</f>
        <v>1</v>
      </c>
      <c r="AZ156" s="312" t="n">
        <v>100</v>
      </c>
      <c r="BA156" s="312" t="n">
        <v>50</v>
      </c>
      <c r="BB156" s="312" t="n">
        <v>520</v>
      </c>
      <c r="BC156" s="312" t="n">
        <v>0</v>
      </c>
      <c r="BD156" s="312" t="n">
        <v>2</v>
      </c>
      <c r="BE156" s="312" t="n">
        <v>0</v>
      </c>
      <c r="BF156" s="312" t="n">
        <v>0</v>
      </c>
      <c r="BG156" s="312" t="n">
        <v>2</v>
      </c>
      <c r="BH156" s="312" t="n">
        <v>0</v>
      </c>
      <c r="BI156" s="312" t="n">
        <v>0</v>
      </c>
      <c r="BJ156" s="312" t="n">
        <v>2</v>
      </c>
      <c r="BK156" s="312" t="n">
        <v>0</v>
      </c>
      <c r="BL156" s="312" t="n">
        <v>0</v>
      </c>
      <c r="BM156" s="312" t="n">
        <v>2</v>
      </c>
      <c r="BN156" s="312" t="n">
        <v>2</v>
      </c>
      <c r="BO156" s="312" t="n">
        <v>0</v>
      </c>
      <c r="BP156" s="309" t="s">
        <v>182</v>
      </c>
      <c r="BQ156" s="309" t="s">
        <v>182</v>
      </c>
      <c r="BR156" s="309" t="s">
        <v>182</v>
      </c>
      <c r="BS156" s="309" t="s">
        <v>182</v>
      </c>
      <c r="BT156" s="312" t="n">
        <v>223</v>
      </c>
      <c r="BU156" s="318" t="b">
        <f aca="false">FALSE()</f>
        <v>0</v>
      </c>
      <c r="BV156" s="3" t="e">
        <f aca="false">xlookup(MID($A156,7,50),$A$2:$A$139,$BV$2:$BV$139,,0,1)</f>
        <v>#NAME?</v>
      </c>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t="s">
        <v>921</v>
      </c>
      <c r="CW156" s="3" t="s">
        <v>922</v>
      </c>
      <c r="CX156" s="3" t="s">
        <v>923</v>
      </c>
      <c r="CY156" s="3" t="s">
        <v>924</v>
      </c>
      <c r="CZ156" s="3" t="s">
        <v>925</v>
      </c>
    </row>
    <row r="157" customFormat="false" ht="15.75" hidden="false" customHeight="false" outlineLevel="0" collapsed="false">
      <c r="A157" s="309" t="s">
        <v>1328</v>
      </c>
      <c r="B157" s="309" t="s">
        <v>1329</v>
      </c>
      <c r="C157" s="309" t="s">
        <v>1330</v>
      </c>
      <c r="D157" s="309" t="s">
        <v>1331</v>
      </c>
      <c r="E157" s="309" t="s">
        <v>1332</v>
      </c>
      <c r="F157" s="318" t="b">
        <f aca="false">TRUE()</f>
        <v>1</v>
      </c>
      <c r="G157" s="309" t="s">
        <v>782</v>
      </c>
      <c r="H157" s="309" t="s">
        <v>1329</v>
      </c>
      <c r="I157" s="312" t="n">
        <v>-1</v>
      </c>
      <c r="J157" s="3"/>
      <c r="K157" s="309" t="s">
        <v>773</v>
      </c>
      <c r="L157" s="312" t="n">
        <v>1</v>
      </c>
      <c r="M157" s="309" t="s">
        <v>783</v>
      </c>
      <c r="N157" s="309" t="s">
        <v>743</v>
      </c>
      <c r="O157" s="309" t="s">
        <v>744</v>
      </c>
      <c r="P157" s="309" t="s">
        <v>745</v>
      </c>
      <c r="Q157" s="309" t="s">
        <v>746</v>
      </c>
      <c r="R157" s="318" t="b">
        <f aca="false">FALSE()</f>
        <v>0</v>
      </c>
      <c r="S157" s="312" t="n">
        <v>75</v>
      </c>
      <c r="T157" s="312" t="n">
        <v>70</v>
      </c>
      <c r="U157" s="312" t="n">
        <v>70</v>
      </c>
      <c r="V157" s="312" t="n">
        <v>70</v>
      </c>
      <c r="W157" s="312" t="n">
        <v>100</v>
      </c>
      <c r="X157" s="312" t="n">
        <v>100</v>
      </c>
      <c r="Y157" s="312" t="n">
        <v>0.4</v>
      </c>
      <c r="Z157" s="312" t="n">
        <v>0.63</v>
      </c>
      <c r="AA157" s="312" t="n">
        <v>10</v>
      </c>
      <c r="AB157" s="312" t="n">
        <v>1010</v>
      </c>
      <c r="AC157" s="309" t="s">
        <v>836</v>
      </c>
      <c r="AD157" s="309" t="s">
        <v>182</v>
      </c>
      <c r="AE157" s="312" t="n">
        <v>20</v>
      </c>
      <c r="AF157" s="312" t="n">
        <v>40</v>
      </c>
      <c r="AG157" s="312" t="n">
        <v>400</v>
      </c>
      <c r="AH157" s="312" t="n">
        <v>550</v>
      </c>
      <c r="AI157" s="312" t="n">
        <v>250</v>
      </c>
      <c r="AJ157" s="318" t="b">
        <f aca="false">TRUE()</f>
        <v>1</v>
      </c>
      <c r="AK157" s="318" t="b">
        <f aca="false">FALSE()</f>
        <v>0</v>
      </c>
      <c r="AL157" s="309" t="s">
        <v>1247</v>
      </c>
      <c r="AM157" s="318" t="b">
        <f aca="false">FALSE()</f>
        <v>0</v>
      </c>
      <c r="AN157" s="318" t="b">
        <f aca="false">FALSE()</f>
        <v>0</v>
      </c>
      <c r="AO157" s="312" t="n">
        <v>100</v>
      </c>
      <c r="AP157" s="312" t="n">
        <v>1</v>
      </c>
      <c r="AQ157" s="312" t="n">
        <v>1</v>
      </c>
      <c r="AR157" s="312" t="n">
        <v>25</v>
      </c>
      <c r="AS157" s="312" t="n">
        <v>90</v>
      </c>
      <c r="AT157" s="312" t="n">
        <v>1</v>
      </c>
      <c r="AU157" s="318" t="b">
        <f aca="false">FALSE()</f>
        <v>0</v>
      </c>
      <c r="AV157" s="318" t="b">
        <f aca="false">FALSE()</f>
        <v>0</v>
      </c>
      <c r="AW157" s="312" t="n">
        <v>9</v>
      </c>
      <c r="AX157" s="318" t="b">
        <f aca="false">FALSE()</f>
        <v>0</v>
      </c>
      <c r="AY157" s="318" t="b">
        <f aca="false">TRUE()</f>
        <v>1</v>
      </c>
      <c r="AZ157" s="312" t="n">
        <v>100</v>
      </c>
      <c r="BA157" s="312" t="n">
        <v>50</v>
      </c>
      <c r="BB157" s="312" t="n">
        <v>1430</v>
      </c>
      <c r="BC157" s="312" t="n">
        <v>0</v>
      </c>
      <c r="BD157" s="312" t="n">
        <v>0</v>
      </c>
      <c r="BE157" s="312" t="n">
        <v>1</v>
      </c>
      <c r="BF157" s="312" t="n">
        <v>0</v>
      </c>
      <c r="BG157" s="312" t="n">
        <v>1</v>
      </c>
      <c r="BH157" s="312" t="n">
        <v>1</v>
      </c>
      <c r="BI157" s="312" t="n">
        <v>1</v>
      </c>
      <c r="BJ157" s="312" t="n">
        <v>0</v>
      </c>
      <c r="BK157" s="312" t="n">
        <v>0</v>
      </c>
      <c r="BL157" s="312" t="n">
        <v>1</v>
      </c>
      <c r="BM157" s="312" t="n">
        <v>0</v>
      </c>
      <c r="BN157" s="312" t="n">
        <v>0</v>
      </c>
      <c r="BO157" s="312" t="n">
        <v>0</v>
      </c>
      <c r="BP157" s="309" t="s">
        <v>182</v>
      </c>
      <c r="BQ157" s="309" t="s">
        <v>182</v>
      </c>
      <c r="BR157" s="309" t="s">
        <v>182</v>
      </c>
      <c r="BS157" s="309" t="s">
        <v>182</v>
      </c>
      <c r="BT157" s="312" t="n">
        <v>224</v>
      </c>
      <c r="BU157" s="318" t="b">
        <f aca="false">FALSE()</f>
        <v>0</v>
      </c>
      <c r="BV157" s="3" t="e">
        <f aca="false">xlookup(MID($A157,7,50),$A$2:$A$139,$BV$2:$BV$139,,0,1)</f>
        <v>#NAME?</v>
      </c>
      <c r="BW157" s="3"/>
      <c r="BX157" s="85" t="n">
        <v>11</v>
      </c>
      <c r="BY157" s="3" t="s">
        <v>785</v>
      </c>
      <c r="BZ157" s="3" t="s">
        <v>786</v>
      </c>
      <c r="CA157" s="3" t="s">
        <v>787</v>
      </c>
      <c r="CB157" s="85" t="n">
        <v>10</v>
      </c>
      <c r="CC157" s="85" t="n">
        <v>11</v>
      </c>
      <c r="CD157" s="85" t="n">
        <v>13</v>
      </c>
      <c r="CE157" s="85" t="n">
        <v>16</v>
      </c>
      <c r="CF157" s="85" t="n">
        <v>20</v>
      </c>
      <c r="CG157" s="3"/>
      <c r="CH157" s="3"/>
      <c r="CI157" s="3"/>
      <c r="CJ157" s="3"/>
      <c r="CK157" s="3"/>
      <c r="CL157" s="3"/>
      <c r="CM157" s="3"/>
      <c r="CN157" s="3"/>
      <c r="CO157" s="3"/>
      <c r="CP157" s="3"/>
      <c r="CQ157" s="3"/>
      <c r="CR157" s="3"/>
      <c r="CS157" s="3"/>
      <c r="CT157" s="3"/>
      <c r="CU157" s="3"/>
      <c r="CV157" s="3"/>
      <c r="CW157" s="3"/>
      <c r="CX157" s="3"/>
      <c r="CY157" s="3"/>
      <c r="CZ157" s="3"/>
    </row>
    <row r="158" customFormat="false" ht="15.75" hidden="false" customHeight="false" outlineLevel="0" collapsed="false">
      <c r="A158" s="309" t="s">
        <v>1333</v>
      </c>
      <c r="B158" s="309" t="s">
        <v>1334</v>
      </c>
      <c r="C158" s="309" t="s">
        <v>1335</v>
      </c>
      <c r="D158" s="309" t="s">
        <v>1336</v>
      </c>
      <c r="E158" s="309" t="s">
        <v>1337</v>
      </c>
      <c r="F158" s="318" t="b">
        <f aca="false">TRUE()</f>
        <v>1</v>
      </c>
      <c r="G158" s="309" t="s">
        <v>1115</v>
      </c>
      <c r="H158" s="309" t="s">
        <v>1334</v>
      </c>
      <c r="I158" s="312" t="n">
        <v>-1</v>
      </c>
      <c r="J158" s="3"/>
      <c r="K158" s="309" t="s">
        <v>884</v>
      </c>
      <c r="L158" s="312" t="n">
        <v>5</v>
      </c>
      <c r="M158" s="309" t="s">
        <v>758</v>
      </c>
      <c r="N158" s="309" t="s">
        <v>743</v>
      </c>
      <c r="O158" s="309" t="s">
        <v>744</v>
      </c>
      <c r="P158" s="309" t="s">
        <v>745</v>
      </c>
      <c r="Q158" s="309" t="s">
        <v>746</v>
      </c>
      <c r="R158" s="318" t="b">
        <f aca="false">FALSE()</f>
        <v>0</v>
      </c>
      <c r="S158" s="312" t="n">
        <v>95</v>
      </c>
      <c r="T158" s="312" t="n">
        <v>100</v>
      </c>
      <c r="U158" s="312" t="n">
        <v>95</v>
      </c>
      <c r="V158" s="312" t="n">
        <v>80</v>
      </c>
      <c r="W158" s="312" t="n">
        <v>100</v>
      </c>
      <c r="X158" s="312" t="n">
        <v>100</v>
      </c>
      <c r="Y158" s="312" t="n">
        <v>0.4</v>
      </c>
      <c r="Z158" s="312" t="n">
        <v>0.7</v>
      </c>
      <c r="AA158" s="312" t="n">
        <v>10</v>
      </c>
      <c r="AB158" s="312" t="n">
        <v>3810</v>
      </c>
      <c r="AC158" s="309" t="s">
        <v>1253</v>
      </c>
      <c r="AD158" s="309" t="s">
        <v>182</v>
      </c>
      <c r="AE158" s="312" t="n">
        <v>80</v>
      </c>
      <c r="AF158" s="312" t="n">
        <v>140</v>
      </c>
      <c r="AG158" s="312" t="n">
        <v>400</v>
      </c>
      <c r="AH158" s="312" t="n">
        <v>550</v>
      </c>
      <c r="AI158" s="312" t="n">
        <v>270</v>
      </c>
      <c r="AJ158" s="318" t="b">
        <f aca="false">TRUE()</f>
        <v>1</v>
      </c>
      <c r="AK158" s="318" t="b">
        <f aca="false">FALSE()</f>
        <v>0</v>
      </c>
      <c r="AL158" s="309" t="s">
        <v>1247</v>
      </c>
      <c r="AM158" s="318" t="b">
        <f aca="false">FALSE()</f>
        <v>0</v>
      </c>
      <c r="AN158" s="318" t="b">
        <f aca="false">FALSE()</f>
        <v>0</v>
      </c>
      <c r="AO158" s="312" t="n">
        <v>350</v>
      </c>
      <c r="AP158" s="312" t="n">
        <v>1</v>
      </c>
      <c r="AQ158" s="312" t="n">
        <v>5</v>
      </c>
      <c r="AR158" s="312" t="n">
        <v>25</v>
      </c>
      <c r="AS158" s="312" t="n">
        <v>90</v>
      </c>
      <c r="AT158" s="312" t="n">
        <v>1</v>
      </c>
      <c r="AU158" s="318" t="b">
        <f aca="false">FALSE()</f>
        <v>0</v>
      </c>
      <c r="AV158" s="318" t="b">
        <f aca="false">TRUE()</f>
        <v>1</v>
      </c>
      <c r="AW158" s="312" t="n">
        <v>9</v>
      </c>
      <c r="AX158" s="318" t="b">
        <f aca="false">FALSE()</f>
        <v>0</v>
      </c>
      <c r="AY158" s="318" t="b">
        <f aca="false">TRUE()</f>
        <v>1</v>
      </c>
      <c r="AZ158" s="312" t="n">
        <v>100</v>
      </c>
      <c r="BA158" s="312" t="n">
        <v>50</v>
      </c>
      <c r="BB158" s="312" t="n">
        <v>750</v>
      </c>
      <c r="BC158" s="312" t="n">
        <v>0</v>
      </c>
      <c r="BD158" s="312" t="n">
        <v>0</v>
      </c>
      <c r="BE158" s="312" t="n">
        <v>0</v>
      </c>
      <c r="BF158" s="312" t="n">
        <v>0</v>
      </c>
      <c r="BG158" s="312" t="n">
        <v>0</v>
      </c>
      <c r="BH158" s="312" t="n">
        <v>2</v>
      </c>
      <c r="BI158" s="312" t="n">
        <v>0</v>
      </c>
      <c r="BJ158" s="312" t="n">
        <v>2</v>
      </c>
      <c r="BK158" s="312" t="n">
        <v>0</v>
      </c>
      <c r="BL158" s="312" t="n">
        <v>0</v>
      </c>
      <c r="BM158" s="312" t="n">
        <v>0</v>
      </c>
      <c r="BN158" s="312" t="n">
        <v>2</v>
      </c>
      <c r="BO158" s="312" t="n">
        <v>0</v>
      </c>
      <c r="BP158" s="309" t="s">
        <v>182</v>
      </c>
      <c r="BQ158" s="309" t="s">
        <v>182</v>
      </c>
      <c r="BR158" s="309" t="s">
        <v>182</v>
      </c>
      <c r="BS158" s="309" t="s">
        <v>182</v>
      </c>
      <c r="BT158" s="312" t="n">
        <v>225</v>
      </c>
      <c r="BU158" s="318" t="b">
        <f aca="false">FALSE()</f>
        <v>0</v>
      </c>
      <c r="BV158" s="3" t="e">
        <f aca="false">xlookup(MID($A158,7,50),$A$2:$A$139,$BV$2:$BV$139,,0,1)</f>
        <v>#NAME?</v>
      </c>
      <c r="BW158" s="3"/>
      <c r="BX158" s="3"/>
      <c r="BY158" s="3"/>
      <c r="BZ158" s="3"/>
      <c r="CA158" s="3" t="s">
        <v>1116</v>
      </c>
      <c r="CB158" s="85" t="n">
        <v>10000</v>
      </c>
      <c r="CC158" s="85" t="n">
        <v>11000</v>
      </c>
      <c r="CD158" s="85" t="n">
        <v>13000</v>
      </c>
      <c r="CE158" s="85" t="n">
        <v>16000</v>
      </c>
      <c r="CF158" s="85" t="n">
        <v>20000</v>
      </c>
      <c r="CG158" s="3"/>
      <c r="CH158" s="3"/>
      <c r="CI158" s="3"/>
      <c r="CJ158" s="3"/>
      <c r="CK158" s="3"/>
      <c r="CL158" s="3"/>
      <c r="CM158" s="3"/>
      <c r="CN158" s="3"/>
      <c r="CO158" s="3"/>
      <c r="CP158" s="3"/>
      <c r="CQ158" s="3"/>
      <c r="CR158" s="3"/>
      <c r="CS158" s="3"/>
      <c r="CT158" s="3"/>
      <c r="CU158" s="3"/>
      <c r="CV158" s="3"/>
      <c r="CW158" s="3"/>
      <c r="CX158" s="3"/>
      <c r="CY158" s="3"/>
      <c r="CZ158" s="3"/>
    </row>
    <row r="159" customFormat="false" ht="15.75" hidden="false" customHeight="false" outlineLevel="0" collapsed="false">
      <c r="A159" s="309" t="s">
        <v>1338</v>
      </c>
      <c r="B159" s="309" t="s">
        <v>1339</v>
      </c>
      <c r="C159" s="309" t="s">
        <v>1340</v>
      </c>
      <c r="D159" s="309" t="s">
        <v>1341</v>
      </c>
      <c r="E159" s="309" t="s">
        <v>1342</v>
      </c>
      <c r="F159" s="318" t="b">
        <f aca="false">TRUE()</f>
        <v>1</v>
      </c>
      <c r="G159" s="309" t="s">
        <v>438</v>
      </c>
      <c r="H159" s="309" t="s">
        <v>1339</v>
      </c>
      <c r="I159" s="312" t="n">
        <v>-1</v>
      </c>
      <c r="J159" s="3"/>
      <c r="K159" s="309" t="s">
        <v>884</v>
      </c>
      <c r="L159" s="312" t="n">
        <v>6</v>
      </c>
      <c r="M159" s="309" t="s">
        <v>758</v>
      </c>
      <c r="N159" s="309" t="s">
        <v>743</v>
      </c>
      <c r="O159" s="309" t="s">
        <v>744</v>
      </c>
      <c r="P159" s="309" t="s">
        <v>745</v>
      </c>
      <c r="Q159" s="309" t="s">
        <v>746</v>
      </c>
      <c r="R159" s="318" t="b">
        <f aca="false">FALSE()</f>
        <v>0</v>
      </c>
      <c r="S159" s="312" t="n">
        <v>90</v>
      </c>
      <c r="T159" s="312" t="n">
        <v>100</v>
      </c>
      <c r="U159" s="312" t="n">
        <v>105</v>
      </c>
      <c r="V159" s="312" t="n">
        <v>90</v>
      </c>
      <c r="W159" s="312" t="n">
        <v>100</v>
      </c>
      <c r="X159" s="312" t="n">
        <v>100</v>
      </c>
      <c r="Y159" s="312" t="n">
        <v>0.2</v>
      </c>
      <c r="Z159" s="312" t="n">
        <v>0.7</v>
      </c>
      <c r="AA159" s="312" t="n">
        <v>10</v>
      </c>
      <c r="AB159" s="312" t="n">
        <v>4120</v>
      </c>
      <c r="AC159" s="309" t="s">
        <v>1253</v>
      </c>
      <c r="AD159" s="309" t="s">
        <v>182</v>
      </c>
      <c r="AE159" s="312" t="n">
        <v>70</v>
      </c>
      <c r="AF159" s="312" t="n">
        <v>145</v>
      </c>
      <c r="AG159" s="312" t="n">
        <v>440</v>
      </c>
      <c r="AH159" s="312" t="n">
        <v>620</v>
      </c>
      <c r="AI159" s="312" t="n">
        <v>292</v>
      </c>
      <c r="AJ159" s="318" t="b">
        <f aca="false">TRUE()</f>
        <v>1</v>
      </c>
      <c r="AK159" s="318" t="b">
        <f aca="false">FALSE()</f>
        <v>0</v>
      </c>
      <c r="AL159" s="309" t="s">
        <v>1247</v>
      </c>
      <c r="AM159" s="318" t="b">
        <f aca="false">FALSE()</f>
        <v>0</v>
      </c>
      <c r="AN159" s="318" t="b">
        <f aca="false">FALSE()</f>
        <v>0</v>
      </c>
      <c r="AO159" s="312" t="n">
        <v>350</v>
      </c>
      <c r="AP159" s="312" t="n">
        <v>1</v>
      </c>
      <c r="AQ159" s="312" t="n">
        <v>5</v>
      </c>
      <c r="AR159" s="312" t="n">
        <v>25</v>
      </c>
      <c r="AS159" s="312" t="n">
        <v>90</v>
      </c>
      <c r="AT159" s="312" t="n">
        <v>1</v>
      </c>
      <c r="AU159" s="318" t="b">
        <f aca="false">FALSE()</f>
        <v>0</v>
      </c>
      <c r="AV159" s="318" t="b">
        <f aca="false">TRUE()</f>
        <v>1</v>
      </c>
      <c r="AW159" s="312" t="n">
        <v>9</v>
      </c>
      <c r="AX159" s="318" t="b">
        <f aca="false">FALSE()</f>
        <v>0</v>
      </c>
      <c r="AY159" s="318" t="b">
        <f aca="false">TRUE()</f>
        <v>1</v>
      </c>
      <c r="AZ159" s="312" t="n">
        <v>100</v>
      </c>
      <c r="BA159" s="312" t="n">
        <v>50</v>
      </c>
      <c r="BB159" s="312" t="n">
        <v>700</v>
      </c>
      <c r="BC159" s="312" t="n">
        <v>0</v>
      </c>
      <c r="BD159" s="312" t="n">
        <v>0</v>
      </c>
      <c r="BE159" s="312" t="n">
        <v>0</v>
      </c>
      <c r="BF159" s="312" t="n">
        <v>0</v>
      </c>
      <c r="BG159" s="312" t="n">
        <v>2</v>
      </c>
      <c r="BH159" s="312" t="n">
        <v>0</v>
      </c>
      <c r="BI159" s="312" t="n">
        <v>0</v>
      </c>
      <c r="BJ159" s="312" t="n">
        <v>0</v>
      </c>
      <c r="BK159" s="312" t="n">
        <v>0</v>
      </c>
      <c r="BL159" s="312" t="n">
        <v>2</v>
      </c>
      <c r="BM159" s="312" t="n">
        <v>0</v>
      </c>
      <c r="BN159" s="312" t="n">
        <v>2</v>
      </c>
      <c r="BO159" s="312" t="n">
        <v>0</v>
      </c>
      <c r="BP159" s="309" t="s">
        <v>182</v>
      </c>
      <c r="BQ159" s="309" t="s">
        <v>182</v>
      </c>
      <c r="BR159" s="309" t="s">
        <v>182</v>
      </c>
      <c r="BS159" s="309" t="s">
        <v>182</v>
      </c>
      <c r="BT159" s="312" t="n">
        <v>226</v>
      </c>
      <c r="BU159" s="318" t="b">
        <f aca="false">FALSE()</f>
        <v>0</v>
      </c>
      <c r="BV159" s="3" t="e">
        <f aca="false">xlookup(MID($A159,7,50),$A$2:$A$139,$BV$2:$BV$139,,0,1)</f>
        <v>#NAME?</v>
      </c>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t="s">
        <v>1151</v>
      </c>
      <c r="CW159" s="3" t="s">
        <v>1152</v>
      </c>
      <c r="CX159" s="3" t="s">
        <v>1153</v>
      </c>
      <c r="CY159" s="3" t="s">
        <v>1154</v>
      </c>
      <c r="CZ159" s="3" t="s">
        <v>1155</v>
      </c>
    </row>
    <row r="160" customFormat="false" ht="15.75" hidden="false" customHeight="false" outlineLevel="0" collapsed="false">
      <c r="A160" s="309" t="s">
        <v>1343</v>
      </c>
      <c r="B160" s="309" t="s">
        <v>1344</v>
      </c>
      <c r="C160" s="309" t="s">
        <v>1345</v>
      </c>
      <c r="D160" s="309" t="s">
        <v>1346</v>
      </c>
      <c r="E160" s="309" t="s">
        <v>1347</v>
      </c>
      <c r="F160" s="318" t="b">
        <f aca="false">TRUE()</f>
        <v>1</v>
      </c>
      <c r="G160" s="309" t="s">
        <v>464</v>
      </c>
      <c r="H160" s="309" t="s">
        <v>1344</v>
      </c>
      <c r="I160" s="312" t="n">
        <v>-1</v>
      </c>
      <c r="J160" s="3"/>
      <c r="K160" s="309" t="s">
        <v>884</v>
      </c>
      <c r="L160" s="312" t="n">
        <v>6</v>
      </c>
      <c r="M160" s="309" t="s">
        <v>758</v>
      </c>
      <c r="N160" s="309" t="s">
        <v>743</v>
      </c>
      <c r="O160" s="309" t="s">
        <v>744</v>
      </c>
      <c r="P160" s="309" t="s">
        <v>745</v>
      </c>
      <c r="Q160" s="309" t="s">
        <v>746</v>
      </c>
      <c r="R160" s="318" t="b">
        <f aca="false">FALSE()</f>
        <v>0</v>
      </c>
      <c r="S160" s="312" t="n">
        <v>100</v>
      </c>
      <c r="T160" s="312" t="n">
        <v>100</v>
      </c>
      <c r="U160" s="312" t="n">
        <v>105</v>
      </c>
      <c r="V160" s="312" t="n">
        <v>110</v>
      </c>
      <c r="W160" s="312" t="n">
        <v>110</v>
      </c>
      <c r="X160" s="312" t="n">
        <v>100</v>
      </c>
      <c r="Y160" s="312" t="n">
        <v>0.2</v>
      </c>
      <c r="Z160" s="312" t="n">
        <v>0.7</v>
      </c>
      <c r="AA160" s="312" t="n">
        <v>10</v>
      </c>
      <c r="AB160" s="312" t="n">
        <v>2100</v>
      </c>
      <c r="AC160" s="309" t="s">
        <v>1253</v>
      </c>
      <c r="AD160" s="309" t="s">
        <v>182</v>
      </c>
      <c r="AE160" s="312" t="n">
        <v>60</v>
      </c>
      <c r="AF160" s="312" t="n">
        <v>100</v>
      </c>
      <c r="AG160" s="312" t="n">
        <v>550</v>
      </c>
      <c r="AH160" s="312" t="n">
        <v>700</v>
      </c>
      <c r="AI160" s="312" t="n">
        <v>325</v>
      </c>
      <c r="AJ160" s="318" t="b">
        <f aca="false">TRUE()</f>
        <v>1</v>
      </c>
      <c r="AK160" s="318" t="b">
        <f aca="false">FALSE()</f>
        <v>0</v>
      </c>
      <c r="AL160" s="309" t="s">
        <v>1247</v>
      </c>
      <c r="AM160" s="318" t="b">
        <f aca="false">FALSE()</f>
        <v>0</v>
      </c>
      <c r="AN160" s="318" t="b">
        <f aca="false">FALSE()</f>
        <v>0</v>
      </c>
      <c r="AO160" s="312" t="n">
        <v>350</v>
      </c>
      <c r="AP160" s="312" t="n">
        <v>1</v>
      </c>
      <c r="AQ160" s="312" t="n">
        <v>5</v>
      </c>
      <c r="AR160" s="312" t="n">
        <v>25</v>
      </c>
      <c r="AS160" s="312" t="n">
        <v>90</v>
      </c>
      <c r="AT160" s="312" t="n">
        <v>1</v>
      </c>
      <c r="AU160" s="318" t="b">
        <f aca="false">FALSE()</f>
        <v>0</v>
      </c>
      <c r="AV160" s="318" t="b">
        <f aca="false">TRUE()</f>
        <v>1</v>
      </c>
      <c r="AW160" s="312" t="n">
        <v>9</v>
      </c>
      <c r="AX160" s="318" t="b">
        <f aca="false">FALSE()</f>
        <v>0</v>
      </c>
      <c r="AY160" s="318" t="b">
        <f aca="false">TRUE()</f>
        <v>1</v>
      </c>
      <c r="AZ160" s="312" t="n">
        <v>100</v>
      </c>
      <c r="BA160" s="312" t="n">
        <v>50</v>
      </c>
      <c r="BB160" s="312" t="n">
        <v>1010</v>
      </c>
      <c r="BC160" s="312" t="n">
        <v>0</v>
      </c>
      <c r="BD160" s="312" t="n">
        <v>0</v>
      </c>
      <c r="BE160" s="312" t="n">
        <v>0</v>
      </c>
      <c r="BF160" s="312" t="n">
        <v>0</v>
      </c>
      <c r="BG160" s="312" t="n">
        <v>0</v>
      </c>
      <c r="BH160" s="312" t="n">
        <v>0</v>
      </c>
      <c r="BI160" s="312" t="n">
        <v>0</v>
      </c>
      <c r="BJ160" s="312" t="n">
        <v>0</v>
      </c>
      <c r="BK160" s="312" t="n">
        <v>0</v>
      </c>
      <c r="BL160" s="312" t="n">
        <v>3</v>
      </c>
      <c r="BM160" s="312" t="n">
        <v>0</v>
      </c>
      <c r="BN160" s="312" t="n">
        <v>0</v>
      </c>
      <c r="BO160" s="312" t="n">
        <v>0</v>
      </c>
      <c r="BP160" s="309" t="s">
        <v>182</v>
      </c>
      <c r="BQ160" s="309" t="s">
        <v>182</v>
      </c>
      <c r="BR160" s="309" t="s">
        <v>182</v>
      </c>
      <c r="BS160" s="309" t="s">
        <v>182</v>
      </c>
      <c r="BT160" s="312" t="n">
        <v>227</v>
      </c>
      <c r="BU160" s="318" t="b">
        <f aca="false">FALSE()</f>
        <v>0</v>
      </c>
      <c r="BV160" s="3" t="e">
        <f aca="false">xlookup(MID($A160,7,50),$A$2:$A$139,$BV$2:$BV$139,,0,1)</f>
        <v>#NAME?</v>
      </c>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t="s">
        <v>1023</v>
      </c>
      <c r="CV160" s="3" t="s">
        <v>1024</v>
      </c>
      <c r="CW160" s="3" t="s">
        <v>1025</v>
      </c>
      <c r="CX160" s="3" t="s">
        <v>1026</v>
      </c>
      <c r="CY160" s="3" t="s">
        <v>1027</v>
      </c>
      <c r="CZ160" s="3" t="s">
        <v>1028</v>
      </c>
    </row>
    <row r="161" customFormat="false" ht="15.75" hidden="false" customHeight="false" outlineLevel="0" collapsed="false">
      <c r="A161" s="309" t="s">
        <v>1348</v>
      </c>
      <c r="B161" s="309" t="s">
        <v>1349</v>
      </c>
      <c r="C161" s="309" t="s">
        <v>1350</v>
      </c>
      <c r="D161" s="309" t="s">
        <v>1351</v>
      </c>
      <c r="E161" s="309" t="s">
        <v>1352</v>
      </c>
      <c r="F161" s="318" t="b">
        <f aca="false">TRUE()</f>
        <v>1</v>
      </c>
      <c r="G161" s="309" t="s">
        <v>986</v>
      </c>
      <c r="H161" s="309" t="s">
        <v>1349</v>
      </c>
      <c r="I161" s="312" t="n">
        <v>-1</v>
      </c>
      <c r="J161" s="3"/>
      <c r="K161" s="309" t="s">
        <v>741</v>
      </c>
      <c r="L161" s="312" t="n">
        <v>1</v>
      </c>
      <c r="M161" s="309" t="s">
        <v>789</v>
      </c>
      <c r="N161" s="309" t="s">
        <v>743</v>
      </c>
      <c r="O161" s="309" t="s">
        <v>790</v>
      </c>
      <c r="P161" s="309" t="s">
        <v>745</v>
      </c>
      <c r="Q161" s="309" t="s">
        <v>746</v>
      </c>
      <c r="R161" s="318" t="b">
        <f aca="false">FALSE()</f>
        <v>0</v>
      </c>
      <c r="S161" s="312" t="n">
        <v>60</v>
      </c>
      <c r="T161" s="312" t="n">
        <v>70</v>
      </c>
      <c r="U161" s="312" t="n">
        <v>60</v>
      </c>
      <c r="V161" s="312" t="n">
        <v>60</v>
      </c>
      <c r="W161" s="312" t="n">
        <v>100</v>
      </c>
      <c r="X161" s="312" t="n">
        <v>100</v>
      </c>
      <c r="Y161" s="312" t="n">
        <v>0.4</v>
      </c>
      <c r="Z161" s="312" t="n">
        <v>1.05</v>
      </c>
      <c r="AA161" s="312" t="n">
        <v>10</v>
      </c>
      <c r="AB161" s="312" t="n">
        <v>1000</v>
      </c>
      <c r="AC161" s="309" t="s">
        <v>836</v>
      </c>
      <c r="AD161" s="309" t="s">
        <v>182</v>
      </c>
      <c r="AE161" s="312" t="n">
        <v>50</v>
      </c>
      <c r="AF161" s="312" t="n">
        <v>50</v>
      </c>
      <c r="AG161" s="312" t="n">
        <v>375</v>
      </c>
      <c r="AH161" s="312" t="n">
        <v>550</v>
      </c>
      <c r="AI161" s="312" t="n">
        <v>212</v>
      </c>
      <c r="AJ161" s="318" t="b">
        <f aca="false">TRUE()</f>
        <v>1</v>
      </c>
      <c r="AK161" s="318" t="b">
        <f aca="false">FALSE()</f>
        <v>0</v>
      </c>
      <c r="AL161" s="309" t="s">
        <v>1247</v>
      </c>
      <c r="AM161" s="318" t="b">
        <f aca="false">FALSE()</f>
        <v>0</v>
      </c>
      <c r="AN161" s="318" t="b">
        <f aca="false">FALSE()</f>
        <v>0</v>
      </c>
      <c r="AO161" s="312" t="n">
        <v>100</v>
      </c>
      <c r="AP161" s="312" t="n">
        <v>1</v>
      </c>
      <c r="AQ161" s="312" t="n">
        <v>1</v>
      </c>
      <c r="AR161" s="312" t="n">
        <v>25</v>
      </c>
      <c r="AS161" s="312" t="n">
        <v>90</v>
      </c>
      <c r="AT161" s="312" t="n">
        <v>1</v>
      </c>
      <c r="AU161" s="318" t="b">
        <f aca="false">FALSE()</f>
        <v>0</v>
      </c>
      <c r="AV161" s="318" t="b">
        <f aca="false">FALSE()</f>
        <v>0</v>
      </c>
      <c r="AW161" s="312" t="n">
        <v>9</v>
      </c>
      <c r="AX161" s="318" t="b">
        <f aca="false">FALSE()</f>
        <v>0</v>
      </c>
      <c r="AY161" s="318" t="b">
        <f aca="false">TRUE()</f>
        <v>1</v>
      </c>
      <c r="AZ161" s="312" t="n">
        <v>100</v>
      </c>
      <c r="BA161" s="312" t="n">
        <v>50</v>
      </c>
      <c r="BB161" s="312" t="n">
        <v>1500</v>
      </c>
      <c r="BC161" s="312" t="n">
        <v>0</v>
      </c>
      <c r="BD161" s="312" t="n">
        <v>0</v>
      </c>
      <c r="BE161" s="312" t="n">
        <v>0</v>
      </c>
      <c r="BF161" s="312" t="n">
        <v>0</v>
      </c>
      <c r="BG161" s="312" t="n">
        <v>0</v>
      </c>
      <c r="BH161" s="312" t="n">
        <v>1</v>
      </c>
      <c r="BI161" s="312" t="n">
        <v>0</v>
      </c>
      <c r="BJ161" s="312" t="n">
        <v>0</v>
      </c>
      <c r="BK161" s="312" t="n">
        <v>0</v>
      </c>
      <c r="BL161" s="312" t="n">
        <v>0</v>
      </c>
      <c r="BM161" s="312" t="n">
        <v>0</v>
      </c>
      <c r="BN161" s="312" t="n">
        <v>0</v>
      </c>
      <c r="BO161" s="312" t="n">
        <v>1</v>
      </c>
      <c r="BP161" s="309" t="s">
        <v>182</v>
      </c>
      <c r="BQ161" s="309" t="s">
        <v>182</v>
      </c>
      <c r="BR161" s="309" t="s">
        <v>182</v>
      </c>
      <c r="BS161" s="309" t="s">
        <v>182</v>
      </c>
      <c r="BT161" s="312" t="n">
        <v>228</v>
      </c>
      <c r="BU161" s="318" t="b">
        <f aca="false">FALSE()</f>
        <v>0</v>
      </c>
      <c r="BV161" s="3" t="e">
        <f aca="false">xlookup(MID($A161,7,50),$A$2:$A$139,$BV$2:$BV$139,,0,1)</f>
        <v>#NAME?</v>
      </c>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t="s">
        <v>987</v>
      </c>
      <c r="CW161" s="3" t="s">
        <v>988</v>
      </c>
      <c r="CX161" s="3" t="s">
        <v>989</v>
      </c>
      <c r="CY161" s="3" t="s">
        <v>990</v>
      </c>
      <c r="CZ161" s="3" t="s">
        <v>991</v>
      </c>
    </row>
    <row r="162" customFormat="false" ht="15.75" hidden="false" customHeight="false" outlineLevel="0" collapsed="false">
      <c r="A162" s="309" t="s">
        <v>1353</v>
      </c>
      <c r="B162" s="309" t="s">
        <v>1354</v>
      </c>
      <c r="C162" s="309" t="s">
        <v>1355</v>
      </c>
      <c r="D162" s="309" t="s">
        <v>1356</v>
      </c>
      <c r="E162" s="309" t="s">
        <v>1357</v>
      </c>
      <c r="F162" s="318" t="b">
        <f aca="false">TRUE()</f>
        <v>1</v>
      </c>
      <c r="G162" s="309" t="s">
        <v>788</v>
      </c>
      <c r="H162" s="309" t="s">
        <v>1354</v>
      </c>
      <c r="I162" s="312" t="n">
        <v>-1</v>
      </c>
      <c r="J162" s="3"/>
      <c r="K162" s="309" t="s">
        <v>884</v>
      </c>
      <c r="L162" s="312" t="n">
        <v>1</v>
      </c>
      <c r="M162" s="309" t="s">
        <v>789</v>
      </c>
      <c r="N162" s="309" t="s">
        <v>743</v>
      </c>
      <c r="O162" s="309" t="s">
        <v>790</v>
      </c>
      <c r="P162" s="309" t="s">
        <v>745</v>
      </c>
      <c r="Q162" s="309" t="s">
        <v>746</v>
      </c>
      <c r="R162" s="318" t="b">
        <f aca="false">FALSE()</f>
        <v>0</v>
      </c>
      <c r="S162" s="312" t="n">
        <v>60</v>
      </c>
      <c r="T162" s="312" t="n">
        <v>80</v>
      </c>
      <c r="U162" s="312" t="n">
        <v>75</v>
      </c>
      <c r="V162" s="312" t="n">
        <v>70</v>
      </c>
      <c r="W162" s="312" t="n">
        <v>100</v>
      </c>
      <c r="X162" s="312" t="n">
        <v>100</v>
      </c>
      <c r="Y162" s="312" t="n">
        <v>0.4</v>
      </c>
      <c r="Z162" s="312" t="n">
        <v>0.7</v>
      </c>
      <c r="AA162" s="312" t="n">
        <v>10</v>
      </c>
      <c r="AB162" s="312" t="n">
        <v>1090</v>
      </c>
      <c r="AC162" s="309" t="s">
        <v>1253</v>
      </c>
      <c r="AD162" s="309" t="s">
        <v>182</v>
      </c>
      <c r="AE162" s="312" t="n">
        <v>30</v>
      </c>
      <c r="AF162" s="312" t="n">
        <v>60</v>
      </c>
      <c r="AG162" s="312" t="n">
        <v>300</v>
      </c>
      <c r="AH162" s="312" t="n">
        <v>550</v>
      </c>
      <c r="AI162" s="312" t="n">
        <v>170</v>
      </c>
      <c r="AJ162" s="318" t="b">
        <f aca="false">TRUE()</f>
        <v>1</v>
      </c>
      <c r="AK162" s="318" t="b">
        <f aca="false">FALSE()</f>
        <v>0</v>
      </c>
      <c r="AL162" s="309" t="s">
        <v>1247</v>
      </c>
      <c r="AM162" s="318" t="b">
        <f aca="false">FALSE()</f>
        <v>0</v>
      </c>
      <c r="AN162" s="318" t="b">
        <f aca="false">FALSE()</f>
        <v>0</v>
      </c>
      <c r="AO162" s="312" t="n">
        <v>150</v>
      </c>
      <c r="AP162" s="312" t="n">
        <v>1</v>
      </c>
      <c r="AQ162" s="312" t="n">
        <v>2</v>
      </c>
      <c r="AR162" s="312" t="n">
        <v>25</v>
      </c>
      <c r="AS162" s="312" t="n">
        <v>90</v>
      </c>
      <c r="AT162" s="312" t="n">
        <v>1</v>
      </c>
      <c r="AU162" s="318" t="b">
        <f aca="false">FALSE()</f>
        <v>0</v>
      </c>
      <c r="AV162" s="318" t="b">
        <f aca="false">FALSE()</f>
        <v>0</v>
      </c>
      <c r="AW162" s="312" t="n">
        <v>9</v>
      </c>
      <c r="AX162" s="318" t="b">
        <f aca="false">TRUE()</f>
        <v>1</v>
      </c>
      <c r="AY162" s="318" t="b">
        <f aca="false">TRUE()</f>
        <v>1</v>
      </c>
      <c r="AZ162" s="312" t="n">
        <v>100</v>
      </c>
      <c r="BA162" s="312" t="n">
        <v>50</v>
      </c>
      <c r="BB162" s="312" t="n">
        <v>1340</v>
      </c>
      <c r="BC162" s="312" t="n">
        <v>0</v>
      </c>
      <c r="BD162" s="312" t="n">
        <v>0</v>
      </c>
      <c r="BE162" s="312" t="n">
        <v>0</v>
      </c>
      <c r="BF162" s="312" t="n">
        <v>0</v>
      </c>
      <c r="BG162" s="312" t="n">
        <v>0</v>
      </c>
      <c r="BH162" s="312" t="n">
        <v>1</v>
      </c>
      <c r="BI162" s="312" t="n">
        <v>0</v>
      </c>
      <c r="BJ162" s="312" t="n">
        <v>0</v>
      </c>
      <c r="BK162" s="312" t="n">
        <v>0</v>
      </c>
      <c r="BL162" s="312" t="n">
        <v>0</v>
      </c>
      <c r="BM162" s="312" t="n">
        <v>0</v>
      </c>
      <c r="BN162" s="312" t="n">
        <v>0</v>
      </c>
      <c r="BO162" s="312" t="n">
        <v>0</v>
      </c>
      <c r="BP162" s="309" t="s">
        <v>182</v>
      </c>
      <c r="BQ162" s="309" t="s">
        <v>182</v>
      </c>
      <c r="BR162" s="309" t="s">
        <v>182</v>
      </c>
      <c r="BS162" s="309" t="s">
        <v>182</v>
      </c>
      <c r="BT162" s="312" t="n">
        <v>229</v>
      </c>
      <c r="BU162" s="318" t="b">
        <f aca="false">FALSE()</f>
        <v>0</v>
      </c>
      <c r="BV162" s="3" t="e">
        <f aca="false">xlookup(MID($A162,7,50),$A$2:$A$139,$BV$2:$BV$139,,0,1)</f>
        <v>#NAME?</v>
      </c>
      <c r="BW162" s="3"/>
      <c r="BX162" s="85" t="n">
        <v>18</v>
      </c>
      <c r="BY162" s="3" t="s">
        <v>791</v>
      </c>
      <c r="BZ162" s="3"/>
      <c r="CA162" s="3" t="s">
        <v>792</v>
      </c>
      <c r="CB162" s="85" t="n">
        <v>100</v>
      </c>
      <c r="CC162" s="85" t="n">
        <v>110</v>
      </c>
      <c r="CD162" s="85" t="n">
        <v>130</v>
      </c>
      <c r="CE162" s="85" t="n">
        <v>160</v>
      </c>
      <c r="CF162" s="85" t="n">
        <v>200</v>
      </c>
      <c r="CG162" s="3"/>
      <c r="CH162" s="3"/>
      <c r="CI162" s="3"/>
      <c r="CJ162" s="3"/>
      <c r="CK162" s="3"/>
      <c r="CL162" s="3"/>
      <c r="CM162" s="3"/>
      <c r="CN162" s="3"/>
      <c r="CO162" s="3"/>
      <c r="CP162" s="3"/>
      <c r="CQ162" s="3"/>
      <c r="CR162" s="3"/>
      <c r="CS162" s="3"/>
      <c r="CT162" s="3"/>
      <c r="CU162" s="3"/>
      <c r="CV162" s="3"/>
      <c r="CW162" s="3"/>
      <c r="CX162" s="3"/>
      <c r="CY162" s="3"/>
      <c r="CZ162" s="3"/>
    </row>
    <row r="163" customFormat="false" ht="15.75" hidden="false" customHeight="false" outlineLevel="0" collapsed="false">
      <c r="A163" s="309" t="s">
        <v>1358</v>
      </c>
      <c r="B163" s="309" t="s">
        <v>1359</v>
      </c>
      <c r="C163" s="309" t="s">
        <v>1360</v>
      </c>
      <c r="D163" s="309" t="s">
        <v>1361</v>
      </c>
      <c r="E163" s="309" t="s">
        <v>1362</v>
      </c>
      <c r="F163" s="318" t="b">
        <f aca="false">TRUE()</f>
        <v>1</v>
      </c>
      <c r="G163" s="309" t="s">
        <v>1076</v>
      </c>
      <c r="H163" s="309" t="s">
        <v>1359</v>
      </c>
      <c r="I163" s="312" t="n">
        <v>-1</v>
      </c>
      <c r="J163" s="3"/>
      <c r="K163" s="309" t="s">
        <v>741</v>
      </c>
      <c r="L163" s="312" t="n">
        <v>2</v>
      </c>
      <c r="M163" s="309" t="s">
        <v>789</v>
      </c>
      <c r="N163" s="309" t="s">
        <v>743</v>
      </c>
      <c r="O163" s="309" t="s">
        <v>763</v>
      </c>
      <c r="P163" s="309" t="s">
        <v>745</v>
      </c>
      <c r="Q163" s="309" t="s">
        <v>746</v>
      </c>
      <c r="R163" s="318" t="b">
        <f aca="false">FALSE()</f>
        <v>0</v>
      </c>
      <c r="S163" s="312" t="n">
        <v>90</v>
      </c>
      <c r="T163" s="312" t="n">
        <v>100</v>
      </c>
      <c r="U163" s="312" t="n">
        <v>50</v>
      </c>
      <c r="V163" s="312" t="n">
        <v>80</v>
      </c>
      <c r="W163" s="312" t="n">
        <v>100</v>
      </c>
      <c r="X163" s="312" t="n">
        <v>100</v>
      </c>
      <c r="Y163" s="312" t="n">
        <v>0.2</v>
      </c>
      <c r="Z163" s="312" t="n">
        <v>0.7</v>
      </c>
      <c r="AA163" s="312" t="n">
        <v>10</v>
      </c>
      <c r="AB163" s="312" t="n">
        <v>2620</v>
      </c>
      <c r="AC163" s="309" t="s">
        <v>836</v>
      </c>
      <c r="AD163" s="309" t="s">
        <v>182</v>
      </c>
      <c r="AE163" s="312" t="n">
        <v>55</v>
      </c>
      <c r="AF163" s="312" t="n">
        <v>55</v>
      </c>
      <c r="AG163" s="312" t="n">
        <v>580</v>
      </c>
      <c r="AH163" s="312" t="n">
        <v>700</v>
      </c>
      <c r="AI163" s="312" t="n">
        <v>317</v>
      </c>
      <c r="AJ163" s="318" t="b">
        <f aca="false">TRUE()</f>
        <v>1</v>
      </c>
      <c r="AK163" s="318" t="b">
        <f aca="false">FALSE()</f>
        <v>0</v>
      </c>
      <c r="AL163" s="309" t="s">
        <v>1247</v>
      </c>
      <c r="AM163" s="318" t="b">
        <f aca="false">FALSE()</f>
        <v>0</v>
      </c>
      <c r="AN163" s="318" t="b">
        <f aca="false">FALSE()</f>
        <v>0</v>
      </c>
      <c r="AO163" s="312" t="n">
        <v>225</v>
      </c>
      <c r="AP163" s="312" t="n">
        <v>1</v>
      </c>
      <c r="AQ163" s="312" t="n">
        <v>3</v>
      </c>
      <c r="AR163" s="312" t="n">
        <v>25</v>
      </c>
      <c r="AS163" s="312" t="n">
        <v>90</v>
      </c>
      <c r="AT163" s="312" t="n">
        <v>1</v>
      </c>
      <c r="AU163" s="318" t="b">
        <f aca="false">FALSE()</f>
        <v>0</v>
      </c>
      <c r="AV163" s="318" t="b">
        <f aca="false">FALSE()</f>
        <v>0</v>
      </c>
      <c r="AW163" s="312" t="n">
        <v>9</v>
      </c>
      <c r="AX163" s="318" t="b">
        <f aca="false">FALSE()</f>
        <v>0</v>
      </c>
      <c r="AY163" s="318" t="b">
        <f aca="false">TRUE()</f>
        <v>1</v>
      </c>
      <c r="AZ163" s="312" t="n">
        <v>100</v>
      </c>
      <c r="BA163" s="312" t="n">
        <v>20</v>
      </c>
      <c r="BB163" s="312" t="n">
        <v>910</v>
      </c>
      <c r="BC163" s="312" t="n">
        <v>0</v>
      </c>
      <c r="BD163" s="312" t="n">
        <v>0</v>
      </c>
      <c r="BE163" s="312" t="n">
        <v>0</v>
      </c>
      <c r="BF163" s="312" t="n">
        <v>0</v>
      </c>
      <c r="BG163" s="312" t="n">
        <v>0</v>
      </c>
      <c r="BH163" s="312" t="n">
        <v>0</v>
      </c>
      <c r="BI163" s="312" t="n">
        <v>0</v>
      </c>
      <c r="BJ163" s="312" t="n">
        <v>0</v>
      </c>
      <c r="BK163" s="312" t="n">
        <v>0</v>
      </c>
      <c r="BL163" s="312" t="n">
        <v>0</v>
      </c>
      <c r="BM163" s="312" t="n">
        <v>0</v>
      </c>
      <c r="BN163" s="312" t="n">
        <v>0</v>
      </c>
      <c r="BO163" s="312" t="n">
        <v>1</v>
      </c>
      <c r="BP163" s="309" t="s">
        <v>182</v>
      </c>
      <c r="BQ163" s="309" t="s">
        <v>182</v>
      </c>
      <c r="BR163" s="309" t="s">
        <v>182</v>
      </c>
      <c r="BS163" s="309" t="s">
        <v>182</v>
      </c>
      <c r="BT163" s="312" t="n">
        <v>230</v>
      </c>
      <c r="BU163" s="318" t="b">
        <f aca="false">FALSE()</f>
        <v>0</v>
      </c>
      <c r="BV163" s="3" t="e">
        <f aca="false">xlookup(MID($A163,7,50),$A$2:$A$139,$BV$2:$BV$139,,0,1)</f>
        <v>#NAME?</v>
      </c>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t="s">
        <v>1077</v>
      </c>
      <c r="CW163" s="3" t="s">
        <v>1078</v>
      </c>
      <c r="CX163" s="3" t="s">
        <v>1079</v>
      </c>
      <c r="CY163" s="3" t="s">
        <v>1080</v>
      </c>
      <c r="CZ163" s="3" t="s">
        <v>1081</v>
      </c>
    </row>
    <row r="164" customFormat="false" ht="15.75" hidden="false" customHeight="false" outlineLevel="0" collapsed="false">
      <c r="A164" s="309" t="s">
        <v>1363</v>
      </c>
      <c r="B164" s="309" t="s">
        <v>1364</v>
      </c>
      <c r="C164" s="309" t="s">
        <v>1365</v>
      </c>
      <c r="D164" s="309" t="s">
        <v>1366</v>
      </c>
      <c r="E164" s="309" t="s">
        <v>1367</v>
      </c>
      <c r="F164" s="318" t="b">
        <f aca="false">TRUE()</f>
        <v>1</v>
      </c>
      <c r="G164" s="309" t="s">
        <v>1221</v>
      </c>
      <c r="H164" s="309" t="s">
        <v>1364</v>
      </c>
      <c r="I164" s="312" t="n">
        <v>-1</v>
      </c>
      <c r="J164" s="3"/>
      <c r="K164" s="309" t="s">
        <v>884</v>
      </c>
      <c r="L164" s="312" t="n">
        <v>4</v>
      </c>
      <c r="M164" s="309" t="s">
        <v>783</v>
      </c>
      <c r="N164" s="309" t="s">
        <v>743</v>
      </c>
      <c r="O164" s="309" t="s">
        <v>790</v>
      </c>
      <c r="P164" s="309" t="s">
        <v>745</v>
      </c>
      <c r="Q164" s="309" t="s">
        <v>746</v>
      </c>
      <c r="R164" s="318" t="b">
        <f aca="false">FALSE()</f>
        <v>0</v>
      </c>
      <c r="S164" s="312" t="n">
        <v>70</v>
      </c>
      <c r="T164" s="312" t="n">
        <v>100</v>
      </c>
      <c r="U164" s="312" t="n">
        <v>80</v>
      </c>
      <c r="V164" s="312" t="n">
        <v>80</v>
      </c>
      <c r="W164" s="312" t="n">
        <v>100</v>
      </c>
      <c r="X164" s="312" t="n">
        <v>100</v>
      </c>
      <c r="Y164" s="312" t="n">
        <v>0.2</v>
      </c>
      <c r="Z164" s="312" t="n">
        <v>0.7</v>
      </c>
      <c r="AA164" s="312" t="n">
        <v>10</v>
      </c>
      <c r="AB164" s="312" t="n">
        <v>5700</v>
      </c>
      <c r="AC164" s="309" t="s">
        <v>836</v>
      </c>
      <c r="AD164" s="309" t="s">
        <v>182</v>
      </c>
      <c r="AE164" s="312" t="n">
        <v>30</v>
      </c>
      <c r="AF164" s="312" t="n">
        <v>150</v>
      </c>
      <c r="AG164" s="312" t="n">
        <v>550</v>
      </c>
      <c r="AH164" s="312" t="n">
        <v>700</v>
      </c>
      <c r="AI164" s="312" t="n">
        <v>350</v>
      </c>
      <c r="AJ164" s="318" t="b">
        <f aca="false">TRUE()</f>
        <v>1</v>
      </c>
      <c r="AK164" s="318" t="b">
        <f aca="false">FALSE()</f>
        <v>0</v>
      </c>
      <c r="AL164" s="309" t="s">
        <v>1247</v>
      </c>
      <c r="AM164" s="318" t="b">
        <f aca="false">FALSE()</f>
        <v>0</v>
      </c>
      <c r="AN164" s="318" t="b">
        <f aca="false">FALSE()</f>
        <v>0</v>
      </c>
      <c r="AO164" s="312" t="n">
        <v>225</v>
      </c>
      <c r="AP164" s="312" t="n">
        <v>1</v>
      </c>
      <c r="AQ164" s="312" t="n">
        <v>3</v>
      </c>
      <c r="AR164" s="312" t="n">
        <v>25</v>
      </c>
      <c r="AS164" s="312" t="n">
        <v>90</v>
      </c>
      <c r="AT164" s="312" t="n">
        <v>1</v>
      </c>
      <c r="AU164" s="318" t="b">
        <f aca="false">FALSE()</f>
        <v>0</v>
      </c>
      <c r="AV164" s="318" t="b">
        <f aca="false">FALSE()</f>
        <v>0</v>
      </c>
      <c r="AW164" s="312" t="n">
        <v>9</v>
      </c>
      <c r="AX164" s="318" t="b">
        <f aca="false">FALSE()</f>
        <v>0</v>
      </c>
      <c r="AY164" s="318" t="b">
        <f aca="false">TRUE()</f>
        <v>1</v>
      </c>
      <c r="AZ164" s="312" t="n">
        <v>100</v>
      </c>
      <c r="BA164" s="312" t="n">
        <v>50</v>
      </c>
      <c r="BB164" s="312" t="n">
        <v>490</v>
      </c>
      <c r="BC164" s="312" t="n">
        <v>0</v>
      </c>
      <c r="BD164" s="312" t="n">
        <v>0</v>
      </c>
      <c r="BE164" s="312" t="n">
        <v>2</v>
      </c>
      <c r="BF164" s="312" t="n">
        <v>0</v>
      </c>
      <c r="BG164" s="312" t="n">
        <v>0</v>
      </c>
      <c r="BH164" s="312" t="n">
        <v>0</v>
      </c>
      <c r="BI164" s="312" t="n">
        <v>0</v>
      </c>
      <c r="BJ164" s="312" t="n">
        <v>0</v>
      </c>
      <c r="BK164" s="312" t="n">
        <v>0</v>
      </c>
      <c r="BL164" s="312" t="n">
        <v>1</v>
      </c>
      <c r="BM164" s="312" t="n">
        <v>0</v>
      </c>
      <c r="BN164" s="312" t="n">
        <v>0</v>
      </c>
      <c r="BO164" s="312" t="n">
        <v>0</v>
      </c>
      <c r="BP164" s="309" t="s">
        <v>182</v>
      </c>
      <c r="BQ164" s="309" t="s">
        <v>182</v>
      </c>
      <c r="BR164" s="309" t="s">
        <v>182</v>
      </c>
      <c r="BS164" s="309" t="s">
        <v>182</v>
      </c>
      <c r="BT164" s="312" t="n">
        <v>231</v>
      </c>
      <c r="BU164" s="318" t="b">
        <f aca="false">FALSE()</f>
        <v>0</v>
      </c>
      <c r="BV164" s="3" t="e">
        <f aca="false">xlookup(MID($A164,7,50),$A$2:$A$139,$BV$2:$BV$139,,0,1)</f>
        <v>#NAME?</v>
      </c>
      <c r="BW164" s="3"/>
      <c r="BX164" s="3"/>
      <c r="BY164" s="3"/>
      <c r="BZ164" s="3"/>
      <c r="CA164" s="3" t="s">
        <v>1222</v>
      </c>
      <c r="CB164" s="85" t="n">
        <v>1.1</v>
      </c>
      <c r="CC164" s="85" t="n">
        <v>1.3</v>
      </c>
      <c r="CD164" s="85" t="n">
        <v>1.6</v>
      </c>
      <c r="CE164" s="85" t="n">
        <v>2</v>
      </c>
      <c r="CF164" s="85" t="n">
        <v>2.5</v>
      </c>
      <c r="CG164" s="3"/>
      <c r="CH164" s="3"/>
      <c r="CI164" s="3"/>
      <c r="CJ164" s="3"/>
      <c r="CK164" s="3"/>
      <c r="CL164" s="3"/>
      <c r="CM164" s="3"/>
      <c r="CN164" s="3"/>
      <c r="CO164" s="3"/>
      <c r="CP164" s="3"/>
      <c r="CQ164" s="3"/>
      <c r="CR164" s="3"/>
      <c r="CS164" s="3"/>
      <c r="CT164" s="3"/>
      <c r="CU164" s="3"/>
      <c r="CV164" s="3"/>
      <c r="CW164" s="3"/>
      <c r="CX164" s="3"/>
      <c r="CY164" s="3"/>
      <c r="CZ164" s="3"/>
    </row>
    <row r="165" customFormat="false" ht="15.75" hidden="false" customHeight="false" outlineLevel="0" collapsed="false">
      <c r="A165" s="309" t="s">
        <v>1368</v>
      </c>
      <c r="B165" s="309" t="s">
        <v>1369</v>
      </c>
      <c r="C165" s="309" t="s">
        <v>1370</v>
      </c>
      <c r="D165" s="309" t="s">
        <v>1371</v>
      </c>
      <c r="E165" s="309" t="s">
        <v>1372</v>
      </c>
      <c r="F165" s="318" t="b">
        <f aca="false">TRUE()</f>
        <v>1</v>
      </c>
      <c r="G165" s="309" t="s">
        <v>1057</v>
      </c>
      <c r="H165" s="309" t="s">
        <v>1369</v>
      </c>
      <c r="I165" s="312" t="n">
        <v>-1</v>
      </c>
      <c r="J165" s="3"/>
      <c r="K165" s="309" t="s">
        <v>741</v>
      </c>
      <c r="L165" s="312" t="n">
        <v>2</v>
      </c>
      <c r="M165" s="309" t="s">
        <v>789</v>
      </c>
      <c r="N165" s="309" t="s">
        <v>743</v>
      </c>
      <c r="O165" s="309" t="s">
        <v>763</v>
      </c>
      <c r="P165" s="309" t="s">
        <v>745</v>
      </c>
      <c r="Q165" s="309" t="s">
        <v>746</v>
      </c>
      <c r="R165" s="318" t="b">
        <f aca="false">FALSE()</f>
        <v>0</v>
      </c>
      <c r="S165" s="312" t="n">
        <v>70</v>
      </c>
      <c r="T165" s="312" t="n">
        <v>70</v>
      </c>
      <c r="U165" s="312" t="n">
        <v>70</v>
      </c>
      <c r="V165" s="312" t="n">
        <v>70</v>
      </c>
      <c r="W165" s="312" t="n">
        <v>140</v>
      </c>
      <c r="X165" s="312" t="n">
        <v>100</v>
      </c>
      <c r="Y165" s="312" t="n">
        <v>0.4</v>
      </c>
      <c r="Z165" s="312" t="n">
        <v>0.91</v>
      </c>
      <c r="AA165" s="312" t="n">
        <v>10</v>
      </c>
      <c r="AB165" s="312" t="n">
        <v>1000</v>
      </c>
      <c r="AC165" s="309" t="s">
        <v>836</v>
      </c>
      <c r="AD165" s="309" t="s">
        <v>182</v>
      </c>
      <c r="AE165" s="312" t="n">
        <v>30</v>
      </c>
      <c r="AF165" s="312" t="n">
        <v>60</v>
      </c>
      <c r="AG165" s="312" t="n">
        <v>350</v>
      </c>
      <c r="AH165" s="312" t="n">
        <v>450</v>
      </c>
      <c r="AI165" s="312" t="n">
        <v>190</v>
      </c>
      <c r="AJ165" s="318" t="b">
        <f aca="false">TRUE()</f>
        <v>1</v>
      </c>
      <c r="AK165" s="318" t="b">
        <f aca="false">FALSE()</f>
        <v>0</v>
      </c>
      <c r="AL165" s="309" t="s">
        <v>1247</v>
      </c>
      <c r="AM165" s="318" t="b">
        <f aca="false">FALSE()</f>
        <v>0</v>
      </c>
      <c r="AN165" s="318" t="b">
        <f aca="false">FALSE()</f>
        <v>0</v>
      </c>
      <c r="AO165" s="312" t="n">
        <v>100</v>
      </c>
      <c r="AP165" s="312" t="n">
        <v>1</v>
      </c>
      <c r="AQ165" s="312" t="n">
        <v>1</v>
      </c>
      <c r="AR165" s="312" t="n">
        <v>25</v>
      </c>
      <c r="AS165" s="312" t="n">
        <v>90</v>
      </c>
      <c r="AT165" s="312" t="n">
        <v>1</v>
      </c>
      <c r="AU165" s="318" t="b">
        <f aca="false">FALSE()</f>
        <v>0</v>
      </c>
      <c r="AV165" s="318" t="b">
        <f aca="false">FALSE()</f>
        <v>0</v>
      </c>
      <c r="AW165" s="312" t="n">
        <v>9</v>
      </c>
      <c r="AX165" s="318" t="b">
        <f aca="false">FALSE()</f>
        <v>0</v>
      </c>
      <c r="AY165" s="318" t="b">
        <f aca="false">TRUE()</f>
        <v>1</v>
      </c>
      <c r="AZ165" s="312" t="n">
        <v>100</v>
      </c>
      <c r="BA165" s="312" t="n">
        <v>50</v>
      </c>
      <c r="BB165" s="312" t="n">
        <v>1450</v>
      </c>
      <c r="BC165" s="312" t="n">
        <v>0</v>
      </c>
      <c r="BD165" s="312" t="n">
        <v>0</v>
      </c>
      <c r="BE165" s="312" t="n">
        <v>0</v>
      </c>
      <c r="BF165" s="312" t="n">
        <v>0</v>
      </c>
      <c r="BG165" s="312" t="n">
        <v>0</v>
      </c>
      <c r="BH165" s="312" t="n">
        <v>1</v>
      </c>
      <c r="BI165" s="312" t="n">
        <v>0</v>
      </c>
      <c r="BJ165" s="312" t="n">
        <v>0</v>
      </c>
      <c r="BK165" s="312" t="n">
        <v>0</v>
      </c>
      <c r="BL165" s="312" t="n">
        <v>0</v>
      </c>
      <c r="BM165" s="312" t="n">
        <v>0</v>
      </c>
      <c r="BN165" s="312" t="n">
        <v>0</v>
      </c>
      <c r="BO165" s="312" t="n">
        <v>1</v>
      </c>
      <c r="BP165" s="309" t="s">
        <v>182</v>
      </c>
      <c r="BQ165" s="309" t="s">
        <v>182</v>
      </c>
      <c r="BR165" s="309" t="s">
        <v>182</v>
      </c>
      <c r="BS165" s="309" t="s">
        <v>182</v>
      </c>
      <c r="BT165" s="312" t="n">
        <v>232</v>
      </c>
      <c r="BU165" s="318" t="b">
        <f aca="false">FALSE()</f>
        <v>0</v>
      </c>
      <c r="BV165" s="3" t="e">
        <f aca="false">xlookup(MID($A165,7,50),$A$2:$A$139,$BV$2:$BV$139,,0,1)</f>
        <v>#NAME?</v>
      </c>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t="s">
        <v>1058</v>
      </c>
      <c r="CW165" s="3" t="s">
        <v>1059</v>
      </c>
      <c r="CX165" s="3" t="s">
        <v>1060</v>
      </c>
      <c r="CY165" s="3" t="s">
        <v>1061</v>
      </c>
      <c r="CZ165" s="3" t="s">
        <v>1062</v>
      </c>
    </row>
    <row r="166" customFormat="false" ht="15.75" hidden="false" customHeight="false" outlineLevel="0" collapsed="false">
      <c r="A166" s="309" t="s">
        <v>1373</v>
      </c>
      <c r="B166" s="309" t="s">
        <v>1374</v>
      </c>
      <c r="C166" s="309" t="s">
        <v>1375</v>
      </c>
      <c r="D166" s="309" t="s">
        <v>1376</v>
      </c>
      <c r="E166" s="309" t="s">
        <v>1377</v>
      </c>
      <c r="F166" s="318" t="b">
        <f aca="false">TRUE()</f>
        <v>1</v>
      </c>
      <c r="G166" s="309" t="s">
        <v>467</v>
      </c>
      <c r="H166" s="309" t="s">
        <v>1374</v>
      </c>
      <c r="I166" s="312" t="n">
        <v>-1</v>
      </c>
      <c r="J166" s="3"/>
      <c r="K166" s="309" t="s">
        <v>741</v>
      </c>
      <c r="L166" s="312" t="n">
        <v>1</v>
      </c>
      <c r="M166" s="309" t="s">
        <v>742</v>
      </c>
      <c r="N166" s="309" t="s">
        <v>743</v>
      </c>
      <c r="O166" s="309" t="s">
        <v>744</v>
      </c>
      <c r="P166" s="309" t="s">
        <v>745</v>
      </c>
      <c r="Q166" s="309" t="s">
        <v>746</v>
      </c>
      <c r="R166" s="318" t="b">
        <f aca="false">FALSE()</f>
        <v>0</v>
      </c>
      <c r="S166" s="312" t="n">
        <v>65</v>
      </c>
      <c r="T166" s="312" t="n">
        <v>100</v>
      </c>
      <c r="U166" s="312" t="n">
        <v>80</v>
      </c>
      <c r="V166" s="312" t="n">
        <v>50</v>
      </c>
      <c r="W166" s="312" t="n">
        <v>100</v>
      </c>
      <c r="X166" s="312" t="n">
        <v>100</v>
      </c>
      <c r="Y166" s="312" t="n">
        <v>0.4</v>
      </c>
      <c r="Z166" s="312" t="n">
        <v>0.7</v>
      </c>
      <c r="AA166" s="312" t="n">
        <v>10</v>
      </c>
      <c r="AB166" s="312" t="n">
        <v>1360</v>
      </c>
      <c r="AC166" s="309" t="s">
        <v>836</v>
      </c>
      <c r="AD166" s="309" t="s">
        <v>182</v>
      </c>
      <c r="AE166" s="312" t="n">
        <v>30</v>
      </c>
      <c r="AF166" s="312" t="n">
        <v>60</v>
      </c>
      <c r="AG166" s="312" t="n">
        <v>300</v>
      </c>
      <c r="AH166" s="312" t="n">
        <v>550</v>
      </c>
      <c r="AI166" s="312" t="n">
        <v>240</v>
      </c>
      <c r="AJ166" s="318" t="b">
        <f aca="false">TRUE()</f>
        <v>1</v>
      </c>
      <c r="AK166" s="318" t="b">
        <f aca="false">FALSE()</f>
        <v>0</v>
      </c>
      <c r="AL166" s="309" t="s">
        <v>1247</v>
      </c>
      <c r="AM166" s="318" t="b">
        <f aca="false">FALSE()</f>
        <v>0</v>
      </c>
      <c r="AN166" s="318" t="b">
        <f aca="false">FALSE()</f>
        <v>0</v>
      </c>
      <c r="AO166" s="312" t="n">
        <v>150</v>
      </c>
      <c r="AP166" s="312" t="n">
        <v>1</v>
      </c>
      <c r="AQ166" s="312" t="n">
        <v>2</v>
      </c>
      <c r="AR166" s="312" t="n">
        <v>25</v>
      </c>
      <c r="AS166" s="312" t="n">
        <v>90</v>
      </c>
      <c r="AT166" s="312" t="n">
        <v>1</v>
      </c>
      <c r="AU166" s="318" t="b">
        <f aca="false">FALSE()</f>
        <v>0</v>
      </c>
      <c r="AV166" s="318" t="b">
        <f aca="false">FALSE()</f>
        <v>0</v>
      </c>
      <c r="AW166" s="312" t="n">
        <v>9</v>
      </c>
      <c r="AX166" s="318" t="b">
        <f aca="false">FALSE()</f>
        <v>0</v>
      </c>
      <c r="AY166" s="318" t="b">
        <f aca="false">TRUE()</f>
        <v>1</v>
      </c>
      <c r="AZ166" s="312" t="n">
        <v>100</v>
      </c>
      <c r="BA166" s="312" t="n">
        <v>50</v>
      </c>
      <c r="BB166" s="312" t="n">
        <v>1220</v>
      </c>
      <c r="BC166" s="312" t="n">
        <v>0</v>
      </c>
      <c r="BD166" s="312" t="n">
        <v>0</v>
      </c>
      <c r="BE166" s="312" t="n">
        <v>0</v>
      </c>
      <c r="BF166" s="312" t="n">
        <v>0</v>
      </c>
      <c r="BG166" s="312" t="n">
        <v>1</v>
      </c>
      <c r="BH166" s="312" t="n">
        <v>0</v>
      </c>
      <c r="BI166" s="312" t="n">
        <v>0</v>
      </c>
      <c r="BJ166" s="312" t="n">
        <v>1</v>
      </c>
      <c r="BK166" s="312" t="n">
        <v>0</v>
      </c>
      <c r="BL166" s="312" t="n">
        <v>0</v>
      </c>
      <c r="BM166" s="312" t="n">
        <v>0</v>
      </c>
      <c r="BN166" s="312" t="n">
        <v>1</v>
      </c>
      <c r="BO166" s="312" t="n">
        <v>0</v>
      </c>
      <c r="BP166" s="309" t="s">
        <v>182</v>
      </c>
      <c r="BQ166" s="309" t="s">
        <v>182</v>
      </c>
      <c r="BR166" s="309" t="s">
        <v>182</v>
      </c>
      <c r="BS166" s="309" t="s">
        <v>182</v>
      </c>
      <c r="BT166" s="312" t="n">
        <v>233</v>
      </c>
      <c r="BU166" s="318" t="b">
        <f aca="false">FALSE()</f>
        <v>0</v>
      </c>
      <c r="BV166" s="3" t="e">
        <f aca="false">xlookup(MID($A166,7,50),$A$2:$A$139,$BV$2:$BV$139,,0,1)</f>
        <v>#NAME?</v>
      </c>
      <c r="BW166" s="3"/>
      <c r="BX166" s="3"/>
      <c r="BY166" s="3"/>
      <c r="BZ166" s="3"/>
      <c r="CA166" s="3" t="s">
        <v>1123</v>
      </c>
      <c r="CB166" s="85" t="n">
        <v>10000</v>
      </c>
      <c r="CC166" s="85" t="n">
        <v>11000</v>
      </c>
      <c r="CD166" s="85" t="n">
        <v>13000</v>
      </c>
      <c r="CE166" s="85" t="n">
        <v>16000</v>
      </c>
      <c r="CF166" s="85" t="n">
        <v>20000</v>
      </c>
      <c r="CG166" s="3"/>
      <c r="CH166" s="3"/>
      <c r="CI166" s="3"/>
      <c r="CJ166" s="3"/>
      <c r="CK166" s="3"/>
      <c r="CL166" s="3"/>
      <c r="CM166" s="3"/>
      <c r="CN166" s="3"/>
      <c r="CO166" s="3"/>
      <c r="CP166" s="3"/>
      <c r="CQ166" s="3"/>
      <c r="CR166" s="3"/>
      <c r="CS166" s="3"/>
      <c r="CT166" s="3"/>
      <c r="CU166" s="3"/>
      <c r="CV166" s="3"/>
      <c r="CW166" s="3"/>
      <c r="CX166" s="3"/>
      <c r="CY166" s="3"/>
      <c r="CZ166" s="3"/>
    </row>
    <row r="167" customFormat="false" ht="15.75" hidden="false" customHeight="false" outlineLevel="0" collapsed="false">
      <c r="A167" s="309" t="s">
        <v>1378</v>
      </c>
      <c r="B167" s="309" t="s">
        <v>1379</v>
      </c>
      <c r="C167" s="309" t="s">
        <v>1380</v>
      </c>
      <c r="D167" s="309" t="s">
        <v>1381</v>
      </c>
      <c r="E167" s="309" t="s">
        <v>1382</v>
      </c>
      <c r="F167" s="318" t="b">
        <f aca="false">TRUE()</f>
        <v>1</v>
      </c>
      <c r="G167" s="309" t="s">
        <v>947</v>
      </c>
      <c r="H167" s="309" t="s">
        <v>1379</v>
      </c>
      <c r="I167" s="312" t="n">
        <v>-1</v>
      </c>
      <c r="J167" s="3"/>
      <c r="K167" s="309" t="s">
        <v>884</v>
      </c>
      <c r="L167" s="312" t="n">
        <v>3</v>
      </c>
      <c r="M167" s="309" t="s">
        <v>758</v>
      </c>
      <c r="N167" s="309" t="s">
        <v>743</v>
      </c>
      <c r="O167" s="309" t="s">
        <v>790</v>
      </c>
      <c r="P167" s="309" t="s">
        <v>745</v>
      </c>
      <c r="Q167" s="309" t="s">
        <v>746</v>
      </c>
      <c r="R167" s="318" t="b">
        <f aca="false">FALSE()</f>
        <v>0</v>
      </c>
      <c r="S167" s="312" t="n">
        <v>75</v>
      </c>
      <c r="T167" s="312" t="n">
        <v>80</v>
      </c>
      <c r="U167" s="312" t="n">
        <v>95</v>
      </c>
      <c r="V167" s="312" t="n">
        <v>80</v>
      </c>
      <c r="W167" s="312" t="n">
        <v>100</v>
      </c>
      <c r="X167" s="312" t="n">
        <v>100</v>
      </c>
      <c r="Y167" s="312" t="n">
        <v>0.2</v>
      </c>
      <c r="Z167" s="312" t="n">
        <v>0.7</v>
      </c>
      <c r="AA167" s="312" t="n">
        <v>10</v>
      </c>
      <c r="AB167" s="312" t="n">
        <v>1840</v>
      </c>
      <c r="AC167" s="309" t="s">
        <v>1253</v>
      </c>
      <c r="AD167" s="309" t="s">
        <v>182</v>
      </c>
      <c r="AE167" s="312" t="n">
        <v>85</v>
      </c>
      <c r="AF167" s="312" t="n">
        <v>170</v>
      </c>
      <c r="AG167" s="312" t="n">
        <v>920</v>
      </c>
      <c r="AH167" s="312" t="n">
        <v>1200</v>
      </c>
      <c r="AI167" s="312" t="n">
        <v>545</v>
      </c>
      <c r="AJ167" s="318" t="b">
        <f aca="false">TRUE()</f>
        <v>1</v>
      </c>
      <c r="AK167" s="318" t="b">
        <f aca="false">FALSE()</f>
        <v>0</v>
      </c>
      <c r="AL167" s="309" t="s">
        <v>1247</v>
      </c>
      <c r="AM167" s="318" t="b">
        <f aca="false">FALSE()</f>
        <v>0</v>
      </c>
      <c r="AN167" s="318" t="b">
        <f aca="false">FALSE()</f>
        <v>0</v>
      </c>
      <c r="AO167" s="312" t="n">
        <v>350</v>
      </c>
      <c r="AP167" s="312" t="n">
        <v>1</v>
      </c>
      <c r="AQ167" s="312" t="n">
        <v>5</v>
      </c>
      <c r="AR167" s="312" t="n">
        <v>25</v>
      </c>
      <c r="AS167" s="312" t="n">
        <v>90</v>
      </c>
      <c r="AT167" s="312" t="n">
        <v>1</v>
      </c>
      <c r="AU167" s="318" t="b">
        <f aca="false">FALSE()</f>
        <v>0</v>
      </c>
      <c r="AV167" s="318" t="b">
        <f aca="false">TRUE()</f>
        <v>1</v>
      </c>
      <c r="AW167" s="312" t="n">
        <v>9</v>
      </c>
      <c r="AX167" s="318" t="b">
        <f aca="false">TRUE()</f>
        <v>1</v>
      </c>
      <c r="AY167" s="318" t="b">
        <f aca="false">TRUE()</f>
        <v>1</v>
      </c>
      <c r="AZ167" s="312" t="n">
        <v>100</v>
      </c>
      <c r="BA167" s="312" t="n">
        <v>50</v>
      </c>
      <c r="BB167" s="312" t="n">
        <v>1080</v>
      </c>
      <c r="BC167" s="312" t="n">
        <v>0</v>
      </c>
      <c r="BD167" s="312" t="n">
        <v>0</v>
      </c>
      <c r="BE167" s="312" t="n">
        <v>0</v>
      </c>
      <c r="BF167" s="312" t="n">
        <v>0</v>
      </c>
      <c r="BG167" s="312" t="n">
        <v>0</v>
      </c>
      <c r="BH167" s="312" t="n">
        <v>0</v>
      </c>
      <c r="BI167" s="312" t="n">
        <v>1</v>
      </c>
      <c r="BJ167" s="312" t="n">
        <v>0</v>
      </c>
      <c r="BK167" s="312" t="n">
        <v>0</v>
      </c>
      <c r="BL167" s="312" t="n">
        <v>0</v>
      </c>
      <c r="BM167" s="312" t="n">
        <v>0</v>
      </c>
      <c r="BN167" s="312" t="n">
        <v>0</v>
      </c>
      <c r="BO167" s="312" t="n">
        <v>0</v>
      </c>
      <c r="BP167" s="309" t="s">
        <v>182</v>
      </c>
      <c r="BQ167" s="309" t="s">
        <v>182</v>
      </c>
      <c r="BR167" s="309" t="s">
        <v>182</v>
      </c>
      <c r="BS167" s="309" t="s">
        <v>182</v>
      </c>
      <c r="BT167" s="312" t="n">
        <v>234</v>
      </c>
      <c r="BU167" s="318" t="b">
        <f aca="false">FALSE()</f>
        <v>0</v>
      </c>
      <c r="BV167" s="3" t="e">
        <f aca="false">xlookup(MID($A167,7,50),$A$2:$A$139,$BV$2:$BV$139,,0,1)</f>
        <v>#NAME?</v>
      </c>
      <c r="BW167" s="3"/>
      <c r="BX167" s="3"/>
      <c r="BY167" s="3"/>
      <c r="BZ167" s="3"/>
      <c r="CA167" s="3" t="s">
        <v>948</v>
      </c>
      <c r="CB167" s="85" t="n">
        <v>1.1</v>
      </c>
      <c r="CC167" s="85" t="n">
        <v>1.3</v>
      </c>
      <c r="CD167" s="85" t="n">
        <v>1.6</v>
      </c>
      <c r="CE167" s="85" t="n">
        <v>2</v>
      </c>
      <c r="CF167" s="85" t="n">
        <v>2.5</v>
      </c>
      <c r="CG167" s="3"/>
      <c r="CH167" s="3"/>
      <c r="CI167" s="3"/>
      <c r="CJ167" s="3"/>
      <c r="CK167" s="3"/>
      <c r="CL167" s="3"/>
      <c r="CM167" s="3"/>
      <c r="CN167" s="3"/>
      <c r="CO167" s="3"/>
      <c r="CP167" s="3"/>
      <c r="CQ167" s="3"/>
      <c r="CR167" s="3"/>
      <c r="CS167" s="3"/>
      <c r="CT167" s="3"/>
      <c r="CU167" s="3"/>
      <c r="CV167" s="3"/>
      <c r="CW167" s="3"/>
      <c r="CX167" s="3"/>
      <c r="CY167" s="3"/>
      <c r="CZ167" s="3"/>
    </row>
    <row r="168" customFormat="false" ht="15.75" hidden="false" customHeight="false" outlineLevel="0" collapsed="false">
      <c r="A168" s="309" t="s">
        <v>1383</v>
      </c>
      <c r="B168" s="309" t="s">
        <v>1384</v>
      </c>
      <c r="C168" s="309" t="s">
        <v>1385</v>
      </c>
      <c r="D168" s="309" t="s">
        <v>1386</v>
      </c>
      <c r="E168" s="309" t="s">
        <v>1387</v>
      </c>
      <c r="F168" s="318" t="b">
        <f aca="false">TRUE()</f>
        <v>1</v>
      </c>
      <c r="G168" s="309" t="s">
        <v>458</v>
      </c>
      <c r="H168" s="309" t="s">
        <v>1384</v>
      </c>
      <c r="I168" s="312" t="n">
        <v>-1</v>
      </c>
      <c r="J168" s="3"/>
      <c r="K168" s="309" t="s">
        <v>884</v>
      </c>
      <c r="L168" s="312" t="n">
        <v>9</v>
      </c>
      <c r="M168" s="309" t="s">
        <v>758</v>
      </c>
      <c r="N168" s="309" t="s">
        <v>742</v>
      </c>
      <c r="O168" s="309" t="s">
        <v>898</v>
      </c>
      <c r="P168" s="309" t="s">
        <v>745</v>
      </c>
      <c r="Q168" s="309" t="s">
        <v>746</v>
      </c>
      <c r="R168" s="318" t="b">
        <f aca="false">FALSE()</f>
        <v>0</v>
      </c>
      <c r="S168" s="312" t="n">
        <v>100</v>
      </c>
      <c r="T168" s="312" t="n">
        <v>100</v>
      </c>
      <c r="U168" s="312" t="n">
        <v>100</v>
      </c>
      <c r="V168" s="312" t="n">
        <v>130</v>
      </c>
      <c r="W168" s="312" t="n">
        <v>100</v>
      </c>
      <c r="X168" s="312" t="n">
        <v>100</v>
      </c>
      <c r="Y168" s="312" t="n">
        <v>0.2</v>
      </c>
      <c r="Z168" s="312" t="n">
        <v>0.7</v>
      </c>
      <c r="AA168" s="312" t="n">
        <v>10</v>
      </c>
      <c r="AB168" s="312" t="n">
        <v>7050</v>
      </c>
      <c r="AC168" s="309" t="s">
        <v>1253</v>
      </c>
      <c r="AD168" s="309" t="s">
        <v>182</v>
      </c>
      <c r="AE168" s="312" t="n">
        <v>100</v>
      </c>
      <c r="AF168" s="312" t="n">
        <v>200</v>
      </c>
      <c r="AG168" s="312" t="n">
        <v>1000</v>
      </c>
      <c r="AH168" s="312" t="n">
        <v>1200</v>
      </c>
      <c r="AI168" s="312" t="n">
        <v>600</v>
      </c>
      <c r="AJ168" s="318" t="b">
        <f aca="false">TRUE()</f>
        <v>1</v>
      </c>
      <c r="AK168" s="318" t="b">
        <f aca="false">FALSE()</f>
        <v>0</v>
      </c>
      <c r="AL168" s="309" t="s">
        <v>1247</v>
      </c>
      <c r="AM168" s="318" t="b">
        <f aca="false">FALSE()</f>
        <v>0</v>
      </c>
      <c r="AN168" s="318" t="b">
        <f aca="false">FALSE()</f>
        <v>0</v>
      </c>
      <c r="AO168" s="312" t="n">
        <v>475</v>
      </c>
      <c r="AP168" s="312" t="n">
        <v>1</v>
      </c>
      <c r="AQ168" s="312" t="n">
        <v>7</v>
      </c>
      <c r="AR168" s="312" t="n">
        <v>25</v>
      </c>
      <c r="AS168" s="312" t="n">
        <v>90</v>
      </c>
      <c r="AT168" s="312" t="n">
        <v>1</v>
      </c>
      <c r="AU168" s="318" t="b">
        <f aca="false">FALSE()</f>
        <v>0</v>
      </c>
      <c r="AV168" s="318" t="b">
        <f aca="false">TRUE()</f>
        <v>1</v>
      </c>
      <c r="AW168" s="312" t="n">
        <v>9</v>
      </c>
      <c r="AX168" s="318" t="b">
        <f aca="false">TRUE()</f>
        <v>1</v>
      </c>
      <c r="AY168" s="318" t="b">
        <f aca="false">TRUE()</f>
        <v>1</v>
      </c>
      <c r="AZ168" s="312" t="n">
        <v>100</v>
      </c>
      <c r="BA168" s="312" t="n">
        <v>50</v>
      </c>
      <c r="BB168" s="312" t="n">
        <v>260</v>
      </c>
      <c r="BC168" s="312" t="n">
        <v>0</v>
      </c>
      <c r="BD168" s="312" t="n">
        <v>0</v>
      </c>
      <c r="BE168" s="312" t="n">
        <v>0</v>
      </c>
      <c r="BF168" s="312" t="n">
        <v>0</v>
      </c>
      <c r="BG168" s="312" t="n">
        <v>0</v>
      </c>
      <c r="BH168" s="312" t="n">
        <v>0</v>
      </c>
      <c r="BI168" s="312" t="n">
        <v>2</v>
      </c>
      <c r="BJ168" s="312" t="n">
        <v>3</v>
      </c>
      <c r="BK168" s="312" t="n">
        <v>0</v>
      </c>
      <c r="BL168" s="312" t="n">
        <v>0</v>
      </c>
      <c r="BM168" s="312" t="n">
        <v>0</v>
      </c>
      <c r="BN168" s="312" t="n">
        <v>0</v>
      </c>
      <c r="BO168" s="312" t="n">
        <v>0</v>
      </c>
      <c r="BP168" s="309" t="s">
        <v>182</v>
      </c>
      <c r="BQ168" s="309" t="s">
        <v>182</v>
      </c>
      <c r="BR168" s="309" t="s">
        <v>182</v>
      </c>
      <c r="BS168" s="309" t="s">
        <v>182</v>
      </c>
      <c r="BT168" s="312" t="n">
        <v>236</v>
      </c>
      <c r="BU168" s="318" t="b">
        <f aca="false">FALSE()</f>
        <v>0</v>
      </c>
      <c r="BV168" s="3" t="e">
        <f aca="false">xlookup(MID($A168,7,50),$A$2:$A$139,$BV$2:$BV$139,,0,1)</f>
        <v>#NAME?</v>
      </c>
      <c r="BW168" s="3"/>
      <c r="BX168" s="3"/>
      <c r="BY168" s="3"/>
      <c r="BZ168" s="3"/>
      <c r="CA168" s="3"/>
      <c r="CB168" s="3"/>
      <c r="CC168" s="3"/>
      <c r="CD168" s="3"/>
      <c r="CE168" s="3"/>
      <c r="CF168" s="3"/>
      <c r="CG168" s="3"/>
      <c r="CH168" s="3"/>
      <c r="CI168" s="3"/>
      <c r="CJ168" s="3" t="s">
        <v>1186</v>
      </c>
      <c r="CK168" s="3" t="s">
        <v>1187</v>
      </c>
      <c r="CL168" s="3" t="s">
        <v>1188</v>
      </c>
      <c r="CM168" s="3" t="s">
        <v>1223</v>
      </c>
      <c r="CN168" s="3" t="s">
        <v>1224</v>
      </c>
      <c r="CO168" s="3"/>
      <c r="CP168" s="3"/>
      <c r="CQ168" s="3"/>
      <c r="CR168" s="3"/>
      <c r="CS168" s="3"/>
      <c r="CT168" s="3"/>
      <c r="CU168" s="3"/>
      <c r="CV168" s="3" t="s">
        <v>1225</v>
      </c>
      <c r="CW168" s="3" t="s">
        <v>1226</v>
      </c>
      <c r="CX168" s="3" t="s">
        <v>1227</v>
      </c>
      <c r="CY168" s="3" t="s">
        <v>1228</v>
      </c>
      <c r="CZ168" s="3" t="s">
        <v>1229</v>
      </c>
    </row>
    <row r="169" customFormat="false" ht="15.75" hidden="false" customHeight="false" outlineLevel="0" collapsed="false">
      <c r="A169" s="309" t="s">
        <v>1388</v>
      </c>
      <c r="B169" s="309" t="s">
        <v>1389</v>
      </c>
      <c r="C169" s="309" t="s">
        <v>1390</v>
      </c>
      <c r="D169" s="309" t="s">
        <v>1391</v>
      </c>
      <c r="E169" s="309" t="s">
        <v>1392</v>
      </c>
      <c r="F169" s="318" t="b">
        <f aca="false">TRUE()</f>
        <v>1</v>
      </c>
      <c r="G169" s="309" t="s">
        <v>431</v>
      </c>
      <c r="H169" s="309" t="s">
        <v>1389</v>
      </c>
      <c r="I169" s="312" t="n">
        <v>-1</v>
      </c>
      <c r="J169" s="3"/>
      <c r="K169" s="309" t="s">
        <v>884</v>
      </c>
      <c r="L169" s="312" t="n">
        <v>4</v>
      </c>
      <c r="M169" s="309" t="s">
        <v>789</v>
      </c>
      <c r="N169" s="309" t="s">
        <v>743</v>
      </c>
      <c r="O169" s="309" t="s">
        <v>763</v>
      </c>
      <c r="P169" s="309" t="s">
        <v>745</v>
      </c>
      <c r="Q169" s="309" t="s">
        <v>746</v>
      </c>
      <c r="R169" s="318" t="b">
        <f aca="false">FALSE()</f>
        <v>0</v>
      </c>
      <c r="S169" s="312" t="n">
        <v>95</v>
      </c>
      <c r="T169" s="312" t="n">
        <v>70</v>
      </c>
      <c r="U169" s="312" t="n">
        <v>80</v>
      </c>
      <c r="V169" s="312" t="n">
        <v>80</v>
      </c>
      <c r="W169" s="312" t="n">
        <v>100</v>
      </c>
      <c r="X169" s="312" t="n">
        <v>100</v>
      </c>
      <c r="Y169" s="312" t="n">
        <v>0.4</v>
      </c>
      <c r="Z169" s="312" t="n">
        <v>0.7</v>
      </c>
      <c r="AA169" s="312" t="n">
        <v>10</v>
      </c>
      <c r="AB169" s="312" t="n">
        <v>2620</v>
      </c>
      <c r="AC169" s="309" t="s">
        <v>1253</v>
      </c>
      <c r="AD169" s="309" t="s">
        <v>182</v>
      </c>
      <c r="AE169" s="312" t="n">
        <v>80</v>
      </c>
      <c r="AF169" s="312" t="n">
        <v>120</v>
      </c>
      <c r="AG169" s="312" t="n">
        <v>700</v>
      </c>
      <c r="AH169" s="312" t="n">
        <v>1000</v>
      </c>
      <c r="AI169" s="312" t="n">
        <v>390</v>
      </c>
      <c r="AJ169" s="318" t="b">
        <f aca="false">TRUE()</f>
        <v>1</v>
      </c>
      <c r="AK169" s="318" t="b">
        <f aca="false">FALSE()</f>
        <v>0</v>
      </c>
      <c r="AL169" s="309" t="s">
        <v>1247</v>
      </c>
      <c r="AM169" s="318" t="b">
        <f aca="false">FALSE()</f>
        <v>0</v>
      </c>
      <c r="AN169" s="318" t="b">
        <f aca="false">FALSE()</f>
        <v>0</v>
      </c>
      <c r="AO169" s="312" t="n">
        <v>350</v>
      </c>
      <c r="AP169" s="312" t="n">
        <v>1</v>
      </c>
      <c r="AQ169" s="312" t="n">
        <v>5</v>
      </c>
      <c r="AR169" s="312" t="n">
        <v>25</v>
      </c>
      <c r="AS169" s="312" t="n">
        <v>90</v>
      </c>
      <c r="AT169" s="312" t="n">
        <v>1</v>
      </c>
      <c r="AU169" s="318" t="b">
        <f aca="false">FALSE()</f>
        <v>0</v>
      </c>
      <c r="AV169" s="318" t="b">
        <f aca="false">FALSE()</f>
        <v>0</v>
      </c>
      <c r="AW169" s="312" t="n">
        <v>9</v>
      </c>
      <c r="AX169" s="318" t="b">
        <f aca="false">FALSE()</f>
        <v>0</v>
      </c>
      <c r="AY169" s="318" t="b">
        <f aca="false">TRUE()</f>
        <v>1</v>
      </c>
      <c r="AZ169" s="312" t="n">
        <v>100</v>
      </c>
      <c r="BA169" s="312" t="n">
        <v>50</v>
      </c>
      <c r="BB169" s="312" t="n">
        <v>920</v>
      </c>
      <c r="BC169" s="312" t="n">
        <v>0</v>
      </c>
      <c r="BD169" s="312" t="n">
        <v>0</v>
      </c>
      <c r="BE169" s="312" t="n">
        <v>0</v>
      </c>
      <c r="BF169" s="312" t="n">
        <v>0</v>
      </c>
      <c r="BG169" s="312" t="n">
        <v>0</v>
      </c>
      <c r="BH169" s="312" t="n">
        <v>0</v>
      </c>
      <c r="BI169" s="312" t="n">
        <v>2</v>
      </c>
      <c r="BJ169" s="312" t="n">
        <v>0</v>
      </c>
      <c r="BK169" s="312" t="n">
        <v>0</v>
      </c>
      <c r="BL169" s="312" t="n">
        <v>0</v>
      </c>
      <c r="BM169" s="312" t="n">
        <v>0</v>
      </c>
      <c r="BN169" s="312" t="n">
        <v>0</v>
      </c>
      <c r="BO169" s="312" t="n">
        <v>0</v>
      </c>
      <c r="BP169" s="309" t="s">
        <v>182</v>
      </c>
      <c r="BQ169" s="309" t="s">
        <v>182</v>
      </c>
      <c r="BR169" s="309" t="s">
        <v>182</v>
      </c>
      <c r="BS169" s="309" t="s">
        <v>182</v>
      </c>
      <c r="BT169" s="312" t="n">
        <v>237</v>
      </c>
      <c r="BU169" s="318" t="b">
        <f aca="false">FALSE()</f>
        <v>0</v>
      </c>
      <c r="BV169" s="3" t="e">
        <f aca="false">xlookup(MID($A169,7,50),$A$2:$A$139,$BV$2:$BV$139,,0,1)</f>
        <v>#NAME?</v>
      </c>
      <c r="BW169" s="3"/>
      <c r="BX169" s="85" t="n">
        <v>12</v>
      </c>
      <c r="BY169" s="3" t="s">
        <v>794</v>
      </c>
      <c r="BZ169" s="3" t="s">
        <v>775</v>
      </c>
      <c r="CA169" s="3"/>
      <c r="CB169" s="3"/>
      <c r="CC169" s="3"/>
      <c r="CD169" s="3"/>
      <c r="CE169" s="3"/>
      <c r="CF169" s="3"/>
      <c r="CG169" s="311" t="b">
        <f aca="false">TRUE()</f>
        <v>1</v>
      </c>
      <c r="CH169" s="3" t="s">
        <v>776</v>
      </c>
      <c r="CI169" s="3"/>
      <c r="CJ169" s="3"/>
      <c r="CK169" s="3"/>
      <c r="CL169" s="3"/>
      <c r="CM169" s="3"/>
      <c r="CN169" s="3"/>
      <c r="CO169" s="3"/>
      <c r="CP169" s="3"/>
      <c r="CQ169" s="3"/>
      <c r="CR169" s="3"/>
      <c r="CS169" s="3"/>
      <c r="CT169" s="3"/>
      <c r="CU169" s="3" t="s">
        <v>750</v>
      </c>
      <c r="CV169" s="3" t="s">
        <v>795</v>
      </c>
      <c r="CW169" s="3" t="s">
        <v>796</v>
      </c>
      <c r="CX169" s="3" t="s">
        <v>797</v>
      </c>
      <c r="CY169" s="3" t="s">
        <v>798</v>
      </c>
      <c r="CZ169" s="3" t="s">
        <v>799</v>
      </c>
    </row>
    <row r="170" customFormat="false" ht="15.75" hidden="false" customHeight="false" outlineLevel="0" collapsed="false">
      <c r="A170" s="309" t="s">
        <v>1393</v>
      </c>
      <c r="B170" s="309" t="s">
        <v>1394</v>
      </c>
      <c r="C170" s="309" t="s">
        <v>1395</v>
      </c>
      <c r="D170" s="309" t="s">
        <v>1396</v>
      </c>
      <c r="E170" s="309" t="s">
        <v>1397</v>
      </c>
      <c r="F170" s="318" t="b">
        <f aca="false">TRUE()</f>
        <v>1</v>
      </c>
      <c r="G170" s="309" t="s">
        <v>518</v>
      </c>
      <c r="H170" s="309" t="s">
        <v>1394</v>
      </c>
      <c r="I170" s="312" t="n">
        <v>-1</v>
      </c>
      <c r="J170" s="3"/>
      <c r="K170" s="309" t="s">
        <v>884</v>
      </c>
      <c r="L170" s="312" t="n">
        <v>6</v>
      </c>
      <c r="M170" s="309" t="s">
        <v>742</v>
      </c>
      <c r="N170" s="309" t="s">
        <v>743</v>
      </c>
      <c r="O170" s="309" t="s">
        <v>763</v>
      </c>
      <c r="P170" s="309" t="s">
        <v>745</v>
      </c>
      <c r="Q170" s="309" t="s">
        <v>746</v>
      </c>
      <c r="R170" s="318" t="b">
        <f aca="false">FALSE()</f>
        <v>0</v>
      </c>
      <c r="S170" s="312" t="n">
        <v>95</v>
      </c>
      <c r="T170" s="312" t="n">
        <v>70</v>
      </c>
      <c r="U170" s="312" t="n">
        <v>80</v>
      </c>
      <c r="V170" s="312" t="n">
        <v>80</v>
      </c>
      <c r="W170" s="312" t="n">
        <v>100</v>
      </c>
      <c r="X170" s="312" t="n">
        <v>100</v>
      </c>
      <c r="Y170" s="312" t="n">
        <v>0.2</v>
      </c>
      <c r="Z170" s="312" t="n">
        <v>0.7</v>
      </c>
      <c r="AA170" s="312" t="n">
        <v>10</v>
      </c>
      <c r="AB170" s="312" t="n">
        <v>2680</v>
      </c>
      <c r="AC170" s="309" t="s">
        <v>1253</v>
      </c>
      <c r="AD170" s="309" t="s">
        <v>182</v>
      </c>
      <c r="AE170" s="312" t="n">
        <v>80</v>
      </c>
      <c r="AF170" s="312" t="n">
        <v>120</v>
      </c>
      <c r="AG170" s="312" t="n">
        <v>700</v>
      </c>
      <c r="AH170" s="312" t="n">
        <v>1000</v>
      </c>
      <c r="AI170" s="312" t="n">
        <v>390</v>
      </c>
      <c r="AJ170" s="318" t="b">
        <f aca="false">TRUE()</f>
        <v>1</v>
      </c>
      <c r="AK170" s="318" t="b">
        <f aca="false">FALSE()</f>
        <v>0</v>
      </c>
      <c r="AL170" s="309" t="s">
        <v>1247</v>
      </c>
      <c r="AM170" s="318" t="b">
        <f aca="false">FALSE()</f>
        <v>0</v>
      </c>
      <c r="AN170" s="318" t="b">
        <f aca="false">FALSE()</f>
        <v>0</v>
      </c>
      <c r="AO170" s="312" t="n">
        <v>350</v>
      </c>
      <c r="AP170" s="312" t="n">
        <v>1</v>
      </c>
      <c r="AQ170" s="312" t="n">
        <v>5</v>
      </c>
      <c r="AR170" s="312" t="n">
        <v>25</v>
      </c>
      <c r="AS170" s="312" t="n">
        <v>90</v>
      </c>
      <c r="AT170" s="312" t="n">
        <v>1</v>
      </c>
      <c r="AU170" s="318" t="b">
        <f aca="false">FALSE()</f>
        <v>0</v>
      </c>
      <c r="AV170" s="318" t="b">
        <f aca="false">FALSE()</f>
        <v>0</v>
      </c>
      <c r="AW170" s="312" t="n">
        <v>9</v>
      </c>
      <c r="AX170" s="318" t="b">
        <f aca="false">FALSE()</f>
        <v>0</v>
      </c>
      <c r="AY170" s="318" t="b">
        <f aca="false">TRUE()</f>
        <v>1</v>
      </c>
      <c r="AZ170" s="312" t="n">
        <v>100</v>
      </c>
      <c r="BA170" s="312" t="n">
        <v>50</v>
      </c>
      <c r="BB170" s="312" t="n">
        <v>900</v>
      </c>
      <c r="BC170" s="312" t="n">
        <v>0</v>
      </c>
      <c r="BD170" s="312" t="n">
        <v>0</v>
      </c>
      <c r="BE170" s="312" t="n">
        <v>0</v>
      </c>
      <c r="BF170" s="312" t="n">
        <v>0</v>
      </c>
      <c r="BG170" s="312" t="n">
        <v>0</v>
      </c>
      <c r="BH170" s="312" t="n">
        <v>0</v>
      </c>
      <c r="BI170" s="312" t="n">
        <v>2</v>
      </c>
      <c r="BJ170" s="312" t="n">
        <v>0</v>
      </c>
      <c r="BK170" s="312" t="n">
        <v>0</v>
      </c>
      <c r="BL170" s="312" t="n">
        <v>0</v>
      </c>
      <c r="BM170" s="312" t="n">
        <v>0</v>
      </c>
      <c r="BN170" s="312" t="n">
        <v>0</v>
      </c>
      <c r="BO170" s="312" t="n">
        <v>0</v>
      </c>
      <c r="BP170" s="309" t="s">
        <v>182</v>
      </c>
      <c r="BQ170" s="309" t="s">
        <v>182</v>
      </c>
      <c r="BR170" s="309" t="s">
        <v>182</v>
      </c>
      <c r="BS170" s="309" t="s">
        <v>182</v>
      </c>
      <c r="BT170" s="312" t="n">
        <v>238</v>
      </c>
      <c r="BU170" s="318" t="b">
        <f aca="false">TRUE()</f>
        <v>1</v>
      </c>
      <c r="BV170" s="3" t="e">
        <f aca="false">xlookup(MID($A170,7,50),$A$2:$A$139,$BV$2:$BV$139,,0,1)</f>
        <v>#NAME?</v>
      </c>
      <c r="BW170" s="3"/>
      <c r="BX170" s="85" t="n">
        <v>25</v>
      </c>
      <c r="BY170" s="3" t="s">
        <v>800</v>
      </c>
      <c r="BZ170" s="3" t="s">
        <v>775</v>
      </c>
      <c r="CA170" s="3"/>
      <c r="CB170" s="3"/>
      <c r="CC170" s="3"/>
      <c r="CD170" s="3"/>
      <c r="CE170" s="3"/>
      <c r="CF170" s="3"/>
      <c r="CG170" s="311" t="b">
        <f aca="false">TRUE()</f>
        <v>1</v>
      </c>
      <c r="CH170" s="3" t="s">
        <v>776</v>
      </c>
      <c r="CI170" s="3"/>
      <c r="CJ170" s="3"/>
      <c r="CK170" s="3"/>
      <c r="CL170" s="3"/>
      <c r="CM170" s="3"/>
      <c r="CN170" s="3"/>
      <c r="CO170" s="3"/>
      <c r="CP170" s="3"/>
      <c r="CQ170" s="3"/>
      <c r="CR170" s="3"/>
      <c r="CS170" s="3"/>
      <c r="CT170" s="3"/>
      <c r="CU170" s="3" t="s">
        <v>750</v>
      </c>
      <c r="CV170" s="3" t="s">
        <v>795</v>
      </c>
      <c r="CW170" s="3" t="s">
        <v>796</v>
      </c>
      <c r="CX170" s="3" t="s">
        <v>797</v>
      </c>
      <c r="CY170" s="3" t="s">
        <v>798</v>
      </c>
      <c r="CZ170" s="3" t="s">
        <v>799</v>
      </c>
    </row>
    <row r="171" customFormat="false" ht="15.75" hidden="false" customHeight="false" outlineLevel="0" collapsed="false">
      <c r="A171" s="309" t="s">
        <v>1398</v>
      </c>
      <c r="B171" s="309" t="s">
        <v>1399</v>
      </c>
      <c r="C171" s="309" t="s">
        <v>1400</v>
      </c>
      <c r="D171" s="309" t="s">
        <v>1401</v>
      </c>
      <c r="E171" s="309" t="s">
        <v>1402</v>
      </c>
      <c r="F171" s="318" t="b">
        <f aca="false">TRUE()</f>
        <v>1</v>
      </c>
      <c r="G171" s="309" t="s">
        <v>1138</v>
      </c>
      <c r="H171" s="309" t="s">
        <v>1399</v>
      </c>
      <c r="I171" s="312" t="n">
        <v>-1</v>
      </c>
      <c r="J171" s="3"/>
      <c r="K171" s="309" t="s">
        <v>884</v>
      </c>
      <c r="L171" s="312" t="n">
        <v>1</v>
      </c>
      <c r="M171" s="309" t="s">
        <v>758</v>
      </c>
      <c r="N171" s="309" t="s">
        <v>743</v>
      </c>
      <c r="O171" s="309" t="s">
        <v>744</v>
      </c>
      <c r="P171" s="309" t="s">
        <v>745</v>
      </c>
      <c r="Q171" s="309" t="s">
        <v>746</v>
      </c>
      <c r="R171" s="318" t="b">
        <f aca="false">FALSE()</f>
        <v>0</v>
      </c>
      <c r="S171" s="312" t="n">
        <v>70</v>
      </c>
      <c r="T171" s="312" t="n">
        <v>100</v>
      </c>
      <c r="U171" s="312" t="n">
        <v>75</v>
      </c>
      <c r="V171" s="312" t="n">
        <v>60</v>
      </c>
      <c r="W171" s="312" t="n">
        <v>100</v>
      </c>
      <c r="X171" s="312" t="n">
        <v>100</v>
      </c>
      <c r="Y171" s="312" t="n">
        <v>0.4</v>
      </c>
      <c r="Z171" s="312" t="n">
        <v>0.7</v>
      </c>
      <c r="AA171" s="312" t="n">
        <v>10</v>
      </c>
      <c r="AB171" s="312" t="n">
        <v>1330</v>
      </c>
      <c r="AC171" s="309" t="s">
        <v>836</v>
      </c>
      <c r="AD171" s="309" t="s">
        <v>182</v>
      </c>
      <c r="AE171" s="312" t="n">
        <v>70</v>
      </c>
      <c r="AF171" s="312" t="n">
        <v>140</v>
      </c>
      <c r="AG171" s="312" t="n">
        <v>300</v>
      </c>
      <c r="AH171" s="312" t="n">
        <v>550</v>
      </c>
      <c r="AI171" s="312" t="n">
        <v>220</v>
      </c>
      <c r="AJ171" s="318" t="b">
        <f aca="false">TRUE()</f>
        <v>1</v>
      </c>
      <c r="AK171" s="318" t="b">
        <f aca="false">FALSE()</f>
        <v>0</v>
      </c>
      <c r="AL171" s="309" t="s">
        <v>1247</v>
      </c>
      <c r="AM171" s="318" t="b">
        <f aca="false">FALSE()</f>
        <v>0</v>
      </c>
      <c r="AN171" s="318" t="b">
        <f aca="false">FALSE()</f>
        <v>0</v>
      </c>
      <c r="AO171" s="312" t="n">
        <v>225</v>
      </c>
      <c r="AP171" s="312" t="n">
        <v>1</v>
      </c>
      <c r="AQ171" s="312" t="n">
        <v>3</v>
      </c>
      <c r="AR171" s="312" t="n">
        <v>25</v>
      </c>
      <c r="AS171" s="312" t="n">
        <v>90</v>
      </c>
      <c r="AT171" s="312" t="n">
        <v>1</v>
      </c>
      <c r="AU171" s="318" t="b">
        <f aca="false">FALSE()</f>
        <v>0</v>
      </c>
      <c r="AV171" s="318" t="b">
        <f aca="false">TRUE()</f>
        <v>1</v>
      </c>
      <c r="AW171" s="312" t="n">
        <v>9</v>
      </c>
      <c r="AX171" s="318" t="b">
        <f aca="false">FALSE()</f>
        <v>0</v>
      </c>
      <c r="AY171" s="318" t="b">
        <f aca="false">TRUE()</f>
        <v>1</v>
      </c>
      <c r="AZ171" s="312" t="n">
        <v>100</v>
      </c>
      <c r="BA171" s="312" t="n">
        <v>50</v>
      </c>
      <c r="BB171" s="312" t="n">
        <v>1230</v>
      </c>
      <c r="BC171" s="312" t="n">
        <v>0</v>
      </c>
      <c r="BD171" s="312" t="n">
        <v>0</v>
      </c>
      <c r="BE171" s="312" t="n">
        <v>0</v>
      </c>
      <c r="BF171" s="312" t="n">
        <v>0</v>
      </c>
      <c r="BG171" s="312" t="n">
        <v>1</v>
      </c>
      <c r="BH171" s="312" t="n">
        <v>1</v>
      </c>
      <c r="BI171" s="312" t="n">
        <v>0</v>
      </c>
      <c r="BJ171" s="312" t="n">
        <v>0</v>
      </c>
      <c r="BK171" s="312" t="n">
        <v>0</v>
      </c>
      <c r="BL171" s="312" t="n">
        <v>0</v>
      </c>
      <c r="BM171" s="312" t="n">
        <v>0</v>
      </c>
      <c r="BN171" s="312" t="n">
        <v>1</v>
      </c>
      <c r="BO171" s="312" t="n">
        <v>0</v>
      </c>
      <c r="BP171" s="309" t="s">
        <v>182</v>
      </c>
      <c r="BQ171" s="309" t="s">
        <v>182</v>
      </c>
      <c r="BR171" s="309" t="s">
        <v>182</v>
      </c>
      <c r="BS171" s="309" t="s">
        <v>182</v>
      </c>
      <c r="BT171" s="312" t="n">
        <v>239</v>
      </c>
      <c r="BU171" s="318" t="b">
        <f aca="false">FALSE()</f>
        <v>0</v>
      </c>
      <c r="BV171" s="3" t="e">
        <f aca="false">xlookup(MID($A171,7,50),$A$2:$A$139,$BV$2:$BV$139,,0,1)</f>
        <v>#NAME?</v>
      </c>
      <c r="BW171" s="3"/>
      <c r="BX171" s="85" t="n">
        <v>8</v>
      </c>
      <c r="BY171" s="3" t="s">
        <v>1139</v>
      </c>
      <c r="BZ171" s="3" t="s">
        <v>865</v>
      </c>
      <c r="CA171" s="3" t="s">
        <v>1140</v>
      </c>
      <c r="CB171" s="85" t="n">
        <v>1</v>
      </c>
      <c r="CC171" s="85" t="n">
        <v>1.1</v>
      </c>
      <c r="CD171" s="85" t="n">
        <v>1.3</v>
      </c>
      <c r="CE171" s="85" t="n">
        <v>1.6</v>
      </c>
      <c r="CF171" s="85" t="n">
        <v>2</v>
      </c>
      <c r="CG171" s="3"/>
      <c r="CH171" s="3"/>
      <c r="CI171" s="3"/>
      <c r="CJ171" s="3"/>
      <c r="CK171" s="3"/>
      <c r="CL171" s="3"/>
      <c r="CM171" s="3"/>
      <c r="CN171" s="3"/>
      <c r="CO171" s="3"/>
      <c r="CP171" s="3"/>
      <c r="CQ171" s="3"/>
      <c r="CR171" s="3"/>
      <c r="CS171" s="3"/>
      <c r="CT171" s="3"/>
      <c r="CU171" s="3"/>
      <c r="CV171" s="3"/>
      <c r="CW171" s="3"/>
      <c r="CX171" s="3"/>
      <c r="CY171" s="3"/>
      <c r="CZ171" s="3"/>
    </row>
    <row r="172" customFormat="false" ht="15.75" hidden="false" customHeight="false" outlineLevel="0" collapsed="false">
      <c r="A172" s="309" t="s">
        <v>1403</v>
      </c>
      <c r="B172" s="309" t="s">
        <v>1404</v>
      </c>
      <c r="C172" s="309" t="s">
        <v>1405</v>
      </c>
      <c r="D172" s="309" t="s">
        <v>1406</v>
      </c>
      <c r="E172" s="309" t="s">
        <v>1407</v>
      </c>
      <c r="F172" s="318" t="b">
        <f aca="false">TRUE()</f>
        <v>1</v>
      </c>
      <c r="G172" s="309" t="s">
        <v>801</v>
      </c>
      <c r="H172" s="309" t="s">
        <v>1404</v>
      </c>
      <c r="I172" s="312" t="n">
        <v>-1</v>
      </c>
      <c r="J172" s="3"/>
      <c r="K172" s="309" t="s">
        <v>884</v>
      </c>
      <c r="L172" s="312" t="n">
        <v>5</v>
      </c>
      <c r="M172" s="309" t="s">
        <v>742</v>
      </c>
      <c r="N172" s="309" t="s">
        <v>743</v>
      </c>
      <c r="O172" s="309" t="s">
        <v>763</v>
      </c>
      <c r="P172" s="309" t="s">
        <v>745</v>
      </c>
      <c r="Q172" s="309" t="s">
        <v>746</v>
      </c>
      <c r="R172" s="318" t="b">
        <f aca="false">FALSE()</f>
        <v>0</v>
      </c>
      <c r="S172" s="312" t="n">
        <v>80</v>
      </c>
      <c r="T172" s="312" t="n">
        <v>80</v>
      </c>
      <c r="U172" s="312" t="n">
        <v>95</v>
      </c>
      <c r="V172" s="312" t="n">
        <v>120</v>
      </c>
      <c r="W172" s="312" t="n">
        <v>100</v>
      </c>
      <c r="X172" s="312" t="n">
        <v>100</v>
      </c>
      <c r="Y172" s="312" t="n">
        <v>0.2</v>
      </c>
      <c r="Z172" s="312" t="n">
        <v>0.7</v>
      </c>
      <c r="AA172" s="312" t="n">
        <v>10</v>
      </c>
      <c r="AB172" s="312" t="n">
        <v>2980</v>
      </c>
      <c r="AC172" s="309" t="s">
        <v>1253</v>
      </c>
      <c r="AD172" s="309" t="s">
        <v>182</v>
      </c>
      <c r="AE172" s="312" t="n">
        <v>75</v>
      </c>
      <c r="AF172" s="312" t="n">
        <v>120</v>
      </c>
      <c r="AG172" s="312" t="n">
        <v>300</v>
      </c>
      <c r="AH172" s="312" t="n">
        <v>420</v>
      </c>
      <c r="AI172" s="312" t="n">
        <v>190</v>
      </c>
      <c r="AJ172" s="318" t="b">
        <f aca="false">TRUE()</f>
        <v>1</v>
      </c>
      <c r="AK172" s="318" t="b">
        <f aca="false">FALSE()</f>
        <v>0</v>
      </c>
      <c r="AL172" s="309" t="s">
        <v>1247</v>
      </c>
      <c r="AM172" s="318" t="b">
        <f aca="false">FALSE()</f>
        <v>0</v>
      </c>
      <c r="AN172" s="318" t="b">
        <f aca="false">FALSE()</f>
        <v>0</v>
      </c>
      <c r="AO172" s="312" t="n">
        <v>350</v>
      </c>
      <c r="AP172" s="312" t="n">
        <v>1</v>
      </c>
      <c r="AQ172" s="312" t="n">
        <v>5</v>
      </c>
      <c r="AR172" s="312" t="n">
        <v>25</v>
      </c>
      <c r="AS172" s="312" t="n">
        <v>90</v>
      </c>
      <c r="AT172" s="312" t="n">
        <v>1</v>
      </c>
      <c r="AU172" s="318" t="b">
        <f aca="false">FALSE()</f>
        <v>0</v>
      </c>
      <c r="AV172" s="318" t="b">
        <f aca="false">FALSE()</f>
        <v>0</v>
      </c>
      <c r="AW172" s="312" t="n">
        <v>9</v>
      </c>
      <c r="AX172" s="318" t="b">
        <f aca="false">TRUE()</f>
        <v>1</v>
      </c>
      <c r="AY172" s="318" t="b">
        <f aca="false">TRUE()</f>
        <v>1</v>
      </c>
      <c r="AZ172" s="312" t="n">
        <v>100</v>
      </c>
      <c r="BA172" s="312" t="n">
        <v>50</v>
      </c>
      <c r="BB172" s="312" t="n">
        <v>850</v>
      </c>
      <c r="BC172" s="312" t="n">
        <v>0</v>
      </c>
      <c r="BD172" s="312" t="n">
        <v>0</v>
      </c>
      <c r="BE172" s="312" t="n">
        <v>0</v>
      </c>
      <c r="BF172" s="312" t="n">
        <v>0</v>
      </c>
      <c r="BG172" s="312" t="n">
        <v>0</v>
      </c>
      <c r="BH172" s="312" t="n">
        <v>0</v>
      </c>
      <c r="BI172" s="312" t="n">
        <v>0</v>
      </c>
      <c r="BJ172" s="312" t="n">
        <v>3</v>
      </c>
      <c r="BK172" s="312" t="n">
        <v>0</v>
      </c>
      <c r="BL172" s="312" t="n">
        <v>0</v>
      </c>
      <c r="BM172" s="312" t="n">
        <v>0</v>
      </c>
      <c r="BN172" s="312" t="n">
        <v>0</v>
      </c>
      <c r="BO172" s="312" t="n">
        <v>0</v>
      </c>
      <c r="BP172" s="309" t="s">
        <v>802</v>
      </c>
      <c r="BQ172" s="309" t="s">
        <v>182</v>
      </c>
      <c r="BR172" s="309" t="s">
        <v>182</v>
      </c>
      <c r="BS172" s="309" t="s">
        <v>182</v>
      </c>
      <c r="BT172" s="312" t="n">
        <v>240</v>
      </c>
      <c r="BU172" s="318" t="b">
        <f aca="false">FALSE()</f>
        <v>0</v>
      </c>
      <c r="BV172" s="3" t="e">
        <f aca="false">xlookup(MID($A172,7,50),$A$2:$A$139,$BV$2:$BV$139,,0,1)</f>
        <v>#NAME?</v>
      </c>
      <c r="BW172" s="3"/>
      <c r="BX172" s="85" t="n">
        <v>19</v>
      </c>
      <c r="BY172" s="3" t="s">
        <v>803</v>
      </c>
      <c r="BZ172" s="3" t="s">
        <v>804</v>
      </c>
      <c r="CA172" s="3" t="s">
        <v>805</v>
      </c>
      <c r="CB172" s="85" t="n">
        <v>1.1</v>
      </c>
      <c r="CC172" s="85" t="n">
        <v>1.3</v>
      </c>
      <c r="CD172" s="85" t="n">
        <v>1.6</v>
      </c>
      <c r="CE172" s="85" t="n">
        <v>2</v>
      </c>
      <c r="CF172" s="85" t="n">
        <v>2.5</v>
      </c>
      <c r="CG172" s="3"/>
      <c r="CH172" s="3"/>
      <c r="CI172" s="3"/>
      <c r="CJ172" s="3"/>
      <c r="CK172" s="3"/>
      <c r="CL172" s="3"/>
      <c r="CM172" s="3"/>
      <c r="CN172" s="3"/>
      <c r="CO172" s="3"/>
      <c r="CP172" s="3"/>
      <c r="CQ172" s="3"/>
      <c r="CR172" s="3"/>
      <c r="CS172" s="3"/>
      <c r="CT172" s="3"/>
      <c r="CU172" s="3"/>
      <c r="CV172" s="3" t="s">
        <v>806</v>
      </c>
      <c r="CW172" s="3" t="s">
        <v>806</v>
      </c>
      <c r="CX172" s="3" t="s">
        <v>806</v>
      </c>
      <c r="CY172" s="3" t="s">
        <v>806</v>
      </c>
      <c r="CZ172" s="3" t="s">
        <v>806</v>
      </c>
    </row>
    <row r="173" customFormat="false" ht="15.75" hidden="false" customHeight="false" outlineLevel="0" collapsed="false">
      <c r="A173" s="309" t="s">
        <v>1408</v>
      </c>
      <c r="B173" s="309" t="s">
        <v>1409</v>
      </c>
      <c r="C173" s="309" t="s">
        <v>1410</v>
      </c>
      <c r="D173" s="309" t="s">
        <v>1411</v>
      </c>
      <c r="E173" s="309" t="s">
        <v>1412</v>
      </c>
      <c r="F173" s="318" t="b">
        <f aca="false">TRUE()</f>
        <v>1</v>
      </c>
      <c r="G173" s="309" t="s">
        <v>807</v>
      </c>
      <c r="H173" s="309" t="s">
        <v>1409</v>
      </c>
      <c r="I173" s="312" t="n">
        <v>-1</v>
      </c>
      <c r="J173" s="3"/>
      <c r="K173" s="309" t="s">
        <v>884</v>
      </c>
      <c r="L173" s="312" t="n">
        <v>2</v>
      </c>
      <c r="M173" s="309" t="s">
        <v>789</v>
      </c>
      <c r="N173" s="309" t="s">
        <v>743</v>
      </c>
      <c r="O173" s="309" t="s">
        <v>790</v>
      </c>
      <c r="P173" s="309" t="s">
        <v>745</v>
      </c>
      <c r="Q173" s="309" t="s">
        <v>746</v>
      </c>
      <c r="R173" s="318" t="b">
        <f aca="false">FALSE()</f>
        <v>0</v>
      </c>
      <c r="S173" s="312" t="n">
        <v>75</v>
      </c>
      <c r="T173" s="312" t="n">
        <v>120</v>
      </c>
      <c r="U173" s="312" t="n">
        <v>85</v>
      </c>
      <c r="V173" s="312" t="n">
        <v>60</v>
      </c>
      <c r="W173" s="312" t="n">
        <v>100</v>
      </c>
      <c r="X173" s="312" t="n">
        <v>100</v>
      </c>
      <c r="Y173" s="312" t="n">
        <v>0.2</v>
      </c>
      <c r="Z173" s="312" t="n">
        <v>0.7</v>
      </c>
      <c r="AA173" s="312" t="n">
        <v>10</v>
      </c>
      <c r="AB173" s="312" t="n">
        <v>2010</v>
      </c>
      <c r="AC173" s="309" t="s">
        <v>1253</v>
      </c>
      <c r="AD173" s="309" t="s">
        <v>182</v>
      </c>
      <c r="AE173" s="312" t="n">
        <v>100</v>
      </c>
      <c r="AF173" s="312" t="n">
        <v>200</v>
      </c>
      <c r="AG173" s="312" t="n">
        <v>600</v>
      </c>
      <c r="AH173" s="312" t="n">
        <v>700</v>
      </c>
      <c r="AI173" s="312" t="n">
        <v>400</v>
      </c>
      <c r="AJ173" s="318" t="b">
        <f aca="false">TRUE()</f>
        <v>1</v>
      </c>
      <c r="AK173" s="318" t="b">
        <f aca="false">FALSE()</f>
        <v>0</v>
      </c>
      <c r="AL173" s="309" t="s">
        <v>1247</v>
      </c>
      <c r="AM173" s="318" t="b">
        <f aca="false">FALSE()</f>
        <v>0</v>
      </c>
      <c r="AN173" s="318" t="b">
        <f aca="false">FALSE()</f>
        <v>0</v>
      </c>
      <c r="AO173" s="312" t="n">
        <v>300</v>
      </c>
      <c r="AP173" s="312" t="n">
        <v>1</v>
      </c>
      <c r="AQ173" s="312" t="n">
        <v>4</v>
      </c>
      <c r="AR173" s="312" t="n">
        <v>25</v>
      </c>
      <c r="AS173" s="312" t="n">
        <v>90</v>
      </c>
      <c r="AT173" s="312" t="n">
        <v>1</v>
      </c>
      <c r="AU173" s="318" t="b">
        <f aca="false">FALSE()</f>
        <v>0</v>
      </c>
      <c r="AV173" s="318" t="b">
        <f aca="false">FALSE()</f>
        <v>0</v>
      </c>
      <c r="AW173" s="312" t="n">
        <v>9</v>
      </c>
      <c r="AX173" s="318" t="b">
        <f aca="false">TRUE()</f>
        <v>1</v>
      </c>
      <c r="AY173" s="318" t="b">
        <f aca="false">TRUE()</f>
        <v>1</v>
      </c>
      <c r="AZ173" s="312" t="n">
        <v>100</v>
      </c>
      <c r="BA173" s="312" t="n">
        <v>50</v>
      </c>
      <c r="BB173" s="312" t="n">
        <v>1030</v>
      </c>
      <c r="BC173" s="312" t="n">
        <v>0</v>
      </c>
      <c r="BD173" s="312" t="n">
        <v>0</v>
      </c>
      <c r="BE173" s="312" t="n">
        <v>0</v>
      </c>
      <c r="BF173" s="312" t="n">
        <v>0</v>
      </c>
      <c r="BG173" s="312" t="n">
        <v>0</v>
      </c>
      <c r="BH173" s="312" t="n">
        <v>2</v>
      </c>
      <c r="BI173" s="312" t="n">
        <v>0</v>
      </c>
      <c r="BJ173" s="312" t="n">
        <v>0</v>
      </c>
      <c r="BK173" s="312" t="n">
        <v>0</v>
      </c>
      <c r="BL173" s="312" t="n">
        <v>0</v>
      </c>
      <c r="BM173" s="312" t="n">
        <v>0</v>
      </c>
      <c r="BN173" s="312" t="n">
        <v>0</v>
      </c>
      <c r="BO173" s="312" t="n">
        <v>0</v>
      </c>
      <c r="BP173" s="309" t="s">
        <v>182</v>
      </c>
      <c r="BQ173" s="309" t="s">
        <v>182</v>
      </c>
      <c r="BR173" s="309" t="s">
        <v>182</v>
      </c>
      <c r="BS173" s="309" t="s">
        <v>182</v>
      </c>
      <c r="BT173" s="312" t="n">
        <v>241</v>
      </c>
      <c r="BU173" s="318" t="b">
        <f aca="false">FALSE()</f>
        <v>0</v>
      </c>
      <c r="BV173" s="3" t="e">
        <f aca="false">xlookup(MID($A173,7,50),$A$2:$A$139,$BV$2:$BV$139,,0,1)</f>
        <v>#NAME?</v>
      </c>
      <c r="BW173" s="3"/>
      <c r="BX173" s="85" t="n">
        <v>23</v>
      </c>
      <c r="BY173" s="3" t="s">
        <v>808</v>
      </c>
      <c r="BZ173" s="3" t="s">
        <v>809</v>
      </c>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row>
    <row r="174" customFormat="false" ht="15.75" hidden="false" customHeight="false" outlineLevel="0" collapsed="false">
      <c r="A174" s="309" t="s">
        <v>611</v>
      </c>
      <c r="B174" s="309" t="s">
        <v>1413</v>
      </c>
      <c r="C174" s="309" t="s">
        <v>1414</v>
      </c>
      <c r="D174" s="309" t="s">
        <v>1415</v>
      </c>
      <c r="E174" s="309" t="s">
        <v>1416</v>
      </c>
      <c r="F174" s="318" t="b">
        <f aca="false">TRUE()</f>
        <v>1</v>
      </c>
      <c r="G174" s="309" t="s">
        <v>420</v>
      </c>
      <c r="H174" s="309" t="s">
        <v>1413</v>
      </c>
      <c r="I174" s="312" t="n">
        <v>-1</v>
      </c>
      <c r="J174" s="3"/>
      <c r="K174" s="309" t="s">
        <v>773</v>
      </c>
      <c r="L174" s="312" t="n">
        <v>1</v>
      </c>
      <c r="M174" s="309" t="s">
        <v>810</v>
      </c>
      <c r="N174" s="309" t="s">
        <v>743</v>
      </c>
      <c r="O174" s="309" t="s">
        <v>744</v>
      </c>
      <c r="P174" s="309" t="s">
        <v>745</v>
      </c>
      <c r="Q174" s="309" t="s">
        <v>746</v>
      </c>
      <c r="R174" s="318" t="b">
        <f aca="false">FALSE()</f>
        <v>0</v>
      </c>
      <c r="S174" s="312" t="n">
        <v>60</v>
      </c>
      <c r="T174" s="312" t="n">
        <v>60</v>
      </c>
      <c r="U174" s="312" t="n">
        <v>80</v>
      </c>
      <c r="V174" s="312" t="n">
        <v>70</v>
      </c>
      <c r="W174" s="312" t="n">
        <v>80</v>
      </c>
      <c r="X174" s="312" t="n">
        <v>100</v>
      </c>
      <c r="Y174" s="312" t="n">
        <v>0.4</v>
      </c>
      <c r="Z174" s="312" t="n">
        <v>0.77</v>
      </c>
      <c r="AA174" s="312" t="n">
        <v>10</v>
      </c>
      <c r="AB174" s="312" t="n">
        <v>1030</v>
      </c>
      <c r="AC174" s="309" t="s">
        <v>836</v>
      </c>
      <c r="AD174" s="309" t="s">
        <v>182</v>
      </c>
      <c r="AE174" s="312" t="n">
        <v>40</v>
      </c>
      <c r="AF174" s="312" t="n">
        <v>80</v>
      </c>
      <c r="AG174" s="312" t="n">
        <v>350</v>
      </c>
      <c r="AH174" s="312" t="n">
        <v>500</v>
      </c>
      <c r="AI174" s="312" t="n">
        <v>270</v>
      </c>
      <c r="AJ174" s="318" t="b">
        <f aca="false">TRUE()</f>
        <v>1</v>
      </c>
      <c r="AK174" s="318" t="b">
        <f aca="false">FALSE()</f>
        <v>0</v>
      </c>
      <c r="AL174" s="309" t="s">
        <v>1247</v>
      </c>
      <c r="AM174" s="318" t="b">
        <f aca="false">FALSE()</f>
        <v>0</v>
      </c>
      <c r="AN174" s="318" t="b">
        <f aca="false">FALSE()</f>
        <v>0</v>
      </c>
      <c r="AO174" s="312" t="n">
        <v>150</v>
      </c>
      <c r="AP174" s="312" t="n">
        <v>1</v>
      </c>
      <c r="AQ174" s="312" t="n">
        <v>2</v>
      </c>
      <c r="AR174" s="312" t="n">
        <v>25</v>
      </c>
      <c r="AS174" s="312" t="n">
        <v>90</v>
      </c>
      <c r="AT174" s="312" t="n">
        <v>1</v>
      </c>
      <c r="AU174" s="318" t="b">
        <f aca="false">FALSE()</f>
        <v>0</v>
      </c>
      <c r="AV174" s="318" t="b">
        <f aca="false">FALSE()</f>
        <v>0</v>
      </c>
      <c r="AW174" s="312" t="n">
        <v>9</v>
      </c>
      <c r="AX174" s="318" t="b">
        <f aca="false">FALSE()</f>
        <v>0</v>
      </c>
      <c r="AY174" s="318" t="b">
        <f aca="false">TRUE()</f>
        <v>1</v>
      </c>
      <c r="AZ174" s="312" t="n">
        <v>100</v>
      </c>
      <c r="BA174" s="312" t="n">
        <v>50</v>
      </c>
      <c r="BB174" s="312" t="n">
        <v>1410</v>
      </c>
      <c r="BC174" s="312" t="n">
        <v>0</v>
      </c>
      <c r="BD174" s="312" t="n">
        <v>0</v>
      </c>
      <c r="BE174" s="312" t="n">
        <v>0</v>
      </c>
      <c r="BF174" s="312" t="n">
        <v>1</v>
      </c>
      <c r="BG174" s="312" t="n">
        <v>1</v>
      </c>
      <c r="BH174" s="312" t="n">
        <v>0</v>
      </c>
      <c r="BI174" s="312" t="n">
        <v>0</v>
      </c>
      <c r="BJ174" s="312" t="n">
        <v>0</v>
      </c>
      <c r="BK174" s="312" t="n">
        <v>0</v>
      </c>
      <c r="BL174" s="312" t="n">
        <v>0</v>
      </c>
      <c r="BM174" s="312" t="n">
        <v>0</v>
      </c>
      <c r="BN174" s="312" t="n">
        <v>1</v>
      </c>
      <c r="BO174" s="312" t="n">
        <v>0</v>
      </c>
      <c r="BP174" s="309" t="s">
        <v>182</v>
      </c>
      <c r="BQ174" s="309" t="s">
        <v>182</v>
      </c>
      <c r="BR174" s="309" t="s">
        <v>182</v>
      </c>
      <c r="BS174" s="309" t="s">
        <v>182</v>
      </c>
      <c r="BT174" s="312" t="n">
        <v>242</v>
      </c>
      <c r="BU174" s="318" t="b">
        <f aca="false">FALSE()</f>
        <v>0</v>
      </c>
      <c r="BV174" s="3" t="e">
        <f aca="false">xlookup(MID($A174,7,50),$A$2:$A$139,$BV$2:$BV$139,,0,1)</f>
        <v>#NAME?</v>
      </c>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t="s">
        <v>1004</v>
      </c>
      <c r="CV174" s="3" t="s">
        <v>850</v>
      </c>
      <c r="CW174" s="3" t="s">
        <v>851</v>
      </c>
      <c r="CX174" s="3" t="s">
        <v>852</v>
      </c>
      <c r="CY174" s="3" t="s">
        <v>853</v>
      </c>
      <c r="CZ174" s="3" t="s">
        <v>854</v>
      </c>
    </row>
    <row r="175" customFormat="false" ht="15.75" hidden="false" customHeight="false" outlineLevel="0" collapsed="false">
      <c r="A175" s="309" t="s">
        <v>1417</v>
      </c>
      <c r="B175" s="309" t="s">
        <v>1418</v>
      </c>
      <c r="C175" s="309" t="s">
        <v>1419</v>
      </c>
      <c r="D175" s="309" t="s">
        <v>1420</v>
      </c>
      <c r="E175" s="309" t="s">
        <v>1421</v>
      </c>
      <c r="F175" s="318" t="b">
        <f aca="false">TRUE()</f>
        <v>1</v>
      </c>
      <c r="G175" s="309" t="s">
        <v>444</v>
      </c>
      <c r="H175" s="309" t="s">
        <v>1418</v>
      </c>
      <c r="I175" s="312" t="n">
        <v>-1</v>
      </c>
      <c r="J175" s="3"/>
      <c r="K175" s="309" t="s">
        <v>884</v>
      </c>
      <c r="L175" s="312" t="n">
        <v>8</v>
      </c>
      <c r="M175" s="309" t="s">
        <v>810</v>
      </c>
      <c r="N175" s="309" t="s">
        <v>743</v>
      </c>
      <c r="O175" s="309" t="s">
        <v>744</v>
      </c>
      <c r="P175" s="309" t="s">
        <v>745</v>
      </c>
      <c r="Q175" s="309" t="s">
        <v>746</v>
      </c>
      <c r="R175" s="318" t="b">
        <f aca="false">FALSE()</f>
        <v>0</v>
      </c>
      <c r="S175" s="312" t="n">
        <v>105</v>
      </c>
      <c r="T175" s="312" t="n">
        <v>120</v>
      </c>
      <c r="U175" s="312" t="n">
        <v>100</v>
      </c>
      <c r="V175" s="312" t="n">
        <v>100</v>
      </c>
      <c r="W175" s="312" t="n">
        <v>100</v>
      </c>
      <c r="X175" s="312" t="n">
        <v>100</v>
      </c>
      <c r="Y175" s="312" t="n">
        <v>0.2</v>
      </c>
      <c r="Z175" s="312" t="n">
        <v>0.7</v>
      </c>
      <c r="AA175" s="312" t="n">
        <v>10</v>
      </c>
      <c r="AB175" s="312" t="n">
        <v>7720</v>
      </c>
      <c r="AC175" s="309" t="s">
        <v>1253</v>
      </c>
      <c r="AD175" s="309" t="s">
        <v>182</v>
      </c>
      <c r="AE175" s="312" t="n">
        <v>80</v>
      </c>
      <c r="AF175" s="312" t="n">
        <v>140</v>
      </c>
      <c r="AG175" s="312" t="n">
        <v>470</v>
      </c>
      <c r="AH175" s="312" t="n">
        <v>650</v>
      </c>
      <c r="AI175" s="312" t="n">
        <v>210</v>
      </c>
      <c r="AJ175" s="318" t="b">
        <f aca="false">TRUE()</f>
        <v>1</v>
      </c>
      <c r="AK175" s="318" t="b">
        <f aca="false">FALSE()</f>
        <v>0</v>
      </c>
      <c r="AL175" s="309" t="s">
        <v>1247</v>
      </c>
      <c r="AM175" s="318" t="b">
        <f aca="false">FALSE()</f>
        <v>0</v>
      </c>
      <c r="AN175" s="318" t="b">
        <f aca="false">FALSE()</f>
        <v>0</v>
      </c>
      <c r="AO175" s="312" t="n">
        <v>475</v>
      </c>
      <c r="AP175" s="312" t="n">
        <v>1</v>
      </c>
      <c r="AQ175" s="312" t="n">
        <v>7</v>
      </c>
      <c r="AR175" s="312" t="n">
        <v>25</v>
      </c>
      <c r="AS175" s="312" t="n">
        <v>90</v>
      </c>
      <c r="AT175" s="312" t="n">
        <v>1</v>
      </c>
      <c r="AU175" s="318" t="b">
        <f aca="false">FALSE()</f>
        <v>0</v>
      </c>
      <c r="AV175" s="318" t="b">
        <f aca="false">FALSE()</f>
        <v>0</v>
      </c>
      <c r="AW175" s="312" t="n">
        <v>9</v>
      </c>
      <c r="AX175" s="318" t="b">
        <f aca="false">TRUE()</f>
        <v>1</v>
      </c>
      <c r="AY175" s="318" t="b">
        <f aca="false">TRUE()</f>
        <v>1</v>
      </c>
      <c r="AZ175" s="312" t="n">
        <v>100</v>
      </c>
      <c r="BA175" s="312" t="n">
        <v>50</v>
      </c>
      <c r="BB175" s="312" t="n">
        <v>200</v>
      </c>
      <c r="BC175" s="312" t="n">
        <v>0</v>
      </c>
      <c r="BD175" s="312" t="n">
        <v>0</v>
      </c>
      <c r="BE175" s="312" t="n">
        <v>0</v>
      </c>
      <c r="BF175" s="312" t="n">
        <v>3</v>
      </c>
      <c r="BG175" s="312" t="n">
        <v>2</v>
      </c>
      <c r="BH175" s="312" t="n">
        <v>0</v>
      </c>
      <c r="BI175" s="312" t="n">
        <v>2</v>
      </c>
      <c r="BJ175" s="312" t="n">
        <v>0</v>
      </c>
      <c r="BK175" s="312" t="n">
        <v>0</v>
      </c>
      <c r="BL175" s="312" t="n">
        <v>0</v>
      </c>
      <c r="BM175" s="312" t="n">
        <v>0</v>
      </c>
      <c r="BN175" s="312" t="n">
        <v>3</v>
      </c>
      <c r="BO175" s="312" t="n">
        <v>0</v>
      </c>
      <c r="BP175" s="309" t="s">
        <v>182</v>
      </c>
      <c r="BQ175" s="309" t="s">
        <v>182</v>
      </c>
      <c r="BR175" s="309" t="s">
        <v>182</v>
      </c>
      <c r="BS175" s="309" t="s">
        <v>182</v>
      </c>
      <c r="BT175" s="312" t="n">
        <v>244</v>
      </c>
      <c r="BU175" s="318" t="b">
        <f aca="false">TRUE()</f>
        <v>1</v>
      </c>
      <c r="BV175" s="3" t="e">
        <f aca="false">xlookup(MID($A175,7,50),$A$2:$A$139,$BV$2:$BV$139,,0,1)</f>
        <v>#NAME?</v>
      </c>
      <c r="BW175" s="3"/>
      <c r="BX175" s="85" t="n">
        <v>40</v>
      </c>
      <c r="BY175" s="3" t="s">
        <v>811</v>
      </c>
      <c r="BZ175" s="3" t="s">
        <v>775</v>
      </c>
      <c r="CA175" s="3" t="s">
        <v>812</v>
      </c>
      <c r="CB175" s="85" t="n">
        <v>6</v>
      </c>
      <c r="CC175" s="85" t="n">
        <v>6.6</v>
      </c>
      <c r="CD175" s="85" t="n">
        <v>7.8</v>
      </c>
      <c r="CE175" s="85" t="n">
        <v>9.6</v>
      </c>
      <c r="CF175" s="85" t="n">
        <v>12</v>
      </c>
      <c r="CG175" s="311" t="b">
        <f aca="false">TRUE()</f>
        <v>1</v>
      </c>
      <c r="CH175" s="3" t="s">
        <v>776</v>
      </c>
      <c r="CI175" s="3"/>
      <c r="CJ175" s="3"/>
      <c r="CK175" s="3"/>
      <c r="CL175" s="3"/>
      <c r="CM175" s="3"/>
      <c r="CN175" s="3"/>
      <c r="CO175" s="3"/>
      <c r="CP175" s="3"/>
      <c r="CQ175" s="3"/>
      <c r="CR175" s="3"/>
      <c r="CS175" s="3"/>
      <c r="CT175" s="3"/>
      <c r="CU175" s="3"/>
      <c r="CV175" s="3"/>
      <c r="CW175" s="3"/>
      <c r="CX175" s="3"/>
      <c r="CY175" s="3"/>
      <c r="CZ175" s="3"/>
    </row>
    <row r="176" customFormat="false" ht="15.75" hidden="false" customHeight="false" outlineLevel="0" collapsed="false">
      <c r="A176" s="309" t="s">
        <v>1422</v>
      </c>
      <c r="B176" s="309" t="s">
        <v>1423</v>
      </c>
      <c r="C176" s="309" t="s">
        <v>1424</v>
      </c>
      <c r="D176" s="309" t="s">
        <v>1425</v>
      </c>
      <c r="E176" s="309" t="s">
        <v>1426</v>
      </c>
      <c r="F176" s="318" t="b">
        <f aca="false">TRUE()</f>
        <v>1</v>
      </c>
      <c r="G176" s="309" t="s">
        <v>434</v>
      </c>
      <c r="H176" s="309" t="s">
        <v>1423</v>
      </c>
      <c r="I176" s="312" t="n">
        <v>-1</v>
      </c>
      <c r="J176" s="3"/>
      <c r="K176" s="309" t="s">
        <v>884</v>
      </c>
      <c r="L176" s="312" t="n">
        <v>7</v>
      </c>
      <c r="M176" s="309" t="s">
        <v>885</v>
      </c>
      <c r="N176" s="309" t="s">
        <v>743</v>
      </c>
      <c r="O176" s="309" t="s">
        <v>744</v>
      </c>
      <c r="P176" s="309" t="s">
        <v>745</v>
      </c>
      <c r="Q176" s="309" t="s">
        <v>746</v>
      </c>
      <c r="R176" s="318" t="b">
        <f aca="false">FALSE()</f>
        <v>0</v>
      </c>
      <c r="S176" s="312" t="n">
        <v>110</v>
      </c>
      <c r="T176" s="312" t="n">
        <v>80</v>
      </c>
      <c r="U176" s="312" t="n">
        <v>80</v>
      </c>
      <c r="V176" s="312" t="n">
        <v>90</v>
      </c>
      <c r="W176" s="312" t="n">
        <v>100</v>
      </c>
      <c r="X176" s="312" t="n">
        <v>100</v>
      </c>
      <c r="Y176" s="312" t="n">
        <v>0.2</v>
      </c>
      <c r="Z176" s="312" t="n">
        <v>0.7</v>
      </c>
      <c r="AA176" s="312" t="n">
        <v>10</v>
      </c>
      <c r="AB176" s="312" t="n">
        <v>5230</v>
      </c>
      <c r="AC176" s="309" t="s">
        <v>1253</v>
      </c>
      <c r="AD176" s="309" t="s">
        <v>182</v>
      </c>
      <c r="AE176" s="312" t="n">
        <v>83</v>
      </c>
      <c r="AF176" s="312" t="n">
        <v>83</v>
      </c>
      <c r="AG176" s="312" t="n">
        <v>630</v>
      </c>
      <c r="AH176" s="312" t="n">
        <v>900</v>
      </c>
      <c r="AI176" s="312" t="n">
        <v>456</v>
      </c>
      <c r="AJ176" s="318" t="b">
        <f aca="false">TRUE()</f>
        <v>1</v>
      </c>
      <c r="AK176" s="318" t="b">
        <f aca="false">FALSE()</f>
        <v>0</v>
      </c>
      <c r="AL176" s="309" t="s">
        <v>1247</v>
      </c>
      <c r="AM176" s="318" t="b">
        <f aca="false">FALSE()</f>
        <v>0</v>
      </c>
      <c r="AN176" s="318" t="b">
        <f aca="false">FALSE()</f>
        <v>0</v>
      </c>
      <c r="AO176" s="312" t="n">
        <v>400</v>
      </c>
      <c r="AP176" s="312" t="n">
        <v>1</v>
      </c>
      <c r="AQ176" s="312" t="n">
        <v>6</v>
      </c>
      <c r="AR176" s="312" t="n">
        <v>25</v>
      </c>
      <c r="AS176" s="312" t="n">
        <v>90</v>
      </c>
      <c r="AT176" s="312" t="n">
        <v>1</v>
      </c>
      <c r="AU176" s="318" t="b">
        <f aca="false">FALSE()</f>
        <v>0</v>
      </c>
      <c r="AV176" s="318" t="b">
        <f aca="false">FALSE()</f>
        <v>0</v>
      </c>
      <c r="AW176" s="312" t="n">
        <v>9</v>
      </c>
      <c r="AX176" s="318" t="b">
        <f aca="false">FALSE()</f>
        <v>0</v>
      </c>
      <c r="AY176" s="318" t="b">
        <f aca="false">TRUE()</f>
        <v>1</v>
      </c>
      <c r="AZ176" s="312" t="n">
        <v>130</v>
      </c>
      <c r="BA176" s="312" t="n">
        <v>50</v>
      </c>
      <c r="BB176" s="312" t="n">
        <v>540</v>
      </c>
      <c r="BC176" s="312" t="n">
        <v>0</v>
      </c>
      <c r="BD176" s="312" t="n">
        <v>0</v>
      </c>
      <c r="BE176" s="312" t="n">
        <v>0</v>
      </c>
      <c r="BF176" s="312" t="n">
        <v>0</v>
      </c>
      <c r="BG176" s="312" t="n">
        <v>0</v>
      </c>
      <c r="BH176" s="312" t="n">
        <v>0</v>
      </c>
      <c r="BI176" s="312" t="n">
        <v>2</v>
      </c>
      <c r="BJ176" s="312" t="n">
        <v>0</v>
      </c>
      <c r="BK176" s="312" t="n">
        <v>0</v>
      </c>
      <c r="BL176" s="312" t="n">
        <v>0</v>
      </c>
      <c r="BM176" s="312" t="n">
        <v>0</v>
      </c>
      <c r="BN176" s="312" t="n">
        <v>0</v>
      </c>
      <c r="BO176" s="312" t="n">
        <v>0</v>
      </c>
      <c r="BP176" s="309" t="s">
        <v>182</v>
      </c>
      <c r="BQ176" s="309" t="s">
        <v>182</v>
      </c>
      <c r="BR176" s="309" t="s">
        <v>182</v>
      </c>
      <c r="BS176" s="309" t="s">
        <v>182</v>
      </c>
      <c r="BT176" s="312" t="n">
        <v>245</v>
      </c>
      <c r="BU176" s="318" t="b">
        <f aca="false">FALSE()</f>
        <v>0</v>
      </c>
      <c r="BV176" s="3" t="e">
        <f aca="false">xlookup(MID($A176,7,50),$A$2:$A$139,$BV$2:$BV$139,,0,1)</f>
        <v>#NAME?</v>
      </c>
      <c r="BW176" s="3"/>
      <c r="BX176" s="85" t="n">
        <v>21</v>
      </c>
      <c r="BY176" s="3" t="s">
        <v>913</v>
      </c>
      <c r="BZ176" s="3" t="s">
        <v>775</v>
      </c>
      <c r="CA176" s="3"/>
      <c r="CB176" s="3"/>
      <c r="CC176" s="3"/>
      <c r="CD176" s="3"/>
      <c r="CE176" s="3"/>
      <c r="CF176" s="3"/>
      <c r="CG176" s="311" t="b">
        <f aca="false">TRUE()</f>
        <v>1</v>
      </c>
      <c r="CH176" s="3" t="s">
        <v>914</v>
      </c>
      <c r="CI176" s="3"/>
      <c r="CJ176" s="3"/>
      <c r="CK176" s="3"/>
      <c r="CL176" s="3"/>
      <c r="CM176" s="3"/>
      <c r="CN176" s="3"/>
      <c r="CO176" s="3"/>
      <c r="CP176" s="3"/>
      <c r="CQ176" s="3"/>
      <c r="CR176" s="3"/>
      <c r="CS176" s="3"/>
      <c r="CT176" s="3"/>
      <c r="CU176" s="3"/>
      <c r="CV176" s="3" t="s">
        <v>915</v>
      </c>
      <c r="CW176" s="3" t="s">
        <v>916</v>
      </c>
      <c r="CX176" s="3" t="s">
        <v>917</v>
      </c>
      <c r="CY176" s="3" t="s">
        <v>918</v>
      </c>
      <c r="CZ176" s="3" t="s">
        <v>919</v>
      </c>
    </row>
    <row r="177" customFormat="false" ht="15.75" hidden="false" customHeight="false" outlineLevel="0" collapsed="false">
      <c r="A177" s="309" t="s">
        <v>1427</v>
      </c>
      <c r="B177" s="309" t="s">
        <v>1428</v>
      </c>
      <c r="C177" s="309" t="s">
        <v>1429</v>
      </c>
      <c r="D177" s="309" t="s">
        <v>1430</v>
      </c>
      <c r="E177" s="309" t="s">
        <v>1431</v>
      </c>
      <c r="F177" s="318" t="b">
        <f aca="false">TRUE()</f>
        <v>1</v>
      </c>
      <c r="G177" s="309" t="s">
        <v>520</v>
      </c>
      <c r="H177" s="309" t="s">
        <v>1428</v>
      </c>
      <c r="I177" s="312" t="n">
        <v>-1</v>
      </c>
      <c r="J177" s="3"/>
      <c r="K177" s="309" t="s">
        <v>884</v>
      </c>
      <c r="L177" s="312" t="n">
        <v>8</v>
      </c>
      <c r="M177" s="309" t="s">
        <v>885</v>
      </c>
      <c r="N177" s="309" t="s">
        <v>814</v>
      </c>
      <c r="O177" s="309" t="s">
        <v>744</v>
      </c>
      <c r="P177" s="309" t="s">
        <v>745</v>
      </c>
      <c r="Q177" s="309" t="s">
        <v>746</v>
      </c>
      <c r="R177" s="318" t="b">
        <f aca="false">FALSE()</f>
        <v>0</v>
      </c>
      <c r="S177" s="312" t="n">
        <v>115</v>
      </c>
      <c r="T177" s="312" t="n">
        <v>80</v>
      </c>
      <c r="U177" s="312" t="n">
        <v>80</v>
      </c>
      <c r="V177" s="312" t="n">
        <v>95</v>
      </c>
      <c r="W177" s="312" t="n">
        <v>100</v>
      </c>
      <c r="X177" s="312" t="n">
        <v>100</v>
      </c>
      <c r="Y177" s="312" t="n">
        <v>0.2</v>
      </c>
      <c r="Z177" s="312" t="n">
        <v>0.7</v>
      </c>
      <c r="AA177" s="312" t="n">
        <v>10</v>
      </c>
      <c r="AB177" s="312" t="n">
        <v>5320</v>
      </c>
      <c r="AC177" s="309" t="s">
        <v>1253</v>
      </c>
      <c r="AD177" s="309" t="s">
        <v>182</v>
      </c>
      <c r="AE177" s="312" t="n">
        <v>83</v>
      </c>
      <c r="AF177" s="312" t="n">
        <v>83</v>
      </c>
      <c r="AG177" s="312" t="n">
        <v>630</v>
      </c>
      <c r="AH177" s="312" t="n">
        <v>900</v>
      </c>
      <c r="AI177" s="312" t="n">
        <v>456</v>
      </c>
      <c r="AJ177" s="318" t="b">
        <f aca="false">TRUE()</f>
        <v>1</v>
      </c>
      <c r="AK177" s="318" t="b">
        <f aca="false">FALSE()</f>
        <v>0</v>
      </c>
      <c r="AL177" s="309" t="s">
        <v>1247</v>
      </c>
      <c r="AM177" s="318" t="b">
        <f aca="false">FALSE()</f>
        <v>0</v>
      </c>
      <c r="AN177" s="318" t="b">
        <f aca="false">FALSE()</f>
        <v>0</v>
      </c>
      <c r="AO177" s="312" t="n">
        <v>400</v>
      </c>
      <c r="AP177" s="312" t="n">
        <v>1</v>
      </c>
      <c r="AQ177" s="312" t="n">
        <v>6</v>
      </c>
      <c r="AR177" s="312" t="n">
        <v>25</v>
      </c>
      <c r="AS177" s="312" t="n">
        <v>90</v>
      </c>
      <c r="AT177" s="312" t="n">
        <v>1</v>
      </c>
      <c r="AU177" s="318" t="b">
        <f aca="false">FALSE()</f>
        <v>0</v>
      </c>
      <c r="AV177" s="318" t="b">
        <f aca="false">FALSE()</f>
        <v>0</v>
      </c>
      <c r="AW177" s="312" t="n">
        <v>9</v>
      </c>
      <c r="AX177" s="318" t="b">
        <f aca="false">FALSE()</f>
        <v>0</v>
      </c>
      <c r="AY177" s="318" t="b">
        <f aca="false">TRUE()</f>
        <v>1</v>
      </c>
      <c r="AZ177" s="312" t="n">
        <v>130</v>
      </c>
      <c r="BA177" s="312" t="n">
        <v>50</v>
      </c>
      <c r="BB177" s="312" t="n">
        <v>530</v>
      </c>
      <c r="BC177" s="312" t="n">
        <v>0</v>
      </c>
      <c r="BD177" s="312" t="n">
        <v>3</v>
      </c>
      <c r="BE177" s="312" t="n">
        <v>0</v>
      </c>
      <c r="BF177" s="312" t="n">
        <v>0</v>
      </c>
      <c r="BG177" s="312" t="n">
        <v>0</v>
      </c>
      <c r="BH177" s="312" t="n">
        <v>0</v>
      </c>
      <c r="BI177" s="312" t="n">
        <v>2</v>
      </c>
      <c r="BJ177" s="312" t="n">
        <v>0</v>
      </c>
      <c r="BK177" s="312" t="n">
        <v>0</v>
      </c>
      <c r="BL177" s="312" t="n">
        <v>0</v>
      </c>
      <c r="BM177" s="312" t="n">
        <v>0</v>
      </c>
      <c r="BN177" s="312" t="n">
        <v>0</v>
      </c>
      <c r="BO177" s="312" t="n">
        <v>0</v>
      </c>
      <c r="BP177" s="309" t="s">
        <v>182</v>
      </c>
      <c r="BQ177" s="309" t="s">
        <v>182</v>
      </c>
      <c r="BR177" s="309" t="s">
        <v>182</v>
      </c>
      <c r="BS177" s="309" t="s">
        <v>182</v>
      </c>
      <c r="BT177" s="312" t="n">
        <v>246</v>
      </c>
      <c r="BU177" s="318" t="b">
        <f aca="false">TRUE()</f>
        <v>1</v>
      </c>
      <c r="BV177" s="3" t="e">
        <f aca="false">xlookup(MID($A177,7,50),$A$2:$A$139,$BV$2:$BV$139,,0,1)</f>
        <v>#NAME?</v>
      </c>
      <c r="BW177" s="3"/>
      <c r="BX177" s="85" t="n">
        <v>28</v>
      </c>
      <c r="BY177" s="3" t="s">
        <v>920</v>
      </c>
      <c r="BZ177" s="3" t="s">
        <v>775</v>
      </c>
      <c r="CA177" s="3"/>
      <c r="CB177" s="3"/>
      <c r="CC177" s="3"/>
      <c r="CD177" s="3"/>
      <c r="CE177" s="3"/>
      <c r="CF177" s="3"/>
      <c r="CG177" s="311" t="b">
        <f aca="false">TRUE()</f>
        <v>1</v>
      </c>
      <c r="CH177" s="3" t="s">
        <v>914</v>
      </c>
      <c r="CI177" s="3"/>
      <c r="CJ177" s="3"/>
      <c r="CK177" s="3"/>
      <c r="CL177" s="3"/>
      <c r="CM177" s="3"/>
      <c r="CN177" s="3"/>
      <c r="CO177" s="3"/>
      <c r="CP177" s="3"/>
      <c r="CQ177" s="3"/>
      <c r="CR177" s="3"/>
      <c r="CS177" s="3"/>
      <c r="CT177" s="3"/>
      <c r="CU177" s="3"/>
      <c r="CV177" s="3" t="s">
        <v>921</v>
      </c>
      <c r="CW177" s="3" t="s">
        <v>922</v>
      </c>
      <c r="CX177" s="3" t="s">
        <v>923</v>
      </c>
      <c r="CY177" s="3" t="s">
        <v>924</v>
      </c>
      <c r="CZ177" s="3" t="s">
        <v>925</v>
      </c>
    </row>
    <row r="178" customFormat="false" ht="15.75" hidden="false" customHeight="false" outlineLevel="0" collapsed="false">
      <c r="A178" s="309" t="s">
        <v>1432</v>
      </c>
      <c r="B178" s="309" t="s">
        <v>1433</v>
      </c>
      <c r="C178" s="309" t="s">
        <v>1434</v>
      </c>
      <c r="D178" s="309" t="s">
        <v>1435</v>
      </c>
      <c r="E178" s="309" t="s">
        <v>1436</v>
      </c>
      <c r="F178" s="318" t="b">
        <f aca="false">TRUE()</f>
        <v>1</v>
      </c>
      <c r="G178" s="309" t="s">
        <v>959</v>
      </c>
      <c r="H178" s="309" t="s">
        <v>1433</v>
      </c>
      <c r="I178" s="312" t="n">
        <v>-1</v>
      </c>
      <c r="J178" s="3"/>
      <c r="K178" s="309" t="s">
        <v>884</v>
      </c>
      <c r="L178" s="312" t="n">
        <v>3</v>
      </c>
      <c r="M178" s="309" t="s">
        <v>789</v>
      </c>
      <c r="N178" s="309" t="s">
        <v>743</v>
      </c>
      <c r="O178" s="309" t="s">
        <v>763</v>
      </c>
      <c r="P178" s="309" t="s">
        <v>745</v>
      </c>
      <c r="Q178" s="309" t="s">
        <v>746</v>
      </c>
      <c r="R178" s="318" t="b">
        <f aca="false">FALSE()</f>
        <v>0</v>
      </c>
      <c r="S178" s="312" t="n">
        <v>110</v>
      </c>
      <c r="T178" s="312" t="n">
        <v>110</v>
      </c>
      <c r="U178" s="312" t="n">
        <v>110</v>
      </c>
      <c r="V178" s="312" t="n">
        <v>90</v>
      </c>
      <c r="W178" s="312" t="n">
        <v>100</v>
      </c>
      <c r="X178" s="312" t="n">
        <v>100</v>
      </c>
      <c r="Y178" s="312" t="n">
        <v>0.2</v>
      </c>
      <c r="Z178" s="312" t="n">
        <v>0.7</v>
      </c>
      <c r="AA178" s="312" t="n">
        <v>10</v>
      </c>
      <c r="AB178" s="312" t="n">
        <v>2250</v>
      </c>
      <c r="AC178" s="309" t="s">
        <v>1253</v>
      </c>
      <c r="AD178" s="309" t="s">
        <v>182</v>
      </c>
      <c r="AE178" s="312" t="n">
        <v>85</v>
      </c>
      <c r="AF178" s="312" t="n">
        <v>100</v>
      </c>
      <c r="AG178" s="312" t="n">
        <v>750</v>
      </c>
      <c r="AH178" s="312" t="n">
        <v>1150</v>
      </c>
      <c r="AI178" s="312" t="n">
        <v>417</v>
      </c>
      <c r="AJ178" s="318" t="b">
        <f aca="false">TRUE()</f>
        <v>1</v>
      </c>
      <c r="AK178" s="318" t="b">
        <f aca="false">FALSE()</f>
        <v>0</v>
      </c>
      <c r="AL178" s="309" t="s">
        <v>1247</v>
      </c>
      <c r="AM178" s="318" t="b">
        <f aca="false">FALSE()</f>
        <v>0</v>
      </c>
      <c r="AN178" s="318" t="b">
        <f aca="false">FALSE()</f>
        <v>0</v>
      </c>
      <c r="AO178" s="312" t="n">
        <v>400</v>
      </c>
      <c r="AP178" s="312" t="n">
        <v>1</v>
      </c>
      <c r="AQ178" s="312" t="n">
        <v>6</v>
      </c>
      <c r="AR178" s="312" t="n">
        <v>25</v>
      </c>
      <c r="AS178" s="312" t="n">
        <v>90</v>
      </c>
      <c r="AT178" s="312" t="n">
        <v>1</v>
      </c>
      <c r="AU178" s="318" t="b">
        <f aca="false">FALSE()</f>
        <v>0</v>
      </c>
      <c r="AV178" s="318" t="b">
        <f aca="false">FALSE()</f>
        <v>0</v>
      </c>
      <c r="AW178" s="312" t="n">
        <v>9</v>
      </c>
      <c r="AX178" s="318" t="b">
        <f aca="false">FALSE()</f>
        <v>0</v>
      </c>
      <c r="AY178" s="318" t="b">
        <f aca="false">TRUE()</f>
        <v>1</v>
      </c>
      <c r="AZ178" s="312" t="n">
        <v>100</v>
      </c>
      <c r="BA178" s="312" t="n">
        <v>50</v>
      </c>
      <c r="BB178" s="312" t="n">
        <v>980</v>
      </c>
      <c r="BC178" s="312" t="n">
        <v>0</v>
      </c>
      <c r="BD178" s="312" t="n">
        <v>0</v>
      </c>
      <c r="BE178" s="312" t="n">
        <v>0</v>
      </c>
      <c r="BF178" s="312" t="n">
        <v>0</v>
      </c>
      <c r="BG178" s="312" t="n">
        <v>0</v>
      </c>
      <c r="BH178" s="312" t="n">
        <v>0</v>
      </c>
      <c r="BI178" s="312" t="n">
        <v>2</v>
      </c>
      <c r="BJ178" s="312" t="n">
        <v>0</v>
      </c>
      <c r="BK178" s="312" t="n">
        <v>0</v>
      </c>
      <c r="BL178" s="312" t="n">
        <v>0</v>
      </c>
      <c r="BM178" s="312" t="n">
        <v>0</v>
      </c>
      <c r="BN178" s="312" t="n">
        <v>0</v>
      </c>
      <c r="BO178" s="312" t="n">
        <v>0</v>
      </c>
      <c r="BP178" s="309" t="s">
        <v>182</v>
      </c>
      <c r="BQ178" s="309" t="s">
        <v>182</v>
      </c>
      <c r="BR178" s="309" t="s">
        <v>182</v>
      </c>
      <c r="BS178" s="309" t="s">
        <v>182</v>
      </c>
      <c r="BT178" s="312" t="n">
        <v>248</v>
      </c>
      <c r="BU178" s="318" t="b">
        <f aca="false">FALSE()</f>
        <v>0</v>
      </c>
      <c r="BV178" s="3" t="e">
        <f aca="false">xlookup(MID($A178,7,50),$A$2:$A$139,$BV$2:$BV$139,,0,1)</f>
        <v>#NAME?</v>
      </c>
      <c r="BW178" s="3"/>
      <c r="BX178" s="85" t="n">
        <v>26</v>
      </c>
      <c r="BY178" s="3" t="s">
        <v>960</v>
      </c>
      <c r="BZ178" s="3" t="s">
        <v>775</v>
      </c>
      <c r="CA178" s="3"/>
      <c r="CB178" s="3"/>
      <c r="CC178" s="3"/>
      <c r="CD178" s="3"/>
      <c r="CE178" s="3"/>
      <c r="CF178" s="3"/>
      <c r="CG178" s="311" t="b">
        <f aca="false">TRUE()</f>
        <v>1</v>
      </c>
      <c r="CH178" s="3" t="s">
        <v>776</v>
      </c>
      <c r="CI178" s="3"/>
      <c r="CJ178" s="3"/>
      <c r="CK178" s="3"/>
      <c r="CL178" s="3"/>
      <c r="CM178" s="3"/>
      <c r="CN178" s="3"/>
      <c r="CO178" s="3"/>
      <c r="CP178" s="3"/>
      <c r="CQ178" s="3"/>
      <c r="CR178" s="3"/>
      <c r="CS178" s="3"/>
      <c r="CT178" s="3"/>
      <c r="CU178" s="3"/>
      <c r="CV178" s="3"/>
      <c r="CW178" s="3" t="s">
        <v>819</v>
      </c>
      <c r="CX178" s="3" t="s">
        <v>820</v>
      </c>
      <c r="CY178" s="3" t="s">
        <v>821</v>
      </c>
      <c r="CZ178" s="3" t="s">
        <v>822</v>
      </c>
    </row>
    <row r="179" customFormat="false" ht="15.75" hidden="false" customHeight="false" outlineLevel="0" collapsed="false">
      <c r="A179" s="309" t="s">
        <v>1437</v>
      </c>
      <c r="B179" s="309" t="s">
        <v>1438</v>
      </c>
      <c r="C179" s="309" t="s">
        <v>1439</v>
      </c>
      <c r="D179" s="309" t="s">
        <v>1440</v>
      </c>
      <c r="E179" s="309" t="s">
        <v>1441</v>
      </c>
      <c r="F179" s="318" t="b">
        <f aca="false">TRUE()</f>
        <v>1</v>
      </c>
      <c r="G179" s="309" t="s">
        <v>437</v>
      </c>
      <c r="H179" s="309" t="s">
        <v>1438</v>
      </c>
      <c r="I179" s="312" t="n">
        <v>-1</v>
      </c>
      <c r="J179" s="3"/>
      <c r="K179" s="309" t="s">
        <v>884</v>
      </c>
      <c r="L179" s="312" t="n">
        <v>6</v>
      </c>
      <c r="M179" s="309" t="s">
        <v>757</v>
      </c>
      <c r="N179" s="309" t="s">
        <v>743</v>
      </c>
      <c r="O179" s="309" t="s">
        <v>763</v>
      </c>
      <c r="P179" s="309" t="s">
        <v>745</v>
      </c>
      <c r="Q179" s="309" t="s">
        <v>746</v>
      </c>
      <c r="R179" s="318" t="b">
        <f aca="false">FALSE()</f>
        <v>0</v>
      </c>
      <c r="S179" s="312" t="n">
        <v>100</v>
      </c>
      <c r="T179" s="312" t="n">
        <v>110</v>
      </c>
      <c r="U179" s="312" t="n">
        <v>95</v>
      </c>
      <c r="V179" s="312" t="n">
        <v>90</v>
      </c>
      <c r="W179" s="312" t="n">
        <v>100</v>
      </c>
      <c r="X179" s="312" t="n">
        <v>100</v>
      </c>
      <c r="Y179" s="312" t="n">
        <v>0.2</v>
      </c>
      <c r="Z179" s="312" t="n">
        <v>0.7</v>
      </c>
      <c r="AA179" s="312" t="n">
        <v>10</v>
      </c>
      <c r="AB179" s="312" t="n">
        <v>6720</v>
      </c>
      <c r="AC179" s="309" t="s">
        <v>1253</v>
      </c>
      <c r="AD179" s="309" t="s">
        <v>182</v>
      </c>
      <c r="AE179" s="312" t="n">
        <v>100</v>
      </c>
      <c r="AF179" s="312" t="n">
        <v>150</v>
      </c>
      <c r="AG179" s="312" t="n">
        <v>850</v>
      </c>
      <c r="AH179" s="312" t="n">
        <v>1400</v>
      </c>
      <c r="AI179" s="312" t="n">
        <v>500</v>
      </c>
      <c r="AJ179" s="318" t="b">
        <f aca="false">TRUE()</f>
        <v>1</v>
      </c>
      <c r="AK179" s="318" t="b">
        <f aca="false">FALSE()</f>
        <v>0</v>
      </c>
      <c r="AL179" s="309" t="s">
        <v>1247</v>
      </c>
      <c r="AM179" s="318" t="b">
        <f aca="false">FALSE()</f>
        <v>0</v>
      </c>
      <c r="AN179" s="318" t="b">
        <f aca="false">FALSE()</f>
        <v>0</v>
      </c>
      <c r="AO179" s="312" t="n">
        <v>350</v>
      </c>
      <c r="AP179" s="312" t="n">
        <v>1</v>
      </c>
      <c r="AQ179" s="312" t="n">
        <v>5</v>
      </c>
      <c r="AR179" s="312" t="n">
        <v>25</v>
      </c>
      <c r="AS179" s="312" t="n">
        <v>90</v>
      </c>
      <c r="AT179" s="312" t="n">
        <v>1</v>
      </c>
      <c r="AU179" s="318" t="b">
        <f aca="false">FALSE()</f>
        <v>0</v>
      </c>
      <c r="AV179" s="318" t="b">
        <f aca="false">FALSE()</f>
        <v>0</v>
      </c>
      <c r="AW179" s="312" t="n">
        <v>9</v>
      </c>
      <c r="AX179" s="318" t="b">
        <f aca="false">FALSE()</f>
        <v>0</v>
      </c>
      <c r="AY179" s="318" t="b">
        <f aca="false">TRUE()</f>
        <v>1</v>
      </c>
      <c r="AZ179" s="312" t="n">
        <v>100</v>
      </c>
      <c r="BA179" s="312" t="n">
        <v>50</v>
      </c>
      <c r="BB179" s="312" t="n">
        <v>360</v>
      </c>
      <c r="BC179" s="312" t="n">
        <v>2</v>
      </c>
      <c r="BD179" s="312" t="n">
        <v>0</v>
      </c>
      <c r="BE179" s="312" t="n">
        <v>0</v>
      </c>
      <c r="BF179" s="312" t="n">
        <v>0</v>
      </c>
      <c r="BG179" s="312" t="n">
        <v>0</v>
      </c>
      <c r="BH179" s="312" t="n">
        <v>0</v>
      </c>
      <c r="BI179" s="312" t="n">
        <v>1</v>
      </c>
      <c r="BJ179" s="312" t="n">
        <v>0</v>
      </c>
      <c r="BK179" s="312" t="n">
        <v>0</v>
      </c>
      <c r="BL179" s="312" t="n">
        <v>0</v>
      </c>
      <c r="BM179" s="312" t="n">
        <v>0</v>
      </c>
      <c r="BN179" s="312" t="n">
        <v>0</v>
      </c>
      <c r="BO179" s="312" t="n">
        <v>0</v>
      </c>
      <c r="BP179" s="309" t="s">
        <v>182</v>
      </c>
      <c r="BQ179" s="309" t="s">
        <v>182</v>
      </c>
      <c r="BR179" s="309" t="s">
        <v>182</v>
      </c>
      <c r="BS179" s="309" t="s">
        <v>182</v>
      </c>
      <c r="BT179" s="312" t="n">
        <v>249</v>
      </c>
      <c r="BU179" s="318" t="b">
        <f aca="false">FALSE()</f>
        <v>0</v>
      </c>
      <c r="BV179" s="3" t="e">
        <f aca="false">xlookup(MID($A179,7,50),$A$2:$A$139,$BV$2:$BV$139,,0,1)</f>
        <v>#NAME?</v>
      </c>
      <c r="BW179" s="3"/>
      <c r="BX179" s="85" t="n">
        <v>30</v>
      </c>
      <c r="BY179" s="3" t="s">
        <v>909</v>
      </c>
      <c r="BZ179" s="3" t="s">
        <v>775</v>
      </c>
      <c r="CA179" s="3"/>
      <c r="CB179" s="3"/>
      <c r="CC179" s="3"/>
      <c r="CD179" s="3"/>
      <c r="CE179" s="3"/>
      <c r="CF179" s="3"/>
      <c r="CG179" s="311" t="b">
        <f aca="false">TRUE()</f>
        <v>1</v>
      </c>
      <c r="CH179" s="3" t="s">
        <v>776</v>
      </c>
      <c r="CI179" s="3" t="s">
        <v>750</v>
      </c>
      <c r="CJ179" s="3" t="s">
        <v>910</v>
      </c>
      <c r="CK179" s="3" t="s">
        <v>910</v>
      </c>
      <c r="CL179" s="3" t="s">
        <v>910</v>
      </c>
      <c r="CM179" s="3" t="s">
        <v>910</v>
      </c>
      <c r="CN179" s="3" t="s">
        <v>910</v>
      </c>
      <c r="CO179" s="3"/>
      <c r="CP179" s="3"/>
      <c r="CQ179" s="3"/>
      <c r="CR179" s="3"/>
      <c r="CS179" s="3"/>
      <c r="CT179" s="3"/>
      <c r="CU179" s="3"/>
      <c r="CV179" s="3" t="s">
        <v>839</v>
      </c>
      <c r="CW179" s="3" t="s">
        <v>840</v>
      </c>
      <c r="CX179" s="3" t="s">
        <v>841</v>
      </c>
      <c r="CY179" s="3" t="s">
        <v>842</v>
      </c>
      <c r="CZ179" s="3" t="s">
        <v>843</v>
      </c>
    </row>
    <row r="180" customFormat="false" ht="15.75" hidden="false" customHeight="false" outlineLevel="0" collapsed="false">
      <c r="A180" s="309" t="s">
        <v>1442</v>
      </c>
      <c r="B180" s="309" t="s">
        <v>1443</v>
      </c>
      <c r="C180" s="309" t="s">
        <v>1444</v>
      </c>
      <c r="D180" s="309" t="s">
        <v>1445</v>
      </c>
      <c r="E180" s="309" t="s">
        <v>1446</v>
      </c>
      <c r="F180" s="318" t="b">
        <f aca="false">TRUE()</f>
        <v>1</v>
      </c>
      <c r="G180" s="309" t="s">
        <v>522</v>
      </c>
      <c r="H180" s="309" t="s">
        <v>1443</v>
      </c>
      <c r="I180" s="312" t="n">
        <v>-1</v>
      </c>
      <c r="J180" s="3"/>
      <c r="K180" s="309" t="s">
        <v>884</v>
      </c>
      <c r="L180" s="312" t="n">
        <v>7</v>
      </c>
      <c r="M180" s="309" t="s">
        <v>757</v>
      </c>
      <c r="N180" s="309" t="s">
        <v>758</v>
      </c>
      <c r="O180" s="309" t="s">
        <v>763</v>
      </c>
      <c r="P180" s="309" t="s">
        <v>745</v>
      </c>
      <c r="Q180" s="309" t="s">
        <v>746</v>
      </c>
      <c r="R180" s="318" t="b">
        <f aca="false">FALSE()</f>
        <v>0</v>
      </c>
      <c r="S180" s="312" t="n">
        <v>100</v>
      </c>
      <c r="T180" s="312" t="n">
        <v>110</v>
      </c>
      <c r="U180" s="312" t="n">
        <v>95</v>
      </c>
      <c r="V180" s="312" t="n">
        <v>90</v>
      </c>
      <c r="W180" s="312" t="n">
        <v>100</v>
      </c>
      <c r="X180" s="312" t="n">
        <v>100</v>
      </c>
      <c r="Y180" s="312" t="n">
        <v>0.2</v>
      </c>
      <c r="Z180" s="312" t="n">
        <v>0.7</v>
      </c>
      <c r="AA180" s="312" t="n">
        <v>10</v>
      </c>
      <c r="AB180" s="312" t="n">
        <v>7270</v>
      </c>
      <c r="AC180" s="309" t="s">
        <v>1253</v>
      </c>
      <c r="AD180" s="309" t="s">
        <v>182</v>
      </c>
      <c r="AE180" s="312" t="n">
        <v>100</v>
      </c>
      <c r="AF180" s="312" t="n">
        <v>150</v>
      </c>
      <c r="AG180" s="312" t="n">
        <v>850</v>
      </c>
      <c r="AH180" s="312" t="n">
        <v>1400</v>
      </c>
      <c r="AI180" s="312" t="n">
        <v>500</v>
      </c>
      <c r="AJ180" s="318" t="b">
        <f aca="false">TRUE()</f>
        <v>1</v>
      </c>
      <c r="AK180" s="318" t="b">
        <f aca="false">FALSE()</f>
        <v>0</v>
      </c>
      <c r="AL180" s="309" t="s">
        <v>1247</v>
      </c>
      <c r="AM180" s="318" t="b">
        <f aca="false">FALSE()</f>
        <v>0</v>
      </c>
      <c r="AN180" s="318" t="b">
        <f aca="false">FALSE()</f>
        <v>0</v>
      </c>
      <c r="AO180" s="312" t="n">
        <v>350</v>
      </c>
      <c r="AP180" s="312" t="n">
        <v>1</v>
      </c>
      <c r="AQ180" s="312" t="n">
        <v>5</v>
      </c>
      <c r="AR180" s="312" t="n">
        <v>25</v>
      </c>
      <c r="AS180" s="312" t="n">
        <v>90</v>
      </c>
      <c r="AT180" s="312" t="n">
        <v>1</v>
      </c>
      <c r="AU180" s="318" t="b">
        <f aca="false">FALSE()</f>
        <v>0</v>
      </c>
      <c r="AV180" s="318" t="b">
        <f aca="false">TRUE()</f>
        <v>1</v>
      </c>
      <c r="AW180" s="312" t="n">
        <v>9</v>
      </c>
      <c r="AX180" s="318" t="b">
        <f aca="false">FALSE()</f>
        <v>0</v>
      </c>
      <c r="AY180" s="318" t="b">
        <f aca="false">TRUE()</f>
        <v>1</v>
      </c>
      <c r="AZ180" s="312" t="n">
        <v>100</v>
      </c>
      <c r="BA180" s="312" t="n">
        <v>50</v>
      </c>
      <c r="BB180" s="312" t="n">
        <v>240</v>
      </c>
      <c r="BC180" s="312" t="n">
        <v>2</v>
      </c>
      <c r="BD180" s="312" t="n">
        <v>0</v>
      </c>
      <c r="BE180" s="312" t="n">
        <v>0</v>
      </c>
      <c r="BF180" s="312" t="n">
        <v>0</v>
      </c>
      <c r="BG180" s="312" t="n">
        <v>0</v>
      </c>
      <c r="BH180" s="312" t="n">
        <v>0</v>
      </c>
      <c r="BI180" s="312" t="n">
        <v>1</v>
      </c>
      <c r="BJ180" s="312" t="n">
        <v>0</v>
      </c>
      <c r="BK180" s="312" t="n">
        <v>0</v>
      </c>
      <c r="BL180" s="312" t="n">
        <v>0</v>
      </c>
      <c r="BM180" s="312" t="n">
        <v>0</v>
      </c>
      <c r="BN180" s="312" t="n">
        <v>0</v>
      </c>
      <c r="BO180" s="312" t="n">
        <v>0</v>
      </c>
      <c r="BP180" s="309" t="s">
        <v>182</v>
      </c>
      <c r="BQ180" s="309" t="s">
        <v>182</v>
      </c>
      <c r="BR180" s="309" t="s">
        <v>182</v>
      </c>
      <c r="BS180" s="309" t="s">
        <v>182</v>
      </c>
      <c r="BT180" s="312" t="n">
        <v>250</v>
      </c>
      <c r="BU180" s="318" t="b">
        <f aca="false">TRUE()</f>
        <v>1</v>
      </c>
      <c r="BV180" s="3" t="e">
        <f aca="false">xlookup(MID($A180,7,50),$A$2:$A$139,$BV$2:$BV$139,,0,1)</f>
        <v>#NAME?</v>
      </c>
      <c r="BW180" s="3"/>
      <c r="BX180" s="85" t="n">
        <v>33</v>
      </c>
      <c r="BY180" s="3" t="s">
        <v>911</v>
      </c>
      <c r="BZ180" s="3" t="s">
        <v>775</v>
      </c>
      <c r="CA180" s="3"/>
      <c r="CB180" s="3"/>
      <c r="CC180" s="3"/>
      <c r="CD180" s="3"/>
      <c r="CE180" s="3"/>
      <c r="CF180" s="3"/>
      <c r="CG180" s="311" t="b">
        <f aca="false">TRUE()</f>
        <v>1</v>
      </c>
      <c r="CH180" s="3" t="s">
        <v>776</v>
      </c>
      <c r="CI180" s="3" t="s">
        <v>750</v>
      </c>
      <c r="CJ180" s="3" t="s">
        <v>912</v>
      </c>
      <c r="CK180" s="3" t="s">
        <v>912</v>
      </c>
      <c r="CL180" s="3" t="s">
        <v>912</v>
      </c>
      <c r="CM180" s="3" t="s">
        <v>912</v>
      </c>
      <c r="CN180" s="3" t="s">
        <v>912</v>
      </c>
      <c r="CO180" s="3"/>
      <c r="CP180" s="3"/>
      <c r="CQ180" s="3"/>
      <c r="CR180" s="3"/>
      <c r="CS180" s="3"/>
      <c r="CT180" s="3"/>
      <c r="CU180" s="3"/>
      <c r="CV180" s="3" t="s">
        <v>839</v>
      </c>
      <c r="CW180" s="3" t="s">
        <v>840</v>
      </c>
      <c r="CX180" s="3" t="s">
        <v>841</v>
      </c>
      <c r="CY180" s="3" t="s">
        <v>842</v>
      </c>
      <c r="CZ180" s="3" t="s">
        <v>843</v>
      </c>
    </row>
    <row r="181" customFormat="false" ht="15.75" hidden="false" customHeight="false" outlineLevel="0" collapsed="false">
      <c r="A181" s="309" t="s">
        <v>1447</v>
      </c>
      <c r="B181" s="309" t="s">
        <v>1448</v>
      </c>
      <c r="C181" s="309" t="s">
        <v>1449</v>
      </c>
      <c r="D181" s="309" t="s">
        <v>1450</v>
      </c>
      <c r="E181" s="309" t="s">
        <v>1451</v>
      </c>
      <c r="F181" s="318" t="b">
        <f aca="false">TRUE()</f>
        <v>1</v>
      </c>
      <c r="G181" s="309" t="s">
        <v>475</v>
      </c>
      <c r="H181" s="309" t="s">
        <v>1448</v>
      </c>
      <c r="I181" s="312" t="n">
        <v>-1</v>
      </c>
      <c r="J181" s="3"/>
      <c r="K181" s="309" t="s">
        <v>773</v>
      </c>
      <c r="L181" s="312" t="n">
        <v>2</v>
      </c>
      <c r="M181" s="309" t="s">
        <v>757</v>
      </c>
      <c r="N181" s="309" t="s">
        <v>743</v>
      </c>
      <c r="O181" s="309" t="s">
        <v>763</v>
      </c>
      <c r="P181" s="309" t="s">
        <v>745</v>
      </c>
      <c r="Q181" s="309" t="s">
        <v>746</v>
      </c>
      <c r="R181" s="318" t="b">
        <f aca="false">FALSE()</f>
        <v>0</v>
      </c>
      <c r="S181" s="312" t="n">
        <v>75</v>
      </c>
      <c r="T181" s="312" t="n">
        <v>100</v>
      </c>
      <c r="U181" s="312" t="n">
        <v>70</v>
      </c>
      <c r="V181" s="312" t="n">
        <v>75</v>
      </c>
      <c r="W181" s="312" t="n">
        <v>100</v>
      </c>
      <c r="X181" s="312" t="n">
        <v>100</v>
      </c>
      <c r="Y181" s="312" t="n">
        <v>0.4</v>
      </c>
      <c r="Z181" s="312" t="n">
        <v>0.77</v>
      </c>
      <c r="AA181" s="312" t="n">
        <v>10</v>
      </c>
      <c r="AB181" s="312" t="n">
        <v>2950</v>
      </c>
      <c r="AC181" s="309" t="s">
        <v>836</v>
      </c>
      <c r="AD181" s="309" t="s">
        <v>182</v>
      </c>
      <c r="AE181" s="312" t="n">
        <v>70</v>
      </c>
      <c r="AF181" s="312" t="n">
        <v>100</v>
      </c>
      <c r="AG181" s="312" t="n">
        <v>400</v>
      </c>
      <c r="AH181" s="312" t="n">
        <v>550</v>
      </c>
      <c r="AI181" s="312" t="n">
        <v>-1</v>
      </c>
      <c r="AJ181" s="318" t="b">
        <f aca="false">TRUE()</f>
        <v>1</v>
      </c>
      <c r="AK181" s="318" t="b">
        <f aca="false">FALSE()</f>
        <v>0</v>
      </c>
      <c r="AL181" s="309" t="s">
        <v>1247</v>
      </c>
      <c r="AM181" s="318" t="b">
        <f aca="false">FALSE()</f>
        <v>0</v>
      </c>
      <c r="AN181" s="318" t="b">
        <f aca="false">FALSE()</f>
        <v>0</v>
      </c>
      <c r="AO181" s="312" t="n">
        <v>225</v>
      </c>
      <c r="AP181" s="312" t="n">
        <v>1</v>
      </c>
      <c r="AQ181" s="312" t="n">
        <v>3</v>
      </c>
      <c r="AR181" s="312" t="n">
        <v>25</v>
      </c>
      <c r="AS181" s="312" t="n">
        <v>90</v>
      </c>
      <c r="AT181" s="312" t="n">
        <v>1</v>
      </c>
      <c r="AU181" s="318" t="b">
        <f aca="false">FALSE()</f>
        <v>0</v>
      </c>
      <c r="AV181" s="318" t="b">
        <f aca="false">FALSE()</f>
        <v>0</v>
      </c>
      <c r="AW181" s="312" t="n">
        <v>9</v>
      </c>
      <c r="AX181" s="318" t="b">
        <f aca="false">FALSE()</f>
        <v>0</v>
      </c>
      <c r="AY181" s="318" t="b">
        <f aca="false">TRUE()</f>
        <v>1</v>
      </c>
      <c r="AZ181" s="312" t="n">
        <v>100</v>
      </c>
      <c r="BA181" s="312" t="n">
        <v>50</v>
      </c>
      <c r="BB181" s="312" t="n">
        <v>1155</v>
      </c>
      <c r="BC181" s="312" t="n">
        <v>1</v>
      </c>
      <c r="BD181" s="312" t="n">
        <v>0</v>
      </c>
      <c r="BE181" s="312" t="n">
        <v>0</v>
      </c>
      <c r="BF181" s="312" t="n">
        <v>0</v>
      </c>
      <c r="BG181" s="312" t="n">
        <v>0</v>
      </c>
      <c r="BH181" s="312" t="n">
        <v>0</v>
      </c>
      <c r="BI181" s="312" t="n">
        <v>0</v>
      </c>
      <c r="BJ181" s="312" t="n">
        <v>0</v>
      </c>
      <c r="BK181" s="312" t="n">
        <v>0</v>
      </c>
      <c r="BL181" s="312" t="n">
        <v>0</v>
      </c>
      <c r="BM181" s="312" t="n">
        <v>0</v>
      </c>
      <c r="BN181" s="312" t="n">
        <v>0</v>
      </c>
      <c r="BO181" s="312" t="n">
        <v>0</v>
      </c>
      <c r="BP181" s="309" t="s">
        <v>182</v>
      </c>
      <c r="BQ181" s="309" t="s">
        <v>182</v>
      </c>
      <c r="BR181" s="309" t="s">
        <v>182</v>
      </c>
      <c r="BS181" s="309" t="s">
        <v>182</v>
      </c>
      <c r="BT181" s="312" t="n">
        <v>251</v>
      </c>
      <c r="BU181" s="318" t="b">
        <f aca="false">FALSE()</f>
        <v>0</v>
      </c>
      <c r="BV181" s="3" t="e">
        <f aca="false">xlookup(MID($A181,7,50),$A$2:$A$139,$BV$2:$BV$139,,0,1)</f>
        <v>#NAME?</v>
      </c>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t="s">
        <v>1073</v>
      </c>
      <c r="CV181" s="3" t="s">
        <v>850</v>
      </c>
      <c r="CW181" s="3" t="s">
        <v>851</v>
      </c>
      <c r="CX181" s="3" t="s">
        <v>852</v>
      </c>
      <c r="CY181" s="3" t="s">
        <v>853</v>
      </c>
      <c r="CZ181" s="3" t="s">
        <v>854</v>
      </c>
    </row>
    <row r="182" customFormat="false" ht="15.75" hidden="false" customHeight="false" outlineLevel="0" collapsed="false">
      <c r="A182" s="309" t="s">
        <v>1452</v>
      </c>
      <c r="B182" s="309" t="s">
        <v>1453</v>
      </c>
      <c r="C182" s="309" t="s">
        <v>1454</v>
      </c>
      <c r="D182" s="309" t="s">
        <v>1455</v>
      </c>
      <c r="E182" s="309" t="s">
        <v>1456</v>
      </c>
      <c r="F182" s="318" t="b">
        <f aca="false">TRUE()</f>
        <v>1</v>
      </c>
      <c r="G182" s="309" t="s">
        <v>1120</v>
      </c>
      <c r="H182" s="309" t="s">
        <v>1453</v>
      </c>
      <c r="I182" s="312" t="n">
        <v>-1</v>
      </c>
      <c r="J182" s="3"/>
      <c r="K182" s="309" t="s">
        <v>884</v>
      </c>
      <c r="L182" s="312" t="n">
        <v>4</v>
      </c>
      <c r="M182" s="309" t="s">
        <v>757</v>
      </c>
      <c r="N182" s="309" t="s">
        <v>743</v>
      </c>
      <c r="O182" s="309" t="s">
        <v>763</v>
      </c>
      <c r="P182" s="309" t="s">
        <v>745</v>
      </c>
      <c r="Q182" s="309" t="s">
        <v>746</v>
      </c>
      <c r="R182" s="318" t="b">
        <f aca="false">FALSE()</f>
        <v>0</v>
      </c>
      <c r="S182" s="312" t="n">
        <v>85</v>
      </c>
      <c r="T182" s="312" t="n">
        <v>100</v>
      </c>
      <c r="U182" s="312" t="n">
        <v>95</v>
      </c>
      <c r="V182" s="312" t="n">
        <v>95</v>
      </c>
      <c r="W182" s="312" t="n">
        <v>100</v>
      </c>
      <c r="X182" s="312" t="n">
        <v>100</v>
      </c>
      <c r="Y182" s="312" t="n">
        <v>0.2</v>
      </c>
      <c r="Z182" s="312" t="n">
        <v>0.7</v>
      </c>
      <c r="AA182" s="312" t="n">
        <v>10</v>
      </c>
      <c r="AB182" s="312" t="n">
        <v>3520</v>
      </c>
      <c r="AC182" s="309" t="s">
        <v>1253</v>
      </c>
      <c r="AD182" s="309" t="s">
        <v>182</v>
      </c>
      <c r="AE182" s="312" t="n">
        <v>87</v>
      </c>
      <c r="AF182" s="312" t="n">
        <v>87</v>
      </c>
      <c r="AG182" s="312" t="n">
        <v>600</v>
      </c>
      <c r="AH182" s="312" t="n">
        <v>900</v>
      </c>
      <c r="AI182" s="312" t="n">
        <v>343</v>
      </c>
      <c r="AJ182" s="318" t="b">
        <f aca="false">TRUE()</f>
        <v>1</v>
      </c>
      <c r="AK182" s="318" t="b">
        <f aca="false">FALSE()</f>
        <v>0</v>
      </c>
      <c r="AL182" s="309" t="s">
        <v>1247</v>
      </c>
      <c r="AM182" s="318" t="b">
        <f aca="false">FALSE()</f>
        <v>0</v>
      </c>
      <c r="AN182" s="318" t="b">
        <f aca="false">FALSE()</f>
        <v>0</v>
      </c>
      <c r="AO182" s="312" t="n">
        <v>350</v>
      </c>
      <c r="AP182" s="312" t="n">
        <v>1</v>
      </c>
      <c r="AQ182" s="312" t="n">
        <v>5</v>
      </c>
      <c r="AR182" s="312" t="n">
        <v>25</v>
      </c>
      <c r="AS182" s="312" t="n">
        <v>90</v>
      </c>
      <c r="AT182" s="312" t="n">
        <v>1</v>
      </c>
      <c r="AU182" s="318" t="b">
        <f aca="false">FALSE()</f>
        <v>0</v>
      </c>
      <c r="AV182" s="318" t="b">
        <f aca="false">FALSE()</f>
        <v>0</v>
      </c>
      <c r="AW182" s="312" t="n">
        <v>9</v>
      </c>
      <c r="AX182" s="318" t="b">
        <f aca="false">FALSE()</f>
        <v>0</v>
      </c>
      <c r="AY182" s="318" t="b">
        <f aca="false">TRUE()</f>
        <v>1</v>
      </c>
      <c r="AZ182" s="312" t="n">
        <v>100</v>
      </c>
      <c r="BA182" s="312" t="n">
        <v>50</v>
      </c>
      <c r="BB182" s="312" t="n">
        <v>790</v>
      </c>
      <c r="BC182" s="312" t="n">
        <v>2</v>
      </c>
      <c r="BD182" s="312" t="n">
        <v>0</v>
      </c>
      <c r="BE182" s="312" t="n">
        <v>0</v>
      </c>
      <c r="BF182" s="312" t="n">
        <v>0</v>
      </c>
      <c r="BG182" s="312" t="n">
        <v>0</v>
      </c>
      <c r="BH182" s="312" t="n">
        <v>0</v>
      </c>
      <c r="BI182" s="312" t="n">
        <v>1</v>
      </c>
      <c r="BJ182" s="312" t="n">
        <v>0</v>
      </c>
      <c r="BK182" s="312" t="n">
        <v>0</v>
      </c>
      <c r="BL182" s="312" t="n">
        <v>0</v>
      </c>
      <c r="BM182" s="312" t="n">
        <v>0</v>
      </c>
      <c r="BN182" s="312" t="n">
        <v>0</v>
      </c>
      <c r="BO182" s="312" t="n">
        <v>0</v>
      </c>
      <c r="BP182" s="309" t="s">
        <v>182</v>
      </c>
      <c r="BQ182" s="309" t="s">
        <v>182</v>
      </c>
      <c r="BR182" s="309" t="s">
        <v>182</v>
      </c>
      <c r="BS182" s="309" t="s">
        <v>182</v>
      </c>
      <c r="BT182" s="312" t="n">
        <v>252</v>
      </c>
      <c r="BU182" s="318" t="b">
        <f aca="false">FALSE()</f>
        <v>0</v>
      </c>
      <c r="BV182" s="3" t="e">
        <f aca="false">xlookup(MID($A182,7,50),$A$2:$A$139,$BV$2:$BV$139,,0,1)</f>
        <v>#NAME?</v>
      </c>
      <c r="BW182" s="3"/>
      <c r="BX182" s="85" t="n">
        <v>16</v>
      </c>
      <c r="BY182" s="3" t="s">
        <v>1121</v>
      </c>
      <c r="BZ182" s="3" t="s">
        <v>775</v>
      </c>
      <c r="CA182" s="3"/>
      <c r="CB182" s="3"/>
      <c r="CC182" s="3"/>
      <c r="CD182" s="3"/>
      <c r="CE182" s="3"/>
      <c r="CF182" s="3"/>
      <c r="CG182" s="311" t="b">
        <f aca="false">TRUE()</f>
        <v>1</v>
      </c>
      <c r="CH182" s="3" t="s">
        <v>776</v>
      </c>
      <c r="CI182" s="3"/>
      <c r="CJ182" s="3" t="s">
        <v>975</v>
      </c>
      <c r="CK182" s="3" t="s">
        <v>975</v>
      </c>
      <c r="CL182" s="3" t="s">
        <v>975</v>
      </c>
      <c r="CM182" s="3" t="s">
        <v>975</v>
      </c>
      <c r="CN182" s="3" t="s">
        <v>975</v>
      </c>
      <c r="CO182" s="3"/>
      <c r="CP182" s="3"/>
      <c r="CQ182" s="3"/>
      <c r="CR182" s="3"/>
      <c r="CS182" s="3"/>
      <c r="CT182" s="3"/>
      <c r="CU182" s="3" t="s">
        <v>818</v>
      </c>
      <c r="CV182" s="3"/>
      <c r="CW182" s="3" t="s">
        <v>819</v>
      </c>
      <c r="CX182" s="3" t="s">
        <v>820</v>
      </c>
      <c r="CY182" s="3" t="s">
        <v>821</v>
      </c>
      <c r="CZ182" s="3" t="s">
        <v>822</v>
      </c>
    </row>
    <row r="183" customFormat="false" ht="15.75" hidden="false" customHeight="false" outlineLevel="0" collapsed="false">
      <c r="A183" s="309" t="s">
        <v>1457</v>
      </c>
      <c r="B183" s="309" t="s">
        <v>1458</v>
      </c>
      <c r="C183" s="309" t="s">
        <v>1459</v>
      </c>
      <c r="D183" s="309" t="s">
        <v>1460</v>
      </c>
      <c r="E183" s="309" t="s">
        <v>1461</v>
      </c>
      <c r="F183" s="318" t="b">
        <f aca="false">TRUE()</f>
        <v>1</v>
      </c>
      <c r="G183" s="309" t="s">
        <v>446</v>
      </c>
      <c r="H183" s="309" t="s">
        <v>1458</v>
      </c>
      <c r="I183" s="312" t="n">
        <v>-1</v>
      </c>
      <c r="J183" s="3"/>
      <c r="K183" s="309" t="s">
        <v>884</v>
      </c>
      <c r="L183" s="312" t="n">
        <v>6</v>
      </c>
      <c r="M183" s="309" t="s">
        <v>783</v>
      </c>
      <c r="N183" s="309" t="s">
        <v>885</v>
      </c>
      <c r="O183" s="309" t="s">
        <v>744</v>
      </c>
      <c r="P183" s="309" t="s">
        <v>745</v>
      </c>
      <c r="Q183" s="309" t="s">
        <v>746</v>
      </c>
      <c r="R183" s="318" t="b">
        <f aca="false">FALSE()</f>
        <v>0</v>
      </c>
      <c r="S183" s="312" t="n">
        <v>110</v>
      </c>
      <c r="T183" s="312" t="n">
        <v>90</v>
      </c>
      <c r="U183" s="312" t="n">
        <v>85</v>
      </c>
      <c r="V183" s="312" t="n">
        <v>90</v>
      </c>
      <c r="W183" s="312" t="n">
        <v>150</v>
      </c>
      <c r="X183" s="312" t="n">
        <v>100</v>
      </c>
      <c r="Y183" s="312" t="n">
        <v>0.4</v>
      </c>
      <c r="Z183" s="312" t="n">
        <v>0.7</v>
      </c>
      <c r="AA183" s="312" t="n">
        <v>10</v>
      </c>
      <c r="AB183" s="312" t="n">
        <v>3240</v>
      </c>
      <c r="AC183" s="309" t="s">
        <v>836</v>
      </c>
      <c r="AD183" s="309" t="s">
        <v>182</v>
      </c>
      <c r="AE183" s="312" t="n">
        <v>70</v>
      </c>
      <c r="AF183" s="312" t="n">
        <v>120</v>
      </c>
      <c r="AG183" s="312" t="n">
        <v>550</v>
      </c>
      <c r="AH183" s="312" t="n">
        <v>800</v>
      </c>
      <c r="AI183" s="312" t="n">
        <v>335</v>
      </c>
      <c r="AJ183" s="318" t="b">
        <f aca="false">TRUE()</f>
        <v>1</v>
      </c>
      <c r="AK183" s="318" t="b">
        <f aca="false">FALSE()</f>
        <v>0</v>
      </c>
      <c r="AL183" s="309" t="s">
        <v>1247</v>
      </c>
      <c r="AM183" s="318" t="b">
        <f aca="false">FALSE()</f>
        <v>0</v>
      </c>
      <c r="AN183" s="318" t="b">
        <f aca="false">FALSE()</f>
        <v>0</v>
      </c>
      <c r="AO183" s="312" t="n">
        <v>400</v>
      </c>
      <c r="AP183" s="312" t="n">
        <v>1</v>
      </c>
      <c r="AQ183" s="312" t="n">
        <v>6</v>
      </c>
      <c r="AR183" s="312" t="n">
        <v>25</v>
      </c>
      <c r="AS183" s="312" t="n">
        <v>90</v>
      </c>
      <c r="AT183" s="312" t="n">
        <v>1</v>
      </c>
      <c r="AU183" s="318" t="b">
        <f aca="false">FALSE()</f>
        <v>0</v>
      </c>
      <c r="AV183" s="318" t="b">
        <f aca="false">FALSE()</f>
        <v>0</v>
      </c>
      <c r="AW183" s="312" t="n">
        <v>9</v>
      </c>
      <c r="AX183" s="318" t="b">
        <f aca="false">FALSE()</f>
        <v>0</v>
      </c>
      <c r="AY183" s="318" t="b">
        <f aca="false">TRUE()</f>
        <v>1</v>
      </c>
      <c r="AZ183" s="312" t="n">
        <v>100</v>
      </c>
      <c r="BA183" s="312" t="n">
        <v>50</v>
      </c>
      <c r="BB183" s="312" t="n">
        <v>820</v>
      </c>
      <c r="BC183" s="312" t="n">
        <v>0</v>
      </c>
      <c r="BD183" s="312" t="n">
        <v>0</v>
      </c>
      <c r="BE183" s="312" t="n">
        <v>2</v>
      </c>
      <c r="BF183" s="312" t="n">
        <v>0</v>
      </c>
      <c r="BG183" s="312" t="n">
        <v>0</v>
      </c>
      <c r="BH183" s="312" t="n">
        <v>0</v>
      </c>
      <c r="BI183" s="312" t="n">
        <v>2</v>
      </c>
      <c r="BJ183" s="312" t="n">
        <v>0</v>
      </c>
      <c r="BK183" s="312" t="n">
        <v>0</v>
      </c>
      <c r="BL183" s="312" t="n">
        <v>0</v>
      </c>
      <c r="BM183" s="312" t="n">
        <v>0</v>
      </c>
      <c r="BN183" s="312" t="n">
        <v>0</v>
      </c>
      <c r="BO183" s="312" t="n">
        <v>0</v>
      </c>
      <c r="BP183" s="309" t="s">
        <v>182</v>
      </c>
      <c r="BQ183" s="309" t="s">
        <v>182</v>
      </c>
      <c r="BR183" s="309" t="s">
        <v>182</v>
      </c>
      <c r="BS183" s="309" t="s">
        <v>182</v>
      </c>
      <c r="BT183" s="312" t="n">
        <v>253</v>
      </c>
      <c r="BU183" s="318" t="b">
        <f aca="false">FALSE()</f>
        <v>0</v>
      </c>
      <c r="BV183" s="3" t="e">
        <f aca="false">xlookup(MID($A183,7,50),$A$2:$A$139,$BV$2:$BV$139,,0,1)</f>
        <v>#NAME?</v>
      </c>
      <c r="BW183" s="3"/>
      <c r="BX183" s="85" t="n">
        <v>19</v>
      </c>
      <c r="BY183" s="3" t="s">
        <v>992</v>
      </c>
      <c r="BZ183" s="3" t="s">
        <v>775</v>
      </c>
      <c r="CA183" s="3"/>
      <c r="CB183" s="3"/>
      <c r="CC183" s="3"/>
      <c r="CD183" s="3"/>
      <c r="CE183" s="3"/>
      <c r="CF183" s="3"/>
      <c r="CG183" s="311" t="b">
        <f aca="false">TRUE()</f>
        <v>1</v>
      </c>
      <c r="CH183" s="3" t="s">
        <v>776</v>
      </c>
      <c r="CI183" s="3"/>
      <c r="CJ183" s="3"/>
      <c r="CK183" s="3"/>
      <c r="CL183" s="3"/>
      <c r="CM183" s="3"/>
      <c r="CN183" s="3"/>
      <c r="CO183" s="3"/>
      <c r="CP183" s="3"/>
      <c r="CQ183" s="3"/>
      <c r="CR183" s="3"/>
      <c r="CS183" s="3"/>
      <c r="CT183" s="3"/>
      <c r="CU183" s="3"/>
      <c r="CV183" s="3" t="s">
        <v>993</v>
      </c>
      <c r="CW183" s="3" t="s">
        <v>994</v>
      </c>
      <c r="CX183" s="3" t="s">
        <v>995</v>
      </c>
      <c r="CY183" s="3" t="s">
        <v>996</v>
      </c>
      <c r="CZ183" s="3" t="s">
        <v>997</v>
      </c>
    </row>
    <row r="184" customFormat="false" ht="15.75" hidden="false" customHeight="false" outlineLevel="0" collapsed="false">
      <c r="A184" s="309" t="s">
        <v>1462</v>
      </c>
      <c r="B184" s="309" t="s">
        <v>1463</v>
      </c>
      <c r="C184" s="309" t="s">
        <v>1464</v>
      </c>
      <c r="D184" s="309" t="s">
        <v>1465</v>
      </c>
      <c r="E184" s="309" t="s">
        <v>1466</v>
      </c>
      <c r="F184" s="318" t="b">
        <f aca="false">TRUE()</f>
        <v>1</v>
      </c>
      <c r="G184" s="309" t="s">
        <v>528</v>
      </c>
      <c r="H184" s="309" t="s">
        <v>1463</v>
      </c>
      <c r="I184" s="312" t="n">
        <v>-1</v>
      </c>
      <c r="J184" s="3"/>
      <c r="K184" s="309" t="s">
        <v>884</v>
      </c>
      <c r="L184" s="312" t="n">
        <v>7</v>
      </c>
      <c r="M184" s="309" t="s">
        <v>810</v>
      </c>
      <c r="N184" s="309" t="s">
        <v>885</v>
      </c>
      <c r="O184" s="309" t="s">
        <v>744</v>
      </c>
      <c r="P184" s="309" t="s">
        <v>745</v>
      </c>
      <c r="Q184" s="309" t="s">
        <v>746</v>
      </c>
      <c r="R184" s="318" t="b">
        <f aca="false">FALSE()</f>
        <v>0</v>
      </c>
      <c r="S184" s="312" t="n">
        <v>110</v>
      </c>
      <c r="T184" s="312" t="n">
        <v>90</v>
      </c>
      <c r="U184" s="312" t="n">
        <v>90</v>
      </c>
      <c r="V184" s="312" t="n">
        <v>90</v>
      </c>
      <c r="W184" s="312" t="n">
        <v>150</v>
      </c>
      <c r="X184" s="312" t="n">
        <v>100</v>
      </c>
      <c r="Y184" s="312" t="n">
        <v>0.2</v>
      </c>
      <c r="Z184" s="312" t="n">
        <v>0.7</v>
      </c>
      <c r="AA184" s="312" t="n">
        <v>10</v>
      </c>
      <c r="AB184" s="312" t="n">
        <v>3380</v>
      </c>
      <c r="AC184" s="309" t="s">
        <v>836</v>
      </c>
      <c r="AD184" s="309" t="s">
        <v>182</v>
      </c>
      <c r="AE184" s="312" t="n">
        <v>70</v>
      </c>
      <c r="AF184" s="312" t="n">
        <v>120</v>
      </c>
      <c r="AG184" s="312" t="n">
        <v>550</v>
      </c>
      <c r="AH184" s="312" t="n">
        <v>800</v>
      </c>
      <c r="AI184" s="312" t="n">
        <v>335</v>
      </c>
      <c r="AJ184" s="318" t="b">
        <f aca="false">TRUE()</f>
        <v>1</v>
      </c>
      <c r="AK184" s="318" t="b">
        <f aca="false">FALSE()</f>
        <v>0</v>
      </c>
      <c r="AL184" s="309" t="s">
        <v>1247</v>
      </c>
      <c r="AM184" s="318" t="b">
        <f aca="false">FALSE()</f>
        <v>0</v>
      </c>
      <c r="AN184" s="318" t="b">
        <f aca="false">FALSE()</f>
        <v>0</v>
      </c>
      <c r="AO184" s="312" t="n">
        <v>400</v>
      </c>
      <c r="AP184" s="312" t="n">
        <v>1</v>
      </c>
      <c r="AQ184" s="312" t="n">
        <v>6</v>
      </c>
      <c r="AR184" s="312" t="n">
        <v>25</v>
      </c>
      <c r="AS184" s="312" t="n">
        <v>90</v>
      </c>
      <c r="AT184" s="312" t="n">
        <v>1</v>
      </c>
      <c r="AU184" s="318" t="b">
        <f aca="false">FALSE()</f>
        <v>0</v>
      </c>
      <c r="AV184" s="318" t="b">
        <f aca="false">FALSE()</f>
        <v>0</v>
      </c>
      <c r="AW184" s="312" t="n">
        <v>9</v>
      </c>
      <c r="AX184" s="318" t="b">
        <f aca="false">FALSE()</f>
        <v>0</v>
      </c>
      <c r="AY184" s="318" t="b">
        <f aca="false">TRUE()</f>
        <v>1</v>
      </c>
      <c r="AZ184" s="312" t="n">
        <v>100</v>
      </c>
      <c r="BA184" s="312" t="n">
        <v>50</v>
      </c>
      <c r="BB184" s="312" t="n">
        <v>810</v>
      </c>
      <c r="BC184" s="312" t="n">
        <v>0</v>
      </c>
      <c r="BD184" s="312" t="n">
        <v>0</v>
      </c>
      <c r="BE184" s="312" t="n">
        <v>0</v>
      </c>
      <c r="BF184" s="312" t="n">
        <v>2</v>
      </c>
      <c r="BG184" s="312" t="n">
        <v>0</v>
      </c>
      <c r="BH184" s="312" t="n">
        <v>0</v>
      </c>
      <c r="BI184" s="312" t="n">
        <v>2</v>
      </c>
      <c r="BJ184" s="312" t="n">
        <v>0</v>
      </c>
      <c r="BK184" s="312" t="n">
        <v>0</v>
      </c>
      <c r="BL184" s="312" t="n">
        <v>0</v>
      </c>
      <c r="BM184" s="312" t="n">
        <v>0</v>
      </c>
      <c r="BN184" s="312" t="n">
        <v>0</v>
      </c>
      <c r="BO184" s="312" t="n">
        <v>0</v>
      </c>
      <c r="BP184" s="309" t="s">
        <v>182</v>
      </c>
      <c r="BQ184" s="309" t="s">
        <v>182</v>
      </c>
      <c r="BR184" s="309" t="s">
        <v>182</v>
      </c>
      <c r="BS184" s="309" t="s">
        <v>182</v>
      </c>
      <c r="BT184" s="312" t="n">
        <v>254</v>
      </c>
      <c r="BU184" s="318" t="b">
        <f aca="false">TRUE()</f>
        <v>1</v>
      </c>
      <c r="BV184" s="3" t="e">
        <f aca="false">xlookup(MID($A184,7,50),$A$2:$A$139,$BV$2:$BV$139,,0,1)</f>
        <v>#NAME?</v>
      </c>
      <c r="BW184" s="3"/>
      <c r="BX184" s="85" t="n">
        <v>29</v>
      </c>
      <c r="BY184" s="3" t="s">
        <v>998</v>
      </c>
      <c r="BZ184" s="3" t="s">
        <v>775</v>
      </c>
      <c r="CA184" s="3"/>
      <c r="CB184" s="3"/>
      <c r="CC184" s="3"/>
      <c r="CD184" s="3"/>
      <c r="CE184" s="3"/>
      <c r="CF184" s="3"/>
      <c r="CG184" s="311" t="b">
        <f aca="false">TRUE()</f>
        <v>1</v>
      </c>
      <c r="CH184" s="3" t="s">
        <v>776</v>
      </c>
      <c r="CI184" s="3"/>
      <c r="CJ184" s="3"/>
      <c r="CK184" s="3"/>
      <c r="CL184" s="3"/>
      <c r="CM184" s="3"/>
      <c r="CN184" s="3"/>
      <c r="CO184" s="3"/>
      <c r="CP184" s="3"/>
      <c r="CQ184" s="3"/>
      <c r="CR184" s="3"/>
      <c r="CS184" s="3"/>
      <c r="CT184" s="3"/>
      <c r="CU184" s="3"/>
      <c r="CV184" s="3" t="s">
        <v>999</v>
      </c>
      <c r="CW184" s="3" t="s">
        <v>1000</v>
      </c>
      <c r="CX184" s="3" t="s">
        <v>1001</v>
      </c>
      <c r="CY184" s="3" t="s">
        <v>1002</v>
      </c>
      <c r="CZ184" s="3" t="s">
        <v>1003</v>
      </c>
    </row>
    <row r="185" customFormat="false" ht="15.75" hidden="false" customHeight="false" outlineLevel="0" collapsed="false">
      <c r="A185" s="309" t="s">
        <v>1467</v>
      </c>
      <c r="B185" s="309" t="s">
        <v>1468</v>
      </c>
      <c r="C185" s="309" t="s">
        <v>1469</v>
      </c>
      <c r="D185" s="309" t="s">
        <v>1470</v>
      </c>
      <c r="E185" s="309" t="s">
        <v>1471</v>
      </c>
      <c r="F185" s="318" t="b">
        <f aca="false">TRUE()</f>
        <v>1</v>
      </c>
      <c r="G185" s="309" t="s">
        <v>491</v>
      </c>
      <c r="H185" s="309" t="s">
        <v>1468</v>
      </c>
      <c r="I185" s="312" t="n">
        <v>-1</v>
      </c>
      <c r="J185" s="3"/>
      <c r="K185" s="309" t="s">
        <v>884</v>
      </c>
      <c r="L185" s="312" t="n">
        <v>8</v>
      </c>
      <c r="M185" s="309" t="s">
        <v>783</v>
      </c>
      <c r="N185" s="309" t="s">
        <v>743</v>
      </c>
      <c r="O185" s="309" t="s">
        <v>744</v>
      </c>
      <c r="P185" s="309" t="s">
        <v>745</v>
      </c>
      <c r="Q185" s="309" t="s">
        <v>746</v>
      </c>
      <c r="R185" s="318" t="b">
        <f aca="false">FALSE()</f>
        <v>0</v>
      </c>
      <c r="S185" s="312" t="n">
        <v>100</v>
      </c>
      <c r="T185" s="312" t="n">
        <v>100</v>
      </c>
      <c r="U185" s="312" t="n">
        <v>95</v>
      </c>
      <c r="V185" s="312" t="n">
        <v>100</v>
      </c>
      <c r="W185" s="312" t="n">
        <v>100</v>
      </c>
      <c r="X185" s="312" t="n">
        <v>100</v>
      </c>
      <c r="Y185" s="312" t="n">
        <v>0.2</v>
      </c>
      <c r="Z185" s="312" t="n">
        <v>0.7</v>
      </c>
      <c r="AA185" s="312" t="n">
        <v>10</v>
      </c>
      <c r="AB185" s="312" t="n">
        <v>3590</v>
      </c>
      <c r="AC185" s="309" t="s">
        <v>836</v>
      </c>
      <c r="AD185" s="309" t="s">
        <v>182</v>
      </c>
      <c r="AE185" s="312" t="n">
        <v>100</v>
      </c>
      <c r="AF185" s="312" t="n">
        <v>150</v>
      </c>
      <c r="AG185" s="312" t="n">
        <v>550</v>
      </c>
      <c r="AH185" s="312" t="n">
        <v>700</v>
      </c>
      <c r="AI185" s="312" t="n">
        <v>350</v>
      </c>
      <c r="AJ185" s="318" t="b">
        <f aca="false">TRUE()</f>
        <v>1</v>
      </c>
      <c r="AK185" s="318" t="b">
        <f aca="false">FALSE()</f>
        <v>0</v>
      </c>
      <c r="AL185" s="309" t="s">
        <v>1247</v>
      </c>
      <c r="AM185" s="318" t="b">
        <f aca="false">FALSE()</f>
        <v>0</v>
      </c>
      <c r="AN185" s="318" t="b">
        <f aca="false">FALSE()</f>
        <v>0</v>
      </c>
      <c r="AO185" s="312" t="n">
        <v>225</v>
      </c>
      <c r="AP185" s="312" t="n">
        <v>1</v>
      </c>
      <c r="AQ185" s="312" t="n">
        <v>3</v>
      </c>
      <c r="AR185" s="312" t="n">
        <v>25</v>
      </c>
      <c r="AS185" s="312" t="n">
        <v>90</v>
      </c>
      <c r="AT185" s="312" t="n">
        <v>1</v>
      </c>
      <c r="AU185" s="318" t="b">
        <f aca="false">FALSE()</f>
        <v>0</v>
      </c>
      <c r="AV185" s="318" t="b">
        <f aca="false">FALSE()</f>
        <v>0</v>
      </c>
      <c r="AW185" s="312" t="n">
        <v>9</v>
      </c>
      <c r="AX185" s="318" t="b">
        <f aca="false">FALSE()</f>
        <v>0</v>
      </c>
      <c r="AY185" s="318" t="b">
        <f aca="false">TRUE()</f>
        <v>1</v>
      </c>
      <c r="AZ185" s="312" t="n">
        <v>100</v>
      </c>
      <c r="BA185" s="312" t="n">
        <v>50</v>
      </c>
      <c r="BB185" s="312" t="n">
        <v>780</v>
      </c>
      <c r="BC185" s="312" t="n">
        <v>0</v>
      </c>
      <c r="BD185" s="312" t="n">
        <v>0</v>
      </c>
      <c r="BE185" s="312" t="n">
        <v>3</v>
      </c>
      <c r="BF185" s="312" t="n">
        <v>0</v>
      </c>
      <c r="BG185" s="312" t="n">
        <v>2</v>
      </c>
      <c r="BH185" s="312" t="n">
        <v>2</v>
      </c>
      <c r="BI185" s="312" t="n">
        <v>0</v>
      </c>
      <c r="BJ185" s="312" t="n">
        <v>0</v>
      </c>
      <c r="BK185" s="312" t="n">
        <v>0</v>
      </c>
      <c r="BL185" s="312" t="n">
        <v>2</v>
      </c>
      <c r="BM185" s="312" t="n">
        <v>0</v>
      </c>
      <c r="BN185" s="312" t="n">
        <v>1</v>
      </c>
      <c r="BO185" s="312" t="n">
        <v>0</v>
      </c>
      <c r="BP185" s="309" t="s">
        <v>182</v>
      </c>
      <c r="BQ185" s="309" t="s">
        <v>182</v>
      </c>
      <c r="BR185" s="309" t="s">
        <v>182</v>
      </c>
      <c r="BS185" s="309" t="s">
        <v>182</v>
      </c>
      <c r="BT185" s="312" t="n">
        <v>255</v>
      </c>
      <c r="BU185" s="318" t="b">
        <f aca="false">FALSE()</f>
        <v>0</v>
      </c>
      <c r="BV185" s="3" t="e">
        <f aca="false">xlookup(MID($A185,7,50),$A$2:$A$139,$BV$2:$BV$139,,0,1)</f>
        <v>#NAME?</v>
      </c>
      <c r="BW185" s="3"/>
      <c r="BX185" s="3"/>
      <c r="BY185" s="3"/>
      <c r="BZ185" s="3"/>
      <c r="CA185" s="3" t="s">
        <v>1213</v>
      </c>
      <c r="CB185" s="85" t="n">
        <v>400</v>
      </c>
      <c r="CC185" s="85" t="n">
        <v>440</v>
      </c>
      <c r="CD185" s="85" t="n">
        <v>520</v>
      </c>
      <c r="CE185" s="85" t="n">
        <v>640</v>
      </c>
      <c r="CF185" s="85" t="n">
        <v>800</v>
      </c>
      <c r="CG185" s="3"/>
      <c r="CH185" s="3"/>
      <c r="CI185" s="3"/>
      <c r="CJ185" s="3"/>
      <c r="CK185" s="3"/>
      <c r="CL185" s="3"/>
      <c r="CM185" s="3"/>
      <c r="CN185" s="3"/>
      <c r="CO185" s="3"/>
      <c r="CP185" s="3"/>
      <c r="CQ185" s="3"/>
      <c r="CR185" s="3"/>
      <c r="CS185" s="3"/>
      <c r="CT185" s="3"/>
      <c r="CU185" s="3"/>
      <c r="CV185" s="3"/>
      <c r="CW185" s="3"/>
      <c r="CX185" s="3"/>
      <c r="CY185" s="3"/>
      <c r="CZ185" s="3"/>
    </row>
    <row r="186" customFormat="false" ht="15.75" hidden="false" customHeight="false" outlineLevel="0" collapsed="false">
      <c r="A186" s="309" t="s">
        <v>1472</v>
      </c>
      <c r="B186" s="309" t="s">
        <v>1473</v>
      </c>
      <c r="C186" s="309" t="s">
        <v>1474</v>
      </c>
      <c r="D186" s="309" t="s">
        <v>1475</v>
      </c>
      <c r="E186" s="309" t="s">
        <v>1476</v>
      </c>
      <c r="F186" s="318" t="b">
        <f aca="false">TRUE()</f>
        <v>1</v>
      </c>
      <c r="G186" s="309" t="s">
        <v>1095</v>
      </c>
      <c r="H186" s="309" t="s">
        <v>1473</v>
      </c>
      <c r="I186" s="312" t="n">
        <v>-1</v>
      </c>
      <c r="J186" s="3"/>
      <c r="K186" s="309" t="s">
        <v>741</v>
      </c>
      <c r="L186" s="312" t="n">
        <v>1</v>
      </c>
      <c r="M186" s="309" t="s">
        <v>783</v>
      </c>
      <c r="N186" s="309" t="s">
        <v>743</v>
      </c>
      <c r="O186" s="309" t="s">
        <v>744</v>
      </c>
      <c r="P186" s="309" t="s">
        <v>745</v>
      </c>
      <c r="Q186" s="309" t="s">
        <v>746</v>
      </c>
      <c r="R186" s="318" t="b">
        <f aca="false">FALSE()</f>
        <v>0</v>
      </c>
      <c r="S186" s="312" t="n">
        <v>75</v>
      </c>
      <c r="T186" s="312" t="n">
        <v>100</v>
      </c>
      <c r="U186" s="312" t="n">
        <v>65</v>
      </c>
      <c r="V186" s="312" t="n">
        <v>70</v>
      </c>
      <c r="W186" s="312" t="n">
        <v>100</v>
      </c>
      <c r="X186" s="312" t="n">
        <v>100</v>
      </c>
      <c r="Y186" s="312" t="n">
        <v>0.2</v>
      </c>
      <c r="Z186" s="312" t="n">
        <v>0.7</v>
      </c>
      <c r="AA186" s="312" t="n">
        <v>10</v>
      </c>
      <c r="AB186" s="312" t="n">
        <v>1220</v>
      </c>
      <c r="AC186" s="309" t="s">
        <v>836</v>
      </c>
      <c r="AD186" s="309" t="s">
        <v>182</v>
      </c>
      <c r="AE186" s="312" t="n">
        <v>100</v>
      </c>
      <c r="AF186" s="312" t="n">
        <v>100</v>
      </c>
      <c r="AG186" s="312" t="n">
        <v>400</v>
      </c>
      <c r="AH186" s="312" t="n">
        <v>550</v>
      </c>
      <c r="AI186" s="312" t="n">
        <v>250</v>
      </c>
      <c r="AJ186" s="318" t="b">
        <f aca="false">TRUE()</f>
        <v>1</v>
      </c>
      <c r="AK186" s="318" t="b">
        <f aca="false">FALSE()</f>
        <v>0</v>
      </c>
      <c r="AL186" s="309" t="s">
        <v>1247</v>
      </c>
      <c r="AM186" s="318" t="b">
        <f aca="false">FALSE()</f>
        <v>0</v>
      </c>
      <c r="AN186" s="318" t="b">
        <f aca="false">FALSE()</f>
        <v>0</v>
      </c>
      <c r="AO186" s="312" t="n">
        <v>225</v>
      </c>
      <c r="AP186" s="312" t="n">
        <v>1</v>
      </c>
      <c r="AQ186" s="312" t="n">
        <v>3</v>
      </c>
      <c r="AR186" s="312" t="n">
        <v>25</v>
      </c>
      <c r="AS186" s="312" t="n">
        <v>90</v>
      </c>
      <c r="AT186" s="312" t="n">
        <v>1</v>
      </c>
      <c r="AU186" s="318" t="b">
        <f aca="false">FALSE()</f>
        <v>0</v>
      </c>
      <c r="AV186" s="318" t="b">
        <f aca="false">FALSE()</f>
        <v>0</v>
      </c>
      <c r="AW186" s="312" t="n">
        <v>9</v>
      </c>
      <c r="AX186" s="318" t="b">
        <f aca="false">FALSE()</f>
        <v>0</v>
      </c>
      <c r="AY186" s="318" t="b">
        <f aca="false">TRUE()</f>
        <v>1</v>
      </c>
      <c r="AZ186" s="312" t="n">
        <v>100</v>
      </c>
      <c r="BA186" s="312" t="n">
        <v>50</v>
      </c>
      <c r="BB186" s="312" t="n">
        <v>1280</v>
      </c>
      <c r="BC186" s="312" t="n">
        <v>0</v>
      </c>
      <c r="BD186" s="312" t="n">
        <v>0</v>
      </c>
      <c r="BE186" s="312" t="n">
        <v>1</v>
      </c>
      <c r="BF186" s="312" t="n">
        <v>0</v>
      </c>
      <c r="BG186" s="312" t="n">
        <v>1</v>
      </c>
      <c r="BH186" s="312" t="n">
        <v>1</v>
      </c>
      <c r="BI186" s="312" t="n">
        <v>0</v>
      </c>
      <c r="BJ186" s="312" t="n">
        <v>0</v>
      </c>
      <c r="BK186" s="312" t="n">
        <v>0</v>
      </c>
      <c r="BL186" s="312" t="n">
        <v>1</v>
      </c>
      <c r="BM186" s="312" t="n">
        <v>0</v>
      </c>
      <c r="BN186" s="312" t="n">
        <v>1</v>
      </c>
      <c r="BO186" s="312" t="n">
        <v>0</v>
      </c>
      <c r="BP186" s="309" t="s">
        <v>182</v>
      </c>
      <c r="BQ186" s="309" t="s">
        <v>182</v>
      </c>
      <c r="BR186" s="309" t="s">
        <v>182</v>
      </c>
      <c r="BS186" s="309" t="s">
        <v>182</v>
      </c>
      <c r="BT186" s="312" t="n">
        <v>256</v>
      </c>
      <c r="BU186" s="318" t="b">
        <f aca="false">FALSE()</f>
        <v>0</v>
      </c>
      <c r="BV186" s="3" t="e">
        <f aca="false">xlookup(MID($A186,7,50),$A$2:$A$139,$BV$2:$BV$139,,0,1)</f>
        <v>#NAME?</v>
      </c>
      <c r="BW186" s="3"/>
      <c r="BX186" s="85" t="n">
        <v>17</v>
      </c>
      <c r="BY186" s="3" t="s">
        <v>1096</v>
      </c>
      <c r="BZ186" s="3" t="s">
        <v>865</v>
      </c>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row>
    <row r="187" customFormat="false" ht="15.75" hidden="false" customHeight="false" outlineLevel="0" collapsed="false">
      <c r="A187" s="309" t="s">
        <v>1477</v>
      </c>
      <c r="B187" s="309" t="s">
        <v>1478</v>
      </c>
      <c r="C187" s="309" t="s">
        <v>1479</v>
      </c>
      <c r="D187" s="309" t="s">
        <v>1480</v>
      </c>
      <c r="E187" s="309" t="s">
        <v>1481</v>
      </c>
      <c r="F187" s="318" t="b">
        <f aca="false">TRUE()</f>
        <v>1</v>
      </c>
      <c r="G187" s="309" t="s">
        <v>1209</v>
      </c>
      <c r="H187" s="309" t="s">
        <v>1478</v>
      </c>
      <c r="I187" s="312" t="n">
        <v>-1</v>
      </c>
      <c r="J187" s="3"/>
      <c r="K187" s="309" t="s">
        <v>884</v>
      </c>
      <c r="L187" s="312" t="n">
        <v>3</v>
      </c>
      <c r="M187" s="309" t="s">
        <v>814</v>
      </c>
      <c r="N187" s="309" t="s">
        <v>743</v>
      </c>
      <c r="O187" s="309" t="s">
        <v>898</v>
      </c>
      <c r="P187" s="309" t="s">
        <v>745</v>
      </c>
      <c r="Q187" s="309" t="s">
        <v>746</v>
      </c>
      <c r="R187" s="318" t="b">
        <f aca="false">FALSE()</f>
        <v>0</v>
      </c>
      <c r="S187" s="312" t="n">
        <v>80</v>
      </c>
      <c r="T187" s="312" t="n">
        <v>100</v>
      </c>
      <c r="U187" s="312" t="n">
        <v>70</v>
      </c>
      <c r="V187" s="312" t="n">
        <v>80</v>
      </c>
      <c r="W187" s="312" t="n">
        <v>100</v>
      </c>
      <c r="X187" s="312" t="n">
        <v>100</v>
      </c>
      <c r="Y187" s="312" t="n">
        <v>0.4</v>
      </c>
      <c r="Z187" s="312" t="n">
        <v>0.77</v>
      </c>
      <c r="AA187" s="312" t="n">
        <v>10</v>
      </c>
      <c r="AB187" s="312" t="n">
        <v>2860</v>
      </c>
      <c r="AC187" s="309" t="s">
        <v>836</v>
      </c>
      <c r="AD187" s="309" t="s">
        <v>182</v>
      </c>
      <c r="AE187" s="312" t="n">
        <v>30</v>
      </c>
      <c r="AF187" s="312" t="n">
        <v>150</v>
      </c>
      <c r="AG187" s="312" t="n">
        <v>550</v>
      </c>
      <c r="AH187" s="312" t="n">
        <v>700</v>
      </c>
      <c r="AI187" s="312" t="n">
        <v>350</v>
      </c>
      <c r="AJ187" s="318" t="b">
        <f aca="false">TRUE()</f>
        <v>1</v>
      </c>
      <c r="AK187" s="318" t="b">
        <f aca="false">FALSE()</f>
        <v>0</v>
      </c>
      <c r="AL187" s="309" t="s">
        <v>1247</v>
      </c>
      <c r="AM187" s="318" t="b">
        <f aca="false">FALSE()</f>
        <v>0</v>
      </c>
      <c r="AN187" s="318" t="b">
        <f aca="false">FALSE()</f>
        <v>0</v>
      </c>
      <c r="AO187" s="312" t="n">
        <v>225</v>
      </c>
      <c r="AP187" s="312" t="n">
        <v>1</v>
      </c>
      <c r="AQ187" s="312" t="n">
        <v>3</v>
      </c>
      <c r="AR187" s="312" t="n">
        <v>25</v>
      </c>
      <c r="AS187" s="312" t="n">
        <v>90</v>
      </c>
      <c r="AT187" s="312" t="n">
        <v>1</v>
      </c>
      <c r="AU187" s="318" t="b">
        <f aca="false">FALSE()</f>
        <v>0</v>
      </c>
      <c r="AV187" s="318" t="b">
        <f aca="false">FALSE()</f>
        <v>0</v>
      </c>
      <c r="AW187" s="312" t="n">
        <v>9</v>
      </c>
      <c r="AX187" s="318" t="b">
        <f aca="false">FALSE()</f>
        <v>0</v>
      </c>
      <c r="AY187" s="318" t="b">
        <f aca="false">TRUE()</f>
        <v>1</v>
      </c>
      <c r="AZ187" s="312" t="n">
        <v>100</v>
      </c>
      <c r="BA187" s="312" t="n">
        <v>50</v>
      </c>
      <c r="BB187" s="312" t="n">
        <v>870</v>
      </c>
      <c r="BC187" s="312" t="n">
        <v>0</v>
      </c>
      <c r="BD187" s="312" t="n">
        <v>1</v>
      </c>
      <c r="BE187" s="312" t="n">
        <v>0</v>
      </c>
      <c r="BF187" s="312" t="n">
        <v>0</v>
      </c>
      <c r="BG187" s="312" t="n">
        <v>0</v>
      </c>
      <c r="BH187" s="312" t="n">
        <v>0</v>
      </c>
      <c r="BI187" s="312" t="n">
        <v>0</v>
      </c>
      <c r="BJ187" s="312" t="n">
        <v>0</v>
      </c>
      <c r="BK187" s="312" t="n">
        <v>0</v>
      </c>
      <c r="BL187" s="312" t="n">
        <v>0</v>
      </c>
      <c r="BM187" s="312" t="n">
        <v>0</v>
      </c>
      <c r="BN187" s="312" t="n">
        <v>1</v>
      </c>
      <c r="BO187" s="312" t="n">
        <v>0</v>
      </c>
      <c r="BP187" s="309" t="s">
        <v>182</v>
      </c>
      <c r="BQ187" s="309" t="s">
        <v>182</v>
      </c>
      <c r="BR187" s="309" t="s">
        <v>182</v>
      </c>
      <c r="BS187" s="309" t="s">
        <v>182</v>
      </c>
      <c r="BT187" s="312" t="n">
        <v>257</v>
      </c>
      <c r="BU187" s="318" t="b">
        <f aca="false">FALSE()</f>
        <v>0</v>
      </c>
      <c r="BV187" s="3" t="e">
        <f aca="false">xlookup(MID($A187,7,50),$A$2:$A$139,$BV$2:$BV$139,,0,1)</f>
        <v>#NAME?</v>
      </c>
      <c r="BW187" s="3"/>
      <c r="BX187" s="85" t="n">
        <v>7</v>
      </c>
      <c r="BY187" s="3" t="s">
        <v>1210</v>
      </c>
      <c r="BZ187" s="3" t="s">
        <v>809</v>
      </c>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row>
    <row r="188" customFormat="false" ht="15.75" hidden="false" customHeight="false" outlineLevel="0" collapsed="false">
      <c r="A188" s="309" t="s">
        <v>1482</v>
      </c>
      <c r="B188" s="309" t="s">
        <v>1483</v>
      </c>
      <c r="C188" s="309" t="s">
        <v>1484</v>
      </c>
      <c r="D188" s="309" t="s">
        <v>1485</v>
      </c>
      <c r="E188" s="309" t="s">
        <v>1486</v>
      </c>
      <c r="F188" s="318" t="b">
        <f aca="false">TRUE()</f>
        <v>1</v>
      </c>
      <c r="G188" s="309" t="s">
        <v>1063</v>
      </c>
      <c r="H188" s="309" t="s">
        <v>1483</v>
      </c>
      <c r="I188" s="312" t="n">
        <v>-1</v>
      </c>
      <c r="J188" s="3"/>
      <c r="K188" s="309" t="s">
        <v>884</v>
      </c>
      <c r="L188" s="312" t="n">
        <v>6</v>
      </c>
      <c r="M188" s="309" t="s">
        <v>757</v>
      </c>
      <c r="N188" s="309" t="s">
        <v>743</v>
      </c>
      <c r="O188" s="309" t="s">
        <v>744</v>
      </c>
      <c r="P188" s="309" t="s">
        <v>745</v>
      </c>
      <c r="Q188" s="309" t="s">
        <v>746</v>
      </c>
      <c r="R188" s="318" t="b">
        <f aca="false">FALSE()</f>
        <v>0</v>
      </c>
      <c r="S188" s="312" t="n">
        <v>90</v>
      </c>
      <c r="T188" s="312" t="n">
        <v>50</v>
      </c>
      <c r="U188" s="312" t="n">
        <v>110</v>
      </c>
      <c r="V188" s="312" t="n">
        <v>80</v>
      </c>
      <c r="W188" s="312" t="n">
        <v>120</v>
      </c>
      <c r="X188" s="312" t="n">
        <v>100</v>
      </c>
      <c r="Y188" s="312" t="n">
        <v>0.2</v>
      </c>
      <c r="Z188" s="312" t="n">
        <v>0.7</v>
      </c>
      <c r="AA188" s="312" t="n">
        <v>10</v>
      </c>
      <c r="AB188" s="312" t="n">
        <v>1540</v>
      </c>
      <c r="AC188" s="309" t="s">
        <v>1253</v>
      </c>
      <c r="AD188" s="309" t="s">
        <v>182</v>
      </c>
      <c r="AE188" s="312" t="n">
        <v>70</v>
      </c>
      <c r="AF188" s="312" t="n">
        <v>145</v>
      </c>
      <c r="AG188" s="312" t="n">
        <v>440</v>
      </c>
      <c r="AH188" s="312" t="n">
        <v>620</v>
      </c>
      <c r="AI188" s="312" t="n">
        <v>292</v>
      </c>
      <c r="AJ188" s="318" t="b">
        <f aca="false">TRUE()</f>
        <v>1</v>
      </c>
      <c r="AK188" s="318" t="b">
        <f aca="false">FALSE()</f>
        <v>0</v>
      </c>
      <c r="AL188" s="309" t="s">
        <v>1247</v>
      </c>
      <c r="AM188" s="318" t="b">
        <f aca="false">FALSE()</f>
        <v>0</v>
      </c>
      <c r="AN188" s="318" t="b">
        <f aca="false">FALSE()</f>
        <v>0</v>
      </c>
      <c r="AO188" s="312" t="n">
        <v>350</v>
      </c>
      <c r="AP188" s="312" t="n">
        <v>1</v>
      </c>
      <c r="AQ188" s="312" t="n">
        <v>5</v>
      </c>
      <c r="AR188" s="312" t="n">
        <v>25</v>
      </c>
      <c r="AS188" s="312" t="n">
        <v>90</v>
      </c>
      <c r="AT188" s="312" t="n">
        <v>1</v>
      </c>
      <c r="AU188" s="318" t="b">
        <f aca="false">FALSE()</f>
        <v>0</v>
      </c>
      <c r="AV188" s="318" t="b">
        <f aca="false">FALSE()</f>
        <v>0</v>
      </c>
      <c r="AW188" s="312" t="n">
        <v>9</v>
      </c>
      <c r="AX188" s="318" t="b">
        <f aca="false">FALSE()</f>
        <v>0</v>
      </c>
      <c r="AY188" s="318" t="b">
        <f aca="false">TRUE()</f>
        <v>1</v>
      </c>
      <c r="AZ188" s="312" t="n">
        <v>100</v>
      </c>
      <c r="BA188" s="312" t="n">
        <v>50</v>
      </c>
      <c r="BB188" s="312" t="n">
        <v>1160</v>
      </c>
      <c r="BC188" s="312" t="n">
        <v>2</v>
      </c>
      <c r="BD188" s="312" t="n">
        <v>0</v>
      </c>
      <c r="BE188" s="312" t="n">
        <v>0</v>
      </c>
      <c r="BF188" s="312" t="n">
        <v>0</v>
      </c>
      <c r="BG188" s="312" t="n">
        <v>3</v>
      </c>
      <c r="BH188" s="312" t="n">
        <v>0</v>
      </c>
      <c r="BI188" s="312" t="n">
        <v>0</v>
      </c>
      <c r="BJ188" s="312" t="n">
        <v>0</v>
      </c>
      <c r="BK188" s="312" t="n">
        <v>0</v>
      </c>
      <c r="BL188" s="312" t="n">
        <v>0</v>
      </c>
      <c r="BM188" s="312" t="n">
        <v>0</v>
      </c>
      <c r="BN188" s="312" t="n">
        <v>2</v>
      </c>
      <c r="BO188" s="312" t="n">
        <v>0</v>
      </c>
      <c r="BP188" s="309" t="s">
        <v>182</v>
      </c>
      <c r="BQ188" s="309" t="s">
        <v>182</v>
      </c>
      <c r="BR188" s="309" t="s">
        <v>182</v>
      </c>
      <c r="BS188" s="309" t="s">
        <v>182</v>
      </c>
      <c r="BT188" s="312" t="n">
        <v>258</v>
      </c>
      <c r="BU188" s="318" t="b">
        <f aca="false">FALSE()</f>
        <v>0</v>
      </c>
      <c r="BV188" s="3" t="e">
        <f aca="false">xlookup(MID($A188,7,50),$A$2:$A$139,$BV$2:$BV$139,,0,1)</f>
        <v>#NAME?</v>
      </c>
      <c r="BW188" s="3"/>
      <c r="BX188" s="3"/>
      <c r="BY188" s="3"/>
      <c r="BZ188" s="3"/>
      <c r="CA188" s="3"/>
      <c r="CB188" s="3"/>
      <c r="CC188" s="3"/>
      <c r="CD188" s="3"/>
      <c r="CE188" s="3"/>
      <c r="CF188" s="3"/>
      <c r="CG188" s="3"/>
      <c r="CH188" s="3"/>
      <c r="CI188" s="3" t="s">
        <v>750</v>
      </c>
      <c r="CJ188" s="3" t="s">
        <v>1064</v>
      </c>
      <c r="CK188" s="3" t="s">
        <v>1064</v>
      </c>
      <c r="CL188" s="3" t="s">
        <v>1064</v>
      </c>
      <c r="CM188" s="3" t="s">
        <v>1064</v>
      </c>
      <c r="CN188" s="3" t="s">
        <v>1064</v>
      </c>
      <c r="CO188" s="3"/>
      <c r="CP188" s="3"/>
      <c r="CQ188" s="3"/>
      <c r="CR188" s="3"/>
      <c r="CS188" s="3"/>
      <c r="CT188" s="3"/>
      <c r="CU188" s="3"/>
      <c r="CV188" s="3" t="s">
        <v>752</v>
      </c>
      <c r="CW188" s="3" t="s">
        <v>753</v>
      </c>
      <c r="CX188" s="3" t="s">
        <v>754</v>
      </c>
      <c r="CY188" s="3" t="s">
        <v>755</v>
      </c>
      <c r="CZ188" s="3" t="s">
        <v>756</v>
      </c>
    </row>
    <row r="189" customFormat="false" ht="15.75" hidden="false" customHeight="false" outlineLevel="0" collapsed="false">
      <c r="A189" s="309" t="s">
        <v>1487</v>
      </c>
      <c r="B189" s="309" t="s">
        <v>1488</v>
      </c>
      <c r="C189" s="309" t="s">
        <v>1489</v>
      </c>
      <c r="D189" s="309" t="s">
        <v>1490</v>
      </c>
      <c r="E189" s="309" t="s">
        <v>1491</v>
      </c>
      <c r="F189" s="318" t="b">
        <f aca="false">TRUE()</f>
        <v>1</v>
      </c>
      <c r="G189" s="309" t="s">
        <v>813</v>
      </c>
      <c r="H189" s="309" t="s">
        <v>1488</v>
      </c>
      <c r="I189" s="312" t="n">
        <v>-1</v>
      </c>
      <c r="J189" s="3"/>
      <c r="K189" s="309" t="s">
        <v>884</v>
      </c>
      <c r="L189" s="312" t="n">
        <v>1</v>
      </c>
      <c r="M189" s="309" t="s">
        <v>814</v>
      </c>
      <c r="N189" s="309" t="s">
        <v>743</v>
      </c>
      <c r="O189" s="309" t="s">
        <v>763</v>
      </c>
      <c r="P189" s="309" t="s">
        <v>745</v>
      </c>
      <c r="Q189" s="309" t="s">
        <v>746</v>
      </c>
      <c r="R189" s="318" t="b">
        <f aca="false">FALSE()</f>
        <v>0</v>
      </c>
      <c r="S189" s="312" t="n">
        <v>70</v>
      </c>
      <c r="T189" s="312" t="n">
        <v>70</v>
      </c>
      <c r="U189" s="312" t="n">
        <v>60</v>
      </c>
      <c r="V189" s="312" t="n">
        <v>70</v>
      </c>
      <c r="W189" s="312" t="n">
        <v>100</v>
      </c>
      <c r="X189" s="312" t="n">
        <v>100</v>
      </c>
      <c r="Y189" s="312" t="n">
        <v>0.4</v>
      </c>
      <c r="Z189" s="312" t="n">
        <v>0.91</v>
      </c>
      <c r="AA189" s="312" t="n">
        <v>10</v>
      </c>
      <c r="AB189" s="312" t="n">
        <v>1000</v>
      </c>
      <c r="AC189" s="309" t="s">
        <v>836</v>
      </c>
      <c r="AD189" s="309" t="s">
        <v>182</v>
      </c>
      <c r="AE189" s="312" t="n">
        <v>30</v>
      </c>
      <c r="AF189" s="312" t="n">
        <v>60</v>
      </c>
      <c r="AG189" s="312" t="n">
        <v>300</v>
      </c>
      <c r="AH189" s="312" t="n">
        <v>400</v>
      </c>
      <c r="AI189" s="312" t="n">
        <v>180</v>
      </c>
      <c r="AJ189" s="318" t="b">
        <f aca="false">TRUE()</f>
        <v>1</v>
      </c>
      <c r="AK189" s="318" t="b">
        <f aca="false">FALSE()</f>
        <v>0</v>
      </c>
      <c r="AL189" s="309" t="s">
        <v>1247</v>
      </c>
      <c r="AM189" s="318" t="b">
        <f aca="false">FALSE()</f>
        <v>0</v>
      </c>
      <c r="AN189" s="318" t="b">
        <f aca="false">FALSE()</f>
        <v>0</v>
      </c>
      <c r="AO189" s="312" t="n">
        <v>150</v>
      </c>
      <c r="AP189" s="312" t="n">
        <v>1</v>
      </c>
      <c r="AQ189" s="312" t="n">
        <v>2</v>
      </c>
      <c r="AR189" s="312" t="n">
        <v>25</v>
      </c>
      <c r="AS189" s="312" t="n">
        <v>90</v>
      </c>
      <c r="AT189" s="312" t="n">
        <v>1</v>
      </c>
      <c r="AU189" s="318" t="b">
        <f aca="false">FALSE()</f>
        <v>0</v>
      </c>
      <c r="AV189" s="318" t="b">
        <f aca="false">FALSE()</f>
        <v>0</v>
      </c>
      <c r="AW189" s="312" t="n">
        <v>9</v>
      </c>
      <c r="AX189" s="318" t="b">
        <f aca="false">FALSE()</f>
        <v>0</v>
      </c>
      <c r="AY189" s="318" t="b">
        <f aca="false">TRUE()</f>
        <v>1</v>
      </c>
      <c r="AZ189" s="312" t="n">
        <v>100</v>
      </c>
      <c r="BA189" s="312" t="n">
        <v>50</v>
      </c>
      <c r="BB189" s="312" t="n">
        <v>1490</v>
      </c>
      <c r="BC189" s="312" t="n">
        <v>0</v>
      </c>
      <c r="BD189" s="312" t="n">
        <v>1</v>
      </c>
      <c r="BE189" s="312" t="n">
        <v>0</v>
      </c>
      <c r="BF189" s="312" t="n">
        <v>0</v>
      </c>
      <c r="BG189" s="312" t="n">
        <v>0</v>
      </c>
      <c r="BH189" s="312" t="n">
        <v>0</v>
      </c>
      <c r="BI189" s="312" t="n">
        <v>0</v>
      </c>
      <c r="BJ189" s="312" t="n">
        <v>0</v>
      </c>
      <c r="BK189" s="312" t="n">
        <v>0</v>
      </c>
      <c r="BL189" s="312" t="n">
        <v>0</v>
      </c>
      <c r="BM189" s="312" t="n">
        <v>0</v>
      </c>
      <c r="BN189" s="312" t="n">
        <v>0</v>
      </c>
      <c r="BO189" s="312" t="n">
        <v>0</v>
      </c>
      <c r="BP189" s="309" t="s">
        <v>182</v>
      </c>
      <c r="BQ189" s="309" t="s">
        <v>182</v>
      </c>
      <c r="BR189" s="309" t="s">
        <v>182</v>
      </c>
      <c r="BS189" s="309" t="s">
        <v>182</v>
      </c>
      <c r="BT189" s="312" t="n">
        <v>259</v>
      </c>
      <c r="BU189" s="318" t="b">
        <f aca="false">FALSE()</f>
        <v>0</v>
      </c>
      <c r="BV189" s="3" t="e">
        <f aca="false">xlookup(MID($A189,7,50),$A$2:$A$139,$BV$2:$BV$139,,0,1)</f>
        <v>#NAME?</v>
      </c>
      <c r="BW189" s="3"/>
      <c r="BX189" s="3"/>
      <c r="BY189" s="3"/>
      <c r="BZ189" s="3"/>
      <c r="CA189" s="3" t="s">
        <v>815</v>
      </c>
      <c r="CB189" s="85" t="n">
        <v>200</v>
      </c>
      <c r="CC189" s="85" t="n">
        <v>220</v>
      </c>
      <c r="CD189" s="85" t="n">
        <v>260</v>
      </c>
      <c r="CE189" s="85" t="n">
        <v>320</v>
      </c>
      <c r="CF189" s="85" t="n">
        <v>400</v>
      </c>
      <c r="CG189" s="3"/>
      <c r="CH189" s="3"/>
      <c r="CI189" s="3"/>
      <c r="CJ189" s="3"/>
      <c r="CK189" s="3"/>
      <c r="CL189" s="3"/>
      <c r="CM189" s="3"/>
      <c r="CN189" s="3"/>
      <c r="CO189" s="3"/>
      <c r="CP189" s="3"/>
      <c r="CQ189" s="3"/>
      <c r="CR189" s="3"/>
      <c r="CS189" s="3"/>
      <c r="CT189" s="3"/>
      <c r="CU189" s="3"/>
      <c r="CV189" s="3"/>
      <c r="CW189" s="3"/>
      <c r="CX189" s="3"/>
      <c r="CY189" s="3"/>
      <c r="CZ189" s="3"/>
    </row>
    <row r="190" customFormat="false" ht="15.75" hidden="false" customHeight="false" outlineLevel="0" collapsed="false">
      <c r="A190" s="309" t="s">
        <v>1492</v>
      </c>
      <c r="B190" s="309" t="s">
        <v>1493</v>
      </c>
      <c r="C190" s="309" t="s">
        <v>1494</v>
      </c>
      <c r="D190" s="309" t="s">
        <v>1495</v>
      </c>
      <c r="E190" s="309" t="s">
        <v>1496</v>
      </c>
      <c r="F190" s="318" t="b">
        <f aca="false">TRUE()</f>
        <v>1</v>
      </c>
      <c r="G190" s="309" t="s">
        <v>816</v>
      </c>
      <c r="H190" s="309" t="s">
        <v>1493</v>
      </c>
      <c r="I190" s="312" t="n">
        <v>-1</v>
      </c>
      <c r="J190" s="3"/>
      <c r="K190" s="309" t="s">
        <v>741</v>
      </c>
      <c r="L190" s="312" t="n">
        <v>2</v>
      </c>
      <c r="M190" s="309" t="s">
        <v>789</v>
      </c>
      <c r="N190" s="309" t="s">
        <v>743</v>
      </c>
      <c r="O190" s="309" t="s">
        <v>763</v>
      </c>
      <c r="P190" s="309" t="s">
        <v>745</v>
      </c>
      <c r="Q190" s="309" t="s">
        <v>746</v>
      </c>
      <c r="R190" s="318" t="b">
        <f aca="false">FALSE()</f>
        <v>0</v>
      </c>
      <c r="S190" s="312" t="n">
        <v>80</v>
      </c>
      <c r="T190" s="312" t="n">
        <v>110</v>
      </c>
      <c r="U190" s="312" t="n">
        <v>90</v>
      </c>
      <c r="V190" s="312" t="n">
        <v>75</v>
      </c>
      <c r="W190" s="312" t="n">
        <v>100</v>
      </c>
      <c r="X190" s="312" t="n">
        <v>100</v>
      </c>
      <c r="Y190" s="312" t="n">
        <v>0.4</v>
      </c>
      <c r="Z190" s="312" t="n">
        <v>0.7</v>
      </c>
      <c r="AA190" s="312" t="n">
        <v>10</v>
      </c>
      <c r="AB190" s="312" t="n">
        <v>1920</v>
      </c>
      <c r="AC190" s="309" t="s">
        <v>1253</v>
      </c>
      <c r="AD190" s="309" t="s">
        <v>182</v>
      </c>
      <c r="AE190" s="312" t="n">
        <v>90</v>
      </c>
      <c r="AF190" s="312" t="n">
        <v>180</v>
      </c>
      <c r="AG190" s="312" t="n">
        <v>800</v>
      </c>
      <c r="AH190" s="312" t="n">
        <v>1050</v>
      </c>
      <c r="AI190" s="312" t="n">
        <v>460</v>
      </c>
      <c r="AJ190" s="318" t="b">
        <f aca="false">TRUE()</f>
        <v>1</v>
      </c>
      <c r="AK190" s="318" t="b">
        <f aca="false">FALSE()</f>
        <v>0</v>
      </c>
      <c r="AL190" s="309" t="s">
        <v>1247</v>
      </c>
      <c r="AM190" s="318" t="b">
        <f aca="false">FALSE()</f>
        <v>0</v>
      </c>
      <c r="AN190" s="318" t="b">
        <f aca="false">FALSE()</f>
        <v>0</v>
      </c>
      <c r="AO190" s="312" t="n">
        <v>225</v>
      </c>
      <c r="AP190" s="312" t="n">
        <v>1</v>
      </c>
      <c r="AQ190" s="312" t="n">
        <v>3</v>
      </c>
      <c r="AR190" s="312" t="n">
        <v>25</v>
      </c>
      <c r="AS190" s="312" t="n">
        <v>90</v>
      </c>
      <c r="AT190" s="312" t="n">
        <v>1</v>
      </c>
      <c r="AU190" s="318" t="b">
        <f aca="false">FALSE()</f>
        <v>0</v>
      </c>
      <c r="AV190" s="318" t="b">
        <f aca="false">FALSE()</f>
        <v>0</v>
      </c>
      <c r="AW190" s="312" t="n">
        <v>9</v>
      </c>
      <c r="AX190" s="318" t="b">
        <f aca="false">TRUE()</f>
        <v>1</v>
      </c>
      <c r="AY190" s="318" t="b">
        <f aca="false">TRUE()</f>
        <v>1</v>
      </c>
      <c r="AZ190" s="312" t="n">
        <v>70</v>
      </c>
      <c r="BA190" s="312" t="n">
        <v>50</v>
      </c>
      <c r="BB190" s="312" t="n">
        <v>1060</v>
      </c>
      <c r="BC190" s="312" t="n">
        <v>0</v>
      </c>
      <c r="BD190" s="312" t="n">
        <v>0</v>
      </c>
      <c r="BE190" s="312" t="n">
        <v>0</v>
      </c>
      <c r="BF190" s="312" t="n">
        <v>0</v>
      </c>
      <c r="BG190" s="312" t="n">
        <v>0</v>
      </c>
      <c r="BH190" s="312" t="n">
        <v>1</v>
      </c>
      <c r="BI190" s="312" t="n">
        <v>0</v>
      </c>
      <c r="BJ190" s="312" t="n">
        <v>0</v>
      </c>
      <c r="BK190" s="312" t="n">
        <v>0</v>
      </c>
      <c r="BL190" s="312" t="n">
        <v>0</v>
      </c>
      <c r="BM190" s="312" t="n">
        <v>0</v>
      </c>
      <c r="BN190" s="312" t="n">
        <v>0</v>
      </c>
      <c r="BO190" s="312" t="n">
        <v>0</v>
      </c>
      <c r="BP190" s="309" t="s">
        <v>182</v>
      </c>
      <c r="BQ190" s="309" t="s">
        <v>182</v>
      </c>
      <c r="BR190" s="309" t="s">
        <v>182</v>
      </c>
      <c r="BS190" s="309" t="s">
        <v>182</v>
      </c>
      <c r="BT190" s="312" t="n">
        <v>260</v>
      </c>
      <c r="BU190" s="318" t="b">
        <f aca="false">FALSE()</f>
        <v>0</v>
      </c>
      <c r="BV190" s="3" t="e">
        <f aca="false">xlookup(MID($A190,7,50),$A$2:$A$139,$BV$2:$BV$139,,0,1)</f>
        <v>#NAME?</v>
      </c>
      <c r="BW190" s="3"/>
      <c r="BX190" s="85" t="n">
        <v>9</v>
      </c>
      <c r="BY190" s="3" t="s">
        <v>817</v>
      </c>
      <c r="BZ190" s="3" t="s">
        <v>775</v>
      </c>
      <c r="CA190" s="3"/>
      <c r="CB190" s="3"/>
      <c r="CC190" s="3"/>
      <c r="CD190" s="3"/>
      <c r="CE190" s="3"/>
      <c r="CF190" s="3"/>
      <c r="CG190" s="311" t="b">
        <f aca="false">TRUE()</f>
        <v>1</v>
      </c>
      <c r="CH190" s="3" t="s">
        <v>776</v>
      </c>
      <c r="CI190" s="3"/>
      <c r="CJ190" s="3"/>
      <c r="CK190" s="3"/>
      <c r="CL190" s="3"/>
      <c r="CM190" s="3"/>
      <c r="CN190" s="3"/>
      <c r="CO190" s="3"/>
      <c r="CP190" s="3"/>
      <c r="CQ190" s="3"/>
      <c r="CR190" s="3"/>
      <c r="CS190" s="3"/>
      <c r="CT190" s="3"/>
      <c r="CU190" s="3" t="s">
        <v>818</v>
      </c>
      <c r="CV190" s="3"/>
      <c r="CW190" s="3" t="s">
        <v>819</v>
      </c>
      <c r="CX190" s="3" t="s">
        <v>820</v>
      </c>
      <c r="CY190" s="3" t="s">
        <v>821</v>
      </c>
      <c r="CZ190" s="3" t="s">
        <v>822</v>
      </c>
    </row>
    <row r="191" customFormat="false" ht="15.75" hidden="false" customHeight="false" outlineLevel="0" collapsed="false">
      <c r="A191" s="309" t="s">
        <v>1497</v>
      </c>
      <c r="B191" s="309" t="s">
        <v>1498</v>
      </c>
      <c r="C191" s="309" t="s">
        <v>1499</v>
      </c>
      <c r="D191" s="309" t="s">
        <v>1500</v>
      </c>
      <c r="E191" s="309" t="s">
        <v>1501</v>
      </c>
      <c r="F191" s="318" t="b">
        <f aca="false">TRUE()</f>
        <v>1</v>
      </c>
      <c r="G191" s="309" t="s">
        <v>423</v>
      </c>
      <c r="H191" s="309" t="s">
        <v>1498</v>
      </c>
      <c r="I191" s="312" t="n">
        <v>-1</v>
      </c>
      <c r="J191" s="3"/>
      <c r="K191" s="309" t="s">
        <v>884</v>
      </c>
      <c r="L191" s="312" t="n">
        <v>6</v>
      </c>
      <c r="M191" s="309" t="s">
        <v>758</v>
      </c>
      <c r="N191" s="309" t="s">
        <v>743</v>
      </c>
      <c r="O191" s="309" t="s">
        <v>763</v>
      </c>
      <c r="P191" s="309" t="s">
        <v>745</v>
      </c>
      <c r="Q191" s="309" t="s">
        <v>746</v>
      </c>
      <c r="R191" s="318" t="b">
        <f aca="false">FALSE()</f>
        <v>0</v>
      </c>
      <c r="S191" s="312" t="n">
        <v>75</v>
      </c>
      <c r="T191" s="312" t="n">
        <v>50</v>
      </c>
      <c r="U191" s="312" t="n">
        <v>105</v>
      </c>
      <c r="V191" s="312" t="n">
        <v>80</v>
      </c>
      <c r="W191" s="312" t="n">
        <v>100</v>
      </c>
      <c r="X191" s="312" t="n">
        <v>100</v>
      </c>
      <c r="Y191" s="312" t="n">
        <v>0.2</v>
      </c>
      <c r="Z191" s="312" t="n">
        <v>0.7</v>
      </c>
      <c r="AA191" s="312" t="n">
        <v>10</v>
      </c>
      <c r="AB191" s="312" t="n">
        <v>1570</v>
      </c>
      <c r="AC191" s="309" t="s">
        <v>1253</v>
      </c>
      <c r="AD191" s="309" t="s">
        <v>182</v>
      </c>
      <c r="AE191" s="312" t="n">
        <v>100</v>
      </c>
      <c r="AF191" s="312" t="n">
        <v>160</v>
      </c>
      <c r="AG191" s="312" t="n">
        <v>600</v>
      </c>
      <c r="AH191" s="312" t="n">
        <v>900</v>
      </c>
      <c r="AI191" s="312" t="n">
        <v>365</v>
      </c>
      <c r="AJ191" s="318" t="b">
        <f aca="false">TRUE()</f>
        <v>1</v>
      </c>
      <c r="AK191" s="318" t="b">
        <f aca="false">FALSE()</f>
        <v>0</v>
      </c>
      <c r="AL191" s="309" t="s">
        <v>1247</v>
      </c>
      <c r="AM191" s="318" t="b">
        <f aca="false">FALSE()</f>
        <v>0</v>
      </c>
      <c r="AN191" s="318" t="b">
        <f aca="false">FALSE()</f>
        <v>0</v>
      </c>
      <c r="AO191" s="312" t="n">
        <v>225</v>
      </c>
      <c r="AP191" s="312" t="n">
        <v>1</v>
      </c>
      <c r="AQ191" s="312" t="n">
        <v>3</v>
      </c>
      <c r="AR191" s="312" t="n">
        <v>25</v>
      </c>
      <c r="AS191" s="312" t="n">
        <v>90</v>
      </c>
      <c r="AT191" s="312" t="n">
        <v>1</v>
      </c>
      <c r="AU191" s="318" t="b">
        <f aca="false">FALSE()</f>
        <v>0</v>
      </c>
      <c r="AV191" s="318" t="b">
        <f aca="false">TRUE()</f>
        <v>1</v>
      </c>
      <c r="AW191" s="312" t="n">
        <v>9</v>
      </c>
      <c r="AX191" s="318" t="b">
        <f aca="false">TRUE()</f>
        <v>1</v>
      </c>
      <c r="AY191" s="318" t="b">
        <f aca="false">TRUE()</f>
        <v>1</v>
      </c>
      <c r="AZ191" s="312" t="n">
        <v>100</v>
      </c>
      <c r="BA191" s="312" t="n">
        <v>50</v>
      </c>
      <c r="BB191" s="312" t="n">
        <v>1150</v>
      </c>
      <c r="BC191" s="312" t="n">
        <v>0</v>
      </c>
      <c r="BD191" s="312" t="n">
        <v>0</v>
      </c>
      <c r="BE191" s="312" t="n">
        <v>0</v>
      </c>
      <c r="BF191" s="312" t="n">
        <v>0</v>
      </c>
      <c r="BG191" s="312" t="n">
        <v>0</v>
      </c>
      <c r="BH191" s="312" t="n">
        <v>2</v>
      </c>
      <c r="BI191" s="312" t="n">
        <v>0</v>
      </c>
      <c r="BJ191" s="312" t="n">
        <v>1</v>
      </c>
      <c r="BK191" s="312" t="n">
        <v>0</v>
      </c>
      <c r="BL191" s="312" t="n">
        <v>0</v>
      </c>
      <c r="BM191" s="312" t="n">
        <v>0</v>
      </c>
      <c r="BN191" s="312" t="n">
        <v>0</v>
      </c>
      <c r="BO191" s="312" t="n">
        <v>0</v>
      </c>
      <c r="BP191" s="309" t="s">
        <v>182</v>
      </c>
      <c r="BQ191" s="309" t="s">
        <v>182</v>
      </c>
      <c r="BR191" s="309" t="s">
        <v>182</v>
      </c>
      <c r="BS191" s="309" t="s">
        <v>182</v>
      </c>
      <c r="BT191" s="312" t="n">
        <v>261</v>
      </c>
      <c r="BU191" s="318" t="b">
        <f aca="false">FALSE()</f>
        <v>0</v>
      </c>
      <c r="BV191" s="3" t="e">
        <f aca="false">xlookup(MID($A191,7,50),$A$2:$A$139,$BV$2:$BV$139,,0,1)</f>
        <v>#NAME?</v>
      </c>
      <c r="BW191" s="3"/>
      <c r="BX191" s="85" t="n">
        <v>23</v>
      </c>
      <c r="BY191" s="3" t="s">
        <v>963</v>
      </c>
      <c r="BZ191" s="3" t="s">
        <v>775</v>
      </c>
      <c r="CA191" s="3"/>
      <c r="CB191" s="3"/>
      <c r="CC191" s="3"/>
      <c r="CD191" s="3"/>
      <c r="CE191" s="3"/>
      <c r="CF191" s="3"/>
      <c r="CG191" s="311" t="b">
        <f aca="false">TRUE()</f>
        <v>1</v>
      </c>
      <c r="CH191" s="3" t="s">
        <v>776</v>
      </c>
      <c r="CI191" s="3" t="s">
        <v>750</v>
      </c>
      <c r="CJ191" s="3" t="s">
        <v>912</v>
      </c>
      <c r="CK191" s="3" t="s">
        <v>912</v>
      </c>
      <c r="CL191" s="3" t="s">
        <v>912</v>
      </c>
      <c r="CM191" s="3" t="s">
        <v>912</v>
      </c>
      <c r="CN191" s="3" t="s">
        <v>912</v>
      </c>
      <c r="CO191" s="3"/>
      <c r="CP191" s="3"/>
      <c r="CQ191" s="3"/>
      <c r="CR191" s="3"/>
      <c r="CS191" s="3"/>
      <c r="CT191" s="3"/>
      <c r="CU191" s="3"/>
      <c r="CV191" s="3" t="s">
        <v>839</v>
      </c>
      <c r="CW191" s="3" t="s">
        <v>840</v>
      </c>
      <c r="CX191" s="3" t="s">
        <v>841</v>
      </c>
      <c r="CY191" s="3" t="s">
        <v>842</v>
      </c>
      <c r="CZ191" s="3" t="s">
        <v>843</v>
      </c>
    </row>
    <row r="192" customFormat="false" ht="15.75" hidden="false" customHeight="false" outlineLevel="0" collapsed="false">
      <c r="A192" s="309" t="s">
        <v>1502</v>
      </c>
      <c r="B192" s="309" t="s">
        <v>1503</v>
      </c>
      <c r="C192" s="309" t="s">
        <v>1504</v>
      </c>
      <c r="D192" s="309" t="s">
        <v>1505</v>
      </c>
      <c r="E192" s="309" t="s">
        <v>1506</v>
      </c>
      <c r="F192" s="318" t="b">
        <f aca="false">TRUE()</f>
        <v>1</v>
      </c>
      <c r="G192" s="309" t="s">
        <v>823</v>
      </c>
      <c r="H192" s="309" t="s">
        <v>1503</v>
      </c>
      <c r="I192" s="312" t="n">
        <v>-1</v>
      </c>
      <c r="J192" s="3"/>
      <c r="K192" s="309" t="s">
        <v>884</v>
      </c>
      <c r="L192" s="312" t="n">
        <v>5</v>
      </c>
      <c r="M192" s="309" t="s">
        <v>789</v>
      </c>
      <c r="N192" s="309" t="s">
        <v>743</v>
      </c>
      <c r="O192" s="309" t="s">
        <v>744</v>
      </c>
      <c r="P192" s="309" t="s">
        <v>745</v>
      </c>
      <c r="Q192" s="309" t="s">
        <v>746</v>
      </c>
      <c r="R192" s="318" t="b">
        <f aca="false">FALSE()</f>
        <v>0</v>
      </c>
      <c r="S192" s="312" t="n">
        <v>90</v>
      </c>
      <c r="T192" s="312" t="n">
        <v>110</v>
      </c>
      <c r="U192" s="312" t="n">
        <v>95</v>
      </c>
      <c r="V192" s="312" t="n">
        <v>90</v>
      </c>
      <c r="W192" s="312" t="n">
        <v>100</v>
      </c>
      <c r="X192" s="312" t="n">
        <v>100</v>
      </c>
      <c r="Y192" s="312" t="n">
        <v>0.2</v>
      </c>
      <c r="Z192" s="312" t="n">
        <v>0.7</v>
      </c>
      <c r="AA192" s="312" t="n">
        <v>10</v>
      </c>
      <c r="AB192" s="312" t="n">
        <v>2010</v>
      </c>
      <c r="AC192" s="309" t="s">
        <v>1253</v>
      </c>
      <c r="AD192" s="309" t="s">
        <v>182</v>
      </c>
      <c r="AE192" s="312" t="n">
        <v>66</v>
      </c>
      <c r="AF192" s="312" t="n">
        <v>100</v>
      </c>
      <c r="AG192" s="312" t="n">
        <v>550</v>
      </c>
      <c r="AH192" s="312" t="n">
        <v>720</v>
      </c>
      <c r="AI192" s="312" t="n">
        <v>250</v>
      </c>
      <c r="AJ192" s="318" t="b">
        <f aca="false">TRUE()</f>
        <v>1</v>
      </c>
      <c r="AK192" s="318" t="b">
        <f aca="false">FALSE()</f>
        <v>0</v>
      </c>
      <c r="AL192" s="309" t="s">
        <v>1247</v>
      </c>
      <c r="AM192" s="318" t="b">
        <f aca="false">FALSE()</f>
        <v>0</v>
      </c>
      <c r="AN192" s="318" t="b">
        <f aca="false">FALSE()</f>
        <v>0</v>
      </c>
      <c r="AO192" s="312" t="n">
        <v>225</v>
      </c>
      <c r="AP192" s="312" t="n">
        <v>1</v>
      </c>
      <c r="AQ192" s="312" t="n">
        <v>3</v>
      </c>
      <c r="AR192" s="312" t="n">
        <v>25</v>
      </c>
      <c r="AS192" s="312" t="n">
        <v>90</v>
      </c>
      <c r="AT192" s="312" t="n">
        <v>1</v>
      </c>
      <c r="AU192" s="318" t="b">
        <f aca="false">FALSE()</f>
        <v>0</v>
      </c>
      <c r="AV192" s="318" t="b">
        <f aca="false">FALSE()</f>
        <v>0</v>
      </c>
      <c r="AW192" s="312" t="n">
        <v>9</v>
      </c>
      <c r="AX192" s="318" t="b">
        <f aca="false">TRUE()</f>
        <v>1</v>
      </c>
      <c r="AY192" s="318" t="b">
        <f aca="false">TRUE()</f>
        <v>1</v>
      </c>
      <c r="AZ192" s="312" t="n">
        <v>100</v>
      </c>
      <c r="BA192" s="312" t="n">
        <v>50</v>
      </c>
      <c r="BB192" s="312" t="n">
        <v>1040</v>
      </c>
      <c r="BC192" s="312" t="n">
        <v>0</v>
      </c>
      <c r="BD192" s="312" t="n">
        <v>0</v>
      </c>
      <c r="BE192" s="312" t="n">
        <v>0</v>
      </c>
      <c r="BF192" s="312" t="n">
        <v>0</v>
      </c>
      <c r="BG192" s="312" t="n">
        <v>1</v>
      </c>
      <c r="BH192" s="312" t="n">
        <v>0</v>
      </c>
      <c r="BI192" s="312" t="n">
        <v>2</v>
      </c>
      <c r="BJ192" s="312" t="n">
        <v>0</v>
      </c>
      <c r="BK192" s="312" t="n">
        <v>0</v>
      </c>
      <c r="BL192" s="312" t="n">
        <v>0</v>
      </c>
      <c r="BM192" s="312" t="n">
        <v>0</v>
      </c>
      <c r="BN192" s="312" t="n">
        <v>3</v>
      </c>
      <c r="BO192" s="312" t="n">
        <v>0</v>
      </c>
      <c r="BP192" s="309" t="s">
        <v>824</v>
      </c>
      <c r="BQ192" s="309" t="s">
        <v>182</v>
      </c>
      <c r="BR192" s="309" t="s">
        <v>182</v>
      </c>
      <c r="BS192" s="309" t="s">
        <v>182</v>
      </c>
      <c r="BT192" s="312" t="n">
        <v>263</v>
      </c>
      <c r="BU192" s="318" t="b">
        <f aca="false">FALSE()</f>
        <v>0</v>
      </c>
      <c r="BV192" s="3" t="e">
        <f aca="false">xlookup(MID($A192,7,50),$A$2:$A$139,$BV$2:$BV$139,,0,1)</f>
        <v>#NAME?</v>
      </c>
      <c r="BW192" s="3"/>
      <c r="BX192" s="3"/>
      <c r="BY192" s="3"/>
      <c r="BZ192" s="3"/>
      <c r="CA192" s="3" t="s">
        <v>825</v>
      </c>
      <c r="CB192" s="3"/>
      <c r="CC192" s="3"/>
      <c r="CD192" s="3"/>
      <c r="CE192" s="3"/>
      <c r="CF192" s="3"/>
      <c r="CG192" s="3"/>
      <c r="CH192" s="3"/>
      <c r="CI192" s="3"/>
      <c r="CJ192" s="3"/>
      <c r="CK192" s="3"/>
      <c r="CL192" s="3"/>
      <c r="CM192" s="3"/>
      <c r="CN192" s="3"/>
      <c r="CO192" s="3"/>
      <c r="CP192" s="3"/>
      <c r="CQ192" s="3"/>
      <c r="CR192" s="3"/>
      <c r="CS192" s="3"/>
      <c r="CT192" s="3"/>
      <c r="CU192" s="3" t="s">
        <v>826</v>
      </c>
      <c r="CV192" s="3" t="s">
        <v>827</v>
      </c>
      <c r="CW192" s="3" t="s">
        <v>828</v>
      </c>
      <c r="CX192" s="3" t="s">
        <v>829</v>
      </c>
      <c r="CY192" s="3" t="s">
        <v>830</v>
      </c>
      <c r="CZ192" s="3" t="s">
        <v>831</v>
      </c>
    </row>
    <row r="193" customFormat="false" ht="15.75" hidden="false" customHeight="false" outlineLevel="0" collapsed="false">
      <c r="A193" s="309" t="s">
        <v>1507</v>
      </c>
      <c r="B193" s="309" t="s">
        <v>1508</v>
      </c>
      <c r="C193" s="309" t="s">
        <v>1509</v>
      </c>
      <c r="D193" s="309" t="s">
        <v>1510</v>
      </c>
      <c r="E193" s="309" t="s">
        <v>1511</v>
      </c>
      <c r="F193" s="318" t="b">
        <f aca="false">TRUE()</f>
        <v>1</v>
      </c>
      <c r="G193" s="309" t="s">
        <v>440</v>
      </c>
      <c r="H193" s="309" t="s">
        <v>1508</v>
      </c>
      <c r="I193" s="312" t="n">
        <v>-1</v>
      </c>
      <c r="J193" s="3"/>
      <c r="K193" s="309" t="s">
        <v>884</v>
      </c>
      <c r="L193" s="312" t="n">
        <v>8</v>
      </c>
      <c r="M193" s="309" t="s">
        <v>783</v>
      </c>
      <c r="N193" s="309" t="s">
        <v>743</v>
      </c>
      <c r="O193" s="309" t="s">
        <v>763</v>
      </c>
      <c r="P193" s="309" t="s">
        <v>745</v>
      </c>
      <c r="Q193" s="309" t="s">
        <v>746</v>
      </c>
      <c r="R193" s="318" t="b">
        <f aca="false">FALSE()</f>
        <v>0</v>
      </c>
      <c r="S193" s="312" t="n">
        <v>150</v>
      </c>
      <c r="T193" s="312" t="n">
        <v>100</v>
      </c>
      <c r="U193" s="312" t="n">
        <v>85</v>
      </c>
      <c r="V193" s="312" t="n">
        <v>90</v>
      </c>
      <c r="W193" s="312" t="n">
        <v>30</v>
      </c>
      <c r="X193" s="312" t="n">
        <v>100</v>
      </c>
      <c r="Y193" s="312" t="n">
        <v>0.2</v>
      </c>
      <c r="Z193" s="312" t="n">
        <v>0.7</v>
      </c>
      <c r="AA193" s="312" t="n">
        <v>10</v>
      </c>
      <c r="AB193" s="312" t="n">
        <v>9450</v>
      </c>
      <c r="AC193" s="309" t="s">
        <v>836</v>
      </c>
      <c r="AD193" s="309" t="s">
        <v>182</v>
      </c>
      <c r="AE193" s="312" t="n">
        <v>100</v>
      </c>
      <c r="AF193" s="312" t="n">
        <v>135</v>
      </c>
      <c r="AG193" s="312" t="n">
        <v>430</v>
      </c>
      <c r="AH193" s="312" t="n">
        <v>700</v>
      </c>
      <c r="AI193" s="312" t="n">
        <v>282</v>
      </c>
      <c r="AJ193" s="318" t="b">
        <f aca="false">TRUE()</f>
        <v>1</v>
      </c>
      <c r="AK193" s="318" t="b">
        <f aca="false">FALSE()</f>
        <v>0</v>
      </c>
      <c r="AL193" s="309" t="s">
        <v>1247</v>
      </c>
      <c r="AM193" s="318" t="b">
        <f aca="false">FALSE()</f>
        <v>0</v>
      </c>
      <c r="AN193" s="318" t="b">
        <f aca="false">FALSE()</f>
        <v>0</v>
      </c>
      <c r="AO193" s="312" t="n">
        <v>525</v>
      </c>
      <c r="AP193" s="312" t="n">
        <v>1</v>
      </c>
      <c r="AQ193" s="312" t="n">
        <v>8</v>
      </c>
      <c r="AR193" s="312" t="n">
        <v>25</v>
      </c>
      <c r="AS193" s="312" t="n">
        <v>90</v>
      </c>
      <c r="AT193" s="312" t="n">
        <v>1</v>
      </c>
      <c r="AU193" s="318" t="b">
        <f aca="false">FALSE()</f>
        <v>0</v>
      </c>
      <c r="AV193" s="318" t="b">
        <f aca="false">FALSE()</f>
        <v>0</v>
      </c>
      <c r="AW193" s="312" t="n">
        <v>9</v>
      </c>
      <c r="AX193" s="318" t="b">
        <f aca="false">FALSE()</f>
        <v>0</v>
      </c>
      <c r="AY193" s="318" t="b">
        <f aca="false">TRUE()</f>
        <v>1</v>
      </c>
      <c r="AZ193" s="312" t="n">
        <v>100</v>
      </c>
      <c r="BA193" s="312" t="n">
        <v>50</v>
      </c>
      <c r="BB193" s="312" t="n">
        <v>300</v>
      </c>
      <c r="BC193" s="312" t="n">
        <v>0</v>
      </c>
      <c r="BD193" s="312" t="n">
        <v>0</v>
      </c>
      <c r="BE193" s="312" t="n">
        <v>2</v>
      </c>
      <c r="BF193" s="312" t="n">
        <v>0</v>
      </c>
      <c r="BG193" s="312" t="n">
        <v>0</v>
      </c>
      <c r="BH193" s="312" t="n">
        <v>0</v>
      </c>
      <c r="BI193" s="312" t="n">
        <v>2</v>
      </c>
      <c r="BJ193" s="312" t="n">
        <v>2</v>
      </c>
      <c r="BK193" s="312" t="n">
        <v>0</v>
      </c>
      <c r="BL193" s="312" t="n">
        <v>0</v>
      </c>
      <c r="BM193" s="312" t="n">
        <v>0</v>
      </c>
      <c r="BN193" s="312" t="n">
        <v>0</v>
      </c>
      <c r="BO193" s="312" t="n">
        <v>0</v>
      </c>
      <c r="BP193" s="309" t="s">
        <v>182</v>
      </c>
      <c r="BQ193" s="309" t="s">
        <v>182</v>
      </c>
      <c r="BR193" s="309" t="s">
        <v>182</v>
      </c>
      <c r="BS193" s="309" t="s">
        <v>182</v>
      </c>
      <c r="BT193" s="312" t="n">
        <v>265</v>
      </c>
      <c r="BU193" s="318" t="b">
        <f aca="false">FALSE()</f>
        <v>0</v>
      </c>
      <c r="BV193" s="3" t="e">
        <f aca="false">xlookup(MID($A193,7,50),$A$2:$A$139,$BV$2:$BV$139,,0,1)</f>
        <v>#NAME?</v>
      </c>
      <c r="BW193" s="3"/>
      <c r="BX193" s="85" t="n">
        <v>28</v>
      </c>
      <c r="BY193" s="3" t="s">
        <v>1021</v>
      </c>
      <c r="BZ193" s="3" t="s">
        <v>775</v>
      </c>
      <c r="CA193" s="3"/>
      <c r="CB193" s="3"/>
      <c r="CC193" s="3"/>
      <c r="CD193" s="3"/>
      <c r="CE193" s="3"/>
      <c r="CF193" s="3"/>
      <c r="CG193" s="311" t="b">
        <f aca="false">TRUE()</f>
        <v>1</v>
      </c>
      <c r="CH193" s="3" t="s">
        <v>776</v>
      </c>
      <c r="CI193" s="3" t="s">
        <v>750</v>
      </c>
      <c r="CJ193" s="3" t="s">
        <v>795</v>
      </c>
      <c r="CK193" s="3" t="s">
        <v>796</v>
      </c>
      <c r="CL193" s="3" t="s">
        <v>797</v>
      </c>
      <c r="CM193" s="3" t="s">
        <v>798</v>
      </c>
      <c r="CN193" s="3" t="s">
        <v>799</v>
      </c>
      <c r="CO193" s="3"/>
      <c r="CP193" s="3"/>
      <c r="CQ193" s="3"/>
      <c r="CR193" s="3"/>
      <c r="CS193" s="3"/>
      <c r="CT193" s="3"/>
      <c r="CU193" s="3" t="s">
        <v>750</v>
      </c>
      <c r="CV193" s="3" t="s">
        <v>777</v>
      </c>
      <c r="CW193" s="3" t="s">
        <v>778</v>
      </c>
      <c r="CX193" s="3" t="s">
        <v>779</v>
      </c>
      <c r="CY193" s="3" t="s">
        <v>780</v>
      </c>
      <c r="CZ193" s="3" t="s">
        <v>781</v>
      </c>
    </row>
    <row r="194" customFormat="false" ht="15.75" hidden="false" customHeight="false" outlineLevel="0" collapsed="false">
      <c r="A194" s="309" t="s">
        <v>612</v>
      </c>
      <c r="B194" s="309" t="s">
        <v>1512</v>
      </c>
      <c r="C194" s="309" t="s">
        <v>1513</v>
      </c>
      <c r="D194" s="309" t="s">
        <v>1514</v>
      </c>
      <c r="E194" s="309" t="s">
        <v>1515</v>
      </c>
      <c r="F194" s="318" t="b">
        <f aca="false">TRUE()</f>
        <v>1</v>
      </c>
      <c r="G194" s="309" t="s">
        <v>524</v>
      </c>
      <c r="H194" s="309" t="s">
        <v>1512</v>
      </c>
      <c r="I194" s="312" t="n">
        <v>-1</v>
      </c>
      <c r="J194" s="3"/>
      <c r="K194" s="309" t="s">
        <v>884</v>
      </c>
      <c r="L194" s="312" t="n">
        <v>9</v>
      </c>
      <c r="M194" s="309" t="s">
        <v>771</v>
      </c>
      <c r="N194" s="309" t="s">
        <v>743</v>
      </c>
      <c r="O194" s="309" t="s">
        <v>763</v>
      </c>
      <c r="P194" s="309" t="s">
        <v>745</v>
      </c>
      <c r="Q194" s="309" t="s">
        <v>746</v>
      </c>
      <c r="R194" s="318" t="b">
        <f aca="false">FALSE()</f>
        <v>0</v>
      </c>
      <c r="S194" s="312" t="n">
        <v>150</v>
      </c>
      <c r="T194" s="312" t="n">
        <v>100</v>
      </c>
      <c r="U194" s="312" t="n">
        <v>90</v>
      </c>
      <c r="V194" s="312" t="n">
        <v>90</v>
      </c>
      <c r="W194" s="312" t="n">
        <v>30</v>
      </c>
      <c r="X194" s="312" t="n">
        <v>100</v>
      </c>
      <c r="Y194" s="312" t="n">
        <v>0.2</v>
      </c>
      <c r="Z194" s="312" t="n">
        <v>0.7</v>
      </c>
      <c r="AA194" s="312" t="n">
        <v>10</v>
      </c>
      <c r="AB194" s="312" t="n">
        <v>9710</v>
      </c>
      <c r="AC194" s="309" t="s">
        <v>836</v>
      </c>
      <c r="AD194" s="309" t="s">
        <v>182</v>
      </c>
      <c r="AE194" s="312" t="n">
        <v>100</v>
      </c>
      <c r="AF194" s="312" t="n">
        <v>135</v>
      </c>
      <c r="AG194" s="312" t="n">
        <v>430</v>
      </c>
      <c r="AH194" s="312" t="n">
        <v>700</v>
      </c>
      <c r="AI194" s="312" t="n">
        <v>282</v>
      </c>
      <c r="AJ194" s="318" t="b">
        <f aca="false">TRUE()</f>
        <v>1</v>
      </c>
      <c r="AK194" s="318" t="b">
        <f aca="false">FALSE()</f>
        <v>0</v>
      </c>
      <c r="AL194" s="309" t="s">
        <v>1247</v>
      </c>
      <c r="AM194" s="318" t="b">
        <f aca="false">FALSE()</f>
        <v>0</v>
      </c>
      <c r="AN194" s="318" t="b">
        <f aca="false">FALSE()</f>
        <v>0</v>
      </c>
      <c r="AO194" s="312" t="n">
        <v>525</v>
      </c>
      <c r="AP194" s="312" t="n">
        <v>1</v>
      </c>
      <c r="AQ194" s="312" t="n">
        <v>8</v>
      </c>
      <c r="AR194" s="312" t="n">
        <v>25</v>
      </c>
      <c r="AS194" s="312" t="n">
        <v>90</v>
      </c>
      <c r="AT194" s="312" t="n">
        <v>1</v>
      </c>
      <c r="AU194" s="318" t="b">
        <f aca="false">FALSE()</f>
        <v>0</v>
      </c>
      <c r="AV194" s="318" t="b">
        <f aca="false">FALSE()</f>
        <v>0</v>
      </c>
      <c r="AW194" s="312" t="n">
        <v>9</v>
      </c>
      <c r="AX194" s="318" t="b">
        <f aca="false">FALSE()</f>
        <v>0</v>
      </c>
      <c r="AY194" s="318" t="b">
        <f aca="false">TRUE()</f>
        <v>1</v>
      </c>
      <c r="AZ194" s="312" t="n">
        <v>100</v>
      </c>
      <c r="BA194" s="312" t="n">
        <v>50</v>
      </c>
      <c r="BB194" s="312" t="n">
        <v>290</v>
      </c>
      <c r="BC194" s="312" t="n">
        <v>0</v>
      </c>
      <c r="BD194" s="312" t="n">
        <v>0</v>
      </c>
      <c r="BE194" s="312" t="n">
        <v>0</v>
      </c>
      <c r="BF194" s="312" t="n">
        <v>0</v>
      </c>
      <c r="BG194" s="312" t="n">
        <v>0</v>
      </c>
      <c r="BH194" s="312" t="n">
        <v>0</v>
      </c>
      <c r="BI194" s="312" t="n">
        <v>2</v>
      </c>
      <c r="BJ194" s="312" t="n">
        <v>2</v>
      </c>
      <c r="BK194" s="312" t="n">
        <v>0</v>
      </c>
      <c r="BL194" s="312" t="n">
        <v>0</v>
      </c>
      <c r="BM194" s="312" t="n">
        <v>2</v>
      </c>
      <c r="BN194" s="312" t="n">
        <v>0</v>
      </c>
      <c r="BO194" s="312" t="n">
        <v>0</v>
      </c>
      <c r="BP194" s="309" t="s">
        <v>182</v>
      </c>
      <c r="BQ194" s="309" t="s">
        <v>182</v>
      </c>
      <c r="BR194" s="309" t="s">
        <v>182</v>
      </c>
      <c r="BS194" s="309" t="s">
        <v>182</v>
      </c>
      <c r="BT194" s="312" t="n">
        <v>266</v>
      </c>
      <c r="BU194" s="318" t="b">
        <f aca="false">TRUE()</f>
        <v>1</v>
      </c>
      <c r="BV194" s="3" t="e">
        <f aca="false">xlookup(MID($A194,7,50),$A$2:$A$139,$BV$2:$BV$139,,0,1)</f>
        <v>#NAME?</v>
      </c>
      <c r="BW194" s="3"/>
      <c r="BX194" s="85" t="n">
        <v>45</v>
      </c>
      <c r="BY194" s="3" t="s">
        <v>1022</v>
      </c>
      <c r="BZ194" s="3" t="s">
        <v>775</v>
      </c>
      <c r="CA194" s="3"/>
      <c r="CB194" s="3"/>
      <c r="CC194" s="3"/>
      <c r="CD194" s="3"/>
      <c r="CE194" s="3"/>
      <c r="CF194" s="3"/>
      <c r="CG194" s="311" t="b">
        <f aca="false">TRUE()</f>
        <v>1</v>
      </c>
      <c r="CH194" s="3" t="s">
        <v>776</v>
      </c>
      <c r="CI194" s="3" t="s">
        <v>750</v>
      </c>
      <c r="CJ194" s="3" t="s">
        <v>795</v>
      </c>
      <c r="CK194" s="3" t="s">
        <v>796</v>
      </c>
      <c r="CL194" s="3" t="s">
        <v>797</v>
      </c>
      <c r="CM194" s="3" t="s">
        <v>798</v>
      </c>
      <c r="CN194" s="3" t="s">
        <v>799</v>
      </c>
      <c r="CO194" s="3"/>
      <c r="CP194" s="3"/>
      <c r="CQ194" s="3"/>
      <c r="CR194" s="3"/>
      <c r="CS194" s="3"/>
      <c r="CT194" s="3"/>
      <c r="CU194" s="3" t="s">
        <v>750</v>
      </c>
      <c r="CV194" s="3" t="s">
        <v>777</v>
      </c>
      <c r="CW194" s="3" t="s">
        <v>778</v>
      </c>
      <c r="CX194" s="3" t="s">
        <v>779</v>
      </c>
      <c r="CY194" s="3" t="s">
        <v>780</v>
      </c>
      <c r="CZ194" s="3" t="s">
        <v>781</v>
      </c>
    </row>
    <row r="195" customFormat="false" ht="15.75" hidden="false" customHeight="false" outlineLevel="0" collapsed="false">
      <c r="A195" s="309" t="s">
        <v>1516</v>
      </c>
      <c r="B195" s="309" t="s">
        <v>1517</v>
      </c>
      <c r="C195" s="309" t="s">
        <v>1518</v>
      </c>
      <c r="D195" s="309" t="s">
        <v>1519</v>
      </c>
      <c r="E195" s="309" t="s">
        <v>1520</v>
      </c>
      <c r="F195" s="318" t="b">
        <f aca="false">TRUE()</f>
        <v>1</v>
      </c>
      <c r="G195" s="309" t="s">
        <v>443</v>
      </c>
      <c r="H195" s="309" t="s">
        <v>1517</v>
      </c>
      <c r="I195" s="312" t="n">
        <v>-1</v>
      </c>
      <c r="J195" s="3"/>
      <c r="K195" s="309" t="s">
        <v>884</v>
      </c>
      <c r="L195" s="312" t="n">
        <v>6</v>
      </c>
      <c r="M195" s="309" t="s">
        <v>783</v>
      </c>
      <c r="N195" s="309" t="s">
        <v>743</v>
      </c>
      <c r="O195" s="309" t="s">
        <v>744</v>
      </c>
      <c r="P195" s="309" t="s">
        <v>745</v>
      </c>
      <c r="Q195" s="309" t="s">
        <v>746</v>
      </c>
      <c r="R195" s="318" t="b">
        <f aca="false">FALSE()</f>
        <v>0</v>
      </c>
      <c r="S195" s="312" t="n">
        <v>100</v>
      </c>
      <c r="T195" s="312" t="n">
        <v>100</v>
      </c>
      <c r="U195" s="312" t="n">
        <v>90</v>
      </c>
      <c r="V195" s="312" t="n">
        <v>90</v>
      </c>
      <c r="W195" s="312" t="n">
        <v>100</v>
      </c>
      <c r="X195" s="312" t="n">
        <v>100</v>
      </c>
      <c r="Y195" s="312" t="n">
        <v>0.2</v>
      </c>
      <c r="Z195" s="312" t="n">
        <v>0.7</v>
      </c>
      <c r="AA195" s="312" t="n">
        <v>10</v>
      </c>
      <c r="AB195" s="312" t="n">
        <v>6200</v>
      </c>
      <c r="AC195" s="309" t="s">
        <v>1253</v>
      </c>
      <c r="AD195" s="309" t="s">
        <v>182</v>
      </c>
      <c r="AE195" s="312" t="n">
        <v>50</v>
      </c>
      <c r="AF195" s="312" t="n">
        <v>100</v>
      </c>
      <c r="AG195" s="312" t="n">
        <v>500</v>
      </c>
      <c r="AH195" s="312" t="n">
        <v>800</v>
      </c>
      <c r="AI195" s="312" t="n">
        <v>275</v>
      </c>
      <c r="AJ195" s="318" t="b">
        <f aca="false">TRUE()</f>
        <v>1</v>
      </c>
      <c r="AK195" s="318" t="b">
        <f aca="false">FALSE()</f>
        <v>0</v>
      </c>
      <c r="AL195" s="309" t="s">
        <v>1247</v>
      </c>
      <c r="AM195" s="318" t="b">
        <f aca="false">FALSE()</f>
        <v>0</v>
      </c>
      <c r="AN195" s="318" t="b">
        <f aca="false">FALSE()</f>
        <v>0</v>
      </c>
      <c r="AO195" s="312" t="n">
        <v>350</v>
      </c>
      <c r="AP195" s="312" t="n">
        <v>1</v>
      </c>
      <c r="AQ195" s="312" t="n">
        <v>5</v>
      </c>
      <c r="AR195" s="312" t="n">
        <v>25</v>
      </c>
      <c r="AS195" s="312" t="n">
        <v>90</v>
      </c>
      <c r="AT195" s="312" t="n">
        <v>1</v>
      </c>
      <c r="AU195" s="318" t="b">
        <f aca="false">FALSE()</f>
        <v>0</v>
      </c>
      <c r="AV195" s="318" t="b">
        <f aca="false">FALSE()</f>
        <v>0</v>
      </c>
      <c r="AW195" s="312" t="n">
        <v>9</v>
      </c>
      <c r="AX195" s="318" t="b">
        <f aca="false">FALSE()</f>
        <v>0</v>
      </c>
      <c r="AY195" s="318" t="b">
        <f aca="false">TRUE()</f>
        <v>1</v>
      </c>
      <c r="AZ195" s="312" t="n">
        <v>100</v>
      </c>
      <c r="BA195" s="312" t="n">
        <v>50</v>
      </c>
      <c r="BB195" s="312" t="n">
        <v>430</v>
      </c>
      <c r="BC195" s="312" t="n">
        <v>0</v>
      </c>
      <c r="BD195" s="312" t="n">
        <v>0</v>
      </c>
      <c r="BE195" s="312" t="n">
        <v>2</v>
      </c>
      <c r="BF195" s="312" t="n">
        <v>0</v>
      </c>
      <c r="BG195" s="312" t="n">
        <v>2</v>
      </c>
      <c r="BH195" s="312" t="n">
        <v>0</v>
      </c>
      <c r="BI195" s="312" t="n">
        <v>2</v>
      </c>
      <c r="BJ195" s="312" t="n">
        <v>0</v>
      </c>
      <c r="BK195" s="312" t="n">
        <v>0</v>
      </c>
      <c r="BL195" s="312" t="n">
        <v>0</v>
      </c>
      <c r="BM195" s="312" t="n">
        <v>0</v>
      </c>
      <c r="BN195" s="312" t="n">
        <v>3</v>
      </c>
      <c r="BO195" s="312" t="n">
        <v>0</v>
      </c>
      <c r="BP195" s="309" t="s">
        <v>182</v>
      </c>
      <c r="BQ195" s="309" t="s">
        <v>182</v>
      </c>
      <c r="BR195" s="309" t="s">
        <v>182</v>
      </c>
      <c r="BS195" s="309" t="s">
        <v>182</v>
      </c>
      <c r="BT195" s="312" t="n">
        <v>267</v>
      </c>
      <c r="BU195" s="318" t="b">
        <f aca="false">FALSE()</f>
        <v>0</v>
      </c>
      <c r="BV195" s="3" t="e">
        <f aca="false">xlookup(MID($A195,7,50),$A$2:$A$139,$BV$2:$BV$139,,0,1)</f>
        <v>#NAME?</v>
      </c>
      <c r="BW195" s="3"/>
      <c r="BX195" s="85" t="n">
        <v>24</v>
      </c>
      <c r="BY195" s="3" t="s">
        <v>1117</v>
      </c>
      <c r="BZ195" s="3" t="s">
        <v>775</v>
      </c>
      <c r="CA195" s="3" t="s">
        <v>1118</v>
      </c>
      <c r="CB195" s="85" t="n">
        <v>30</v>
      </c>
      <c r="CC195" s="85" t="n">
        <v>33</v>
      </c>
      <c r="CD195" s="85" t="n">
        <v>39</v>
      </c>
      <c r="CE195" s="85" t="n">
        <v>48</v>
      </c>
      <c r="CF195" s="85" t="n">
        <v>60</v>
      </c>
      <c r="CG195" s="311" t="b">
        <f aca="false">TRUE()</f>
        <v>1</v>
      </c>
      <c r="CH195" s="3" t="s">
        <v>776</v>
      </c>
      <c r="CI195" s="3"/>
      <c r="CJ195" s="3"/>
      <c r="CK195" s="3"/>
      <c r="CL195" s="3"/>
      <c r="CM195" s="3"/>
      <c r="CN195" s="3"/>
      <c r="CO195" s="3"/>
      <c r="CP195" s="3"/>
      <c r="CQ195" s="3"/>
      <c r="CR195" s="3"/>
      <c r="CS195" s="3"/>
      <c r="CT195" s="3"/>
      <c r="CU195" s="3"/>
      <c r="CV195" s="3"/>
      <c r="CW195" s="3"/>
      <c r="CX195" s="3"/>
      <c r="CY195" s="3"/>
      <c r="CZ195" s="3"/>
    </row>
    <row r="196" customFormat="false" ht="15.75" hidden="false" customHeight="false" outlineLevel="0" collapsed="false">
      <c r="A196" s="309" t="s">
        <v>1521</v>
      </c>
      <c r="B196" s="309" t="s">
        <v>1522</v>
      </c>
      <c r="C196" s="309" t="s">
        <v>1523</v>
      </c>
      <c r="D196" s="309" t="s">
        <v>1524</v>
      </c>
      <c r="E196" s="309" t="s">
        <v>1525</v>
      </c>
      <c r="F196" s="318" t="b">
        <f aca="false">TRUE()</f>
        <v>1</v>
      </c>
      <c r="G196" s="309" t="s">
        <v>526</v>
      </c>
      <c r="H196" s="309" t="s">
        <v>1522</v>
      </c>
      <c r="I196" s="312" t="n">
        <v>-1</v>
      </c>
      <c r="J196" s="3"/>
      <c r="K196" s="309" t="s">
        <v>884</v>
      </c>
      <c r="L196" s="312" t="n">
        <v>7</v>
      </c>
      <c r="M196" s="309" t="s">
        <v>810</v>
      </c>
      <c r="N196" s="309" t="s">
        <v>743</v>
      </c>
      <c r="O196" s="309" t="s">
        <v>744</v>
      </c>
      <c r="P196" s="309" t="s">
        <v>745</v>
      </c>
      <c r="Q196" s="309" t="s">
        <v>746</v>
      </c>
      <c r="R196" s="318" t="b">
        <f aca="false">FALSE()</f>
        <v>0</v>
      </c>
      <c r="S196" s="312" t="n">
        <v>100</v>
      </c>
      <c r="T196" s="312" t="n">
        <v>100</v>
      </c>
      <c r="U196" s="312" t="n">
        <v>100</v>
      </c>
      <c r="V196" s="312" t="n">
        <v>100</v>
      </c>
      <c r="W196" s="312" t="n">
        <v>100</v>
      </c>
      <c r="X196" s="312" t="n">
        <v>100</v>
      </c>
      <c r="Y196" s="312" t="n">
        <v>0.2</v>
      </c>
      <c r="Z196" s="312" t="n">
        <v>0.7</v>
      </c>
      <c r="AA196" s="312" t="n">
        <v>10</v>
      </c>
      <c r="AB196" s="312" t="n">
        <v>6610</v>
      </c>
      <c r="AC196" s="309" t="s">
        <v>1253</v>
      </c>
      <c r="AD196" s="309" t="s">
        <v>182</v>
      </c>
      <c r="AE196" s="312" t="n">
        <v>50</v>
      </c>
      <c r="AF196" s="312" t="n">
        <v>100</v>
      </c>
      <c r="AG196" s="312" t="n">
        <v>500</v>
      </c>
      <c r="AH196" s="312" t="n">
        <v>800</v>
      </c>
      <c r="AI196" s="312" t="n">
        <v>275</v>
      </c>
      <c r="AJ196" s="318" t="b">
        <f aca="false">TRUE()</f>
        <v>1</v>
      </c>
      <c r="AK196" s="318" t="b">
        <f aca="false">FALSE()</f>
        <v>0</v>
      </c>
      <c r="AL196" s="309" t="s">
        <v>1247</v>
      </c>
      <c r="AM196" s="318" t="b">
        <f aca="false">FALSE()</f>
        <v>0</v>
      </c>
      <c r="AN196" s="318" t="b">
        <f aca="false">FALSE()</f>
        <v>0</v>
      </c>
      <c r="AO196" s="312" t="n">
        <v>350</v>
      </c>
      <c r="AP196" s="312" t="n">
        <v>1</v>
      </c>
      <c r="AQ196" s="312" t="n">
        <v>5</v>
      </c>
      <c r="AR196" s="312" t="n">
        <v>25</v>
      </c>
      <c r="AS196" s="312" t="n">
        <v>90</v>
      </c>
      <c r="AT196" s="312" t="n">
        <v>1</v>
      </c>
      <c r="AU196" s="318" t="b">
        <f aca="false">FALSE()</f>
        <v>0</v>
      </c>
      <c r="AV196" s="318" t="b">
        <f aca="false">FALSE()</f>
        <v>0</v>
      </c>
      <c r="AW196" s="312" t="n">
        <v>9</v>
      </c>
      <c r="AX196" s="318" t="b">
        <f aca="false">FALSE()</f>
        <v>0</v>
      </c>
      <c r="AY196" s="318" t="b">
        <f aca="false">TRUE()</f>
        <v>1</v>
      </c>
      <c r="AZ196" s="312" t="n">
        <v>100</v>
      </c>
      <c r="BA196" s="312" t="n">
        <v>50</v>
      </c>
      <c r="BB196" s="312" t="n">
        <v>390</v>
      </c>
      <c r="BC196" s="312" t="n">
        <v>0</v>
      </c>
      <c r="BD196" s="312" t="n">
        <v>0</v>
      </c>
      <c r="BE196" s="312" t="n">
        <v>0</v>
      </c>
      <c r="BF196" s="312" t="n">
        <v>2</v>
      </c>
      <c r="BG196" s="312" t="n">
        <v>2</v>
      </c>
      <c r="BH196" s="312" t="n">
        <v>0</v>
      </c>
      <c r="BI196" s="312" t="n">
        <v>2</v>
      </c>
      <c r="BJ196" s="312" t="n">
        <v>0</v>
      </c>
      <c r="BK196" s="312" t="n">
        <v>0</v>
      </c>
      <c r="BL196" s="312" t="n">
        <v>0</v>
      </c>
      <c r="BM196" s="312" t="n">
        <v>0</v>
      </c>
      <c r="BN196" s="312" t="n">
        <v>3</v>
      </c>
      <c r="BO196" s="312" t="n">
        <v>0</v>
      </c>
      <c r="BP196" s="309" t="s">
        <v>182</v>
      </c>
      <c r="BQ196" s="309" t="s">
        <v>182</v>
      </c>
      <c r="BR196" s="309" t="s">
        <v>182</v>
      </c>
      <c r="BS196" s="309" t="s">
        <v>182</v>
      </c>
      <c r="BT196" s="312" t="n">
        <v>268</v>
      </c>
      <c r="BU196" s="318" t="b">
        <f aca="false">TRUE()</f>
        <v>1</v>
      </c>
      <c r="BV196" s="3" t="e">
        <f aca="false">xlookup(MID($A196,7,50),$A$2:$A$139,$BV$2:$BV$139,,0,1)</f>
        <v>#NAME?</v>
      </c>
      <c r="BW196" s="3"/>
      <c r="BX196" s="85" t="n">
        <v>25</v>
      </c>
      <c r="BY196" s="3" t="s">
        <v>1119</v>
      </c>
      <c r="BZ196" s="3" t="s">
        <v>775</v>
      </c>
      <c r="CA196" s="3" t="s">
        <v>1118</v>
      </c>
      <c r="CB196" s="85" t="n">
        <v>30</v>
      </c>
      <c r="CC196" s="85" t="n">
        <v>33</v>
      </c>
      <c r="CD196" s="85" t="n">
        <v>39</v>
      </c>
      <c r="CE196" s="85" t="n">
        <v>48</v>
      </c>
      <c r="CF196" s="85" t="n">
        <v>60</v>
      </c>
      <c r="CG196" s="311" t="b">
        <f aca="false">TRUE()</f>
        <v>1</v>
      </c>
      <c r="CH196" s="3" t="s">
        <v>776</v>
      </c>
      <c r="CI196" s="3"/>
      <c r="CJ196" s="3"/>
      <c r="CK196" s="3"/>
      <c r="CL196" s="3"/>
      <c r="CM196" s="3"/>
      <c r="CN196" s="3"/>
      <c r="CO196" s="3"/>
      <c r="CP196" s="3"/>
      <c r="CQ196" s="3"/>
      <c r="CR196" s="3"/>
      <c r="CS196" s="3"/>
      <c r="CT196" s="3"/>
      <c r="CU196" s="3"/>
      <c r="CV196" s="3"/>
      <c r="CW196" s="3"/>
      <c r="CX196" s="3"/>
      <c r="CY196" s="3"/>
      <c r="CZ196" s="3"/>
    </row>
    <row r="197" customFormat="false" ht="15.75" hidden="false" customHeight="false" outlineLevel="0" collapsed="false">
      <c r="A197" s="309" t="s">
        <v>1526</v>
      </c>
      <c r="B197" s="309" t="s">
        <v>1527</v>
      </c>
      <c r="C197" s="309" t="s">
        <v>1528</v>
      </c>
      <c r="D197" s="309" t="s">
        <v>1529</v>
      </c>
      <c r="E197" s="309" t="s">
        <v>1530</v>
      </c>
      <c r="F197" s="318" t="b">
        <f aca="false">TRUE()</f>
        <v>1</v>
      </c>
      <c r="G197" s="309" t="s">
        <v>1127</v>
      </c>
      <c r="H197" s="309" t="s">
        <v>1527</v>
      </c>
      <c r="I197" s="312" t="n">
        <v>-1</v>
      </c>
      <c r="J197" s="3"/>
      <c r="K197" s="309" t="s">
        <v>884</v>
      </c>
      <c r="L197" s="312" t="n">
        <v>8</v>
      </c>
      <c r="M197" s="309" t="s">
        <v>783</v>
      </c>
      <c r="N197" s="309" t="s">
        <v>743</v>
      </c>
      <c r="O197" s="309" t="s">
        <v>744</v>
      </c>
      <c r="P197" s="309" t="s">
        <v>745</v>
      </c>
      <c r="Q197" s="309" t="s">
        <v>746</v>
      </c>
      <c r="R197" s="318" t="b">
        <f aca="false">FALSE()</f>
        <v>0</v>
      </c>
      <c r="S197" s="312" t="n">
        <v>90</v>
      </c>
      <c r="T197" s="312" t="n">
        <v>100</v>
      </c>
      <c r="U197" s="312" t="n">
        <v>115</v>
      </c>
      <c r="V197" s="312" t="n">
        <v>90</v>
      </c>
      <c r="W197" s="312" t="n">
        <v>100</v>
      </c>
      <c r="X197" s="312" t="n">
        <v>100</v>
      </c>
      <c r="Y197" s="312" t="n">
        <v>0.2</v>
      </c>
      <c r="Z197" s="312" t="n">
        <v>0.7</v>
      </c>
      <c r="AA197" s="312" t="n">
        <v>10</v>
      </c>
      <c r="AB197" s="312" t="n">
        <v>2200</v>
      </c>
      <c r="AC197" s="309" t="s">
        <v>1253</v>
      </c>
      <c r="AD197" s="309" t="s">
        <v>182</v>
      </c>
      <c r="AE197" s="312" t="n">
        <v>50</v>
      </c>
      <c r="AF197" s="312" t="n">
        <v>195</v>
      </c>
      <c r="AG197" s="312" t="n">
        <v>500</v>
      </c>
      <c r="AH197" s="312" t="n">
        <v>700</v>
      </c>
      <c r="AI197" s="312" t="n">
        <v>275</v>
      </c>
      <c r="AJ197" s="318" t="b">
        <f aca="false">TRUE()</f>
        <v>1</v>
      </c>
      <c r="AK197" s="318" t="b">
        <f aca="false">FALSE()</f>
        <v>0</v>
      </c>
      <c r="AL197" s="309" t="s">
        <v>1247</v>
      </c>
      <c r="AM197" s="318" t="b">
        <f aca="false">FALSE()</f>
        <v>0</v>
      </c>
      <c r="AN197" s="318" t="b">
        <f aca="false">FALSE()</f>
        <v>0</v>
      </c>
      <c r="AO197" s="312" t="n">
        <v>225</v>
      </c>
      <c r="AP197" s="312" t="n">
        <v>1</v>
      </c>
      <c r="AQ197" s="312" t="n">
        <v>3</v>
      </c>
      <c r="AR197" s="312" t="n">
        <v>25</v>
      </c>
      <c r="AS197" s="312" t="n">
        <v>90</v>
      </c>
      <c r="AT197" s="312" t="n">
        <v>1</v>
      </c>
      <c r="AU197" s="318" t="b">
        <f aca="false">FALSE()</f>
        <v>0</v>
      </c>
      <c r="AV197" s="318" t="b">
        <f aca="false">FALSE()</f>
        <v>0</v>
      </c>
      <c r="AW197" s="312" t="n">
        <v>9</v>
      </c>
      <c r="AX197" s="318" t="b">
        <f aca="false">FALSE()</f>
        <v>0</v>
      </c>
      <c r="AY197" s="318" t="b">
        <f aca="false">TRUE()</f>
        <v>1</v>
      </c>
      <c r="AZ197" s="312" t="n">
        <v>100</v>
      </c>
      <c r="BA197" s="312" t="n">
        <v>50</v>
      </c>
      <c r="BB197" s="312" t="n">
        <v>990</v>
      </c>
      <c r="BC197" s="312" t="n">
        <v>0</v>
      </c>
      <c r="BD197" s="312" t="n">
        <v>0</v>
      </c>
      <c r="BE197" s="312" t="n">
        <v>2</v>
      </c>
      <c r="BF197" s="312" t="n">
        <v>0</v>
      </c>
      <c r="BG197" s="312" t="n">
        <v>3</v>
      </c>
      <c r="BH197" s="312" t="n">
        <v>3</v>
      </c>
      <c r="BI197" s="312" t="n">
        <v>2</v>
      </c>
      <c r="BJ197" s="312" t="n">
        <v>0</v>
      </c>
      <c r="BK197" s="312" t="n">
        <v>0</v>
      </c>
      <c r="BL197" s="312" t="n">
        <v>0</v>
      </c>
      <c r="BM197" s="312" t="n">
        <v>0</v>
      </c>
      <c r="BN197" s="312" t="n">
        <v>2</v>
      </c>
      <c r="BO197" s="312" t="n">
        <v>0</v>
      </c>
      <c r="BP197" s="309" t="s">
        <v>182</v>
      </c>
      <c r="BQ197" s="309" t="s">
        <v>182</v>
      </c>
      <c r="BR197" s="309" t="s">
        <v>182</v>
      </c>
      <c r="BS197" s="309" t="s">
        <v>182</v>
      </c>
      <c r="BT197" s="312" t="n">
        <v>269</v>
      </c>
      <c r="BU197" s="318" t="b">
        <f aca="false">FALSE()</f>
        <v>0</v>
      </c>
      <c r="BV197" s="3" t="e">
        <f aca="false">xlookup(MID($A197,7,50),$A$2:$A$139,$BV$2:$BV$139,,0,1)</f>
        <v>#NAME?</v>
      </c>
      <c r="BW197" s="3"/>
      <c r="BX197" s="3"/>
      <c r="BY197" s="3"/>
      <c r="BZ197" s="3"/>
      <c r="CA197" s="3"/>
      <c r="CB197" s="3"/>
      <c r="CC197" s="3"/>
      <c r="CD197" s="3"/>
      <c r="CE197" s="3"/>
      <c r="CF197" s="3"/>
      <c r="CG197" s="3"/>
      <c r="CH197" s="3"/>
      <c r="CI197" s="3" t="s">
        <v>750</v>
      </c>
      <c r="CJ197" s="3" t="s">
        <v>1128</v>
      </c>
      <c r="CK197" s="3" t="s">
        <v>1128</v>
      </c>
      <c r="CL197" s="3" t="s">
        <v>1128</v>
      </c>
      <c r="CM197" s="3" t="s">
        <v>1128</v>
      </c>
      <c r="CN197" s="3" t="s">
        <v>1128</v>
      </c>
      <c r="CO197" s="3"/>
      <c r="CP197" s="3"/>
      <c r="CQ197" s="3"/>
      <c r="CR197" s="3"/>
      <c r="CS197" s="3"/>
      <c r="CT197" s="3"/>
      <c r="CU197" s="3"/>
      <c r="CV197" s="3" t="s">
        <v>1129</v>
      </c>
      <c r="CW197" s="3" t="s">
        <v>1130</v>
      </c>
      <c r="CX197" s="3" t="s">
        <v>1131</v>
      </c>
      <c r="CY197" s="3" t="s">
        <v>1132</v>
      </c>
      <c r="CZ197" s="3" t="s">
        <v>1133</v>
      </c>
    </row>
    <row r="198" customFormat="false" ht="15.75" hidden="false" customHeight="false" outlineLevel="0" collapsed="false">
      <c r="A198" s="309" t="s">
        <v>1531</v>
      </c>
      <c r="B198" s="309" t="s">
        <v>1532</v>
      </c>
      <c r="C198" s="309" t="s">
        <v>1533</v>
      </c>
      <c r="D198" s="309" t="s">
        <v>1534</v>
      </c>
      <c r="E198" s="309" t="s">
        <v>1535</v>
      </c>
      <c r="F198" s="318" t="b">
        <f aca="false">TRUE()</f>
        <v>1</v>
      </c>
      <c r="G198" s="309" t="s">
        <v>452</v>
      </c>
      <c r="H198" s="309" t="s">
        <v>1532</v>
      </c>
      <c r="I198" s="312" t="n">
        <v>-1</v>
      </c>
      <c r="J198" s="3"/>
      <c r="K198" s="309" t="s">
        <v>884</v>
      </c>
      <c r="L198" s="312" t="n">
        <v>7</v>
      </c>
      <c r="M198" s="309" t="s">
        <v>758</v>
      </c>
      <c r="N198" s="309" t="s">
        <v>743</v>
      </c>
      <c r="O198" s="309" t="s">
        <v>790</v>
      </c>
      <c r="P198" s="309" t="s">
        <v>745</v>
      </c>
      <c r="Q198" s="309" t="s">
        <v>746</v>
      </c>
      <c r="R198" s="318" t="b">
        <f aca="false">FALSE()</f>
        <v>0</v>
      </c>
      <c r="S198" s="312" t="n">
        <v>100</v>
      </c>
      <c r="T198" s="312" t="n">
        <v>100</v>
      </c>
      <c r="U198" s="312" t="n">
        <v>125</v>
      </c>
      <c r="V198" s="312" t="n">
        <v>100</v>
      </c>
      <c r="W198" s="312" t="n">
        <v>100</v>
      </c>
      <c r="X198" s="312" t="n">
        <v>100</v>
      </c>
      <c r="Y198" s="312" t="n">
        <v>0.2</v>
      </c>
      <c r="Z198" s="312" t="n">
        <v>0.7</v>
      </c>
      <c r="AA198" s="312" t="n">
        <v>10</v>
      </c>
      <c r="AB198" s="312" t="n">
        <v>7840</v>
      </c>
      <c r="AC198" s="309" t="s">
        <v>1253</v>
      </c>
      <c r="AD198" s="309" t="s">
        <v>182</v>
      </c>
      <c r="AE198" s="312" t="n">
        <v>100</v>
      </c>
      <c r="AF198" s="312" t="n">
        <v>100</v>
      </c>
      <c r="AG198" s="312" t="n">
        <v>700</v>
      </c>
      <c r="AH198" s="312" t="n">
        <v>1200</v>
      </c>
      <c r="AI198" s="312" t="n">
        <v>450</v>
      </c>
      <c r="AJ198" s="318" t="b">
        <f aca="false">TRUE()</f>
        <v>1</v>
      </c>
      <c r="AK198" s="318" t="b">
        <f aca="false">FALSE()</f>
        <v>0</v>
      </c>
      <c r="AL198" s="309" t="s">
        <v>1247</v>
      </c>
      <c r="AM198" s="318" t="b">
        <f aca="false">FALSE()</f>
        <v>0</v>
      </c>
      <c r="AN198" s="318" t="b">
        <f aca="false">FALSE()</f>
        <v>0</v>
      </c>
      <c r="AO198" s="312" t="n">
        <v>525</v>
      </c>
      <c r="AP198" s="312" t="n">
        <v>1</v>
      </c>
      <c r="AQ198" s="312" t="n">
        <v>8</v>
      </c>
      <c r="AR198" s="312" t="n">
        <v>25</v>
      </c>
      <c r="AS198" s="312" t="n">
        <v>90</v>
      </c>
      <c r="AT198" s="312" t="n">
        <v>1</v>
      </c>
      <c r="AU198" s="318" t="b">
        <f aca="false">FALSE()</f>
        <v>0</v>
      </c>
      <c r="AV198" s="318" t="b">
        <f aca="false">TRUE()</f>
        <v>1</v>
      </c>
      <c r="AW198" s="312" t="n">
        <v>9</v>
      </c>
      <c r="AX198" s="318" t="b">
        <f aca="false">TRUE()</f>
        <v>1</v>
      </c>
      <c r="AY198" s="318" t="b">
        <f aca="false">TRUE()</f>
        <v>1</v>
      </c>
      <c r="AZ198" s="312" t="n">
        <v>170</v>
      </c>
      <c r="BA198" s="312" t="n">
        <v>50</v>
      </c>
      <c r="BB198" s="312" t="n">
        <v>190</v>
      </c>
      <c r="BC198" s="312" t="n">
        <v>0</v>
      </c>
      <c r="BD198" s="312" t="n">
        <v>0</v>
      </c>
      <c r="BE198" s="312" t="n">
        <v>0</v>
      </c>
      <c r="BF198" s="312" t="n">
        <v>0</v>
      </c>
      <c r="BG198" s="312" t="n">
        <v>0</v>
      </c>
      <c r="BH198" s="312" t="n">
        <v>0</v>
      </c>
      <c r="BI198" s="312" t="n">
        <v>0</v>
      </c>
      <c r="BJ198" s="312" t="n">
        <v>0</v>
      </c>
      <c r="BK198" s="312" t="n">
        <v>0</v>
      </c>
      <c r="BL198" s="312" t="n">
        <v>0</v>
      </c>
      <c r="BM198" s="312" t="n">
        <v>0</v>
      </c>
      <c r="BN198" s="312" t="n">
        <v>3</v>
      </c>
      <c r="BO198" s="312" t="n">
        <v>0</v>
      </c>
      <c r="BP198" s="309" t="s">
        <v>182</v>
      </c>
      <c r="BQ198" s="309" t="s">
        <v>182</v>
      </c>
      <c r="BR198" s="309" t="s">
        <v>182</v>
      </c>
      <c r="BS198" s="309" t="s">
        <v>182</v>
      </c>
      <c r="BT198" s="312" t="n">
        <v>271</v>
      </c>
      <c r="BU198" s="318" t="b">
        <f aca="false">FALSE()</f>
        <v>0</v>
      </c>
      <c r="BV198" s="3" t="e">
        <f aca="false">xlookup(MID($A198,7,50),$A$2:$A$139,$BV$2:$BV$139,,0,1)</f>
        <v>#NAME?</v>
      </c>
      <c r="BW198" s="3"/>
      <c r="BX198" s="85" t="n">
        <v>33</v>
      </c>
      <c r="BY198" s="3" t="s">
        <v>1204</v>
      </c>
      <c r="BZ198" s="3" t="s">
        <v>775</v>
      </c>
      <c r="CA198" s="3"/>
      <c r="CB198" s="3"/>
      <c r="CC198" s="3"/>
      <c r="CD198" s="3"/>
      <c r="CE198" s="3"/>
      <c r="CF198" s="3"/>
      <c r="CG198" s="311" t="b">
        <f aca="false">TRUE()</f>
        <v>1</v>
      </c>
      <c r="CH198" s="3" t="s">
        <v>914</v>
      </c>
      <c r="CI198" s="3" t="s">
        <v>750</v>
      </c>
      <c r="CJ198" s="3" t="s">
        <v>912</v>
      </c>
      <c r="CK198" s="3" t="s">
        <v>912</v>
      </c>
      <c r="CL198" s="3" t="s">
        <v>912</v>
      </c>
      <c r="CM198" s="3" t="s">
        <v>912</v>
      </c>
      <c r="CN198" s="3" t="s">
        <v>912</v>
      </c>
      <c r="CO198" s="3"/>
      <c r="CP198" s="3"/>
      <c r="CQ198" s="3"/>
      <c r="CR198" s="3"/>
      <c r="CS198" s="3"/>
      <c r="CT198" s="3"/>
      <c r="CU198" s="3"/>
      <c r="CV198" s="3" t="s">
        <v>839</v>
      </c>
      <c r="CW198" s="3" t="s">
        <v>840</v>
      </c>
      <c r="CX198" s="3" t="s">
        <v>841</v>
      </c>
      <c r="CY198" s="3" t="s">
        <v>842</v>
      </c>
      <c r="CZ198" s="3" t="s">
        <v>843</v>
      </c>
    </row>
    <row r="199" customFormat="false" ht="15.75" hidden="false" customHeight="false" outlineLevel="0" collapsed="false">
      <c r="A199" s="309" t="s">
        <v>1536</v>
      </c>
      <c r="B199" s="309" t="s">
        <v>1537</v>
      </c>
      <c r="C199" s="309" t="s">
        <v>1538</v>
      </c>
      <c r="D199" s="309" t="s">
        <v>1539</v>
      </c>
      <c r="E199" s="309" t="s">
        <v>1540</v>
      </c>
      <c r="F199" s="318" t="b">
        <f aca="false">TRUE()</f>
        <v>1</v>
      </c>
      <c r="G199" s="309" t="s">
        <v>1093</v>
      </c>
      <c r="H199" s="309" t="s">
        <v>1537</v>
      </c>
      <c r="I199" s="312" t="n">
        <v>-1</v>
      </c>
      <c r="J199" s="3"/>
      <c r="K199" s="309" t="s">
        <v>773</v>
      </c>
      <c r="L199" s="312" t="n">
        <v>3</v>
      </c>
      <c r="M199" s="309" t="s">
        <v>789</v>
      </c>
      <c r="N199" s="309" t="s">
        <v>743</v>
      </c>
      <c r="O199" s="309" t="s">
        <v>790</v>
      </c>
      <c r="P199" s="309" t="s">
        <v>745</v>
      </c>
      <c r="Q199" s="309" t="s">
        <v>746</v>
      </c>
      <c r="R199" s="318" t="b">
        <f aca="false">FALSE()</f>
        <v>0</v>
      </c>
      <c r="S199" s="312" t="n">
        <v>100</v>
      </c>
      <c r="T199" s="312" t="n">
        <v>100</v>
      </c>
      <c r="U199" s="312" t="n">
        <v>95</v>
      </c>
      <c r="V199" s="312" t="n">
        <v>80</v>
      </c>
      <c r="W199" s="312" t="n">
        <v>100</v>
      </c>
      <c r="X199" s="312" t="n">
        <v>100</v>
      </c>
      <c r="Y199" s="312" t="n">
        <v>0.4</v>
      </c>
      <c r="Z199" s="312" t="n">
        <v>0.7</v>
      </c>
      <c r="AA199" s="312" t="n">
        <v>10</v>
      </c>
      <c r="AB199" s="312" t="n">
        <v>6300</v>
      </c>
      <c r="AC199" s="309" t="s">
        <v>1253</v>
      </c>
      <c r="AD199" s="309" t="s">
        <v>182</v>
      </c>
      <c r="AE199" s="312" t="n">
        <v>150</v>
      </c>
      <c r="AF199" s="312" t="n">
        <v>150</v>
      </c>
      <c r="AG199" s="312" t="n">
        <v>600</v>
      </c>
      <c r="AH199" s="312" t="n">
        <v>850</v>
      </c>
      <c r="AI199" s="312" t="n">
        <v>450</v>
      </c>
      <c r="AJ199" s="318" t="b">
        <f aca="false">TRUE()</f>
        <v>1</v>
      </c>
      <c r="AK199" s="318" t="b">
        <f aca="false">FALSE()</f>
        <v>0</v>
      </c>
      <c r="AL199" s="309" t="s">
        <v>1247</v>
      </c>
      <c r="AM199" s="318" t="b">
        <f aca="false">FALSE()</f>
        <v>0</v>
      </c>
      <c r="AN199" s="318" t="b">
        <f aca="false">FALSE()</f>
        <v>0</v>
      </c>
      <c r="AO199" s="312" t="n">
        <v>475</v>
      </c>
      <c r="AP199" s="312" t="n">
        <v>1</v>
      </c>
      <c r="AQ199" s="312" t="n">
        <v>7</v>
      </c>
      <c r="AR199" s="312" t="n">
        <v>25</v>
      </c>
      <c r="AS199" s="312" t="n">
        <v>90</v>
      </c>
      <c r="AT199" s="312" t="n">
        <v>1</v>
      </c>
      <c r="AU199" s="318" t="b">
        <f aca="false">FALSE()</f>
        <v>0</v>
      </c>
      <c r="AV199" s="318" t="b">
        <f aca="false">FALSE()</f>
        <v>0</v>
      </c>
      <c r="AW199" s="312" t="n">
        <v>9</v>
      </c>
      <c r="AX199" s="318" t="b">
        <f aca="false">TRUE()</f>
        <v>1</v>
      </c>
      <c r="AY199" s="318" t="b">
        <f aca="false">TRUE()</f>
        <v>1</v>
      </c>
      <c r="AZ199" s="312" t="n">
        <v>100</v>
      </c>
      <c r="BA199" s="312" t="n">
        <v>50</v>
      </c>
      <c r="BB199" s="312" t="n">
        <v>420</v>
      </c>
      <c r="BC199" s="312" t="n">
        <v>0</v>
      </c>
      <c r="BD199" s="312" t="n">
        <v>0</v>
      </c>
      <c r="BE199" s="312" t="n">
        <v>0</v>
      </c>
      <c r="BF199" s="312" t="n">
        <v>0</v>
      </c>
      <c r="BG199" s="312" t="n">
        <v>0</v>
      </c>
      <c r="BH199" s="312" t="n">
        <v>2</v>
      </c>
      <c r="BI199" s="312" t="n">
        <v>0</v>
      </c>
      <c r="BJ199" s="312" t="n">
        <v>0</v>
      </c>
      <c r="BK199" s="312" t="n">
        <v>0</v>
      </c>
      <c r="BL199" s="312" t="n">
        <v>0</v>
      </c>
      <c r="BM199" s="312" t="n">
        <v>0</v>
      </c>
      <c r="BN199" s="312" t="n">
        <v>0</v>
      </c>
      <c r="BO199" s="312" t="n">
        <v>0</v>
      </c>
      <c r="BP199" s="309" t="s">
        <v>182</v>
      </c>
      <c r="BQ199" s="309" t="s">
        <v>182</v>
      </c>
      <c r="BR199" s="309" t="s">
        <v>182</v>
      </c>
      <c r="BS199" s="309" t="s">
        <v>182</v>
      </c>
      <c r="BT199" s="312" t="n">
        <v>272</v>
      </c>
      <c r="BU199" s="318" t="b">
        <f aca="false">FALSE()</f>
        <v>0</v>
      </c>
      <c r="BV199" s="3" t="e">
        <f aca="false">xlookup(MID($A199,7,50),$A$2:$A$139,$BV$2:$BV$139,,0,1)</f>
        <v>#NAME?</v>
      </c>
      <c r="BW199" s="3"/>
      <c r="BX199" s="85" t="n">
        <v>15</v>
      </c>
      <c r="BY199" s="3" t="s">
        <v>1094</v>
      </c>
      <c r="BZ199" s="3" t="s">
        <v>775</v>
      </c>
      <c r="CA199" s="3"/>
      <c r="CB199" s="3"/>
      <c r="CC199" s="3"/>
      <c r="CD199" s="3"/>
      <c r="CE199" s="3"/>
      <c r="CF199" s="3"/>
      <c r="CG199" s="311" t="b">
        <f aca="false">TRUE()</f>
        <v>1</v>
      </c>
      <c r="CH199" s="3" t="s">
        <v>902</v>
      </c>
      <c r="CI199" s="3"/>
      <c r="CJ199" s="3"/>
      <c r="CK199" s="3"/>
      <c r="CL199" s="3"/>
      <c r="CM199" s="3"/>
      <c r="CN199" s="3"/>
      <c r="CO199" s="3"/>
      <c r="CP199" s="3"/>
      <c r="CQ199" s="3"/>
      <c r="CR199" s="3"/>
      <c r="CS199" s="3"/>
      <c r="CT199" s="3"/>
      <c r="CU199" s="3" t="s">
        <v>818</v>
      </c>
      <c r="CV199" s="3"/>
      <c r="CW199" s="3" t="s">
        <v>819</v>
      </c>
      <c r="CX199" s="3" t="s">
        <v>820</v>
      </c>
      <c r="CY199" s="3" t="s">
        <v>821</v>
      </c>
      <c r="CZ199" s="3" t="s">
        <v>822</v>
      </c>
    </row>
    <row r="200" customFormat="false" ht="15.75" hidden="false" customHeight="false" outlineLevel="0" collapsed="false">
      <c r="A200" s="309" t="s">
        <v>1541</v>
      </c>
      <c r="B200" s="309" t="s">
        <v>1542</v>
      </c>
      <c r="C200" s="309" t="s">
        <v>1543</v>
      </c>
      <c r="D200" s="309" t="s">
        <v>1544</v>
      </c>
      <c r="E200" s="309" t="s">
        <v>1545</v>
      </c>
      <c r="F200" s="318" t="b">
        <f aca="false">TRUE()</f>
        <v>1</v>
      </c>
      <c r="G200" s="309" t="s">
        <v>449</v>
      </c>
      <c r="H200" s="309" t="s">
        <v>1542</v>
      </c>
      <c r="I200" s="312" t="n">
        <v>-1</v>
      </c>
      <c r="J200" s="3"/>
      <c r="K200" s="309" t="s">
        <v>773</v>
      </c>
      <c r="L200" s="312" t="n">
        <v>1</v>
      </c>
      <c r="M200" s="309" t="s">
        <v>810</v>
      </c>
      <c r="N200" s="309" t="s">
        <v>743</v>
      </c>
      <c r="O200" s="309" t="s">
        <v>763</v>
      </c>
      <c r="P200" s="309" t="s">
        <v>745</v>
      </c>
      <c r="Q200" s="309" t="s">
        <v>746</v>
      </c>
      <c r="R200" s="318" t="b">
        <f aca="false">FALSE()</f>
        <v>0</v>
      </c>
      <c r="S200" s="312" t="n">
        <v>70</v>
      </c>
      <c r="T200" s="312" t="n">
        <v>70</v>
      </c>
      <c r="U200" s="312" t="n">
        <v>75</v>
      </c>
      <c r="V200" s="312" t="n">
        <v>70</v>
      </c>
      <c r="W200" s="312" t="n">
        <v>100</v>
      </c>
      <c r="X200" s="312" t="n">
        <v>100</v>
      </c>
      <c r="Y200" s="312" t="n">
        <v>0.4</v>
      </c>
      <c r="Z200" s="312" t="n">
        <v>0.84</v>
      </c>
      <c r="AA200" s="312" t="n">
        <v>10</v>
      </c>
      <c r="AB200" s="312" t="n">
        <v>1060</v>
      </c>
      <c r="AC200" s="309" t="s">
        <v>836</v>
      </c>
      <c r="AD200" s="309" t="s">
        <v>182</v>
      </c>
      <c r="AE200" s="312" t="n">
        <v>30</v>
      </c>
      <c r="AF200" s="312" t="n">
        <v>60</v>
      </c>
      <c r="AG200" s="312" t="n">
        <v>400</v>
      </c>
      <c r="AH200" s="312" t="n">
        <v>550</v>
      </c>
      <c r="AI200" s="312" t="n">
        <v>215</v>
      </c>
      <c r="AJ200" s="318" t="b">
        <f aca="false">TRUE()</f>
        <v>1</v>
      </c>
      <c r="AK200" s="318" t="b">
        <f aca="false">FALSE()</f>
        <v>0</v>
      </c>
      <c r="AL200" s="309" t="s">
        <v>1247</v>
      </c>
      <c r="AM200" s="318" t="b">
        <f aca="false">FALSE()</f>
        <v>0</v>
      </c>
      <c r="AN200" s="318" t="b">
        <f aca="false">FALSE()</f>
        <v>0</v>
      </c>
      <c r="AO200" s="312" t="n">
        <v>150</v>
      </c>
      <c r="AP200" s="312" t="n">
        <v>1</v>
      </c>
      <c r="AQ200" s="312" t="n">
        <v>2</v>
      </c>
      <c r="AR200" s="312" t="n">
        <v>25</v>
      </c>
      <c r="AS200" s="312" t="n">
        <v>90</v>
      </c>
      <c r="AT200" s="312" t="n">
        <v>1</v>
      </c>
      <c r="AU200" s="318" t="b">
        <f aca="false">FALSE()</f>
        <v>0</v>
      </c>
      <c r="AV200" s="318" t="b">
        <f aca="false">FALSE()</f>
        <v>0</v>
      </c>
      <c r="AW200" s="312" t="n">
        <v>9</v>
      </c>
      <c r="AX200" s="318" t="b">
        <f aca="false">FALSE()</f>
        <v>0</v>
      </c>
      <c r="AY200" s="318" t="b">
        <f aca="false">TRUE()</f>
        <v>1</v>
      </c>
      <c r="AZ200" s="312" t="n">
        <v>100</v>
      </c>
      <c r="BA200" s="312" t="n">
        <v>50</v>
      </c>
      <c r="BB200" s="312" t="n">
        <v>1370</v>
      </c>
      <c r="BC200" s="312" t="n">
        <v>0</v>
      </c>
      <c r="BD200" s="312" t="n">
        <v>0</v>
      </c>
      <c r="BE200" s="312" t="n">
        <v>0</v>
      </c>
      <c r="BF200" s="312" t="n">
        <v>1</v>
      </c>
      <c r="BG200" s="312" t="n">
        <v>0</v>
      </c>
      <c r="BH200" s="312" t="n">
        <v>0</v>
      </c>
      <c r="BI200" s="312" t="n">
        <v>0</v>
      </c>
      <c r="BJ200" s="312" t="n">
        <v>0</v>
      </c>
      <c r="BK200" s="312" t="n">
        <v>0</v>
      </c>
      <c r="BL200" s="312" t="n">
        <v>0</v>
      </c>
      <c r="BM200" s="312" t="n">
        <v>0</v>
      </c>
      <c r="BN200" s="312" t="n">
        <v>0</v>
      </c>
      <c r="BO200" s="312" t="n">
        <v>0</v>
      </c>
      <c r="BP200" s="309" t="s">
        <v>182</v>
      </c>
      <c r="BQ200" s="309" t="s">
        <v>182</v>
      </c>
      <c r="BR200" s="309" t="s">
        <v>182</v>
      </c>
      <c r="BS200" s="309" t="s">
        <v>182</v>
      </c>
      <c r="BT200" s="312" t="n">
        <v>273</v>
      </c>
      <c r="BU200" s="318" t="b">
        <f aca="false">FALSE()</f>
        <v>0</v>
      </c>
      <c r="BV200" s="3" t="e">
        <f aca="false">xlookup(MID($A200,7,50),$A$2:$A$139,$BV$2:$BV$139,,0,1)</f>
        <v>#NAME?</v>
      </c>
      <c r="BW200" s="3"/>
      <c r="BX200" s="85" t="n">
        <v>8</v>
      </c>
      <c r="BY200" s="3" t="s">
        <v>832</v>
      </c>
      <c r="BZ200" s="3"/>
      <c r="CA200" s="3" t="s">
        <v>833</v>
      </c>
      <c r="CB200" s="85" t="n">
        <v>100</v>
      </c>
      <c r="CC200" s="85" t="n">
        <v>110</v>
      </c>
      <c r="CD200" s="85" t="n">
        <v>130</v>
      </c>
      <c r="CE200" s="85" t="n">
        <v>160</v>
      </c>
      <c r="CF200" s="85" t="n">
        <v>200</v>
      </c>
      <c r="CG200" s="3"/>
      <c r="CH200" s="3"/>
      <c r="CI200" s="3"/>
      <c r="CJ200" s="3"/>
      <c r="CK200" s="3"/>
      <c r="CL200" s="3"/>
      <c r="CM200" s="3"/>
      <c r="CN200" s="3"/>
      <c r="CO200" s="3"/>
      <c r="CP200" s="3"/>
      <c r="CQ200" s="3"/>
      <c r="CR200" s="3"/>
      <c r="CS200" s="3"/>
      <c r="CT200" s="3"/>
      <c r="CU200" s="3"/>
      <c r="CV200" s="3"/>
      <c r="CW200" s="3"/>
      <c r="CX200" s="3"/>
      <c r="CY200" s="3"/>
      <c r="CZ200" s="3"/>
    </row>
    <row r="201" customFormat="false" ht="15.75" hidden="false" customHeight="false" outlineLevel="0" collapsed="false">
      <c r="A201" s="309" t="s">
        <v>1546</v>
      </c>
      <c r="B201" s="309" t="s">
        <v>1547</v>
      </c>
      <c r="C201" s="309" t="s">
        <v>1548</v>
      </c>
      <c r="D201" s="309" t="s">
        <v>1549</v>
      </c>
      <c r="E201" s="309" t="s">
        <v>1550</v>
      </c>
      <c r="F201" s="318" t="b">
        <f aca="false">TRUE()</f>
        <v>1</v>
      </c>
      <c r="G201" s="309" t="s">
        <v>530</v>
      </c>
      <c r="H201" s="309" t="s">
        <v>1547</v>
      </c>
      <c r="I201" s="312" t="n">
        <v>-1</v>
      </c>
      <c r="J201" s="3"/>
      <c r="K201" s="309" t="s">
        <v>884</v>
      </c>
      <c r="L201" s="312" t="n">
        <v>2</v>
      </c>
      <c r="M201" s="309" t="s">
        <v>771</v>
      </c>
      <c r="N201" s="309" t="s">
        <v>743</v>
      </c>
      <c r="O201" s="309" t="s">
        <v>763</v>
      </c>
      <c r="P201" s="309" t="s">
        <v>745</v>
      </c>
      <c r="Q201" s="309" t="s">
        <v>746</v>
      </c>
      <c r="R201" s="318" t="b">
        <f aca="false">FALSE()</f>
        <v>0</v>
      </c>
      <c r="S201" s="312" t="n">
        <v>70</v>
      </c>
      <c r="T201" s="312" t="n">
        <v>70</v>
      </c>
      <c r="U201" s="312" t="n">
        <v>75</v>
      </c>
      <c r="V201" s="312" t="n">
        <v>80</v>
      </c>
      <c r="W201" s="312" t="n">
        <v>100</v>
      </c>
      <c r="X201" s="312" t="n">
        <v>100</v>
      </c>
      <c r="Y201" s="312" t="n">
        <v>0.2</v>
      </c>
      <c r="Z201" s="312" t="n">
        <v>0.7</v>
      </c>
      <c r="AA201" s="312" t="n">
        <v>10</v>
      </c>
      <c r="AB201" s="312" t="n">
        <v>1070</v>
      </c>
      <c r="AC201" s="309" t="s">
        <v>836</v>
      </c>
      <c r="AD201" s="309" t="s">
        <v>182</v>
      </c>
      <c r="AE201" s="312" t="n">
        <v>30</v>
      </c>
      <c r="AF201" s="312" t="n">
        <v>60</v>
      </c>
      <c r="AG201" s="312" t="n">
        <v>400</v>
      </c>
      <c r="AH201" s="312" t="n">
        <v>550</v>
      </c>
      <c r="AI201" s="312" t="n">
        <v>215</v>
      </c>
      <c r="AJ201" s="318" t="b">
        <f aca="false">TRUE()</f>
        <v>1</v>
      </c>
      <c r="AK201" s="318" t="b">
        <f aca="false">FALSE()</f>
        <v>0</v>
      </c>
      <c r="AL201" s="309" t="s">
        <v>1247</v>
      </c>
      <c r="AM201" s="318" t="b">
        <f aca="false">FALSE()</f>
        <v>0</v>
      </c>
      <c r="AN201" s="318" t="b">
        <f aca="false">FALSE()</f>
        <v>0</v>
      </c>
      <c r="AO201" s="312" t="n">
        <v>150</v>
      </c>
      <c r="AP201" s="312" t="n">
        <v>1</v>
      </c>
      <c r="AQ201" s="312" t="n">
        <v>2</v>
      </c>
      <c r="AR201" s="312" t="n">
        <v>25</v>
      </c>
      <c r="AS201" s="312" t="n">
        <v>90</v>
      </c>
      <c r="AT201" s="312" t="n">
        <v>1</v>
      </c>
      <c r="AU201" s="318" t="b">
        <f aca="false">FALSE()</f>
        <v>0</v>
      </c>
      <c r="AV201" s="318" t="b">
        <f aca="false">FALSE()</f>
        <v>0</v>
      </c>
      <c r="AW201" s="312" t="n">
        <v>9</v>
      </c>
      <c r="AX201" s="318" t="b">
        <f aca="false">FALSE()</f>
        <v>0</v>
      </c>
      <c r="AY201" s="318" t="b">
        <f aca="false">TRUE()</f>
        <v>1</v>
      </c>
      <c r="AZ201" s="312" t="n">
        <v>100</v>
      </c>
      <c r="BA201" s="312" t="n">
        <v>50</v>
      </c>
      <c r="BB201" s="312" t="n">
        <v>1360</v>
      </c>
      <c r="BC201" s="312" t="n">
        <v>0</v>
      </c>
      <c r="BD201" s="312" t="n">
        <v>0</v>
      </c>
      <c r="BE201" s="312" t="n">
        <v>0</v>
      </c>
      <c r="BF201" s="312" t="n">
        <v>0</v>
      </c>
      <c r="BG201" s="312" t="n">
        <v>0</v>
      </c>
      <c r="BH201" s="312" t="n">
        <v>0</v>
      </c>
      <c r="BI201" s="312" t="n">
        <v>0</v>
      </c>
      <c r="BJ201" s="312" t="n">
        <v>0</v>
      </c>
      <c r="BK201" s="312" t="n">
        <v>0</v>
      </c>
      <c r="BL201" s="312" t="n">
        <v>0</v>
      </c>
      <c r="BM201" s="312" t="n">
        <v>1</v>
      </c>
      <c r="BN201" s="312" t="n">
        <v>0</v>
      </c>
      <c r="BO201" s="312" t="n">
        <v>0</v>
      </c>
      <c r="BP201" s="309" t="s">
        <v>182</v>
      </c>
      <c r="BQ201" s="309" t="s">
        <v>182</v>
      </c>
      <c r="BR201" s="309" t="s">
        <v>182</v>
      </c>
      <c r="BS201" s="309" t="s">
        <v>182</v>
      </c>
      <c r="BT201" s="312" t="n">
        <v>274</v>
      </c>
      <c r="BU201" s="318" t="b">
        <f aca="false">TRUE()</f>
        <v>1</v>
      </c>
      <c r="BV201" s="3" t="e">
        <f aca="false">xlookup(MID($A201,7,50),$A$2:$A$139,$BV$2:$BV$139,,0,1)</f>
        <v>#NAME?</v>
      </c>
      <c r="BW201" s="3"/>
      <c r="BX201" s="85" t="n">
        <v>11</v>
      </c>
      <c r="BY201" s="3" t="s">
        <v>834</v>
      </c>
      <c r="BZ201" s="3" t="s">
        <v>809</v>
      </c>
      <c r="CA201" s="3" t="s">
        <v>833</v>
      </c>
      <c r="CB201" s="85" t="n">
        <v>100</v>
      </c>
      <c r="CC201" s="85" t="n">
        <v>110</v>
      </c>
      <c r="CD201" s="85" t="n">
        <v>130</v>
      </c>
      <c r="CE201" s="85" t="n">
        <v>160</v>
      </c>
      <c r="CF201" s="85" t="n">
        <v>200</v>
      </c>
      <c r="CG201" s="3"/>
      <c r="CH201" s="3"/>
      <c r="CI201" s="3"/>
      <c r="CJ201" s="3"/>
      <c r="CK201" s="3"/>
      <c r="CL201" s="3"/>
      <c r="CM201" s="3"/>
      <c r="CN201" s="3"/>
      <c r="CO201" s="3"/>
      <c r="CP201" s="3"/>
      <c r="CQ201" s="3"/>
      <c r="CR201" s="3"/>
      <c r="CS201" s="3"/>
      <c r="CT201" s="3"/>
      <c r="CU201" s="3"/>
      <c r="CV201" s="3"/>
      <c r="CW201" s="3"/>
      <c r="CX201" s="3"/>
      <c r="CY201" s="3"/>
      <c r="CZ201" s="3"/>
    </row>
    <row r="202" customFormat="false" ht="15.75" hidden="false" customHeight="false" outlineLevel="0" collapsed="false">
      <c r="A202" s="309" t="s">
        <v>1551</v>
      </c>
      <c r="B202" s="309" t="s">
        <v>1552</v>
      </c>
      <c r="C202" s="309" t="s">
        <v>1553</v>
      </c>
      <c r="D202" s="309" t="s">
        <v>1554</v>
      </c>
      <c r="E202" s="309" t="s">
        <v>1555</v>
      </c>
      <c r="F202" s="318" t="b">
        <f aca="false">TRUE()</f>
        <v>1</v>
      </c>
      <c r="G202" s="309" t="s">
        <v>1178</v>
      </c>
      <c r="H202" s="309" t="s">
        <v>1552</v>
      </c>
      <c r="I202" s="312" t="n">
        <v>-1</v>
      </c>
      <c r="J202" s="3"/>
      <c r="K202" s="309" t="s">
        <v>884</v>
      </c>
      <c r="L202" s="312" t="n">
        <v>8</v>
      </c>
      <c r="M202" s="309" t="s">
        <v>742</v>
      </c>
      <c r="N202" s="309" t="s">
        <v>783</v>
      </c>
      <c r="O202" s="309" t="s">
        <v>744</v>
      </c>
      <c r="P202" s="309" t="s">
        <v>745</v>
      </c>
      <c r="Q202" s="309" t="s">
        <v>746</v>
      </c>
      <c r="R202" s="318" t="b">
        <f aca="false">FALSE()</f>
        <v>0</v>
      </c>
      <c r="S202" s="312" t="n">
        <v>120</v>
      </c>
      <c r="T202" s="312" t="n">
        <v>100</v>
      </c>
      <c r="U202" s="312" t="n">
        <v>100</v>
      </c>
      <c r="V202" s="312" t="n">
        <v>120</v>
      </c>
      <c r="W202" s="312" t="n">
        <v>100</v>
      </c>
      <c r="X202" s="312" t="n">
        <v>100</v>
      </c>
      <c r="Y202" s="312" t="n">
        <v>0.2</v>
      </c>
      <c r="Z202" s="312" t="n">
        <v>0.7</v>
      </c>
      <c r="AA202" s="312" t="n">
        <v>10</v>
      </c>
      <c r="AB202" s="312" t="n">
        <v>6830</v>
      </c>
      <c r="AC202" s="309" t="s">
        <v>1253</v>
      </c>
      <c r="AD202" s="309" t="s">
        <v>182</v>
      </c>
      <c r="AE202" s="312" t="n">
        <v>55</v>
      </c>
      <c r="AF202" s="312" t="n">
        <v>110</v>
      </c>
      <c r="AG202" s="312" t="n">
        <v>500</v>
      </c>
      <c r="AH202" s="312" t="n">
        <v>600</v>
      </c>
      <c r="AI202" s="312" t="n">
        <v>110</v>
      </c>
      <c r="AJ202" s="318" t="b">
        <f aca="false">TRUE()</f>
        <v>1</v>
      </c>
      <c r="AK202" s="318" t="b">
        <f aca="false">FALSE()</f>
        <v>0</v>
      </c>
      <c r="AL202" s="309" t="s">
        <v>1247</v>
      </c>
      <c r="AM202" s="318" t="b">
        <f aca="false">FALSE()</f>
        <v>0</v>
      </c>
      <c r="AN202" s="318" t="b">
        <f aca="false">FALSE()</f>
        <v>0</v>
      </c>
      <c r="AO202" s="312" t="n">
        <v>400</v>
      </c>
      <c r="AP202" s="312" t="n">
        <v>1</v>
      </c>
      <c r="AQ202" s="312" t="n">
        <v>6</v>
      </c>
      <c r="AR202" s="312" t="n">
        <v>25</v>
      </c>
      <c r="AS202" s="312" t="n">
        <v>90</v>
      </c>
      <c r="AT202" s="312" t="n">
        <v>1</v>
      </c>
      <c r="AU202" s="318" t="b">
        <f aca="false">FALSE()</f>
        <v>0</v>
      </c>
      <c r="AV202" s="318" t="b">
        <f aca="false">FALSE()</f>
        <v>0</v>
      </c>
      <c r="AW202" s="312" t="n">
        <v>9</v>
      </c>
      <c r="AX202" s="318" t="b">
        <f aca="false">FALSE()</f>
        <v>0</v>
      </c>
      <c r="AY202" s="318" t="b">
        <f aca="false">TRUE()</f>
        <v>1</v>
      </c>
      <c r="AZ202" s="312" t="n">
        <v>100</v>
      </c>
      <c r="BA202" s="312" t="n">
        <v>85</v>
      </c>
      <c r="BB202" s="312" t="n">
        <v>340</v>
      </c>
      <c r="BC202" s="312" t="n">
        <v>0</v>
      </c>
      <c r="BD202" s="312" t="n">
        <v>0</v>
      </c>
      <c r="BE202" s="312" t="n">
        <v>1</v>
      </c>
      <c r="BF202" s="312" t="n">
        <v>0</v>
      </c>
      <c r="BG202" s="312" t="n">
        <v>1</v>
      </c>
      <c r="BH202" s="312" t="n">
        <v>0</v>
      </c>
      <c r="BI202" s="312" t="n">
        <v>3</v>
      </c>
      <c r="BJ202" s="312" t="n">
        <v>0</v>
      </c>
      <c r="BK202" s="312" t="n">
        <v>0</v>
      </c>
      <c r="BL202" s="312" t="n">
        <v>0</v>
      </c>
      <c r="BM202" s="312" t="n">
        <v>0</v>
      </c>
      <c r="BN202" s="312" t="n">
        <v>3</v>
      </c>
      <c r="BO202" s="312" t="n">
        <v>0</v>
      </c>
      <c r="BP202" s="309" t="s">
        <v>802</v>
      </c>
      <c r="BQ202" s="309" t="s">
        <v>182</v>
      </c>
      <c r="BR202" s="309" t="s">
        <v>182</v>
      </c>
      <c r="BS202" s="309" t="s">
        <v>182</v>
      </c>
      <c r="BT202" s="312" t="n">
        <v>275</v>
      </c>
      <c r="BU202" s="318" t="b">
        <f aca="false">FALSE()</f>
        <v>0</v>
      </c>
      <c r="BV202" s="3" t="e">
        <f aca="false">xlookup(MID($A202,7,50),$A$2:$A$139,$BV$2:$BV$139,,0,1)</f>
        <v>#NAME?</v>
      </c>
      <c r="BW202" s="3"/>
      <c r="BX202" s="3"/>
      <c r="BY202" s="3"/>
      <c r="BZ202" s="3"/>
      <c r="CA202" s="3"/>
      <c r="CB202" s="3"/>
      <c r="CC202" s="3"/>
      <c r="CD202" s="3"/>
      <c r="CE202" s="3"/>
      <c r="CF202" s="3"/>
      <c r="CG202" s="3"/>
      <c r="CH202" s="3"/>
      <c r="CI202" s="3"/>
      <c r="CJ202" s="3" t="s">
        <v>1179</v>
      </c>
      <c r="CK202" s="3" t="s">
        <v>1180</v>
      </c>
      <c r="CL202" s="3" t="s">
        <v>1181</v>
      </c>
      <c r="CM202" s="3" t="s">
        <v>1182</v>
      </c>
      <c r="CN202" s="3" t="s">
        <v>1183</v>
      </c>
      <c r="CO202" s="3"/>
      <c r="CP202" s="3"/>
      <c r="CQ202" s="3"/>
      <c r="CR202" s="3"/>
      <c r="CS202" s="3"/>
      <c r="CT202" s="3"/>
      <c r="CU202" s="3"/>
      <c r="CV202" s="3" t="s">
        <v>1184</v>
      </c>
      <c r="CW202" s="3" t="s">
        <v>1185</v>
      </c>
      <c r="CX202" s="3" t="s">
        <v>1186</v>
      </c>
      <c r="CY202" s="3" t="s">
        <v>1187</v>
      </c>
      <c r="CZ202" s="3" t="s">
        <v>1188</v>
      </c>
    </row>
    <row r="203" customFormat="false" ht="15.75" hidden="false" customHeight="false" outlineLevel="0" collapsed="false">
      <c r="A203" s="309" t="s">
        <v>1556</v>
      </c>
      <c r="B203" s="309" t="s">
        <v>1557</v>
      </c>
      <c r="C203" s="309" t="s">
        <v>1558</v>
      </c>
      <c r="D203" s="309" t="s">
        <v>1559</v>
      </c>
      <c r="E203" s="309" t="s">
        <v>1560</v>
      </c>
      <c r="F203" s="318" t="b">
        <f aca="false">TRUE()</f>
        <v>1</v>
      </c>
      <c r="G203" s="309" t="s">
        <v>501</v>
      </c>
      <c r="H203" s="309" t="s">
        <v>1557</v>
      </c>
      <c r="I203" s="312" t="n">
        <v>-1</v>
      </c>
      <c r="J203" s="3"/>
      <c r="K203" s="309" t="s">
        <v>884</v>
      </c>
      <c r="L203" s="312" t="n">
        <v>9</v>
      </c>
      <c r="M203" s="309" t="s">
        <v>757</v>
      </c>
      <c r="N203" s="309" t="s">
        <v>743</v>
      </c>
      <c r="O203" s="309" t="s">
        <v>790</v>
      </c>
      <c r="P203" s="309" t="s">
        <v>745</v>
      </c>
      <c r="Q203" s="309" t="s">
        <v>746</v>
      </c>
      <c r="R203" s="318" t="b">
        <f aca="false">FALSE()</f>
        <v>0</v>
      </c>
      <c r="S203" s="312" t="n">
        <v>100</v>
      </c>
      <c r="T203" s="312" t="n">
        <v>100</v>
      </c>
      <c r="U203" s="312" t="n">
        <v>105</v>
      </c>
      <c r="V203" s="312" t="n">
        <v>110</v>
      </c>
      <c r="W203" s="312" t="n">
        <v>90</v>
      </c>
      <c r="X203" s="312" t="n">
        <v>100</v>
      </c>
      <c r="Y203" s="312" t="n">
        <v>0.2</v>
      </c>
      <c r="Z203" s="312" t="n">
        <v>0.7</v>
      </c>
      <c r="AA203" s="312" t="n">
        <v>10</v>
      </c>
      <c r="AB203" s="312" t="n">
        <v>6720</v>
      </c>
      <c r="AC203" s="309" t="s">
        <v>1253</v>
      </c>
      <c r="AD203" s="309" t="s">
        <v>182</v>
      </c>
      <c r="AE203" s="312" t="n">
        <v>150</v>
      </c>
      <c r="AF203" s="312" t="n">
        <v>200</v>
      </c>
      <c r="AG203" s="312" t="n">
        <v>1000</v>
      </c>
      <c r="AH203" s="312" t="n">
        <v>1500</v>
      </c>
      <c r="AI203" s="312" t="n">
        <v>500</v>
      </c>
      <c r="AJ203" s="318" t="b">
        <f aca="false">TRUE()</f>
        <v>1</v>
      </c>
      <c r="AK203" s="318" t="b">
        <f aca="false">FALSE()</f>
        <v>0</v>
      </c>
      <c r="AL203" s="309" t="s">
        <v>1247</v>
      </c>
      <c r="AM203" s="318" t="b">
        <f aca="false">FALSE()</f>
        <v>0</v>
      </c>
      <c r="AN203" s="318" t="b">
        <f aca="false">FALSE()</f>
        <v>0</v>
      </c>
      <c r="AO203" s="312" t="n">
        <v>525</v>
      </c>
      <c r="AP203" s="312" t="n">
        <v>1</v>
      </c>
      <c r="AQ203" s="312" t="n">
        <v>8</v>
      </c>
      <c r="AR203" s="312" t="n">
        <v>25</v>
      </c>
      <c r="AS203" s="312" t="n">
        <v>90</v>
      </c>
      <c r="AT203" s="312" t="n">
        <v>1</v>
      </c>
      <c r="AU203" s="318" t="b">
        <f aca="false">FALSE()</f>
        <v>0</v>
      </c>
      <c r="AV203" s="318" t="b">
        <f aca="false">FALSE()</f>
        <v>0</v>
      </c>
      <c r="AW203" s="312" t="n">
        <v>9</v>
      </c>
      <c r="AX203" s="318" t="b">
        <f aca="false">FALSE()</f>
        <v>0</v>
      </c>
      <c r="AY203" s="318" t="b">
        <f aca="false">TRUE()</f>
        <v>1</v>
      </c>
      <c r="AZ203" s="312" t="n">
        <v>230</v>
      </c>
      <c r="BA203" s="312" t="n">
        <v>50</v>
      </c>
      <c r="BB203" s="312" t="n">
        <v>370</v>
      </c>
      <c r="BC203" s="312" t="n">
        <v>3</v>
      </c>
      <c r="BD203" s="312" t="n">
        <v>0</v>
      </c>
      <c r="BE203" s="312" t="n">
        <v>0</v>
      </c>
      <c r="BF203" s="312" t="n">
        <v>0</v>
      </c>
      <c r="BG203" s="312" t="n">
        <v>0</v>
      </c>
      <c r="BH203" s="312" t="n">
        <v>0</v>
      </c>
      <c r="BI203" s="312" t="n">
        <v>0</v>
      </c>
      <c r="BJ203" s="312" t="n">
        <v>0</v>
      </c>
      <c r="BK203" s="312" t="n">
        <v>0</v>
      </c>
      <c r="BL203" s="312" t="n">
        <v>0</v>
      </c>
      <c r="BM203" s="312" t="n">
        <v>0</v>
      </c>
      <c r="BN203" s="312" t="n">
        <v>3</v>
      </c>
      <c r="BO203" s="312" t="n">
        <v>0</v>
      </c>
      <c r="BP203" s="309" t="s">
        <v>182</v>
      </c>
      <c r="BQ203" s="309" t="s">
        <v>182</v>
      </c>
      <c r="BR203" s="309" t="s">
        <v>182</v>
      </c>
      <c r="BS203" s="309" t="s">
        <v>182</v>
      </c>
      <c r="BT203" s="312" t="n">
        <v>276</v>
      </c>
      <c r="BU203" s="318" t="b">
        <f aca="false">TRUE()</f>
        <v>1</v>
      </c>
      <c r="BV203" s="3" t="e">
        <f aca="false">xlookup(MID($A203,7,50),$A$2:$A$139,$BV$2:$BV$139,,0,1)</f>
        <v>#NAME?</v>
      </c>
      <c r="BW203" s="3"/>
      <c r="BX203" s="85" t="n">
        <v>38</v>
      </c>
      <c r="BY203" s="3" t="s">
        <v>1033</v>
      </c>
      <c r="BZ203" s="3" t="s">
        <v>775</v>
      </c>
      <c r="CA203" s="3"/>
      <c r="CB203" s="3"/>
      <c r="CC203" s="3"/>
      <c r="CD203" s="3"/>
      <c r="CE203" s="3"/>
      <c r="CF203" s="3"/>
      <c r="CG203" s="311" t="b">
        <f aca="false">TRUE()</f>
        <v>1</v>
      </c>
      <c r="CH203" s="3" t="s">
        <v>902</v>
      </c>
      <c r="CI203" s="3"/>
      <c r="CJ203" s="3"/>
      <c r="CK203" s="3"/>
      <c r="CL203" s="3"/>
      <c r="CM203" s="3"/>
      <c r="CN203" s="3"/>
      <c r="CO203" s="3"/>
      <c r="CP203" s="3"/>
      <c r="CQ203" s="3"/>
      <c r="CR203" s="3"/>
      <c r="CS203" s="3"/>
      <c r="CT203" s="3"/>
      <c r="CU203" s="3"/>
      <c r="CV203" s="3" t="s">
        <v>1034</v>
      </c>
      <c r="CW203" s="3" t="s">
        <v>1035</v>
      </c>
      <c r="CX203" s="3" t="s">
        <v>1036</v>
      </c>
      <c r="CY203" s="3" t="s">
        <v>1037</v>
      </c>
      <c r="CZ203" s="3" t="s">
        <v>1038</v>
      </c>
    </row>
    <row r="204" customFormat="false" ht="15.75" hidden="false" customHeight="false" outlineLevel="0" collapsed="false">
      <c r="A204" s="309" t="s">
        <v>1561</v>
      </c>
      <c r="B204" s="309" t="s">
        <v>1562</v>
      </c>
      <c r="C204" s="309" t="s">
        <v>1563</v>
      </c>
      <c r="D204" s="309" t="s">
        <v>1564</v>
      </c>
      <c r="E204" s="309" t="s">
        <v>1565</v>
      </c>
      <c r="F204" s="318" t="b">
        <f aca="false">TRUE()</f>
        <v>1</v>
      </c>
      <c r="G204" s="309" t="s">
        <v>455</v>
      </c>
      <c r="H204" s="309" t="s">
        <v>1562</v>
      </c>
      <c r="I204" s="312" t="n">
        <v>-1</v>
      </c>
      <c r="J204" s="3"/>
      <c r="K204" s="309" t="s">
        <v>884</v>
      </c>
      <c r="L204" s="312" t="n">
        <v>4</v>
      </c>
      <c r="M204" s="309" t="s">
        <v>771</v>
      </c>
      <c r="N204" s="309" t="s">
        <v>743</v>
      </c>
      <c r="O204" s="309" t="s">
        <v>763</v>
      </c>
      <c r="P204" s="309" t="s">
        <v>745</v>
      </c>
      <c r="Q204" s="309" t="s">
        <v>746</v>
      </c>
      <c r="R204" s="318" t="b">
        <f aca="false">FALSE()</f>
        <v>0</v>
      </c>
      <c r="S204" s="312" t="n">
        <v>100</v>
      </c>
      <c r="T204" s="312" t="n">
        <v>80</v>
      </c>
      <c r="U204" s="312" t="n">
        <v>85</v>
      </c>
      <c r="V204" s="312" t="n">
        <v>110</v>
      </c>
      <c r="W204" s="312" t="n">
        <v>100</v>
      </c>
      <c r="X204" s="312" t="n">
        <v>100</v>
      </c>
      <c r="Y204" s="312" t="n">
        <v>0.2</v>
      </c>
      <c r="Z204" s="312" t="n">
        <v>0.7</v>
      </c>
      <c r="AA204" s="312" t="n">
        <v>10</v>
      </c>
      <c r="AB204" s="312" t="n">
        <v>2800</v>
      </c>
      <c r="AC204" s="309" t="s">
        <v>1253</v>
      </c>
      <c r="AD204" s="309" t="s">
        <v>182</v>
      </c>
      <c r="AE204" s="312" t="n">
        <v>35</v>
      </c>
      <c r="AF204" s="312" t="n">
        <v>70</v>
      </c>
      <c r="AG204" s="312" t="n">
        <v>550</v>
      </c>
      <c r="AH204" s="312" t="n">
        <v>800</v>
      </c>
      <c r="AI204" s="312" t="n">
        <v>310</v>
      </c>
      <c r="AJ204" s="318" t="b">
        <f aca="false">TRUE()</f>
        <v>1</v>
      </c>
      <c r="AK204" s="318" t="b">
        <f aca="false">FALSE()</f>
        <v>0</v>
      </c>
      <c r="AL204" s="309" t="s">
        <v>1247</v>
      </c>
      <c r="AM204" s="318" t="b">
        <f aca="false">FALSE()</f>
        <v>0</v>
      </c>
      <c r="AN204" s="318" t="b">
        <f aca="false">FALSE()</f>
        <v>0</v>
      </c>
      <c r="AO204" s="312" t="n">
        <v>475</v>
      </c>
      <c r="AP204" s="312" t="n">
        <v>1</v>
      </c>
      <c r="AQ204" s="312" t="n">
        <v>7</v>
      </c>
      <c r="AR204" s="312" t="n">
        <v>25</v>
      </c>
      <c r="AS204" s="312" t="n">
        <v>90</v>
      </c>
      <c r="AT204" s="312" t="n">
        <v>1</v>
      </c>
      <c r="AU204" s="318" t="b">
        <f aca="false">FALSE()</f>
        <v>0</v>
      </c>
      <c r="AV204" s="318" t="b">
        <f aca="false">FALSE()</f>
        <v>0</v>
      </c>
      <c r="AW204" s="312" t="n">
        <v>9</v>
      </c>
      <c r="AX204" s="318" t="b">
        <f aca="false">FALSE()</f>
        <v>0</v>
      </c>
      <c r="AY204" s="318" t="b">
        <f aca="false">TRUE()</f>
        <v>1</v>
      </c>
      <c r="AZ204" s="312" t="n">
        <v>100</v>
      </c>
      <c r="BA204" s="312" t="n">
        <v>50</v>
      </c>
      <c r="BB204" s="312" t="n">
        <v>880</v>
      </c>
      <c r="BC204" s="312" t="n">
        <v>0</v>
      </c>
      <c r="BD204" s="312" t="n">
        <v>0</v>
      </c>
      <c r="BE204" s="312" t="n">
        <v>0</v>
      </c>
      <c r="BF204" s="312" t="n">
        <v>0</v>
      </c>
      <c r="BG204" s="312" t="n">
        <v>0</v>
      </c>
      <c r="BH204" s="312" t="n">
        <v>0</v>
      </c>
      <c r="BI204" s="312" t="n">
        <v>2</v>
      </c>
      <c r="BJ204" s="312" t="n">
        <v>0</v>
      </c>
      <c r="BK204" s="312" t="n">
        <v>0</v>
      </c>
      <c r="BL204" s="312" t="n">
        <v>0</v>
      </c>
      <c r="BM204" s="312" t="n">
        <v>2</v>
      </c>
      <c r="BN204" s="312" t="n">
        <v>0</v>
      </c>
      <c r="BO204" s="312" t="n">
        <v>0</v>
      </c>
      <c r="BP204" s="309" t="s">
        <v>182</v>
      </c>
      <c r="BQ204" s="309" t="s">
        <v>182</v>
      </c>
      <c r="BR204" s="309" t="s">
        <v>182</v>
      </c>
      <c r="BS204" s="309" t="s">
        <v>182</v>
      </c>
      <c r="BT204" s="312" t="n">
        <v>277</v>
      </c>
      <c r="BU204" s="318" t="b">
        <f aca="false">FALSE()</f>
        <v>0</v>
      </c>
      <c r="BV204" s="3" t="e">
        <f aca="false">xlookup(MID($A204,7,50),$A$2:$A$139,$BV$2:$BV$139,,0,1)</f>
        <v>#NAME?</v>
      </c>
      <c r="BW204" s="3"/>
      <c r="BX204" s="85" t="n">
        <v>29</v>
      </c>
      <c r="BY204" s="3" t="s">
        <v>1048</v>
      </c>
      <c r="BZ204" s="3" t="s">
        <v>775</v>
      </c>
      <c r="CA204" s="3"/>
      <c r="CB204" s="3"/>
      <c r="CC204" s="3"/>
      <c r="CD204" s="3"/>
      <c r="CE204" s="3"/>
      <c r="CF204" s="3"/>
      <c r="CG204" s="311" t="b">
        <f aca="false">TRUE()</f>
        <v>1</v>
      </c>
      <c r="CH204" s="3" t="s">
        <v>776</v>
      </c>
      <c r="CI204" s="3"/>
      <c r="CJ204" s="3" t="s">
        <v>976</v>
      </c>
      <c r="CK204" s="3" t="s">
        <v>976</v>
      </c>
      <c r="CL204" s="3" t="s">
        <v>976</v>
      </c>
      <c r="CM204" s="3" t="s">
        <v>976</v>
      </c>
      <c r="CN204" s="3" t="s">
        <v>976</v>
      </c>
      <c r="CO204" s="3"/>
      <c r="CP204" s="3"/>
      <c r="CQ204" s="3"/>
      <c r="CR204" s="3"/>
      <c r="CS204" s="3"/>
      <c r="CT204" s="3"/>
      <c r="CU204" s="3" t="s">
        <v>818</v>
      </c>
      <c r="CV204" s="3"/>
      <c r="CW204" s="3" t="s">
        <v>819</v>
      </c>
      <c r="CX204" s="3" t="s">
        <v>820</v>
      </c>
      <c r="CY204" s="3" t="s">
        <v>821</v>
      </c>
      <c r="CZ204" s="3" t="s">
        <v>822</v>
      </c>
    </row>
    <row r="205" customFormat="false" ht="15.75" hidden="false" customHeight="false" outlineLevel="0" collapsed="false">
      <c r="A205" s="309" t="s">
        <v>1566</v>
      </c>
      <c r="B205" s="309" t="s">
        <v>1567</v>
      </c>
      <c r="C205" s="309" t="s">
        <v>1568</v>
      </c>
      <c r="D205" s="309" t="s">
        <v>1569</v>
      </c>
      <c r="E205" s="309" t="s">
        <v>1570</v>
      </c>
      <c r="F205" s="318" t="b">
        <f aca="false">TRUE()</f>
        <v>1</v>
      </c>
      <c r="G205" s="309" t="s">
        <v>429</v>
      </c>
      <c r="H205" s="309" t="s">
        <v>1567</v>
      </c>
      <c r="I205" s="312" t="n">
        <v>-1</v>
      </c>
      <c r="J205" s="3"/>
      <c r="K205" s="309" t="s">
        <v>884</v>
      </c>
      <c r="L205" s="312" t="n">
        <v>5</v>
      </c>
      <c r="M205" s="309" t="s">
        <v>771</v>
      </c>
      <c r="N205" s="309" t="s">
        <v>743</v>
      </c>
      <c r="O205" s="309" t="s">
        <v>763</v>
      </c>
      <c r="P205" s="309" t="s">
        <v>745</v>
      </c>
      <c r="Q205" s="309" t="s">
        <v>746</v>
      </c>
      <c r="R205" s="318" t="b">
        <f aca="false">FALSE()</f>
        <v>0</v>
      </c>
      <c r="S205" s="312" t="n">
        <v>90</v>
      </c>
      <c r="T205" s="312" t="n">
        <v>100</v>
      </c>
      <c r="U205" s="312" t="n">
        <v>95</v>
      </c>
      <c r="V205" s="312" t="n">
        <v>105</v>
      </c>
      <c r="W205" s="312" t="n">
        <v>100</v>
      </c>
      <c r="X205" s="312" t="n">
        <v>100</v>
      </c>
      <c r="Y205" s="312" t="n">
        <v>0.2</v>
      </c>
      <c r="Z205" s="312" t="n">
        <v>0.7</v>
      </c>
      <c r="AA205" s="312" t="n">
        <v>10</v>
      </c>
      <c r="AB205" s="312" t="n">
        <v>3730</v>
      </c>
      <c r="AC205" s="309" t="s">
        <v>836</v>
      </c>
      <c r="AD205" s="309" t="s">
        <v>182</v>
      </c>
      <c r="AE205" s="312" t="n">
        <v>65</v>
      </c>
      <c r="AF205" s="312" t="n">
        <v>130</v>
      </c>
      <c r="AG205" s="312" t="n">
        <v>600</v>
      </c>
      <c r="AH205" s="312" t="n">
        <v>750</v>
      </c>
      <c r="AI205" s="312" t="n">
        <v>315</v>
      </c>
      <c r="AJ205" s="318" t="b">
        <f aca="false">TRUE()</f>
        <v>1</v>
      </c>
      <c r="AK205" s="318" t="b">
        <f aca="false">FALSE()</f>
        <v>0</v>
      </c>
      <c r="AL205" s="309" t="s">
        <v>1247</v>
      </c>
      <c r="AM205" s="318" t="b">
        <f aca="false">FALSE()</f>
        <v>0</v>
      </c>
      <c r="AN205" s="318" t="b">
        <f aca="false">FALSE()</f>
        <v>0</v>
      </c>
      <c r="AO205" s="312" t="n">
        <v>225</v>
      </c>
      <c r="AP205" s="312" t="n">
        <v>1</v>
      </c>
      <c r="AQ205" s="312" t="n">
        <v>3</v>
      </c>
      <c r="AR205" s="312" t="n">
        <v>25</v>
      </c>
      <c r="AS205" s="312" t="n">
        <v>90</v>
      </c>
      <c r="AT205" s="312" t="n">
        <v>1</v>
      </c>
      <c r="AU205" s="318" t="b">
        <f aca="false">FALSE()</f>
        <v>0</v>
      </c>
      <c r="AV205" s="318" t="b">
        <f aca="false">FALSE()</f>
        <v>0</v>
      </c>
      <c r="AW205" s="312" t="n">
        <v>9</v>
      </c>
      <c r="AX205" s="318" t="b">
        <f aca="false">FALSE()</f>
        <v>0</v>
      </c>
      <c r="AY205" s="318" t="b">
        <f aca="false">TRUE()</f>
        <v>1</v>
      </c>
      <c r="AZ205" s="312" t="n">
        <v>100</v>
      </c>
      <c r="BA205" s="312" t="n">
        <v>50</v>
      </c>
      <c r="BB205" s="312" t="n">
        <v>760</v>
      </c>
      <c r="BC205" s="312" t="n">
        <v>0</v>
      </c>
      <c r="BD205" s="312" t="n">
        <v>0</v>
      </c>
      <c r="BE205" s="312" t="n">
        <v>0</v>
      </c>
      <c r="BF205" s="312" t="n">
        <v>0</v>
      </c>
      <c r="BG205" s="312" t="n">
        <v>0</v>
      </c>
      <c r="BH205" s="312" t="n">
        <v>0</v>
      </c>
      <c r="BI205" s="312" t="n">
        <v>0</v>
      </c>
      <c r="BJ205" s="312" t="n">
        <v>0</v>
      </c>
      <c r="BK205" s="312" t="n">
        <v>0</v>
      </c>
      <c r="BL205" s="312" t="n">
        <v>0</v>
      </c>
      <c r="BM205" s="312" t="n">
        <v>2</v>
      </c>
      <c r="BN205" s="312" t="n">
        <v>0</v>
      </c>
      <c r="BO205" s="312" t="n">
        <v>0</v>
      </c>
      <c r="BP205" s="309" t="s">
        <v>182</v>
      </c>
      <c r="BQ205" s="309" t="s">
        <v>182</v>
      </c>
      <c r="BR205" s="309" t="s">
        <v>182</v>
      </c>
      <c r="BS205" s="309" t="s">
        <v>182</v>
      </c>
      <c r="BT205" s="312" t="n">
        <v>278</v>
      </c>
      <c r="BU205" s="318" t="b">
        <f aca="false">FALSE()</f>
        <v>0</v>
      </c>
      <c r="BV205" s="3" t="e">
        <f aca="false">xlookup(MID($A205,7,50),$A$2:$A$139,$BV$2:$BV$139,,0,1)</f>
        <v>#NAME?</v>
      </c>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t="s">
        <v>1134</v>
      </c>
      <c r="CV205" s="3" t="s">
        <v>850</v>
      </c>
      <c r="CW205" s="3" t="s">
        <v>851</v>
      </c>
      <c r="CX205" s="3" t="s">
        <v>852</v>
      </c>
      <c r="CY205" s="3" t="s">
        <v>853</v>
      </c>
      <c r="CZ205" s="3" t="s">
        <v>854</v>
      </c>
    </row>
    <row r="206" customFormat="false" ht="15.75" hidden="false" customHeight="false" outlineLevel="0" collapsed="false">
      <c r="A206" s="309" t="s">
        <v>613</v>
      </c>
      <c r="B206" s="309" t="s">
        <v>1571</v>
      </c>
      <c r="C206" s="309" t="s">
        <v>1572</v>
      </c>
      <c r="D206" s="309" t="s">
        <v>1573</v>
      </c>
      <c r="E206" s="309" t="s">
        <v>1574</v>
      </c>
      <c r="F206" s="318" t="b">
        <f aca="false">TRUE()</f>
        <v>1</v>
      </c>
      <c r="G206" s="309" t="s">
        <v>451</v>
      </c>
      <c r="H206" s="309" t="s">
        <v>1571</v>
      </c>
      <c r="I206" s="312" t="n">
        <v>-1</v>
      </c>
      <c r="J206" s="3"/>
      <c r="K206" s="309" t="s">
        <v>884</v>
      </c>
      <c r="L206" s="312" t="n">
        <v>20</v>
      </c>
      <c r="M206" s="309" t="s">
        <v>771</v>
      </c>
      <c r="N206" s="309" t="s">
        <v>743</v>
      </c>
      <c r="O206" s="309" t="s">
        <v>763</v>
      </c>
      <c r="P206" s="309" t="s">
        <v>745</v>
      </c>
      <c r="Q206" s="309" t="s">
        <v>746</v>
      </c>
      <c r="R206" s="318" t="b">
        <f aca="false">FALSE()</f>
        <v>0</v>
      </c>
      <c r="S206" s="312" t="n">
        <v>420</v>
      </c>
      <c r="T206" s="312" t="n">
        <v>100</v>
      </c>
      <c r="U206" s="312" t="n">
        <v>140</v>
      </c>
      <c r="V206" s="312" t="n">
        <v>120</v>
      </c>
      <c r="W206" s="312" t="n">
        <v>70</v>
      </c>
      <c r="X206" s="312" t="n">
        <v>100</v>
      </c>
      <c r="Y206" s="312" t="n">
        <v>0.1</v>
      </c>
      <c r="Z206" s="312" t="n">
        <v>0.7</v>
      </c>
      <c r="AA206" s="312" t="n">
        <v>10</v>
      </c>
      <c r="AB206" s="312" t="n">
        <v>8440</v>
      </c>
      <c r="AC206" s="309" t="s">
        <v>1253</v>
      </c>
      <c r="AD206" s="309" t="s">
        <v>182</v>
      </c>
      <c r="AE206" s="312" t="n">
        <v>120</v>
      </c>
      <c r="AF206" s="312" t="n">
        <v>120</v>
      </c>
      <c r="AG206" s="312" t="n">
        <v>1000</v>
      </c>
      <c r="AH206" s="312" t="n">
        <v>1600</v>
      </c>
      <c r="AI206" s="312" t="n">
        <v>440</v>
      </c>
      <c r="AJ206" s="318" t="b">
        <f aca="false">TRUE()</f>
        <v>1</v>
      </c>
      <c r="AK206" s="318" t="b">
        <f aca="false">FALSE()</f>
        <v>0</v>
      </c>
      <c r="AL206" s="309" t="s">
        <v>1005</v>
      </c>
      <c r="AM206" s="318" t="b">
        <f aca="false">FALSE()</f>
        <v>0</v>
      </c>
      <c r="AN206" s="318" t="b">
        <f aca="false">FALSE()</f>
        <v>0</v>
      </c>
      <c r="AO206" s="312" t="n">
        <v>475</v>
      </c>
      <c r="AP206" s="312" t="n">
        <v>1</v>
      </c>
      <c r="AQ206" s="312" t="n">
        <v>7</v>
      </c>
      <c r="AR206" s="312" t="n">
        <v>25</v>
      </c>
      <c r="AS206" s="312" t="n">
        <v>90</v>
      </c>
      <c r="AT206" s="312" t="n">
        <v>1</v>
      </c>
      <c r="AU206" s="318" t="b">
        <f aca="false">FALSE()</f>
        <v>0</v>
      </c>
      <c r="AV206" s="318" t="b">
        <f aca="false">FALSE()</f>
        <v>0</v>
      </c>
      <c r="AW206" s="312" t="n">
        <v>9</v>
      </c>
      <c r="AX206" s="318" t="b">
        <f aca="false">FALSE()</f>
        <v>0</v>
      </c>
      <c r="AY206" s="318" t="b">
        <f aca="false">TRUE()</f>
        <v>1</v>
      </c>
      <c r="AZ206" s="312" t="n">
        <v>300</v>
      </c>
      <c r="BA206" s="312" t="n">
        <v>50</v>
      </c>
      <c r="BB206" s="312" t="n">
        <v>120</v>
      </c>
      <c r="BC206" s="312" t="n">
        <v>0</v>
      </c>
      <c r="BD206" s="312" t="n">
        <v>0</v>
      </c>
      <c r="BE206" s="312" t="n">
        <v>0</v>
      </c>
      <c r="BF206" s="312" t="n">
        <v>0</v>
      </c>
      <c r="BG206" s="312" t="n">
        <v>0</v>
      </c>
      <c r="BH206" s="312" t="n">
        <v>0</v>
      </c>
      <c r="BI206" s="312" t="n">
        <v>0</v>
      </c>
      <c r="BJ206" s="312" t="n">
        <v>0</v>
      </c>
      <c r="BK206" s="312" t="n">
        <v>0</v>
      </c>
      <c r="BL206" s="312" t="n">
        <v>0</v>
      </c>
      <c r="BM206" s="312" t="n">
        <v>4</v>
      </c>
      <c r="BN206" s="312" t="n">
        <v>0</v>
      </c>
      <c r="BO206" s="312" t="n">
        <v>0</v>
      </c>
      <c r="BP206" s="309" t="s">
        <v>1006</v>
      </c>
      <c r="BQ206" s="309" t="s">
        <v>1007</v>
      </c>
      <c r="BR206" s="309" t="s">
        <v>182</v>
      </c>
      <c r="BS206" s="309" t="s">
        <v>182</v>
      </c>
      <c r="BT206" s="312" t="n">
        <v>279</v>
      </c>
      <c r="BU206" s="318" t="b">
        <f aca="false">TRUE()</f>
        <v>1</v>
      </c>
      <c r="BV206" s="3" t="e">
        <f aca="false">xlookup(MID($A206,7,50),$A$2:$A$139,$BV$2:$BV$139,,0,1)</f>
        <v>#NAME?</v>
      </c>
      <c r="BW206" s="3"/>
      <c r="BX206" s="85" t="n">
        <v>48</v>
      </c>
      <c r="BY206" s="3" t="s">
        <v>1008</v>
      </c>
      <c r="BZ206" s="3" t="s">
        <v>775</v>
      </c>
      <c r="CA206" s="3"/>
      <c r="CB206" s="3"/>
      <c r="CC206" s="3"/>
      <c r="CD206" s="3"/>
      <c r="CE206" s="3"/>
      <c r="CF206" s="3"/>
      <c r="CG206" s="311" t="b">
        <f aca="false">TRUE()</f>
        <v>1</v>
      </c>
      <c r="CH206" s="3" t="s">
        <v>914</v>
      </c>
      <c r="CI206" s="3" t="s">
        <v>750</v>
      </c>
      <c r="CJ206" s="3" t="s">
        <v>1009</v>
      </c>
      <c r="CK206" s="3" t="s">
        <v>1009</v>
      </c>
      <c r="CL206" s="3" t="s">
        <v>1009</v>
      </c>
      <c r="CM206" s="3" t="s">
        <v>1009</v>
      </c>
      <c r="CN206" s="3" t="s">
        <v>1009</v>
      </c>
      <c r="CO206" s="3"/>
      <c r="CP206" s="3"/>
      <c r="CQ206" s="3"/>
      <c r="CR206" s="3"/>
      <c r="CS206" s="3"/>
      <c r="CT206" s="3"/>
      <c r="CU206" s="3"/>
      <c r="CV206" s="3" t="s">
        <v>1010</v>
      </c>
      <c r="CW206" s="3" t="s">
        <v>1011</v>
      </c>
      <c r="CX206" s="3" t="s">
        <v>1012</v>
      </c>
      <c r="CY206" s="3" t="s">
        <v>1013</v>
      </c>
      <c r="CZ206" s="3" t="s">
        <v>1014</v>
      </c>
    </row>
    <row r="207" customFormat="false" ht="15.75" hidden="false" customHeight="false" outlineLevel="0" collapsed="false">
      <c r="A207" s="309" t="s">
        <v>614</v>
      </c>
      <c r="B207" s="309" t="s">
        <v>1575</v>
      </c>
      <c r="C207" s="309" t="s">
        <v>1576</v>
      </c>
      <c r="D207" s="309" t="s">
        <v>1577</v>
      </c>
      <c r="E207" s="309" t="s">
        <v>1578</v>
      </c>
      <c r="F207" s="318" t="b">
        <f aca="false">TRUE()</f>
        <v>1</v>
      </c>
      <c r="G207" s="309" t="s">
        <v>532</v>
      </c>
      <c r="H207" s="309" t="s">
        <v>1575</v>
      </c>
      <c r="I207" s="312" t="n">
        <v>-1</v>
      </c>
      <c r="J207" s="3"/>
      <c r="K207" s="309" t="s">
        <v>884</v>
      </c>
      <c r="L207" s="312" t="n">
        <v>20</v>
      </c>
      <c r="M207" s="309" t="s">
        <v>758</v>
      </c>
      <c r="N207" s="309" t="s">
        <v>743</v>
      </c>
      <c r="O207" s="309" t="s">
        <v>763</v>
      </c>
      <c r="P207" s="309" t="s">
        <v>745</v>
      </c>
      <c r="Q207" s="309" t="s">
        <v>746</v>
      </c>
      <c r="R207" s="318" t="b">
        <f aca="false">FALSE()</f>
        <v>0</v>
      </c>
      <c r="S207" s="312" t="n">
        <v>420</v>
      </c>
      <c r="T207" s="312" t="n">
        <v>100</v>
      </c>
      <c r="U207" s="312" t="n">
        <v>140</v>
      </c>
      <c r="V207" s="312" t="n">
        <v>135</v>
      </c>
      <c r="W207" s="312" t="n">
        <v>70</v>
      </c>
      <c r="X207" s="312" t="n">
        <v>100</v>
      </c>
      <c r="Y207" s="312" t="n">
        <v>0.1</v>
      </c>
      <c r="Z207" s="312" t="n">
        <v>0.7</v>
      </c>
      <c r="AA207" s="312" t="n">
        <v>10</v>
      </c>
      <c r="AB207" s="312" t="n">
        <v>8560</v>
      </c>
      <c r="AC207" s="309" t="s">
        <v>1253</v>
      </c>
      <c r="AD207" s="309" t="s">
        <v>182</v>
      </c>
      <c r="AE207" s="312" t="n">
        <v>120</v>
      </c>
      <c r="AF207" s="312" t="n">
        <v>120</v>
      </c>
      <c r="AG207" s="312" t="n">
        <v>1000</v>
      </c>
      <c r="AH207" s="312" t="n">
        <v>1600</v>
      </c>
      <c r="AI207" s="312" t="n">
        <v>440</v>
      </c>
      <c r="AJ207" s="318" t="b">
        <f aca="false">TRUE()</f>
        <v>1</v>
      </c>
      <c r="AK207" s="318" t="b">
        <f aca="false">FALSE()</f>
        <v>0</v>
      </c>
      <c r="AL207" s="309" t="s">
        <v>1005</v>
      </c>
      <c r="AM207" s="318" t="b">
        <f aca="false">FALSE()</f>
        <v>0</v>
      </c>
      <c r="AN207" s="318" t="b">
        <f aca="false">FALSE()</f>
        <v>0</v>
      </c>
      <c r="AO207" s="312" t="n">
        <v>475</v>
      </c>
      <c r="AP207" s="312" t="n">
        <v>1</v>
      </c>
      <c r="AQ207" s="312" t="n">
        <v>7</v>
      </c>
      <c r="AR207" s="312" t="n">
        <v>25</v>
      </c>
      <c r="AS207" s="312" t="n">
        <v>90</v>
      </c>
      <c r="AT207" s="312" t="n">
        <v>1</v>
      </c>
      <c r="AU207" s="318" t="b">
        <f aca="false">FALSE()</f>
        <v>0</v>
      </c>
      <c r="AV207" s="318" t="b">
        <f aca="false">TRUE()</f>
        <v>1</v>
      </c>
      <c r="AW207" s="312" t="n">
        <v>9</v>
      </c>
      <c r="AX207" s="318" t="b">
        <f aca="false">FALSE()</f>
        <v>0</v>
      </c>
      <c r="AY207" s="318" t="b">
        <f aca="false">TRUE()</f>
        <v>1</v>
      </c>
      <c r="AZ207" s="312" t="n">
        <v>300</v>
      </c>
      <c r="BA207" s="312" t="n">
        <v>50</v>
      </c>
      <c r="BB207" s="312" t="n">
        <v>100</v>
      </c>
      <c r="BC207" s="312" t="n">
        <v>0</v>
      </c>
      <c r="BD207" s="312" t="n">
        <v>0</v>
      </c>
      <c r="BE207" s="312" t="n">
        <v>0</v>
      </c>
      <c r="BF207" s="312" t="n">
        <v>0</v>
      </c>
      <c r="BG207" s="312" t="n">
        <v>0</v>
      </c>
      <c r="BH207" s="312" t="n">
        <v>4</v>
      </c>
      <c r="BI207" s="312" t="n">
        <v>0</v>
      </c>
      <c r="BJ207" s="312" t="n">
        <v>0</v>
      </c>
      <c r="BK207" s="312" t="n">
        <v>0</v>
      </c>
      <c r="BL207" s="312" t="n">
        <v>0</v>
      </c>
      <c r="BM207" s="312" t="n">
        <v>0</v>
      </c>
      <c r="BN207" s="312" t="n">
        <v>0</v>
      </c>
      <c r="BO207" s="312" t="n">
        <v>0</v>
      </c>
      <c r="BP207" s="309" t="s">
        <v>1006</v>
      </c>
      <c r="BQ207" s="309" t="s">
        <v>182</v>
      </c>
      <c r="BR207" s="309" t="s">
        <v>182</v>
      </c>
      <c r="BS207" s="309" t="s">
        <v>182</v>
      </c>
      <c r="BT207" s="312" t="n">
        <v>280</v>
      </c>
      <c r="BU207" s="318" t="b">
        <f aca="false">TRUE()</f>
        <v>1</v>
      </c>
      <c r="BV207" s="3" t="e">
        <f aca="false">xlookup(MID($A207,7,50),$A$2:$A$139,$BV$2:$BV$139,,0,1)</f>
        <v>#NAME?</v>
      </c>
      <c r="BW207" s="3"/>
      <c r="BX207" s="85" t="n">
        <v>48</v>
      </c>
      <c r="BY207" s="3" t="s">
        <v>1015</v>
      </c>
      <c r="BZ207" s="3" t="s">
        <v>775</v>
      </c>
      <c r="CA207" s="3"/>
      <c r="CB207" s="3"/>
      <c r="CC207" s="3"/>
      <c r="CD207" s="3"/>
      <c r="CE207" s="3"/>
      <c r="CF207" s="3"/>
      <c r="CG207" s="311" t="b">
        <f aca="false">TRUE()</f>
        <v>1</v>
      </c>
      <c r="CH207" s="3" t="s">
        <v>914</v>
      </c>
      <c r="CI207" s="3" t="s">
        <v>750</v>
      </c>
      <c r="CJ207" s="3" t="s">
        <v>912</v>
      </c>
      <c r="CK207" s="3" t="s">
        <v>912</v>
      </c>
      <c r="CL207" s="3" t="s">
        <v>912</v>
      </c>
      <c r="CM207" s="3" t="s">
        <v>912</v>
      </c>
      <c r="CN207" s="3" t="s">
        <v>912</v>
      </c>
      <c r="CO207" s="3"/>
      <c r="CP207" s="3"/>
      <c r="CQ207" s="3"/>
      <c r="CR207" s="3"/>
      <c r="CS207" s="3"/>
      <c r="CT207" s="3"/>
      <c r="CU207" s="3"/>
      <c r="CV207" s="3" t="s">
        <v>1016</v>
      </c>
      <c r="CW207" s="3" t="s">
        <v>1017</v>
      </c>
      <c r="CX207" s="3" t="s">
        <v>1018</v>
      </c>
      <c r="CY207" s="3" t="s">
        <v>1019</v>
      </c>
      <c r="CZ207" s="3" t="s">
        <v>1020</v>
      </c>
    </row>
    <row r="208" customFormat="false" ht="15.75" hidden="false" customHeight="false" outlineLevel="0" collapsed="false">
      <c r="A208" s="309" t="s">
        <v>615</v>
      </c>
      <c r="B208" s="309" t="s">
        <v>1579</v>
      </c>
      <c r="C208" s="309" t="s">
        <v>1580</v>
      </c>
      <c r="D208" s="309" t="s">
        <v>1581</v>
      </c>
      <c r="E208" s="309" t="s">
        <v>1582</v>
      </c>
      <c r="F208" s="318" t="b">
        <f aca="false">TRUE()</f>
        <v>1</v>
      </c>
      <c r="G208" s="309" t="s">
        <v>485</v>
      </c>
      <c r="H208" s="309" t="s">
        <v>1579</v>
      </c>
      <c r="I208" s="312" t="n">
        <v>-1</v>
      </c>
      <c r="J208" s="3"/>
      <c r="K208" s="309" t="s">
        <v>884</v>
      </c>
      <c r="L208" s="312" t="n">
        <v>20</v>
      </c>
      <c r="M208" s="309" t="s">
        <v>885</v>
      </c>
      <c r="N208" s="309" t="s">
        <v>743</v>
      </c>
      <c r="O208" s="309" t="s">
        <v>1070</v>
      </c>
      <c r="P208" s="309" t="s">
        <v>745</v>
      </c>
      <c r="Q208" s="309" t="s">
        <v>746</v>
      </c>
      <c r="R208" s="318" t="b">
        <f aca="false">FALSE()</f>
        <v>0</v>
      </c>
      <c r="S208" s="312" t="n">
        <v>330</v>
      </c>
      <c r="T208" s="312" t="n">
        <v>100</v>
      </c>
      <c r="U208" s="312" t="n">
        <v>140</v>
      </c>
      <c r="V208" s="312" t="n">
        <v>110</v>
      </c>
      <c r="W208" s="312" t="n">
        <v>100</v>
      </c>
      <c r="X208" s="312" t="n">
        <v>100</v>
      </c>
      <c r="Y208" s="312" t="n">
        <v>0.1</v>
      </c>
      <c r="Z208" s="312" t="n">
        <v>0.7</v>
      </c>
      <c r="AA208" s="312" t="n">
        <v>10</v>
      </c>
      <c r="AB208" s="312" t="n">
        <v>8680</v>
      </c>
      <c r="AC208" s="309" t="s">
        <v>1253</v>
      </c>
      <c r="AD208" s="309" t="s">
        <v>182</v>
      </c>
      <c r="AE208" s="312" t="n">
        <v>600</v>
      </c>
      <c r="AF208" s="312" t="n">
        <v>800</v>
      </c>
      <c r="AG208" s="312" t="n">
        <v>1700</v>
      </c>
      <c r="AH208" s="312" t="n">
        <v>3300</v>
      </c>
      <c r="AI208" s="312" t="n">
        <v>1250</v>
      </c>
      <c r="AJ208" s="318" t="b">
        <f aca="false">TRUE()</f>
        <v>1</v>
      </c>
      <c r="AK208" s="318" t="b">
        <f aca="false">FALSE()</f>
        <v>0</v>
      </c>
      <c r="AL208" s="309" t="s">
        <v>1005</v>
      </c>
      <c r="AM208" s="318" t="b">
        <f aca="false">FALSE()</f>
        <v>0</v>
      </c>
      <c r="AN208" s="318" t="b">
        <f aca="false">FALSE()</f>
        <v>0</v>
      </c>
      <c r="AO208" s="312" t="n">
        <v>600</v>
      </c>
      <c r="AP208" s="312" t="n">
        <v>1</v>
      </c>
      <c r="AQ208" s="312" t="n">
        <v>9</v>
      </c>
      <c r="AR208" s="312" t="n">
        <v>25</v>
      </c>
      <c r="AS208" s="312" t="n">
        <v>90</v>
      </c>
      <c r="AT208" s="312" t="n">
        <v>1</v>
      </c>
      <c r="AU208" s="318" t="b">
        <f aca="false">FALSE()</f>
        <v>0</v>
      </c>
      <c r="AV208" s="318" t="b">
        <f aca="false">FALSE()</f>
        <v>0</v>
      </c>
      <c r="AW208" s="312" t="n">
        <v>9</v>
      </c>
      <c r="AX208" s="318" t="b">
        <f aca="false">FALSE()</f>
        <v>0</v>
      </c>
      <c r="AY208" s="318" t="b">
        <f aca="false">TRUE()</f>
        <v>1</v>
      </c>
      <c r="AZ208" s="312" t="n">
        <v>100</v>
      </c>
      <c r="BA208" s="312" t="n">
        <v>50</v>
      </c>
      <c r="BB208" s="312" t="n">
        <v>90</v>
      </c>
      <c r="BC208" s="312" t="n">
        <v>0</v>
      </c>
      <c r="BD208" s="312" t="n">
        <v>0</v>
      </c>
      <c r="BE208" s="312" t="n">
        <v>0</v>
      </c>
      <c r="BF208" s="312" t="n">
        <v>0</v>
      </c>
      <c r="BG208" s="312" t="n">
        <v>0</v>
      </c>
      <c r="BH208" s="312" t="n">
        <v>3</v>
      </c>
      <c r="BI208" s="312" t="n">
        <v>0</v>
      </c>
      <c r="BJ208" s="312" t="n">
        <v>0</v>
      </c>
      <c r="BK208" s="312" t="n">
        <v>3</v>
      </c>
      <c r="BL208" s="312" t="n">
        <v>0</v>
      </c>
      <c r="BM208" s="312" t="n">
        <v>0</v>
      </c>
      <c r="BN208" s="312" t="n">
        <v>0</v>
      </c>
      <c r="BO208" s="312" t="n">
        <v>0</v>
      </c>
      <c r="BP208" s="309" t="s">
        <v>1006</v>
      </c>
      <c r="BQ208" s="309" t="s">
        <v>1135</v>
      </c>
      <c r="BR208" s="309" t="s">
        <v>182</v>
      </c>
      <c r="BS208" s="309" t="s">
        <v>182</v>
      </c>
      <c r="BT208" s="312" t="n">
        <v>281</v>
      </c>
      <c r="BU208" s="318" t="b">
        <f aca="false">TRUE()</f>
        <v>1</v>
      </c>
      <c r="BV208" s="3" t="e">
        <f aca="false">xlookup(MID($A208,7,50),$A$2:$A$139,$BV$2:$BV$139,,0,1)</f>
        <v>#NAME?</v>
      </c>
      <c r="BW208" s="3"/>
      <c r="BX208" s="85" t="n">
        <v>50</v>
      </c>
      <c r="BY208" s="3" t="s">
        <v>1136</v>
      </c>
      <c r="BZ208" s="3" t="s">
        <v>775</v>
      </c>
      <c r="CA208" s="3" t="s">
        <v>1137</v>
      </c>
      <c r="CB208" s="85" t="n">
        <v>13</v>
      </c>
      <c r="CC208" s="85" t="n">
        <v>14.3</v>
      </c>
      <c r="CD208" s="85" t="n">
        <v>16.9</v>
      </c>
      <c r="CE208" s="85" t="n">
        <v>20.9</v>
      </c>
      <c r="CF208" s="85" t="n">
        <v>26</v>
      </c>
      <c r="CG208" s="311" t="b">
        <f aca="false">TRUE()</f>
        <v>1</v>
      </c>
      <c r="CH208" s="3" t="s">
        <v>902</v>
      </c>
      <c r="CI208" s="3"/>
      <c r="CJ208" s="3"/>
      <c r="CK208" s="3"/>
      <c r="CL208" s="3"/>
      <c r="CM208" s="3"/>
      <c r="CN208" s="3"/>
      <c r="CO208" s="3"/>
      <c r="CP208" s="3"/>
      <c r="CQ208" s="3"/>
      <c r="CR208" s="3"/>
      <c r="CS208" s="3"/>
      <c r="CT208" s="3"/>
      <c r="CU208" s="3"/>
      <c r="CV208" s="3"/>
      <c r="CW208" s="3"/>
      <c r="CX208" s="3"/>
      <c r="CY208" s="3"/>
      <c r="CZ208" s="3"/>
    </row>
    <row r="209" customFormat="false" ht="15.75" hidden="false" customHeight="false" outlineLevel="0" collapsed="false">
      <c r="A209" s="309" t="s">
        <v>1583</v>
      </c>
      <c r="B209" s="309" t="s">
        <v>1584</v>
      </c>
      <c r="C209" s="309" t="s">
        <v>1585</v>
      </c>
      <c r="D209" s="309" t="s">
        <v>1586</v>
      </c>
      <c r="E209" s="309" t="s">
        <v>1587</v>
      </c>
      <c r="F209" s="318" t="b">
        <f aca="false">TRUE()</f>
        <v>1</v>
      </c>
      <c r="G209" s="309" t="s">
        <v>1069</v>
      </c>
      <c r="H209" s="309" t="s">
        <v>1584</v>
      </c>
      <c r="I209" s="312" t="n">
        <v>-1</v>
      </c>
      <c r="J209" s="3"/>
      <c r="K209" s="309" t="s">
        <v>793</v>
      </c>
      <c r="L209" s="312" t="n">
        <v>1</v>
      </c>
      <c r="M209" s="309" t="s">
        <v>814</v>
      </c>
      <c r="N209" s="309" t="s">
        <v>743</v>
      </c>
      <c r="O209" s="309" t="s">
        <v>1070</v>
      </c>
      <c r="P209" s="309" t="s">
        <v>745</v>
      </c>
      <c r="Q209" s="309" t="s">
        <v>746</v>
      </c>
      <c r="R209" s="318" t="b">
        <f aca="false">FALSE()</f>
        <v>0</v>
      </c>
      <c r="S209" s="312" t="n">
        <v>70</v>
      </c>
      <c r="T209" s="312" t="n">
        <v>100</v>
      </c>
      <c r="U209" s="312" t="n">
        <v>70</v>
      </c>
      <c r="V209" s="312" t="n">
        <v>70</v>
      </c>
      <c r="W209" s="312" t="n">
        <v>100</v>
      </c>
      <c r="X209" s="312" t="n">
        <v>100</v>
      </c>
      <c r="Y209" s="312" t="n">
        <v>0.2</v>
      </c>
      <c r="Z209" s="312" t="n">
        <v>0.7</v>
      </c>
      <c r="AA209" s="312" t="n">
        <v>10</v>
      </c>
      <c r="AB209" s="312" t="n">
        <v>1260</v>
      </c>
      <c r="AC209" s="309" t="s">
        <v>836</v>
      </c>
      <c r="AD209" s="309" t="s">
        <v>182</v>
      </c>
      <c r="AE209" s="312" t="n">
        <v>50</v>
      </c>
      <c r="AF209" s="312" t="n">
        <v>100</v>
      </c>
      <c r="AG209" s="312" t="n">
        <v>700</v>
      </c>
      <c r="AH209" s="312" t="n">
        <v>900</v>
      </c>
      <c r="AI209" s="312" t="n">
        <v>400</v>
      </c>
      <c r="AJ209" s="318" t="b">
        <f aca="false">TRUE()</f>
        <v>1</v>
      </c>
      <c r="AK209" s="318" t="b">
        <f aca="false">FALSE()</f>
        <v>0</v>
      </c>
      <c r="AL209" s="309" t="s">
        <v>1247</v>
      </c>
      <c r="AM209" s="318" t="b">
        <f aca="false">FALSE()</f>
        <v>0</v>
      </c>
      <c r="AN209" s="318" t="b">
        <f aca="false">FALSE()</f>
        <v>0</v>
      </c>
      <c r="AO209" s="312" t="n">
        <v>100</v>
      </c>
      <c r="AP209" s="312" t="n">
        <v>1</v>
      </c>
      <c r="AQ209" s="312" t="n">
        <v>1</v>
      </c>
      <c r="AR209" s="312" t="n">
        <v>25</v>
      </c>
      <c r="AS209" s="312" t="n">
        <v>90</v>
      </c>
      <c r="AT209" s="312" t="n">
        <v>1</v>
      </c>
      <c r="AU209" s="318" t="b">
        <f aca="false">FALSE()</f>
        <v>0</v>
      </c>
      <c r="AV209" s="318" t="b">
        <f aca="false">FALSE()</f>
        <v>0</v>
      </c>
      <c r="AW209" s="312" t="n">
        <v>9</v>
      </c>
      <c r="AX209" s="318" t="b">
        <f aca="false">FALSE()</f>
        <v>0</v>
      </c>
      <c r="AY209" s="318" t="b">
        <f aca="false">TRUE()</f>
        <v>1</v>
      </c>
      <c r="AZ209" s="312" t="n">
        <v>100</v>
      </c>
      <c r="BA209" s="312" t="n">
        <v>50</v>
      </c>
      <c r="BB209" s="312" t="n">
        <v>1260</v>
      </c>
      <c r="BC209" s="312" t="n">
        <v>0</v>
      </c>
      <c r="BD209" s="312" t="n">
        <v>1</v>
      </c>
      <c r="BE209" s="312" t="n">
        <v>0</v>
      </c>
      <c r="BF209" s="312" t="n">
        <v>0</v>
      </c>
      <c r="BG209" s="312" t="n">
        <v>0</v>
      </c>
      <c r="BH209" s="312" t="n">
        <v>0</v>
      </c>
      <c r="BI209" s="312" t="n">
        <v>0</v>
      </c>
      <c r="BJ209" s="312" t="n">
        <v>0</v>
      </c>
      <c r="BK209" s="312" t="n">
        <v>0</v>
      </c>
      <c r="BL209" s="312" t="n">
        <v>0</v>
      </c>
      <c r="BM209" s="312" t="n">
        <v>0</v>
      </c>
      <c r="BN209" s="312" t="n">
        <v>0</v>
      </c>
      <c r="BO209" s="312" t="n">
        <v>0</v>
      </c>
      <c r="BP209" s="309" t="s">
        <v>182</v>
      </c>
      <c r="BQ209" s="309" t="s">
        <v>182</v>
      </c>
      <c r="BR209" s="309" t="s">
        <v>182</v>
      </c>
      <c r="BS209" s="309" t="s">
        <v>182</v>
      </c>
      <c r="BT209" s="312" t="n">
        <v>282</v>
      </c>
      <c r="BU209" s="318" t="b">
        <f aca="false">FALSE()</f>
        <v>0</v>
      </c>
      <c r="BV209" s="3" t="e">
        <f aca="false">xlookup(MID($A209,7,50),$A$2:$A$139,$BV$2:$BV$139,,0,1)</f>
        <v>#NAME?</v>
      </c>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t="s">
        <v>1071</v>
      </c>
      <c r="CV209" s="3" t="s">
        <v>850</v>
      </c>
      <c r="CW209" s="3" t="s">
        <v>851</v>
      </c>
      <c r="CX209" s="3" t="s">
        <v>852</v>
      </c>
      <c r="CY209" s="3" t="s">
        <v>853</v>
      </c>
      <c r="CZ209" s="3" t="s">
        <v>854</v>
      </c>
    </row>
    <row r="210" customFormat="false" ht="15.75" hidden="false" customHeight="false" outlineLevel="0" collapsed="false">
      <c r="A210" s="309" t="s">
        <v>1588</v>
      </c>
      <c r="B210" s="309" t="s">
        <v>1589</v>
      </c>
      <c r="C210" s="309" t="s">
        <v>1590</v>
      </c>
      <c r="D210" s="309" t="s">
        <v>1591</v>
      </c>
      <c r="E210" s="309" t="s">
        <v>1592</v>
      </c>
      <c r="F210" s="318" t="b">
        <f aca="false">TRUE()</f>
        <v>1</v>
      </c>
      <c r="G210" s="309" t="s">
        <v>1072</v>
      </c>
      <c r="H210" s="309" t="s">
        <v>1589</v>
      </c>
      <c r="I210" s="312" t="n">
        <v>-1</v>
      </c>
      <c r="J210" s="3"/>
      <c r="K210" s="309" t="s">
        <v>793</v>
      </c>
      <c r="L210" s="312" t="n">
        <v>2</v>
      </c>
      <c r="M210" s="309" t="s">
        <v>757</v>
      </c>
      <c r="N210" s="309" t="s">
        <v>743</v>
      </c>
      <c r="O210" s="309" t="s">
        <v>1070</v>
      </c>
      <c r="P210" s="309" t="s">
        <v>745</v>
      </c>
      <c r="Q210" s="309" t="s">
        <v>746</v>
      </c>
      <c r="R210" s="318" t="b">
        <f aca="false">FALSE()</f>
        <v>0</v>
      </c>
      <c r="S210" s="312" t="n">
        <v>70</v>
      </c>
      <c r="T210" s="312" t="n">
        <v>100</v>
      </c>
      <c r="U210" s="312" t="n">
        <v>70</v>
      </c>
      <c r="V210" s="312" t="n">
        <v>70</v>
      </c>
      <c r="W210" s="312" t="n">
        <v>100</v>
      </c>
      <c r="X210" s="312" t="n">
        <v>100</v>
      </c>
      <c r="Y210" s="312" t="n">
        <v>0.2</v>
      </c>
      <c r="Z210" s="312" t="n">
        <v>0.7</v>
      </c>
      <c r="AA210" s="312" t="n">
        <v>10</v>
      </c>
      <c r="AB210" s="312" t="n">
        <v>1240</v>
      </c>
      <c r="AC210" s="309" t="s">
        <v>836</v>
      </c>
      <c r="AD210" s="309" t="s">
        <v>182</v>
      </c>
      <c r="AE210" s="312" t="n">
        <v>50</v>
      </c>
      <c r="AF210" s="312" t="n">
        <v>100</v>
      </c>
      <c r="AG210" s="312" t="n">
        <v>700</v>
      </c>
      <c r="AH210" s="312" t="n">
        <v>900</v>
      </c>
      <c r="AI210" s="312" t="n">
        <v>400</v>
      </c>
      <c r="AJ210" s="318" t="b">
        <f aca="false">TRUE()</f>
        <v>1</v>
      </c>
      <c r="AK210" s="318" t="b">
        <f aca="false">FALSE()</f>
        <v>0</v>
      </c>
      <c r="AL210" s="309" t="s">
        <v>1247</v>
      </c>
      <c r="AM210" s="318" t="b">
        <f aca="false">FALSE()</f>
        <v>0</v>
      </c>
      <c r="AN210" s="318" t="b">
        <f aca="false">FALSE()</f>
        <v>0</v>
      </c>
      <c r="AO210" s="312" t="n">
        <v>100</v>
      </c>
      <c r="AP210" s="312" t="n">
        <v>1</v>
      </c>
      <c r="AQ210" s="312" t="n">
        <v>1</v>
      </c>
      <c r="AR210" s="312" t="n">
        <v>25</v>
      </c>
      <c r="AS210" s="312" t="n">
        <v>90</v>
      </c>
      <c r="AT210" s="312" t="n">
        <v>1</v>
      </c>
      <c r="AU210" s="318" t="b">
        <f aca="false">FALSE()</f>
        <v>0</v>
      </c>
      <c r="AV210" s="318" t="b">
        <f aca="false">FALSE()</f>
        <v>0</v>
      </c>
      <c r="AW210" s="312" t="n">
        <v>9</v>
      </c>
      <c r="AX210" s="318" t="b">
        <f aca="false">FALSE()</f>
        <v>0</v>
      </c>
      <c r="AY210" s="318" t="b">
        <f aca="false">TRUE()</f>
        <v>1</v>
      </c>
      <c r="AZ210" s="312" t="n">
        <v>100</v>
      </c>
      <c r="BA210" s="312" t="n">
        <v>50</v>
      </c>
      <c r="BB210" s="312" t="n">
        <v>1270</v>
      </c>
      <c r="BC210" s="312" t="n">
        <v>1</v>
      </c>
      <c r="BD210" s="312" t="n">
        <v>0</v>
      </c>
      <c r="BE210" s="312" t="n">
        <v>0</v>
      </c>
      <c r="BF210" s="312" t="n">
        <v>0</v>
      </c>
      <c r="BG210" s="312" t="n">
        <v>0</v>
      </c>
      <c r="BH210" s="312" t="n">
        <v>0</v>
      </c>
      <c r="BI210" s="312" t="n">
        <v>0</v>
      </c>
      <c r="BJ210" s="312" t="n">
        <v>0</v>
      </c>
      <c r="BK210" s="312" t="n">
        <v>0</v>
      </c>
      <c r="BL210" s="312" t="n">
        <v>0</v>
      </c>
      <c r="BM210" s="312" t="n">
        <v>0</v>
      </c>
      <c r="BN210" s="312" t="n">
        <v>0</v>
      </c>
      <c r="BO210" s="312" t="n">
        <v>0</v>
      </c>
      <c r="BP210" s="309" t="s">
        <v>182</v>
      </c>
      <c r="BQ210" s="309" t="s">
        <v>182</v>
      </c>
      <c r="BR210" s="309" t="s">
        <v>182</v>
      </c>
      <c r="BS210" s="309" t="s">
        <v>182</v>
      </c>
      <c r="BT210" s="312" t="n">
        <v>283</v>
      </c>
      <c r="BU210" s="318" t="b">
        <f aca="false">FALSE()</f>
        <v>0</v>
      </c>
      <c r="BV210" s="3" t="e">
        <f aca="false">xlookup(MID($A210,7,50),$A$2:$A$139,$BV$2:$BV$139,,0,1)</f>
        <v>#NAME?</v>
      </c>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t="s">
        <v>1073</v>
      </c>
      <c r="CV210" s="3" t="s">
        <v>850</v>
      </c>
      <c r="CW210" s="3" t="s">
        <v>851</v>
      </c>
      <c r="CX210" s="3" t="s">
        <v>852</v>
      </c>
      <c r="CY210" s="3" t="s">
        <v>853</v>
      </c>
      <c r="CZ210" s="3" t="s">
        <v>854</v>
      </c>
    </row>
    <row r="211" customFormat="false" ht="15.75" hidden="false" customHeight="false" outlineLevel="0" collapsed="false">
      <c r="A211" s="309" t="s">
        <v>1593</v>
      </c>
      <c r="B211" s="309" t="s">
        <v>1594</v>
      </c>
      <c r="C211" s="309" t="s">
        <v>1595</v>
      </c>
      <c r="D211" s="309" t="s">
        <v>1596</v>
      </c>
      <c r="E211" s="309" t="s">
        <v>1597</v>
      </c>
      <c r="F211" s="318" t="b">
        <f aca="false">TRUE()</f>
        <v>1</v>
      </c>
      <c r="G211" s="309" t="s">
        <v>454</v>
      </c>
      <c r="H211" s="309" t="s">
        <v>1594</v>
      </c>
      <c r="I211" s="312" t="n">
        <v>-1</v>
      </c>
      <c r="J211" s="3"/>
      <c r="K211" s="309" t="s">
        <v>884</v>
      </c>
      <c r="L211" s="312" t="n">
        <v>8</v>
      </c>
      <c r="M211" s="309" t="s">
        <v>789</v>
      </c>
      <c r="N211" s="309" t="s">
        <v>743</v>
      </c>
      <c r="O211" s="309" t="s">
        <v>763</v>
      </c>
      <c r="P211" s="309" t="s">
        <v>745</v>
      </c>
      <c r="Q211" s="309" t="s">
        <v>746</v>
      </c>
      <c r="R211" s="318" t="b">
        <f aca="false">FALSE()</f>
        <v>0</v>
      </c>
      <c r="S211" s="312" t="n">
        <v>120</v>
      </c>
      <c r="T211" s="312" t="n">
        <v>100</v>
      </c>
      <c r="U211" s="312" t="n">
        <v>85</v>
      </c>
      <c r="V211" s="312" t="n">
        <v>90</v>
      </c>
      <c r="W211" s="312" t="n">
        <v>100</v>
      </c>
      <c r="X211" s="312" t="n">
        <v>100</v>
      </c>
      <c r="Y211" s="312" t="n">
        <v>0.2</v>
      </c>
      <c r="Z211" s="312" t="n">
        <v>0.7</v>
      </c>
      <c r="AA211" s="312" t="n">
        <v>10</v>
      </c>
      <c r="AB211" s="312" t="n">
        <v>5800</v>
      </c>
      <c r="AC211" s="309" t="s">
        <v>836</v>
      </c>
      <c r="AD211" s="309" t="s">
        <v>182</v>
      </c>
      <c r="AE211" s="312" t="n">
        <v>80</v>
      </c>
      <c r="AF211" s="312" t="n">
        <v>80</v>
      </c>
      <c r="AG211" s="312" t="n">
        <v>500</v>
      </c>
      <c r="AH211" s="312" t="n">
        <v>800</v>
      </c>
      <c r="AI211" s="312" t="n">
        <v>290</v>
      </c>
      <c r="AJ211" s="318" t="b">
        <f aca="false">TRUE()</f>
        <v>1</v>
      </c>
      <c r="AK211" s="318" t="b">
        <f aca="false">FALSE()</f>
        <v>0</v>
      </c>
      <c r="AL211" s="309" t="s">
        <v>1247</v>
      </c>
      <c r="AM211" s="318" t="b">
        <f aca="false">FALSE()</f>
        <v>0</v>
      </c>
      <c r="AN211" s="318" t="b">
        <f aca="false">FALSE()</f>
        <v>0</v>
      </c>
      <c r="AO211" s="312" t="n">
        <v>475</v>
      </c>
      <c r="AP211" s="312" t="n">
        <v>1</v>
      </c>
      <c r="AQ211" s="312" t="n">
        <v>7</v>
      </c>
      <c r="AR211" s="312" t="n">
        <v>25</v>
      </c>
      <c r="AS211" s="312" t="n">
        <v>90</v>
      </c>
      <c r="AT211" s="312" t="n">
        <v>1</v>
      </c>
      <c r="AU211" s="318" t="b">
        <f aca="false">FALSE()</f>
        <v>0</v>
      </c>
      <c r="AV211" s="318" t="b">
        <f aca="false">FALSE()</f>
        <v>0</v>
      </c>
      <c r="AW211" s="312" t="n">
        <v>9</v>
      </c>
      <c r="AX211" s="318" t="b">
        <f aca="false">FALSE()</f>
        <v>0</v>
      </c>
      <c r="AY211" s="318" t="b">
        <f aca="false">TRUE()</f>
        <v>1</v>
      </c>
      <c r="AZ211" s="312" t="n">
        <v>100</v>
      </c>
      <c r="BA211" s="312" t="n">
        <v>90</v>
      </c>
      <c r="BB211" s="312" t="n">
        <v>470</v>
      </c>
      <c r="BC211" s="312" t="n">
        <v>0</v>
      </c>
      <c r="BD211" s="312" t="n">
        <v>0</v>
      </c>
      <c r="BE211" s="312" t="n">
        <v>0</v>
      </c>
      <c r="BF211" s="312" t="n">
        <v>0</v>
      </c>
      <c r="BG211" s="312" t="n">
        <v>0</v>
      </c>
      <c r="BH211" s="312" t="n">
        <v>1</v>
      </c>
      <c r="BI211" s="312" t="n">
        <v>0</v>
      </c>
      <c r="BJ211" s="312" t="n">
        <v>0</v>
      </c>
      <c r="BK211" s="312" t="n">
        <v>0</v>
      </c>
      <c r="BL211" s="312" t="n">
        <v>0</v>
      </c>
      <c r="BM211" s="312" t="n">
        <v>0</v>
      </c>
      <c r="BN211" s="312" t="n">
        <v>0</v>
      </c>
      <c r="BO211" s="312" t="n">
        <v>0</v>
      </c>
      <c r="BP211" s="309" t="s">
        <v>182</v>
      </c>
      <c r="BQ211" s="309" t="s">
        <v>182</v>
      </c>
      <c r="BR211" s="309" t="s">
        <v>182</v>
      </c>
      <c r="BS211" s="309" t="s">
        <v>182</v>
      </c>
      <c r="BT211" s="312" t="n">
        <v>284</v>
      </c>
      <c r="BU211" s="318" t="b">
        <f aca="false">FALSE()</f>
        <v>0</v>
      </c>
      <c r="BV211" s="3" t="e">
        <f aca="false">xlookup(MID($A211,7,50),$A$2:$A$139,$BV$2:$BV$139,,0,1)</f>
        <v>#NAME?</v>
      </c>
      <c r="BW211" s="3"/>
      <c r="BX211" s="85" t="n">
        <v>22</v>
      </c>
      <c r="BY211" s="3" t="s">
        <v>1156</v>
      </c>
      <c r="BZ211" s="3" t="s">
        <v>775</v>
      </c>
      <c r="CA211" s="3"/>
      <c r="CB211" s="3"/>
      <c r="CC211" s="3"/>
      <c r="CD211" s="3"/>
      <c r="CE211" s="3"/>
      <c r="CF211" s="3"/>
      <c r="CG211" s="311" t="b">
        <f aca="false">TRUE()</f>
        <v>1</v>
      </c>
      <c r="CH211" s="3" t="s">
        <v>776</v>
      </c>
      <c r="CI211" s="3"/>
      <c r="CJ211" s="3"/>
      <c r="CK211" s="3"/>
      <c r="CL211" s="3"/>
      <c r="CM211" s="3"/>
      <c r="CN211" s="3"/>
      <c r="CO211" s="3"/>
      <c r="CP211" s="3"/>
      <c r="CQ211" s="3"/>
      <c r="CR211" s="3"/>
      <c r="CS211" s="3"/>
      <c r="CT211" s="3"/>
      <c r="CU211" s="85" t="n">
        <v>8</v>
      </c>
      <c r="CV211" s="3" t="s">
        <v>858</v>
      </c>
      <c r="CW211" s="3" t="s">
        <v>859</v>
      </c>
      <c r="CX211" s="3" t="s">
        <v>860</v>
      </c>
      <c r="CY211" s="3" t="s">
        <v>1030</v>
      </c>
      <c r="CZ211" s="3" t="s">
        <v>1031</v>
      </c>
    </row>
    <row r="212" customFormat="false" ht="15.75" hidden="false" customHeight="false" outlineLevel="0" collapsed="false">
      <c r="A212" s="309" t="s">
        <v>1598</v>
      </c>
      <c r="B212" s="309" t="s">
        <v>1599</v>
      </c>
      <c r="C212" s="309" t="s">
        <v>1600</v>
      </c>
      <c r="D212" s="309" t="s">
        <v>1601</v>
      </c>
      <c r="E212" s="309" t="s">
        <v>1602</v>
      </c>
      <c r="F212" s="318" t="b">
        <f aca="false">TRUE()</f>
        <v>1</v>
      </c>
      <c r="G212" s="309" t="s">
        <v>534</v>
      </c>
      <c r="H212" s="309" t="s">
        <v>1599</v>
      </c>
      <c r="I212" s="312" t="n">
        <v>-1</v>
      </c>
      <c r="J212" s="3"/>
      <c r="K212" s="309" t="s">
        <v>884</v>
      </c>
      <c r="L212" s="312" t="n">
        <v>9</v>
      </c>
      <c r="M212" s="309" t="s">
        <v>771</v>
      </c>
      <c r="N212" s="309" t="s">
        <v>743</v>
      </c>
      <c r="O212" s="309" t="s">
        <v>763</v>
      </c>
      <c r="P212" s="309" t="s">
        <v>745</v>
      </c>
      <c r="Q212" s="309" t="s">
        <v>746</v>
      </c>
      <c r="R212" s="318" t="b">
        <f aca="false">FALSE()</f>
        <v>0</v>
      </c>
      <c r="S212" s="312" t="n">
        <v>120</v>
      </c>
      <c r="T212" s="312" t="n">
        <v>100</v>
      </c>
      <c r="U212" s="312" t="n">
        <v>85</v>
      </c>
      <c r="V212" s="312" t="n">
        <v>90</v>
      </c>
      <c r="W212" s="312" t="n">
        <v>100</v>
      </c>
      <c r="X212" s="312" t="n">
        <v>100</v>
      </c>
      <c r="Y212" s="312" t="n">
        <v>0.2</v>
      </c>
      <c r="Z212" s="312" t="n">
        <v>0.7</v>
      </c>
      <c r="AA212" s="312" t="n">
        <v>10</v>
      </c>
      <c r="AB212" s="312" t="n">
        <v>6100</v>
      </c>
      <c r="AC212" s="309" t="s">
        <v>836</v>
      </c>
      <c r="AD212" s="309" t="s">
        <v>182</v>
      </c>
      <c r="AE212" s="312" t="n">
        <v>80</v>
      </c>
      <c r="AF212" s="312" t="n">
        <v>80</v>
      </c>
      <c r="AG212" s="312" t="n">
        <v>500</v>
      </c>
      <c r="AH212" s="312" t="n">
        <v>800</v>
      </c>
      <c r="AI212" s="312" t="n">
        <v>290</v>
      </c>
      <c r="AJ212" s="318" t="b">
        <f aca="false">TRUE()</f>
        <v>1</v>
      </c>
      <c r="AK212" s="318" t="b">
        <f aca="false">FALSE()</f>
        <v>0</v>
      </c>
      <c r="AL212" s="309" t="s">
        <v>1247</v>
      </c>
      <c r="AM212" s="318" t="b">
        <f aca="false">FALSE()</f>
        <v>0</v>
      </c>
      <c r="AN212" s="318" t="b">
        <f aca="false">FALSE()</f>
        <v>0</v>
      </c>
      <c r="AO212" s="312" t="n">
        <v>475</v>
      </c>
      <c r="AP212" s="312" t="n">
        <v>1</v>
      </c>
      <c r="AQ212" s="312" t="n">
        <v>7</v>
      </c>
      <c r="AR212" s="312" t="n">
        <v>25</v>
      </c>
      <c r="AS212" s="312" t="n">
        <v>90</v>
      </c>
      <c r="AT212" s="312" t="n">
        <v>1</v>
      </c>
      <c r="AU212" s="318" t="b">
        <f aca="false">FALSE()</f>
        <v>0</v>
      </c>
      <c r="AV212" s="318" t="b">
        <f aca="false">FALSE()</f>
        <v>0</v>
      </c>
      <c r="AW212" s="312" t="n">
        <v>9</v>
      </c>
      <c r="AX212" s="318" t="b">
        <f aca="false">FALSE()</f>
        <v>0</v>
      </c>
      <c r="AY212" s="318" t="b">
        <f aca="false">TRUE()</f>
        <v>1</v>
      </c>
      <c r="AZ212" s="312" t="n">
        <v>100</v>
      </c>
      <c r="BA212" s="312" t="n">
        <v>90</v>
      </c>
      <c r="BB212" s="312" t="n">
        <v>440</v>
      </c>
      <c r="BC212" s="312" t="n">
        <v>0</v>
      </c>
      <c r="BD212" s="312" t="n">
        <v>0</v>
      </c>
      <c r="BE212" s="312" t="n">
        <v>0</v>
      </c>
      <c r="BF212" s="312" t="n">
        <v>0</v>
      </c>
      <c r="BG212" s="312" t="n">
        <v>0</v>
      </c>
      <c r="BH212" s="312" t="n">
        <v>1</v>
      </c>
      <c r="BI212" s="312" t="n">
        <v>0</v>
      </c>
      <c r="BJ212" s="312" t="n">
        <v>0</v>
      </c>
      <c r="BK212" s="312" t="n">
        <v>0</v>
      </c>
      <c r="BL212" s="312" t="n">
        <v>0</v>
      </c>
      <c r="BM212" s="312" t="n">
        <v>3</v>
      </c>
      <c r="BN212" s="312" t="n">
        <v>0</v>
      </c>
      <c r="BO212" s="312" t="n">
        <v>0</v>
      </c>
      <c r="BP212" s="309" t="s">
        <v>182</v>
      </c>
      <c r="BQ212" s="309" t="s">
        <v>182</v>
      </c>
      <c r="BR212" s="309" t="s">
        <v>182</v>
      </c>
      <c r="BS212" s="309" t="s">
        <v>182</v>
      </c>
      <c r="BT212" s="312" t="n">
        <v>285</v>
      </c>
      <c r="BU212" s="318" t="b">
        <f aca="false">TRUE()</f>
        <v>1</v>
      </c>
      <c r="BV212" s="3" t="e">
        <f aca="false">xlookup(MID($A212,7,50),$A$2:$A$139,$BV$2:$BV$139,,0,1)</f>
        <v>#NAME?</v>
      </c>
      <c r="BW212" s="3"/>
      <c r="BX212" s="85" t="n">
        <v>42</v>
      </c>
      <c r="BY212" s="3" t="s">
        <v>1157</v>
      </c>
      <c r="BZ212" s="3" t="s">
        <v>775</v>
      </c>
      <c r="CA212" s="3"/>
      <c r="CB212" s="3"/>
      <c r="CC212" s="3"/>
      <c r="CD212" s="3"/>
      <c r="CE212" s="3"/>
      <c r="CF212" s="3"/>
      <c r="CG212" s="311" t="b">
        <f aca="false">TRUE()</f>
        <v>1</v>
      </c>
      <c r="CH212" s="3" t="s">
        <v>776</v>
      </c>
      <c r="CI212" s="3"/>
      <c r="CJ212" s="3"/>
      <c r="CK212" s="3"/>
      <c r="CL212" s="3"/>
      <c r="CM212" s="3"/>
      <c r="CN212" s="3"/>
      <c r="CO212" s="3"/>
      <c r="CP212" s="3"/>
      <c r="CQ212" s="3"/>
      <c r="CR212" s="3"/>
      <c r="CS212" s="3"/>
      <c r="CT212" s="3"/>
      <c r="CU212" s="85" t="n">
        <v>8</v>
      </c>
      <c r="CV212" s="3" t="s">
        <v>858</v>
      </c>
      <c r="CW212" s="3" t="s">
        <v>859</v>
      </c>
      <c r="CX212" s="3" t="s">
        <v>860</v>
      </c>
      <c r="CY212" s="3" t="s">
        <v>1030</v>
      </c>
      <c r="CZ212" s="3" t="s">
        <v>1031</v>
      </c>
    </row>
    <row r="213" customFormat="false" ht="15.75" hidden="false" customHeight="false" outlineLevel="0" collapsed="false">
      <c r="A213" s="309" t="s">
        <v>1603</v>
      </c>
      <c r="B213" s="309" t="s">
        <v>1604</v>
      </c>
      <c r="C213" s="309" t="s">
        <v>1605</v>
      </c>
      <c r="D213" s="309" t="s">
        <v>1606</v>
      </c>
      <c r="E213" s="309" t="s">
        <v>1607</v>
      </c>
      <c r="F213" s="318" t="b">
        <f aca="false">TRUE()</f>
        <v>1</v>
      </c>
      <c r="G213" s="309" t="s">
        <v>1039</v>
      </c>
      <c r="H213" s="309" t="s">
        <v>1604</v>
      </c>
      <c r="I213" s="312" t="n">
        <v>-1</v>
      </c>
      <c r="J213" s="3"/>
      <c r="K213" s="309" t="s">
        <v>884</v>
      </c>
      <c r="L213" s="312" t="n">
        <v>9</v>
      </c>
      <c r="M213" s="309" t="s">
        <v>757</v>
      </c>
      <c r="N213" s="309" t="s">
        <v>743</v>
      </c>
      <c r="O213" s="309" t="s">
        <v>763</v>
      </c>
      <c r="P213" s="309" t="s">
        <v>745</v>
      </c>
      <c r="Q213" s="309" t="s">
        <v>746</v>
      </c>
      <c r="R213" s="318" t="b">
        <f aca="false">FALSE()</f>
        <v>0</v>
      </c>
      <c r="S213" s="312" t="n">
        <v>100</v>
      </c>
      <c r="T213" s="312" t="n">
        <v>150</v>
      </c>
      <c r="U213" s="312" t="n">
        <v>125</v>
      </c>
      <c r="V213" s="312" t="n">
        <v>120</v>
      </c>
      <c r="W213" s="312" t="n">
        <v>50</v>
      </c>
      <c r="X213" s="312" t="n">
        <v>100</v>
      </c>
      <c r="Y213" s="312" t="n">
        <v>0.2</v>
      </c>
      <c r="Z213" s="312" t="n">
        <v>0.7</v>
      </c>
      <c r="AA213" s="312" t="n">
        <v>10</v>
      </c>
      <c r="AB213" s="312" t="n">
        <v>10520</v>
      </c>
      <c r="AC213" s="309" t="s">
        <v>1253</v>
      </c>
      <c r="AD213" s="309" t="s">
        <v>182</v>
      </c>
      <c r="AE213" s="312" t="n">
        <v>150</v>
      </c>
      <c r="AF213" s="312" t="n">
        <v>400</v>
      </c>
      <c r="AG213" s="312" t="n">
        <v>700</v>
      </c>
      <c r="AH213" s="312" t="n">
        <v>1000</v>
      </c>
      <c r="AI213" s="312" t="n">
        <v>500</v>
      </c>
      <c r="AJ213" s="318" t="b">
        <f aca="false">TRUE()</f>
        <v>1</v>
      </c>
      <c r="AK213" s="318" t="b">
        <f aca="false">FALSE()</f>
        <v>0</v>
      </c>
      <c r="AL213" s="309" t="s">
        <v>1247</v>
      </c>
      <c r="AM213" s="318" t="b">
        <f aca="false">FALSE()</f>
        <v>0</v>
      </c>
      <c r="AN213" s="318" t="b">
        <f aca="false">FALSE()</f>
        <v>0</v>
      </c>
      <c r="AO213" s="312" t="n">
        <v>600</v>
      </c>
      <c r="AP213" s="312" t="n">
        <v>1</v>
      </c>
      <c r="AQ213" s="312" t="n">
        <v>9</v>
      </c>
      <c r="AR213" s="312" t="n">
        <v>25</v>
      </c>
      <c r="AS213" s="312" t="n">
        <v>90</v>
      </c>
      <c r="AT213" s="312" t="n">
        <v>1</v>
      </c>
      <c r="AU213" s="318" t="b">
        <f aca="false">FALSE()</f>
        <v>0</v>
      </c>
      <c r="AV213" s="318" t="b">
        <f aca="false">FALSE()</f>
        <v>0</v>
      </c>
      <c r="AW213" s="312" t="n">
        <v>9</v>
      </c>
      <c r="AX213" s="318" t="b">
        <f aca="false">FALSE()</f>
        <v>0</v>
      </c>
      <c r="AY213" s="318" t="b">
        <f aca="false">TRUE()</f>
        <v>1</v>
      </c>
      <c r="AZ213" s="312" t="n">
        <v>100</v>
      </c>
      <c r="BA213" s="312" t="n">
        <v>50</v>
      </c>
      <c r="BB213" s="312" t="n">
        <v>10</v>
      </c>
      <c r="BC213" s="312" t="n">
        <v>3</v>
      </c>
      <c r="BD213" s="312" t="n">
        <v>0</v>
      </c>
      <c r="BE213" s="312" t="n">
        <v>0</v>
      </c>
      <c r="BF213" s="312" t="n">
        <v>0</v>
      </c>
      <c r="BG213" s="312" t="n">
        <v>0</v>
      </c>
      <c r="BH213" s="312" t="n">
        <v>0</v>
      </c>
      <c r="BI213" s="312" t="n">
        <v>0</v>
      </c>
      <c r="BJ213" s="312" t="n">
        <v>4</v>
      </c>
      <c r="BK213" s="312" t="n">
        <v>0</v>
      </c>
      <c r="BL213" s="312" t="n">
        <v>0</v>
      </c>
      <c r="BM213" s="312" t="n">
        <v>0</v>
      </c>
      <c r="BN213" s="312" t="n">
        <v>0</v>
      </c>
      <c r="BO213" s="312" t="n">
        <v>0</v>
      </c>
      <c r="BP213" s="309" t="s">
        <v>1040</v>
      </c>
      <c r="BQ213" s="309" t="s">
        <v>182</v>
      </c>
      <c r="BR213" s="309" t="s">
        <v>182</v>
      </c>
      <c r="BS213" s="309" t="s">
        <v>182</v>
      </c>
      <c r="BT213" s="312" t="n">
        <v>286</v>
      </c>
      <c r="BU213" s="318" t="b">
        <f aca="false">FALSE()</f>
        <v>0</v>
      </c>
      <c r="BV213" s="3" t="e">
        <f aca="false">xlookup(MID($A213,7,50),$A$2:$A$139,$BV$2:$BV$139,,0,1)</f>
        <v>#NAME?</v>
      </c>
      <c r="BW213" s="3"/>
      <c r="BX213" s="85" t="n">
        <v>38</v>
      </c>
      <c r="BY213" s="3" t="s">
        <v>1041</v>
      </c>
      <c r="BZ213" s="3" t="s">
        <v>775</v>
      </c>
      <c r="CA213" s="3"/>
      <c r="CB213" s="3"/>
      <c r="CC213" s="3"/>
      <c r="CD213" s="3"/>
      <c r="CE213" s="3"/>
      <c r="CF213" s="3"/>
      <c r="CG213" s="311" t="b">
        <f aca="false">TRUE()</f>
        <v>1</v>
      </c>
      <c r="CH213" s="3" t="s">
        <v>776</v>
      </c>
      <c r="CI213" s="3"/>
      <c r="CJ213" s="3"/>
      <c r="CK213" s="3"/>
      <c r="CL213" s="3"/>
      <c r="CM213" s="3"/>
      <c r="CN213" s="3"/>
      <c r="CO213" s="3"/>
      <c r="CP213" s="3"/>
      <c r="CQ213" s="3"/>
      <c r="CR213" s="3"/>
      <c r="CS213" s="3"/>
      <c r="CT213" s="3"/>
      <c r="CU213" s="3"/>
      <c r="CV213" s="3" t="s">
        <v>891</v>
      </c>
      <c r="CW213" s="3" t="s">
        <v>892</v>
      </c>
      <c r="CX213" s="3" t="s">
        <v>893</v>
      </c>
      <c r="CY213" s="3" t="s">
        <v>894</v>
      </c>
      <c r="CZ213" s="3" t="s">
        <v>895</v>
      </c>
    </row>
    <row r="214" customFormat="false" ht="15.75" hidden="false" customHeight="false" outlineLevel="0" collapsed="false">
      <c r="A214" s="309" t="s">
        <v>1608</v>
      </c>
      <c r="B214" s="309" t="s">
        <v>1609</v>
      </c>
      <c r="C214" s="309" t="s">
        <v>1610</v>
      </c>
      <c r="D214" s="309" t="s">
        <v>1611</v>
      </c>
      <c r="E214" s="309" t="s">
        <v>1612</v>
      </c>
      <c r="F214" s="318" t="b">
        <f aca="false">TRUE()</f>
        <v>1</v>
      </c>
      <c r="G214" s="309" t="s">
        <v>835</v>
      </c>
      <c r="H214" s="309" t="s">
        <v>1609</v>
      </c>
      <c r="I214" s="312" t="n">
        <v>-1</v>
      </c>
      <c r="J214" s="3"/>
      <c r="K214" s="309" t="s">
        <v>884</v>
      </c>
      <c r="L214" s="312" t="n">
        <v>5</v>
      </c>
      <c r="M214" s="309" t="s">
        <v>810</v>
      </c>
      <c r="N214" s="309" t="s">
        <v>743</v>
      </c>
      <c r="O214" s="309" t="s">
        <v>763</v>
      </c>
      <c r="P214" s="309" t="s">
        <v>745</v>
      </c>
      <c r="Q214" s="309" t="s">
        <v>746</v>
      </c>
      <c r="R214" s="318" t="b">
        <f aca="false">FALSE()</f>
        <v>0</v>
      </c>
      <c r="S214" s="312" t="n">
        <v>80</v>
      </c>
      <c r="T214" s="312" t="n">
        <v>110</v>
      </c>
      <c r="U214" s="312" t="n">
        <v>105</v>
      </c>
      <c r="V214" s="312" t="n">
        <v>105</v>
      </c>
      <c r="W214" s="312" t="n">
        <v>100</v>
      </c>
      <c r="X214" s="312" t="n">
        <v>100</v>
      </c>
      <c r="Y214" s="312" t="n">
        <v>0.2</v>
      </c>
      <c r="Z214" s="312" t="n">
        <v>0.63</v>
      </c>
      <c r="AA214" s="312" t="n">
        <v>10</v>
      </c>
      <c r="AB214" s="312" t="n">
        <v>4280</v>
      </c>
      <c r="AC214" s="309" t="s">
        <v>1253</v>
      </c>
      <c r="AD214" s="309" t="s">
        <v>182</v>
      </c>
      <c r="AE214" s="312" t="n">
        <v>80</v>
      </c>
      <c r="AF214" s="312" t="n">
        <v>130</v>
      </c>
      <c r="AG214" s="312" t="n">
        <v>720</v>
      </c>
      <c r="AH214" s="312" t="n">
        <v>1200</v>
      </c>
      <c r="AI214" s="312" t="n">
        <v>425</v>
      </c>
      <c r="AJ214" s="318" t="b">
        <f aca="false">TRUE()</f>
        <v>1</v>
      </c>
      <c r="AK214" s="318" t="b">
        <f aca="false">FALSE()</f>
        <v>0</v>
      </c>
      <c r="AL214" s="309" t="s">
        <v>1247</v>
      </c>
      <c r="AM214" s="318" t="b">
        <f aca="false">FALSE()</f>
        <v>0</v>
      </c>
      <c r="AN214" s="318" t="b">
        <f aca="false">FALSE()</f>
        <v>0</v>
      </c>
      <c r="AO214" s="312" t="n">
        <v>350</v>
      </c>
      <c r="AP214" s="312" t="n">
        <v>1</v>
      </c>
      <c r="AQ214" s="312" t="n">
        <v>5</v>
      </c>
      <c r="AR214" s="312" t="n">
        <v>25</v>
      </c>
      <c r="AS214" s="312" t="n">
        <v>90</v>
      </c>
      <c r="AT214" s="312" t="n">
        <v>1</v>
      </c>
      <c r="AU214" s="318" t="b">
        <f aca="false">FALSE()</f>
        <v>0</v>
      </c>
      <c r="AV214" s="318" t="b">
        <f aca="false">FALSE()</f>
        <v>0</v>
      </c>
      <c r="AW214" s="312" t="n">
        <v>9</v>
      </c>
      <c r="AX214" s="318" t="b">
        <f aca="false">FALSE()</f>
        <v>0</v>
      </c>
      <c r="AY214" s="318" t="b">
        <f aca="false">TRUE()</f>
        <v>1</v>
      </c>
      <c r="AZ214" s="312" t="n">
        <v>100</v>
      </c>
      <c r="BA214" s="312" t="n">
        <v>50</v>
      </c>
      <c r="BB214" s="312" t="n">
        <v>680</v>
      </c>
      <c r="BC214" s="312" t="n">
        <v>0</v>
      </c>
      <c r="BD214" s="312" t="n">
        <v>0</v>
      </c>
      <c r="BE214" s="312" t="n">
        <v>0</v>
      </c>
      <c r="BF214" s="312" t="n">
        <v>2</v>
      </c>
      <c r="BG214" s="312" t="n">
        <v>0</v>
      </c>
      <c r="BH214" s="312" t="n">
        <v>0</v>
      </c>
      <c r="BI214" s="312" t="n">
        <v>1</v>
      </c>
      <c r="BJ214" s="312" t="n">
        <v>0</v>
      </c>
      <c r="BK214" s="312" t="n">
        <v>0</v>
      </c>
      <c r="BL214" s="312" t="n">
        <v>0</v>
      </c>
      <c r="BM214" s="312" t="n">
        <v>0</v>
      </c>
      <c r="BN214" s="312" t="n">
        <v>0</v>
      </c>
      <c r="BO214" s="312" t="n">
        <v>0</v>
      </c>
      <c r="BP214" s="309" t="s">
        <v>182</v>
      </c>
      <c r="BQ214" s="309" t="s">
        <v>182</v>
      </c>
      <c r="BR214" s="309" t="s">
        <v>182</v>
      </c>
      <c r="BS214" s="309" t="s">
        <v>182</v>
      </c>
      <c r="BT214" s="312" t="n">
        <v>287</v>
      </c>
      <c r="BU214" s="318" t="b">
        <f aca="false">FALSE()</f>
        <v>0</v>
      </c>
      <c r="BV214" s="3" t="e">
        <f aca="false">xlookup(MID($A214,7,50),$A$2:$A$139,$BV$2:$BV$139,,0,1)</f>
        <v>#NAME?</v>
      </c>
      <c r="BW214" s="3"/>
      <c r="BX214" s="85" t="n">
        <v>14</v>
      </c>
      <c r="BY214" s="3" t="s">
        <v>837</v>
      </c>
      <c r="BZ214" s="3" t="s">
        <v>775</v>
      </c>
      <c r="CA214" s="3"/>
      <c r="CB214" s="3"/>
      <c r="CC214" s="3"/>
      <c r="CD214" s="3"/>
      <c r="CE214" s="3"/>
      <c r="CF214" s="3"/>
      <c r="CG214" s="311" t="b">
        <f aca="false">TRUE()</f>
        <v>1</v>
      </c>
      <c r="CH214" s="3" t="s">
        <v>776</v>
      </c>
      <c r="CI214" s="3" t="s">
        <v>750</v>
      </c>
      <c r="CJ214" s="3" t="s">
        <v>838</v>
      </c>
      <c r="CK214" s="3" t="s">
        <v>838</v>
      </c>
      <c r="CL214" s="3" t="s">
        <v>838</v>
      </c>
      <c r="CM214" s="3" t="s">
        <v>838</v>
      </c>
      <c r="CN214" s="3" t="s">
        <v>838</v>
      </c>
      <c r="CO214" s="3"/>
      <c r="CP214" s="3"/>
      <c r="CQ214" s="3"/>
      <c r="CR214" s="3"/>
      <c r="CS214" s="3"/>
      <c r="CT214" s="3"/>
      <c r="CU214" s="3"/>
      <c r="CV214" s="3" t="s">
        <v>839</v>
      </c>
      <c r="CW214" s="3" t="s">
        <v>840</v>
      </c>
      <c r="CX214" s="3" t="s">
        <v>841</v>
      </c>
      <c r="CY214" s="3" t="s">
        <v>842</v>
      </c>
      <c r="CZ214" s="3" t="s">
        <v>843</v>
      </c>
    </row>
    <row r="215" customFormat="false" ht="15.75" hidden="false" customHeight="false" outlineLevel="0" collapsed="false">
      <c r="A215" s="309" t="s">
        <v>1613</v>
      </c>
      <c r="B215" s="309" t="s">
        <v>1614</v>
      </c>
      <c r="C215" s="309" t="s">
        <v>1615</v>
      </c>
      <c r="D215" s="309" t="s">
        <v>1616</v>
      </c>
      <c r="E215" s="309" t="s">
        <v>1617</v>
      </c>
      <c r="F215" s="318" t="b">
        <f aca="false">TRUE()</f>
        <v>1</v>
      </c>
      <c r="G215" s="309" t="s">
        <v>844</v>
      </c>
      <c r="H215" s="309" t="s">
        <v>1614</v>
      </c>
      <c r="I215" s="312" t="n">
        <v>-1</v>
      </c>
      <c r="J215" s="3"/>
      <c r="K215" s="309" t="s">
        <v>773</v>
      </c>
      <c r="L215" s="312" t="n">
        <v>1</v>
      </c>
      <c r="M215" s="309" t="s">
        <v>757</v>
      </c>
      <c r="N215" s="309" t="s">
        <v>743</v>
      </c>
      <c r="O215" s="309" t="s">
        <v>763</v>
      </c>
      <c r="P215" s="309" t="s">
        <v>745</v>
      </c>
      <c r="Q215" s="309" t="s">
        <v>746</v>
      </c>
      <c r="R215" s="318" t="b">
        <f aca="false">FALSE()</f>
        <v>0</v>
      </c>
      <c r="S215" s="312" t="n">
        <v>65</v>
      </c>
      <c r="T215" s="312" t="n">
        <v>70</v>
      </c>
      <c r="U215" s="312" t="n">
        <v>75</v>
      </c>
      <c r="V215" s="312" t="n">
        <v>70</v>
      </c>
      <c r="W215" s="312" t="n">
        <v>100</v>
      </c>
      <c r="X215" s="312" t="n">
        <v>100</v>
      </c>
      <c r="Y215" s="312" t="n">
        <v>0.4</v>
      </c>
      <c r="Z215" s="312" t="n">
        <v>0.77</v>
      </c>
      <c r="AA215" s="312" t="n">
        <v>10</v>
      </c>
      <c r="AB215" s="312" t="n">
        <v>2560</v>
      </c>
      <c r="AC215" s="309" t="s">
        <v>836</v>
      </c>
      <c r="AD215" s="309" t="s">
        <v>182</v>
      </c>
      <c r="AE215" s="312" t="n">
        <v>40</v>
      </c>
      <c r="AF215" s="312" t="n">
        <v>80</v>
      </c>
      <c r="AG215" s="312" t="n">
        <v>400</v>
      </c>
      <c r="AH215" s="312" t="n">
        <v>550</v>
      </c>
      <c r="AI215" s="312" t="n">
        <v>240</v>
      </c>
      <c r="AJ215" s="318" t="b">
        <f aca="false">TRUE()</f>
        <v>1</v>
      </c>
      <c r="AK215" s="318" t="b">
        <f aca="false">FALSE()</f>
        <v>0</v>
      </c>
      <c r="AL215" s="309" t="s">
        <v>1247</v>
      </c>
      <c r="AM215" s="318" t="b">
        <f aca="false">FALSE()</f>
        <v>0</v>
      </c>
      <c r="AN215" s="318" t="b">
        <f aca="false">FALSE()</f>
        <v>0</v>
      </c>
      <c r="AO215" s="312" t="n">
        <v>150</v>
      </c>
      <c r="AP215" s="312" t="n">
        <v>1</v>
      </c>
      <c r="AQ215" s="312" t="n">
        <v>2</v>
      </c>
      <c r="AR215" s="312" t="n">
        <v>25</v>
      </c>
      <c r="AS215" s="312" t="n">
        <v>90</v>
      </c>
      <c r="AT215" s="312" t="n">
        <v>1</v>
      </c>
      <c r="AU215" s="318" t="b">
        <f aca="false">FALSE()</f>
        <v>0</v>
      </c>
      <c r="AV215" s="318" t="b">
        <f aca="false">FALSE()</f>
        <v>0</v>
      </c>
      <c r="AW215" s="312" t="n">
        <v>9</v>
      </c>
      <c r="AX215" s="318" t="b">
        <f aca="false">FALSE()</f>
        <v>0</v>
      </c>
      <c r="AY215" s="318" t="b">
        <f aca="false">TRUE()</f>
        <v>1</v>
      </c>
      <c r="AZ215" s="312" t="n">
        <v>100</v>
      </c>
      <c r="BA215" s="312" t="n">
        <v>50</v>
      </c>
      <c r="BB215" s="312" t="n">
        <v>1400</v>
      </c>
      <c r="BC215" s="312" t="n">
        <v>1</v>
      </c>
      <c r="BD215" s="312" t="n">
        <v>0</v>
      </c>
      <c r="BE215" s="312" t="n">
        <v>0</v>
      </c>
      <c r="BF215" s="312" t="n">
        <v>0</v>
      </c>
      <c r="BG215" s="312" t="n">
        <v>0</v>
      </c>
      <c r="BH215" s="312" t="n">
        <v>0</v>
      </c>
      <c r="BI215" s="312" t="n">
        <v>0</v>
      </c>
      <c r="BJ215" s="312" t="n">
        <v>0</v>
      </c>
      <c r="BK215" s="312" t="n">
        <v>0</v>
      </c>
      <c r="BL215" s="312" t="n">
        <v>0</v>
      </c>
      <c r="BM215" s="312" t="n">
        <v>0</v>
      </c>
      <c r="BN215" s="312" t="n">
        <v>0</v>
      </c>
      <c r="BO215" s="312" t="n">
        <v>0</v>
      </c>
      <c r="BP215" s="309" t="s">
        <v>182</v>
      </c>
      <c r="BQ215" s="309" t="s">
        <v>182</v>
      </c>
      <c r="BR215" s="309" t="s">
        <v>182</v>
      </c>
      <c r="BS215" s="309" t="s">
        <v>182</v>
      </c>
      <c r="BT215" s="312" t="n">
        <v>288</v>
      </c>
      <c r="BU215" s="318" t="b">
        <f aca="false">FALSE()</f>
        <v>0</v>
      </c>
      <c r="BV215" s="3" t="e">
        <f aca="false">xlookup(MID($A215,7,50),$A$2:$A$139,$BV$2:$BV$139,,0,1)</f>
        <v>#NAME?</v>
      </c>
      <c r="BW215" s="3"/>
      <c r="BX215" s="85" t="n">
        <v>6</v>
      </c>
      <c r="BY215" s="3" t="s">
        <v>845</v>
      </c>
      <c r="BZ215" s="3" t="s">
        <v>846</v>
      </c>
      <c r="CA215" s="3" t="s">
        <v>847</v>
      </c>
      <c r="CB215" s="85" t="n">
        <v>10</v>
      </c>
      <c r="CC215" s="85" t="n">
        <v>11</v>
      </c>
      <c r="CD215" s="85" t="n">
        <v>13</v>
      </c>
      <c r="CE215" s="85" t="n">
        <v>16</v>
      </c>
      <c r="CF215" s="85" t="n">
        <v>20</v>
      </c>
      <c r="CG215" s="3"/>
      <c r="CH215" s="3"/>
      <c r="CI215" s="3"/>
      <c r="CJ215" s="3"/>
      <c r="CK215" s="3"/>
      <c r="CL215" s="3"/>
      <c r="CM215" s="3"/>
      <c r="CN215" s="3"/>
      <c r="CO215" s="3"/>
      <c r="CP215" s="3"/>
      <c r="CQ215" s="3"/>
      <c r="CR215" s="3"/>
      <c r="CS215" s="3"/>
      <c r="CT215" s="3"/>
      <c r="CU215" s="3"/>
      <c r="CV215" s="3"/>
      <c r="CW215" s="3"/>
      <c r="CX215" s="3"/>
      <c r="CY215" s="3"/>
      <c r="CZ215" s="3"/>
    </row>
    <row r="216" customFormat="false" ht="15.75" hidden="false" customHeight="false" outlineLevel="0" collapsed="false">
      <c r="A216" s="309" t="s">
        <v>1618</v>
      </c>
      <c r="B216" s="309" t="s">
        <v>1619</v>
      </c>
      <c r="C216" s="309" t="s">
        <v>1620</v>
      </c>
      <c r="D216" s="309" t="s">
        <v>1621</v>
      </c>
      <c r="E216" s="309" t="s">
        <v>1622</v>
      </c>
      <c r="F216" s="318" t="b">
        <f aca="false">TRUE()</f>
        <v>1</v>
      </c>
      <c r="G216" s="309" t="s">
        <v>461</v>
      </c>
      <c r="H216" s="309" t="s">
        <v>1619</v>
      </c>
      <c r="I216" s="312" t="n">
        <v>-1</v>
      </c>
      <c r="J216" s="3"/>
      <c r="K216" s="309" t="s">
        <v>773</v>
      </c>
      <c r="L216" s="312" t="n">
        <v>1</v>
      </c>
      <c r="M216" s="309" t="s">
        <v>757</v>
      </c>
      <c r="N216" s="309" t="s">
        <v>743</v>
      </c>
      <c r="O216" s="309" t="s">
        <v>744</v>
      </c>
      <c r="P216" s="309" t="s">
        <v>745</v>
      </c>
      <c r="Q216" s="309" t="s">
        <v>746</v>
      </c>
      <c r="R216" s="318" t="b">
        <f aca="false">FALSE()</f>
        <v>0</v>
      </c>
      <c r="S216" s="312" t="n">
        <v>60</v>
      </c>
      <c r="T216" s="312" t="n">
        <v>100</v>
      </c>
      <c r="U216" s="312" t="n">
        <v>70</v>
      </c>
      <c r="V216" s="312" t="n">
        <v>80</v>
      </c>
      <c r="W216" s="312" t="n">
        <v>100</v>
      </c>
      <c r="X216" s="312" t="n">
        <v>100</v>
      </c>
      <c r="Y216" s="312" t="n">
        <v>0.2</v>
      </c>
      <c r="Z216" s="312" t="n">
        <v>0.77</v>
      </c>
      <c r="AA216" s="312" t="n">
        <v>10</v>
      </c>
      <c r="AB216" s="312" t="n">
        <v>2500</v>
      </c>
      <c r="AC216" s="309" t="s">
        <v>836</v>
      </c>
      <c r="AD216" s="309" t="s">
        <v>182</v>
      </c>
      <c r="AE216" s="312" t="n">
        <v>65</v>
      </c>
      <c r="AF216" s="312" t="n">
        <v>98</v>
      </c>
      <c r="AG216" s="312" t="n">
        <v>250</v>
      </c>
      <c r="AH216" s="312" t="n">
        <v>375</v>
      </c>
      <c r="AI216" s="312" t="n">
        <v>140</v>
      </c>
      <c r="AJ216" s="318" t="b">
        <f aca="false">TRUE()</f>
        <v>1</v>
      </c>
      <c r="AK216" s="318" t="b">
        <f aca="false">FALSE()</f>
        <v>0</v>
      </c>
      <c r="AL216" s="309" t="s">
        <v>1247</v>
      </c>
      <c r="AM216" s="318" t="b">
        <f aca="false">FALSE()</f>
        <v>0</v>
      </c>
      <c r="AN216" s="318" t="b">
        <f aca="false">FALSE()</f>
        <v>0</v>
      </c>
      <c r="AO216" s="312" t="n">
        <v>150</v>
      </c>
      <c r="AP216" s="312" t="n">
        <v>1</v>
      </c>
      <c r="AQ216" s="312" t="n">
        <v>2</v>
      </c>
      <c r="AR216" s="312" t="n">
        <v>25</v>
      </c>
      <c r="AS216" s="312" t="n">
        <v>90</v>
      </c>
      <c r="AT216" s="312" t="n">
        <v>1</v>
      </c>
      <c r="AU216" s="318" t="b">
        <f aca="false">FALSE()</f>
        <v>0</v>
      </c>
      <c r="AV216" s="318" t="b">
        <f aca="false">FALSE()</f>
        <v>0</v>
      </c>
      <c r="AW216" s="312" t="n">
        <v>9</v>
      </c>
      <c r="AX216" s="318" t="b">
        <f aca="false">FALSE()</f>
        <v>0</v>
      </c>
      <c r="AY216" s="318" t="b">
        <f aca="false">TRUE()</f>
        <v>1</v>
      </c>
      <c r="AZ216" s="312" t="n">
        <v>100</v>
      </c>
      <c r="BA216" s="312" t="n">
        <v>50</v>
      </c>
      <c r="BB216" s="312" t="n">
        <v>1405</v>
      </c>
      <c r="BC216" s="312" t="n">
        <v>1</v>
      </c>
      <c r="BD216" s="312" t="n">
        <v>0</v>
      </c>
      <c r="BE216" s="312" t="n">
        <v>0</v>
      </c>
      <c r="BF216" s="312" t="n">
        <v>0</v>
      </c>
      <c r="BG216" s="312" t="n">
        <v>1</v>
      </c>
      <c r="BH216" s="312" t="n">
        <v>0</v>
      </c>
      <c r="BI216" s="312" t="n">
        <v>0</v>
      </c>
      <c r="BJ216" s="312" t="n">
        <v>0</v>
      </c>
      <c r="BK216" s="312" t="n">
        <v>0</v>
      </c>
      <c r="BL216" s="312" t="n">
        <v>0</v>
      </c>
      <c r="BM216" s="312" t="n">
        <v>0</v>
      </c>
      <c r="BN216" s="312" t="n">
        <v>1</v>
      </c>
      <c r="BO216" s="312" t="n">
        <v>1</v>
      </c>
      <c r="BP216" s="309" t="s">
        <v>182</v>
      </c>
      <c r="BQ216" s="309" t="s">
        <v>182</v>
      </c>
      <c r="BR216" s="309" t="s">
        <v>182</v>
      </c>
      <c r="BS216" s="309" t="s">
        <v>182</v>
      </c>
      <c r="BT216" s="312" t="n">
        <v>289</v>
      </c>
      <c r="BU216" s="318" t="b">
        <f aca="false">FALSE()</f>
        <v>0</v>
      </c>
      <c r="BV216" s="3" t="e">
        <f aca="false">xlookup(MID($A216,7,50),$A$2:$A$139,$BV$2:$BV$139,,0,1)</f>
        <v>#NAME?</v>
      </c>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t="s">
        <v>1238</v>
      </c>
      <c r="CW216" s="3" t="s">
        <v>1239</v>
      </c>
      <c r="CX216" s="3" t="s">
        <v>1240</v>
      </c>
      <c r="CY216" s="3" t="s">
        <v>1241</v>
      </c>
      <c r="CZ216" s="3" t="s">
        <v>1242</v>
      </c>
    </row>
    <row r="217" customFormat="false" ht="15.75" hidden="false" customHeight="false" outlineLevel="0" collapsed="false">
      <c r="A217" s="309" t="s">
        <v>1623</v>
      </c>
      <c r="B217" s="309" t="s">
        <v>1624</v>
      </c>
      <c r="C217" s="309" t="s">
        <v>1625</v>
      </c>
      <c r="D217" s="309" t="s">
        <v>1626</v>
      </c>
      <c r="E217" s="309" t="s">
        <v>1627</v>
      </c>
      <c r="F217" s="318" t="b">
        <f aca="false">TRUE()</f>
        <v>1</v>
      </c>
      <c r="G217" s="309" t="s">
        <v>472</v>
      </c>
      <c r="H217" s="309" t="s">
        <v>1624</v>
      </c>
      <c r="I217" s="312" t="n">
        <v>-1</v>
      </c>
      <c r="J217" s="3"/>
      <c r="K217" s="309" t="s">
        <v>884</v>
      </c>
      <c r="L217" s="312" t="n">
        <v>4</v>
      </c>
      <c r="M217" s="309" t="s">
        <v>742</v>
      </c>
      <c r="N217" s="309" t="s">
        <v>743</v>
      </c>
      <c r="O217" s="309" t="s">
        <v>886</v>
      </c>
      <c r="P217" s="309" t="s">
        <v>745</v>
      </c>
      <c r="Q217" s="309" t="s">
        <v>746</v>
      </c>
      <c r="R217" s="318" t="b">
        <f aca="false">FALSE()</f>
        <v>0</v>
      </c>
      <c r="S217" s="312" t="n">
        <v>100</v>
      </c>
      <c r="T217" s="312" t="n">
        <v>100</v>
      </c>
      <c r="U217" s="312" t="n">
        <v>70</v>
      </c>
      <c r="V217" s="312" t="n">
        <v>95</v>
      </c>
      <c r="W217" s="312" t="n">
        <v>100</v>
      </c>
      <c r="X217" s="312" t="n">
        <v>100</v>
      </c>
      <c r="Y217" s="312" t="n">
        <v>0.4</v>
      </c>
      <c r="Z217" s="312" t="n">
        <v>0.7</v>
      </c>
      <c r="AA217" s="312" t="n">
        <v>10</v>
      </c>
      <c r="AB217" s="312" t="n">
        <v>4690</v>
      </c>
      <c r="AC217" s="309" t="s">
        <v>836</v>
      </c>
      <c r="AD217" s="309" t="s">
        <v>182</v>
      </c>
      <c r="AE217" s="312" t="n">
        <v>100</v>
      </c>
      <c r="AF217" s="312" t="n">
        <v>150</v>
      </c>
      <c r="AG217" s="312" t="n">
        <v>450</v>
      </c>
      <c r="AH217" s="312" t="n">
        <v>600</v>
      </c>
      <c r="AI217" s="312" t="n">
        <v>300</v>
      </c>
      <c r="AJ217" s="318" t="b">
        <f aca="false">TRUE()</f>
        <v>1</v>
      </c>
      <c r="AK217" s="318" t="b">
        <f aca="false">FALSE()</f>
        <v>0</v>
      </c>
      <c r="AL217" s="309" t="s">
        <v>1247</v>
      </c>
      <c r="AM217" s="318" t="b">
        <f aca="false">FALSE()</f>
        <v>0</v>
      </c>
      <c r="AN217" s="318" t="b">
        <f aca="false">FALSE()</f>
        <v>0</v>
      </c>
      <c r="AO217" s="312" t="n">
        <v>300</v>
      </c>
      <c r="AP217" s="312" t="n">
        <v>1</v>
      </c>
      <c r="AQ217" s="312" t="n">
        <v>4</v>
      </c>
      <c r="AR217" s="312" t="n">
        <v>25</v>
      </c>
      <c r="AS217" s="312" t="n">
        <v>90</v>
      </c>
      <c r="AT217" s="312" t="n">
        <v>1</v>
      </c>
      <c r="AU217" s="318" t="b">
        <f aca="false">FALSE()</f>
        <v>0</v>
      </c>
      <c r="AV217" s="318" t="b">
        <f aca="false">FALSE()</f>
        <v>0</v>
      </c>
      <c r="AW217" s="312" t="n">
        <v>9</v>
      </c>
      <c r="AX217" s="318" t="b">
        <f aca="false">FALSE()</f>
        <v>0</v>
      </c>
      <c r="AY217" s="318" t="b">
        <f aca="false">TRUE()</f>
        <v>1</v>
      </c>
      <c r="AZ217" s="312" t="n">
        <v>100</v>
      </c>
      <c r="BA217" s="312" t="n">
        <v>50</v>
      </c>
      <c r="BB217" s="312" t="n">
        <v>895</v>
      </c>
      <c r="BC217" s="312" t="n">
        <v>0</v>
      </c>
      <c r="BD217" s="312" t="n">
        <v>1</v>
      </c>
      <c r="BE217" s="312" t="n">
        <v>0</v>
      </c>
      <c r="BF217" s="312" t="n">
        <v>0</v>
      </c>
      <c r="BG217" s="312" t="n">
        <v>0</v>
      </c>
      <c r="BH217" s="312" t="n">
        <v>0</v>
      </c>
      <c r="BI217" s="312" t="n">
        <v>0</v>
      </c>
      <c r="BJ217" s="312" t="n">
        <v>2</v>
      </c>
      <c r="BK217" s="312" t="n">
        <v>1</v>
      </c>
      <c r="BL217" s="312" t="n">
        <v>0</v>
      </c>
      <c r="BM217" s="312" t="n">
        <v>0</v>
      </c>
      <c r="BN217" s="312" t="n">
        <v>1</v>
      </c>
      <c r="BO217" s="312" t="n">
        <v>0</v>
      </c>
      <c r="BP217" s="309" t="s">
        <v>182</v>
      </c>
      <c r="BQ217" s="309" t="s">
        <v>182</v>
      </c>
      <c r="BR217" s="309" t="s">
        <v>182</v>
      </c>
      <c r="BS217" s="309" t="s">
        <v>182</v>
      </c>
      <c r="BT217" s="312" t="n">
        <v>290</v>
      </c>
      <c r="BU217" s="318" t="b">
        <f aca="false">FALSE()</f>
        <v>0</v>
      </c>
      <c r="BV217" s="3" t="e">
        <f aca="false">xlookup(MID($A217,7,50),$A$2:$A$139,$BV$2:$BV$139,,0,1)</f>
        <v>#NAME?</v>
      </c>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t="s">
        <v>1237</v>
      </c>
      <c r="CV217" s="3" t="s">
        <v>850</v>
      </c>
      <c r="CW217" s="3" t="s">
        <v>851</v>
      </c>
      <c r="CX217" s="3" t="s">
        <v>852</v>
      </c>
      <c r="CY217" s="3" t="s">
        <v>853</v>
      </c>
      <c r="CZ217" s="3" t="s">
        <v>854</v>
      </c>
    </row>
    <row r="218" customFormat="false" ht="15.75" hidden="false" customHeight="false" outlineLevel="0" collapsed="false">
      <c r="A218" s="309" t="s">
        <v>1628</v>
      </c>
      <c r="B218" s="309" t="s">
        <v>1629</v>
      </c>
      <c r="C218" s="309" t="s">
        <v>1630</v>
      </c>
      <c r="D218" s="309" t="s">
        <v>1631</v>
      </c>
      <c r="E218" s="309" t="s">
        <v>1632</v>
      </c>
      <c r="F218" s="318" t="b">
        <f aca="false">TRUE()</f>
        <v>1</v>
      </c>
      <c r="G218" s="309" t="s">
        <v>419</v>
      </c>
      <c r="H218" s="309" t="s">
        <v>1629</v>
      </c>
      <c r="I218" s="312" t="n">
        <v>-1</v>
      </c>
      <c r="J218" s="3"/>
      <c r="K218" s="309" t="s">
        <v>884</v>
      </c>
      <c r="L218" s="312" t="n">
        <v>8</v>
      </c>
      <c r="M218" s="309" t="s">
        <v>885</v>
      </c>
      <c r="N218" s="309" t="s">
        <v>814</v>
      </c>
      <c r="O218" s="309" t="s">
        <v>969</v>
      </c>
      <c r="P218" s="309" t="s">
        <v>745</v>
      </c>
      <c r="Q218" s="309" t="s">
        <v>746</v>
      </c>
      <c r="R218" s="318" t="b">
        <f aca="false">FALSE()</f>
        <v>0</v>
      </c>
      <c r="S218" s="312" t="n">
        <v>110</v>
      </c>
      <c r="T218" s="312" t="n">
        <v>110</v>
      </c>
      <c r="U218" s="312" t="n">
        <v>100</v>
      </c>
      <c r="V218" s="312" t="n">
        <v>70</v>
      </c>
      <c r="W218" s="312" t="n">
        <v>100</v>
      </c>
      <c r="X218" s="312" t="n">
        <v>100</v>
      </c>
      <c r="Y218" s="312" t="n">
        <v>0.2</v>
      </c>
      <c r="Z218" s="312" t="n">
        <v>0.7</v>
      </c>
      <c r="AA218" s="312" t="n">
        <v>10</v>
      </c>
      <c r="AB218" s="312" t="n">
        <v>10240</v>
      </c>
      <c r="AC218" s="309" t="s">
        <v>1253</v>
      </c>
      <c r="AD218" s="309" t="s">
        <v>182</v>
      </c>
      <c r="AE218" s="312" t="n">
        <v>40</v>
      </c>
      <c r="AF218" s="312" t="n">
        <v>60</v>
      </c>
      <c r="AG218" s="312" t="n">
        <v>650</v>
      </c>
      <c r="AH218" s="312" t="n">
        <v>900</v>
      </c>
      <c r="AI218" s="312" t="n">
        <v>150</v>
      </c>
      <c r="AJ218" s="318" t="b">
        <f aca="false">TRUE()</f>
        <v>1</v>
      </c>
      <c r="AK218" s="318" t="b">
        <f aca="false">FALSE()</f>
        <v>0</v>
      </c>
      <c r="AL218" s="309" t="s">
        <v>1247</v>
      </c>
      <c r="AM218" s="318" t="b">
        <f aca="false">FALSE()</f>
        <v>0</v>
      </c>
      <c r="AN218" s="318" t="b">
        <f aca="false">FALSE()</f>
        <v>0</v>
      </c>
      <c r="AO218" s="312" t="n">
        <v>475</v>
      </c>
      <c r="AP218" s="312" t="n">
        <v>1</v>
      </c>
      <c r="AQ218" s="312" t="n">
        <v>7</v>
      </c>
      <c r="AR218" s="312" t="n">
        <v>25</v>
      </c>
      <c r="AS218" s="312" t="n">
        <v>90</v>
      </c>
      <c r="AT218" s="312" t="n">
        <v>1</v>
      </c>
      <c r="AU218" s="318" t="b">
        <f aca="false">FALSE()</f>
        <v>0</v>
      </c>
      <c r="AV218" s="318" t="b">
        <f aca="false">FALSE()</f>
        <v>0</v>
      </c>
      <c r="AW218" s="312" t="n">
        <v>9</v>
      </c>
      <c r="AX218" s="318" t="b">
        <f aca="false">TRUE()</f>
        <v>1</v>
      </c>
      <c r="AY218" s="318" t="b">
        <f aca="false">TRUE()</f>
        <v>1</v>
      </c>
      <c r="AZ218" s="312" t="n">
        <v>100</v>
      </c>
      <c r="BA218" s="312" t="n">
        <v>50</v>
      </c>
      <c r="BB218" s="312" t="n">
        <v>280</v>
      </c>
      <c r="BC218" s="312" t="n">
        <v>0</v>
      </c>
      <c r="BD218" s="312" t="n">
        <v>2</v>
      </c>
      <c r="BE218" s="312" t="n">
        <v>0</v>
      </c>
      <c r="BF218" s="312" t="n">
        <v>0</v>
      </c>
      <c r="BG218" s="312" t="n">
        <v>0</v>
      </c>
      <c r="BH218" s="312" t="n">
        <v>0</v>
      </c>
      <c r="BI218" s="312" t="n">
        <v>0</v>
      </c>
      <c r="BJ218" s="312" t="n">
        <v>0</v>
      </c>
      <c r="BK218" s="312" t="n">
        <v>0</v>
      </c>
      <c r="BL218" s="312" t="n">
        <v>0</v>
      </c>
      <c r="BM218" s="312" t="n">
        <v>0</v>
      </c>
      <c r="BN218" s="312" t="n">
        <v>1</v>
      </c>
      <c r="BO218" s="312" t="n">
        <v>0</v>
      </c>
      <c r="BP218" s="309" t="s">
        <v>970</v>
      </c>
      <c r="BQ218" s="309" t="s">
        <v>182</v>
      </c>
      <c r="BR218" s="309" t="s">
        <v>182</v>
      </c>
      <c r="BS218" s="309" t="s">
        <v>182</v>
      </c>
      <c r="BT218" s="312" t="n">
        <v>291</v>
      </c>
      <c r="BU218" s="318" t="b">
        <f aca="false">FALSE()</f>
        <v>0</v>
      </c>
      <c r="BV218" s="3" t="e">
        <f aca="false">xlookup(MID($A218,7,50),$A$2:$A$139,$BV$2:$BV$139,,0,1)</f>
        <v>#NAME?</v>
      </c>
      <c r="BW218" s="3"/>
      <c r="BX218" s="85" t="n">
        <v>44</v>
      </c>
      <c r="BY218" s="3" t="s">
        <v>971</v>
      </c>
      <c r="BZ218" s="3" t="s">
        <v>775</v>
      </c>
      <c r="CA218" s="3" t="s">
        <v>972</v>
      </c>
      <c r="CB218" s="85" t="n">
        <v>10</v>
      </c>
      <c r="CC218" s="85" t="n">
        <v>11</v>
      </c>
      <c r="CD218" s="85" t="n">
        <v>13</v>
      </c>
      <c r="CE218" s="85" t="n">
        <v>16</v>
      </c>
      <c r="CF218" s="85" t="n">
        <v>20</v>
      </c>
      <c r="CG218" s="311" t="b">
        <f aca="false">TRUE()</f>
        <v>1</v>
      </c>
      <c r="CH218" s="3" t="s">
        <v>776</v>
      </c>
      <c r="CI218" s="3"/>
      <c r="CJ218" s="3"/>
      <c r="CK218" s="3"/>
      <c r="CL218" s="3"/>
      <c r="CM218" s="3"/>
      <c r="CN218" s="3"/>
      <c r="CO218" s="3"/>
      <c r="CP218" s="3"/>
      <c r="CQ218" s="3"/>
      <c r="CR218" s="3"/>
      <c r="CS218" s="3"/>
      <c r="CT218" s="3"/>
      <c r="CU218" s="3"/>
      <c r="CV218" s="3"/>
      <c r="CW218" s="3"/>
      <c r="CX218" s="3"/>
      <c r="CY218" s="3"/>
      <c r="CZ218" s="3"/>
    </row>
    <row r="219" customFormat="false" ht="15.75" hidden="false" customHeight="false" outlineLevel="0" collapsed="false">
      <c r="A219" s="309" t="s">
        <v>1633</v>
      </c>
      <c r="B219" s="309" t="s">
        <v>1634</v>
      </c>
      <c r="C219" s="309" t="s">
        <v>1635</v>
      </c>
      <c r="D219" s="309" t="s">
        <v>1636</v>
      </c>
      <c r="E219" s="309" t="s">
        <v>1637</v>
      </c>
      <c r="F219" s="318" t="b">
        <f aca="false">TRUE()</f>
        <v>1</v>
      </c>
      <c r="G219" s="309" t="s">
        <v>510</v>
      </c>
      <c r="H219" s="309" t="s">
        <v>1634</v>
      </c>
      <c r="I219" s="312" t="n">
        <v>-1</v>
      </c>
      <c r="J219" s="3"/>
      <c r="K219" s="309" t="s">
        <v>884</v>
      </c>
      <c r="L219" s="312" t="n">
        <v>9</v>
      </c>
      <c r="M219" s="309" t="s">
        <v>885</v>
      </c>
      <c r="N219" s="309" t="s">
        <v>810</v>
      </c>
      <c r="O219" s="309" t="s">
        <v>969</v>
      </c>
      <c r="P219" s="309" t="s">
        <v>745</v>
      </c>
      <c r="Q219" s="309" t="s">
        <v>746</v>
      </c>
      <c r="R219" s="318" t="b">
        <f aca="false">FALSE()</f>
        <v>0</v>
      </c>
      <c r="S219" s="312" t="n">
        <v>110</v>
      </c>
      <c r="T219" s="312" t="n">
        <v>110</v>
      </c>
      <c r="U219" s="312" t="n">
        <v>110</v>
      </c>
      <c r="V219" s="312" t="n">
        <v>75</v>
      </c>
      <c r="W219" s="312" t="n">
        <v>100</v>
      </c>
      <c r="X219" s="312" t="n">
        <v>100</v>
      </c>
      <c r="Y219" s="312" t="n">
        <v>0.2</v>
      </c>
      <c r="Z219" s="312" t="n">
        <v>0.7</v>
      </c>
      <c r="AA219" s="312" t="n">
        <v>10</v>
      </c>
      <c r="AB219" s="312" t="n">
        <v>10380</v>
      </c>
      <c r="AC219" s="309" t="s">
        <v>1253</v>
      </c>
      <c r="AD219" s="309" t="s">
        <v>182</v>
      </c>
      <c r="AE219" s="312" t="n">
        <v>40</v>
      </c>
      <c r="AF219" s="312" t="n">
        <v>60</v>
      </c>
      <c r="AG219" s="312" t="n">
        <v>650</v>
      </c>
      <c r="AH219" s="312" t="n">
        <v>900</v>
      </c>
      <c r="AI219" s="312" t="n">
        <v>150</v>
      </c>
      <c r="AJ219" s="318" t="b">
        <f aca="false">TRUE()</f>
        <v>1</v>
      </c>
      <c r="AK219" s="318" t="b">
        <f aca="false">FALSE()</f>
        <v>0</v>
      </c>
      <c r="AL219" s="309" t="s">
        <v>1247</v>
      </c>
      <c r="AM219" s="318" t="b">
        <f aca="false">FALSE()</f>
        <v>0</v>
      </c>
      <c r="AN219" s="318" t="b">
        <f aca="false">FALSE()</f>
        <v>0</v>
      </c>
      <c r="AO219" s="312" t="n">
        <v>475</v>
      </c>
      <c r="AP219" s="312" t="n">
        <v>1</v>
      </c>
      <c r="AQ219" s="312" t="n">
        <v>7</v>
      </c>
      <c r="AR219" s="312" t="n">
        <v>25</v>
      </c>
      <c r="AS219" s="312" t="n">
        <v>90</v>
      </c>
      <c r="AT219" s="312" t="n">
        <v>1</v>
      </c>
      <c r="AU219" s="318" t="b">
        <f aca="false">FALSE()</f>
        <v>0</v>
      </c>
      <c r="AV219" s="318" t="b">
        <f aca="false">FALSE()</f>
        <v>0</v>
      </c>
      <c r="AW219" s="312" t="n">
        <v>9</v>
      </c>
      <c r="AX219" s="318" t="b">
        <f aca="false">TRUE()</f>
        <v>1</v>
      </c>
      <c r="AY219" s="318" t="b">
        <f aca="false">TRUE()</f>
        <v>1</v>
      </c>
      <c r="AZ219" s="312" t="n">
        <v>100</v>
      </c>
      <c r="BA219" s="312" t="n">
        <v>50</v>
      </c>
      <c r="BB219" s="312" t="n">
        <v>270</v>
      </c>
      <c r="BC219" s="312" t="n">
        <v>0</v>
      </c>
      <c r="BD219" s="312" t="n">
        <v>0</v>
      </c>
      <c r="BE219" s="312" t="n">
        <v>0</v>
      </c>
      <c r="BF219" s="312" t="n">
        <v>3</v>
      </c>
      <c r="BG219" s="312" t="n">
        <v>0</v>
      </c>
      <c r="BH219" s="312" t="n">
        <v>0</v>
      </c>
      <c r="BI219" s="312" t="n">
        <v>0</v>
      </c>
      <c r="BJ219" s="312" t="n">
        <v>0</v>
      </c>
      <c r="BK219" s="312" t="n">
        <v>0</v>
      </c>
      <c r="BL219" s="312" t="n">
        <v>0</v>
      </c>
      <c r="BM219" s="312" t="n">
        <v>0</v>
      </c>
      <c r="BN219" s="312" t="n">
        <v>1</v>
      </c>
      <c r="BO219" s="312" t="n">
        <v>0</v>
      </c>
      <c r="BP219" s="309" t="s">
        <v>182</v>
      </c>
      <c r="BQ219" s="309" t="s">
        <v>182</v>
      </c>
      <c r="BR219" s="309" t="s">
        <v>182</v>
      </c>
      <c r="BS219" s="309" t="s">
        <v>182</v>
      </c>
      <c r="BT219" s="312" t="n">
        <v>292</v>
      </c>
      <c r="BU219" s="318" t="b">
        <f aca="false">TRUE()</f>
        <v>1</v>
      </c>
      <c r="BV219" s="3" t="e">
        <f aca="false">xlookup(MID($A219,7,50),$A$2:$A$139,$BV$2:$BV$139,,0,1)</f>
        <v>#NAME?</v>
      </c>
      <c r="BW219" s="3"/>
      <c r="BX219" s="85" t="n">
        <v>46</v>
      </c>
      <c r="BY219" s="3" t="s">
        <v>973</v>
      </c>
      <c r="BZ219" s="3" t="s">
        <v>775</v>
      </c>
      <c r="CA219" s="3" t="s">
        <v>972</v>
      </c>
      <c r="CB219" s="85" t="n">
        <v>10</v>
      </c>
      <c r="CC219" s="85" t="n">
        <v>11</v>
      </c>
      <c r="CD219" s="85" t="n">
        <v>13</v>
      </c>
      <c r="CE219" s="85" t="n">
        <v>16</v>
      </c>
      <c r="CF219" s="85" t="n">
        <v>20</v>
      </c>
      <c r="CG219" s="311" t="b">
        <f aca="false">TRUE()</f>
        <v>1</v>
      </c>
      <c r="CH219" s="3" t="s">
        <v>776</v>
      </c>
      <c r="CI219" s="3"/>
      <c r="CJ219" s="3"/>
      <c r="CK219" s="3"/>
      <c r="CL219" s="3"/>
      <c r="CM219" s="3"/>
      <c r="CN219" s="3"/>
      <c r="CO219" s="3"/>
      <c r="CP219" s="3"/>
      <c r="CQ219" s="3"/>
      <c r="CR219" s="3"/>
      <c r="CS219" s="3"/>
      <c r="CT219" s="3"/>
      <c r="CU219" s="3"/>
      <c r="CV219" s="3"/>
      <c r="CW219" s="3"/>
      <c r="CX219" s="3"/>
      <c r="CY219" s="3"/>
      <c r="CZ219" s="3"/>
    </row>
    <row r="220" customFormat="false" ht="15.75" hidden="false" customHeight="false" outlineLevel="0" collapsed="false">
      <c r="A220" s="309" t="s">
        <v>1638</v>
      </c>
      <c r="B220" s="309" t="s">
        <v>1639</v>
      </c>
      <c r="C220" s="309" t="s">
        <v>1640</v>
      </c>
      <c r="D220" s="309" t="s">
        <v>1641</v>
      </c>
      <c r="E220" s="309" t="s">
        <v>1642</v>
      </c>
      <c r="F220" s="318" t="b">
        <f aca="false">TRUE()</f>
        <v>1</v>
      </c>
      <c r="G220" s="309" t="s">
        <v>457</v>
      </c>
      <c r="H220" s="309" t="s">
        <v>1639</v>
      </c>
      <c r="I220" s="312" t="n">
        <v>-1</v>
      </c>
      <c r="J220" s="3"/>
      <c r="K220" s="309" t="s">
        <v>884</v>
      </c>
      <c r="L220" s="312" t="n">
        <v>9</v>
      </c>
      <c r="M220" s="309" t="s">
        <v>783</v>
      </c>
      <c r="N220" s="309" t="s">
        <v>743</v>
      </c>
      <c r="O220" s="309" t="s">
        <v>744</v>
      </c>
      <c r="P220" s="309" t="s">
        <v>745</v>
      </c>
      <c r="Q220" s="309" t="s">
        <v>746</v>
      </c>
      <c r="R220" s="318" t="b">
        <f aca="false">FALSE()</f>
        <v>0</v>
      </c>
      <c r="S220" s="312" t="n">
        <v>110</v>
      </c>
      <c r="T220" s="312" t="n">
        <v>100</v>
      </c>
      <c r="U220" s="312" t="n">
        <v>110</v>
      </c>
      <c r="V220" s="312" t="n">
        <v>105</v>
      </c>
      <c r="W220" s="312" t="n">
        <v>100</v>
      </c>
      <c r="X220" s="312" t="n">
        <v>100</v>
      </c>
      <c r="Y220" s="312" t="n">
        <v>0.2</v>
      </c>
      <c r="Z220" s="312" t="n">
        <v>0.7</v>
      </c>
      <c r="AA220" s="312" t="n">
        <v>10</v>
      </c>
      <c r="AB220" s="312" t="n">
        <v>7160</v>
      </c>
      <c r="AC220" s="309" t="s">
        <v>1253</v>
      </c>
      <c r="AD220" s="309" t="s">
        <v>182</v>
      </c>
      <c r="AE220" s="312" t="n">
        <v>60</v>
      </c>
      <c r="AF220" s="312" t="n">
        <v>100</v>
      </c>
      <c r="AG220" s="312" t="n">
        <v>450</v>
      </c>
      <c r="AH220" s="312" t="n">
        <v>550</v>
      </c>
      <c r="AI220" s="312" t="n">
        <v>275</v>
      </c>
      <c r="AJ220" s="318" t="b">
        <f aca="false">TRUE()</f>
        <v>1</v>
      </c>
      <c r="AK220" s="318" t="b">
        <f aca="false">FALSE()</f>
        <v>0</v>
      </c>
      <c r="AL220" s="309" t="s">
        <v>1247</v>
      </c>
      <c r="AM220" s="318" t="b">
        <f aca="false">FALSE()</f>
        <v>0</v>
      </c>
      <c r="AN220" s="318" t="b">
        <f aca="false">FALSE()</f>
        <v>0</v>
      </c>
      <c r="AO220" s="312" t="n">
        <v>400</v>
      </c>
      <c r="AP220" s="312" t="n">
        <v>1</v>
      </c>
      <c r="AQ220" s="312" t="n">
        <v>6</v>
      </c>
      <c r="AR220" s="312" t="n">
        <v>25</v>
      </c>
      <c r="AS220" s="312" t="n">
        <v>90</v>
      </c>
      <c r="AT220" s="312" t="n">
        <v>1</v>
      </c>
      <c r="AU220" s="318" t="b">
        <f aca="false">FALSE()</f>
        <v>0</v>
      </c>
      <c r="AV220" s="318" t="b">
        <f aca="false">FALSE()</f>
        <v>0</v>
      </c>
      <c r="AW220" s="312" t="n">
        <v>9</v>
      </c>
      <c r="AX220" s="318" t="b">
        <f aca="false">FALSE()</f>
        <v>0</v>
      </c>
      <c r="AY220" s="318" t="b">
        <f aca="false">TRUE()</f>
        <v>1</v>
      </c>
      <c r="AZ220" s="312" t="n">
        <v>100</v>
      </c>
      <c r="BA220" s="312" t="n">
        <v>30</v>
      </c>
      <c r="BB220" s="312" t="n">
        <v>250</v>
      </c>
      <c r="BC220" s="312" t="n">
        <v>0</v>
      </c>
      <c r="BD220" s="312" t="n">
        <v>0</v>
      </c>
      <c r="BE220" s="312" t="n">
        <v>4</v>
      </c>
      <c r="BF220" s="312" t="n">
        <v>0</v>
      </c>
      <c r="BG220" s="312" t="n">
        <v>3</v>
      </c>
      <c r="BH220" s="312" t="n">
        <v>2</v>
      </c>
      <c r="BI220" s="312" t="n">
        <v>0</v>
      </c>
      <c r="BJ220" s="312" t="n">
        <v>0</v>
      </c>
      <c r="BK220" s="312" t="n">
        <v>0</v>
      </c>
      <c r="BL220" s="312" t="n">
        <v>3</v>
      </c>
      <c r="BM220" s="312" t="n">
        <v>0</v>
      </c>
      <c r="BN220" s="312" t="n">
        <v>0</v>
      </c>
      <c r="BO220" s="312" t="n">
        <v>0</v>
      </c>
      <c r="BP220" s="309" t="s">
        <v>1097</v>
      </c>
      <c r="BQ220" s="309" t="s">
        <v>182</v>
      </c>
      <c r="BR220" s="309" t="s">
        <v>182</v>
      </c>
      <c r="BS220" s="309" t="s">
        <v>182</v>
      </c>
      <c r="BT220" s="312" t="n">
        <v>293</v>
      </c>
      <c r="BU220" s="318" t="b">
        <f aca="false">TRUE()</f>
        <v>1</v>
      </c>
      <c r="BV220" s="3" t="e">
        <f aca="false">xlookup(MID($A220,7,50),$A$2:$A$139,$BV$2:$BV$139,,0,1)</f>
        <v>#NAME?</v>
      </c>
      <c r="BW220" s="3"/>
      <c r="BX220" s="3"/>
      <c r="BY220" s="3"/>
      <c r="BZ220" s="3"/>
      <c r="CA220" s="3" t="s">
        <v>1098</v>
      </c>
      <c r="CB220" s="85" t="n">
        <v>1000</v>
      </c>
      <c r="CC220" s="85" t="n">
        <v>1100</v>
      </c>
      <c r="CD220" s="85" t="n">
        <v>1300</v>
      </c>
      <c r="CE220" s="85" t="n">
        <v>1600</v>
      </c>
      <c r="CF220" s="85" t="n">
        <v>2000</v>
      </c>
      <c r="CG220" s="3"/>
      <c r="CH220" s="3"/>
      <c r="CI220" s="3"/>
      <c r="CJ220" s="3"/>
      <c r="CK220" s="3"/>
      <c r="CL220" s="3"/>
      <c r="CM220" s="3"/>
      <c r="CN220" s="3"/>
      <c r="CO220" s="3"/>
      <c r="CP220" s="3"/>
      <c r="CQ220" s="3"/>
      <c r="CR220" s="3"/>
      <c r="CS220" s="3"/>
      <c r="CT220" s="3"/>
      <c r="CU220" s="3"/>
      <c r="CV220" s="3"/>
      <c r="CW220" s="3"/>
      <c r="CX220" s="3"/>
      <c r="CY220" s="3"/>
      <c r="CZ220" s="3"/>
    </row>
    <row r="221" customFormat="false" ht="15.75" hidden="false" customHeight="false" outlineLevel="0" collapsed="false">
      <c r="A221" s="309" t="s">
        <v>1643</v>
      </c>
      <c r="B221" s="309" t="s">
        <v>1644</v>
      </c>
      <c r="C221" s="309" t="s">
        <v>1645</v>
      </c>
      <c r="D221" s="309" t="s">
        <v>1646</v>
      </c>
      <c r="E221" s="309" t="s">
        <v>1647</v>
      </c>
      <c r="F221" s="318" t="b">
        <f aca="false">TRUE()</f>
        <v>1</v>
      </c>
      <c r="G221" s="309" t="s">
        <v>536</v>
      </c>
      <c r="H221" s="309" t="s">
        <v>1644</v>
      </c>
      <c r="I221" s="312" t="n">
        <v>-1</v>
      </c>
      <c r="J221" s="3"/>
      <c r="K221" s="309" t="s">
        <v>884</v>
      </c>
      <c r="L221" s="312" t="n">
        <v>10</v>
      </c>
      <c r="M221" s="309" t="s">
        <v>758</v>
      </c>
      <c r="N221" s="309" t="s">
        <v>743</v>
      </c>
      <c r="O221" s="309" t="s">
        <v>744</v>
      </c>
      <c r="P221" s="309" t="s">
        <v>745</v>
      </c>
      <c r="Q221" s="309" t="s">
        <v>746</v>
      </c>
      <c r="R221" s="318" t="b">
        <f aca="false">FALSE()</f>
        <v>0</v>
      </c>
      <c r="S221" s="312" t="n">
        <v>110</v>
      </c>
      <c r="T221" s="312" t="n">
        <v>100</v>
      </c>
      <c r="U221" s="312" t="n">
        <v>110</v>
      </c>
      <c r="V221" s="312" t="n">
        <v>115</v>
      </c>
      <c r="W221" s="312" t="n">
        <v>100</v>
      </c>
      <c r="X221" s="312" t="n">
        <v>100</v>
      </c>
      <c r="Y221" s="312" t="n">
        <v>0.2</v>
      </c>
      <c r="Z221" s="312" t="n">
        <v>0.7</v>
      </c>
      <c r="AA221" s="312" t="n">
        <v>10</v>
      </c>
      <c r="AB221" s="312" t="n">
        <v>7610</v>
      </c>
      <c r="AC221" s="309" t="s">
        <v>1253</v>
      </c>
      <c r="AD221" s="309" t="s">
        <v>182</v>
      </c>
      <c r="AE221" s="312" t="n">
        <v>60</v>
      </c>
      <c r="AF221" s="312" t="n">
        <v>100</v>
      </c>
      <c r="AG221" s="312" t="n">
        <v>450</v>
      </c>
      <c r="AH221" s="312" t="n">
        <v>550</v>
      </c>
      <c r="AI221" s="312" t="n">
        <v>275</v>
      </c>
      <c r="AJ221" s="318" t="b">
        <f aca="false">TRUE()</f>
        <v>1</v>
      </c>
      <c r="AK221" s="318" t="b">
        <f aca="false">FALSE()</f>
        <v>0</v>
      </c>
      <c r="AL221" s="309" t="s">
        <v>1247</v>
      </c>
      <c r="AM221" s="318" t="b">
        <f aca="false">FALSE()</f>
        <v>0</v>
      </c>
      <c r="AN221" s="318" t="b">
        <f aca="false">FALSE()</f>
        <v>0</v>
      </c>
      <c r="AO221" s="312" t="n">
        <v>400</v>
      </c>
      <c r="AP221" s="312" t="n">
        <v>1</v>
      </c>
      <c r="AQ221" s="312" t="n">
        <v>6</v>
      </c>
      <c r="AR221" s="312" t="n">
        <v>25</v>
      </c>
      <c r="AS221" s="312" t="n">
        <v>90</v>
      </c>
      <c r="AT221" s="312" t="n">
        <v>1</v>
      </c>
      <c r="AU221" s="318" t="b">
        <f aca="false">FALSE()</f>
        <v>0</v>
      </c>
      <c r="AV221" s="318" t="b">
        <f aca="false">FALSE()</f>
        <v>0</v>
      </c>
      <c r="AW221" s="312" t="n">
        <v>9</v>
      </c>
      <c r="AX221" s="318" t="b">
        <f aca="false">FALSE()</f>
        <v>0</v>
      </c>
      <c r="AY221" s="318" t="b">
        <f aca="false">TRUE()</f>
        <v>1</v>
      </c>
      <c r="AZ221" s="312" t="n">
        <v>100</v>
      </c>
      <c r="BA221" s="312" t="n">
        <v>30</v>
      </c>
      <c r="BB221" s="312" t="n">
        <v>210</v>
      </c>
      <c r="BC221" s="312" t="n">
        <v>0</v>
      </c>
      <c r="BD221" s="312" t="n">
        <v>0</v>
      </c>
      <c r="BE221" s="312" t="n">
        <v>0</v>
      </c>
      <c r="BF221" s="312" t="n">
        <v>0</v>
      </c>
      <c r="BG221" s="312" t="n">
        <v>3</v>
      </c>
      <c r="BH221" s="312" t="n">
        <v>2</v>
      </c>
      <c r="BI221" s="312" t="n">
        <v>0</v>
      </c>
      <c r="BJ221" s="312" t="n">
        <v>0</v>
      </c>
      <c r="BK221" s="312" t="n">
        <v>0</v>
      </c>
      <c r="BL221" s="312" t="n">
        <v>3</v>
      </c>
      <c r="BM221" s="312" t="n">
        <v>0</v>
      </c>
      <c r="BN221" s="312" t="n">
        <v>0</v>
      </c>
      <c r="BO221" s="312" t="n">
        <v>0</v>
      </c>
      <c r="BP221" s="309" t="s">
        <v>182</v>
      </c>
      <c r="BQ221" s="309" t="s">
        <v>182</v>
      </c>
      <c r="BR221" s="309" t="s">
        <v>182</v>
      </c>
      <c r="BS221" s="309" t="s">
        <v>182</v>
      </c>
      <c r="BT221" s="312" t="n">
        <v>294</v>
      </c>
      <c r="BU221" s="318" t="b">
        <f aca="false">TRUE()</f>
        <v>1</v>
      </c>
      <c r="BV221" s="3" t="e">
        <f aca="false">xlookup(MID($A221,7,50),$A$2:$A$139,$BV$2:$BV$139,,0,1)</f>
        <v>#NAME?</v>
      </c>
      <c r="BW221" s="3"/>
      <c r="BX221" s="3"/>
      <c r="BY221" s="3"/>
      <c r="BZ221" s="3"/>
      <c r="CA221" s="3" t="s">
        <v>1098</v>
      </c>
      <c r="CB221" s="85" t="n">
        <v>1000</v>
      </c>
      <c r="CC221" s="85" t="n">
        <v>1100</v>
      </c>
      <c r="CD221" s="85" t="n">
        <v>1300</v>
      </c>
      <c r="CE221" s="85" t="n">
        <v>1600</v>
      </c>
      <c r="CF221" s="85" t="n">
        <v>2000</v>
      </c>
      <c r="CG221" s="3"/>
      <c r="CH221" s="3"/>
      <c r="CI221" s="3"/>
      <c r="CJ221" s="3"/>
      <c r="CK221" s="3"/>
      <c r="CL221" s="3"/>
      <c r="CM221" s="3"/>
      <c r="CN221" s="3"/>
      <c r="CO221" s="3"/>
      <c r="CP221" s="3"/>
      <c r="CQ221" s="3"/>
      <c r="CR221" s="3"/>
      <c r="CS221" s="3"/>
      <c r="CT221" s="3"/>
      <c r="CU221" s="3"/>
      <c r="CV221" s="3"/>
      <c r="CW221" s="3"/>
      <c r="CX221" s="3"/>
      <c r="CY221" s="3"/>
      <c r="CZ221" s="3"/>
    </row>
    <row r="222" customFormat="false" ht="15.75" hidden="false" customHeight="false" outlineLevel="0" collapsed="false">
      <c r="A222" s="309" t="s">
        <v>1648</v>
      </c>
      <c r="B222" s="309" t="s">
        <v>1649</v>
      </c>
      <c r="C222" s="309" t="s">
        <v>1650</v>
      </c>
      <c r="D222" s="309" t="s">
        <v>1651</v>
      </c>
      <c r="E222" s="309" t="s">
        <v>1652</v>
      </c>
      <c r="F222" s="318" t="b">
        <f aca="false">TRUE()</f>
        <v>1</v>
      </c>
      <c r="G222" s="309" t="s">
        <v>848</v>
      </c>
      <c r="H222" s="309" t="s">
        <v>1649</v>
      </c>
      <c r="I222" s="312" t="n">
        <v>-1</v>
      </c>
      <c r="J222" s="3"/>
      <c r="K222" s="309" t="s">
        <v>884</v>
      </c>
      <c r="L222" s="312" t="n">
        <v>1</v>
      </c>
      <c r="M222" s="309" t="s">
        <v>783</v>
      </c>
      <c r="N222" s="309" t="s">
        <v>743</v>
      </c>
      <c r="O222" s="309" t="s">
        <v>744</v>
      </c>
      <c r="P222" s="309" t="s">
        <v>745</v>
      </c>
      <c r="Q222" s="309" t="s">
        <v>746</v>
      </c>
      <c r="R222" s="318" t="b">
        <f aca="false">FALSE()</f>
        <v>0</v>
      </c>
      <c r="S222" s="312" t="n">
        <v>80</v>
      </c>
      <c r="T222" s="312" t="n">
        <v>80</v>
      </c>
      <c r="U222" s="312" t="n">
        <v>80</v>
      </c>
      <c r="V222" s="312" t="n">
        <v>80</v>
      </c>
      <c r="W222" s="312" t="n">
        <v>100</v>
      </c>
      <c r="X222" s="312" t="n">
        <v>100</v>
      </c>
      <c r="Y222" s="312" t="n">
        <v>0.2</v>
      </c>
      <c r="Z222" s="312" t="n">
        <v>0.7</v>
      </c>
      <c r="AA222" s="312" t="n">
        <v>10</v>
      </c>
      <c r="AB222" s="312" t="n">
        <v>1140</v>
      </c>
      <c r="AC222" s="309" t="s">
        <v>836</v>
      </c>
      <c r="AD222" s="309" t="s">
        <v>182</v>
      </c>
      <c r="AE222" s="312" t="n">
        <v>50</v>
      </c>
      <c r="AF222" s="312" t="n">
        <v>100</v>
      </c>
      <c r="AG222" s="312" t="n">
        <v>400</v>
      </c>
      <c r="AH222" s="312" t="n">
        <v>550</v>
      </c>
      <c r="AI222" s="312" t="n">
        <v>250</v>
      </c>
      <c r="AJ222" s="318" t="b">
        <f aca="false">TRUE()</f>
        <v>1</v>
      </c>
      <c r="AK222" s="318" t="b">
        <f aca="false">FALSE()</f>
        <v>0</v>
      </c>
      <c r="AL222" s="309" t="s">
        <v>1247</v>
      </c>
      <c r="AM222" s="318" t="b">
        <f aca="false">FALSE()</f>
        <v>0</v>
      </c>
      <c r="AN222" s="318" t="b">
        <f aca="false">FALSE()</f>
        <v>0</v>
      </c>
      <c r="AO222" s="312" t="n">
        <v>350</v>
      </c>
      <c r="AP222" s="312" t="n">
        <v>1</v>
      </c>
      <c r="AQ222" s="312" t="n">
        <v>5</v>
      </c>
      <c r="AR222" s="312" t="n">
        <v>25</v>
      </c>
      <c r="AS222" s="312" t="n">
        <v>90</v>
      </c>
      <c r="AT222" s="312" t="n">
        <v>1</v>
      </c>
      <c r="AU222" s="318" t="b">
        <f aca="false">FALSE()</f>
        <v>0</v>
      </c>
      <c r="AV222" s="318" t="b">
        <f aca="false">FALSE()</f>
        <v>0</v>
      </c>
      <c r="AW222" s="312" t="n">
        <v>9</v>
      </c>
      <c r="AX222" s="318" t="b">
        <f aca="false">FALSE()</f>
        <v>0</v>
      </c>
      <c r="AY222" s="318" t="b">
        <f aca="false">TRUE()</f>
        <v>1</v>
      </c>
      <c r="AZ222" s="312" t="n">
        <v>100</v>
      </c>
      <c r="BA222" s="312" t="n">
        <v>50</v>
      </c>
      <c r="BB222" s="312" t="n">
        <v>1320</v>
      </c>
      <c r="BC222" s="312" t="n">
        <v>0</v>
      </c>
      <c r="BD222" s="312" t="n">
        <v>0</v>
      </c>
      <c r="BE222" s="312" t="n">
        <v>1</v>
      </c>
      <c r="BF222" s="312" t="n">
        <v>0</v>
      </c>
      <c r="BG222" s="312" t="n">
        <v>1</v>
      </c>
      <c r="BH222" s="312" t="n">
        <v>1</v>
      </c>
      <c r="BI222" s="312" t="n">
        <v>0</v>
      </c>
      <c r="BJ222" s="312" t="n">
        <v>0</v>
      </c>
      <c r="BK222" s="312" t="n">
        <v>0</v>
      </c>
      <c r="BL222" s="312" t="n">
        <v>2</v>
      </c>
      <c r="BM222" s="312" t="n">
        <v>0</v>
      </c>
      <c r="BN222" s="312" t="n">
        <v>1</v>
      </c>
      <c r="BO222" s="312" t="n">
        <v>0</v>
      </c>
      <c r="BP222" s="309" t="s">
        <v>182</v>
      </c>
      <c r="BQ222" s="309" t="s">
        <v>182</v>
      </c>
      <c r="BR222" s="309" t="s">
        <v>182</v>
      </c>
      <c r="BS222" s="309" t="s">
        <v>182</v>
      </c>
      <c r="BT222" s="312" t="n">
        <v>295</v>
      </c>
      <c r="BU222" s="318" t="b">
        <f aca="false">FALSE()</f>
        <v>0</v>
      </c>
      <c r="BV222" s="3" t="e">
        <f aca="false">xlookup(MID($A222,7,50),$A$2:$A$139,$BV$2:$BV$139,,0,1)</f>
        <v>#NAME?</v>
      </c>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t="s">
        <v>849</v>
      </c>
      <c r="CV222" s="3" t="s">
        <v>850</v>
      </c>
      <c r="CW222" s="3" t="s">
        <v>851</v>
      </c>
      <c r="CX222" s="3" t="s">
        <v>852</v>
      </c>
      <c r="CY222" s="3" t="s">
        <v>853</v>
      </c>
      <c r="CZ222" s="3" t="s">
        <v>854</v>
      </c>
    </row>
    <row r="223" customFormat="false" ht="15.75" hidden="false" customHeight="false" outlineLevel="0" collapsed="false">
      <c r="A223" s="309" t="s">
        <v>1653</v>
      </c>
      <c r="B223" s="309" t="s">
        <v>1654</v>
      </c>
      <c r="C223" s="309" t="s">
        <v>1655</v>
      </c>
      <c r="D223" s="309" t="s">
        <v>1656</v>
      </c>
      <c r="E223" s="309" t="s">
        <v>1657</v>
      </c>
      <c r="F223" s="318" t="b">
        <f aca="false">TRUE()</f>
        <v>1</v>
      </c>
      <c r="G223" s="309" t="s">
        <v>460</v>
      </c>
      <c r="H223" s="309" t="s">
        <v>1654</v>
      </c>
      <c r="I223" s="312" t="n">
        <v>-1</v>
      </c>
      <c r="J223" s="3"/>
      <c r="K223" s="309" t="s">
        <v>884</v>
      </c>
      <c r="L223" s="312" t="n">
        <v>2</v>
      </c>
      <c r="M223" s="309" t="s">
        <v>758</v>
      </c>
      <c r="N223" s="309" t="s">
        <v>743</v>
      </c>
      <c r="O223" s="309" t="s">
        <v>744</v>
      </c>
      <c r="P223" s="309" t="s">
        <v>745</v>
      </c>
      <c r="Q223" s="309" t="s">
        <v>746</v>
      </c>
      <c r="R223" s="318" t="b">
        <f aca="false">FALSE()</f>
        <v>0</v>
      </c>
      <c r="S223" s="312" t="n">
        <v>80</v>
      </c>
      <c r="T223" s="312" t="n">
        <v>90</v>
      </c>
      <c r="U223" s="312" t="n">
        <v>80</v>
      </c>
      <c r="V223" s="312" t="n">
        <v>50</v>
      </c>
      <c r="W223" s="312" t="n">
        <v>100</v>
      </c>
      <c r="X223" s="312" t="n">
        <v>100</v>
      </c>
      <c r="Y223" s="312" t="n">
        <v>0.4</v>
      </c>
      <c r="Z223" s="312" t="n">
        <v>0.7</v>
      </c>
      <c r="AA223" s="312" t="n">
        <v>10</v>
      </c>
      <c r="AB223" s="312" t="n">
        <v>1720</v>
      </c>
      <c r="AC223" s="309" t="s">
        <v>1253</v>
      </c>
      <c r="AD223" s="309" t="s">
        <v>182</v>
      </c>
      <c r="AE223" s="312" t="n">
        <v>100</v>
      </c>
      <c r="AF223" s="312" t="n">
        <v>140</v>
      </c>
      <c r="AG223" s="312" t="n">
        <v>600</v>
      </c>
      <c r="AH223" s="312" t="n">
        <v>800</v>
      </c>
      <c r="AI223" s="312" t="n">
        <v>270</v>
      </c>
      <c r="AJ223" s="318" t="b">
        <f aca="false">TRUE()</f>
        <v>1</v>
      </c>
      <c r="AK223" s="318" t="b">
        <f aca="false">FALSE()</f>
        <v>0</v>
      </c>
      <c r="AL223" s="309" t="s">
        <v>1247</v>
      </c>
      <c r="AM223" s="318" t="b">
        <f aca="false">FALSE()</f>
        <v>0</v>
      </c>
      <c r="AN223" s="318" t="b">
        <f aca="false">FALSE()</f>
        <v>0</v>
      </c>
      <c r="AO223" s="312" t="n">
        <v>225</v>
      </c>
      <c r="AP223" s="312" t="n">
        <v>1</v>
      </c>
      <c r="AQ223" s="312" t="n">
        <v>3</v>
      </c>
      <c r="AR223" s="312" t="n">
        <v>25</v>
      </c>
      <c r="AS223" s="312" t="n">
        <v>90</v>
      </c>
      <c r="AT223" s="312" t="n">
        <v>1</v>
      </c>
      <c r="AU223" s="318" t="b">
        <f aca="false">FALSE()</f>
        <v>0</v>
      </c>
      <c r="AV223" s="318" t="b">
        <f aca="false">TRUE()</f>
        <v>1</v>
      </c>
      <c r="AW223" s="312" t="n">
        <v>9</v>
      </c>
      <c r="AX223" s="318" t="b">
        <f aca="false">TRUE()</f>
        <v>1</v>
      </c>
      <c r="AY223" s="318" t="b">
        <f aca="false">TRUE()</f>
        <v>1</v>
      </c>
      <c r="AZ223" s="312" t="n">
        <v>100</v>
      </c>
      <c r="BA223" s="312" t="n">
        <v>50</v>
      </c>
      <c r="BB223" s="312" t="n">
        <v>1120</v>
      </c>
      <c r="BC223" s="312" t="n">
        <v>0</v>
      </c>
      <c r="BD223" s="312" t="n">
        <v>0</v>
      </c>
      <c r="BE223" s="312" t="n">
        <v>0</v>
      </c>
      <c r="BF223" s="312" t="n">
        <v>0</v>
      </c>
      <c r="BG223" s="312" t="n">
        <v>1</v>
      </c>
      <c r="BH223" s="312" t="n">
        <v>1</v>
      </c>
      <c r="BI223" s="312" t="n">
        <v>0</v>
      </c>
      <c r="BJ223" s="312" t="n">
        <v>0</v>
      </c>
      <c r="BK223" s="312" t="n">
        <v>0</v>
      </c>
      <c r="BL223" s="312" t="n">
        <v>0</v>
      </c>
      <c r="BM223" s="312" t="n">
        <v>0</v>
      </c>
      <c r="BN223" s="312" t="n">
        <v>1</v>
      </c>
      <c r="BO223" s="312" t="n">
        <v>0</v>
      </c>
      <c r="BP223" s="309" t="s">
        <v>182</v>
      </c>
      <c r="BQ223" s="309" t="s">
        <v>182</v>
      </c>
      <c r="BR223" s="309" t="s">
        <v>182</v>
      </c>
      <c r="BS223" s="309" t="s">
        <v>182</v>
      </c>
      <c r="BT223" s="312" t="n">
        <v>296</v>
      </c>
      <c r="BU223" s="318" t="b">
        <f aca="false">FALSE()</f>
        <v>0</v>
      </c>
      <c r="BV223" s="3" t="e">
        <f aca="false">xlookup(MID($A223,7,50),$A$2:$A$139,$BV$2:$BV$139,,0,1)</f>
        <v>#NAME?</v>
      </c>
      <c r="BW223" s="3"/>
      <c r="BX223" s="3"/>
      <c r="BY223" s="3"/>
      <c r="BZ223" s="3"/>
      <c r="CA223" s="3" t="s">
        <v>977</v>
      </c>
      <c r="CB223" s="85" t="n">
        <v>10000</v>
      </c>
      <c r="CC223" s="85" t="n">
        <v>11000</v>
      </c>
      <c r="CD223" s="85" t="n">
        <v>13000</v>
      </c>
      <c r="CE223" s="85" t="n">
        <v>16000</v>
      </c>
      <c r="CF223" s="85" t="n">
        <v>20000</v>
      </c>
      <c r="CG223" s="3"/>
      <c r="CH223" s="3"/>
      <c r="CI223" s="3"/>
      <c r="CJ223" s="3"/>
      <c r="CK223" s="3"/>
      <c r="CL223" s="3"/>
      <c r="CM223" s="3"/>
      <c r="CN223" s="3"/>
      <c r="CO223" s="3"/>
      <c r="CP223" s="3"/>
      <c r="CQ223" s="3"/>
      <c r="CR223" s="3"/>
      <c r="CS223" s="3"/>
      <c r="CT223" s="3"/>
      <c r="CU223" s="3"/>
      <c r="CV223" s="3"/>
      <c r="CW223" s="3"/>
      <c r="CX223" s="3"/>
      <c r="CY223" s="3"/>
      <c r="CZ223" s="3"/>
    </row>
    <row r="224" customFormat="false" ht="15.75" hidden="false" customHeight="false" outlineLevel="0" collapsed="false">
      <c r="A224" s="309" t="s">
        <v>1658</v>
      </c>
      <c r="B224" s="309" t="s">
        <v>1659</v>
      </c>
      <c r="C224" s="309" t="s">
        <v>1660</v>
      </c>
      <c r="D224" s="309" t="s">
        <v>1661</v>
      </c>
      <c r="E224" s="309" t="s">
        <v>1662</v>
      </c>
      <c r="F224" s="318" t="b">
        <f aca="false">TRUE()</f>
        <v>1</v>
      </c>
      <c r="G224" s="309" t="s">
        <v>538</v>
      </c>
      <c r="H224" s="309" t="s">
        <v>1659</v>
      </c>
      <c r="I224" s="312" t="n">
        <v>-1</v>
      </c>
      <c r="J224" s="3"/>
      <c r="K224" s="309" t="s">
        <v>884</v>
      </c>
      <c r="L224" s="312" t="n">
        <v>3</v>
      </c>
      <c r="M224" s="309" t="s">
        <v>757</v>
      </c>
      <c r="N224" s="309" t="s">
        <v>743</v>
      </c>
      <c r="O224" s="309" t="s">
        <v>744</v>
      </c>
      <c r="P224" s="309" t="s">
        <v>745</v>
      </c>
      <c r="Q224" s="309" t="s">
        <v>746</v>
      </c>
      <c r="R224" s="318" t="b">
        <f aca="false">FALSE()</f>
        <v>0</v>
      </c>
      <c r="S224" s="312" t="n">
        <v>80</v>
      </c>
      <c r="T224" s="312" t="n">
        <v>90</v>
      </c>
      <c r="U224" s="312" t="n">
        <v>80</v>
      </c>
      <c r="V224" s="312" t="n">
        <v>50</v>
      </c>
      <c r="W224" s="312" t="n">
        <v>100</v>
      </c>
      <c r="X224" s="312" t="n">
        <v>100</v>
      </c>
      <c r="Y224" s="312" t="n">
        <v>0.2</v>
      </c>
      <c r="Z224" s="312" t="n">
        <v>0.7</v>
      </c>
      <c r="AA224" s="312" t="n">
        <v>10</v>
      </c>
      <c r="AB224" s="312" t="n">
        <v>1640</v>
      </c>
      <c r="AC224" s="309" t="s">
        <v>1253</v>
      </c>
      <c r="AD224" s="309" t="s">
        <v>182</v>
      </c>
      <c r="AE224" s="312" t="n">
        <v>100</v>
      </c>
      <c r="AF224" s="312" t="n">
        <v>140</v>
      </c>
      <c r="AG224" s="312" t="n">
        <v>400</v>
      </c>
      <c r="AH224" s="312" t="n">
        <v>550</v>
      </c>
      <c r="AI224" s="312" t="n">
        <v>270</v>
      </c>
      <c r="AJ224" s="318" t="b">
        <f aca="false">TRUE()</f>
        <v>1</v>
      </c>
      <c r="AK224" s="318" t="b">
        <f aca="false">FALSE()</f>
        <v>0</v>
      </c>
      <c r="AL224" s="309" t="s">
        <v>1247</v>
      </c>
      <c r="AM224" s="318" t="b">
        <f aca="false">FALSE()</f>
        <v>0</v>
      </c>
      <c r="AN224" s="318" t="b">
        <f aca="false">FALSE()</f>
        <v>0</v>
      </c>
      <c r="AO224" s="312" t="n">
        <v>225</v>
      </c>
      <c r="AP224" s="312" t="n">
        <v>1</v>
      </c>
      <c r="AQ224" s="312" t="n">
        <v>3</v>
      </c>
      <c r="AR224" s="312" t="n">
        <v>25</v>
      </c>
      <c r="AS224" s="312" t="n">
        <v>90</v>
      </c>
      <c r="AT224" s="312" t="n">
        <v>1</v>
      </c>
      <c r="AU224" s="318" t="b">
        <f aca="false">FALSE()</f>
        <v>0</v>
      </c>
      <c r="AV224" s="318" t="b">
        <f aca="false">FALSE()</f>
        <v>0</v>
      </c>
      <c r="AW224" s="312" t="n">
        <v>9</v>
      </c>
      <c r="AX224" s="318" t="b">
        <f aca="false">TRUE()</f>
        <v>1</v>
      </c>
      <c r="AY224" s="318" t="b">
        <f aca="false">TRUE()</f>
        <v>1</v>
      </c>
      <c r="AZ224" s="312" t="n">
        <v>100</v>
      </c>
      <c r="BA224" s="312" t="n">
        <v>50</v>
      </c>
      <c r="BB224" s="312" t="n">
        <v>1140</v>
      </c>
      <c r="BC224" s="312" t="n">
        <v>1</v>
      </c>
      <c r="BD224" s="312" t="n">
        <v>0</v>
      </c>
      <c r="BE224" s="312" t="n">
        <v>0</v>
      </c>
      <c r="BF224" s="312" t="n">
        <v>0</v>
      </c>
      <c r="BG224" s="312" t="n">
        <v>1</v>
      </c>
      <c r="BH224" s="312" t="n">
        <v>1</v>
      </c>
      <c r="BI224" s="312" t="n">
        <v>0</v>
      </c>
      <c r="BJ224" s="312" t="n">
        <v>0</v>
      </c>
      <c r="BK224" s="312" t="n">
        <v>0</v>
      </c>
      <c r="BL224" s="312" t="n">
        <v>0</v>
      </c>
      <c r="BM224" s="312" t="n">
        <v>0</v>
      </c>
      <c r="BN224" s="312" t="n">
        <v>1</v>
      </c>
      <c r="BO224" s="312" t="n">
        <v>0</v>
      </c>
      <c r="BP224" s="309" t="s">
        <v>182</v>
      </c>
      <c r="BQ224" s="309" t="s">
        <v>182</v>
      </c>
      <c r="BR224" s="309" t="s">
        <v>182</v>
      </c>
      <c r="BS224" s="309" t="s">
        <v>182</v>
      </c>
      <c r="BT224" s="312" t="n">
        <v>297</v>
      </c>
      <c r="BU224" s="318" t="b">
        <f aca="false">TRUE()</f>
        <v>1</v>
      </c>
      <c r="BV224" s="3" t="e">
        <f aca="false">xlookup(MID($A224,7,50),$A$2:$A$139,$BV$2:$BV$139,,0,1)</f>
        <v>#NAME?</v>
      </c>
      <c r="BW224" s="3"/>
      <c r="BX224" s="3"/>
      <c r="BY224" s="3"/>
      <c r="BZ224" s="3"/>
      <c r="CA224" s="3" t="s">
        <v>977</v>
      </c>
      <c r="CB224" s="85" t="n">
        <v>10000</v>
      </c>
      <c r="CC224" s="85" t="n">
        <v>11000</v>
      </c>
      <c r="CD224" s="85" t="n">
        <v>13000</v>
      </c>
      <c r="CE224" s="85" t="n">
        <v>16000</v>
      </c>
      <c r="CF224" s="85" t="n">
        <v>20000</v>
      </c>
      <c r="CG224" s="3"/>
      <c r="CH224" s="3"/>
      <c r="CI224" s="3"/>
      <c r="CJ224" s="3"/>
      <c r="CK224" s="3"/>
      <c r="CL224" s="3"/>
      <c r="CM224" s="3"/>
      <c r="CN224" s="3"/>
      <c r="CO224" s="3"/>
      <c r="CP224" s="3"/>
      <c r="CQ224" s="3"/>
      <c r="CR224" s="3"/>
      <c r="CS224" s="3"/>
      <c r="CT224" s="3"/>
      <c r="CU224" s="3"/>
      <c r="CV224" s="3"/>
      <c r="CW224" s="3"/>
      <c r="CX224" s="3"/>
      <c r="CY224" s="3"/>
      <c r="CZ224" s="3"/>
    </row>
    <row r="225" customFormat="false" ht="15.75" hidden="false" customHeight="false" outlineLevel="0" collapsed="false">
      <c r="A225" s="309" t="s">
        <v>1663</v>
      </c>
      <c r="B225" s="309" t="s">
        <v>1664</v>
      </c>
      <c r="C225" s="309" t="s">
        <v>1665</v>
      </c>
      <c r="D225" s="309" t="s">
        <v>1666</v>
      </c>
      <c r="E225" s="309" t="s">
        <v>1667</v>
      </c>
      <c r="F225" s="318" t="b">
        <f aca="false">TRUE()</f>
        <v>1</v>
      </c>
      <c r="G225" s="309" t="s">
        <v>463</v>
      </c>
      <c r="H225" s="309" t="s">
        <v>1664</v>
      </c>
      <c r="I225" s="312" t="n">
        <v>-1</v>
      </c>
      <c r="J225" s="3"/>
      <c r="K225" s="309" t="s">
        <v>884</v>
      </c>
      <c r="L225" s="312" t="n">
        <v>7</v>
      </c>
      <c r="M225" s="309" t="s">
        <v>757</v>
      </c>
      <c r="N225" s="309" t="s">
        <v>743</v>
      </c>
      <c r="O225" s="309" t="s">
        <v>763</v>
      </c>
      <c r="P225" s="309" t="s">
        <v>745</v>
      </c>
      <c r="Q225" s="309" t="s">
        <v>746</v>
      </c>
      <c r="R225" s="318" t="b">
        <f aca="false">FALSE()</f>
        <v>0</v>
      </c>
      <c r="S225" s="312" t="n">
        <v>105</v>
      </c>
      <c r="T225" s="312" t="n">
        <v>100</v>
      </c>
      <c r="U225" s="312" t="n">
        <v>110</v>
      </c>
      <c r="V225" s="312" t="n">
        <v>80</v>
      </c>
      <c r="W225" s="312" t="n">
        <v>100</v>
      </c>
      <c r="X225" s="312" t="n">
        <v>100</v>
      </c>
      <c r="Y225" s="312" t="n">
        <v>0.2</v>
      </c>
      <c r="Z225" s="312" t="n">
        <v>0.7</v>
      </c>
      <c r="AA225" s="312" t="n">
        <v>10</v>
      </c>
      <c r="AB225" s="312" t="n">
        <v>4040</v>
      </c>
      <c r="AC225" s="309" t="s">
        <v>1253</v>
      </c>
      <c r="AD225" s="309" t="s">
        <v>182</v>
      </c>
      <c r="AE225" s="312" t="n">
        <v>90</v>
      </c>
      <c r="AF225" s="312" t="n">
        <v>180</v>
      </c>
      <c r="AG225" s="312" t="n">
        <v>750</v>
      </c>
      <c r="AH225" s="312" t="n">
        <v>1000</v>
      </c>
      <c r="AI225" s="312" t="n">
        <v>465</v>
      </c>
      <c r="AJ225" s="318" t="b">
        <f aca="false">TRUE()</f>
        <v>1</v>
      </c>
      <c r="AK225" s="318" t="b">
        <f aca="false">FALSE()</f>
        <v>0</v>
      </c>
      <c r="AL225" s="309" t="s">
        <v>1247</v>
      </c>
      <c r="AM225" s="318" t="b">
        <f aca="false">FALSE()</f>
        <v>0</v>
      </c>
      <c r="AN225" s="318" t="b">
        <f aca="false">FALSE()</f>
        <v>0</v>
      </c>
      <c r="AO225" s="312" t="n">
        <v>475</v>
      </c>
      <c r="AP225" s="312" t="n">
        <v>1</v>
      </c>
      <c r="AQ225" s="312" t="n">
        <v>7</v>
      </c>
      <c r="AR225" s="312" t="n">
        <v>25</v>
      </c>
      <c r="AS225" s="312" t="n">
        <v>90</v>
      </c>
      <c r="AT225" s="312" t="n">
        <v>1</v>
      </c>
      <c r="AU225" s="318" t="b">
        <f aca="false">FALSE()</f>
        <v>0</v>
      </c>
      <c r="AV225" s="318" t="b">
        <f aca="false">FALSE()</f>
        <v>0</v>
      </c>
      <c r="AW225" s="312" t="n">
        <v>9</v>
      </c>
      <c r="AX225" s="318" t="b">
        <f aca="false">TRUE()</f>
        <v>1</v>
      </c>
      <c r="AY225" s="318" t="b">
        <f aca="false">TRUE()</f>
        <v>1</v>
      </c>
      <c r="AZ225" s="312" t="n">
        <v>100</v>
      </c>
      <c r="BA225" s="312" t="n">
        <v>50</v>
      </c>
      <c r="BB225" s="312" t="n">
        <v>710</v>
      </c>
      <c r="BC225" s="312" t="n">
        <v>3</v>
      </c>
      <c r="BD225" s="312" t="n">
        <v>0</v>
      </c>
      <c r="BE225" s="312" t="n">
        <v>0</v>
      </c>
      <c r="BF225" s="312" t="n">
        <v>0</v>
      </c>
      <c r="BG225" s="312" t="n">
        <v>0</v>
      </c>
      <c r="BH225" s="312" t="n">
        <v>0</v>
      </c>
      <c r="BI225" s="312" t="n">
        <v>2</v>
      </c>
      <c r="BJ225" s="312" t="n">
        <v>0</v>
      </c>
      <c r="BK225" s="312" t="n">
        <v>0</v>
      </c>
      <c r="BL225" s="312" t="n">
        <v>0</v>
      </c>
      <c r="BM225" s="312" t="n">
        <v>0</v>
      </c>
      <c r="BN225" s="312" t="n">
        <v>0</v>
      </c>
      <c r="BO225" s="312" t="n">
        <v>0</v>
      </c>
      <c r="BP225" s="309" t="s">
        <v>182</v>
      </c>
      <c r="BQ225" s="309" t="s">
        <v>182</v>
      </c>
      <c r="BR225" s="309" t="s">
        <v>182</v>
      </c>
      <c r="BS225" s="309" t="s">
        <v>182</v>
      </c>
      <c r="BT225" s="312" t="n">
        <v>298</v>
      </c>
      <c r="BU225" s="318" t="b">
        <f aca="false">FALSE()</f>
        <v>0</v>
      </c>
      <c r="BV225" s="3" t="e">
        <f aca="false">xlookup(MID($A225,7,50),$A$2:$A$139,$BV$2:$BV$139,,0,1)</f>
        <v>#NAME?</v>
      </c>
      <c r="BW225" s="3"/>
      <c r="BX225" s="85" t="n">
        <v>32</v>
      </c>
      <c r="BY225" s="3" t="s">
        <v>1144</v>
      </c>
      <c r="BZ225" s="3" t="s">
        <v>775</v>
      </c>
      <c r="CA225" s="3"/>
      <c r="CB225" s="3"/>
      <c r="CC225" s="3"/>
      <c r="CD225" s="3"/>
      <c r="CE225" s="3"/>
      <c r="CF225" s="3"/>
      <c r="CG225" s="311" t="b">
        <f aca="false">TRUE()</f>
        <v>1</v>
      </c>
      <c r="CH225" s="3" t="s">
        <v>776</v>
      </c>
      <c r="CI225" s="3"/>
      <c r="CJ225" s="3"/>
      <c r="CK225" s="3"/>
      <c r="CL225" s="3"/>
      <c r="CM225" s="3"/>
      <c r="CN225" s="3"/>
      <c r="CO225" s="3"/>
      <c r="CP225" s="3"/>
      <c r="CQ225" s="3"/>
      <c r="CR225" s="3"/>
      <c r="CS225" s="3"/>
      <c r="CT225" s="3"/>
      <c r="CU225" s="3"/>
      <c r="CV225" s="3" t="s">
        <v>1145</v>
      </c>
      <c r="CW225" s="3" t="s">
        <v>1146</v>
      </c>
      <c r="CX225" s="3" t="s">
        <v>1147</v>
      </c>
      <c r="CY225" s="3" t="s">
        <v>1148</v>
      </c>
      <c r="CZ225" s="3" t="s">
        <v>1149</v>
      </c>
    </row>
    <row r="226" customFormat="false" ht="15.75" hidden="false" customHeight="false" outlineLevel="0" collapsed="false">
      <c r="A226" s="309" t="s">
        <v>1668</v>
      </c>
      <c r="B226" s="309" t="s">
        <v>1669</v>
      </c>
      <c r="C226" s="309" t="s">
        <v>1670</v>
      </c>
      <c r="D226" s="309" t="s">
        <v>1671</v>
      </c>
      <c r="E226" s="309" t="s">
        <v>1672</v>
      </c>
      <c r="F226" s="318" t="b">
        <f aca="false">TRUE()</f>
        <v>1</v>
      </c>
      <c r="G226" s="309" t="s">
        <v>540</v>
      </c>
      <c r="H226" s="309" t="s">
        <v>1669</v>
      </c>
      <c r="I226" s="312" t="n">
        <v>-1</v>
      </c>
      <c r="J226" s="3"/>
      <c r="K226" s="309" t="s">
        <v>884</v>
      </c>
      <c r="L226" s="312" t="n">
        <v>8</v>
      </c>
      <c r="M226" s="309" t="s">
        <v>757</v>
      </c>
      <c r="N226" s="309" t="s">
        <v>758</v>
      </c>
      <c r="O226" s="309" t="s">
        <v>763</v>
      </c>
      <c r="P226" s="309" t="s">
        <v>745</v>
      </c>
      <c r="Q226" s="309" t="s">
        <v>746</v>
      </c>
      <c r="R226" s="318" t="b">
        <f aca="false">FALSE()</f>
        <v>0</v>
      </c>
      <c r="S226" s="312" t="n">
        <v>105</v>
      </c>
      <c r="T226" s="312" t="n">
        <v>100</v>
      </c>
      <c r="U226" s="312" t="n">
        <v>115</v>
      </c>
      <c r="V226" s="312" t="n">
        <v>80</v>
      </c>
      <c r="W226" s="312" t="n">
        <v>100</v>
      </c>
      <c r="X226" s="312" t="n">
        <v>100</v>
      </c>
      <c r="Y226" s="312" t="n">
        <v>0.2</v>
      </c>
      <c r="Z226" s="312" t="n">
        <v>0.7</v>
      </c>
      <c r="AA226" s="312" t="n">
        <v>10</v>
      </c>
      <c r="AB226" s="312" t="n">
        <v>4360</v>
      </c>
      <c r="AC226" s="309" t="s">
        <v>1253</v>
      </c>
      <c r="AD226" s="309" t="s">
        <v>182</v>
      </c>
      <c r="AE226" s="312" t="n">
        <v>60</v>
      </c>
      <c r="AF226" s="312" t="n">
        <v>90</v>
      </c>
      <c r="AG226" s="312" t="n">
        <v>750</v>
      </c>
      <c r="AH226" s="312" t="n">
        <v>1000</v>
      </c>
      <c r="AI226" s="312" t="n">
        <v>420</v>
      </c>
      <c r="AJ226" s="318" t="b">
        <f aca="false">TRUE()</f>
        <v>1</v>
      </c>
      <c r="AK226" s="318" t="b">
        <f aca="false">FALSE()</f>
        <v>0</v>
      </c>
      <c r="AL226" s="309" t="s">
        <v>1247</v>
      </c>
      <c r="AM226" s="318" t="b">
        <f aca="false">FALSE()</f>
        <v>0</v>
      </c>
      <c r="AN226" s="318" t="b">
        <f aca="false">FALSE()</f>
        <v>0</v>
      </c>
      <c r="AO226" s="312" t="n">
        <v>475</v>
      </c>
      <c r="AP226" s="312" t="n">
        <v>1</v>
      </c>
      <c r="AQ226" s="312" t="n">
        <v>7</v>
      </c>
      <c r="AR226" s="312" t="n">
        <v>25</v>
      </c>
      <c r="AS226" s="312" t="n">
        <v>90</v>
      </c>
      <c r="AT226" s="312" t="n">
        <v>1</v>
      </c>
      <c r="AU226" s="318" t="b">
        <f aca="false">FALSE()</f>
        <v>0</v>
      </c>
      <c r="AV226" s="318" t="b">
        <f aca="false">TRUE()</f>
        <v>1</v>
      </c>
      <c r="AW226" s="312" t="n">
        <v>9</v>
      </c>
      <c r="AX226" s="318" t="b">
        <f aca="false">TRUE()</f>
        <v>1</v>
      </c>
      <c r="AY226" s="318" t="b">
        <f aca="false">TRUE()</f>
        <v>1</v>
      </c>
      <c r="AZ226" s="312" t="n">
        <v>100</v>
      </c>
      <c r="BA226" s="312" t="n">
        <v>50</v>
      </c>
      <c r="BB226" s="312" t="n">
        <v>670</v>
      </c>
      <c r="BC226" s="312" t="n">
        <v>3</v>
      </c>
      <c r="BD226" s="312" t="n">
        <v>0</v>
      </c>
      <c r="BE226" s="312" t="n">
        <v>0</v>
      </c>
      <c r="BF226" s="312" t="n">
        <v>0</v>
      </c>
      <c r="BG226" s="312" t="n">
        <v>0</v>
      </c>
      <c r="BH226" s="312" t="n">
        <v>0</v>
      </c>
      <c r="BI226" s="312" t="n">
        <v>2</v>
      </c>
      <c r="BJ226" s="312" t="n">
        <v>0</v>
      </c>
      <c r="BK226" s="312" t="n">
        <v>0</v>
      </c>
      <c r="BL226" s="312" t="n">
        <v>0</v>
      </c>
      <c r="BM226" s="312" t="n">
        <v>0</v>
      </c>
      <c r="BN226" s="312" t="n">
        <v>0</v>
      </c>
      <c r="BO226" s="312" t="n">
        <v>0</v>
      </c>
      <c r="BP226" s="309" t="s">
        <v>182</v>
      </c>
      <c r="BQ226" s="309" t="s">
        <v>182</v>
      </c>
      <c r="BR226" s="309" t="s">
        <v>182</v>
      </c>
      <c r="BS226" s="309" t="s">
        <v>182</v>
      </c>
      <c r="BT226" s="312" t="n">
        <v>299</v>
      </c>
      <c r="BU226" s="318" t="b">
        <f aca="false">TRUE()</f>
        <v>1</v>
      </c>
      <c r="BV226" s="3" t="e">
        <f aca="false">xlookup(MID($A226,7,50),$A$2:$A$139,$BV$2:$BV$139,,0,1)</f>
        <v>#NAME?</v>
      </c>
      <c r="BW226" s="3"/>
      <c r="BX226" s="85" t="n">
        <v>35</v>
      </c>
      <c r="BY226" s="3" t="s">
        <v>1150</v>
      </c>
      <c r="BZ226" s="3" t="s">
        <v>775</v>
      </c>
      <c r="CA226" s="3"/>
      <c r="CB226" s="3"/>
      <c r="CC226" s="3"/>
      <c r="CD226" s="3"/>
      <c r="CE226" s="3"/>
      <c r="CF226" s="3"/>
      <c r="CG226" s="311" t="b">
        <f aca="false">TRUE()</f>
        <v>1</v>
      </c>
      <c r="CH226" s="3" t="s">
        <v>776</v>
      </c>
      <c r="CI226" s="3"/>
      <c r="CJ226" s="3"/>
      <c r="CK226" s="3"/>
      <c r="CL226" s="3"/>
      <c r="CM226" s="3"/>
      <c r="CN226" s="3"/>
      <c r="CO226" s="3"/>
      <c r="CP226" s="3"/>
      <c r="CQ226" s="3"/>
      <c r="CR226" s="3"/>
      <c r="CS226" s="3"/>
      <c r="CT226" s="3"/>
      <c r="CU226" s="3"/>
      <c r="CV226" s="3" t="s">
        <v>1151</v>
      </c>
      <c r="CW226" s="3" t="s">
        <v>1152</v>
      </c>
      <c r="CX226" s="3" t="s">
        <v>1153</v>
      </c>
      <c r="CY226" s="3" t="s">
        <v>1154</v>
      </c>
      <c r="CZ226" s="3" t="s">
        <v>1155</v>
      </c>
    </row>
    <row r="227" customFormat="false" ht="15.75" hidden="false" customHeight="false" outlineLevel="0" collapsed="false">
      <c r="A227" s="309" t="s">
        <v>1673</v>
      </c>
      <c r="B227" s="309" t="s">
        <v>1674</v>
      </c>
      <c r="C227" s="309" t="s">
        <v>1675</v>
      </c>
      <c r="D227" s="309" t="s">
        <v>1676</v>
      </c>
      <c r="E227" s="309" t="s">
        <v>1677</v>
      </c>
      <c r="F227" s="318" t="b">
        <f aca="false">TRUE()</f>
        <v>1</v>
      </c>
      <c r="G227" s="309" t="s">
        <v>1141</v>
      </c>
      <c r="H227" s="309" t="s">
        <v>1674</v>
      </c>
      <c r="I227" s="312" t="n">
        <v>-1</v>
      </c>
      <c r="J227" s="3"/>
      <c r="K227" s="309" t="s">
        <v>773</v>
      </c>
      <c r="L227" s="312" t="n">
        <v>1</v>
      </c>
      <c r="M227" s="309" t="s">
        <v>783</v>
      </c>
      <c r="N227" s="309" t="s">
        <v>743</v>
      </c>
      <c r="O227" s="309" t="s">
        <v>744</v>
      </c>
      <c r="P227" s="309" t="s">
        <v>745</v>
      </c>
      <c r="Q227" s="309" t="s">
        <v>746</v>
      </c>
      <c r="R227" s="318" t="b">
        <f aca="false">FALSE()</f>
        <v>0</v>
      </c>
      <c r="S227" s="312" t="n">
        <v>80</v>
      </c>
      <c r="T227" s="312" t="n">
        <v>100</v>
      </c>
      <c r="U227" s="312" t="n">
        <v>70</v>
      </c>
      <c r="V227" s="312" t="n">
        <v>70</v>
      </c>
      <c r="W227" s="312" t="n">
        <v>100</v>
      </c>
      <c r="X227" s="312" t="n">
        <v>100</v>
      </c>
      <c r="Y227" s="312" t="n">
        <v>0.4</v>
      </c>
      <c r="Z227" s="312" t="n">
        <v>0.77</v>
      </c>
      <c r="AA227" s="312" t="n">
        <v>10</v>
      </c>
      <c r="AB227" s="312" t="n">
        <v>1280</v>
      </c>
      <c r="AC227" s="309" t="s">
        <v>836</v>
      </c>
      <c r="AD227" s="309" t="s">
        <v>182</v>
      </c>
      <c r="AE227" s="312" t="n">
        <v>48</v>
      </c>
      <c r="AF227" s="312" t="n">
        <v>48</v>
      </c>
      <c r="AG227" s="312" t="n">
        <v>300</v>
      </c>
      <c r="AH227" s="312" t="n">
        <v>400</v>
      </c>
      <c r="AI227" s="312" t="n">
        <v>174</v>
      </c>
      <c r="AJ227" s="318" t="b">
        <f aca="false">TRUE()</f>
        <v>1</v>
      </c>
      <c r="AK227" s="318" t="b">
        <f aca="false">FALSE()</f>
        <v>0</v>
      </c>
      <c r="AL227" s="309" t="s">
        <v>1247</v>
      </c>
      <c r="AM227" s="318" t="b">
        <f aca="false">FALSE()</f>
        <v>0</v>
      </c>
      <c r="AN227" s="318" t="b">
        <f aca="false">FALSE()</f>
        <v>0</v>
      </c>
      <c r="AO227" s="312" t="n">
        <v>150</v>
      </c>
      <c r="AP227" s="312" t="n">
        <v>1</v>
      </c>
      <c r="AQ227" s="312" t="n">
        <v>2</v>
      </c>
      <c r="AR227" s="312" t="n">
        <v>25</v>
      </c>
      <c r="AS227" s="312" t="n">
        <v>90</v>
      </c>
      <c r="AT227" s="312" t="n">
        <v>1</v>
      </c>
      <c r="AU227" s="318" t="b">
        <f aca="false">FALSE()</f>
        <v>0</v>
      </c>
      <c r="AV227" s="318" t="b">
        <f aca="false">FALSE()</f>
        <v>0</v>
      </c>
      <c r="AW227" s="312" t="n">
        <v>9</v>
      </c>
      <c r="AX227" s="318" t="b">
        <f aca="false">FALSE()</f>
        <v>0</v>
      </c>
      <c r="AY227" s="318" t="b">
        <f aca="false">TRUE()</f>
        <v>1</v>
      </c>
      <c r="AZ227" s="312" t="n">
        <v>100</v>
      </c>
      <c r="BA227" s="312" t="n">
        <v>50</v>
      </c>
      <c r="BB227" s="312" t="n">
        <v>1250</v>
      </c>
      <c r="BC227" s="312" t="n">
        <v>0</v>
      </c>
      <c r="BD227" s="312" t="n">
        <v>0</v>
      </c>
      <c r="BE227" s="312" t="n">
        <v>1</v>
      </c>
      <c r="BF227" s="312" t="n">
        <v>0</v>
      </c>
      <c r="BG227" s="312" t="n">
        <v>1</v>
      </c>
      <c r="BH227" s="312" t="n">
        <v>1</v>
      </c>
      <c r="BI227" s="312" t="n">
        <v>1</v>
      </c>
      <c r="BJ227" s="312" t="n">
        <v>0</v>
      </c>
      <c r="BK227" s="312" t="n">
        <v>0</v>
      </c>
      <c r="BL227" s="312" t="n">
        <v>0</v>
      </c>
      <c r="BM227" s="312" t="n">
        <v>0</v>
      </c>
      <c r="BN227" s="312" t="n">
        <v>1</v>
      </c>
      <c r="BO227" s="312" t="n">
        <v>0</v>
      </c>
      <c r="BP227" s="309" t="s">
        <v>182</v>
      </c>
      <c r="BQ227" s="309" t="s">
        <v>182</v>
      </c>
      <c r="BR227" s="309" t="s">
        <v>182</v>
      </c>
      <c r="BS227" s="309" t="s">
        <v>182</v>
      </c>
      <c r="BT227" s="312" t="n">
        <v>300</v>
      </c>
      <c r="BU227" s="318" t="b">
        <f aca="false">FALSE()</f>
        <v>0</v>
      </c>
      <c r="BV227" s="3" t="e">
        <f aca="false">xlookup(MID($A227,7,50),$A$2:$A$139,$BV$2:$BV$139,,0,1)</f>
        <v>#NAME?</v>
      </c>
      <c r="BW227" s="3"/>
      <c r="BX227" s="85" t="n">
        <v>12</v>
      </c>
      <c r="BY227" s="3" t="s">
        <v>1142</v>
      </c>
      <c r="BZ227" s="3" t="s">
        <v>1143</v>
      </c>
      <c r="CA227" s="3" t="s">
        <v>1143</v>
      </c>
      <c r="CB227" s="85" t="n">
        <v>20</v>
      </c>
      <c r="CC227" s="85" t="n">
        <v>22</v>
      </c>
      <c r="CD227" s="85" t="n">
        <v>26</v>
      </c>
      <c r="CE227" s="85" t="n">
        <v>32</v>
      </c>
      <c r="CF227" s="85" t="n">
        <v>40</v>
      </c>
      <c r="CG227" s="3"/>
      <c r="CH227" s="3"/>
      <c r="CI227" s="3"/>
      <c r="CJ227" s="3"/>
      <c r="CK227" s="3"/>
      <c r="CL227" s="3"/>
      <c r="CM227" s="3"/>
      <c r="CN227" s="3"/>
      <c r="CO227" s="3"/>
      <c r="CP227" s="3"/>
      <c r="CQ227" s="3"/>
      <c r="CR227" s="3"/>
      <c r="CS227" s="3"/>
      <c r="CT227" s="3"/>
      <c r="CU227" s="3"/>
      <c r="CV227" s="3"/>
      <c r="CW227" s="3"/>
      <c r="CX227" s="3"/>
      <c r="CY227" s="3"/>
      <c r="CZ227" s="3"/>
    </row>
    <row r="228" customFormat="false" ht="15.75" hidden="false" customHeight="false" outlineLevel="0" collapsed="false">
      <c r="A228" s="309" t="s">
        <v>1678</v>
      </c>
      <c r="B228" s="309" t="s">
        <v>1679</v>
      </c>
      <c r="C228" s="309" t="s">
        <v>1680</v>
      </c>
      <c r="D228" s="309" t="s">
        <v>1681</v>
      </c>
      <c r="E228" s="309" t="s">
        <v>1682</v>
      </c>
      <c r="F228" s="318" t="b">
        <f aca="false">TRUE()</f>
        <v>1</v>
      </c>
      <c r="G228" s="309" t="s">
        <v>482</v>
      </c>
      <c r="H228" s="309" t="s">
        <v>1679</v>
      </c>
      <c r="I228" s="312" t="n">
        <v>-1</v>
      </c>
      <c r="J228" s="3"/>
      <c r="K228" s="309" t="s">
        <v>773</v>
      </c>
      <c r="L228" s="312" t="n">
        <v>1</v>
      </c>
      <c r="M228" s="309" t="s">
        <v>771</v>
      </c>
      <c r="N228" s="309" t="s">
        <v>743</v>
      </c>
      <c r="O228" s="309" t="s">
        <v>898</v>
      </c>
      <c r="P228" s="309" t="s">
        <v>745</v>
      </c>
      <c r="Q228" s="309" t="s">
        <v>746</v>
      </c>
      <c r="R228" s="318" t="b">
        <f aca="false">FALSE()</f>
        <v>0</v>
      </c>
      <c r="S228" s="312" t="n">
        <v>60</v>
      </c>
      <c r="T228" s="312" t="n">
        <v>100</v>
      </c>
      <c r="U228" s="312" t="n">
        <v>60</v>
      </c>
      <c r="V228" s="312" t="n">
        <v>60</v>
      </c>
      <c r="W228" s="312" t="n">
        <v>100</v>
      </c>
      <c r="X228" s="312" t="n">
        <v>100</v>
      </c>
      <c r="Y228" s="312" t="n">
        <v>0.4</v>
      </c>
      <c r="Z228" s="312" t="n">
        <v>0.77</v>
      </c>
      <c r="AA228" s="312" t="n">
        <v>10</v>
      </c>
      <c r="AB228" s="312" t="n">
        <v>1110</v>
      </c>
      <c r="AC228" s="309" t="s">
        <v>836</v>
      </c>
      <c r="AD228" s="309" t="s">
        <v>182</v>
      </c>
      <c r="AE228" s="312" t="n">
        <v>55</v>
      </c>
      <c r="AF228" s="312" t="n">
        <v>100</v>
      </c>
      <c r="AG228" s="312" t="n">
        <v>250</v>
      </c>
      <c r="AH228" s="312" t="n">
        <v>400</v>
      </c>
      <c r="AI228" s="312" t="n">
        <v>175</v>
      </c>
      <c r="AJ228" s="318" t="b">
        <f aca="false">TRUE()</f>
        <v>1</v>
      </c>
      <c r="AK228" s="318" t="b">
        <f aca="false">FALSE()</f>
        <v>0</v>
      </c>
      <c r="AL228" s="309" t="s">
        <v>1247</v>
      </c>
      <c r="AM228" s="318" t="b">
        <f aca="false">FALSE()</f>
        <v>0</v>
      </c>
      <c r="AN228" s="318" t="b">
        <f aca="false">FALSE()</f>
        <v>0</v>
      </c>
      <c r="AO228" s="312" t="n">
        <v>150</v>
      </c>
      <c r="AP228" s="312" t="n">
        <v>1</v>
      </c>
      <c r="AQ228" s="312" t="n">
        <v>2</v>
      </c>
      <c r="AR228" s="312" t="n">
        <v>25</v>
      </c>
      <c r="AS228" s="312" t="n">
        <v>90</v>
      </c>
      <c r="AT228" s="312" t="n">
        <v>1</v>
      </c>
      <c r="AU228" s="318" t="b">
        <f aca="false">FALSE()</f>
        <v>0</v>
      </c>
      <c r="AV228" s="318" t="b">
        <f aca="false">FALSE()</f>
        <v>0</v>
      </c>
      <c r="AW228" s="312" t="n">
        <v>9</v>
      </c>
      <c r="AX228" s="318" t="b">
        <f aca="false">FALSE()</f>
        <v>0</v>
      </c>
      <c r="AY228" s="318" t="b">
        <f aca="false">TRUE()</f>
        <v>1</v>
      </c>
      <c r="AZ228" s="312" t="n">
        <v>100</v>
      </c>
      <c r="BA228" s="312" t="n">
        <v>50</v>
      </c>
      <c r="BB228" s="312" t="n">
        <v>1300</v>
      </c>
      <c r="BC228" s="312" t="n">
        <v>0</v>
      </c>
      <c r="BD228" s="312" t="n">
        <v>0</v>
      </c>
      <c r="BE228" s="312" t="n">
        <v>0</v>
      </c>
      <c r="BF228" s="312" t="n">
        <v>0</v>
      </c>
      <c r="BG228" s="312" t="n">
        <v>0</v>
      </c>
      <c r="BH228" s="312" t="n">
        <v>1</v>
      </c>
      <c r="BI228" s="312" t="n">
        <v>0</v>
      </c>
      <c r="BJ228" s="312" t="n">
        <v>0</v>
      </c>
      <c r="BK228" s="312" t="n">
        <v>0</v>
      </c>
      <c r="BL228" s="312" t="n">
        <v>0</v>
      </c>
      <c r="BM228" s="312" t="n">
        <v>1</v>
      </c>
      <c r="BN228" s="312" t="n">
        <v>0</v>
      </c>
      <c r="BO228" s="312" t="n">
        <v>0</v>
      </c>
      <c r="BP228" s="309" t="s">
        <v>182</v>
      </c>
      <c r="BQ228" s="309" t="s">
        <v>182</v>
      </c>
      <c r="BR228" s="309" t="s">
        <v>182</v>
      </c>
      <c r="BS228" s="309" t="s">
        <v>182</v>
      </c>
      <c r="BT228" s="312" t="n">
        <v>301</v>
      </c>
      <c r="BU228" s="318" t="b">
        <f aca="false">FALSE()</f>
        <v>0</v>
      </c>
      <c r="BV228" s="3" t="e">
        <f aca="false">xlookup(MID($A228,7,50),$A$2:$A$139,$BV$2:$BV$139,,0,1)</f>
        <v>#NAME?</v>
      </c>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t="s">
        <v>138</v>
      </c>
      <c r="CV228" s="3" t="s">
        <v>1110</v>
      </c>
      <c r="CW228" s="3" t="s">
        <v>1111</v>
      </c>
      <c r="CX228" s="3" t="s">
        <v>1112</v>
      </c>
      <c r="CY228" s="3" t="s">
        <v>1113</v>
      </c>
      <c r="CZ228" s="3" t="s">
        <v>1114</v>
      </c>
    </row>
    <row r="229" customFormat="false" ht="15.75" hidden="false" customHeight="false" outlineLevel="0" collapsed="false">
      <c r="A229" s="309" t="s">
        <v>1683</v>
      </c>
      <c r="B229" s="309" t="s">
        <v>1684</v>
      </c>
      <c r="C229" s="309" t="s">
        <v>1685</v>
      </c>
      <c r="D229" s="309" t="s">
        <v>1686</v>
      </c>
      <c r="E229" s="309" t="s">
        <v>1687</v>
      </c>
      <c r="F229" s="318" t="b">
        <f aca="false">TRUE()</f>
        <v>1</v>
      </c>
      <c r="G229" s="309" t="s">
        <v>1166</v>
      </c>
      <c r="H229" s="309" t="s">
        <v>1684</v>
      </c>
      <c r="I229" s="312" t="n">
        <v>-1</v>
      </c>
      <c r="J229" s="3"/>
      <c r="K229" s="309" t="s">
        <v>884</v>
      </c>
      <c r="L229" s="312" t="n">
        <v>6</v>
      </c>
      <c r="M229" s="309" t="s">
        <v>771</v>
      </c>
      <c r="N229" s="309" t="s">
        <v>743</v>
      </c>
      <c r="O229" s="309" t="s">
        <v>898</v>
      </c>
      <c r="P229" s="309" t="s">
        <v>745</v>
      </c>
      <c r="Q229" s="309" t="s">
        <v>746</v>
      </c>
      <c r="R229" s="318" t="b">
        <f aca="false">FALSE()</f>
        <v>0</v>
      </c>
      <c r="S229" s="312" t="n">
        <v>100</v>
      </c>
      <c r="T229" s="312" t="n">
        <v>100</v>
      </c>
      <c r="U229" s="312" t="n">
        <v>90</v>
      </c>
      <c r="V229" s="312" t="n">
        <v>90</v>
      </c>
      <c r="W229" s="312" t="n">
        <v>100</v>
      </c>
      <c r="X229" s="312" t="n">
        <v>100</v>
      </c>
      <c r="Y229" s="312" t="n">
        <v>0.4</v>
      </c>
      <c r="Z229" s="312" t="n">
        <v>0.7</v>
      </c>
      <c r="AA229" s="312" t="n">
        <v>10</v>
      </c>
      <c r="AB229" s="312" t="n">
        <v>6000</v>
      </c>
      <c r="AC229" s="309" t="s">
        <v>836</v>
      </c>
      <c r="AD229" s="309" t="s">
        <v>182</v>
      </c>
      <c r="AE229" s="312" t="n">
        <v>60</v>
      </c>
      <c r="AF229" s="312" t="n">
        <v>120</v>
      </c>
      <c r="AG229" s="312" t="n">
        <v>300</v>
      </c>
      <c r="AH229" s="312" t="n">
        <v>600</v>
      </c>
      <c r="AI229" s="312" t="n">
        <v>210</v>
      </c>
      <c r="AJ229" s="318" t="b">
        <f aca="false">TRUE()</f>
        <v>1</v>
      </c>
      <c r="AK229" s="318" t="b">
        <f aca="false">FALSE()</f>
        <v>0</v>
      </c>
      <c r="AL229" s="309" t="s">
        <v>1247</v>
      </c>
      <c r="AM229" s="318" t="b">
        <f aca="false">FALSE()</f>
        <v>0</v>
      </c>
      <c r="AN229" s="318" t="b">
        <f aca="false">FALSE()</f>
        <v>0</v>
      </c>
      <c r="AO229" s="312" t="n">
        <v>225</v>
      </c>
      <c r="AP229" s="312" t="n">
        <v>1</v>
      </c>
      <c r="AQ229" s="312" t="n">
        <v>3</v>
      </c>
      <c r="AR229" s="312" t="n">
        <v>25</v>
      </c>
      <c r="AS229" s="312" t="n">
        <v>90</v>
      </c>
      <c r="AT229" s="312" t="n">
        <v>1</v>
      </c>
      <c r="AU229" s="318" t="b">
        <f aca="false">FALSE()</f>
        <v>0</v>
      </c>
      <c r="AV229" s="318" t="b">
        <f aca="false">FALSE()</f>
        <v>0</v>
      </c>
      <c r="AW229" s="312" t="n">
        <v>9</v>
      </c>
      <c r="AX229" s="318" t="b">
        <f aca="false">FALSE()</f>
        <v>0</v>
      </c>
      <c r="AY229" s="318" t="b">
        <f aca="false">TRUE()</f>
        <v>1</v>
      </c>
      <c r="AZ229" s="312" t="n">
        <v>100</v>
      </c>
      <c r="BA229" s="312" t="n">
        <v>50</v>
      </c>
      <c r="BB229" s="312" t="n">
        <v>410</v>
      </c>
      <c r="BC229" s="312" t="n">
        <v>0</v>
      </c>
      <c r="BD229" s="312" t="n">
        <v>0</v>
      </c>
      <c r="BE229" s="312" t="n">
        <v>0</v>
      </c>
      <c r="BF229" s="312" t="n">
        <v>0</v>
      </c>
      <c r="BG229" s="312" t="n">
        <v>0</v>
      </c>
      <c r="BH229" s="312" t="n">
        <v>2</v>
      </c>
      <c r="BI229" s="312" t="n">
        <v>0</v>
      </c>
      <c r="BJ229" s="312" t="n">
        <v>0</v>
      </c>
      <c r="BK229" s="312" t="n">
        <v>0</v>
      </c>
      <c r="BL229" s="312" t="n">
        <v>0</v>
      </c>
      <c r="BM229" s="312" t="n">
        <v>2</v>
      </c>
      <c r="BN229" s="312" t="n">
        <v>0</v>
      </c>
      <c r="BO229" s="312" t="n">
        <v>0</v>
      </c>
      <c r="BP229" s="309" t="s">
        <v>182</v>
      </c>
      <c r="BQ229" s="309" t="s">
        <v>182</v>
      </c>
      <c r="BR229" s="309" t="s">
        <v>182</v>
      </c>
      <c r="BS229" s="309" t="s">
        <v>182</v>
      </c>
      <c r="BT229" s="312" t="n">
        <v>302</v>
      </c>
      <c r="BU229" s="318" t="b">
        <f aca="false">FALSE()</f>
        <v>0</v>
      </c>
      <c r="BV229" s="3" t="e">
        <f aca="false">xlookup(MID($A229,7,50),$A$2:$A$139,$BV$2:$BV$139,,0,1)</f>
        <v>#NAME?</v>
      </c>
      <c r="BW229" s="3"/>
      <c r="BX229" s="85" t="n">
        <v>14</v>
      </c>
      <c r="BY229" s="3" t="s">
        <v>1167</v>
      </c>
      <c r="BZ229" s="3" t="s">
        <v>775</v>
      </c>
      <c r="CA229" s="3"/>
      <c r="CB229" s="3"/>
      <c r="CC229" s="3"/>
      <c r="CD229" s="3"/>
      <c r="CE229" s="3"/>
      <c r="CF229" s="3"/>
      <c r="CG229" s="311" t="b">
        <f aca="false">TRUE()</f>
        <v>1</v>
      </c>
      <c r="CH229" s="3" t="s">
        <v>776</v>
      </c>
      <c r="CI229" s="3"/>
      <c r="CJ229" s="3"/>
      <c r="CK229" s="3"/>
      <c r="CL229" s="3"/>
      <c r="CM229" s="3"/>
      <c r="CN229" s="3"/>
      <c r="CO229" s="3"/>
      <c r="CP229" s="3"/>
      <c r="CQ229" s="3"/>
      <c r="CR229" s="3"/>
      <c r="CS229" s="3"/>
      <c r="CT229" s="3"/>
      <c r="CU229" s="3"/>
      <c r="CV229" s="3"/>
      <c r="CW229" s="3" t="s">
        <v>1100</v>
      </c>
      <c r="CX229" s="3" t="s">
        <v>1101</v>
      </c>
      <c r="CY229" s="3" t="s">
        <v>1102</v>
      </c>
      <c r="CZ229" s="3" t="s">
        <v>1103</v>
      </c>
    </row>
    <row r="230" customFormat="false" ht="15.75" hidden="false" customHeight="false" outlineLevel="0" collapsed="false">
      <c r="A230" s="309" t="s">
        <v>1688</v>
      </c>
      <c r="B230" s="309" t="s">
        <v>1689</v>
      </c>
      <c r="C230" s="309" t="s">
        <v>1690</v>
      </c>
      <c r="D230" s="309" t="s">
        <v>1691</v>
      </c>
      <c r="E230" s="309" t="s">
        <v>1692</v>
      </c>
      <c r="F230" s="318" t="b">
        <f aca="false">TRUE()</f>
        <v>1</v>
      </c>
      <c r="G230" s="309" t="s">
        <v>855</v>
      </c>
      <c r="H230" s="309" t="s">
        <v>1689</v>
      </c>
      <c r="I230" s="312" t="n">
        <v>-1</v>
      </c>
      <c r="J230" s="3"/>
      <c r="K230" s="309" t="s">
        <v>884</v>
      </c>
      <c r="L230" s="312" t="n">
        <v>6</v>
      </c>
      <c r="M230" s="309" t="s">
        <v>789</v>
      </c>
      <c r="N230" s="309" t="s">
        <v>743</v>
      </c>
      <c r="O230" s="309" t="s">
        <v>744</v>
      </c>
      <c r="P230" s="309" t="s">
        <v>745</v>
      </c>
      <c r="Q230" s="309" t="s">
        <v>746</v>
      </c>
      <c r="R230" s="318" t="b">
        <f aca="false">FALSE()</f>
        <v>0</v>
      </c>
      <c r="S230" s="312" t="n">
        <v>90</v>
      </c>
      <c r="T230" s="312" t="n">
        <v>80</v>
      </c>
      <c r="U230" s="312" t="n">
        <v>100</v>
      </c>
      <c r="V230" s="312" t="n">
        <v>90</v>
      </c>
      <c r="W230" s="312" t="n">
        <v>100</v>
      </c>
      <c r="X230" s="312" t="n">
        <v>100</v>
      </c>
      <c r="Y230" s="312" t="n">
        <v>0.2</v>
      </c>
      <c r="Z230" s="312" t="n">
        <v>0.7</v>
      </c>
      <c r="AA230" s="312" t="n">
        <v>10</v>
      </c>
      <c r="AB230" s="312" t="n">
        <v>1760</v>
      </c>
      <c r="AC230" s="309" t="s">
        <v>1253</v>
      </c>
      <c r="AD230" s="309" t="s">
        <v>182</v>
      </c>
      <c r="AE230" s="312" t="n">
        <v>80</v>
      </c>
      <c r="AF230" s="312" t="n">
        <v>130</v>
      </c>
      <c r="AG230" s="312" t="n">
        <v>500</v>
      </c>
      <c r="AH230" s="312" t="n">
        <v>650</v>
      </c>
      <c r="AI230" s="312" t="n">
        <v>315</v>
      </c>
      <c r="AJ230" s="318" t="b">
        <f aca="false">TRUE()</f>
        <v>1</v>
      </c>
      <c r="AK230" s="318" t="b">
        <f aca="false">FALSE()</f>
        <v>0</v>
      </c>
      <c r="AL230" s="309" t="s">
        <v>1247</v>
      </c>
      <c r="AM230" s="318" t="b">
        <f aca="false">FALSE()</f>
        <v>0</v>
      </c>
      <c r="AN230" s="318" t="b">
        <f aca="false">FALSE()</f>
        <v>0</v>
      </c>
      <c r="AO230" s="312" t="n">
        <v>150</v>
      </c>
      <c r="AP230" s="312" t="n">
        <v>1</v>
      </c>
      <c r="AQ230" s="312" t="n">
        <v>2</v>
      </c>
      <c r="AR230" s="312" t="n">
        <v>25</v>
      </c>
      <c r="AS230" s="312" t="n">
        <v>90</v>
      </c>
      <c r="AT230" s="312" t="n">
        <v>1</v>
      </c>
      <c r="AU230" s="318" t="b">
        <f aca="false">FALSE()</f>
        <v>0</v>
      </c>
      <c r="AV230" s="318" t="b">
        <f aca="false">FALSE()</f>
        <v>0</v>
      </c>
      <c r="AW230" s="312" t="n">
        <v>9</v>
      </c>
      <c r="AX230" s="318" t="b">
        <f aca="false">FALSE()</f>
        <v>0</v>
      </c>
      <c r="AY230" s="318" t="b">
        <f aca="false">TRUE()</f>
        <v>1</v>
      </c>
      <c r="AZ230" s="312" t="n">
        <v>100</v>
      </c>
      <c r="BA230" s="312" t="n">
        <v>50</v>
      </c>
      <c r="BB230" s="312" t="n">
        <v>1110</v>
      </c>
      <c r="BC230" s="312" t="n">
        <v>0</v>
      </c>
      <c r="BD230" s="312" t="n">
        <v>0</v>
      </c>
      <c r="BE230" s="312" t="n">
        <v>0</v>
      </c>
      <c r="BF230" s="312" t="n">
        <v>0</v>
      </c>
      <c r="BG230" s="312" t="n">
        <v>3</v>
      </c>
      <c r="BH230" s="312" t="n">
        <v>1</v>
      </c>
      <c r="BI230" s="312" t="n">
        <v>0</v>
      </c>
      <c r="BJ230" s="312" t="n">
        <v>0</v>
      </c>
      <c r="BK230" s="312" t="n">
        <v>0</v>
      </c>
      <c r="BL230" s="312" t="n">
        <v>0</v>
      </c>
      <c r="BM230" s="312" t="n">
        <v>0</v>
      </c>
      <c r="BN230" s="312" t="n">
        <v>1</v>
      </c>
      <c r="BO230" s="312" t="n">
        <v>0</v>
      </c>
      <c r="BP230" s="309" t="s">
        <v>182</v>
      </c>
      <c r="BQ230" s="309" t="s">
        <v>182</v>
      </c>
      <c r="BR230" s="309" t="s">
        <v>182</v>
      </c>
      <c r="BS230" s="309" t="s">
        <v>182</v>
      </c>
      <c r="BT230" s="312" t="n">
        <v>303</v>
      </c>
      <c r="BU230" s="318" t="b">
        <f aca="false">FALSE()</f>
        <v>0</v>
      </c>
      <c r="BV230" s="3" t="e">
        <f aca="false">xlookup(MID($A230,7,50),$A$2:$A$139,$BV$2:$BV$139,,0,1)</f>
        <v>#NAME?</v>
      </c>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t="s">
        <v>856</v>
      </c>
      <c r="CW230" s="3" t="s">
        <v>857</v>
      </c>
      <c r="CX230" s="3" t="s">
        <v>858</v>
      </c>
      <c r="CY230" s="3" t="s">
        <v>859</v>
      </c>
      <c r="CZ230" s="3" t="s">
        <v>860</v>
      </c>
    </row>
    <row r="231" customFormat="false" ht="15.75" hidden="false" customHeight="false" outlineLevel="0" collapsed="false">
      <c r="A231" s="309" t="s">
        <v>1693</v>
      </c>
      <c r="B231" s="309" t="s">
        <v>1694</v>
      </c>
      <c r="C231" s="309" t="s">
        <v>1695</v>
      </c>
      <c r="D231" s="309" t="s">
        <v>1696</v>
      </c>
      <c r="E231" s="309" t="s">
        <v>1697</v>
      </c>
      <c r="F231" s="318" t="b">
        <f aca="false">TRUE()</f>
        <v>1</v>
      </c>
      <c r="G231" s="309" t="s">
        <v>1214</v>
      </c>
      <c r="H231" s="309" t="s">
        <v>1694</v>
      </c>
      <c r="I231" s="312" t="n">
        <v>-1</v>
      </c>
      <c r="J231" s="3"/>
      <c r="K231" s="309" t="s">
        <v>884</v>
      </c>
      <c r="L231" s="312" t="n">
        <v>6</v>
      </c>
      <c r="M231" s="309" t="s">
        <v>789</v>
      </c>
      <c r="N231" s="309" t="s">
        <v>743</v>
      </c>
      <c r="O231" s="309" t="s">
        <v>763</v>
      </c>
      <c r="P231" s="309" t="s">
        <v>745</v>
      </c>
      <c r="Q231" s="309" t="s">
        <v>746</v>
      </c>
      <c r="R231" s="318" t="b">
        <f aca="false">FALSE()</f>
        <v>0</v>
      </c>
      <c r="S231" s="312" t="n">
        <v>110</v>
      </c>
      <c r="T231" s="312" t="n">
        <v>100</v>
      </c>
      <c r="U231" s="312" t="n">
        <v>80</v>
      </c>
      <c r="V231" s="312" t="n">
        <v>80</v>
      </c>
      <c r="W231" s="312" t="n">
        <v>100</v>
      </c>
      <c r="X231" s="312" t="n">
        <v>100</v>
      </c>
      <c r="Y231" s="312" t="n">
        <v>0.2</v>
      </c>
      <c r="Z231" s="312" t="n">
        <v>0.7</v>
      </c>
      <c r="AA231" s="312" t="n">
        <v>10</v>
      </c>
      <c r="AB231" s="312" t="n">
        <v>5510</v>
      </c>
      <c r="AC231" s="309" t="s">
        <v>836</v>
      </c>
      <c r="AD231" s="309" t="s">
        <v>182</v>
      </c>
      <c r="AE231" s="312" t="n">
        <v>32</v>
      </c>
      <c r="AF231" s="312" t="n">
        <v>64</v>
      </c>
      <c r="AG231" s="312" t="n">
        <v>600</v>
      </c>
      <c r="AH231" s="312" t="n">
        <v>900</v>
      </c>
      <c r="AI231" s="312" t="n">
        <v>332</v>
      </c>
      <c r="AJ231" s="318" t="b">
        <f aca="false">TRUE()</f>
        <v>1</v>
      </c>
      <c r="AK231" s="318" t="b">
        <f aca="false">FALSE()</f>
        <v>0</v>
      </c>
      <c r="AL231" s="309" t="s">
        <v>1247</v>
      </c>
      <c r="AM231" s="318" t="b">
        <f aca="false">FALSE()</f>
        <v>0</v>
      </c>
      <c r="AN231" s="318" t="b">
        <f aca="false">FALSE()</f>
        <v>0</v>
      </c>
      <c r="AO231" s="312" t="n">
        <v>300</v>
      </c>
      <c r="AP231" s="312" t="n">
        <v>1</v>
      </c>
      <c r="AQ231" s="312" t="n">
        <v>4</v>
      </c>
      <c r="AR231" s="312" t="n">
        <v>25</v>
      </c>
      <c r="AS231" s="312" t="n">
        <v>90</v>
      </c>
      <c r="AT231" s="312" t="n">
        <v>1</v>
      </c>
      <c r="AU231" s="318" t="b">
        <f aca="false">FALSE()</f>
        <v>0</v>
      </c>
      <c r="AV231" s="318" t="b">
        <f aca="false">FALSE()</f>
        <v>0</v>
      </c>
      <c r="AW231" s="312" t="n">
        <v>9</v>
      </c>
      <c r="AX231" s="318" t="b">
        <f aca="false">FALSE()</f>
        <v>0</v>
      </c>
      <c r="AY231" s="318" t="b">
        <f aca="false">TRUE()</f>
        <v>1</v>
      </c>
      <c r="AZ231" s="312" t="n">
        <v>100</v>
      </c>
      <c r="BA231" s="312" t="n">
        <v>50</v>
      </c>
      <c r="BB231" s="312" t="n">
        <v>510</v>
      </c>
      <c r="BC231" s="312" t="n">
        <v>0</v>
      </c>
      <c r="BD231" s="312" t="n">
        <v>0</v>
      </c>
      <c r="BE231" s="312" t="n">
        <v>0</v>
      </c>
      <c r="BF231" s="312" t="n">
        <v>0</v>
      </c>
      <c r="BG231" s="312" t="n">
        <v>0</v>
      </c>
      <c r="BH231" s="312" t="n">
        <v>2</v>
      </c>
      <c r="BI231" s="312" t="n">
        <v>0</v>
      </c>
      <c r="BJ231" s="312" t="n">
        <v>0</v>
      </c>
      <c r="BK231" s="312" t="n">
        <v>0</v>
      </c>
      <c r="BL231" s="312" t="n">
        <v>0</v>
      </c>
      <c r="BM231" s="312" t="n">
        <v>0</v>
      </c>
      <c r="BN231" s="312" t="n">
        <v>0</v>
      </c>
      <c r="BO231" s="312" t="n">
        <v>0</v>
      </c>
      <c r="BP231" s="309" t="s">
        <v>182</v>
      </c>
      <c r="BQ231" s="309" t="s">
        <v>182</v>
      </c>
      <c r="BR231" s="309" t="s">
        <v>182</v>
      </c>
      <c r="BS231" s="309" t="s">
        <v>182</v>
      </c>
      <c r="BT231" s="312" t="n">
        <v>304</v>
      </c>
      <c r="BU231" s="318" t="b">
        <f aca="false">FALSE()</f>
        <v>0</v>
      </c>
      <c r="BV231" s="3" t="e">
        <f aca="false">xlookup(MID($A231,7,50),$A$2:$A$139,$BV$2:$BV$139,,0,1)</f>
        <v>#NAME?</v>
      </c>
      <c r="BW231" s="3"/>
      <c r="BX231" s="85" t="n">
        <v>13</v>
      </c>
      <c r="BY231" s="3" t="s">
        <v>1215</v>
      </c>
      <c r="BZ231" s="3" t="s">
        <v>775</v>
      </c>
      <c r="CA231" s="3"/>
      <c r="CB231" s="3"/>
      <c r="CC231" s="3"/>
      <c r="CD231" s="3"/>
      <c r="CE231" s="3"/>
      <c r="CF231" s="3"/>
      <c r="CG231" s="311" t="b">
        <f aca="false">TRUE()</f>
        <v>1</v>
      </c>
      <c r="CH231" s="3" t="s">
        <v>776</v>
      </c>
      <c r="CI231" s="3"/>
      <c r="CJ231" s="3"/>
      <c r="CK231" s="3"/>
      <c r="CL231" s="3"/>
      <c r="CM231" s="3"/>
      <c r="CN231" s="3"/>
      <c r="CO231" s="3"/>
      <c r="CP231" s="3"/>
      <c r="CQ231" s="3"/>
      <c r="CR231" s="3"/>
      <c r="CS231" s="3"/>
      <c r="CT231" s="3"/>
      <c r="CU231" s="3"/>
      <c r="CV231" s="3" t="s">
        <v>1216</v>
      </c>
      <c r="CW231" s="3" t="s">
        <v>1217</v>
      </c>
      <c r="CX231" s="3" t="s">
        <v>1218</v>
      </c>
      <c r="CY231" s="3" t="s">
        <v>1219</v>
      </c>
      <c r="CZ231" s="3" t="s">
        <v>1220</v>
      </c>
    </row>
    <row r="232" customFormat="false" ht="15.75" hidden="false" customHeight="false" outlineLevel="0" collapsed="false">
      <c r="A232" s="309" t="s">
        <v>1698</v>
      </c>
      <c r="B232" s="309" t="s">
        <v>1699</v>
      </c>
      <c r="C232" s="309" t="s">
        <v>1700</v>
      </c>
      <c r="D232" s="309" t="s">
        <v>1701</v>
      </c>
      <c r="E232" s="309" t="s">
        <v>1702</v>
      </c>
      <c r="F232" s="318" t="b">
        <f aca="false">TRUE()</f>
        <v>1</v>
      </c>
      <c r="G232" s="309" t="s">
        <v>957</v>
      </c>
      <c r="H232" s="309" t="s">
        <v>1699</v>
      </c>
      <c r="I232" s="312" t="n">
        <v>-1</v>
      </c>
      <c r="J232" s="3"/>
      <c r="K232" s="309" t="s">
        <v>741</v>
      </c>
      <c r="L232" s="312" t="n">
        <v>1</v>
      </c>
      <c r="M232" s="309" t="s">
        <v>758</v>
      </c>
      <c r="N232" s="309" t="s">
        <v>743</v>
      </c>
      <c r="O232" s="309" t="s">
        <v>744</v>
      </c>
      <c r="P232" s="309" t="s">
        <v>745</v>
      </c>
      <c r="Q232" s="309" t="s">
        <v>746</v>
      </c>
      <c r="R232" s="318" t="b">
        <f aca="false">FALSE()</f>
        <v>0</v>
      </c>
      <c r="S232" s="312" t="n">
        <v>70</v>
      </c>
      <c r="T232" s="312" t="n">
        <v>70</v>
      </c>
      <c r="U232" s="312" t="n">
        <v>70</v>
      </c>
      <c r="V232" s="312" t="n">
        <v>70</v>
      </c>
      <c r="W232" s="312" t="n">
        <v>100</v>
      </c>
      <c r="X232" s="312" t="n">
        <v>100</v>
      </c>
      <c r="Y232" s="312" t="n">
        <v>0.4</v>
      </c>
      <c r="Z232" s="312" t="n">
        <v>0.7</v>
      </c>
      <c r="AA232" s="312" t="n">
        <v>10</v>
      </c>
      <c r="AB232" s="312" t="n">
        <v>1050</v>
      </c>
      <c r="AC232" s="309" t="s">
        <v>1253</v>
      </c>
      <c r="AD232" s="309" t="s">
        <v>182</v>
      </c>
      <c r="AE232" s="312" t="n">
        <v>10</v>
      </c>
      <c r="AF232" s="312" t="n">
        <v>10</v>
      </c>
      <c r="AG232" s="312" t="n">
        <v>300</v>
      </c>
      <c r="AH232" s="312" t="n">
        <v>400</v>
      </c>
      <c r="AI232" s="312" t="n">
        <v>100</v>
      </c>
      <c r="AJ232" s="318" t="b">
        <f aca="false">TRUE()</f>
        <v>1</v>
      </c>
      <c r="AK232" s="318" t="b">
        <f aca="false">FALSE()</f>
        <v>0</v>
      </c>
      <c r="AL232" s="309" t="s">
        <v>1247</v>
      </c>
      <c r="AM232" s="318" t="b">
        <f aca="false">FALSE()</f>
        <v>0</v>
      </c>
      <c r="AN232" s="318" t="b">
        <f aca="false">FALSE()</f>
        <v>0</v>
      </c>
      <c r="AO232" s="312" t="n">
        <v>150</v>
      </c>
      <c r="AP232" s="312" t="n">
        <v>1</v>
      </c>
      <c r="AQ232" s="312" t="n">
        <v>2</v>
      </c>
      <c r="AR232" s="312" t="n">
        <v>25</v>
      </c>
      <c r="AS232" s="312" t="n">
        <v>90</v>
      </c>
      <c r="AT232" s="312" t="n">
        <v>1</v>
      </c>
      <c r="AU232" s="318" t="b">
        <f aca="false">FALSE()</f>
        <v>0</v>
      </c>
      <c r="AV232" s="318" t="b">
        <f aca="false">TRUE()</f>
        <v>1</v>
      </c>
      <c r="AW232" s="312" t="n">
        <v>9</v>
      </c>
      <c r="AX232" s="318" t="b">
        <f aca="false">FALSE()</f>
        <v>0</v>
      </c>
      <c r="AY232" s="318" t="b">
        <f aca="false">TRUE()</f>
        <v>1</v>
      </c>
      <c r="AZ232" s="312" t="n">
        <v>100</v>
      </c>
      <c r="BA232" s="312" t="n">
        <v>50</v>
      </c>
      <c r="BB232" s="312" t="n">
        <v>1380</v>
      </c>
      <c r="BC232" s="312" t="n">
        <v>0</v>
      </c>
      <c r="BD232" s="312" t="n">
        <v>0</v>
      </c>
      <c r="BE232" s="312" t="n">
        <v>0</v>
      </c>
      <c r="BF232" s="312" t="n">
        <v>0</v>
      </c>
      <c r="BG232" s="312" t="n">
        <v>1</v>
      </c>
      <c r="BH232" s="312" t="n">
        <v>0</v>
      </c>
      <c r="BI232" s="312" t="n">
        <v>0</v>
      </c>
      <c r="BJ232" s="312" t="n">
        <v>1</v>
      </c>
      <c r="BK232" s="312" t="n">
        <v>0</v>
      </c>
      <c r="BL232" s="312" t="n">
        <v>0</v>
      </c>
      <c r="BM232" s="312" t="n">
        <v>0</v>
      </c>
      <c r="BN232" s="312" t="n">
        <v>1</v>
      </c>
      <c r="BO232" s="312" t="n">
        <v>0</v>
      </c>
      <c r="BP232" s="309" t="s">
        <v>182</v>
      </c>
      <c r="BQ232" s="309" t="s">
        <v>182</v>
      </c>
      <c r="BR232" s="309" t="s">
        <v>182</v>
      </c>
      <c r="BS232" s="309" t="s">
        <v>182</v>
      </c>
      <c r="BT232" s="312" t="n">
        <v>305</v>
      </c>
      <c r="BU232" s="318" t="b">
        <f aca="false">FALSE()</f>
        <v>0</v>
      </c>
      <c r="BV232" s="3" t="e">
        <f aca="false">xlookup(MID($A232,7,50),$A$2:$A$139,$BV$2:$BV$139,,0,1)</f>
        <v>#NAME?</v>
      </c>
      <c r="BW232" s="3"/>
      <c r="BX232" s="3"/>
      <c r="BY232" s="3"/>
      <c r="BZ232" s="3"/>
      <c r="CA232" s="3" t="s">
        <v>958</v>
      </c>
      <c r="CB232" s="3" t="s">
        <v>284</v>
      </c>
      <c r="CC232" s="85" t="n">
        <v>2</v>
      </c>
      <c r="CD232" s="85" t="n">
        <v>3</v>
      </c>
      <c r="CE232" s="85" t="n">
        <v>5</v>
      </c>
      <c r="CF232" s="85" t="n">
        <v>10</v>
      </c>
      <c r="CG232" s="3"/>
      <c r="CH232" s="3"/>
      <c r="CI232" s="3"/>
      <c r="CJ232" s="3"/>
      <c r="CK232" s="3"/>
      <c r="CL232" s="3"/>
      <c r="CM232" s="3"/>
      <c r="CN232" s="3"/>
      <c r="CO232" s="3"/>
      <c r="CP232" s="3"/>
      <c r="CQ232" s="3"/>
      <c r="CR232" s="3"/>
      <c r="CS232" s="3"/>
      <c r="CT232" s="3"/>
      <c r="CU232" s="3"/>
      <c r="CV232" s="3"/>
      <c r="CW232" s="3"/>
      <c r="CX232" s="3"/>
      <c r="CY232" s="3"/>
      <c r="CZ232" s="3"/>
    </row>
    <row r="233" customFormat="false" ht="15.75" hidden="false" customHeight="false" outlineLevel="0" collapsed="false">
      <c r="A233" s="309" t="s">
        <v>1703</v>
      </c>
      <c r="B233" s="309" t="s">
        <v>1704</v>
      </c>
      <c r="C233" s="309" t="s">
        <v>1705</v>
      </c>
      <c r="D233" s="309" t="s">
        <v>1706</v>
      </c>
      <c r="E233" s="309" t="s">
        <v>1707</v>
      </c>
      <c r="F233" s="318" t="b">
        <f aca="false">TRUE()</f>
        <v>1</v>
      </c>
      <c r="G233" s="309" t="s">
        <v>1074</v>
      </c>
      <c r="H233" s="309" t="s">
        <v>1704</v>
      </c>
      <c r="I233" s="312" t="n">
        <v>-1</v>
      </c>
      <c r="J233" s="3"/>
      <c r="K233" s="309" t="s">
        <v>884</v>
      </c>
      <c r="L233" s="312" t="n">
        <v>1</v>
      </c>
      <c r="M233" s="309" t="s">
        <v>758</v>
      </c>
      <c r="N233" s="309" t="s">
        <v>743</v>
      </c>
      <c r="O233" s="309" t="s">
        <v>898</v>
      </c>
      <c r="P233" s="309" t="s">
        <v>745</v>
      </c>
      <c r="Q233" s="309" t="s">
        <v>746</v>
      </c>
      <c r="R233" s="318" t="b">
        <f aca="false">FALSE()</f>
        <v>0</v>
      </c>
      <c r="S233" s="312" t="n">
        <v>60</v>
      </c>
      <c r="T233" s="312" t="n">
        <v>100</v>
      </c>
      <c r="U233" s="312" t="n">
        <v>60</v>
      </c>
      <c r="V233" s="312" t="n">
        <v>70</v>
      </c>
      <c r="W233" s="312" t="n">
        <v>100</v>
      </c>
      <c r="X233" s="312" t="n">
        <v>100</v>
      </c>
      <c r="Y233" s="312" t="n">
        <v>0.4</v>
      </c>
      <c r="Z233" s="312" t="n">
        <v>0.7</v>
      </c>
      <c r="AA233" s="312" t="n">
        <v>10</v>
      </c>
      <c r="AB233" s="312" t="n">
        <v>1200</v>
      </c>
      <c r="AC233" s="309" t="s">
        <v>836</v>
      </c>
      <c r="AD233" s="309" t="s">
        <v>182</v>
      </c>
      <c r="AE233" s="312" t="n">
        <v>60</v>
      </c>
      <c r="AF233" s="312" t="n">
        <v>120</v>
      </c>
      <c r="AG233" s="312" t="n">
        <v>400</v>
      </c>
      <c r="AH233" s="312" t="n">
        <v>550</v>
      </c>
      <c r="AI233" s="312" t="n">
        <v>260</v>
      </c>
      <c r="AJ233" s="318" t="b">
        <f aca="false">TRUE()</f>
        <v>1</v>
      </c>
      <c r="AK233" s="318" t="b">
        <f aca="false">FALSE()</f>
        <v>0</v>
      </c>
      <c r="AL233" s="309" t="s">
        <v>1247</v>
      </c>
      <c r="AM233" s="318" t="b">
        <f aca="false">FALSE()</f>
        <v>0</v>
      </c>
      <c r="AN233" s="318" t="b">
        <f aca="false">FALSE()</f>
        <v>0</v>
      </c>
      <c r="AO233" s="312" t="n">
        <v>225</v>
      </c>
      <c r="AP233" s="312" t="n">
        <v>1</v>
      </c>
      <c r="AQ233" s="312" t="n">
        <v>3</v>
      </c>
      <c r="AR233" s="312" t="n">
        <v>25</v>
      </c>
      <c r="AS233" s="312" t="n">
        <v>90</v>
      </c>
      <c r="AT233" s="312" t="n">
        <v>1</v>
      </c>
      <c r="AU233" s="318" t="b">
        <f aca="false">FALSE()</f>
        <v>0</v>
      </c>
      <c r="AV233" s="318" t="b">
        <f aca="false">TRUE()</f>
        <v>1</v>
      </c>
      <c r="AW233" s="312" t="n">
        <v>9</v>
      </c>
      <c r="AX233" s="318" t="b">
        <f aca="false">FALSE()</f>
        <v>0</v>
      </c>
      <c r="AY233" s="318" t="b">
        <f aca="false">TRUE()</f>
        <v>1</v>
      </c>
      <c r="AZ233" s="312" t="n">
        <v>100</v>
      </c>
      <c r="BA233" s="312" t="n">
        <v>50</v>
      </c>
      <c r="BB233" s="312" t="n">
        <v>1290</v>
      </c>
      <c r="BC233" s="312" t="n">
        <v>0</v>
      </c>
      <c r="BD233" s="312" t="n">
        <v>0</v>
      </c>
      <c r="BE233" s="312" t="n">
        <v>0</v>
      </c>
      <c r="BF233" s="312" t="n">
        <v>0</v>
      </c>
      <c r="BG233" s="312" t="n">
        <v>0</v>
      </c>
      <c r="BH233" s="312" t="n">
        <v>1</v>
      </c>
      <c r="BI233" s="312" t="n">
        <v>0</v>
      </c>
      <c r="BJ233" s="312" t="n">
        <v>0</v>
      </c>
      <c r="BK233" s="312" t="n">
        <v>0</v>
      </c>
      <c r="BL233" s="312" t="n">
        <v>0</v>
      </c>
      <c r="BM233" s="312" t="n">
        <v>0</v>
      </c>
      <c r="BN233" s="312" t="n">
        <v>2</v>
      </c>
      <c r="BO233" s="312" t="n">
        <v>0</v>
      </c>
      <c r="BP233" s="309" t="s">
        <v>182</v>
      </c>
      <c r="BQ233" s="309" t="s">
        <v>182</v>
      </c>
      <c r="BR233" s="309" t="s">
        <v>182</v>
      </c>
      <c r="BS233" s="309" t="s">
        <v>182</v>
      </c>
      <c r="BT233" s="312" t="n">
        <v>306</v>
      </c>
      <c r="BU233" s="318" t="b">
        <f aca="false">FALSE()</f>
        <v>0</v>
      </c>
      <c r="BV233" s="3" t="e">
        <f aca="false">xlookup(MID($A233,7,50),$A$2:$A$139,$BV$2:$BV$139,,0,1)</f>
        <v>#NAME?</v>
      </c>
      <c r="BW233" s="3"/>
      <c r="BX233" s="85" t="n">
        <v>9</v>
      </c>
      <c r="BY233" s="3" t="s">
        <v>1075</v>
      </c>
      <c r="BZ233" s="3" t="s">
        <v>809</v>
      </c>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row>
    <row r="234" customFormat="false" ht="15.75" hidden="false" customHeight="false" outlineLevel="0" collapsed="false">
      <c r="A234" s="309" t="s">
        <v>1708</v>
      </c>
      <c r="B234" s="309" t="s">
        <v>1709</v>
      </c>
      <c r="C234" s="309" t="s">
        <v>1710</v>
      </c>
      <c r="D234" s="309" t="s">
        <v>1711</v>
      </c>
      <c r="E234" s="309" t="s">
        <v>1712</v>
      </c>
      <c r="F234" s="318" t="b">
        <f aca="false">TRUE()</f>
        <v>1</v>
      </c>
      <c r="G234" s="309" t="s">
        <v>1191</v>
      </c>
      <c r="H234" s="309" t="s">
        <v>1709</v>
      </c>
      <c r="I234" s="312" t="n">
        <v>-1</v>
      </c>
      <c r="J234" s="3"/>
      <c r="K234" s="309" t="s">
        <v>741</v>
      </c>
      <c r="L234" s="312" t="n">
        <v>6</v>
      </c>
      <c r="M234" s="309" t="s">
        <v>758</v>
      </c>
      <c r="N234" s="309" t="s">
        <v>743</v>
      </c>
      <c r="O234" s="309" t="s">
        <v>763</v>
      </c>
      <c r="P234" s="309" t="s">
        <v>745</v>
      </c>
      <c r="Q234" s="309" t="s">
        <v>746</v>
      </c>
      <c r="R234" s="318" t="b">
        <f aca="false">FALSE()</f>
        <v>0</v>
      </c>
      <c r="S234" s="312" t="n">
        <v>75</v>
      </c>
      <c r="T234" s="312" t="n">
        <v>70</v>
      </c>
      <c r="U234" s="312" t="n">
        <v>85</v>
      </c>
      <c r="V234" s="312" t="n">
        <v>70</v>
      </c>
      <c r="W234" s="312" t="n">
        <v>140</v>
      </c>
      <c r="X234" s="312" t="n">
        <v>100</v>
      </c>
      <c r="Y234" s="312" t="n">
        <v>0.4</v>
      </c>
      <c r="Z234" s="312" t="n">
        <v>0.7</v>
      </c>
      <c r="AA234" s="312" t="n">
        <v>10</v>
      </c>
      <c r="AB234" s="312" t="n">
        <v>1480</v>
      </c>
      <c r="AC234" s="309" t="s">
        <v>836</v>
      </c>
      <c r="AD234" s="309" t="s">
        <v>182</v>
      </c>
      <c r="AE234" s="312" t="n">
        <v>30</v>
      </c>
      <c r="AF234" s="312" t="n">
        <v>60</v>
      </c>
      <c r="AG234" s="312" t="n">
        <v>300</v>
      </c>
      <c r="AH234" s="312" t="n">
        <v>500</v>
      </c>
      <c r="AI234" s="312" t="n">
        <v>164</v>
      </c>
      <c r="AJ234" s="318" t="b">
        <f aca="false">TRUE()</f>
        <v>1</v>
      </c>
      <c r="AK234" s="318" t="b">
        <f aca="false">FALSE()</f>
        <v>0</v>
      </c>
      <c r="AL234" s="309" t="s">
        <v>1247</v>
      </c>
      <c r="AM234" s="318" t="b">
        <f aca="false">FALSE()</f>
        <v>0</v>
      </c>
      <c r="AN234" s="318" t="b">
        <f aca="false">FALSE()</f>
        <v>0</v>
      </c>
      <c r="AO234" s="312" t="n">
        <v>150</v>
      </c>
      <c r="AP234" s="312" t="n">
        <v>1</v>
      </c>
      <c r="AQ234" s="312" t="n">
        <v>2</v>
      </c>
      <c r="AR234" s="312" t="n">
        <v>25</v>
      </c>
      <c r="AS234" s="312" t="n">
        <v>90</v>
      </c>
      <c r="AT234" s="312" t="n">
        <v>1</v>
      </c>
      <c r="AU234" s="318" t="b">
        <f aca="false">FALSE()</f>
        <v>0</v>
      </c>
      <c r="AV234" s="318" t="b">
        <f aca="false">FALSE()</f>
        <v>0</v>
      </c>
      <c r="AW234" s="312" t="n">
        <v>9</v>
      </c>
      <c r="AX234" s="318" t="b">
        <f aca="false">FALSE()</f>
        <v>0</v>
      </c>
      <c r="AY234" s="318" t="b">
        <f aca="false">TRUE()</f>
        <v>1</v>
      </c>
      <c r="AZ234" s="312" t="n">
        <v>100</v>
      </c>
      <c r="BA234" s="312" t="n">
        <v>50</v>
      </c>
      <c r="BB234" s="312" t="n">
        <v>1180</v>
      </c>
      <c r="BC234" s="312" t="n">
        <v>0</v>
      </c>
      <c r="BD234" s="312" t="n">
        <v>0</v>
      </c>
      <c r="BE234" s="312" t="n">
        <v>0</v>
      </c>
      <c r="BF234" s="312" t="n">
        <v>0</v>
      </c>
      <c r="BG234" s="312" t="n">
        <v>0</v>
      </c>
      <c r="BH234" s="312" t="n">
        <v>1</v>
      </c>
      <c r="BI234" s="312" t="n">
        <v>0</v>
      </c>
      <c r="BJ234" s="312" t="n">
        <v>0</v>
      </c>
      <c r="BK234" s="312" t="n">
        <v>0</v>
      </c>
      <c r="BL234" s="312" t="n">
        <v>0</v>
      </c>
      <c r="BM234" s="312" t="n">
        <v>0</v>
      </c>
      <c r="BN234" s="312" t="n">
        <v>0</v>
      </c>
      <c r="BO234" s="312" t="n">
        <v>0</v>
      </c>
      <c r="BP234" s="309" t="s">
        <v>182</v>
      </c>
      <c r="BQ234" s="309" t="s">
        <v>182</v>
      </c>
      <c r="BR234" s="309" t="s">
        <v>182</v>
      </c>
      <c r="BS234" s="309" t="s">
        <v>182</v>
      </c>
      <c r="BT234" s="312" t="n">
        <v>307</v>
      </c>
      <c r="BU234" s="318" t="b">
        <f aca="false">FALSE()</f>
        <v>0</v>
      </c>
      <c r="BV234" s="3" t="e">
        <f aca="false">xlookup(MID($A234,7,50),$A$2:$A$139,$BV$2:$BV$139,,0,1)</f>
        <v>#NAME?</v>
      </c>
      <c r="BW234" s="3"/>
      <c r="BX234" s="3"/>
      <c r="BY234" s="3"/>
      <c r="BZ234" s="3"/>
      <c r="CA234" s="3"/>
      <c r="CB234" s="3"/>
      <c r="CC234" s="3"/>
      <c r="CD234" s="3"/>
      <c r="CE234" s="3"/>
      <c r="CF234" s="3"/>
      <c r="CG234" s="3"/>
      <c r="CH234" s="3"/>
      <c r="CI234" s="3" t="s">
        <v>750</v>
      </c>
      <c r="CJ234" s="3" t="s">
        <v>1192</v>
      </c>
      <c r="CK234" s="3" t="s">
        <v>1192</v>
      </c>
      <c r="CL234" s="3" t="s">
        <v>1192</v>
      </c>
      <c r="CM234" s="3" t="s">
        <v>1192</v>
      </c>
      <c r="CN234" s="3" t="s">
        <v>1192</v>
      </c>
      <c r="CO234" s="3"/>
      <c r="CP234" s="3"/>
      <c r="CQ234" s="3"/>
      <c r="CR234" s="3"/>
      <c r="CS234" s="3"/>
      <c r="CT234" s="3"/>
      <c r="CU234" s="3"/>
      <c r="CV234" s="3" t="s">
        <v>752</v>
      </c>
      <c r="CW234" s="3" t="s">
        <v>753</v>
      </c>
      <c r="CX234" s="3" t="s">
        <v>754</v>
      </c>
      <c r="CY234" s="3" t="s">
        <v>755</v>
      </c>
      <c r="CZ234" s="3" t="s">
        <v>756</v>
      </c>
    </row>
    <row r="235" customFormat="false" ht="15.75" hidden="false" customHeight="false" outlineLevel="0" collapsed="false">
      <c r="A235" s="309" t="s">
        <v>1713</v>
      </c>
      <c r="B235" s="309" t="s">
        <v>1714</v>
      </c>
      <c r="C235" s="309" t="s">
        <v>1715</v>
      </c>
      <c r="D235" s="309" t="s">
        <v>1716</v>
      </c>
      <c r="E235" s="309" t="s">
        <v>1717</v>
      </c>
      <c r="F235" s="318" t="b">
        <f aca="false">TRUE()</f>
        <v>1</v>
      </c>
      <c r="G235" s="309" t="s">
        <v>426</v>
      </c>
      <c r="H235" s="309" t="s">
        <v>1714</v>
      </c>
      <c r="I235" s="312" t="n">
        <v>-1</v>
      </c>
      <c r="J235" s="3"/>
      <c r="K235" s="309" t="s">
        <v>741</v>
      </c>
      <c r="L235" s="312" t="n">
        <v>1</v>
      </c>
      <c r="M235" s="309" t="s">
        <v>771</v>
      </c>
      <c r="N235" s="309" t="s">
        <v>814</v>
      </c>
      <c r="O235" s="309" t="s">
        <v>744</v>
      </c>
      <c r="P235" s="309" t="s">
        <v>745</v>
      </c>
      <c r="Q235" s="309" t="s">
        <v>746</v>
      </c>
      <c r="R235" s="318" t="b">
        <f aca="false">FALSE()</f>
        <v>0</v>
      </c>
      <c r="S235" s="312" t="n">
        <v>70</v>
      </c>
      <c r="T235" s="312" t="n">
        <v>70</v>
      </c>
      <c r="U235" s="312" t="n">
        <v>75</v>
      </c>
      <c r="V235" s="312" t="n">
        <v>70</v>
      </c>
      <c r="W235" s="312" t="n">
        <v>100</v>
      </c>
      <c r="X235" s="312" t="n">
        <v>100</v>
      </c>
      <c r="Y235" s="312" t="n">
        <v>0.4</v>
      </c>
      <c r="Z235" s="312" t="n">
        <v>0.63</v>
      </c>
      <c r="AA235" s="312" t="n">
        <v>10</v>
      </c>
      <c r="AB235" s="312" t="n">
        <v>1080</v>
      </c>
      <c r="AC235" s="309" t="s">
        <v>836</v>
      </c>
      <c r="AD235" s="309" t="s">
        <v>182</v>
      </c>
      <c r="AE235" s="312" t="n">
        <v>30</v>
      </c>
      <c r="AF235" s="312" t="n">
        <v>60</v>
      </c>
      <c r="AG235" s="312" t="n">
        <v>500</v>
      </c>
      <c r="AH235" s="312" t="n">
        <v>650</v>
      </c>
      <c r="AI235" s="312" t="n">
        <v>265</v>
      </c>
      <c r="AJ235" s="318" t="b">
        <f aca="false">TRUE()</f>
        <v>1</v>
      </c>
      <c r="AK235" s="318" t="b">
        <f aca="false">FALSE()</f>
        <v>0</v>
      </c>
      <c r="AL235" s="309" t="s">
        <v>1247</v>
      </c>
      <c r="AM235" s="318" t="b">
        <f aca="false">FALSE()</f>
        <v>0</v>
      </c>
      <c r="AN235" s="318" t="b">
        <f aca="false">FALSE()</f>
        <v>0</v>
      </c>
      <c r="AO235" s="312" t="n">
        <v>150</v>
      </c>
      <c r="AP235" s="312" t="n">
        <v>1</v>
      </c>
      <c r="AQ235" s="312" t="n">
        <v>2</v>
      </c>
      <c r="AR235" s="312" t="n">
        <v>25</v>
      </c>
      <c r="AS235" s="312" t="n">
        <v>90</v>
      </c>
      <c r="AT235" s="312" t="n">
        <v>1</v>
      </c>
      <c r="AU235" s="318" t="b">
        <f aca="false">FALSE()</f>
        <v>0</v>
      </c>
      <c r="AV235" s="318" t="b">
        <f aca="false">FALSE()</f>
        <v>0</v>
      </c>
      <c r="AW235" s="312" t="n">
        <v>9</v>
      </c>
      <c r="AX235" s="318" t="b">
        <f aca="false">FALSE()</f>
        <v>0</v>
      </c>
      <c r="AY235" s="318" t="b">
        <f aca="false">TRUE()</f>
        <v>1</v>
      </c>
      <c r="AZ235" s="312" t="n">
        <v>100</v>
      </c>
      <c r="BA235" s="312" t="n">
        <v>50</v>
      </c>
      <c r="BB235" s="312" t="n">
        <v>1350</v>
      </c>
      <c r="BC235" s="312" t="n">
        <v>0</v>
      </c>
      <c r="BD235" s="312" t="n">
        <v>1</v>
      </c>
      <c r="BE235" s="312" t="n">
        <v>0</v>
      </c>
      <c r="BF235" s="312" t="n">
        <v>0</v>
      </c>
      <c r="BG235" s="312" t="n">
        <v>1</v>
      </c>
      <c r="BH235" s="312" t="n">
        <v>0</v>
      </c>
      <c r="BI235" s="312" t="n">
        <v>0</v>
      </c>
      <c r="BJ235" s="312" t="n">
        <v>0</v>
      </c>
      <c r="BK235" s="312" t="n">
        <v>0</v>
      </c>
      <c r="BL235" s="312" t="n">
        <v>0</v>
      </c>
      <c r="BM235" s="312" t="n">
        <v>1</v>
      </c>
      <c r="BN235" s="312" t="n">
        <v>1</v>
      </c>
      <c r="BO235" s="312" t="n">
        <v>0</v>
      </c>
      <c r="BP235" s="309" t="s">
        <v>182</v>
      </c>
      <c r="BQ235" s="309" t="s">
        <v>182</v>
      </c>
      <c r="BR235" s="309" t="s">
        <v>182</v>
      </c>
      <c r="BS235" s="309" t="s">
        <v>182</v>
      </c>
      <c r="BT235" s="312" t="n">
        <v>308</v>
      </c>
      <c r="BU235" s="318" t="b">
        <f aca="false">FALSE()</f>
        <v>0</v>
      </c>
      <c r="BV235" s="3" t="e">
        <f aca="false">xlookup(MID($A235,7,50),$A$2:$A$139,$BV$2:$BV$139,,0,1)</f>
        <v>#NAME?</v>
      </c>
      <c r="BW235" s="3"/>
      <c r="BX235" s="85" t="n">
        <v>17</v>
      </c>
      <c r="BY235" s="3" t="s">
        <v>861</v>
      </c>
      <c r="BZ235" s="3" t="s">
        <v>792</v>
      </c>
      <c r="CA235" s="3" t="s">
        <v>862</v>
      </c>
      <c r="CB235" s="85" t="n">
        <v>250</v>
      </c>
      <c r="CC235" s="85" t="n">
        <v>285</v>
      </c>
      <c r="CD235" s="85" t="n">
        <v>325</v>
      </c>
      <c r="CE235" s="85" t="n">
        <v>400</v>
      </c>
      <c r="CF235" s="85" t="n">
        <v>500</v>
      </c>
      <c r="CG235" s="3"/>
      <c r="CH235" s="3"/>
      <c r="CI235" s="3"/>
      <c r="CJ235" s="3"/>
      <c r="CK235" s="3"/>
      <c r="CL235" s="3"/>
      <c r="CM235" s="3"/>
      <c r="CN235" s="3"/>
      <c r="CO235" s="3"/>
      <c r="CP235" s="3"/>
      <c r="CQ235" s="3"/>
      <c r="CR235" s="3"/>
      <c r="CS235" s="3"/>
      <c r="CT235" s="3"/>
      <c r="CU235" s="3"/>
      <c r="CV235" s="3"/>
      <c r="CW235" s="3"/>
      <c r="CX235" s="3"/>
      <c r="CY235" s="3"/>
      <c r="CZ235" s="3"/>
    </row>
    <row r="236" customFormat="false" ht="15.75" hidden="false" customHeight="false" outlineLevel="0" collapsed="false">
      <c r="A236" s="309" t="s">
        <v>1718</v>
      </c>
      <c r="B236" s="309" t="s">
        <v>1719</v>
      </c>
      <c r="C236" s="309" t="s">
        <v>1720</v>
      </c>
      <c r="D236" s="309" t="s">
        <v>1721</v>
      </c>
      <c r="E236" s="309" t="s">
        <v>1722</v>
      </c>
      <c r="F236" s="318" t="b">
        <f aca="false">TRUE()</f>
        <v>1</v>
      </c>
      <c r="G236" s="309" t="s">
        <v>952</v>
      </c>
      <c r="H236" s="309" t="s">
        <v>1719</v>
      </c>
      <c r="I236" s="312" t="n">
        <v>-1</v>
      </c>
      <c r="J236" s="3"/>
      <c r="K236" s="309" t="s">
        <v>741</v>
      </c>
      <c r="L236" s="312" t="n">
        <v>1</v>
      </c>
      <c r="M236" s="309" t="s">
        <v>789</v>
      </c>
      <c r="N236" s="309" t="s">
        <v>743</v>
      </c>
      <c r="O236" s="309" t="s">
        <v>744</v>
      </c>
      <c r="P236" s="309" t="s">
        <v>745</v>
      </c>
      <c r="Q236" s="309" t="s">
        <v>746</v>
      </c>
      <c r="R236" s="318" t="b">
        <f aca="false">FALSE()</f>
        <v>0</v>
      </c>
      <c r="S236" s="312" t="n">
        <v>70</v>
      </c>
      <c r="T236" s="312" t="n">
        <v>70</v>
      </c>
      <c r="U236" s="312" t="n">
        <v>70</v>
      </c>
      <c r="V236" s="312" t="n">
        <v>70</v>
      </c>
      <c r="W236" s="312" t="n">
        <v>100</v>
      </c>
      <c r="X236" s="312" t="n">
        <v>100</v>
      </c>
      <c r="Y236" s="312" t="n">
        <v>0.4</v>
      </c>
      <c r="Z236" s="312" t="n">
        <v>1.05</v>
      </c>
      <c r="AA236" s="312" t="n">
        <v>10</v>
      </c>
      <c r="AB236" s="312" t="n">
        <v>1000</v>
      </c>
      <c r="AC236" s="309" t="s">
        <v>836</v>
      </c>
      <c r="AD236" s="309" t="s">
        <v>182</v>
      </c>
      <c r="AE236" s="312" t="n">
        <v>30</v>
      </c>
      <c r="AF236" s="312" t="n">
        <v>60</v>
      </c>
      <c r="AG236" s="312" t="n">
        <v>400</v>
      </c>
      <c r="AH236" s="312" t="n">
        <v>550</v>
      </c>
      <c r="AI236" s="312" t="n">
        <v>160</v>
      </c>
      <c r="AJ236" s="318" t="b">
        <f aca="false">TRUE()</f>
        <v>1</v>
      </c>
      <c r="AK236" s="318" t="b">
        <f aca="false">FALSE()</f>
        <v>0</v>
      </c>
      <c r="AL236" s="309" t="s">
        <v>1247</v>
      </c>
      <c r="AM236" s="318" t="b">
        <f aca="false">FALSE()</f>
        <v>0</v>
      </c>
      <c r="AN236" s="318" t="b">
        <f aca="false">FALSE()</f>
        <v>0</v>
      </c>
      <c r="AO236" s="312" t="n">
        <v>150</v>
      </c>
      <c r="AP236" s="312" t="n">
        <v>1</v>
      </c>
      <c r="AQ236" s="312" t="n">
        <v>2</v>
      </c>
      <c r="AR236" s="312" t="n">
        <v>25</v>
      </c>
      <c r="AS236" s="312" t="n">
        <v>90</v>
      </c>
      <c r="AT236" s="312" t="n">
        <v>1</v>
      </c>
      <c r="AU236" s="318" t="b">
        <f aca="false">FALSE()</f>
        <v>0</v>
      </c>
      <c r="AV236" s="318" t="b">
        <f aca="false">FALSE()</f>
        <v>0</v>
      </c>
      <c r="AW236" s="312" t="n">
        <v>9</v>
      </c>
      <c r="AX236" s="318" t="b">
        <f aca="false">FALSE()</f>
        <v>0</v>
      </c>
      <c r="AY236" s="318" t="b">
        <f aca="false">TRUE()</f>
        <v>1</v>
      </c>
      <c r="AZ236" s="312" t="n">
        <v>100</v>
      </c>
      <c r="BA236" s="312" t="n">
        <v>50</v>
      </c>
      <c r="BB236" s="312" t="n">
        <v>1460</v>
      </c>
      <c r="BC236" s="312" t="n">
        <v>0</v>
      </c>
      <c r="BD236" s="312" t="n">
        <v>0</v>
      </c>
      <c r="BE236" s="312" t="n">
        <v>0</v>
      </c>
      <c r="BF236" s="312" t="n">
        <v>0</v>
      </c>
      <c r="BG236" s="312" t="n">
        <v>1</v>
      </c>
      <c r="BH236" s="312" t="n">
        <v>1</v>
      </c>
      <c r="BI236" s="312" t="n">
        <v>0</v>
      </c>
      <c r="BJ236" s="312" t="n">
        <v>1</v>
      </c>
      <c r="BK236" s="312" t="n">
        <v>0</v>
      </c>
      <c r="BL236" s="312" t="n">
        <v>0</v>
      </c>
      <c r="BM236" s="312" t="n">
        <v>0</v>
      </c>
      <c r="BN236" s="312" t="n">
        <v>1</v>
      </c>
      <c r="BO236" s="312" t="n">
        <v>0</v>
      </c>
      <c r="BP236" s="309" t="s">
        <v>953</v>
      </c>
      <c r="BQ236" s="309" t="s">
        <v>182</v>
      </c>
      <c r="BR236" s="309" t="s">
        <v>182</v>
      </c>
      <c r="BS236" s="309" t="s">
        <v>182</v>
      </c>
      <c r="BT236" s="312" t="n">
        <v>309</v>
      </c>
      <c r="BU236" s="318" t="b">
        <f aca="false">FALSE()</f>
        <v>0</v>
      </c>
      <c r="BV236" s="3" t="e">
        <f aca="false">xlookup(MID($A236,7,50),$A$2:$A$139,$BV$2:$BV$139,,0,1)</f>
        <v>#NAME?</v>
      </c>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t="s">
        <v>954</v>
      </c>
      <c r="CW236" s="3" t="s">
        <v>955</v>
      </c>
      <c r="CX236" s="3" t="s">
        <v>956</v>
      </c>
      <c r="CY236" s="3" t="s">
        <v>856</v>
      </c>
      <c r="CZ236" s="3" t="s">
        <v>857</v>
      </c>
    </row>
    <row r="237" customFormat="false" ht="15.75" hidden="false" customHeight="false" outlineLevel="0" collapsed="false">
      <c r="A237" s="309" t="s">
        <v>1723</v>
      </c>
      <c r="B237" s="309" t="s">
        <v>1724</v>
      </c>
      <c r="C237" s="309" t="s">
        <v>1725</v>
      </c>
      <c r="D237" s="309" t="s">
        <v>1726</v>
      </c>
      <c r="E237" s="309" t="s">
        <v>1727</v>
      </c>
      <c r="F237" s="318" t="b">
        <f aca="false">TRUE()</f>
        <v>1</v>
      </c>
      <c r="G237" s="309" t="s">
        <v>1065</v>
      </c>
      <c r="H237" s="309" t="s">
        <v>1724</v>
      </c>
      <c r="I237" s="312" t="n">
        <v>-1</v>
      </c>
      <c r="J237" s="3"/>
      <c r="K237" s="309" t="s">
        <v>884</v>
      </c>
      <c r="L237" s="312" t="n">
        <v>5</v>
      </c>
      <c r="M237" s="309" t="s">
        <v>789</v>
      </c>
      <c r="N237" s="309" t="s">
        <v>743</v>
      </c>
      <c r="O237" s="309" t="s">
        <v>744</v>
      </c>
      <c r="P237" s="309" t="s">
        <v>745</v>
      </c>
      <c r="Q237" s="309" t="s">
        <v>746</v>
      </c>
      <c r="R237" s="318" t="b">
        <f aca="false">FALSE()</f>
        <v>0</v>
      </c>
      <c r="S237" s="312" t="n">
        <v>120</v>
      </c>
      <c r="T237" s="312" t="n">
        <v>70</v>
      </c>
      <c r="U237" s="312" t="n">
        <v>70</v>
      </c>
      <c r="V237" s="312" t="n">
        <v>70</v>
      </c>
      <c r="W237" s="312" t="n">
        <v>140</v>
      </c>
      <c r="X237" s="312" t="n">
        <v>100</v>
      </c>
      <c r="Y237" s="312" t="n">
        <v>0.2</v>
      </c>
      <c r="Z237" s="312" t="n">
        <v>0.7</v>
      </c>
      <c r="AA237" s="312" t="n">
        <v>10</v>
      </c>
      <c r="AB237" s="312" t="n">
        <v>2450</v>
      </c>
      <c r="AC237" s="309" t="s">
        <v>1253</v>
      </c>
      <c r="AD237" s="309" t="s">
        <v>182</v>
      </c>
      <c r="AE237" s="312" t="n">
        <v>90</v>
      </c>
      <c r="AF237" s="312" t="n">
        <v>170</v>
      </c>
      <c r="AG237" s="312" t="n">
        <v>750</v>
      </c>
      <c r="AH237" s="312" t="n">
        <v>850</v>
      </c>
      <c r="AI237" s="312" t="n">
        <v>460</v>
      </c>
      <c r="AJ237" s="318" t="b">
        <f aca="false">TRUE()</f>
        <v>1</v>
      </c>
      <c r="AK237" s="318" t="b">
        <f aca="false">FALSE()</f>
        <v>0</v>
      </c>
      <c r="AL237" s="309" t="s">
        <v>1247</v>
      </c>
      <c r="AM237" s="318" t="b">
        <f aca="false">FALSE()</f>
        <v>0</v>
      </c>
      <c r="AN237" s="318" t="b">
        <f aca="false">FALSE()</f>
        <v>0</v>
      </c>
      <c r="AO237" s="312" t="n">
        <v>350</v>
      </c>
      <c r="AP237" s="312" t="n">
        <v>1</v>
      </c>
      <c r="AQ237" s="312" t="n">
        <v>5</v>
      </c>
      <c r="AR237" s="312" t="n">
        <v>25</v>
      </c>
      <c r="AS237" s="312" t="n">
        <v>90</v>
      </c>
      <c r="AT237" s="312" t="n">
        <v>1</v>
      </c>
      <c r="AU237" s="318" t="b">
        <f aca="false">FALSE()</f>
        <v>0</v>
      </c>
      <c r="AV237" s="318" t="b">
        <f aca="false">TRUE()</f>
        <v>1</v>
      </c>
      <c r="AW237" s="312" t="n">
        <v>9</v>
      </c>
      <c r="AX237" s="318" t="b">
        <f aca="false">FALSE()</f>
        <v>0</v>
      </c>
      <c r="AY237" s="318" t="b">
        <f aca="false">TRUE()</f>
        <v>1</v>
      </c>
      <c r="AZ237" s="312" t="n">
        <v>100</v>
      </c>
      <c r="BA237" s="312" t="n">
        <v>30</v>
      </c>
      <c r="BB237" s="312" t="n">
        <v>940</v>
      </c>
      <c r="BC237" s="312" t="n">
        <v>0</v>
      </c>
      <c r="BD237" s="312" t="n">
        <v>0</v>
      </c>
      <c r="BE237" s="312" t="n">
        <v>0</v>
      </c>
      <c r="BF237" s="312" t="n">
        <v>0</v>
      </c>
      <c r="BG237" s="312" t="n">
        <v>2</v>
      </c>
      <c r="BH237" s="312" t="n">
        <v>0</v>
      </c>
      <c r="BI237" s="312" t="n">
        <v>0</v>
      </c>
      <c r="BJ237" s="312" t="n">
        <v>1</v>
      </c>
      <c r="BK237" s="312" t="n">
        <v>0</v>
      </c>
      <c r="BL237" s="312" t="n">
        <v>2</v>
      </c>
      <c r="BM237" s="312" t="n">
        <v>0</v>
      </c>
      <c r="BN237" s="312" t="n">
        <v>2</v>
      </c>
      <c r="BO237" s="312" t="n">
        <v>0</v>
      </c>
      <c r="BP237" s="309" t="s">
        <v>1066</v>
      </c>
      <c r="BQ237" s="309" t="s">
        <v>182</v>
      </c>
      <c r="BR237" s="309" t="s">
        <v>182</v>
      </c>
      <c r="BS237" s="309" t="s">
        <v>182</v>
      </c>
      <c r="BT237" s="312" t="n">
        <v>311</v>
      </c>
      <c r="BU237" s="318" t="b">
        <f aca="false">FALSE()</f>
        <v>0</v>
      </c>
      <c r="BV237" s="3" t="e">
        <f aca="false">xlookup(MID($A237,7,50),$A$2:$A$139,$BV$2:$BV$139,,0,1)</f>
        <v>#NAME?</v>
      </c>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t="s">
        <v>1023</v>
      </c>
      <c r="CV237" s="3" t="s">
        <v>1024</v>
      </c>
      <c r="CW237" s="3" t="s">
        <v>1025</v>
      </c>
      <c r="CX237" s="3" t="s">
        <v>1026</v>
      </c>
      <c r="CY237" s="3" t="s">
        <v>1027</v>
      </c>
      <c r="CZ237" s="3" t="s">
        <v>1028</v>
      </c>
    </row>
    <row r="238" customFormat="false" ht="15.75" hidden="false" customHeight="false" outlineLevel="0" collapsed="false">
      <c r="A238" s="309" t="s">
        <v>1728</v>
      </c>
      <c r="B238" s="309" t="s">
        <v>1729</v>
      </c>
      <c r="C238" s="309" t="s">
        <v>1730</v>
      </c>
      <c r="D238" s="309" t="s">
        <v>1731</v>
      </c>
      <c r="E238" s="309" t="s">
        <v>1732</v>
      </c>
      <c r="F238" s="318" t="b">
        <f aca="false">TRUE()</f>
        <v>1</v>
      </c>
      <c r="G238" s="309" t="s">
        <v>1168</v>
      </c>
      <c r="H238" s="309" t="s">
        <v>1729</v>
      </c>
      <c r="I238" s="312" t="n">
        <v>-1</v>
      </c>
      <c r="J238" s="3"/>
      <c r="K238" s="309" t="s">
        <v>773</v>
      </c>
      <c r="L238" s="312" t="n">
        <v>1</v>
      </c>
      <c r="M238" s="309" t="s">
        <v>789</v>
      </c>
      <c r="N238" s="309" t="s">
        <v>743</v>
      </c>
      <c r="O238" s="309" t="s">
        <v>744</v>
      </c>
      <c r="P238" s="309" t="s">
        <v>745</v>
      </c>
      <c r="Q238" s="309" t="s">
        <v>746</v>
      </c>
      <c r="R238" s="318" t="b">
        <f aca="false">FALSE()</f>
        <v>0</v>
      </c>
      <c r="S238" s="312" t="n">
        <v>75</v>
      </c>
      <c r="T238" s="312" t="n">
        <v>100</v>
      </c>
      <c r="U238" s="312" t="n">
        <v>65</v>
      </c>
      <c r="V238" s="312" t="n">
        <v>70</v>
      </c>
      <c r="W238" s="312" t="n">
        <v>100</v>
      </c>
      <c r="X238" s="312" t="n">
        <v>100</v>
      </c>
      <c r="Y238" s="312" t="n">
        <v>0.2</v>
      </c>
      <c r="Z238" s="312" t="n">
        <v>0.7</v>
      </c>
      <c r="AA238" s="312" t="n">
        <v>10</v>
      </c>
      <c r="AB238" s="312" t="n">
        <v>1160</v>
      </c>
      <c r="AC238" s="309" t="s">
        <v>836</v>
      </c>
      <c r="AD238" s="309" t="s">
        <v>182</v>
      </c>
      <c r="AE238" s="312" t="n">
        <v>50</v>
      </c>
      <c r="AF238" s="312" t="n">
        <v>100</v>
      </c>
      <c r="AG238" s="312" t="n">
        <v>245</v>
      </c>
      <c r="AH238" s="312" t="n">
        <v>350</v>
      </c>
      <c r="AI238" s="312" t="n">
        <v>172</v>
      </c>
      <c r="AJ238" s="318" t="b">
        <f aca="false">TRUE()</f>
        <v>1</v>
      </c>
      <c r="AK238" s="318" t="b">
        <f aca="false">FALSE()</f>
        <v>0</v>
      </c>
      <c r="AL238" s="309" t="s">
        <v>1247</v>
      </c>
      <c r="AM238" s="318" t="b">
        <f aca="false">FALSE()</f>
        <v>0</v>
      </c>
      <c r="AN238" s="318" t="b">
        <f aca="false">FALSE()</f>
        <v>0</v>
      </c>
      <c r="AO238" s="312" t="n">
        <v>150</v>
      </c>
      <c r="AP238" s="312" t="n">
        <v>1</v>
      </c>
      <c r="AQ238" s="312" t="n">
        <v>2</v>
      </c>
      <c r="AR238" s="312" t="n">
        <v>25</v>
      </c>
      <c r="AS238" s="312" t="n">
        <v>90</v>
      </c>
      <c r="AT238" s="312" t="n">
        <v>1</v>
      </c>
      <c r="AU238" s="318" t="b">
        <f aca="false">FALSE()</f>
        <v>0</v>
      </c>
      <c r="AV238" s="318" t="b">
        <f aca="false">FALSE()</f>
        <v>0</v>
      </c>
      <c r="AW238" s="312" t="n">
        <v>9</v>
      </c>
      <c r="AX238" s="318" t="b">
        <f aca="false">FALSE()</f>
        <v>0</v>
      </c>
      <c r="AY238" s="318" t="b">
        <f aca="false">TRUE()</f>
        <v>1</v>
      </c>
      <c r="AZ238" s="312" t="n">
        <v>100</v>
      </c>
      <c r="BA238" s="312" t="n">
        <v>50</v>
      </c>
      <c r="BB238" s="312" t="n">
        <v>1310</v>
      </c>
      <c r="BC238" s="312" t="n">
        <v>0</v>
      </c>
      <c r="BD238" s="312" t="n">
        <v>0</v>
      </c>
      <c r="BE238" s="312" t="n">
        <v>0</v>
      </c>
      <c r="BF238" s="312" t="n">
        <v>0</v>
      </c>
      <c r="BG238" s="312" t="n">
        <v>1</v>
      </c>
      <c r="BH238" s="312" t="n">
        <v>1</v>
      </c>
      <c r="BI238" s="312" t="n">
        <v>0</v>
      </c>
      <c r="BJ238" s="312" t="n">
        <v>0</v>
      </c>
      <c r="BK238" s="312" t="n">
        <v>0</v>
      </c>
      <c r="BL238" s="312" t="n">
        <v>0</v>
      </c>
      <c r="BM238" s="312" t="n">
        <v>0</v>
      </c>
      <c r="BN238" s="312" t="n">
        <v>1</v>
      </c>
      <c r="BO238" s="312" t="n">
        <v>0</v>
      </c>
      <c r="BP238" s="309" t="s">
        <v>182</v>
      </c>
      <c r="BQ238" s="309" t="s">
        <v>182</v>
      </c>
      <c r="BR238" s="309" t="s">
        <v>182</v>
      </c>
      <c r="BS238" s="309" t="s">
        <v>182</v>
      </c>
      <c r="BT238" s="312" t="n">
        <v>312</v>
      </c>
      <c r="BU238" s="318" t="b">
        <f aca="false">FALSE()</f>
        <v>0</v>
      </c>
      <c r="BV238" s="3" t="e">
        <f aca="false">xlookup(MID($A238,7,50),$A$2:$A$139,$BV$2:$BV$139,,0,1)</f>
        <v>#NAME?</v>
      </c>
      <c r="BW238" s="3"/>
      <c r="BX238" s="3"/>
      <c r="BY238" s="3"/>
      <c r="BZ238" s="3"/>
      <c r="CA238" s="3"/>
      <c r="CB238" s="3"/>
      <c r="CC238" s="3"/>
      <c r="CD238" s="3"/>
      <c r="CE238" s="3"/>
      <c r="CF238" s="3"/>
      <c r="CG238" s="3"/>
      <c r="CH238" s="3"/>
      <c r="CI238" s="3" t="s">
        <v>1169</v>
      </c>
      <c r="CJ238" s="3" t="s">
        <v>1170</v>
      </c>
      <c r="CK238" s="3" t="s">
        <v>1171</v>
      </c>
      <c r="CL238" s="3" t="s">
        <v>1172</v>
      </c>
      <c r="CM238" s="3" t="s">
        <v>1173</v>
      </c>
      <c r="CN238" s="3" t="s">
        <v>1174</v>
      </c>
      <c r="CO238" s="3"/>
      <c r="CP238" s="3"/>
      <c r="CQ238" s="3"/>
      <c r="CR238" s="3"/>
      <c r="CS238" s="3"/>
      <c r="CT238" s="3"/>
      <c r="CU238" s="3" t="s">
        <v>1175</v>
      </c>
      <c r="CV238" s="3" t="s">
        <v>850</v>
      </c>
      <c r="CW238" s="3" t="s">
        <v>851</v>
      </c>
      <c r="CX238" s="3" t="s">
        <v>852</v>
      </c>
      <c r="CY238" s="3" t="s">
        <v>853</v>
      </c>
      <c r="CZ238" s="3" t="s">
        <v>854</v>
      </c>
    </row>
    <row r="239" customFormat="false" ht="15.75" hidden="false" customHeight="false" outlineLevel="0" collapsed="false">
      <c r="A239" s="309" t="s">
        <v>1733</v>
      </c>
      <c r="B239" s="309" t="s">
        <v>1734</v>
      </c>
      <c r="C239" s="309" t="s">
        <v>1164</v>
      </c>
      <c r="D239" s="309" t="s">
        <v>1735</v>
      </c>
      <c r="E239" s="309" t="s">
        <v>1165</v>
      </c>
      <c r="F239" s="318" t="b">
        <f aca="false">TRUE()</f>
        <v>1</v>
      </c>
      <c r="G239" s="309" t="s">
        <v>1158</v>
      </c>
      <c r="H239" s="309" t="s">
        <v>1734</v>
      </c>
      <c r="I239" s="312" t="n">
        <v>-1</v>
      </c>
      <c r="J239" s="3"/>
      <c r="K239" s="309" t="s">
        <v>884</v>
      </c>
      <c r="L239" s="312" t="n">
        <v>1</v>
      </c>
      <c r="M239" s="309" t="s">
        <v>742</v>
      </c>
      <c r="N239" s="309" t="s">
        <v>783</v>
      </c>
      <c r="O239" s="309" t="s">
        <v>898</v>
      </c>
      <c r="P239" s="309" t="s">
        <v>745</v>
      </c>
      <c r="Q239" s="309" t="s">
        <v>746</v>
      </c>
      <c r="R239" s="318" t="b">
        <f aca="false">FALSE()</f>
        <v>0</v>
      </c>
      <c r="S239" s="312" t="n">
        <v>70</v>
      </c>
      <c r="T239" s="312" t="n">
        <v>100</v>
      </c>
      <c r="U239" s="312" t="n">
        <v>70</v>
      </c>
      <c r="V239" s="312" t="n">
        <v>70</v>
      </c>
      <c r="W239" s="312" t="n">
        <v>100</v>
      </c>
      <c r="X239" s="312" t="n">
        <v>100</v>
      </c>
      <c r="Y239" s="312" t="n">
        <v>0.4</v>
      </c>
      <c r="Z239" s="312" t="n">
        <v>0.91</v>
      </c>
      <c r="AA239" s="312" t="n">
        <v>10</v>
      </c>
      <c r="AB239" s="312" t="n">
        <v>1310</v>
      </c>
      <c r="AC239" s="309" t="s">
        <v>836</v>
      </c>
      <c r="AD239" s="309" t="s">
        <v>182</v>
      </c>
      <c r="AE239" s="312" t="n">
        <v>50</v>
      </c>
      <c r="AF239" s="312" t="n">
        <v>50</v>
      </c>
      <c r="AG239" s="312" t="n">
        <v>300</v>
      </c>
      <c r="AH239" s="312" t="n">
        <v>400</v>
      </c>
      <c r="AI239" s="312" t="n">
        <v>175</v>
      </c>
      <c r="AJ239" s="318" t="b">
        <f aca="false">TRUE()</f>
        <v>1</v>
      </c>
      <c r="AK239" s="318" t="b">
        <f aca="false">FALSE()</f>
        <v>0</v>
      </c>
      <c r="AL239" s="309" t="s">
        <v>1247</v>
      </c>
      <c r="AM239" s="318" t="b">
        <f aca="false">FALSE()</f>
        <v>0</v>
      </c>
      <c r="AN239" s="318" t="b">
        <f aca="false">FALSE()</f>
        <v>0</v>
      </c>
      <c r="AO239" s="312" t="n">
        <v>100</v>
      </c>
      <c r="AP239" s="312" t="n">
        <v>1</v>
      </c>
      <c r="AQ239" s="312" t="n">
        <v>1</v>
      </c>
      <c r="AR239" s="312" t="n">
        <v>25</v>
      </c>
      <c r="AS239" s="312" t="n">
        <v>90</v>
      </c>
      <c r="AT239" s="312" t="n">
        <v>1</v>
      </c>
      <c r="AU239" s="318" t="b">
        <f aca="false">FALSE()</f>
        <v>0</v>
      </c>
      <c r="AV239" s="318" t="b">
        <f aca="false">FALSE()</f>
        <v>0</v>
      </c>
      <c r="AW239" s="312" t="n">
        <v>9</v>
      </c>
      <c r="AX239" s="318" t="b">
        <f aca="false">FALSE()</f>
        <v>0</v>
      </c>
      <c r="AY239" s="318" t="b">
        <f aca="false">TRUE()</f>
        <v>1</v>
      </c>
      <c r="AZ239" s="312" t="n">
        <v>100</v>
      </c>
      <c r="BA239" s="312" t="n">
        <v>50</v>
      </c>
      <c r="BB239" s="312" t="n">
        <v>1240</v>
      </c>
      <c r="BC239" s="312" t="n">
        <v>0</v>
      </c>
      <c r="BD239" s="312" t="n">
        <v>0</v>
      </c>
      <c r="BE239" s="312" t="n">
        <v>1</v>
      </c>
      <c r="BF239" s="312" t="n">
        <v>0</v>
      </c>
      <c r="BG239" s="312" t="n">
        <v>0</v>
      </c>
      <c r="BH239" s="312" t="n">
        <v>0</v>
      </c>
      <c r="BI239" s="312" t="n">
        <v>0</v>
      </c>
      <c r="BJ239" s="312" t="n">
        <v>0</v>
      </c>
      <c r="BK239" s="312" t="n">
        <v>0</v>
      </c>
      <c r="BL239" s="312" t="n">
        <v>0</v>
      </c>
      <c r="BM239" s="312" t="n">
        <v>0</v>
      </c>
      <c r="BN239" s="312" t="n">
        <v>0</v>
      </c>
      <c r="BO239" s="312" t="n">
        <v>0</v>
      </c>
      <c r="BP239" s="309" t="s">
        <v>182</v>
      </c>
      <c r="BQ239" s="309" t="s">
        <v>182</v>
      </c>
      <c r="BR239" s="309" t="s">
        <v>182</v>
      </c>
      <c r="BS239" s="309" t="s">
        <v>182</v>
      </c>
      <c r="BT239" s="312" t="n">
        <v>313</v>
      </c>
      <c r="BU239" s="318" t="b">
        <f aca="false">FALSE()</f>
        <v>0</v>
      </c>
      <c r="BV239" s="3" t="e">
        <f aca="false">xlookup(MID($A239,7,50),$A$2:$A$139,$BV$2:$BV$139,,0,1)</f>
        <v>#NAME?</v>
      </c>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t="s">
        <v>1159</v>
      </c>
      <c r="CW239" s="3" t="s">
        <v>1160</v>
      </c>
      <c r="CX239" s="3" t="s">
        <v>1161</v>
      </c>
      <c r="CY239" s="3" t="s">
        <v>1162</v>
      </c>
      <c r="CZ239" s="3" t="s">
        <v>1163</v>
      </c>
    </row>
    <row r="240" customFormat="false" ht="15.75" hidden="false" customHeight="false" outlineLevel="0" collapsed="false">
      <c r="A240" s="309" t="s">
        <v>1736</v>
      </c>
      <c r="B240" s="309" t="s">
        <v>1737</v>
      </c>
      <c r="C240" s="309" t="s">
        <v>1164</v>
      </c>
      <c r="D240" s="309" t="s">
        <v>1735</v>
      </c>
      <c r="E240" s="309" t="s">
        <v>1165</v>
      </c>
      <c r="F240" s="318" t="b">
        <f aca="false">TRUE()</f>
        <v>1</v>
      </c>
      <c r="G240" s="309" t="s">
        <v>1158</v>
      </c>
      <c r="H240" s="309" t="s">
        <v>1737</v>
      </c>
      <c r="I240" s="312" t="n">
        <v>-1</v>
      </c>
      <c r="J240" s="3"/>
      <c r="K240" s="309" t="s">
        <v>884</v>
      </c>
      <c r="L240" s="312" t="n">
        <v>1</v>
      </c>
      <c r="M240" s="309" t="s">
        <v>742</v>
      </c>
      <c r="N240" s="309" t="s">
        <v>783</v>
      </c>
      <c r="O240" s="309" t="s">
        <v>898</v>
      </c>
      <c r="P240" s="309" t="s">
        <v>745</v>
      </c>
      <c r="Q240" s="309" t="s">
        <v>746</v>
      </c>
      <c r="R240" s="318" t="b">
        <f aca="false">FALSE()</f>
        <v>0</v>
      </c>
      <c r="S240" s="312" t="n">
        <v>70</v>
      </c>
      <c r="T240" s="312" t="n">
        <v>100</v>
      </c>
      <c r="U240" s="312" t="n">
        <v>70</v>
      </c>
      <c r="V240" s="312" t="n">
        <v>70</v>
      </c>
      <c r="W240" s="312" t="n">
        <v>100</v>
      </c>
      <c r="X240" s="312" t="n">
        <v>100</v>
      </c>
      <c r="Y240" s="312" t="n">
        <v>0.4</v>
      </c>
      <c r="Z240" s="312" t="n">
        <v>0.91</v>
      </c>
      <c r="AA240" s="312" t="n">
        <v>10</v>
      </c>
      <c r="AB240" s="312" t="n">
        <v>1310</v>
      </c>
      <c r="AC240" s="309" t="s">
        <v>836</v>
      </c>
      <c r="AD240" s="309" t="s">
        <v>182</v>
      </c>
      <c r="AE240" s="312" t="n">
        <v>50</v>
      </c>
      <c r="AF240" s="312" t="n">
        <v>50</v>
      </c>
      <c r="AG240" s="312" t="n">
        <v>300</v>
      </c>
      <c r="AH240" s="312" t="n">
        <v>400</v>
      </c>
      <c r="AI240" s="312" t="n">
        <v>175</v>
      </c>
      <c r="AJ240" s="318" t="b">
        <f aca="false">TRUE()</f>
        <v>1</v>
      </c>
      <c r="AK240" s="318" t="b">
        <f aca="false">FALSE()</f>
        <v>0</v>
      </c>
      <c r="AL240" s="309" t="s">
        <v>1247</v>
      </c>
      <c r="AM240" s="318" t="b">
        <f aca="false">FALSE()</f>
        <v>0</v>
      </c>
      <c r="AN240" s="318" t="b">
        <f aca="false">FALSE()</f>
        <v>0</v>
      </c>
      <c r="AO240" s="312" t="n">
        <v>100</v>
      </c>
      <c r="AP240" s="312" t="n">
        <v>1</v>
      </c>
      <c r="AQ240" s="312" t="n">
        <v>1</v>
      </c>
      <c r="AR240" s="312" t="n">
        <v>25</v>
      </c>
      <c r="AS240" s="312" t="n">
        <v>90</v>
      </c>
      <c r="AT240" s="312" t="n">
        <v>1</v>
      </c>
      <c r="AU240" s="318" t="b">
        <f aca="false">FALSE()</f>
        <v>0</v>
      </c>
      <c r="AV240" s="318" t="b">
        <f aca="false">FALSE()</f>
        <v>0</v>
      </c>
      <c r="AW240" s="312" t="n">
        <v>9</v>
      </c>
      <c r="AX240" s="318" t="b">
        <f aca="false">FALSE()</f>
        <v>0</v>
      </c>
      <c r="AY240" s="318" t="b">
        <f aca="false">TRUE()</f>
        <v>1</v>
      </c>
      <c r="AZ240" s="312" t="n">
        <v>100</v>
      </c>
      <c r="BA240" s="312" t="n">
        <v>50</v>
      </c>
      <c r="BB240" s="312" t="n">
        <v>1240</v>
      </c>
      <c r="BC240" s="312" t="n">
        <v>0</v>
      </c>
      <c r="BD240" s="312" t="n">
        <v>0</v>
      </c>
      <c r="BE240" s="312" t="n">
        <v>1</v>
      </c>
      <c r="BF240" s="312" t="n">
        <v>0</v>
      </c>
      <c r="BG240" s="312" t="n">
        <v>0</v>
      </c>
      <c r="BH240" s="312" t="n">
        <v>0</v>
      </c>
      <c r="BI240" s="312" t="n">
        <v>0</v>
      </c>
      <c r="BJ240" s="312" t="n">
        <v>0</v>
      </c>
      <c r="BK240" s="312" t="n">
        <v>0</v>
      </c>
      <c r="BL240" s="312" t="n">
        <v>0</v>
      </c>
      <c r="BM240" s="312" t="n">
        <v>0</v>
      </c>
      <c r="BN240" s="312" t="n">
        <v>0</v>
      </c>
      <c r="BO240" s="312" t="n">
        <v>0</v>
      </c>
      <c r="BP240" s="309" t="s">
        <v>182</v>
      </c>
      <c r="BQ240" s="309" t="s">
        <v>182</v>
      </c>
      <c r="BR240" s="309" t="s">
        <v>182</v>
      </c>
      <c r="BS240" s="309" t="s">
        <v>182</v>
      </c>
      <c r="BT240" s="312" t="n">
        <v>314</v>
      </c>
      <c r="BU240" s="318" t="b">
        <f aca="false">FALSE()</f>
        <v>0</v>
      </c>
      <c r="BV240" s="3" t="e">
        <f aca="false">xlookup(MID($A240,7,50),$A$2:$A$139,$BV$2:$BV$139,,0,1)</f>
        <v>#NAME?</v>
      </c>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t="s">
        <v>1159</v>
      </c>
      <c r="CW240" s="3" t="s">
        <v>1160</v>
      </c>
      <c r="CX240" s="3" t="s">
        <v>1161</v>
      </c>
      <c r="CY240" s="3" t="s">
        <v>1162</v>
      </c>
      <c r="CZ240" s="3" t="s">
        <v>1163</v>
      </c>
    </row>
    <row r="241" customFormat="false" ht="15.75" hidden="false" customHeight="false" outlineLevel="0" collapsed="false">
      <c r="A241" s="309" t="s">
        <v>1738</v>
      </c>
      <c r="B241" s="309" t="s">
        <v>1739</v>
      </c>
      <c r="C241" s="309" t="s">
        <v>1740</v>
      </c>
      <c r="D241" s="309" t="s">
        <v>1741</v>
      </c>
      <c r="E241" s="309" t="s">
        <v>1742</v>
      </c>
      <c r="F241" s="318" t="b">
        <f aca="false">TRUE()</f>
        <v>1</v>
      </c>
      <c r="G241" s="309" t="s">
        <v>1099</v>
      </c>
      <c r="H241" s="309" t="s">
        <v>1739</v>
      </c>
      <c r="I241" s="312" t="n">
        <v>-1</v>
      </c>
      <c r="J241" s="3"/>
      <c r="K241" s="309" t="s">
        <v>884</v>
      </c>
      <c r="L241" s="312" t="n">
        <v>8</v>
      </c>
      <c r="M241" s="309" t="s">
        <v>783</v>
      </c>
      <c r="N241" s="309" t="s">
        <v>743</v>
      </c>
      <c r="O241" s="309" t="s">
        <v>744</v>
      </c>
      <c r="P241" s="309" t="s">
        <v>745</v>
      </c>
      <c r="Q241" s="309" t="s">
        <v>746</v>
      </c>
      <c r="R241" s="318" t="b">
        <f aca="false">FALSE()</f>
        <v>0</v>
      </c>
      <c r="S241" s="312" t="n">
        <v>90</v>
      </c>
      <c r="T241" s="312" t="n">
        <v>100</v>
      </c>
      <c r="U241" s="312" t="n">
        <v>105</v>
      </c>
      <c r="V241" s="312" t="n">
        <v>100</v>
      </c>
      <c r="W241" s="312" t="n">
        <v>100</v>
      </c>
      <c r="X241" s="312" t="n">
        <v>100</v>
      </c>
      <c r="Y241" s="312" t="n">
        <v>0.2</v>
      </c>
      <c r="Z241" s="312" t="n">
        <v>0.7</v>
      </c>
      <c r="AA241" s="312" t="n">
        <v>10</v>
      </c>
      <c r="AB241" s="312" t="n">
        <v>6830</v>
      </c>
      <c r="AC241" s="309" t="s">
        <v>1253</v>
      </c>
      <c r="AD241" s="309" t="s">
        <v>182</v>
      </c>
      <c r="AE241" s="312" t="n">
        <v>150</v>
      </c>
      <c r="AF241" s="312" t="n">
        <v>250</v>
      </c>
      <c r="AG241" s="312" t="n">
        <v>450</v>
      </c>
      <c r="AH241" s="312" t="n">
        <v>550</v>
      </c>
      <c r="AI241" s="312" t="n">
        <v>350</v>
      </c>
      <c r="AJ241" s="318" t="b">
        <f aca="false">TRUE()</f>
        <v>1</v>
      </c>
      <c r="AK241" s="318" t="b">
        <f aca="false">FALSE()</f>
        <v>0</v>
      </c>
      <c r="AL241" s="309" t="s">
        <v>1247</v>
      </c>
      <c r="AM241" s="318" t="b">
        <f aca="false">FALSE()</f>
        <v>0</v>
      </c>
      <c r="AN241" s="318" t="b">
        <f aca="false">FALSE()</f>
        <v>0</v>
      </c>
      <c r="AO241" s="312" t="n">
        <v>475</v>
      </c>
      <c r="AP241" s="312" t="n">
        <v>1</v>
      </c>
      <c r="AQ241" s="312" t="n">
        <v>7</v>
      </c>
      <c r="AR241" s="312" t="n">
        <v>25</v>
      </c>
      <c r="AS241" s="312" t="n">
        <v>90</v>
      </c>
      <c r="AT241" s="312" t="n">
        <v>1</v>
      </c>
      <c r="AU241" s="318" t="b">
        <f aca="false">FALSE()</f>
        <v>0</v>
      </c>
      <c r="AV241" s="318" t="b">
        <f aca="false">FALSE()</f>
        <v>0</v>
      </c>
      <c r="AW241" s="312" t="n">
        <v>9</v>
      </c>
      <c r="AX241" s="318" t="b">
        <f aca="false">FALSE()</f>
        <v>0</v>
      </c>
      <c r="AY241" s="318" t="b">
        <f aca="false">TRUE()</f>
        <v>1</v>
      </c>
      <c r="AZ241" s="312" t="n">
        <v>100</v>
      </c>
      <c r="BA241" s="312" t="n">
        <v>10</v>
      </c>
      <c r="BB241" s="312" t="n">
        <v>330</v>
      </c>
      <c r="BC241" s="312" t="n">
        <v>0</v>
      </c>
      <c r="BD241" s="312" t="n">
        <v>0</v>
      </c>
      <c r="BE241" s="312" t="n">
        <v>2</v>
      </c>
      <c r="BF241" s="312" t="n">
        <v>0</v>
      </c>
      <c r="BG241" s="312" t="n">
        <v>2</v>
      </c>
      <c r="BH241" s="312" t="n">
        <v>2</v>
      </c>
      <c r="BI241" s="312" t="n">
        <v>1</v>
      </c>
      <c r="BJ241" s="312" t="n">
        <v>0</v>
      </c>
      <c r="BK241" s="312" t="n">
        <v>0</v>
      </c>
      <c r="BL241" s="312" t="n">
        <v>2</v>
      </c>
      <c r="BM241" s="312" t="n">
        <v>0</v>
      </c>
      <c r="BN241" s="312" t="n">
        <v>0</v>
      </c>
      <c r="BO241" s="312" t="n">
        <v>0</v>
      </c>
      <c r="BP241" s="309" t="s">
        <v>182</v>
      </c>
      <c r="BQ241" s="309" t="s">
        <v>182</v>
      </c>
      <c r="BR241" s="309" t="s">
        <v>182</v>
      </c>
      <c r="BS241" s="309" t="s">
        <v>182</v>
      </c>
      <c r="BT241" s="312" t="n">
        <v>315</v>
      </c>
      <c r="BU241" s="318" t="b">
        <f aca="false">FALSE()</f>
        <v>0</v>
      </c>
      <c r="BV241" s="3" t="e">
        <f aca="false">xlookup(MID($A241,7,50),$A$2:$A$139,$BV$2:$BV$139,,0,1)</f>
        <v>#NAME?</v>
      </c>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t="s">
        <v>1100</v>
      </c>
      <c r="CX241" s="3" t="s">
        <v>1101</v>
      </c>
      <c r="CY241" s="3" t="s">
        <v>1102</v>
      </c>
      <c r="CZ241" s="3" t="s">
        <v>1103</v>
      </c>
    </row>
    <row r="242" customFormat="false" ht="15.75" hidden="false" customHeight="false" outlineLevel="0" collapsed="false">
      <c r="A242" s="309" t="s">
        <v>1743</v>
      </c>
      <c r="B242" s="309" t="s">
        <v>1744</v>
      </c>
      <c r="C242" s="309" t="s">
        <v>1745</v>
      </c>
      <c r="D242" s="309" t="s">
        <v>1746</v>
      </c>
      <c r="E242" s="309" t="s">
        <v>1747</v>
      </c>
      <c r="F242" s="318" t="b">
        <f aca="false">TRUE()</f>
        <v>1</v>
      </c>
      <c r="G242" s="309" t="s">
        <v>863</v>
      </c>
      <c r="H242" s="309" t="s">
        <v>1744</v>
      </c>
      <c r="I242" s="312" t="n">
        <v>-1</v>
      </c>
      <c r="J242" s="3"/>
      <c r="K242" s="309" t="s">
        <v>884</v>
      </c>
      <c r="L242" s="312" t="n">
        <v>2</v>
      </c>
      <c r="M242" s="309" t="s">
        <v>810</v>
      </c>
      <c r="N242" s="309" t="s">
        <v>743</v>
      </c>
      <c r="O242" s="309" t="s">
        <v>744</v>
      </c>
      <c r="P242" s="309" t="s">
        <v>745</v>
      </c>
      <c r="Q242" s="309" t="s">
        <v>746</v>
      </c>
      <c r="R242" s="318" t="b">
        <f aca="false">FALSE()</f>
        <v>0</v>
      </c>
      <c r="S242" s="312" t="n">
        <v>70</v>
      </c>
      <c r="T242" s="312" t="n">
        <v>110</v>
      </c>
      <c r="U242" s="312" t="n">
        <v>80</v>
      </c>
      <c r="V242" s="312" t="n">
        <v>70</v>
      </c>
      <c r="W242" s="312" t="n">
        <v>100</v>
      </c>
      <c r="X242" s="312" t="n">
        <v>100</v>
      </c>
      <c r="Y242" s="312" t="n">
        <v>0.2</v>
      </c>
      <c r="Z242" s="312" t="n">
        <v>0.7</v>
      </c>
      <c r="AA242" s="312" t="n">
        <v>10</v>
      </c>
      <c r="AB242" s="312" t="n">
        <v>1390</v>
      </c>
      <c r="AC242" s="309" t="s">
        <v>836</v>
      </c>
      <c r="AD242" s="309" t="s">
        <v>182</v>
      </c>
      <c r="AE242" s="312" t="n">
        <v>120</v>
      </c>
      <c r="AF242" s="312" t="n">
        <v>200</v>
      </c>
      <c r="AG242" s="312" t="n">
        <v>400</v>
      </c>
      <c r="AH242" s="312" t="n">
        <v>550</v>
      </c>
      <c r="AI242" s="312" t="n">
        <v>300</v>
      </c>
      <c r="AJ242" s="318" t="b">
        <f aca="false">TRUE()</f>
        <v>1</v>
      </c>
      <c r="AK242" s="318" t="b">
        <f aca="false">FALSE()</f>
        <v>0</v>
      </c>
      <c r="AL242" s="309" t="s">
        <v>1247</v>
      </c>
      <c r="AM242" s="318" t="b">
        <f aca="false">FALSE()</f>
        <v>0</v>
      </c>
      <c r="AN242" s="318" t="b">
        <f aca="false">FALSE()</f>
        <v>0</v>
      </c>
      <c r="AO242" s="312" t="n">
        <v>150</v>
      </c>
      <c r="AP242" s="312" t="n">
        <v>1</v>
      </c>
      <c r="AQ242" s="312" t="n">
        <v>2</v>
      </c>
      <c r="AR242" s="312" t="n">
        <v>25</v>
      </c>
      <c r="AS242" s="312" t="n">
        <v>90</v>
      </c>
      <c r="AT242" s="312" t="n">
        <v>1</v>
      </c>
      <c r="AU242" s="318" t="b">
        <f aca="false">FALSE()</f>
        <v>0</v>
      </c>
      <c r="AV242" s="318" t="b">
        <f aca="false">FALSE()</f>
        <v>0</v>
      </c>
      <c r="AW242" s="312" t="n">
        <v>9</v>
      </c>
      <c r="AX242" s="318" t="b">
        <f aca="false">FALSE()</f>
        <v>0</v>
      </c>
      <c r="AY242" s="318" t="b">
        <f aca="false">TRUE()</f>
        <v>1</v>
      </c>
      <c r="AZ242" s="312" t="n">
        <v>100</v>
      </c>
      <c r="BA242" s="312" t="n">
        <v>20</v>
      </c>
      <c r="BB242" s="312" t="n">
        <v>1210</v>
      </c>
      <c r="BC242" s="312" t="n">
        <v>0</v>
      </c>
      <c r="BD242" s="312" t="n">
        <v>0</v>
      </c>
      <c r="BE242" s="312" t="n">
        <v>0</v>
      </c>
      <c r="BF242" s="312" t="n">
        <v>1</v>
      </c>
      <c r="BG242" s="312" t="n">
        <v>1</v>
      </c>
      <c r="BH242" s="312" t="n">
        <v>0</v>
      </c>
      <c r="BI242" s="312" t="n">
        <v>0</v>
      </c>
      <c r="BJ242" s="312" t="n">
        <v>0</v>
      </c>
      <c r="BK242" s="312" t="n">
        <v>0</v>
      </c>
      <c r="BL242" s="312" t="n">
        <v>0</v>
      </c>
      <c r="BM242" s="312" t="n">
        <v>0</v>
      </c>
      <c r="BN242" s="312" t="n">
        <v>1</v>
      </c>
      <c r="BO242" s="312" t="n">
        <v>0</v>
      </c>
      <c r="BP242" s="309" t="s">
        <v>182</v>
      </c>
      <c r="BQ242" s="309" t="s">
        <v>182</v>
      </c>
      <c r="BR242" s="309" t="s">
        <v>182</v>
      </c>
      <c r="BS242" s="309" t="s">
        <v>182</v>
      </c>
      <c r="BT242" s="312" t="n">
        <v>316</v>
      </c>
      <c r="BU242" s="318" t="b">
        <f aca="false">FALSE()</f>
        <v>0</v>
      </c>
      <c r="BV242" s="3" t="e">
        <f aca="false">xlookup(MID($A242,7,50),$A$2:$A$139,$BV$2:$BV$139,,0,1)</f>
        <v>#NAME?</v>
      </c>
      <c r="BW242" s="3"/>
      <c r="BX242" s="85" t="n">
        <v>22</v>
      </c>
      <c r="BY242" s="3" t="s">
        <v>864</v>
      </c>
      <c r="BZ242" s="3" t="s">
        <v>865</v>
      </c>
      <c r="CA242" s="3" t="s">
        <v>866</v>
      </c>
      <c r="CB242" s="85" t="n">
        <v>1</v>
      </c>
      <c r="CC242" s="85" t="n">
        <v>1.1</v>
      </c>
      <c r="CD242" s="85" t="n">
        <v>1.3</v>
      </c>
      <c r="CE242" s="85" t="n">
        <v>1.6</v>
      </c>
      <c r="CF242" s="85" t="n">
        <v>2</v>
      </c>
      <c r="CG242" s="3"/>
      <c r="CH242" s="3"/>
      <c r="CI242" s="3"/>
      <c r="CJ242" s="3"/>
      <c r="CK242" s="3"/>
      <c r="CL242" s="3"/>
      <c r="CM242" s="3"/>
      <c r="CN242" s="3"/>
      <c r="CO242" s="3"/>
      <c r="CP242" s="3"/>
      <c r="CQ242" s="3"/>
      <c r="CR242" s="3"/>
      <c r="CS242" s="3"/>
      <c r="CT242" s="3"/>
      <c r="CU242" s="3"/>
      <c r="CV242" s="3"/>
      <c r="CW242" s="3"/>
      <c r="CX242" s="3"/>
      <c r="CY242" s="3"/>
      <c r="CZ242" s="3"/>
    </row>
    <row r="243" customFormat="false" ht="15.75" hidden="false" customHeight="false" outlineLevel="0" collapsed="false">
      <c r="A243" s="309" t="s">
        <v>1748</v>
      </c>
      <c r="B243" s="309" t="s">
        <v>1749</v>
      </c>
      <c r="C243" s="309" t="s">
        <v>1750</v>
      </c>
      <c r="D243" s="309" t="s">
        <v>1751</v>
      </c>
      <c r="E243" s="309" t="s">
        <v>1752</v>
      </c>
      <c r="F243" s="318" t="b">
        <f aca="false">TRUE()</f>
        <v>1</v>
      </c>
      <c r="G243" s="309" t="s">
        <v>1205</v>
      </c>
      <c r="H243" s="309" t="s">
        <v>1749</v>
      </c>
      <c r="I243" s="312" t="n">
        <v>-1</v>
      </c>
      <c r="J243" s="3"/>
      <c r="K243" s="309" t="s">
        <v>884</v>
      </c>
      <c r="L243" s="312" t="n">
        <v>7</v>
      </c>
      <c r="M243" s="309" t="s">
        <v>757</v>
      </c>
      <c r="N243" s="309" t="s">
        <v>743</v>
      </c>
      <c r="O243" s="309" t="s">
        <v>790</v>
      </c>
      <c r="P243" s="309" t="s">
        <v>745</v>
      </c>
      <c r="Q243" s="309" t="s">
        <v>746</v>
      </c>
      <c r="R243" s="318" t="b">
        <f aca="false">FALSE()</f>
        <v>0</v>
      </c>
      <c r="S243" s="312" t="n">
        <v>95</v>
      </c>
      <c r="T243" s="312" t="n">
        <v>100</v>
      </c>
      <c r="U243" s="312" t="n">
        <v>105</v>
      </c>
      <c r="V243" s="312" t="n">
        <v>120</v>
      </c>
      <c r="W243" s="312" t="n">
        <v>100</v>
      </c>
      <c r="X243" s="312" t="n">
        <v>100</v>
      </c>
      <c r="Y243" s="312" t="n">
        <v>0.2</v>
      </c>
      <c r="Z243" s="312" t="n">
        <v>0.7</v>
      </c>
      <c r="AA243" s="312" t="n">
        <v>10</v>
      </c>
      <c r="AB243" s="312" t="n">
        <v>6720</v>
      </c>
      <c r="AC243" s="309" t="s">
        <v>1253</v>
      </c>
      <c r="AD243" s="309" t="s">
        <v>182</v>
      </c>
      <c r="AE243" s="312" t="n">
        <v>100</v>
      </c>
      <c r="AF243" s="312" t="n">
        <v>200</v>
      </c>
      <c r="AG243" s="312" t="n">
        <v>800</v>
      </c>
      <c r="AH243" s="312" t="n">
        <v>1400</v>
      </c>
      <c r="AI243" s="312" t="n">
        <v>375</v>
      </c>
      <c r="AJ243" s="318" t="b">
        <f aca="false">TRUE()</f>
        <v>1</v>
      </c>
      <c r="AK243" s="318" t="b">
        <f aca="false">FALSE()</f>
        <v>0</v>
      </c>
      <c r="AL243" s="309" t="s">
        <v>1247</v>
      </c>
      <c r="AM243" s="318" t="b">
        <f aca="false">FALSE()</f>
        <v>0</v>
      </c>
      <c r="AN243" s="318" t="b">
        <f aca="false">FALSE()</f>
        <v>0</v>
      </c>
      <c r="AO243" s="312" t="n">
        <v>475</v>
      </c>
      <c r="AP243" s="312" t="n">
        <v>1</v>
      </c>
      <c r="AQ243" s="312" t="n">
        <v>7</v>
      </c>
      <c r="AR243" s="312" t="n">
        <v>25</v>
      </c>
      <c r="AS243" s="312" t="n">
        <v>90</v>
      </c>
      <c r="AT243" s="312" t="n">
        <v>1</v>
      </c>
      <c r="AU243" s="318" t="b">
        <f aca="false">FALSE()</f>
        <v>0</v>
      </c>
      <c r="AV243" s="318" t="b">
        <f aca="false">FALSE()</f>
        <v>0</v>
      </c>
      <c r="AW243" s="312" t="n">
        <v>0</v>
      </c>
      <c r="AX243" s="318" t="b">
        <f aca="false">TRUE()</f>
        <v>1</v>
      </c>
      <c r="AY243" s="318" t="b">
        <f aca="false">TRUE()</f>
        <v>1</v>
      </c>
      <c r="AZ243" s="312" t="n">
        <v>150</v>
      </c>
      <c r="BA243" s="312" t="n">
        <v>50</v>
      </c>
      <c r="BB243" s="312" t="n">
        <v>380</v>
      </c>
      <c r="BC243" s="312" t="n">
        <v>3</v>
      </c>
      <c r="BD243" s="312" t="n">
        <v>0</v>
      </c>
      <c r="BE243" s="312" t="n">
        <v>0</v>
      </c>
      <c r="BF243" s="312" t="n">
        <v>0</v>
      </c>
      <c r="BG243" s="312" t="n">
        <v>0</v>
      </c>
      <c r="BH243" s="312" t="n">
        <v>0</v>
      </c>
      <c r="BI243" s="312" t="n">
        <v>0</v>
      </c>
      <c r="BJ243" s="312" t="n">
        <v>0</v>
      </c>
      <c r="BK243" s="312" t="n">
        <v>0</v>
      </c>
      <c r="BL243" s="312" t="n">
        <v>0</v>
      </c>
      <c r="BM243" s="312" t="n">
        <v>0</v>
      </c>
      <c r="BN243" s="312" t="n">
        <v>3</v>
      </c>
      <c r="BO243" s="312" t="n">
        <v>0</v>
      </c>
      <c r="BP243" s="309" t="s">
        <v>182</v>
      </c>
      <c r="BQ243" s="309" t="s">
        <v>182</v>
      </c>
      <c r="BR243" s="309" t="s">
        <v>182</v>
      </c>
      <c r="BS243" s="309" t="s">
        <v>182</v>
      </c>
      <c r="BT243" s="312" t="n">
        <v>317</v>
      </c>
      <c r="BU243" s="318" t="b">
        <f aca="false">FALSE()</f>
        <v>0</v>
      </c>
      <c r="BV243" s="3" t="e">
        <f aca="false">xlookup(MID($A243,7,50),$A$2:$A$139,$BV$2:$BV$139,,0,1)</f>
        <v>#NAME?</v>
      </c>
      <c r="BW243" s="3"/>
      <c r="BX243" s="85" t="n">
        <v>37</v>
      </c>
      <c r="BY243" s="3" t="s">
        <v>1206</v>
      </c>
      <c r="BZ243" s="3" t="s">
        <v>775</v>
      </c>
      <c r="CA243" s="3"/>
      <c r="CB243" s="3"/>
      <c r="CC243" s="3"/>
      <c r="CD243" s="3"/>
      <c r="CE243" s="3"/>
      <c r="CF243" s="3"/>
      <c r="CG243" s="311" t="b">
        <f aca="false">TRUE()</f>
        <v>1</v>
      </c>
      <c r="CH243" s="3" t="s">
        <v>914</v>
      </c>
      <c r="CI243" s="3" t="s">
        <v>750</v>
      </c>
      <c r="CJ243" s="3" t="s">
        <v>910</v>
      </c>
      <c r="CK243" s="3" t="s">
        <v>910</v>
      </c>
      <c r="CL243" s="3" t="s">
        <v>910</v>
      </c>
      <c r="CM243" s="3" t="s">
        <v>910</v>
      </c>
      <c r="CN243" s="3" t="s">
        <v>910</v>
      </c>
      <c r="CO243" s="3"/>
      <c r="CP243" s="3"/>
      <c r="CQ243" s="3"/>
      <c r="CR243" s="3"/>
      <c r="CS243" s="3"/>
      <c r="CT243" s="3"/>
      <c r="CU243" s="3"/>
      <c r="CV243" s="3" t="s">
        <v>839</v>
      </c>
      <c r="CW243" s="3" t="s">
        <v>840</v>
      </c>
      <c r="CX243" s="3" t="s">
        <v>841</v>
      </c>
      <c r="CY243" s="3" t="s">
        <v>842</v>
      </c>
      <c r="CZ243" s="3" t="s">
        <v>843</v>
      </c>
    </row>
    <row r="244" customFormat="false" ht="15.75" hidden="false" customHeight="false" outlineLevel="0" collapsed="false">
      <c r="A244" s="309" t="s">
        <v>1753</v>
      </c>
      <c r="B244" s="309" t="s">
        <v>1754</v>
      </c>
      <c r="C244" s="309" t="s">
        <v>1755</v>
      </c>
      <c r="D244" s="309" t="s">
        <v>1756</v>
      </c>
      <c r="E244" s="309" t="s">
        <v>1757</v>
      </c>
      <c r="F244" s="318" t="b">
        <f aca="false">TRUE()</f>
        <v>1</v>
      </c>
      <c r="G244" s="309" t="s">
        <v>466</v>
      </c>
      <c r="H244" s="309" t="s">
        <v>1754</v>
      </c>
      <c r="I244" s="312" t="n">
        <v>-1</v>
      </c>
      <c r="J244" s="3"/>
      <c r="K244" s="309" t="s">
        <v>884</v>
      </c>
      <c r="L244" s="312" t="n">
        <v>0</v>
      </c>
      <c r="M244" s="309" t="s">
        <v>783</v>
      </c>
      <c r="N244" s="309" t="s">
        <v>743</v>
      </c>
      <c r="O244" s="309" t="s">
        <v>744</v>
      </c>
      <c r="P244" s="309" t="s">
        <v>745</v>
      </c>
      <c r="Q244" s="309" t="s">
        <v>746</v>
      </c>
      <c r="R244" s="318" t="b">
        <f aca="false">FALSE()</f>
        <v>0</v>
      </c>
      <c r="S244" s="312" t="n">
        <v>90</v>
      </c>
      <c r="T244" s="312" t="n">
        <v>100</v>
      </c>
      <c r="U244" s="312" t="n">
        <v>105</v>
      </c>
      <c r="V244" s="312" t="n">
        <v>80</v>
      </c>
      <c r="W244" s="312" t="n">
        <v>100</v>
      </c>
      <c r="X244" s="312" t="n">
        <v>100</v>
      </c>
      <c r="Y244" s="312" t="n">
        <v>0.2</v>
      </c>
      <c r="Z244" s="312" t="n">
        <v>0.7</v>
      </c>
      <c r="AA244" s="312" t="n">
        <v>10</v>
      </c>
      <c r="AB244" s="312" t="n">
        <v>2050</v>
      </c>
      <c r="AC244" s="309" t="s">
        <v>1253</v>
      </c>
      <c r="AD244" s="309" t="s">
        <v>182</v>
      </c>
      <c r="AE244" s="312" t="n">
        <v>100</v>
      </c>
      <c r="AF244" s="312" t="n">
        <v>100</v>
      </c>
      <c r="AG244" s="312" t="n">
        <v>600</v>
      </c>
      <c r="AH244" s="312" t="n">
        <v>750</v>
      </c>
      <c r="AI244" s="312" t="n">
        <v>400</v>
      </c>
      <c r="AJ244" s="318" t="b">
        <f aca="false">TRUE()</f>
        <v>1</v>
      </c>
      <c r="AK244" s="318" t="b">
        <f aca="false">FALSE()</f>
        <v>0</v>
      </c>
      <c r="AL244" s="309" t="s">
        <v>1247</v>
      </c>
      <c r="AM244" s="318" t="b">
        <f aca="false">FALSE()</f>
        <v>0</v>
      </c>
      <c r="AN244" s="318" t="b">
        <f aca="false">FALSE()</f>
        <v>0</v>
      </c>
      <c r="AO244" s="312" t="n">
        <v>225</v>
      </c>
      <c r="AP244" s="312" t="n">
        <v>1</v>
      </c>
      <c r="AQ244" s="312" t="n">
        <v>3</v>
      </c>
      <c r="AR244" s="312" t="n">
        <v>25</v>
      </c>
      <c r="AS244" s="312" t="n">
        <v>90</v>
      </c>
      <c r="AT244" s="312" t="n">
        <v>1</v>
      </c>
      <c r="AU244" s="318" t="b">
        <f aca="false">FALSE()</f>
        <v>0</v>
      </c>
      <c r="AV244" s="318" t="b">
        <f aca="false">FALSE()</f>
        <v>0</v>
      </c>
      <c r="AW244" s="312" t="n">
        <v>9</v>
      </c>
      <c r="AX244" s="318" t="b">
        <f aca="false">FALSE()</f>
        <v>0</v>
      </c>
      <c r="AY244" s="318" t="b">
        <f aca="false">TRUE()</f>
        <v>1</v>
      </c>
      <c r="AZ244" s="312" t="n">
        <v>100</v>
      </c>
      <c r="BA244" s="312" t="n">
        <v>50</v>
      </c>
      <c r="BB244" s="312" t="n">
        <v>1020</v>
      </c>
      <c r="BC244" s="312" t="n">
        <v>0</v>
      </c>
      <c r="BD244" s="312" t="n">
        <v>0</v>
      </c>
      <c r="BE244" s="312" t="n">
        <v>1</v>
      </c>
      <c r="BF244" s="312" t="n">
        <v>0</v>
      </c>
      <c r="BG244" s="312" t="n">
        <v>2</v>
      </c>
      <c r="BH244" s="312" t="n">
        <v>2</v>
      </c>
      <c r="BI244" s="312" t="n">
        <v>1</v>
      </c>
      <c r="BJ244" s="312" t="n">
        <v>0</v>
      </c>
      <c r="BK244" s="312" t="n">
        <v>0</v>
      </c>
      <c r="BL244" s="312" t="n">
        <v>1</v>
      </c>
      <c r="BM244" s="312" t="n">
        <v>0</v>
      </c>
      <c r="BN244" s="312" t="n">
        <v>2</v>
      </c>
      <c r="BO244" s="312" t="n">
        <v>0</v>
      </c>
      <c r="BP244" s="309" t="s">
        <v>182</v>
      </c>
      <c r="BQ244" s="309" t="s">
        <v>182</v>
      </c>
      <c r="BR244" s="309" t="s">
        <v>182</v>
      </c>
      <c r="BS244" s="309" t="s">
        <v>182</v>
      </c>
      <c r="BT244" s="312" t="n">
        <v>318</v>
      </c>
      <c r="BU244" s="318" t="b">
        <f aca="false">FALSE()</f>
        <v>0</v>
      </c>
      <c r="BV244" s="3" t="e">
        <f aca="false">xlookup(MID($A244,7,50),$A$2:$A$139,$BV$2:$BV$139,,0,1)</f>
        <v>#NAME?</v>
      </c>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t="s">
        <v>964</v>
      </c>
      <c r="CW244" s="3" t="s">
        <v>965</v>
      </c>
      <c r="CX244" s="3" t="s">
        <v>966</v>
      </c>
      <c r="CY244" s="3" t="s">
        <v>967</v>
      </c>
      <c r="CZ244" s="3" t="s">
        <v>968</v>
      </c>
    </row>
    <row r="245" customFormat="false" ht="15.75" hidden="false" customHeight="false" outlineLevel="0" collapsed="false">
      <c r="A245" s="309" t="s">
        <v>1758</v>
      </c>
      <c r="B245" s="309" t="s">
        <v>1759</v>
      </c>
      <c r="C245" s="309" t="s">
        <v>1760</v>
      </c>
      <c r="D245" s="309" t="s">
        <v>1761</v>
      </c>
      <c r="E245" s="309" t="s">
        <v>1762</v>
      </c>
      <c r="F245" s="318" t="b">
        <f aca="false">TRUE()</f>
        <v>1</v>
      </c>
      <c r="G245" s="309" t="s">
        <v>542</v>
      </c>
      <c r="H245" s="309" t="s">
        <v>1759</v>
      </c>
      <c r="I245" s="312" t="n">
        <v>-1</v>
      </c>
      <c r="J245" s="3"/>
      <c r="K245" s="309" t="s">
        <v>884</v>
      </c>
      <c r="L245" s="312" t="n">
        <v>6</v>
      </c>
      <c r="M245" s="309" t="s">
        <v>783</v>
      </c>
      <c r="N245" s="309" t="s">
        <v>742</v>
      </c>
      <c r="O245" s="309" t="s">
        <v>744</v>
      </c>
      <c r="P245" s="309" t="s">
        <v>745</v>
      </c>
      <c r="Q245" s="309" t="s">
        <v>746</v>
      </c>
      <c r="R245" s="318" t="b">
        <f aca="false">FALSE()</f>
        <v>0</v>
      </c>
      <c r="S245" s="312" t="n">
        <v>90</v>
      </c>
      <c r="T245" s="312" t="n">
        <v>100</v>
      </c>
      <c r="U245" s="312" t="n">
        <v>105</v>
      </c>
      <c r="V245" s="312" t="n">
        <v>80</v>
      </c>
      <c r="W245" s="312" t="n">
        <v>100</v>
      </c>
      <c r="X245" s="312" t="n">
        <v>100</v>
      </c>
      <c r="Y245" s="312" t="n">
        <v>0.2</v>
      </c>
      <c r="Z245" s="312" t="n">
        <v>0.7</v>
      </c>
      <c r="AA245" s="312" t="n">
        <v>10</v>
      </c>
      <c r="AB245" s="312" t="n">
        <v>2150</v>
      </c>
      <c r="AC245" s="309" t="s">
        <v>1253</v>
      </c>
      <c r="AD245" s="309" t="s">
        <v>182</v>
      </c>
      <c r="AE245" s="312" t="n">
        <v>100</v>
      </c>
      <c r="AF245" s="312" t="n">
        <v>100</v>
      </c>
      <c r="AG245" s="312" t="n">
        <v>600</v>
      </c>
      <c r="AH245" s="312" t="n">
        <v>750</v>
      </c>
      <c r="AI245" s="312" t="n">
        <v>400</v>
      </c>
      <c r="AJ245" s="318" t="b">
        <f aca="false">TRUE()</f>
        <v>1</v>
      </c>
      <c r="AK245" s="318" t="b">
        <f aca="false">FALSE()</f>
        <v>0</v>
      </c>
      <c r="AL245" s="309" t="s">
        <v>1247</v>
      </c>
      <c r="AM245" s="318" t="b">
        <f aca="false">FALSE()</f>
        <v>0</v>
      </c>
      <c r="AN245" s="318" t="b">
        <f aca="false">FALSE()</f>
        <v>0</v>
      </c>
      <c r="AO245" s="312" t="n">
        <v>225</v>
      </c>
      <c r="AP245" s="312" t="n">
        <v>1</v>
      </c>
      <c r="AQ245" s="312" t="n">
        <v>3</v>
      </c>
      <c r="AR245" s="312" t="n">
        <v>25</v>
      </c>
      <c r="AS245" s="312" t="n">
        <v>90</v>
      </c>
      <c r="AT245" s="312" t="n">
        <v>1</v>
      </c>
      <c r="AU245" s="318" t="b">
        <f aca="false">FALSE()</f>
        <v>0</v>
      </c>
      <c r="AV245" s="318" t="b">
        <f aca="false">FALSE()</f>
        <v>0</v>
      </c>
      <c r="AW245" s="312" t="n">
        <v>9</v>
      </c>
      <c r="AX245" s="318" t="b">
        <f aca="false">FALSE()</f>
        <v>0</v>
      </c>
      <c r="AY245" s="318" t="b">
        <f aca="false">TRUE()</f>
        <v>1</v>
      </c>
      <c r="AZ245" s="312" t="n">
        <v>100</v>
      </c>
      <c r="BA245" s="312" t="n">
        <v>50</v>
      </c>
      <c r="BB245" s="312" t="n">
        <v>1000</v>
      </c>
      <c r="BC245" s="312" t="n">
        <v>0</v>
      </c>
      <c r="BD245" s="312" t="n">
        <v>0</v>
      </c>
      <c r="BE245" s="312" t="n">
        <v>0</v>
      </c>
      <c r="BF245" s="312" t="n">
        <v>0</v>
      </c>
      <c r="BG245" s="312" t="n">
        <v>2</v>
      </c>
      <c r="BH245" s="312" t="n">
        <v>2</v>
      </c>
      <c r="BI245" s="312" t="n">
        <v>1</v>
      </c>
      <c r="BJ245" s="312" t="n">
        <v>0</v>
      </c>
      <c r="BK245" s="312" t="n">
        <v>0</v>
      </c>
      <c r="BL245" s="312" t="n">
        <v>1</v>
      </c>
      <c r="BM245" s="312" t="n">
        <v>0</v>
      </c>
      <c r="BN245" s="312" t="n">
        <v>2</v>
      </c>
      <c r="BO245" s="312" t="n">
        <v>0</v>
      </c>
      <c r="BP245" s="309" t="s">
        <v>182</v>
      </c>
      <c r="BQ245" s="309" t="s">
        <v>182</v>
      </c>
      <c r="BR245" s="309" t="s">
        <v>182</v>
      </c>
      <c r="BS245" s="309" t="s">
        <v>182</v>
      </c>
      <c r="BT245" s="312" t="n">
        <v>319</v>
      </c>
      <c r="BU245" s="318" t="b">
        <f aca="false">TRUE()</f>
        <v>1</v>
      </c>
      <c r="BV245" s="3" t="e">
        <f aca="false">xlookup(MID($A245,7,50),$A$2:$A$139,$BV$2:$BV$139,,0,1)</f>
        <v>#NAME?</v>
      </c>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t="s">
        <v>964</v>
      </c>
      <c r="CW245" s="3" t="s">
        <v>965</v>
      </c>
      <c r="CX245" s="3" t="s">
        <v>966</v>
      </c>
      <c r="CY245" s="3" t="s">
        <v>967</v>
      </c>
      <c r="CZ245" s="3" t="s">
        <v>968</v>
      </c>
    </row>
    <row r="246" customFormat="false" ht="15.75" hidden="false" customHeight="false" outlineLevel="0" collapsed="false">
      <c r="A246" s="309" t="s">
        <v>1763</v>
      </c>
      <c r="B246" s="309" t="s">
        <v>1764</v>
      </c>
      <c r="C246" s="309" t="s">
        <v>1765</v>
      </c>
      <c r="D246" s="309" t="s">
        <v>1766</v>
      </c>
      <c r="E246" s="309" t="s">
        <v>1767</v>
      </c>
      <c r="F246" s="318" t="b">
        <f aca="false">TRUE()</f>
        <v>1</v>
      </c>
      <c r="G246" s="309" t="s">
        <v>1207</v>
      </c>
      <c r="H246" s="309" t="s">
        <v>1764</v>
      </c>
      <c r="I246" s="312" t="n">
        <v>-1</v>
      </c>
      <c r="J246" s="3"/>
      <c r="K246" s="309" t="s">
        <v>884</v>
      </c>
      <c r="L246" s="312" t="n">
        <v>7</v>
      </c>
      <c r="M246" s="309" t="s">
        <v>757</v>
      </c>
      <c r="N246" s="309" t="s">
        <v>743</v>
      </c>
      <c r="O246" s="309" t="s">
        <v>744</v>
      </c>
      <c r="P246" s="309" t="s">
        <v>745</v>
      </c>
      <c r="Q246" s="309" t="s">
        <v>746</v>
      </c>
      <c r="R246" s="318" t="b">
        <f aca="false">FALSE()</f>
        <v>0</v>
      </c>
      <c r="S246" s="312" t="n">
        <v>80</v>
      </c>
      <c r="T246" s="312" t="n">
        <v>100</v>
      </c>
      <c r="U246" s="312" t="n">
        <v>125</v>
      </c>
      <c r="V246" s="312" t="n">
        <v>80</v>
      </c>
      <c r="W246" s="312" t="n">
        <v>100</v>
      </c>
      <c r="X246" s="312" t="n">
        <v>100</v>
      </c>
      <c r="Y246" s="312" t="n">
        <v>0.2</v>
      </c>
      <c r="Z246" s="312" t="n">
        <v>0.7</v>
      </c>
      <c r="AA246" s="312" t="n">
        <v>10</v>
      </c>
      <c r="AB246" s="312" t="n">
        <v>4520</v>
      </c>
      <c r="AC246" s="309" t="s">
        <v>1253</v>
      </c>
      <c r="AD246" s="309" t="s">
        <v>182</v>
      </c>
      <c r="AE246" s="312" t="n">
        <v>80</v>
      </c>
      <c r="AF246" s="312" t="n">
        <v>160</v>
      </c>
      <c r="AG246" s="312" t="n">
        <v>600</v>
      </c>
      <c r="AH246" s="312" t="n">
        <v>900</v>
      </c>
      <c r="AI246" s="312" t="n">
        <v>320</v>
      </c>
      <c r="AJ246" s="318" t="b">
        <f aca="false">TRUE()</f>
        <v>1</v>
      </c>
      <c r="AK246" s="318" t="b">
        <f aca="false">FALSE()</f>
        <v>0</v>
      </c>
      <c r="AL246" s="309" t="s">
        <v>1247</v>
      </c>
      <c r="AM246" s="318" t="b">
        <f aca="false">FALSE()</f>
        <v>0</v>
      </c>
      <c r="AN246" s="318" t="b">
        <f aca="false">FALSE()</f>
        <v>0</v>
      </c>
      <c r="AO246" s="312" t="n">
        <v>300</v>
      </c>
      <c r="AP246" s="312" t="n">
        <v>1</v>
      </c>
      <c r="AQ246" s="312" t="n">
        <v>4</v>
      </c>
      <c r="AR246" s="312" t="n">
        <v>25</v>
      </c>
      <c r="AS246" s="312" t="n">
        <v>90</v>
      </c>
      <c r="AT246" s="312" t="n">
        <v>1</v>
      </c>
      <c r="AU246" s="318" t="b">
        <f aca="false">FALSE()</f>
        <v>0</v>
      </c>
      <c r="AV246" s="318" t="b">
        <f aca="false">FALSE()</f>
        <v>0</v>
      </c>
      <c r="AW246" s="312" t="n">
        <v>9</v>
      </c>
      <c r="AX246" s="318" t="b">
        <f aca="false">FALSE()</f>
        <v>0</v>
      </c>
      <c r="AY246" s="318" t="b">
        <f aca="false">TRUE()</f>
        <v>1</v>
      </c>
      <c r="AZ246" s="312" t="n">
        <v>100</v>
      </c>
      <c r="BA246" s="312" t="n">
        <v>50</v>
      </c>
      <c r="BB246" s="312" t="n">
        <v>640</v>
      </c>
      <c r="BC246" s="312" t="n">
        <v>2</v>
      </c>
      <c r="BD246" s="312" t="n">
        <v>0</v>
      </c>
      <c r="BE246" s="312" t="n">
        <v>0</v>
      </c>
      <c r="BF246" s="312" t="n">
        <v>0</v>
      </c>
      <c r="BG246" s="312" t="n">
        <v>1</v>
      </c>
      <c r="BH246" s="312" t="n">
        <v>1</v>
      </c>
      <c r="BI246" s="312" t="n">
        <v>3</v>
      </c>
      <c r="BJ246" s="312" t="n">
        <v>0</v>
      </c>
      <c r="BK246" s="312" t="n">
        <v>0</v>
      </c>
      <c r="BL246" s="312" t="n">
        <v>0</v>
      </c>
      <c r="BM246" s="312" t="n">
        <v>0</v>
      </c>
      <c r="BN246" s="312" t="n">
        <v>2</v>
      </c>
      <c r="BO246" s="312" t="n">
        <v>0</v>
      </c>
      <c r="BP246" s="309" t="s">
        <v>182</v>
      </c>
      <c r="BQ246" s="309" t="s">
        <v>182</v>
      </c>
      <c r="BR246" s="309" t="s">
        <v>182</v>
      </c>
      <c r="BS246" s="309" t="s">
        <v>182</v>
      </c>
      <c r="BT246" s="312" t="n">
        <v>320</v>
      </c>
      <c r="BU246" s="318" t="b">
        <f aca="false">FALSE()</f>
        <v>0</v>
      </c>
      <c r="BV246" s="3" t="e">
        <f aca="false">xlookup(MID($A246,7,50),$A$2:$A$139,$BV$2:$BV$139,,0,1)</f>
        <v>#NAME?</v>
      </c>
      <c r="BW246" s="3"/>
      <c r="BX246" s="3"/>
      <c r="BY246" s="3"/>
      <c r="BZ246" s="3"/>
      <c r="CA246" s="3" t="s">
        <v>1208</v>
      </c>
      <c r="CB246" s="85" t="n">
        <v>1.1</v>
      </c>
      <c r="CC246" s="85" t="n">
        <v>1.3</v>
      </c>
      <c r="CD246" s="85" t="n">
        <v>1.6</v>
      </c>
      <c r="CE246" s="85" t="n">
        <v>2</v>
      </c>
      <c r="CF246" s="85" t="n">
        <v>2.5</v>
      </c>
      <c r="CG246" s="3"/>
      <c r="CH246" s="3"/>
      <c r="CI246" s="3"/>
      <c r="CJ246" s="3"/>
      <c r="CK246" s="3"/>
      <c r="CL246" s="3"/>
      <c r="CM246" s="3"/>
      <c r="CN246" s="3"/>
      <c r="CO246" s="3"/>
      <c r="CP246" s="3"/>
      <c r="CQ246" s="3"/>
      <c r="CR246" s="3"/>
      <c r="CS246" s="3"/>
      <c r="CT246" s="3"/>
      <c r="CU246" s="3"/>
      <c r="CV246" s="3"/>
      <c r="CW246" s="3"/>
      <c r="CX246" s="3"/>
      <c r="CY246" s="3"/>
      <c r="CZ246" s="3"/>
    </row>
    <row r="247" customFormat="false" ht="15.75" hidden="false" customHeight="false" outlineLevel="0" collapsed="false">
      <c r="A247" s="309" t="s">
        <v>616</v>
      </c>
      <c r="B247" s="309" t="s">
        <v>1768</v>
      </c>
      <c r="C247" s="309" t="s">
        <v>1769</v>
      </c>
      <c r="D247" s="309" t="s">
        <v>1770</v>
      </c>
      <c r="E247" s="309" t="s">
        <v>1771</v>
      </c>
      <c r="F247" s="318" t="b">
        <f aca="false">TRUE()</f>
        <v>1</v>
      </c>
      <c r="G247" s="309" t="s">
        <v>487</v>
      </c>
      <c r="H247" s="309" t="s">
        <v>1768</v>
      </c>
      <c r="I247" s="312" t="n">
        <v>-1</v>
      </c>
      <c r="J247" s="3"/>
      <c r="K247" s="309" t="s">
        <v>884</v>
      </c>
      <c r="L247" s="312" t="n">
        <v>20</v>
      </c>
      <c r="M247" s="309" t="s">
        <v>789</v>
      </c>
      <c r="N247" s="309" t="s">
        <v>743</v>
      </c>
      <c r="O247" s="309" t="s">
        <v>763</v>
      </c>
      <c r="P247" s="309" t="s">
        <v>745</v>
      </c>
      <c r="Q247" s="309" t="s">
        <v>746</v>
      </c>
      <c r="R247" s="318" t="b">
        <f aca="false">FALSE()</f>
        <v>0</v>
      </c>
      <c r="S247" s="312" t="n">
        <v>260</v>
      </c>
      <c r="T247" s="312" t="n">
        <v>110</v>
      </c>
      <c r="U247" s="312" t="n">
        <v>120</v>
      </c>
      <c r="V247" s="312" t="n">
        <v>145</v>
      </c>
      <c r="W247" s="312" t="n">
        <v>100</v>
      </c>
      <c r="X247" s="312" t="n">
        <v>100</v>
      </c>
      <c r="Y247" s="312" t="n">
        <v>0.1</v>
      </c>
      <c r="Z247" s="312" t="n">
        <v>0.7</v>
      </c>
      <c r="AA247" s="312" t="n">
        <v>10</v>
      </c>
      <c r="AB247" s="312" t="n">
        <v>8810</v>
      </c>
      <c r="AC247" s="309" t="s">
        <v>1253</v>
      </c>
      <c r="AD247" s="309" t="s">
        <v>182</v>
      </c>
      <c r="AE247" s="312" t="n">
        <v>50</v>
      </c>
      <c r="AF247" s="312" t="n">
        <v>100</v>
      </c>
      <c r="AG247" s="312" t="n">
        <v>800</v>
      </c>
      <c r="AH247" s="312" t="n">
        <v>1400</v>
      </c>
      <c r="AI247" s="312" t="n">
        <v>450</v>
      </c>
      <c r="AJ247" s="318" t="b">
        <f aca="false">TRUE()</f>
        <v>1</v>
      </c>
      <c r="AK247" s="318" t="b">
        <f aca="false">FALSE()</f>
        <v>0</v>
      </c>
      <c r="AL247" s="309" t="s">
        <v>1005</v>
      </c>
      <c r="AM247" s="318" t="b">
        <f aca="false">FALSE()</f>
        <v>0</v>
      </c>
      <c r="AN247" s="318" t="b">
        <f aca="false">FALSE()</f>
        <v>0</v>
      </c>
      <c r="AO247" s="312" t="n">
        <v>600</v>
      </c>
      <c r="AP247" s="312" t="n">
        <v>1</v>
      </c>
      <c r="AQ247" s="312" t="n">
        <v>9</v>
      </c>
      <c r="AR247" s="312" t="n">
        <v>25</v>
      </c>
      <c r="AS247" s="312" t="n">
        <v>90</v>
      </c>
      <c r="AT247" s="312" t="n">
        <v>1</v>
      </c>
      <c r="AU247" s="318" t="b">
        <f aca="false">FALSE()</f>
        <v>0</v>
      </c>
      <c r="AV247" s="318" t="b">
        <f aca="false">FALSE()</f>
        <v>0</v>
      </c>
      <c r="AW247" s="312" t="n">
        <v>9</v>
      </c>
      <c r="AX247" s="318" t="b">
        <f aca="false">FALSE()</f>
        <v>0</v>
      </c>
      <c r="AY247" s="318" t="b">
        <f aca="false">TRUE()</f>
        <v>1</v>
      </c>
      <c r="AZ247" s="312" t="n">
        <v>100</v>
      </c>
      <c r="BA247" s="312" t="n">
        <v>50</v>
      </c>
      <c r="BB247" s="312" t="n">
        <v>80</v>
      </c>
      <c r="BC247" s="312" t="n">
        <v>0</v>
      </c>
      <c r="BD247" s="312" t="n">
        <v>0</v>
      </c>
      <c r="BE247" s="312" t="n">
        <v>0</v>
      </c>
      <c r="BF247" s="312" t="n">
        <v>0</v>
      </c>
      <c r="BG247" s="312" t="n">
        <v>0</v>
      </c>
      <c r="BH247" s="312" t="n">
        <v>0</v>
      </c>
      <c r="BI247" s="312" t="n">
        <v>2</v>
      </c>
      <c r="BJ247" s="312" t="n">
        <v>2</v>
      </c>
      <c r="BK247" s="312" t="n">
        <v>0</v>
      </c>
      <c r="BL247" s="312" t="n">
        <v>0</v>
      </c>
      <c r="BM247" s="312" t="n">
        <v>0</v>
      </c>
      <c r="BN247" s="312" t="n">
        <v>0</v>
      </c>
      <c r="BO247" s="312" t="n">
        <v>0</v>
      </c>
      <c r="BP247" s="309" t="s">
        <v>1006</v>
      </c>
      <c r="BQ247" s="309" t="s">
        <v>1189</v>
      </c>
      <c r="BR247" s="309" t="s">
        <v>182</v>
      </c>
      <c r="BS247" s="309" t="s">
        <v>182</v>
      </c>
      <c r="BT247" s="312" t="n">
        <v>321</v>
      </c>
      <c r="BU247" s="318" t="b">
        <f aca="false">TRUE()</f>
        <v>1</v>
      </c>
      <c r="BV247" s="3" t="e">
        <f aca="false">xlookup(MID($A247,7,50),$A$2:$A$139,$BV$2:$BV$139,,0,1)</f>
        <v>#NAME?</v>
      </c>
      <c r="BW247" s="3"/>
      <c r="BX247" s="85" t="n">
        <v>49</v>
      </c>
      <c r="BY247" s="3" t="s">
        <v>1190</v>
      </c>
      <c r="BZ247" s="3" t="s">
        <v>775</v>
      </c>
      <c r="CA247" s="3"/>
      <c r="CB247" s="3"/>
      <c r="CC247" s="3"/>
      <c r="CD247" s="3"/>
      <c r="CE247" s="3"/>
      <c r="CF247" s="3"/>
      <c r="CG247" s="311" t="b">
        <f aca="false">TRUE()</f>
        <v>1</v>
      </c>
      <c r="CH247" s="3" t="s">
        <v>776</v>
      </c>
      <c r="CI247" s="3"/>
      <c r="CJ247" s="3"/>
      <c r="CK247" s="3"/>
      <c r="CL247" s="3"/>
      <c r="CM247" s="3"/>
      <c r="CN247" s="3"/>
      <c r="CO247" s="3"/>
      <c r="CP247" s="3"/>
      <c r="CQ247" s="3"/>
      <c r="CR247" s="3"/>
      <c r="CS247" s="3"/>
      <c r="CT247" s="3"/>
      <c r="CU247" s="3" t="s">
        <v>818</v>
      </c>
      <c r="CV247" s="3"/>
      <c r="CW247" s="3" t="s">
        <v>819</v>
      </c>
      <c r="CX247" s="3" t="s">
        <v>820</v>
      </c>
      <c r="CY247" s="3" t="s">
        <v>821</v>
      </c>
      <c r="CZ247" s="3" t="s">
        <v>822</v>
      </c>
    </row>
    <row r="248" customFormat="false" ht="15.75" hidden="false" customHeight="false" outlineLevel="0" collapsed="false">
      <c r="A248" s="309" t="s">
        <v>1772</v>
      </c>
      <c r="B248" s="309" t="s">
        <v>1773</v>
      </c>
      <c r="C248" s="309" t="s">
        <v>1774</v>
      </c>
      <c r="D248" s="309" t="s">
        <v>1775</v>
      </c>
      <c r="E248" s="309" t="s">
        <v>1776</v>
      </c>
      <c r="F248" s="318" t="b">
        <f aca="false">TRUE()</f>
        <v>1</v>
      </c>
      <c r="G248" s="309" t="s">
        <v>469</v>
      </c>
      <c r="H248" s="309" t="s">
        <v>1773</v>
      </c>
      <c r="I248" s="312" t="n">
        <v>-1</v>
      </c>
      <c r="J248" s="3"/>
      <c r="K248" s="309" t="s">
        <v>884</v>
      </c>
      <c r="L248" s="312" t="n">
        <v>7</v>
      </c>
      <c r="M248" s="309" t="s">
        <v>783</v>
      </c>
      <c r="N248" s="309" t="s">
        <v>743</v>
      </c>
      <c r="O248" s="309" t="s">
        <v>763</v>
      </c>
      <c r="P248" s="309" t="s">
        <v>745</v>
      </c>
      <c r="Q248" s="309" t="s">
        <v>746</v>
      </c>
      <c r="R248" s="318" t="b">
        <f aca="false">FALSE()</f>
        <v>0</v>
      </c>
      <c r="S248" s="312" t="n">
        <v>120</v>
      </c>
      <c r="T248" s="312" t="n">
        <v>80</v>
      </c>
      <c r="U248" s="312" t="n">
        <v>90</v>
      </c>
      <c r="V248" s="312" t="n">
        <v>100</v>
      </c>
      <c r="W248" s="312" t="n">
        <v>120</v>
      </c>
      <c r="X248" s="312" t="n">
        <v>100</v>
      </c>
      <c r="Y248" s="312" t="n">
        <v>0.2</v>
      </c>
      <c r="Z248" s="312" t="n">
        <v>0.7</v>
      </c>
      <c r="AA248" s="312" t="n">
        <v>10</v>
      </c>
      <c r="AB248" s="312" t="n">
        <v>2920</v>
      </c>
      <c r="AC248" s="309" t="s">
        <v>836</v>
      </c>
      <c r="AD248" s="309" t="s">
        <v>182</v>
      </c>
      <c r="AE248" s="312" t="n">
        <v>50</v>
      </c>
      <c r="AF248" s="312" t="n">
        <v>75</v>
      </c>
      <c r="AG248" s="312" t="n">
        <v>350</v>
      </c>
      <c r="AH248" s="312" t="n">
        <v>600</v>
      </c>
      <c r="AI248" s="312" t="n">
        <v>200</v>
      </c>
      <c r="AJ248" s="318" t="b">
        <f aca="false">TRUE()</f>
        <v>1</v>
      </c>
      <c r="AK248" s="318" t="b">
        <f aca="false">FALSE()</f>
        <v>0</v>
      </c>
      <c r="AL248" s="309" t="s">
        <v>1247</v>
      </c>
      <c r="AM248" s="318" t="b">
        <f aca="false">FALSE()</f>
        <v>0</v>
      </c>
      <c r="AN248" s="318" t="b">
        <f aca="false">FALSE()</f>
        <v>0</v>
      </c>
      <c r="AO248" s="312" t="n">
        <v>475</v>
      </c>
      <c r="AP248" s="312" t="n">
        <v>1</v>
      </c>
      <c r="AQ248" s="312" t="n">
        <v>7</v>
      </c>
      <c r="AR248" s="312" t="n">
        <v>25</v>
      </c>
      <c r="AS248" s="312" t="n">
        <v>90</v>
      </c>
      <c r="AT248" s="312" t="n">
        <v>1</v>
      </c>
      <c r="AU248" s="318" t="b">
        <f aca="false">FALSE()</f>
        <v>0</v>
      </c>
      <c r="AV248" s="318" t="b">
        <f aca="false">FALSE()</f>
        <v>0</v>
      </c>
      <c r="AW248" s="312" t="n">
        <v>9</v>
      </c>
      <c r="AX248" s="318" t="b">
        <f aca="false">FALSE()</f>
        <v>0</v>
      </c>
      <c r="AY248" s="318" t="b">
        <f aca="false">TRUE()</f>
        <v>1</v>
      </c>
      <c r="AZ248" s="312" t="n">
        <v>100</v>
      </c>
      <c r="BA248" s="312" t="n">
        <v>50</v>
      </c>
      <c r="BB248" s="312" t="n">
        <v>860</v>
      </c>
      <c r="BC248" s="312" t="n">
        <v>0</v>
      </c>
      <c r="BD248" s="312" t="n">
        <v>0</v>
      </c>
      <c r="BE248" s="312" t="n">
        <v>3</v>
      </c>
      <c r="BF248" s="312" t="n">
        <v>0</v>
      </c>
      <c r="BG248" s="312" t="n">
        <v>0</v>
      </c>
      <c r="BH248" s="312" t="n">
        <v>0</v>
      </c>
      <c r="BI248" s="312" t="n">
        <v>0</v>
      </c>
      <c r="BJ248" s="312" t="n">
        <v>0</v>
      </c>
      <c r="BK248" s="312" t="n">
        <v>0</v>
      </c>
      <c r="BL248" s="312" t="n">
        <v>0</v>
      </c>
      <c r="BM248" s="312" t="n">
        <v>0</v>
      </c>
      <c r="BN248" s="312" t="n">
        <v>0</v>
      </c>
      <c r="BO248" s="312" t="n">
        <v>0</v>
      </c>
      <c r="BP248" s="309" t="s">
        <v>182</v>
      </c>
      <c r="BQ248" s="309" t="s">
        <v>182</v>
      </c>
      <c r="BR248" s="309" t="s">
        <v>182</v>
      </c>
      <c r="BS248" s="309" t="s">
        <v>182</v>
      </c>
      <c r="BT248" s="312" t="n">
        <v>322</v>
      </c>
      <c r="BU248" s="318" t="b">
        <f aca="false">FALSE()</f>
        <v>0</v>
      </c>
      <c r="BV248" s="3" t="e">
        <f aca="false">xlookup(MID($A248,7,50),$A$2:$A$139,$BV$2:$BV$139,,0,1)</f>
        <v>#NAME?</v>
      </c>
      <c r="BW248" s="3"/>
      <c r="BX248" s="85" t="n">
        <v>20</v>
      </c>
      <c r="BY248" s="3" t="s">
        <v>1029</v>
      </c>
      <c r="BZ248" s="3" t="s">
        <v>775</v>
      </c>
      <c r="CA248" s="3"/>
      <c r="CB248" s="3"/>
      <c r="CC248" s="3"/>
      <c r="CD248" s="3"/>
      <c r="CE248" s="3"/>
      <c r="CF248" s="3"/>
      <c r="CG248" s="311" t="b">
        <f aca="false">TRUE()</f>
        <v>1</v>
      </c>
      <c r="CH248" s="3" t="s">
        <v>776</v>
      </c>
      <c r="CI248" s="3"/>
      <c r="CJ248" s="3"/>
      <c r="CK248" s="3"/>
      <c r="CL248" s="3"/>
      <c r="CM248" s="3"/>
      <c r="CN248" s="3"/>
      <c r="CO248" s="3"/>
      <c r="CP248" s="3"/>
      <c r="CQ248" s="3"/>
      <c r="CR248" s="3"/>
      <c r="CS248" s="3"/>
      <c r="CT248" s="3"/>
      <c r="CU248" s="85" t="n">
        <v>8</v>
      </c>
      <c r="CV248" s="3" t="s">
        <v>858</v>
      </c>
      <c r="CW248" s="3" t="s">
        <v>859</v>
      </c>
      <c r="CX248" s="3" t="s">
        <v>860</v>
      </c>
      <c r="CY248" s="3" t="s">
        <v>1030</v>
      </c>
      <c r="CZ248" s="3" t="s">
        <v>1031</v>
      </c>
    </row>
    <row r="249" customFormat="false" ht="15.75" hidden="false" customHeight="false" outlineLevel="0" collapsed="false">
      <c r="A249" s="309" t="s">
        <v>1777</v>
      </c>
      <c r="B249" s="309" t="s">
        <v>1778</v>
      </c>
      <c r="C249" s="309" t="s">
        <v>1779</v>
      </c>
      <c r="D249" s="309" t="s">
        <v>1780</v>
      </c>
      <c r="E249" s="309" t="s">
        <v>1781</v>
      </c>
      <c r="F249" s="318" t="b">
        <f aca="false">TRUE()</f>
        <v>1</v>
      </c>
      <c r="G249" s="309" t="s">
        <v>544</v>
      </c>
      <c r="H249" s="309" t="s">
        <v>1778</v>
      </c>
      <c r="I249" s="312" t="n">
        <v>-1</v>
      </c>
      <c r="J249" s="3"/>
      <c r="K249" s="309" t="s">
        <v>884</v>
      </c>
      <c r="L249" s="312" t="n">
        <v>8</v>
      </c>
      <c r="M249" s="309" t="s">
        <v>783</v>
      </c>
      <c r="N249" s="309" t="s">
        <v>814</v>
      </c>
      <c r="O249" s="309" t="s">
        <v>763</v>
      </c>
      <c r="P249" s="309" t="s">
        <v>745</v>
      </c>
      <c r="Q249" s="309" t="s">
        <v>746</v>
      </c>
      <c r="R249" s="318" t="b">
        <f aca="false">FALSE()</f>
        <v>0</v>
      </c>
      <c r="S249" s="312" t="n">
        <v>120</v>
      </c>
      <c r="T249" s="312" t="n">
        <v>80</v>
      </c>
      <c r="U249" s="312" t="n">
        <v>95</v>
      </c>
      <c r="V249" s="312" t="n">
        <v>100</v>
      </c>
      <c r="W249" s="312" t="n">
        <v>120</v>
      </c>
      <c r="X249" s="312" t="n">
        <v>100</v>
      </c>
      <c r="Y249" s="312" t="n">
        <v>0.2</v>
      </c>
      <c r="Z249" s="312" t="n">
        <v>0.7</v>
      </c>
      <c r="AA249" s="312" t="n">
        <v>10</v>
      </c>
      <c r="AB249" s="312" t="n">
        <v>3110</v>
      </c>
      <c r="AC249" s="309" t="s">
        <v>836</v>
      </c>
      <c r="AD249" s="309" t="s">
        <v>182</v>
      </c>
      <c r="AE249" s="312" t="n">
        <v>50</v>
      </c>
      <c r="AF249" s="312" t="n">
        <v>75</v>
      </c>
      <c r="AG249" s="312" t="n">
        <v>350</v>
      </c>
      <c r="AH249" s="312" t="n">
        <v>600</v>
      </c>
      <c r="AI249" s="312" t="n">
        <v>200</v>
      </c>
      <c r="AJ249" s="318" t="b">
        <f aca="false">TRUE()</f>
        <v>1</v>
      </c>
      <c r="AK249" s="318" t="b">
        <f aca="false">FALSE()</f>
        <v>0</v>
      </c>
      <c r="AL249" s="309" t="s">
        <v>1247</v>
      </c>
      <c r="AM249" s="318" t="b">
        <f aca="false">FALSE()</f>
        <v>0</v>
      </c>
      <c r="AN249" s="318" t="b">
        <f aca="false">FALSE()</f>
        <v>0</v>
      </c>
      <c r="AO249" s="312" t="n">
        <v>475</v>
      </c>
      <c r="AP249" s="312" t="n">
        <v>1</v>
      </c>
      <c r="AQ249" s="312" t="n">
        <v>7</v>
      </c>
      <c r="AR249" s="312" t="n">
        <v>25</v>
      </c>
      <c r="AS249" s="312" t="n">
        <v>90</v>
      </c>
      <c r="AT249" s="312" t="n">
        <v>1</v>
      </c>
      <c r="AU249" s="318" t="b">
        <f aca="false">FALSE()</f>
        <v>0</v>
      </c>
      <c r="AV249" s="318" t="b">
        <f aca="false">FALSE()</f>
        <v>0</v>
      </c>
      <c r="AW249" s="312" t="n">
        <v>9</v>
      </c>
      <c r="AX249" s="318" t="b">
        <f aca="false">FALSE()</f>
        <v>0</v>
      </c>
      <c r="AY249" s="318" t="b">
        <f aca="false">TRUE()</f>
        <v>1</v>
      </c>
      <c r="AZ249" s="312" t="n">
        <v>100</v>
      </c>
      <c r="BA249" s="312" t="n">
        <v>50</v>
      </c>
      <c r="BB249" s="312" t="n">
        <v>840</v>
      </c>
      <c r="BC249" s="312" t="n">
        <v>0</v>
      </c>
      <c r="BD249" s="312" t="n">
        <v>3</v>
      </c>
      <c r="BE249" s="312" t="n">
        <v>0</v>
      </c>
      <c r="BF249" s="312" t="n">
        <v>0</v>
      </c>
      <c r="BG249" s="312" t="n">
        <v>0</v>
      </c>
      <c r="BH249" s="312" t="n">
        <v>0</v>
      </c>
      <c r="BI249" s="312" t="n">
        <v>0</v>
      </c>
      <c r="BJ249" s="312" t="n">
        <v>0</v>
      </c>
      <c r="BK249" s="312" t="n">
        <v>0</v>
      </c>
      <c r="BL249" s="312" t="n">
        <v>0</v>
      </c>
      <c r="BM249" s="312" t="n">
        <v>0</v>
      </c>
      <c r="BN249" s="312" t="n">
        <v>0</v>
      </c>
      <c r="BO249" s="312" t="n">
        <v>0</v>
      </c>
      <c r="BP249" s="309" t="s">
        <v>182</v>
      </c>
      <c r="BQ249" s="309" t="s">
        <v>182</v>
      </c>
      <c r="BR249" s="309" t="s">
        <v>182</v>
      </c>
      <c r="BS249" s="309" t="s">
        <v>182</v>
      </c>
      <c r="BT249" s="312" t="n">
        <v>323</v>
      </c>
      <c r="BU249" s="318" t="b">
        <f aca="false">TRUE()</f>
        <v>1</v>
      </c>
      <c r="BV249" s="3" t="e">
        <f aca="false">xlookup(MID($A249,7,50),$A$2:$A$139,$BV$2:$BV$139,,0,1)</f>
        <v>#NAME?</v>
      </c>
      <c r="BW249" s="3"/>
      <c r="BX249" s="85" t="n">
        <v>27</v>
      </c>
      <c r="BY249" s="3" t="s">
        <v>1032</v>
      </c>
      <c r="BZ249" s="3" t="s">
        <v>775</v>
      </c>
      <c r="CA249" s="3"/>
      <c r="CB249" s="3"/>
      <c r="CC249" s="3"/>
      <c r="CD249" s="3"/>
      <c r="CE249" s="3"/>
      <c r="CF249" s="3"/>
      <c r="CG249" s="311" t="b">
        <f aca="false">TRUE()</f>
        <v>1</v>
      </c>
      <c r="CH249" s="3" t="s">
        <v>776</v>
      </c>
      <c r="CI249" s="3"/>
      <c r="CJ249" s="3"/>
      <c r="CK249" s="3"/>
      <c r="CL249" s="3"/>
      <c r="CM249" s="3"/>
      <c r="CN249" s="3"/>
      <c r="CO249" s="3"/>
      <c r="CP249" s="3"/>
      <c r="CQ249" s="3"/>
      <c r="CR249" s="3"/>
      <c r="CS249" s="3"/>
      <c r="CT249" s="3"/>
      <c r="CU249" s="85" t="n">
        <v>8</v>
      </c>
      <c r="CV249" s="3" t="s">
        <v>858</v>
      </c>
      <c r="CW249" s="3" t="s">
        <v>859</v>
      </c>
      <c r="CX249" s="3" t="s">
        <v>860</v>
      </c>
      <c r="CY249" s="3" t="s">
        <v>1030</v>
      </c>
      <c r="CZ249" s="3" t="s">
        <v>1031</v>
      </c>
    </row>
    <row r="250" customFormat="false" ht="15.75" hidden="false" customHeight="false" outlineLevel="0" collapsed="false">
      <c r="A250" s="309" t="s">
        <v>1782</v>
      </c>
      <c r="B250" s="309" t="s">
        <v>1783</v>
      </c>
      <c r="C250" s="309" t="s">
        <v>1784</v>
      </c>
      <c r="D250" s="309" t="s">
        <v>1785</v>
      </c>
      <c r="E250" s="309" t="s">
        <v>1786</v>
      </c>
      <c r="F250" s="318" t="b">
        <f aca="false">TRUE()</f>
        <v>1</v>
      </c>
      <c r="G250" s="309" t="s">
        <v>435</v>
      </c>
      <c r="H250" s="309" t="s">
        <v>1783</v>
      </c>
      <c r="I250" s="312" t="n">
        <v>-1</v>
      </c>
      <c r="J250" s="3"/>
      <c r="K250" s="309" t="s">
        <v>884</v>
      </c>
      <c r="L250" s="312" t="n">
        <v>4</v>
      </c>
      <c r="M250" s="309" t="s">
        <v>814</v>
      </c>
      <c r="N250" s="309" t="s">
        <v>743</v>
      </c>
      <c r="O250" s="309" t="s">
        <v>886</v>
      </c>
      <c r="P250" s="309" t="s">
        <v>745</v>
      </c>
      <c r="Q250" s="309" t="s">
        <v>746</v>
      </c>
      <c r="R250" s="318" t="b">
        <f aca="false">FALSE()</f>
        <v>0</v>
      </c>
      <c r="S250" s="312" t="n">
        <v>90</v>
      </c>
      <c r="T250" s="312" t="n">
        <v>70</v>
      </c>
      <c r="U250" s="312" t="n">
        <v>90</v>
      </c>
      <c r="V250" s="312" t="n">
        <v>80</v>
      </c>
      <c r="W250" s="312" t="n">
        <v>100</v>
      </c>
      <c r="X250" s="312" t="n">
        <v>100</v>
      </c>
      <c r="Y250" s="312" t="n">
        <v>0.2</v>
      </c>
      <c r="Z250" s="312" t="n">
        <v>0.7</v>
      </c>
      <c r="AA250" s="312" t="n">
        <v>10</v>
      </c>
      <c r="AB250" s="312" t="n">
        <v>5050</v>
      </c>
      <c r="AC250" s="309" t="s">
        <v>836</v>
      </c>
      <c r="AD250" s="309" t="s">
        <v>182</v>
      </c>
      <c r="AE250" s="312" t="n">
        <v>100</v>
      </c>
      <c r="AF250" s="312" t="n">
        <v>200</v>
      </c>
      <c r="AG250" s="312" t="n">
        <v>500</v>
      </c>
      <c r="AH250" s="312" t="n">
        <v>750</v>
      </c>
      <c r="AI250" s="312" t="n">
        <v>350</v>
      </c>
      <c r="AJ250" s="318" t="b">
        <f aca="false">TRUE()</f>
        <v>1</v>
      </c>
      <c r="AK250" s="318" t="b">
        <f aca="false">FALSE()</f>
        <v>0</v>
      </c>
      <c r="AL250" s="309" t="s">
        <v>1247</v>
      </c>
      <c r="AM250" s="318" t="b">
        <f aca="false">FALSE()</f>
        <v>0</v>
      </c>
      <c r="AN250" s="318" t="b">
        <f aca="false">FALSE()</f>
        <v>0</v>
      </c>
      <c r="AO250" s="312" t="n">
        <v>350</v>
      </c>
      <c r="AP250" s="312" t="n">
        <v>1</v>
      </c>
      <c r="AQ250" s="312" t="n">
        <v>5</v>
      </c>
      <c r="AR250" s="312" t="n">
        <v>25</v>
      </c>
      <c r="AS250" s="312" t="n">
        <v>90</v>
      </c>
      <c r="AT250" s="312" t="n">
        <v>1</v>
      </c>
      <c r="AU250" s="318" t="b">
        <f aca="false">FALSE()</f>
        <v>0</v>
      </c>
      <c r="AV250" s="318" t="b">
        <f aca="false">FALSE()</f>
        <v>0</v>
      </c>
      <c r="AW250" s="312" t="n">
        <v>9</v>
      </c>
      <c r="AX250" s="318" t="b">
        <f aca="false">TRUE()</f>
        <v>1</v>
      </c>
      <c r="AY250" s="318" t="b">
        <f aca="false">TRUE()</f>
        <v>1</v>
      </c>
      <c r="AZ250" s="312" t="n">
        <v>100</v>
      </c>
      <c r="BA250" s="312" t="n">
        <v>50</v>
      </c>
      <c r="BB250" s="312" t="n">
        <v>560</v>
      </c>
      <c r="BC250" s="312" t="n">
        <v>0</v>
      </c>
      <c r="BD250" s="312" t="n">
        <v>2</v>
      </c>
      <c r="BE250" s="312" t="n">
        <v>0</v>
      </c>
      <c r="BF250" s="312" t="n">
        <v>0</v>
      </c>
      <c r="BG250" s="312" t="n">
        <v>0</v>
      </c>
      <c r="BH250" s="312" t="n">
        <v>0</v>
      </c>
      <c r="BI250" s="312" t="n">
        <v>0</v>
      </c>
      <c r="BJ250" s="312" t="n">
        <v>0</v>
      </c>
      <c r="BK250" s="312" t="n">
        <v>0</v>
      </c>
      <c r="BL250" s="312" t="n">
        <v>0</v>
      </c>
      <c r="BM250" s="312" t="n">
        <v>0</v>
      </c>
      <c r="BN250" s="312" t="n">
        <v>0</v>
      </c>
      <c r="BO250" s="312" t="n">
        <v>0</v>
      </c>
      <c r="BP250" s="309" t="s">
        <v>182</v>
      </c>
      <c r="BQ250" s="309" t="s">
        <v>182</v>
      </c>
      <c r="BR250" s="309" t="s">
        <v>182</v>
      </c>
      <c r="BS250" s="309" t="s">
        <v>182</v>
      </c>
      <c r="BT250" s="312" t="n">
        <v>325</v>
      </c>
      <c r="BU250" s="318" t="b">
        <f aca="false">FALSE()</f>
        <v>0</v>
      </c>
      <c r="BV250" s="3" t="e">
        <f aca="false">xlookup(MID($A250,7,50),$A$2:$A$139,$BV$2:$BV$139,,0,1)</f>
        <v>#NAME?</v>
      </c>
      <c r="BW250" s="3"/>
      <c r="BX250" s="85" t="n">
        <v>10</v>
      </c>
      <c r="BY250" s="3" t="s">
        <v>945</v>
      </c>
      <c r="BZ250" s="3" t="s">
        <v>775</v>
      </c>
      <c r="CA250" s="3"/>
      <c r="CB250" s="3"/>
      <c r="CC250" s="3"/>
      <c r="CD250" s="3"/>
      <c r="CE250" s="3"/>
      <c r="CF250" s="3"/>
      <c r="CG250" s="311" t="b">
        <f aca="false">TRUE()</f>
        <v>1</v>
      </c>
      <c r="CH250" s="3" t="s">
        <v>889</v>
      </c>
      <c r="CI250" s="3"/>
      <c r="CJ250" s="3"/>
      <c r="CK250" s="3"/>
      <c r="CL250" s="3"/>
      <c r="CM250" s="3"/>
      <c r="CN250" s="3"/>
      <c r="CO250" s="3"/>
      <c r="CP250" s="3"/>
      <c r="CQ250" s="3"/>
      <c r="CR250" s="3"/>
      <c r="CS250" s="3"/>
      <c r="CT250" s="3"/>
      <c r="CU250" s="3" t="s">
        <v>818</v>
      </c>
      <c r="CV250" s="3"/>
      <c r="CW250" s="3" t="s">
        <v>819</v>
      </c>
      <c r="CX250" s="3" t="s">
        <v>820</v>
      </c>
      <c r="CY250" s="3" t="s">
        <v>821</v>
      </c>
      <c r="CZ250" s="3" t="s">
        <v>822</v>
      </c>
    </row>
    <row r="251" customFormat="false" ht="15.75" hidden="false" customHeight="false" outlineLevel="0" collapsed="false">
      <c r="A251" s="309" t="s">
        <v>1787</v>
      </c>
      <c r="B251" s="309" t="s">
        <v>1788</v>
      </c>
      <c r="C251" s="309" t="s">
        <v>1789</v>
      </c>
      <c r="D251" s="309" t="s">
        <v>1790</v>
      </c>
      <c r="E251" s="309" t="s">
        <v>1791</v>
      </c>
      <c r="F251" s="318" t="b">
        <f aca="false">TRUE()</f>
        <v>1</v>
      </c>
      <c r="G251" s="309" t="s">
        <v>546</v>
      </c>
      <c r="H251" s="309" t="s">
        <v>1788</v>
      </c>
      <c r="I251" s="312" t="n">
        <v>-1</v>
      </c>
      <c r="J251" s="3"/>
      <c r="K251" s="309" t="s">
        <v>884</v>
      </c>
      <c r="L251" s="312" t="n">
        <v>5</v>
      </c>
      <c r="M251" s="309" t="s">
        <v>742</v>
      </c>
      <c r="N251" s="309" t="s">
        <v>743</v>
      </c>
      <c r="O251" s="309" t="s">
        <v>886</v>
      </c>
      <c r="P251" s="309" t="s">
        <v>745</v>
      </c>
      <c r="Q251" s="309" t="s">
        <v>746</v>
      </c>
      <c r="R251" s="318" t="b">
        <f aca="false">FALSE()</f>
        <v>0</v>
      </c>
      <c r="S251" s="312" t="n">
        <v>90</v>
      </c>
      <c r="T251" s="312" t="n">
        <v>70</v>
      </c>
      <c r="U251" s="312" t="n">
        <v>90</v>
      </c>
      <c r="V251" s="312" t="n">
        <v>100</v>
      </c>
      <c r="W251" s="312" t="n">
        <v>100</v>
      </c>
      <c r="X251" s="312" t="n">
        <v>100</v>
      </c>
      <c r="Y251" s="312" t="n">
        <v>0.2</v>
      </c>
      <c r="Z251" s="312" t="n">
        <v>0.7</v>
      </c>
      <c r="AA251" s="312" t="n">
        <v>10</v>
      </c>
      <c r="AB251" s="312" t="n">
        <v>5140</v>
      </c>
      <c r="AC251" s="309" t="s">
        <v>836</v>
      </c>
      <c r="AD251" s="309" t="s">
        <v>182</v>
      </c>
      <c r="AE251" s="312" t="n">
        <v>100</v>
      </c>
      <c r="AF251" s="312" t="n">
        <v>200</v>
      </c>
      <c r="AG251" s="312" t="n">
        <v>500</v>
      </c>
      <c r="AH251" s="312" t="n">
        <v>750</v>
      </c>
      <c r="AI251" s="312" t="n">
        <v>350</v>
      </c>
      <c r="AJ251" s="318" t="b">
        <f aca="false">TRUE()</f>
        <v>1</v>
      </c>
      <c r="AK251" s="318" t="b">
        <f aca="false">FALSE()</f>
        <v>0</v>
      </c>
      <c r="AL251" s="309" t="s">
        <v>1247</v>
      </c>
      <c r="AM251" s="318" t="b">
        <f aca="false">FALSE()</f>
        <v>0</v>
      </c>
      <c r="AN251" s="318" t="b">
        <f aca="false">FALSE()</f>
        <v>0</v>
      </c>
      <c r="AO251" s="312" t="n">
        <v>350</v>
      </c>
      <c r="AP251" s="312" t="n">
        <v>1</v>
      </c>
      <c r="AQ251" s="312" t="n">
        <v>5</v>
      </c>
      <c r="AR251" s="312" t="n">
        <v>25</v>
      </c>
      <c r="AS251" s="312" t="n">
        <v>90</v>
      </c>
      <c r="AT251" s="312" t="n">
        <v>1</v>
      </c>
      <c r="AU251" s="318" t="b">
        <f aca="false">FALSE()</f>
        <v>0</v>
      </c>
      <c r="AV251" s="318" t="b">
        <f aca="false">FALSE()</f>
        <v>0</v>
      </c>
      <c r="AW251" s="312" t="n">
        <v>9</v>
      </c>
      <c r="AX251" s="318" t="b">
        <f aca="false">TRUE()</f>
        <v>1</v>
      </c>
      <c r="AY251" s="318" t="b">
        <f aca="false">TRUE()</f>
        <v>1</v>
      </c>
      <c r="AZ251" s="312" t="n">
        <v>100</v>
      </c>
      <c r="BA251" s="312" t="n">
        <v>50</v>
      </c>
      <c r="BB251" s="312" t="n">
        <v>550</v>
      </c>
      <c r="BC251" s="312" t="n">
        <v>0</v>
      </c>
      <c r="BD251" s="312" t="n">
        <v>0</v>
      </c>
      <c r="BE251" s="312" t="n">
        <v>0</v>
      </c>
      <c r="BF251" s="312" t="n">
        <v>0</v>
      </c>
      <c r="BG251" s="312" t="n">
        <v>0</v>
      </c>
      <c r="BH251" s="312" t="n">
        <v>1</v>
      </c>
      <c r="BI251" s="312" t="n">
        <v>0</v>
      </c>
      <c r="BJ251" s="312" t="n">
        <v>0</v>
      </c>
      <c r="BK251" s="312" t="n">
        <v>0</v>
      </c>
      <c r="BL251" s="312" t="n">
        <v>0</v>
      </c>
      <c r="BM251" s="312" t="n">
        <v>0</v>
      </c>
      <c r="BN251" s="312" t="n">
        <v>0</v>
      </c>
      <c r="BO251" s="312" t="n">
        <v>0</v>
      </c>
      <c r="BP251" s="309" t="s">
        <v>182</v>
      </c>
      <c r="BQ251" s="309" t="s">
        <v>182</v>
      </c>
      <c r="BR251" s="309" t="s">
        <v>182</v>
      </c>
      <c r="BS251" s="309" t="s">
        <v>182</v>
      </c>
      <c r="BT251" s="312" t="n">
        <v>326</v>
      </c>
      <c r="BU251" s="318" t="b">
        <f aca="false">TRUE()</f>
        <v>1</v>
      </c>
      <c r="BV251" s="3" t="e">
        <f aca="false">xlookup(MID($A251,7,50),$A$2:$A$139,$BV$2:$BV$139,,0,1)</f>
        <v>#NAME?</v>
      </c>
      <c r="BW251" s="3"/>
      <c r="BX251" s="85" t="n">
        <v>24</v>
      </c>
      <c r="BY251" s="3" t="s">
        <v>946</v>
      </c>
      <c r="BZ251" s="3" t="s">
        <v>775</v>
      </c>
      <c r="CA251" s="3"/>
      <c r="CB251" s="3"/>
      <c r="CC251" s="3"/>
      <c r="CD251" s="3"/>
      <c r="CE251" s="3"/>
      <c r="CF251" s="3"/>
      <c r="CG251" s="311" t="b">
        <f aca="false">TRUE()</f>
        <v>1</v>
      </c>
      <c r="CH251" s="3" t="s">
        <v>776</v>
      </c>
      <c r="CI251" s="3"/>
      <c r="CJ251" s="3"/>
      <c r="CK251" s="3"/>
      <c r="CL251" s="3"/>
      <c r="CM251" s="3"/>
      <c r="CN251" s="3"/>
      <c r="CO251" s="3"/>
      <c r="CP251" s="3"/>
      <c r="CQ251" s="3"/>
      <c r="CR251" s="3"/>
      <c r="CS251" s="3"/>
      <c r="CT251" s="3"/>
      <c r="CU251" s="3" t="s">
        <v>818</v>
      </c>
      <c r="CV251" s="3"/>
      <c r="CW251" s="3" t="s">
        <v>819</v>
      </c>
      <c r="CX251" s="3" t="s">
        <v>820</v>
      </c>
      <c r="CY251" s="3" t="s">
        <v>821</v>
      </c>
      <c r="CZ251" s="3" t="s">
        <v>822</v>
      </c>
    </row>
    <row r="252" customFormat="false" ht="15.75" hidden="false" customHeight="false" outlineLevel="0" collapsed="false">
      <c r="A252" s="309" t="s">
        <v>1792</v>
      </c>
      <c r="B252" s="309" t="s">
        <v>1793</v>
      </c>
      <c r="C252" s="309" t="s">
        <v>1794</v>
      </c>
      <c r="D252" s="309" t="s">
        <v>1795</v>
      </c>
      <c r="E252" s="309" t="s">
        <v>1796</v>
      </c>
      <c r="F252" s="318" t="b">
        <f aca="false">TRUE()</f>
        <v>1</v>
      </c>
      <c r="G252" s="309" t="s">
        <v>474</v>
      </c>
      <c r="H252" s="309" t="s">
        <v>1793</v>
      </c>
      <c r="I252" s="312" t="n">
        <v>-1</v>
      </c>
      <c r="J252" s="3"/>
      <c r="K252" s="309" t="s">
        <v>741</v>
      </c>
      <c r="L252" s="312" t="n">
        <v>2</v>
      </c>
      <c r="M252" s="309" t="s">
        <v>814</v>
      </c>
      <c r="N252" s="309" t="s">
        <v>743</v>
      </c>
      <c r="O252" s="309" t="s">
        <v>744</v>
      </c>
      <c r="P252" s="309" t="s">
        <v>745</v>
      </c>
      <c r="Q252" s="309" t="s">
        <v>746</v>
      </c>
      <c r="R252" s="318" t="b">
        <f aca="false">FALSE()</f>
        <v>0</v>
      </c>
      <c r="S252" s="312" t="n">
        <v>90</v>
      </c>
      <c r="T252" s="312" t="n">
        <v>90</v>
      </c>
      <c r="U252" s="312" t="n">
        <v>90</v>
      </c>
      <c r="V252" s="312" t="n">
        <v>75</v>
      </c>
      <c r="W252" s="312" t="n">
        <v>100</v>
      </c>
      <c r="X252" s="312" t="n">
        <v>100</v>
      </c>
      <c r="Y252" s="312" t="n">
        <v>0.2</v>
      </c>
      <c r="Z252" s="312" t="n">
        <v>0.7</v>
      </c>
      <c r="AA252" s="312" t="n">
        <v>10</v>
      </c>
      <c r="AB252" s="312" t="n">
        <v>1840</v>
      </c>
      <c r="AC252" s="309" t="s">
        <v>1253</v>
      </c>
      <c r="AD252" s="309" t="s">
        <v>182</v>
      </c>
      <c r="AE252" s="312" t="n">
        <v>50</v>
      </c>
      <c r="AF252" s="312" t="n">
        <v>80</v>
      </c>
      <c r="AG252" s="312" t="n">
        <v>400</v>
      </c>
      <c r="AH252" s="312" t="n">
        <v>500</v>
      </c>
      <c r="AI252" s="312" t="n">
        <v>120</v>
      </c>
      <c r="AJ252" s="318" t="b">
        <f aca="false">TRUE()</f>
        <v>1</v>
      </c>
      <c r="AK252" s="318" t="b">
        <f aca="false">FALSE()</f>
        <v>0</v>
      </c>
      <c r="AL252" s="309" t="s">
        <v>1247</v>
      </c>
      <c r="AM252" s="318" t="b">
        <f aca="false">FALSE()</f>
        <v>0</v>
      </c>
      <c r="AN252" s="318" t="b">
        <f aca="false">FALSE()</f>
        <v>0</v>
      </c>
      <c r="AO252" s="312" t="n">
        <v>225</v>
      </c>
      <c r="AP252" s="312" t="n">
        <v>1</v>
      </c>
      <c r="AQ252" s="312" t="n">
        <v>3</v>
      </c>
      <c r="AR252" s="312" t="n">
        <v>25</v>
      </c>
      <c r="AS252" s="312" t="n">
        <v>90</v>
      </c>
      <c r="AT252" s="312" t="n">
        <v>1</v>
      </c>
      <c r="AU252" s="318" t="b">
        <f aca="false">FALSE()</f>
        <v>0</v>
      </c>
      <c r="AV252" s="318" t="b">
        <f aca="false">FALSE()</f>
        <v>0</v>
      </c>
      <c r="AW252" s="312" t="n">
        <v>9</v>
      </c>
      <c r="AX252" s="318" t="b">
        <f aca="false">TRUE()</f>
        <v>1</v>
      </c>
      <c r="AY252" s="318" t="b">
        <f aca="false">TRUE()</f>
        <v>1</v>
      </c>
      <c r="AZ252" s="312" t="n">
        <v>100</v>
      </c>
      <c r="BA252" s="312" t="n">
        <v>50</v>
      </c>
      <c r="BB252" s="312" t="n">
        <v>1090</v>
      </c>
      <c r="BC252" s="312" t="n">
        <v>0</v>
      </c>
      <c r="BD252" s="312" t="n">
        <v>2</v>
      </c>
      <c r="BE252" s="312" t="n">
        <v>0</v>
      </c>
      <c r="BF252" s="312" t="n">
        <v>0</v>
      </c>
      <c r="BG252" s="312" t="n">
        <v>1</v>
      </c>
      <c r="BH252" s="312" t="n">
        <v>0</v>
      </c>
      <c r="BI252" s="312" t="n">
        <v>0</v>
      </c>
      <c r="BJ252" s="312" t="n">
        <v>0</v>
      </c>
      <c r="BK252" s="312" t="n">
        <v>0</v>
      </c>
      <c r="BL252" s="312" t="n">
        <v>0</v>
      </c>
      <c r="BM252" s="312" t="n">
        <v>0</v>
      </c>
      <c r="BN252" s="312" t="n">
        <v>1</v>
      </c>
      <c r="BO252" s="312" t="n">
        <v>0</v>
      </c>
      <c r="BP252" s="309" t="s">
        <v>182</v>
      </c>
      <c r="BQ252" s="309" t="s">
        <v>182</v>
      </c>
      <c r="BR252" s="309" t="s">
        <v>182</v>
      </c>
      <c r="BS252" s="309" t="s">
        <v>182</v>
      </c>
      <c r="BT252" s="312" t="n">
        <v>327</v>
      </c>
      <c r="BU252" s="318" t="b">
        <f aca="false">FALSE()</f>
        <v>0</v>
      </c>
      <c r="BV252" s="3" t="e">
        <f aca="false">xlookup(MID($A252,7,50),$A$2:$A$139,$BV$2:$BV$139,,0,1)</f>
        <v>#NAME?</v>
      </c>
      <c r="BW252" s="3"/>
      <c r="BX252" s="3"/>
      <c r="BY252" s="3"/>
      <c r="BZ252" s="3"/>
      <c r="CA252" s="3" t="s">
        <v>867</v>
      </c>
      <c r="CB252" s="85" t="n">
        <v>1.1</v>
      </c>
      <c r="CC252" s="85" t="n">
        <v>1.3</v>
      </c>
      <c r="CD252" s="85" t="n">
        <v>1.6</v>
      </c>
      <c r="CE252" s="85" t="n">
        <v>2</v>
      </c>
      <c r="CF252" s="85" t="n">
        <v>2.5</v>
      </c>
      <c r="CG252" s="3"/>
      <c r="CH252" s="3"/>
      <c r="CI252" s="3"/>
      <c r="CJ252" s="3"/>
      <c r="CK252" s="3"/>
      <c r="CL252" s="3"/>
      <c r="CM252" s="3"/>
      <c r="CN252" s="3"/>
      <c r="CO252" s="3"/>
      <c r="CP252" s="3"/>
      <c r="CQ252" s="3"/>
      <c r="CR252" s="3"/>
      <c r="CS252" s="3"/>
      <c r="CT252" s="3"/>
      <c r="CU252" s="3"/>
      <c r="CV252" s="3" t="s">
        <v>868</v>
      </c>
      <c r="CW252" s="3" t="s">
        <v>869</v>
      </c>
      <c r="CX252" s="3" t="s">
        <v>870</v>
      </c>
      <c r="CY252" s="3" t="s">
        <v>871</v>
      </c>
      <c r="CZ252" s="3" t="s">
        <v>872</v>
      </c>
    </row>
    <row r="253" customFormat="false" ht="15.75" hidden="false" customHeight="false" outlineLevel="0" collapsed="false">
      <c r="A253" s="309" t="s">
        <v>1797</v>
      </c>
      <c r="B253" s="309" t="s">
        <v>1798</v>
      </c>
      <c r="C253" s="309" t="s">
        <v>1799</v>
      </c>
      <c r="D253" s="309" t="s">
        <v>1800</v>
      </c>
      <c r="E253" s="309" t="s">
        <v>1801</v>
      </c>
      <c r="F253" s="318" t="b">
        <f aca="false">TRUE()</f>
        <v>1</v>
      </c>
      <c r="G253" s="309" t="s">
        <v>548</v>
      </c>
      <c r="H253" s="309" t="s">
        <v>1798</v>
      </c>
      <c r="I253" s="312" t="n">
        <v>-1</v>
      </c>
      <c r="J253" s="3"/>
      <c r="K253" s="309" t="s">
        <v>741</v>
      </c>
      <c r="L253" s="312" t="n">
        <v>3</v>
      </c>
      <c r="M253" s="309" t="s">
        <v>757</v>
      </c>
      <c r="N253" s="309" t="s">
        <v>743</v>
      </c>
      <c r="O253" s="309" t="s">
        <v>744</v>
      </c>
      <c r="P253" s="309" t="s">
        <v>745</v>
      </c>
      <c r="Q253" s="309" t="s">
        <v>746</v>
      </c>
      <c r="R253" s="318" t="b">
        <f aca="false">FALSE()</f>
        <v>0</v>
      </c>
      <c r="S253" s="312" t="n">
        <v>90</v>
      </c>
      <c r="T253" s="312" t="n">
        <v>90</v>
      </c>
      <c r="U253" s="312" t="n">
        <v>90</v>
      </c>
      <c r="V253" s="312" t="n">
        <v>75</v>
      </c>
      <c r="W253" s="312" t="n">
        <v>100</v>
      </c>
      <c r="X253" s="312" t="n">
        <v>100</v>
      </c>
      <c r="Y253" s="312" t="n">
        <v>0.2</v>
      </c>
      <c r="Z253" s="312" t="n">
        <v>0.7</v>
      </c>
      <c r="AA253" s="312" t="n">
        <v>10</v>
      </c>
      <c r="AB253" s="312" t="n">
        <v>1800</v>
      </c>
      <c r="AC253" s="309" t="s">
        <v>1253</v>
      </c>
      <c r="AD253" s="309" t="s">
        <v>182</v>
      </c>
      <c r="AE253" s="312" t="n">
        <v>50</v>
      </c>
      <c r="AF253" s="312" t="n">
        <v>80</v>
      </c>
      <c r="AG253" s="312" t="n">
        <v>400</v>
      </c>
      <c r="AH253" s="312" t="n">
        <v>500</v>
      </c>
      <c r="AI253" s="312" t="n">
        <v>120</v>
      </c>
      <c r="AJ253" s="318" t="b">
        <f aca="false">TRUE()</f>
        <v>1</v>
      </c>
      <c r="AK253" s="318" t="b">
        <f aca="false">FALSE()</f>
        <v>0</v>
      </c>
      <c r="AL253" s="309" t="s">
        <v>1247</v>
      </c>
      <c r="AM253" s="318" t="b">
        <f aca="false">FALSE()</f>
        <v>0</v>
      </c>
      <c r="AN253" s="318" t="b">
        <f aca="false">FALSE()</f>
        <v>0</v>
      </c>
      <c r="AO253" s="312" t="n">
        <v>225</v>
      </c>
      <c r="AP253" s="312" t="n">
        <v>1</v>
      </c>
      <c r="AQ253" s="312" t="n">
        <v>3</v>
      </c>
      <c r="AR253" s="312" t="n">
        <v>25</v>
      </c>
      <c r="AS253" s="312" t="n">
        <v>90</v>
      </c>
      <c r="AT253" s="312" t="n">
        <v>1</v>
      </c>
      <c r="AU253" s="318" t="b">
        <f aca="false">FALSE()</f>
        <v>0</v>
      </c>
      <c r="AV253" s="318" t="b">
        <f aca="false">FALSE()</f>
        <v>0</v>
      </c>
      <c r="AW253" s="312" t="n">
        <v>9</v>
      </c>
      <c r="AX253" s="318" t="b">
        <f aca="false">TRUE()</f>
        <v>1</v>
      </c>
      <c r="AY253" s="318" t="b">
        <f aca="false">TRUE()</f>
        <v>1</v>
      </c>
      <c r="AZ253" s="312" t="n">
        <v>100</v>
      </c>
      <c r="BA253" s="312" t="n">
        <v>50</v>
      </c>
      <c r="BB253" s="312" t="n">
        <v>1100</v>
      </c>
      <c r="BC253" s="312" t="n">
        <v>2</v>
      </c>
      <c r="BD253" s="312" t="n">
        <v>0</v>
      </c>
      <c r="BE253" s="312" t="n">
        <v>0</v>
      </c>
      <c r="BF253" s="312" t="n">
        <v>0</v>
      </c>
      <c r="BG253" s="312" t="n">
        <v>1</v>
      </c>
      <c r="BH253" s="312" t="n">
        <v>0</v>
      </c>
      <c r="BI253" s="312" t="n">
        <v>0</v>
      </c>
      <c r="BJ253" s="312" t="n">
        <v>0</v>
      </c>
      <c r="BK253" s="312" t="n">
        <v>0</v>
      </c>
      <c r="BL253" s="312" t="n">
        <v>0</v>
      </c>
      <c r="BM253" s="312" t="n">
        <v>0</v>
      </c>
      <c r="BN253" s="312" t="n">
        <v>1</v>
      </c>
      <c r="BO253" s="312" t="n">
        <v>0</v>
      </c>
      <c r="BP253" s="309" t="s">
        <v>182</v>
      </c>
      <c r="BQ253" s="309" t="s">
        <v>182</v>
      </c>
      <c r="BR253" s="309" t="s">
        <v>182</v>
      </c>
      <c r="BS253" s="309" t="s">
        <v>182</v>
      </c>
      <c r="BT253" s="312" t="n">
        <v>328</v>
      </c>
      <c r="BU253" s="318" t="b">
        <f aca="false">TRUE()</f>
        <v>1</v>
      </c>
      <c r="BV253" s="3" t="e">
        <f aca="false">xlookup(MID($A253,7,50),$A$2:$A$139,$BV$2:$BV$139,,0,1)</f>
        <v>#NAME?</v>
      </c>
      <c r="BW253" s="3"/>
      <c r="BX253" s="3"/>
      <c r="BY253" s="3"/>
      <c r="BZ253" s="3"/>
      <c r="CA253" s="3" t="s">
        <v>873</v>
      </c>
      <c r="CB253" s="85" t="n">
        <v>1.1</v>
      </c>
      <c r="CC253" s="85" t="n">
        <v>1.3</v>
      </c>
      <c r="CD253" s="85" t="n">
        <v>1.6</v>
      </c>
      <c r="CE253" s="85" t="n">
        <v>2</v>
      </c>
      <c r="CF253" s="85" t="n">
        <v>2.5</v>
      </c>
      <c r="CG253" s="3"/>
      <c r="CH253" s="3"/>
      <c r="CI253" s="3"/>
      <c r="CJ253" s="3"/>
      <c r="CK253" s="3"/>
      <c r="CL253" s="3"/>
      <c r="CM253" s="3"/>
      <c r="CN253" s="3"/>
      <c r="CO253" s="3"/>
      <c r="CP253" s="3"/>
      <c r="CQ253" s="3"/>
      <c r="CR253" s="3"/>
      <c r="CS253" s="3"/>
      <c r="CT253" s="3"/>
      <c r="CU253" s="3"/>
      <c r="CV253" s="3" t="s">
        <v>868</v>
      </c>
      <c r="CW253" s="3" t="s">
        <v>869</v>
      </c>
      <c r="CX253" s="3" t="s">
        <v>870</v>
      </c>
      <c r="CY253" s="3" t="s">
        <v>871</v>
      </c>
      <c r="CZ253" s="3" t="s">
        <v>872</v>
      </c>
    </row>
    <row r="254" customFormat="false" ht="15.75" hidden="false" customHeight="false" outlineLevel="0" collapsed="false">
      <c r="A254" s="309" t="s">
        <v>1802</v>
      </c>
      <c r="B254" s="309" t="s">
        <v>1803</v>
      </c>
      <c r="C254" s="309" t="s">
        <v>1804</v>
      </c>
      <c r="D254" s="309" t="s">
        <v>1805</v>
      </c>
      <c r="E254" s="309" t="s">
        <v>1806</v>
      </c>
      <c r="F254" s="318" t="b">
        <f aca="false">TRUE()</f>
        <v>1</v>
      </c>
      <c r="G254" s="309" t="s">
        <v>874</v>
      </c>
      <c r="H254" s="309" t="s">
        <v>1803</v>
      </c>
      <c r="I254" s="312" t="n">
        <v>-1</v>
      </c>
      <c r="J254" s="3"/>
      <c r="K254" s="309" t="s">
        <v>741</v>
      </c>
      <c r="L254" s="312" t="n">
        <v>1</v>
      </c>
      <c r="M254" s="309" t="s">
        <v>789</v>
      </c>
      <c r="N254" s="309" t="s">
        <v>743</v>
      </c>
      <c r="O254" s="309" t="s">
        <v>744</v>
      </c>
      <c r="P254" s="309" t="s">
        <v>745</v>
      </c>
      <c r="Q254" s="309" t="s">
        <v>746</v>
      </c>
      <c r="R254" s="318" t="b">
        <f aca="false">FALSE()</f>
        <v>0</v>
      </c>
      <c r="S254" s="312" t="n">
        <v>70</v>
      </c>
      <c r="T254" s="312" t="n">
        <v>70</v>
      </c>
      <c r="U254" s="312" t="n">
        <v>70</v>
      </c>
      <c r="V254" s="312" t="n">
        <v>70</v>
      </c>
      <c r="W254" s="312" t="n">
        <v>100</v>
      </c>
      <c r="X254" s="312" t="n">
        <v>100</v>
      </c>
      <c r="Y254" s="312" t="n">
        <v>0.4</v>
      </c>
      <c r="Z254" s="312" t="n">
        <v>1.05</v>
      </c>
      <c r="AA254" s="312" t="n">
        <v>10</v>
      </c>
      <c r="AB254" s="312" t="n">
        <v>1000</v>
      </c>
      <c r="AC254" s="309" t="s">
        <v>836</v>
      </c>
      <c r="AD254" s="309" t="s">
        <v>182</v>
      </c>
      <c r="AE254" s="312" t="n">
        <v>23</v>
      </c>
      <c r="AF254" s="312" t="n">
        <v>40</v>
      </c>
      <c r="AG254" s="312" t="n">
        <v>400</v>
      </c>
      <c r="AH254" s="312" t="n">
        <v>550</v>
      </c>
      <c r="AI254" s="312" t="n">
        <v>160</v>
      </c>
      <c r="AJ254" s="318" t="b">
        <f aca="false">TRUE()</f>
        <v>1</v>
      </c>
      <c r="AK254" s="318" t="b">
        <f aca="false">FALSE()</f>
        <v>0</v>
      </c>
      <c r="AL254" s="309" t="s">
        <v>1247</v>
      </c>
      <c r="AM254" s="318" t="b">
        <f aca="false">FALSE()</f>
        <v>0</v>
      </c>
      <c r="AN254" s="318" t="b">
        <f aca="false">FALSE()</f>
        <v>0</v>
      </c>
      <c r="AO254" s="312" t="n">
        <v>150</v>
      </c>
      <c r="AP254" s="312" t="n">
        <v>1</v>
      </c>
      <c r="AQ254" s="312" t="n">
        <v>2</v>
      </c>
      <c r="AR254" s="312" t="n">
        <v>25</v>
      </c>
      <c r="AS254" s="312" t="n">
        <v>90</v>
      </c>
      <c r="AT254" s="312" t="n">
        <v>1</v>
      </c>
      <c r="AU254" s="318" t="b">
        <f aca="false">FALSE()</f>
        <v>0</v>
      </c>
      <c r="AV254" s="318" t="b">
        <f aca="false">FALSE()</f>
        <v>0</v>
      </c>
      <c r="AW254" s="312" t="n">
        <v>9</v>
      </c>
      <c r="AX254" s="318" t="b">
        <f aca="false">FALSE()</f>
        <v>0</v>
      </c>
      <c r="AY254" s="318" t="b">
        <f aca="false">TRUE()</f>
        <v>1</v>
      </c>
      <c r="AZ254" s="312" t="n">
        <v>100</v>
      </c>
      <c r="BA254" s="312" t="n">
        <v>50</v>
      </c>
      <c r="BB254" s="312" t="n">
        <v>1470</v>
      </c>
      <c r="BC254" s="312" t="n">
        <v>0</v>
      </c>
      <c r="BD254" s="312" t="n">
        <v>0</v>
      </c>
      <c r="BE254" s="312" t="n">
        <v>0</v>
      </c>
      <c r="BF254" s="312" t="n">
        <v>0</v>
      </c>
      <c r="BG254" s="312" t="n">
        <v>1</v>
      </c>
      <c r="BH254" s="312" t="n">
        <v>0</v>
      </c>
      <c r="BI254" s="312" t="n">
        <v>0</v>
      </c>
      <c r="BJ254" s="312" t="n">
        <v>0</v>
      </c>
      <c r="BK254" s="312" t="n">
        <v>0</v>
      </c>
      <c r="BL254" s="312" t="n">
        <v>0</v>
      </c>
      <c r="BM254" s="312" t="n">
        <v>0</v>
      </c>
      <c r="BN254" s="312" t="n">
        <v>1</v>
      </c>
      <c r="BO254" s="312" t="n">
        <v>1</v>
      </c>
      <c r="BP254" s="309" t="s">
        <v>182</v>
      </c>
      <c r="BQ254" s="309" t="s">
        <v>182</v>
      </c>
      <c r="BR254" s="309" t="s">
        <v>182</v>
      </c>
      <c r="BS254" s="309" t="s">
        <v>182</v>
      </c>
      <c r="BT254" s="312" t="n">
        <v>329</v>
      </c>
      <c r="BU254" s="318" t="b">
        <f aca="false">FALSE()</f>
        <v>0</v>
      </c>
      <c r="BV254" s="3" t="e">
        <f aca="false">xlookup(MID($A254,7,50),$A$2:$A$139,$BV$2:$BV$139,,0,1)</f>
        <v>#NAME?</v>
      </c>
      <c r="BW254" s="3"/>
      <c r="BX254" s="3"/>
      <c r="BY254" s="3"/>
      <c r="BZ254" s="3"/>
      <c r="CA254" s="3" t="s">
        <v>876</v>
      </c>
      <c r="CB254" s="3"/>
      <c r="CC254" s="3"/>
      <c r="CD254" s="3"/>
      <c r="CE254" s="3"/>
      <c r="CF254" s="3"/>
      <c r="CG254" s="3"/>
      <c r="CH254" s="3"/>
      <c r="CI254" s="3" t="s">
        <v>877</v>
      </c>
      <c r="CJ254" s="3" t="s">
        <v>878</v>
      </c>
      <c r="CK254" s="3"/>
      <c r="CL254" s="3"/>
      <c r="CM254" s="3"/>
      <c r="CN254" s="3"/>
      <c r="CO254" s="3"/>
      <c r="CP254" s="3"/>
      <c r="CQ254" s="3"/>
      <c r="CR254" s="3"/>
      <c r="CS254" s="3"/>
      <c r="CT254" s="3"/>
      <c r="CU254" s="3"/>
      <c r="CV254" s="3" t="s">
        <v>879</v>
      </c>
      <c r="CW254" s="3" t="s">
        <v>880</v>
      </c>
      <c r="CX254" s="3" t="s">
        <v>881</v>
      </c>
      <c r="CY254" s="3" t="s">
        <v>882</v>
      </c>
      <c r="CZ254" s="3" t="s">
        <v>883</v>
      </c>
    </row>
    <row r="255" customFormat="false" ht="15.75" hidden="false" customHeight="false" outlineLevel="0" collapsed="false">
      <c r="A255" s="309" t="s">
        <v>1807</v>
      </c>
      <c r="B255" s="309" t="s">
        <v>1808</v>
      </c>
      <c r="C255" s="309" t="s">
        <v>1809</v>
      </c>
      <c r="D255" s="309" t="s">
        <v>1810</v>
      </c>
      <c r="E255" s="309" t="s">
        <v>1811</v>
      </c>
      <c r="F255" s="318" t="b">
        <f aca="false">TRUE()</f>
        <v>1</v>
      </c>
      <c r="G255" s="309" t="s">
        <v>1197</v>
      </c>
      <c r="H255" s="309" t="s">
        <v>1808</v>
      </c>
      <c r="I255" s="312" t="n">
        <v>-1</v>
      </c>
      <c r="J255" s="3"/>
      <c r="K255" s="309" t="s">
        <v>884</v>
      </c>
      <c r="L255" s="312" t="n">
        <v>7</v>
      </c>
      <c r="M255" s="309" t="s">
        <v>885</v>
      </c>
      <c r="N255" s="309" t="s">
        <v>743</v>
      </c>
      <c r="O255" s="309" t="s">
        <v>1070</v>
      </c>
      <c r="P255" s="309" t="s">
        <v>745</v>
      </c>
      <c r="Q255" s="309" t="s">
        <v>746</v>
      </c>
      <c r="R255" s="318" t="b">
        <f aca="false">FALSE()</f>
        <v>0</v>
      </c>
      <c r="S255" s="312" t="n">
        <v>105</v>
      </c>
      <c r="T255" s="312" t="n">
        <v>100</v>
      </c>
      <c r="U255" s="312" t="n">
        <v>100</v>
      </c>
      <c r="V255" s="312" t="n">
        <v>100</v>
      </c>
      <c r="W255" s="312" t="n">
        <v>100</v>
      </c>
      <c r="X255" s="312" t="n">
        <v>100</v>
      </c>
      <c r="Y255" s="312" t="n">
        <v>0.2</v>
      </c>
      <c r="Z255" s="312" t="n">
        <v>0.7</v>
      </c>
      <c r="AA255" s="312" t="n">
        <v>10</v>
      </c>
      <c r="AB255" s="312" t="n">
        <v>6830</v>
      </c>
      <c r="AC255" s="309" t="s">
        <v>1253</v>
      </c>
      <c r="AD255" s="309" t="s">
        <v>182</v>
      </c>
      <c r="AE255" s="312" t="n">
        <v>120</v>
      </c>
      <c r="AF255" s="312" t="n">
        <v>240</v>
      </c>
      <c r="AG255" s="312" t="n">
        <v>800</v>
      </c>
      <c r="AH255" s="312" t="n">
        <v>1050</v>
      </c>
      <c r="AI255" s="312" t="n">
        <v>470</v>
      </c>
      <c r="AJ255" s="318" t="b">
        <f aca="false">TRUE()</f>
        <v>1</v>
      </c>
      <c r="AK255" s="318" t="b">
        <f aca="false">FALSE()</f>
        <v>0</v>
      </c>
      <c r="AL255" s="309" t="s">
        <v>1247</v>
      </c>
      <c r="AM255" s="318" t="b">
        <f aca="false">FALSE()</f>
        <v>0</v>
      </c>
      <c r="AN255" s="318" t="b">
        <f aca="false">FALSE()</f>
        <v>0</v>
      </c>
      <c r="AO255" s="312" t="n">
        <v>300</v>
      </c>
      <c r="AP255" s="312" t="n">
        <v>1</v>
      </c>
      <c r="AQ255" s="312" t="n">
        <v>4</v>
      </c>
      <c r="AR255" s="312" t="n">
        <v>25</v>
      </c>
      <c r="AS255" s="312" t="n">
        <v>90</v>
      </c>
      <c r="AT255" s="312" t="n">
        <v>1</v>
      </c>
      <c r="AU255" s="318" t="b">
        <f aca="false">FALSE()</f>
        <v>0</v>
      </c>
      <c r="AV255" s="318" t="b">
        <f aca="false">FALSE()</f>
        <v>0</v>
      </c>
      <c r="AW255" s="312" t="n">
        <v>9</v>
      </c>
      <c r="AX255" s="318" t="b">
        <f aca="false">FALSE()</f>
        <v>0</v>
      </c>
      <c r="AY255" s="318" t="b">
        <f aca="false">TRUE()</f>
        <v>1</v>
      </c>
      <c r="AZ255" s="312" t="n">
        <v>220</v>
      </c>
      <c r="BA255" s="312" t="n">
        <v>50</v>
      </c>
      <c r="BB255" s="312" t="n">
        <v>350</v>
      </c>
      <c r="BC255" s="312" t="n">
        <v>0</v>
      </c>
      <c r="BD255" s="312" t="n">
        <v>0</v>
      </c>
      <c r="BE255" s="312" t="n">
        <v>0</v>
      </c>
      <c r="BF255" s="312" t="n">
        <v>0</v>
      </c>
      <c r="BG255" s="312" t="n">
        <v>1</v>
      </c>
      <c r="BH255" s="312" t="n">
        <v>2</v>
      </c>
      <c r="BI255" s="312" t="n">
        <v>0</v>
      </c>
      <c r="BJ255" s="312" t="n">
        <v>2</v>
      </c>
      <c r="BK255" s="312" t="n">
        <v>0</v>
      </c>
      <c r="BL255" s="312" t="n">
        <v>0</v>
      </c>
      <c r="BM255" s="312" t="n">
        <v>0</v>
      </c>
      <c r="BN255" s="312" t="n">
        <v>3</v>
      </c>
      <c r="BO255" s="312" t="n">
        <v>0</v>
      </c>
      <c r="BP255" s="309" t="s">
        <v>182</v>
      </c>
      <c r="BQ255" s="309" t="s">
        <v>182</v>
      </c>
      <c r="BR255" s="309" t="s">
        <v>182</v>
      </c>
      <c r="BS255" s="309" t="s">
        <v>182</v>
      </c>
      <c r="BT255" s="312" t="n">
        <v>331</v>
      </c>
      <c r="BU255" s="318" t="b">
        <f aca="false">FALSE()</f>
        <v>0</v>
      </c>
      <c r="BV255" s="3" t="e">
        <f aca="false">xlookup(MID($A255,7,50),$A$2:$A$139,$BV$2:$BV$139,,0,1)</f>
        <v>#NAME?</v>
      </c>
      <c r="BW255" s="3"/>
      <c r="BX255" s="85" t="n">
        <v>36</v>
      </c>
      <c r="BY255" s="3" t="s">
        <v>1198</v>
      </c>
      <c r="BZ255" s="3" t="s">
        <v>775</v>
      </c>
      <c r="CA255" s="3"/>
      <c r="CB255" s="3"/>
      <c r="CC255" s="3"/>
      <c r="CD255" s="3"/>
      <c r="CE255" s="3"/>
      <c r="CF255" s="3"/>
      <c r="CG255" s="311" t="b">
        <f aca="false">TRUE()</f>
        <v>1</v>
      </c>
      <c r="CH255" s="3" t="s">
        <v>914</v>
      </c>
      <c r="CI255" s="3"/>
      <c r="CJ255" s="3"/>
      <c r="CK255" s="3"/>
      <c r="CL255" s="3"/>
      <c r="CM255" s="3"/>
      <c r="CN255" s="3"/>
      <c r="CO255" s="3"/>
      <c r="CP255" s="3"/>
      <c r="CQ255" s="3"/>
      <c r="CR255" s="3"/>
      <c r="CS255" s="3"/>
      <c r="CT255" s="3"/>
      <c r="CU255" s="3"/>
      <c r="CV255" s="3" t="s">
        <v>1199</v>
      </c>
      <c r="CW255" s="3" t="s">
        <v>1200</v>
      </c>
      <c r="CX255" s="3" t="s">
        <v>1201</v>
      </c>
      <c r="CY255" s="3" t="s">
        <v>1202</v>
      </c>
      <c r="CZ255" s="3" t="s">
        <v>1203</v>
      </c>
    </row>
    <row r="256" customFormat="false" ht="15.75" hidden="false" customHeight="false" outlineLevel="0" collapsed="false">
      <c r="A256" s="309" t="s">
        <v>1812</v>
      </c>
      <c r="B256" s="309" t="s">
        <v>1813</v>
      </c>
      <c r="C256" s="309" t="s">
        <v>1814</v>
      </c>
      <c r="D256" s="309" t="s">
        <v>1815</v>
      </c>
      <c r="E256" s="309" t="s">
        <v>1816</v>
      </c>
      <c r="F256" s="318" t="b">
        <f aca="false">TRUE()</f>
        <v>1</v>
      </c>
      <c r="G256" s="309" t="s">
        <v>1104</v>
      </c>
      <c r="H256" s="309" t="s">
        <v>1813</v>
      </c>
      <c r="I256" s="312" t="n">
        <v>-1</v>
      </c>
      <c r="J256" s="3"/>
      <c r="K256" s="309" t="s">
        <v>884</v>
      </c>
      <c r="L256" s="312" t="n">
        <v>4</v>
      </c>
      <c r="M256" s="309" t="s">
        <v>783</v>
      </c>
      <c r="N256" s="309" t="s">
        <v>743</v>
      </c>
      <c r="O256" s="309" t="s">
        <v>744</v>
      </c>
      <c r="P256" s="309" t="s">
        <v>745</v>
      </c>
      <c r="Q256" s="309" t="s">
        <v>746</v>
      </c>
      <c r="R256" s="318" t="b">
        <f aca="false">FALSE()</f>
        <v>0</v>
      </c>
      <c r="S256" s="312" t="n">
        <v>80</v>
      </c>
      <c r="T256" s="312" t="n">
        <v>100</v>
      </c>
      <c r="U256" s="312" t="n">
        <v>90</v>
      </c>
      <c r="V256" s="312" t="n">
        <v>90</v>
      </c>
      <c r="W256" s="312" t="n">
        <v>100</v>
      </c>
      <c r="X256" s="312" t="n">
        <v>100</v>
      </c>
      <c r="Y256" s="312" t="n">
        <v>0.2</v>
      </c>
      <c r="Z256" s="312" t="n">
        <v>0.7</v>
      </c>
      <c r="AA256" s="312" t="n">
        <v>10</v>
      </c>
      <c r="AB256" s="312" t="n">
        <v>1880</v>
      </c>
      <c r="AC256" s="309" t="s">
        <v>1253</v>
      </c>
      <c r="AD256" s="309" t="s">
        <v>182</v>
      </c>
      <c r="AE256" s="312" t="n">
        <v>125</v>
      </c>
      <c r="AF256" s="312" t="n">
        <v>250</v>
      </c>
      <c r="AG256" s="312" t="n">
        <v>450</v>
      </c>
      <c r="AH256" s="312" t="n">
        <v>550</v>
      </c>
      <c r="AI256" s="312" t="n">
        <v>350</v>
      </c>
      <c r="AJ256" s="318" t="b">
        <f aca="false">TRUE()</f>
        <v>1</v>
      </c>
      <c r="AK256" s="318" t="b">
        <f aca="false">FALSE()</f>
        <v>0</v>
      </c>
      <c r="AL256" s="309" t="s">
        <v>1247</v>
      </c>
      <c r="AM256" s="318" t="b">
        <f aca="false">FALSE()</f>
        <v>0</v>
      </c>
      <c r="AN256" s="318" t="b">
        <f aca="false">FALSE()</f>
        <v>0</v>
      </c>
      <c r="AO256" s="312" t="n">
        <v>225</v>
      </c>
      <c r="AP256" s="312" t="n">
        <v>1</v>
      </c>
      <c r="AQ256" s="312" t="n">
        <v>3</v>
      </c>
      <c r="AR256" s="312" t="n">
        <v>25</v>
      </c>
      <c r="AS256" s="312" t="n">
        <v>90</v>
      </c>
      <c r="AT256" s="312" t="n">
        <v>1</v>
      </c>
      <c r="AU256" s="318" t="b">
        <f aca="false">FALSE()</f>
        <v>0</v>
      </c>
      <c r="AV256" s="318" t="b">
        <f aca="false">FALSE()</f>
        <v>0</v>
      </c>
      <c r="AW256" s="312" t="n">
        <v>9</v>
      </c>
      <c r="AX256" s="318" t="b">
        <f aca="false">FALSE()</f>
        <v>0</v>
      </c>
      <c r="AY256" s="318" t="b">
        <f aca="false">TRUE()</f>
        <v>1</v>
      </c>
      <c r="AZ256" s="312" t="n">
        <v>100</v>
      </c>
      <c r="BA256" s="312" t="n">
        <v>10</v>
      </c>
      <c r="BB256" s="312" t="n">
        <v>1070</v>
      </c>
      <c r="BC256" s="312" t="n">
        <v>0</v>
      </c>
      <c r="BD256" s="312" t="n">
        <v>0</v>
      </c>
      <c r="BE256" s="312" t="n">
        <v>1</v>
      </c>
      <c r="BF256" s="312" t="n">
        <v>0</v>
      </c>
      <c r="BG256" s="312" t="n">
        <v>1</v>
      </c>
      <c r="BH256" s="312" t="n">
        <v>1</v>
      </c>
      <c r="BI256" s="312" t="n">
        <v>1</v>
      </c>
      <c r="BJ256" s="312" t="n">
        <v>0</v>
      </c>
      <c r="BK256" s="312" t="n">
        <v>0</v>
      </c>
      <c r="BL256" s="312" t="n">
        <v>1</v>
      </c>
      <c r="BM256" s="312" t="n">
        <v>0</v>
      </c>
      <c r="BN256" s="312" t="n">
        <v>2</v>
      </c>
      <c r="BO256" s="312" t="n">
        <v>1</v>
      </c>
      <c r="BP256" s="309" t="s">
        <v>182</v>
      </c>
      <c r="BQ256" s="309" t="s">
        <v>182</v>
      </c>
      <c r="BR256" s="309" t="s">
        <v>182</v>
      </c>
      <c r="BS256" s="309" t="s">
        <v>182</v>
      </c>
      <c r="BT256" s="312" t="n">
        <v>332</v>
      </c>
      <c r="BU256" s="318" t="b">
        <f aca="false">FALSE()</f>
        <v>0</v>
      </c>
      <c r="BV256" s="3" t="e">
        <f aca="false">xlookup(MID($A256,7,50),$A$2:$A$139,$BV$2:$BV$139,,0,1)</f>
        <v>#NAME?</v>
      </c>
      <c r="BW256" s="3"/>
      <c r="BX256" s="3"/>
      <c r="BY256" s="3"/>
      <c r="BZ256" s="3"/>
      <c r="CA256" s="3"/>
      <c r="CB256" s="3"/>
      <c r="CC256" s="3"/>
      <c r="CD256" s="3"/>
      <c r="CE256" s="3"/>
      <c r="CF256" s="3"/>
      <c r="CG256" s="3"/>
      <c r="CH256" s="3"/>
      <c r="CI256" s="3" t="s">
        <v>877</v>
      </c>
      <c r="CJ256" s="3" t="s">
        <v>1105</v>
      </c>
      <c r="CK256" s="3" t="s">
        <v>1106</v>
      </c>
      <c r="CL256" s="3" t="s">
        <v>1107</v>
      </c>
      <c r="CM256" s="3" t="s">
        <v>1108</v>
      </c>
      <c r="CN256" s="3" t="s">
        <v>1109</v>
      </c>
      <c r="CO256" s="3"/>
      <c r="CP256" s="3"/>
      <c r="CQ256" s="3"/>
      <c r="CR256" s="3"/>
      <c r="CS256" s="3"/>
      <c r="CT256" s="3"/>
      <c r="CU256" s="3" t="s">
        <v>50</v>
      </c>
      <c r="CV256" s="3" t="s">
        <v>1110</v>
      </c>
      <c r="CW256" s="3" t="s">
        <v>1111</v>
      </c>
      <c r="CX256" s="3" t="s">
        <v>1112</v>
      </c>
      <c r="CY256" s="3" t="s">
        <v>1113</v>
      </c>
      <c r="CZ256" s="3" t="s">
        <v>1114</v>
      </c>
    </row>
    <row r="257" customFormat="false" ht="15.75" hidden="false" customHeight="false" outlineLevel="0" collapsed="false">
      <c r="A257" s="309" t="s">
        <v>1817</v>
      </c>
      <c r="B257" s="309" t="s">
        <v>1818</v>
      </c>
      <c r="C257" s="309" t="s">
        <v>1819</v>
      </c>
      <c r="D257" s="309" t="s">
        <v>1820</v>
      </c>
      <c r="E257" s="309" t="s">
        <v>1821</v>
      </c>
      <c r="F257" s="318" t="b">
        <f aca="false">TRUE()</f>
        <v>1</v>
      </c>
      <c r="G257" s="309" t="s">
        <v>477</v>
      </c>
      <c r="H257" s="309" t="s">
        <v>1818</v>
      </c>
      <c r="I257" s="312" t="n">
        <v>-1</v>
      </c>
      <c r="J257" s="3"/>
      <c r="K257" s="309" t="s">
        <v>884</v>
      </c>
      <c r="L257" s="312" t="n">
        <v>8</v>
      </c>
      <c r="M257" s="309" t="s">
        <v>757</v>
      </c>
      <c r="N257" s="309" t="s">
        <v>743</v>
      </c>
      <c r="O257" s="309" t="s">
        <v>790</v>
      </c>
      <c r="P257" s="309" t="s">
        <v>745</v>
      </c>
      <c r="Q257" s="309" t="s">
        <v>746</v>
      </c>
      <c r="R257" s="318" t="b">
        <f aca="false">FALSE()</f>
        <v>0</v>
      </c>
      <c r="S257" s="312" t="n">
        <v>120</v>
      </c>
      <c r="T257" s="312" t="n">
        <v>100</v>
      </c>
      <c r="U257" s="312" t="n">
        <v>105</v>
      </c>
      <c r="V257" s="312" t="n">
        <v>105</v>
      </c>
      <c r="W257" s="312" t="n">
        <v>100</v>
      </c>
      <c r="X257" s="312" t="n">
        <v>100</v>
      </c>
      <c r="Y257" s="312" t="n">
        <v>0.2</v>
      </c>
      <c r="Z257" s="312" t="n">
        <v>0.7</v>
      </c>
      <c r="AA257" s="312" t="n">
        <v>10</v>
      </c>
      <c r="AB257" s="312" t="n">
        <v>9840</v>
      </c>
      <c r="AC257" s="309" t="s">
        <v>1253</v>
      </c>
      <c r="AD257" s="309" t="s">
        <v>182</v>
      </c>
      <c r="AE257" s="312" t="n">
        <v>100</v>
      </c>
      <c r="AF257" s="312" t="n">
        <v>200</v>
      </c>
      <c r="AG257" s="312" t="n">
        <v>850</v>
      </c>
      <c r="AH257" s="312" t="n">
        <v>1200</v>
      </c>
      <c r="AI257" s="312" t="n">
        <v>450</v>
      </c>
      <c r="AJ257" s="318" t="b">
        <f aca="false">TRUE()</f>
        <v>1</v>
      </c>
      <c r="AK257" s="318" t="b">
        <f aca="false">FALSE()</f>
        <v>0</v>
      </c>
      <c r="AL257" s="309" t="s">
        <v>1247</v>
      </c>
      <c r="AM257" s="318" t="b">
        <f aca="false">FALSE()</f>
        <v>0</v>
      </c>
      <c r="AN257" s="318" t="b">
        <f aca="false">FALSE()</f>
        <v>0</v>
      </c>
      <c r="AO257" s="312" t="n">
        <v>525</v>
      </c>
      <c r="AP257" s="312" t="n">
        <v>1</v>
      </c>
      <c r="AQ257" s="312" t="n">
        <v>8</v>
      </c>
      <c r="AR257" s="312" t="n">
        <v>25</v>
      </c>
      <c r="AS257" s="312" t="n">
        <v>90</v>
      </c>
      <c r="AT257" s="312" t="n">
        <v>1</v>
      </c>
      <c r="AU257" s="318" t="b">
        <f aca="false">FALSE()</f>
        <v>0</v>
      </c>
      <c r="AV257" s="318" t="b">
        <f aca="false">FALSE()</f>
        <v>0</v>
      </c>
      <c r="AW257" s="312" t="n">
        <v>9</v>
      </c>
      <c r="AX257" s="318" t="b">
        <f aca="false">FALSE()</f>
        <v>0</v>
      </c>
      <c r="AY257" s="318" t="b">
        <f aca="false">TRUE()</f>
        <v>1</v>
      </c>
      <c r="AZ257" s="312" t="n">
        <v>350</v>
      </c>
      <c r="BA257" s="312" t="n">
        <v>50</v>
      </c>
      <c r="BB257" s="312" t="n">
        <v>50</v>
      </c>
      <c r="BC257" s="312" t="n">
        <v>3</v>
      </c>
      <c r="BD257" s="312" t="n">
        <v>0</v>
      </c>
      <c r="BE257" s="312" t="n">
        <v>0</v>
      </c>
      <c r="BF257" s="312" t="n">
        <v>0</v>
      </c>
      <c r="BG257" s="312" t="n">
        <v>0</v>
      </c>
      <c r="BH257" s="312" t="n">
        <v>0</v>
      </c>
      <c r="BI257" s="312" t="n">
        <v>0</v>
      </c>
      <c r="BJ257" s="312" t="n">
        <v>0</v>
      </c>
      <c r="BK257" s="312" t="n">
        <v>0</v>
      </c>
      <c r="BL257" s="312" t="n">
        <v>0</v>
      </c>
      <c r="BM257" s="312" t="n">
        <v>0</v>
      </c>
      <c r="BN257" s="312" t="n">
        <v>0</v>
      </c>
      <c r="BO257" s="312" t="n">
        <v>0</v>
      </c>
      <c r="BP257" s="309" t="s">
        <v>182</v>
      </c>
      <c r="BQ257" s="309" t="s">
        <v>182</v>
      </c>
      <c r="BR257" s="309" t="s">
        <v>182</v>
      </c>
      <c r="BS257" s="309" t="s">
        <v>182</v>
      </c>
      <c r="BT257" s="312" t="n">
        <v>333</v>
      </c>
      <c r="BU257" s="318" t="b">
        <f aca="false">FALSE()</f>
        <v>0</v>
      </c>
      <c r="BV257" s="3" t="e">
        <f aca="false">xlookup(MID($A257,7,50),$A$2:$A$139,$BV$2:$BV$139,,0,1)</f>
        <v>#NAME?</v>
      </c>
      <c r="BW257" s="3"/>
      <c r="BX257" s="85" t="n">
        <v>40</v>
      </c>
      <c r="BY257" s="3" t="s">
        <v>901</v>
      </c>
      <c r="BZ257" s="3" t="s">
        <v>775</v>
      </c>
      <c r="CA257" s="3"/>
      <c r="CB257" s="3"/>
      <c r="CC257" s="3"/>
      <c r="CD257" s="3"/>
      <c r="CE257" s="3"/>
      <c r="CF257" s="3"/>
      <c r="CG257" s="311" t="b">
        <f aca="false">TRUE()</f>
        <v>1</v>
      </c>
      <c r="CH257" s="3" t="s">
        <v>902</v>
      </c>
      <c r="CI257" s="3"/>
      <c r="CJ257" s="3"/>
      <c r="CK257" s="3"/>
      <c r="CL257" s="3"/>
      <c r="CM257" s="3"/>
      <c r="CN257" s="3"/>
      <c r="CO257" s="3"/>
      <c r="CP257" s="3"/>
      <c r="CQ257" s="3"/>
      <c r="CR257" s="3"/>
      <c r="CS257" s="3"/>
      <c r="CT257" s="3"/>
      <c r="CU257" s="3"/>
      <c r="CV257" s="3" t="s">
        <v>891</v>
      </c>
      <c r="CW257" s="3" t="s">
        <v>892</v>
      </c>
      <c r="CX257" s="3" t="s">
        <v>893</v>
      </c>
      <c r="CY257" s="3" t="s">
        <v>894</v>
      </c>
      <c r="CZ257" s="3" t="s">
        <v>895</v>
      </c>
    </row>
    <row r="258" customFormat="false" ht="15.75" hidden="false" customHeight="false" outlineLevel="0" collapsed="false">
      <c r="A258" s="309" t="s">
        <v>1822</v>
      </c>
      <c r="B258" s="309" t="s">
        <v>1823</v>
      </c>
      <c r="C258" s="309" t="s">
        <v>1824</v>
      </c>
      <c r="D258" s="309" t="s">
        <v>1825</v>
      </c>
      <c r="E258" s="309" t="s">
        <v>1826</v>
      </c>
      <c r="F258" s="318" t="b">
        <f aca="false">TRUE()</f>
        <v>1</v>
      </c>
      <c r="G258" s="309" t="s">
        <v>550</v>
      </c>
      <c r="H258" s="309" t="s">
        <v>1823</v>
      </c>
      <c r="I258" s="312" t="n">
        <v>-1</v>
      </c>
      <c r="J258" s="3"/>
      <c r="K258" s="309" t="s">
        <v>884</v>
      </c>
      <c r="L258" s="312" t="n">
        <v>9</v>
      </c>
      <c r="M258" s="309" t="s">
        <v>814</v>
      </c>
      <c r="N258" s="309" t="s">
        <v>743</v>
      </c>
      <c r="O258" s="309" t="s">
        <v>790</v>
      </c>
      <c r="P258" s="309" t="s">
        <v>745</v>
      </c>
      <c r="Q258" s="309" t="s">
        <v>746</v>
      </c>
      <c r="R258" s="318" t="b">
        <f aca="false">FALSE()</f>
        <v>0</v>
      </c>
      <c r="S258" s="312" t="n">
        <v>125</v>
      </c>
      <c r="T258" s="312" t="n">
        <v>100</v>
      </c>
      <c r="U258" s="312" t="n">
        <v>105</v>
      </c>
      <c r="V258" s="312" t="n">
        <v>105</v>
      </c>
      <c r="W258" s="312" t="n">
        <v>100</v>
      </c>
      <c r="X258" s="312" t="n">
        <v>100</v>
      </c>
      <c r="Y258" s="312" t="n">
        <v>0.2</v>
      </c>
      <c r="Z258" s="312" t="n">
        <v>0.7</v>
      </c>
      <c r="AA258" s="312" t="n">
        <v>10</v>
      </c>
      <c r="AB258" s="312" t="n">
        <v>10110</v>
      </c>
      <c r="AC258" s="309" t="s">
        <v>1253</v>
      </c>
      <c r="AD258" s="309" t="s">
        <v>182</v>
      </c>
      <c r="AE258" s="312" t="n">
        <v>100</v>
      </c>
      <c r="AF258" s="312" t="n">
        <v>200</v>
      </c>
      <c r="AG258" s="312" t="n">
        <v>850</v>
      </c>
      <c r="AH258" s="312" t="n">
        <v>1200</v>
      </c>
      <c r="AI258" s="312" t="n">
        <v>450</v>
      </c>
      <c r="AJ258" s="318" t="b">
        <f aca="false">TRUE()</f>
        <v>1</v>
      </c>
      <c r="AK258" s="318" t="b">
        <f aca="false">FALSE()</f>
        <v>0</v>
      </c>
      <c r="AL258" s="309" t="s">
        <v>1247</v>
      </c>
      <c r="AM258" s="318" t="b">
        <f aca="false">FALSE()</f>
        <v>0</v>
      </c>
      <c r="AN258" s="318" t="b">
        <f aca="false">FALSE()</f>
        <v>0</v>
      </c>
      <c r="AO258" s="312" t="n">
        <v>525</v>
      </c>
      <c r="AP258" s="312" t="n">
        <v>1</v>
      </c>
      <c r="AQ258" s="312" t="n">
        <v>8</v>
      </c>
      <c r="AR258" s="312" t="n">
        <v>25</v>
      </c>
      <c r="AS258" s="312" t="n">
        <v>90</v>
      </c>
      <c r="AT258" s="312" t="n">
        <v>1</v>
      </c>
      <c r="AU258" s="318" t="b">
        <f aca="false">FALSE()</f>
        <v>0</v>
      </c>
      <c r="AV258" s="318" t="b">
        <f aca="false">FALSE()</f>
        <v>0</v>
      </c>
      <c r="AW258" s="312" t="n">
        <v>9</v>
      </c>
      <c r="AX258" s="318" t="b">
        <f aca="false">FALSE()</f>
        <v>0</v>
      </c>
      <c r="AY258" s="318" t="b">
        <f aca="false">TRUE()</f>
        <v>1</v>
      </c>
      <c r="AZ258" s="312" t="n">
        <v>350</v>
      </c>
      <c r="BA258" s="312" t="n">
        <v>50</v>
      </c>
      <c r="BB258" s="312" t="n">
        <v>30</v>
      </c>
      <c r="BC258" s="312" t="n">
        <v>0</v>
      </c>
      <c r="BD258" s="312" t="n">
        <v>3</v>
      </c>
      <c r="BE258" s="312" t="n">
        <v>0</v>
      </c>
      <c r="BF258" s="312" t="n">
        <v>0</v>
      </c>
      <c r="BG258" s="312" t="n">
        <v>0</v>
      </c>
      <c r="BH258" s="312" t="n">
        <v>0</v>
      </c>
      <c r="BI258" s="312" t="n">
        <v>0</v>
      </c>
      <c r="BJ258" s="312" t="n">
        <v>0</v>
      </c>
      <c r="BK258" s="312" t="n">
        <v>0</v>
      </c>
      <c r="BL258" s="312" t="n">
        <v>0</v>
      </c>
      <c r="BM258" s="312" t="n">
        <v>0</v>
      </c>
      <c r="BN258" s="312" t="n">
        <v>0</v>
      </c>
      <c r="BO258" s="312" t="n">
        <v>0</v>
      </c>
      <c r="BP258" s="309" t="s">
        <v>182</v>
      </c>
      <c r="BQ258" s="309" t="s">
        <v>182</v>
      </c>
      <c r="BR258" s="309" t="s">
        <v>182</v>
      </c>
      <c r="BS258" s="309" t="s">
        <v>182</v>
      </c>
      <c r="BT258" s="312" t="n">
        <v>334</v>
      </c>
      <c r="BU258" s="318" t="b">
        <f aca="false">TRUE()</f>
        <v>1</v>
      </c>
      <c r="BV258" s="3" t="e">
        <f aca="false">xlookup(MID($A258,7,50),$A$2:$A$139,$BV$2:$BV$139,,0,1)</f>
        <v>#NAME?</v>
      </c>
      <c r="BW258" s="3"/>
      <c r="BX258" s="85" t="n">
        <v>43</v>
      </c>
      <c r="BY258" s="3" t="s">
        <v>903</v>
      </c>
      <c r="BZ258" s="3" t="s">
        <v>775</v>
      </c>
      <c r="CA258" s="3"/>
      <c r="CB258" s="3"/>
      <c r="CC258" s="3"/>
      <c r="CD258" s="3"/>
      <c r="CE258" s="3"/>
      <c r="CF258" s="3"/>
      <c r="CG258" s="311" t="b">
        <f aca="false">TRUE()</f>
        <v>1</v>
      </c>
      <c r="CH258" s="3" t="s">
        <v>902</v>
      </c>
      <c r="CI258" s="3"/>
      <c r="CJ258" s="3"/>
      <c r="CK258" s="3"/>
      <c r="CL258" s="3"/>
      <c r="CM258" s="3"/>
      <c r="CN258" s="3"/>
      <c r="CO258" s="3"/>
      <c r="CP258" s="3"/>
      <c r="CQ258" s="3"/>
      <c r="CR258" s="3"/>
      <c r="CS258" s="3"/>
      <c r="CT258" s="3"/>
      <c r="CU258" s="3"/>
      <c r="CV258" s="3" t="s">
        <v>904</v>
      </c>
      <c r="CW258" s="3" t="s">
        <v>905</v>
      </c>
      <c r="CX258" s="3" t="s">
        <v>906</v>
      </c>
      <c r="CY258" s="3" t="s">
        <v>907</v>
      </c>
      <c r="CZ258" s="3" t="s">
        <v>908</v>
      </c>
    </row>
    <row r="259" customFormat="false" ht="15.75" hidden="false" customHeight="false" outlineLevel="0" collapsed="false">
      <c r="A259" s="309" t="s">
        <v>1827</v>
      </c>
      <c r="B259" s="309" t="s">
        <v>1828</v>
      </c>
      <c r="C259" s="309" t="s">
        <v>1829</v>
      </c>
      <c r="D259" s="309" t="s">
        <v>1830</v>
      </c>
      <c r="E259" s="309" t="s">
        <v>1831</v>
      </c>
      <c r="F259" s="318" t="b">
        <f aca="false">TRUE()</f>
        <v>1</v>
      </c>
      <c r="G259" s="309" t="s">
        <v>926</v>
      </c>
      <c r="H259" s="309" t="s">
        <v>1828</v>
      </c>
      <c r="I259" s="312" t="n">
        <v>-1</v>
      </c>
      <c r="J259" s="3"/>
      <c r="K259" s="309" t="s">
        <v>884</v>
      </c>
      <c r="L259" s="312" t="n">
        <v>3</v>
      </c>
      <c r="M259" s="309" t="s">
        <v>789</v>
      </c>
      <c r="N259" s="309" t="s">
        <v>743</v>
      </c>
      <c r="O259" s="309" t="s">
        <v>763</v>
      </c>
      <c r="P259" s="309" t="s">
        <v>745</v>
      </c>
      <c r="Q259" s="309" t="s">
        <v>746</v>
      </c>
      <c r="R259" s="318" t="b">
        <f aca="false">FALSE()</f>
        <v>0</v>
      </c>
      <c r="S259" s="312" t="n">
        <v>70</v>
      </c>
      <c r="T259" s="312" t="n">
        <v>70</v>
      </c>
      <c r="U259" s="312" t="n">
        <v>70</v>
      </c>
      <c r="V259" s="312" t="n">
        <v>90</v>
      </c>
      <c r="W259" s="312" t="n">
        <v>100</v>
      </c>
      <c r="X259" s="312" t="n">
        <v>100</v>
      </c>
      <c r="Y259" s="312" t="n">
        <v>0.2</v>
      </c>
      <c r="Z259" s="312" t="n">
        <v>0.7</v>
      </c>
      <c r="AA259" s="312" t="n">
        <v>10</v>
      </c>
      <c r="AB259" s="312" t="n">
        <v>1450</v>
      </c>
      <c r="AC259" s="309" t="s">
        <v>836</v>
      </c>
      <c r="AD259" s="309" t="s">
        <v>182</v>
      </c>
      <c r="AE259" s="312" t="n">
        <v>50</v>
      </c>
      <c r="AF259" s="312" t="n">
        <v>100</v>
      </c>
      <c r="AG259" s="312" t="n">
        <v>300</v>
      </c>
      <c r="AH259" s="312" t="n">
        <v>400</v>
      </c>
      <c r="AI259" s="312" t="n">
        <v>200</v>
      </c>
      <c r="AJ259" s="318" t="b">
        <f aca="false">TRUE()</f>
        <v>1</v>
      </c>
      <c r="AK259" s="318" t="b">
        <f aca="false">FALSE()</f>
        <v>0</v>
      </c>
      <c r="AL259" s="309" t="s">
        <v>1247</v>
      </c>
      <c r="AM259" s="318" t="b">
        <f aca="false">FALSE()</f>
        <v>0</v>
      </c>
      <c r="AN259" s="318" t="b">
        <f aca="false">FALSE()</f>
        <v>0</v>
      </c>
      <c r="AO259" s="312" t="n">
        <v>150</v>
      </c>
      <c r="AP259" s="312" t="n">
        <v>1</v>
      </c>
      <c r="AQ259" s="312" t="n">
        <v>2</v>
      </c>
      <c r="AR259" s="312" t="n">
        <v>25</v>
      </c>
      <c r="AS259" s="312" t="n">
        <v>90</v>
      </c>
      <c r="AT259" s="312" t="n">
        <v>1</v>
      </c>
      <c r="AU259" s="318" t="b">
        <f aca="false">FALSE()</f>
        <v>0</v>
      </c>
      <c r="AV259" s="318" t="b">
        <f aca="false">FALSE()</f>
        <v>0</v>
      </c>
      <c r="AW259" s="312" t="n">
        <v>9</v>
      </c>
      <c r="AX259" s="318" t="b">
        <f aca="false">FALSE()</f>
        <v>0</v>
      </c>
      <c r="AY259" s="318" t="b">
        <f aca="false">TRUE()</f>
        <v>1</v>
      </c>
      <c r="AZ259" s="312" t="n">
        <v>100</v>
      </c>
      <c r="BA259" s="312" t="n">
        <v>50</v>
      </c>
      <c r="BB259" s="312" t="n">
        <v>1190</v>
      </c>
      <c r="BC259" s="312" t="n">
        <v>0</v>
      </c>
      <c r="BD259" s="312" t="n">
        <v>0</v>
      </c>
      <c r="BE259" s="312" t="n">
        <v>0</v>
      </c>
      <c r="BF259" s="312" t="n">
        <v>0</v>
      </c>
      <c r="BG259" s="312" t="n">
        <v>0</v>
      </c>
      <c r="BH259" s="312" t="n">
        <v>0</v>
      </c>
      <c r="BI259" s="312" t="n">
        <v>0</v>
      </c>
      <c r="BJ259" s="312" t="n">
        <v>0</v>
      </c>
      <c r="BK259" s="312" t="n">
        <v>0</v>
      </c>
      <c r="BL259" s="312" t="n">
        <v>0</v>
      </c>
      <c r="BM259" s="312" t="n">
        <v>0</v>
      </c>
      <c r="BN259" s="312" t="n">
        <v>0</v>
      </c>
      <c r="BO259" s="312" t="n">
        <v>1</v>
      </c>
      <c r="BP259" s="309" t="s">
        <v>182</v>
      </c>
      <c r="BQ259" s="309" t="s">
        <v>182</v>
      </c>
      <c r="BR259" s="309" t="s">
        <v>182</v>
      </c>
      <c r="BS259" s="309" t="s">
        <v>182</v>
      </c>
      <c r="BT259" s="312" t="n">
        <v>335</v>
      </c>
      <c r="BU259" s="318" t="b">
        <f aca="false">FALSE()</f>
        <v>0</v>
      </c>
      <c r="BV259" s="3" t="e">
        <f aca="false">xlookup(MID($A259,7,50),$A$2:$A$139,$BV$2:$BV$139,,0,1)</f>
        <v>#NAME?</v>
      </c>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t="s">
        <v>927</v>
      </c>
      <c r="CW259" s="3" t="s">
        <v>928</v>
      </c>
      <c r="CX259" s="3" t="s">
        <v>929</v>
      </c>
      <c r="CY259" s="3" t="s">
        <v>930</v>
      </c>
      <c r="CZ259" s="3" t="s">
        <v>931</v>
      </c>
    </row>
    <row r="260" customFormat="false" ht="15.75" hidden="false" customHeight="false" outlineLevel="0" collapsed="false">
      <c r="A260" s="309" t="s">
        <v>1832</v>
      </c>
      <c r="B260" s="309" t="s">
        <v>1833</v>
      </c>
      <c r="C260" s="309" t="s">
        <v>1834</v>
      </c>
      <c r="D260" s="309" t="s">
        <v>1835</v>
      </c>
      <c r="E260" s="309" t="s">
        <v>1836</v>
      </c>
      <c r="F260" s="318" t="b">
        <f aca="false">TRUE()</f>
        <v>1</v>
      </c>
      <c r="G260" s="309" t="s">
        <v>1176</v>
      </c>
      <c r="H260" s="309" t="s">
        <v>1833</v>
      </c>
      <c r="I260" s="312" t="n">
        <v>-1</v>
      </c>
      <c r="J260" s="3"/>
      <c r="K260" s="309" t="s">
        <v>884</v>
      </c>
      <c r="L260" s="312" t="n">
        <v>6</v>
      </c>
      <c r="M260" s="309" t="s">
        <v>810</v>
      </c>
      <c r="N260" s="309" t="s">
        <v>743</v>
      </c>
      <c r="O260" s="309" t="s">
        <v>790</v>
      </c>
      <c r="P260" s="309" t="s">
        <v>745</v>
      </c>
      <c r="Q260" s="309" t="s">
        <v>746</v>
      </c>
      <c r="R260" s="318" t="b">
        <f aca="false">FALSE()</f>
        <v>0</v>
      </c>
      <c r="S260" s="312" t="n">
        <v>105</v>
      </c>
      <c r="T260" s="312" t="n">
        <v>100</v>
      </c>
      <c r="U260" s="312" t="n">
        <v>115</v>
      </c>
      <c r="V260" s="312" t="n">
        <v>80</v>
      </c>
      <c r="W260" s="312" t="n">
        <v>100</v>
      </c>
      <c r="X260" s="312" t="n">
        <v>100</v>
      </c>
      <c r="Y260" s="312" t="n">
        <v>0.2</v>
      </c>
      <c r="Z260" s="312" t="n">
        <v>0.7</v>
      </c>
      <c r="AA260" s="312" t="n">
        <v>10</v>
      </c>
      <c r="AB260" s="312" t="n">
        <v>7490</v>
      </c>
      <c r="AC260" s="309" t="s">
        <v>1253</v>
      </c>
      <c r="AD260" s="309" t="s">
        <v>182</v>
      </c>
      <c r="AE260" s="312" t="n">
        <v>100</v>
      </c>
      <c r="AF260" s="312" t="n">
        <v>200</v>
      </c>
      <c r="AG260" s="312" t="n">
        <v>750</v>
      </c>
      <c r="AH260" s="312" t="n">
        <v>1300</v>
      </c>
      <c r="AI260" s="312" t="n">
        <v>375</v>
      </c>
      <c r="AJ260" s="318" t="b">
        <f aca="false">TRUE()</f>
        <v>1</v>
      </c>
      <c r="AK260" s="318" t="b">
        <f aca="false">FALSE()</f>
        <v>0</v>
      </c>
      <c r="AL260" s="309" t="s">
        <v>1247</v>
      </c>
      <c r="AM260" s="318" t="b">
        <f aca="false">FALSE()</f>
        <v>0</v>
      </c>
      <c r="AN260" s="318" t="b">
        <f aca="false">FALSE()</f>
        <v>0</v>
      </c>
      <c r="AO260" s="312" t="n">
        <v>475</v>
      </c>
      <c r="AP260" s="312" t="n">
        <v>1</v>
      </c>
      <c r="AQ260" s="312" t="n">
        <v>7</v>
      </c>
      <c r="AR260" s="312" t="n">
        <v>25</v>
      </c>
      <c r="AS260" s="312" t="n">
        <v>90</v>
      </c>
      <c r="AT260" s="312" t="n">
        <v>1</v>
      </c>
      <c r="AU260" s="318" t="b">
        <f aca="false">FALSE()</f>
        <v>0</v>
      </c>
      <c r="AV260" s="318" t="b">
        <f aca="false">FALSE()</f>
        <v>0</v>
      </c>
      <c r="AW260" s="312" t="n">
        <v>9</v>
      </c>
      <c r="AX260" s="318" t="b">
        <f aca="false">TRUE()</f>
        <v>1</v>
      </c>
      <c r="AY260" s="318" t="b">
        <f aca="false">TRUE()</f>
        <v>1</v>
      </c>
      <c r="AZ260" s="312" t="n">
        <v>160</v>
      </c>
      <c r="BA260" s="312" t="n">
        <v>50</v>
      </c>
      <c r="BB260" s="312" t="n">
        <v>220</v>
      </c>
      <c r="BC260" s="312" t="n">
        <v>0</v>
      </c>
      <c r="BD260" s="312" t="n">
        <v>0</v>
      </c>
      <c r="BE260" s="312" t="n">
        <v>0</v>
      </c>
      <c r="BF260" s="312" t="n">
        <v>2</v>
      </c>
      <c r="BG260" s="312" t="n">
        <v>0</v>
      </c>
      <c r="BH260" s="312" t="n">
        <v>1</v>
      </c>
      <c r="BI260" s="312" t="n">
        <v>0</v>
      </c>
      <c r="BJ260" s="312" t="n">
        <v>0</v>
      </c>
      <c r="BK260" s="312" t="n">
        <v>0</v>
      </c>
      <c r="BL260" s="312" t="n">
        <v>0</v>
      </c>
      <c r="BM260" s="312" t="n">
        <v>0</v>
      </c>
      <c r="BN260" s="312" t="n">
        <v>3</v>
      </c>
      <c r="BO260" s="312" t="n">
        <v>0</v>
      </c>
      <c r="BP260" s="309" t="s">
        <v>182</v>
      </c>
      <c r="BQ260" s="309" t="s">
        <v>182</v>
      </c>
      <c r="BR260" s="309" t="s">
        <v>182</v>
      </c>
      <c r="BS260" s="309" t="s">
        <v>182</v>
      </c>
      <c r="BT260" s="312" t="n">
        <v>337</v>
      </c>
      <c r="BU260" s="318" t="b">
        <f aca="false">FALSE()</f>
        <v>0</v>
      </c>
      <c r="BV260" s="3" t="e">
        <f aca="false">xlookup(MID($A260,7,50),$A$2:$A$139,$BV$2:$BV$139,,0,1)</f>
        <v>#NAME?</v>
      </c>
      <c r="BW260" s="3"/>
      <c r="BX260" s="85" t="n">
        <v>34</v>
      </c>
      <c r="BY260" s="3" t="s">
        <v>1177</v>
      </c>
      <c r="BZ260" s="3" t="s">
        <v>775</v>
      </c>
      <c r="CA260" s="3"/>
      <c r="CB260" s="3"/>
      <c r="CC260" s="3"/>
      <c r="CD260" s="3"/>
      <c r="CE260" s="3"/>
      <c r="CF260" s="3"/>
      <c r="CG260" s="311" t="b">
        <f aca="false">TRUE()</f>
        <v>1</v>
      </c>
      <c r="CH260" s="3" t="s">
        <v>902</v>
      </c>
      <c r="CI260" s="3" t="s">
        <v>750</v>
      </c>
      <c r="CJ260" s="3" t="s">
        <v>838</v>
      </c>
      <c r="CK260" s="3" t="s">
        <v>838</v>
      </c>
      <c r="CL260" s="3" t="s">
        <v>838</v>
      </c>
      <c r="CM260" s="3" t="s">
        <v>838</v>
      </c>
      <c r="CN260" s="3" t="s">
        <v>838</v>
      </c>
      <c r="CO260" s="3"/>
      <c r="CP260" s="3"/>
      <c r="CQ260" s="3"/>
      <c r="CR260" s="3"/>
      <c r="CS260" s="3"/>
      <c r="CT260" s="3"/>
      <c r="CU260" s="3"/>
      <c r="CV260" s="3" t="s">
        <v>839</v>
      </c>
      <c r="CW260" s="3" t="s">
        <v>840</v>
      </c>
      <c r="CX260" s="3" t="s">
        <v>841</v>
      </c>
      <c r="CY260" s="3" t="s">
        <v>842</v>
      </c>
      <c r="CZ260" s="3" t="s">
        <v>843</v>
      </c>
    </row>
    <row r="261" customFormat="false" ht="15.75" hidden="false" customHeight="false" outlineLevel="0" collapsed="false">
      <c r="A261" s="309" t="s">
        <v>1837</v>
      </c>
      <c r="B261" s="309" t="s">
        <v>1838</v>
      </c>
      <c r="C261" s="309" t="s">
        <v>1839</v>
      </c>
      <c r="D261" s="309" t="s">
        <v>1840</v>
      </c>
      <c r="E261" s="309" t="s">
        <v>1841</v>
      </c>
      <c r="F261" s="318" t="b">
        <f aca="false">TRUE()</f>
        <v>1</v>
      </c>
      <c r="G261" s="309" t="s">
        <v>447</v>
      </c>
      <c r="H261" s="309" t="s">
        <v>1838</v>
      </c>
      <c r="I261" s="312" t="n">
        <v>-1</v>
      </c>
      <c r="J261" s="3"/>
      <c r="K261" s="309" t="s">
        <v>884</v>
      </c>
      <c r="L261" s="312" t="n">
        <v>5</v>
      </c>
      <c r="M261" s="309" t="s">
        <v>810</v>
      </c>
      <c r="N261" s="309" t="s">
        <v>743</v>
      </c>
      <c r="O261" s="309" t="s">
        <v>763</v>
      </c>
      <c r="P261" s="309" t="s">
        <v>745</v>
      </c>
      <c r="Q261" s="309" t="s">
        <v>746</v>
      </c>
      <c r="R261" s="318" t="b">
        <f aca="false">FALSE()</f>
        <v>0</v>
      </c>
      <c r="S261" s="312" t="n">
        <v>90</v>
      </c>
      <c r="T261" s="312" t="n">
        <v>100</v>
      </c>
      <c r="U261" s="312" t="n">
        <v>100</v>
      </c>
      <c r="V261" s="312" t="n">
        <v>80</v>
      </c>
      <c r="W261" s="312" t="n">
        <v>100</v>
      </c>
      <c r="X261" s="312" t="n">
        <v>100</v>
      </c>
      <c r="Y261" s="312" t="n">
        <v>0.2</v>
      </c>
      <c r="Z261" s="312" t="n">
        <v>0.7</v>
      </c>
      <c r="AA261" s="312" t="n">
        <v>10</v>
      </c>
      <c r="AB261" s="312" t="n">
        <v>3880</v>
      </c>
      <c r="AC261" s="309" t="s">
        <v>1253</v>
      </c>
      <c r="AD261" s="309" t="s">
        <v>182</v>
      </c>
      <c r="AE261" s="312" t="n">
        <v>110</v>
      </c>
      <c r="AF261" s="312" t="n">
        <v>210</v>
      </c>
      <c r="AG261" s="312" t="n">
        <v>700</v>
      </c>
      <c r="AH261" s="312" t="n">
        <v>1200</v>
      </c>
      <c r="AI261" s="312" t="n">
        <v>455</v>
      </c>
      <c r="AJ261" s="318" t="b">
        <f aca="false">TRUE()</f>
        <v>1</v>
      </c>
      <c r="AK261" s="318" t="b">
        <f aca="false">FALSE()</f>
        <v>0</v>
      </c>
      <c r="AL261" s="309" t="s">
        <v>1247</v>
      </c>
      <c r="AM261" s="318" t="b">
        <f aca="false">FALSE()</f>
        <v>0</v>
      </c>
      <c r="AN261" s="318" t="b">
        <f aca="false">FALSE()</f>
        <v>0</v>
      </c>
      <c r="AO261" s="312" t="n">
        <v>350</v>
      </c>
      <c r="AP261" s="312" t="n">
        <v>1</v>
      </c>
      <c r="AQ261" s="312" t="n">
        <v>5</v>
      </c>
      <c r="AR261" s="312" t="n">
        <v>25</v>
      </c>
      <c r="AS261" s="312" t="n">
        <v>90</v>
      </c>
      <c r="AT261" s="312" t="n">
        <v>1</v>
      </c>
      <c r="AU261" s="318" t="b">
        <f aca="false">FALSE()</f>
        <v>0</v>
      </c>
      <c r="AV261" s="318" t="b">
        <f aca="false">FALSE()</f>
        <v>0</v>
      </c>
      <c r="AW261" s="312" t="n">
        <v>9</v>
      </c>
      <c r="AX261" s="318" t="b">
        <f aca="false">TRUE()</f>
        <v>1</v>
      </c>
      <c r="AY261" s="318" t="b">
        <f aca="false">TRUE()</f>
        <v>1</v>
      </c>
      <c r="AZ261" s="312" t="n">
        <v>100</v>
      </c>
      <c r="BA261" s="312" t="n">
        <v>50</v>
      </c>
      <c r="BB261" s="312" t="n">
        <v>740</v>
      </c>
      <c r="BC261" s="312" t="n">
        <v>0</v>
      </c>
      <c r="BD261" s="312" t="n">
        <v>0</v>
      </c>
      <c r="BE261" s="312" t="n">
        <v>0</v>
      </c>
      <c r="BF261" s="312" t="n">
        <v>2</v>
      </c>
      <c r="BG261" s="312" t="n">
        <v>0</v>
      </c>
      <c r="BH261" s="312" t="n">
        <v>0</v>
      </c>
      <c r="BI261" s="312" t="n">
        <v>0</v>
      </c>
      <c r="BJ261" s="312" t="n">
        <v>0</v>
      </c>
      <c r="BK261" s="312" t="n">
        <v>0</v>
      </c>
      <c r="BL261" s="312" t="n">
        <v>0</v>
      </c>
      <c r="BM261" s="312" t="n">
        <v>0</v>
      </c>
      <c r="BN261" s="312" t="n">
        <v>0</v>
      </c>
      <c r="BO261" s="312" t="n">
        <v>0</v>
      </c>
      <c r="BP261" s="309" t="s">
        <v>182</v>
      </c>
      <c r="BQ261" s="309" t="s">
        <v>182</v>
      </c>
      <c r="BR261" s="309" t="s">
        <v>182</v>
      </c>
      <c r="BS261" s="309" t="s">
        <v>182</v>
      </c>
      <c r="BT261" s="312" t="n">
        <v>338</v>
      </c>
      <c r="BU261" s="318" t="b">
        <f aca="false">FALSE()</f>
        <v>0</v>
      </c>
      <c r="BV261" s="3" t="e">
        <f aca="false">xlookup(MID($A261,7,50),$A$2:$A$139,$BV$2:$BV$139,,0,1)</f>
        <v>#NAME?</v>
      </c>
      <c r="BW261" s="3"/>
      <c r="BX261" s="85" t="n">
        <v>26</v>
      </c>
      <c r="BY261" s="3" t="s">
        <v>1122</v>
      </c>
      <c r="BZ261" s="3" t="s">
        <v>775</v>
      </c>
      <c r="CA261" s="3"/>
      <c r="CB261" s="3"/>
      <c r="CC261" s="3"/>
      <c r="CD261" s="3"/>
      <c r="CE261" s="3"/>
      <c r="CF261" s="3"/>
      <c r="CG261" s="311" t="b">
        <f aca="false">TRUE()</f>
        <v>1</v>
      </c>
      <c r="CH261" s="3" t="s">
        <v>776</v>
      </c>
      <c r="CI261" s="3"/>
      <c r="CJ261" s="3"/>
      <c r="CK261" s="3"/>
      <c r="CL261" s="3"/>
      <c r="CM261" s="3"/>
      <c r="CN261" s="3"/>
      <c r="CO261" s="3"/>
      <c r="CP261" s="3"/>
      <c r="CQ261" s="3"/>
      <c r="CR261" s="3"/>
      <c r="CS261" s="3"/>
      <c r="CT261" s="3"/>
      <c r="CU261" s="3" t="s">
        <v>818</v>
      </c>
      <c r="CV261" s="3"/>
      <c r="CW261" s="3" t="s">
        <v>819</v>
      </c>
      <c r="CX261" s="3" t="s">
        <v>820</v>
      </c>
      <c r="CY261" s="3" t="s">
        <v>821</v>
      </c>
      <c r="CZ261" s="3" t="s">
        <v>822</v>
      </c>
    </row>
    <row r="262" customFormat="false" ht="15.75" hidden="false" customHeight="false" outlineLevel="0" collapsed="false">
      <c r="A262" s="309" t="s">
        <v>1842</v>
      </c>
      <c r="B262" s="309" t="s">
        <v>1843</v>
      </c>
      <c r="C262" s="309" t="s">
        <v>1844</v>
      </c>
      <c r="D262" s="309" t="s">
        <v>1845</v>
      </c>
      <c r="E262" s="309" t="s">
        <v>1846</v>
      </c>
      <c r="F262" s="318" t="b">
        <f aca="false">TRUE()</f>
        <v>1</v>
      </c>
      <c r="G262" s="309" t="s">
        <v>504</v>
      </c>
      <c r="H262" s="309" t="s">
        <v>1843</v>
      </c>
      <c r="I262" s="312" t="n">
        <v>-1</v>
      </c>
      <c r="J262" s="3"/>
      <c r="K262" s="309" t="s">
        <v>884</v>
      </c>
      <c r="L262" s="312" t="n">
        <v>9</v>
      </c>
      <c r="M262" s="309" t="s">
        <v>885</v>
      </c>
      <c r="N262" s="309" t="s">
        <v>810</v>
      </c>
      <c r="O262" s="309" t="s">
        <v>744</v>
      </c>
      <c r="P262" s="309" t="s">
        <v>745</v>
      </c>
      <c r="Q262" s="309" t="s">
        <v>746</v>
      </c>
      <c r="R262" s="318" t="b">
        <f aca="false">FALSE()</f>
        <v>0</v>
      </c>
      <c r="S262" s="312" t="n">
        <v>100</v>
      </c>
      <c r="T262" s="312" t="n">
        <v>100</v>
      </c>
      <c r="U262" s="312" t="n">
        <v>130</v>
      </c>
      <c r="V262" s="312" t="n">
        <v>100</v>
      </c>
      <c r="W262" s="312" t="n">
        <v>100</v>
      </c>
      <c r="X262" s="312" t="n">
        <v>100</v>
      </c>
      <c r="Y262" s="312" t="n">
        <v>0.2</v>
      </c>
      <c r="Z262" s="312" t="n">
        <v>0.7</v>
      </c>
      <c r="AA262" s="312" t="n">
        <v>10</v>
      </c>
      <c r="AB262" s="312" t="n">
        <v>8320</v>
      </c>
      <c r="AC262" s="309" t="s">
        <v>1253</v>
      </c>
      <c r="AD262" s="309" t="s">
        <v>182</v>
      </c>
      <c r="AE262" s="312" t="n">
        <v>100</v>
      </c>
      <c r="AF262" s="312" t="n">
        <v>185</v>
      </c>
      <c r="AG262" s="312" t="n">
        <v>900</v>
      </c>
      <c r="AH262" s="312" t="n">
        <v>1200</v>
      </c>
      <c r="AI262" s="312" t="n">
        <v>250</v>
      </c>
      <c r="AJ262" s="318" t="b">
        <f aca="false">TRUE()</f>
        <v>1</v>
      </c>
      <c r="AK262" s="318" t="b">
        <f aca="false">FALSE()</f>
        <v>0</v>
      </c>
      <c r="AL262" s="309" t="s">
        <v>1247</v>
      </c>
      <c r="AM262" s="318" t="b">
        <f aca="false">FALSE()</f>
        <v>0</v>
      </c>
      <c r="AN262" s="318" t="b">
        <f aca="false">FALSE()</f>
        <v>0</v>
      </c>
      <c r="AO262" s="312" t="n">
        <v>475</v>
      </c>
      <c r="AP262" s="312" t="n">
        <v>1</v>
      </c>
      <c r="AQ262" s="312" t="n">
        <v>7</v>
      </c>
      <c r="AR262" s="312" t="n">
        <v>25</v>
      </c>
      <c r="AS262" s="312" t="n">
        <v>90</v>
      </c>
      <c r="AT262" s="312" t="n">
        <v>1</v>
      </c>
      <c r="AU262" s="318" t="b">
        <f aca="false">FALSE()</f>
        <v>0</v>
      </c>
      <c r="AV262" s="318" t="b">
        <f aca="false">FALSE()</f>
        <v>0</v>
      </c>
      <c r="AW262" s="312" t="n">
        <v>9</v>
      </c>
      <c r="AX262" s="318" t="b">
        <f aca="false">TRUE()</f>
        <v>1</v>
      </c>
      <c r="AY262" s="318" t="b">
        <f aca="false">TRUE()</f>
        <v>1</v>
      </c>
      <c r="AZ262" s="312" t="n">
        <v>100</v>
      </c>
      <c r="BA262" s="312" t="n">
        <v>50</v>
      </c>
      <c r="BB262" s="312" t="n">
        <v>140</v>
      </c>
      <c r="BC262" s="312" t="n">
        <v>0</v>
      </c>
      <c r="BD262" s="312" t="n">
        <v>0</v>
      </c>
      <c r="BE262" s="312" t="n">
        <v>0</v>
      </c>
      <c r="BF262" s="312" t="n">
        <v>4</v>
      </c>
      <c r="BG262" s="312" t="n">
        <v>2</v>
      </c>
      <c r="BH262" s="312" t="n">
        <v>0</v>
      </c>
      <c r="BI262" s="312" t="n">
        <v>0</v>
      </c>
      <c r="BJ262" s="312" t="n">
        <v>0</v>
      </c>
      <c r="BK262" s="312" t="n">
        <v>0</v>
      </c>
      <c r="BL262" s="312" t="n">
        <v>0</v>
      </c>
      <c r="BM262" s="312" t="n">
        <v>0</v>
      </c>
      <c r="BN262" s="312" t="n">
        <v>3</v>
      </c>
      <c r="BO262" s="312" t="n">
        <v>0</v>
      </c>
      <c r="BP262" s="309" t="s">
        <v>1230</v>
      </c>
      <c r="BQ262" s="309" t="s">
        <v>182</v>
      </c>
      <c r="BR262" s="309" t="s">
        <v>182</v>
      </c>
      <c r="BS262" s="309" t="s">
        <v>182</v>
      </c>
      <c r="BT262" s="312" t="n">
        <v>339</v>
      </c>
      <c r="BU262" s="318" t="b">
        <f aca="false">TRUE()</f>
        <v>1</v>
      </c>
      <c r="BV262" s="3" t="e">
        <f aca="false">xlookup(MID($A262,7,50),$A$2:$A$139,$BV$2:$BV$139,,0,1)</f>
        <v>#NAME?</v>
      </c>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t="s">
        <v>1231</v>
      </c>
      <c r="CW262" s="3" t="s">
        <v>1232</v>
      </c>
      <c r="CX262" s="3" t="s">
        <v>1233</v>
      </c>
      <c r="CY262" s="3" t="s">
        <v>1234</v>
      </c>
      <c r="CZ262" s="3" t="s">
        <v>1235</v>
      </c>
    </row>
    <row r="263" customFormat="false" ht="15.75" hidden="false" customHeight="false" outlineLevel="0" collapsed="false">
      <c r="A263" s="309" t="s">
        <v>1847</v>
      </c>
      <c r="B263" s="309" t="s">
        <v>1848</v>
      </c>
      <c r="C263" s="309" t="s">
        <v>1849</v>
      </c>
      <c r="D263" s="309" t="s">
        <v>1850</v>
      </c>
      <c r="E263" s="309" t="s">
        <v>1851</v>
      </c>
      <c r="F263" s="318" t="b">
        <f aca="false">TRUE()</f>
        <v>1</v>
      </c>
      <c r="G263" s="309" t="s">
        <v>478</v>
      </c>
      <c r="H263" s="309" t="s">
        <v>1848</v>
      </c>
      <c r="I263" s="312" t="n">
        <v>-1</v>
      </c>
      <c r="J263" s="3"/>
      <c r="K263" s="309" t="s">
        <v>884</v>
      </c>
      <c r="L263" s="312" t="n">
        <v>8</v>
      </c>
      <c r="M263" s="309" t="s">
        <v>885</v>
      </c>
      <c r="N263" s="309" t="s">
        <v>814</v>
      </c>
      <c r="O263" s="309" t="s">
        <v>886</v>
      </c>
      <c r="P263" s="309" t="s">
        <v>745</v>
      </c>
      <c r="Q263" s="309" t="s">
        <v>746</v>
      </c>
      <c r="R263" s="318" t="b">
        <f aca="false">FALSE()</f>
        <v>0</v>
      </c>
      <c r="S263" s="312" t="n">
        <v>130</v>
      </c>
      <c r="T263" s="312" t="n">
        <v>150</v>
      </c>
      <c r="U263" s="312" t="n">
        <v>120</v>
      </c>
      <c r="V263" s="312" t="n">
        <v>100</v>
      </c>
      <c r="W263" s="312" t="n">
        <v>100</v>
      </c>
      <c r="X263" s="312" t="n">
        <v>100</v>
      </c>
      <c r="Y263" s="312" t="n">
        <v>0.2</v>
      </c>
      <c r="Z263" s="312" t="n">
        <v>0.7</v>
      </c>
      <c r="AA263" s="312" t="n">
        <v>10</v>
      </c>
      <c r="AB263" s="312" t="n">
        <v>9320</v>
      </c>
      <c r="AC263" s="309" t="s">
        <v>1253</v>
      </c>
      <c r="AD263" s="309" t="s">
        <v>182</v>
      </c>
      <c r="AE263" s="312" t="n">
        <v>100</v>
      </c>
      <c r="AF263" s="312" t="n">
        <v>175</v>
      </c>
      <c r="AG263" s="312" t="n">
        <v>525</v>
      </c>
      <c r="AH263" s="312" t="n">
        <v>800</v>
      </c>
      <c r="AI263" s="312" t="n">
        <v>350</v>
      </c>
      <c r="AJ263" s="318" t="b">
        <f aca="false">TRUE()</f>
        <v>1</v>
      </c>
      <c r="AK263" s="318" t="b">
        <f aca="false">FALSE()</f>
        <v>0</v>
      </c>
      <c r="AL263" s="309" t="s">
        <v>1247</v>
      </c>
      <c r="AM263" s="318" t="b">
        <f aca="false">FALSE()</f>
        <v>0</v>
      </c>
      <c r="AN263" s="318" t="b">
        <f aca="false">FALSE()</f>
        <v>0</v>
      </c>
      <c r="AO263" s="312" t="n">
        <v>475</v>
      </c>
      <c r="AP263" s="312" t="n">
        <v>1</v>
      </c>
      <c r="AQ263" s="312" t="n">
        <v>7</v>
      </c>
      <c r="AR263" s="312" t="n">
        <v>25</v>
      </c>
      <c r="AS263" s="312" t="n">
        <v>90</v>
      </c>
      <c r="AT263" s="312" t="n">
        <v>1</v>
      </c>
      <c r="AU263" s="318" t="b">
        <f aca="false">FALSE()</f>
        <v>0</v>
      </c>
      <c r="AV263" s="318" t="b">
        <f aca="false">FALSE()</f>
        <v>0</v>
      </c>
      <c r="AW263" s="312" t="n">
        <v>9</v>
      </c>
      <c r="AX263" s="318" t="b">
        <f aca="false">TRUE()</f>
        <v>1</v>
      </c>
      <c r="AY263" s="318" t="b">
        <f aca="false">TRUE()</f>
        <v>1</v>
      </c>
      <c r="AZ263" s="312" t="n">
        <v>100</v>
      </c>
      <c r="BA263" s="312" t="n">
        <v>50</v>
      </c>
      <c r="BB263" s="312" t="n">
        <v>310</v>
      </c>
      <c r="BC263" s="312" t="n">
        <v>0</v>
      </c>
      <c r="BD263" s="312" t="n">
        <v>4</v>
      </c>
      <c r="BE263" s="312" t="n">
        <v>0</v>
      </c>
      <c r="BF263" s="312" t="n">
        <v>0</v>
      </c>
      <c r="BG263" s="312" t="n">
        <v>0</v>
      </c>
      <c r="BH263" s="312" t="n">
        <v>0</v>
      </c>
      <c r="BI263" s="312" t="n">
        <v>0</v>
      </c>
      <c r="BJ263" s="312" t="n">
        <v>0</v>
      </c>
      <c r="BK263" s="312" t="n">
        <v>0</v>
      </c>
      <c r="BL263" s="312" t="n">
        <v>0</v>
      </c>
      <c r="BM263" s="312" t="n">
        <v>0</v>
      </c>
      <c r="BN263" s="312" t="n">
        <v>0</v>
      </c>
      <c r="BO263" s="312" t="n">
        <v>0</v>
      </c>
      <c r="BP263" s="309" t="s">
        <v>887</v>
      </c>
      <c r="BQ263" s="309" t="s">
        <v>182</v>
      </c>
      <c r="BR263" s="309" t="s">
        <v>182</v>
      </c>
      <c r="BS263" s="309" t="s">
        <v>182</v>
      </c>
      <c r="BT263" s="312" t="n">
        <v>340</v>
      </c>
      <c r="BU263" s="318" t="b">
        <f aca="false">FALSE()</f>
        <v>0</v>
      </c>
      <c r="BV263" s="3" t="e">
        <f aca="false">xlookup(MID($A263,7,50),$A$2:$A$139,$BV$2:$BV$139,,0,1)</f>
        <v>#NAME?</v>
      </c>
      <c r="BW263" s="3"/>
      <c r="BX263" s="85" t="n">
        <v>39</v>
      </c>
      <c r="BY263" s="3" t="s">
        <v>888</v>
      </c>
      <c r="BZ263" s="3" t="s">
        <v>775</v>
      </c>
      <c r="CA263" s="3"/>
      <c r="CB263" s="3"/>
      <c r="CC263" s="3"/>
      <c r="CD263" s="3"/>
      <c r="CE263" s="3"/>
      <c r="CF263" s="3"/>
      <c r="CG263" s="311" t="b">
        <f aca="false">TRUE()</f>
        <v>1</v>
      </c>
      <c r="CH263" s="3" t="s">
        <v>889</v>
      </c>
      <c r="CI263" s="3"/>
      <c r="CJ263" s="3"/>
      <c r="CK263" s="3"/>
      <c r="CL263" s="3"/>
      <c r="CM263" s="3"/>
      <c r="CN263" s="3"/>
      <c r="CO263" s="3"/>
      <c r="CP263" s="3"/>
      <c r="CQ263" s="3"/>
      <c r="CR263" s="3"/>
      <c r="CS263" s="3"/>
      <c r="CT263" s="3"/>
      <c r="CU263" s="3" t="s">
        <v>818</v>
      </c>
      <c r="CV263" s="3"/>
      <c r="CW263" s="3" t="s">
        <v>819</v>
      </c>
      <c r="CX263" s="3" t="s">
        <v>820</v>
      </c>
      <c r="CY263" s="3" t="s">
        <v>821</v>
      </c>
      <c r="CZ263" s="3" t="s">
        <v>822</v>
      </c>
    </row>
    <row r="264" customFormat="false" ht="15.75" hidden="false" customHeight="false" outlineLevel="0" collapsed="false">
      <c r="A264" s="309" t="s">
        <v>1852</v>
      </c>
      <c r="B264" s="309" t="s">
        <v>1853</v>
      </c>
      <c r="C264" s="309" t="s">
        <v>1854</v>
      </c>
      <c r="D264" s="309" t="s">
        <v>1855</v>
      </c>
      <c r="E264" s="309" t="s">
        <v>1856</v>
      </c>
      <c r="F264" s="318" t="b">
        <f aca="false">TRUE()</f>
        <v>1</v>
      </c>
      <c r="G264" s="309" t="s">
        <v>508</v>
      </c>
      <c r="H264" s="309" t="s">
        <v>1853</v>
      </c>
      <c r="I264" s="312" t="n">
        <v>-1</v>
      </c>
      <c r="J264" s="3"/>
      <c r="K264" s="309" t="s">
        <v>884</v>
      </c>
      <c r="L264" s="312" t="n">
        <v>9</v>
      </c>
      <c r="M264" s="309" t="s">
        <v>885</v>
      </c>
      <c r="N264" s="309" t="s">
        <v>757</v>
      </c>
      <c r="O264" s="309" t="s">
        <v>886</v>
      </c>
      <c r="P264" s="309" t="s">
        <v>745</v>
      </c>
      <c r="Q264" s="309" t="s">
        <v>746</v>
      </c>
      <c r="R264" s="318" t="b">
        <f aca="false">FALSE()</f>
        <v>0</v>
      </c>
      <c r="S264" s="312" t="n">
        <v>130</v>
      </c>
      <c r="T264" s="312" t="n">
        <v>150</v>
      </c>
      <c r="U264" s="312" t="n">
        <v>130</v>
      </c>
      <c r="V264" s="312" t="n">
        <v>100</v>
      </c>
      <c r="W264" s="312" t="n">
        <v>100</v>
      </c>
      <c r="X264" s="312" t="n">
        <v>100</v>
      </c>
      <c r="Y264" s="312" t="n">
        <v>0.2</v>
      </c>
      <c r="Z264" s="312" t="n">
        <v>0.7</v>
      </c>
      <c r="AA264" s="312" t="n">
        <v>10</v>
      </c>
      <c r="AB264" s="312" t="n">
        <v>9320</v>
      </c>
      <c r="AC264" s="309" t="s">
        <v>1253</v>
      </c>
      <c r="AD264" s="309" t="s">
        <v>182</v>
      </c>
      <c r="AE264" s="312" t="n">
        <v>100</v>
      </c>
      <c r="AF264" s="312" t="n">
        <v>175</v>
      </c>
      <c r="AG264" s="312" t="n">
        <v>525</v>
      </c>
      <c r="AH264" s="312" t="n">
        <v>800</v>
      </c>
      <c r="AI264" s="312" t="n">
        <v>350</v>
      </c>
      <c r="AJ264" s="318" t="b">
        <f aca="false">TRUE()</f>
        <v>1</v>
      </c>
      <c r="AK264" s="318" t="b">
        <f aca="false">FALSE()</f>
        <v>0</v>
      </c>
      <c r="AL264" s="309" t="s">
        <v>1247</v>
      </c>
      <c r="AM264" s="318" t="b">
        <f aca="false">FALSE()</f>
        <v>0</v>
      </c>
      <c r="AN264" s="318" t="b">
        <f aca="false">FALSE()</f>
        <v>0</v>
      </c>
      <c r="AO264" s="312" t="n">
        <v>475</v>
      </c>
      <c r="AP264" s="312" t="n">
        <v>1</v>
      </c>
      <c r="AQ264" s="312" t="n">
        <v>7</v>
      </c>
      <c r="AR264" s="312" t="n">
        <v>25</v>
      </c>
      <c r="AS264" s="312" t="n">
        <v>90</v>
      </c>
      <c r="AT264" s="312" t="n">
        <v>1</v>
      </c>
      <c r="AU264" s="318" t="b">
        <f aca="false">FALSE()</f>
        <v>0</v>
      </c>
      <c r="AV264" s="318" t="b">
        <f aca="false">FALSE()</f>
        <v>0</v>
      </c>
      <c r="AW264" s="312" t="n">
        <v>9</v>
      </c>
      <c r="AX264" s="318" t="b">
        <f aca="false">TRUE()</f>
        <v>1</v>
      </c>
      <c r="AY264" s="318" t="b">
        <f aca="false">TRUE()</f>
        <v>1</v>
      </c>
      <c r="AZ264" s="312" t="n">
        <v>100</v>
      </c>
      <c r="BA264" s="312" t="n">
        <v>50</v>
      </c>
      <c r="BB264" s="312" t="n">
        <v>315</v>
      </c>
      <c r="BC264" s="312" t="n">
        <v>4</v>
      </c>
      <c r="BD264" s="312" t="n">
        <v>0</v>
      </c>
      <c r="BE264" s="312" t="n">
        <v>0</v>
      </c>
      <c r="BF264" s="312" t="n">
        <v>0</v>
      </c>
      <c r="BG264" s="312" t="n">
        <v>0</v>
      </c>
      <c r="BH264" s="312" t="n">
        <v>0</v>
      </c>
      <c r="BI264" s="312" t="n">
        <v>0</v>
      </c>
      <c r="BJ264" s="312" t="n">
        <v>0</v>
      </c>
      <c r="BK264" s="312" t="n">
        <v>0</v>
      </c>
      <c r="BL264" s="312" t="n">
        <v>0</v>
      </c>
      <c r="BM264" s="312" t="n">
        <v>0</v>
      </c>
      <c r="BN264" s="312" t="n">
        <v>0</v>
      </c>
      <c r="BO264" s="312" t="n">
        <v>0</v>
      </c>
      <c r="BP264" s="309" t="s">
        <v>182</v>
      </c>
      <c r="BQ264" s="309" t="s">
        <v>182</v>
      </c>
      <c r="BR264" s="309" t="s">
        <v>182</v>
      </c>
      <c r="BS264" s="309" t="s">
        <v>182</v>
      </c>
      <c r="BT264" s="312" t="n">
        <v>341</v>
      </c>
      <c r="BU264" s="318" t="b">
        <f aca="false">TRUE()</f>
        <v>1</v>
      </c>
      <c r="BV264" s="3" t="e">
        <f aca="false">xlookup(MID($A264,7,50),$A$2:$A$139,$BV$2:$BV$139,,0,1)</f>
        <v>#NAME?</v>
      </c>
      <c r="BW264" s="3"/>
      <c r="BX264" s="85" t="n">
        <v>43</v>
      </c>
      <c r="BY264" s="3" t="s">
        <v>890</v>
      </c>
      <c r="BZ264" s="3" t="s">
        <v>775</v>
      </c>
      <c r="CA264" s="3"/>
      <c r="CB264" s="3"/>
      <c r="CC264" s="3"/>
      <c r="CD264" s="3"/>
      <c r="CE264" s="3"/>
      <c r="CF264" s="3"/>
      <c r="CG264" s="311" t="b">
        <f aca="false">TRUE()</f>
        <v>1</v>
      </c>
      <c r="CH264" s="3" t="s">
        <v>889</v>
      </c>
      <c r="CI264" s="3"/>
      <c r="CJ264" s="3"/>
      <c r="CK264" s="3"/>
      <c r="CL264" s="3"/>
      <c r="CM264" s="3"/>
      <c r="CN264" s="3"/>
      <c r="CO264" s="3"/>
      <c r="CP264" s="3"/>
      <c r="CQ264" s="3"/>
      <c r="CR264" s="3"/>
      <c r="CS264" s="3"/>
      <c r="CT264" s="3"/>
      <c r="CU264" s="3"/>
      <c r="CV264" s="3" t="s">
        <v>891</v>
      </c>
      <c r="CW264" s="3" t="s">
        <v>892</v>
      </c>
      <c r="CX264" s="3" t="s">
        <v>893</v>
      </c>
      <c r="CY264" s="3" t="s">
        <v>894</v>
      </c>
      <c r="CZ264" s="3" t="s">
        <v>895</v>
      </c>
    </row>
    <row r="265" customFormat="false" ht="15.75" hidden="false" customHeight="false" outlineLevel="0" collapsed="false">
      <c r="A265" s="309" t="s">
        <v>1857</v>
      </c>
      <c r="B265" s="309" t="s">
        <v>1858</v>
      </c>
      <c r="C265" s="309" t="s">
        <v>1859</v>
      </c>
      <c r="D265" s="309" t="s">
        <v>1860</v>
      </c>
      <c r="E265" s="309" t="s">
        <v>1861</v>
      </c>
      <c r="F265" s="318" t="b">
        <f aca="false">TRUE()</f>
        <v>1</v>
      </c>
      <c r="G265" s="309" t="s">
        <v>1087</v>
      </c>
      <c r="H265" s="309" t="s">
        <v>1858</v>
      </c>
      <c r="I265" s="312" t="n">
        <v>-1</v>
      </c>
      <c r="J265" s="3"/>
      <c r="K265" s="309" t="s">
        <v>884</v>
      </c>
      <c r="L265" s="312" t="n">
        <v>8</v>
      </c>
      <c r="M265" s="309" t="s">
        <v>783</v>
      </c>
      <c r="N265" s="309" t="s">
        <v>743</v>
      </c>
      <c r="O265" s="309" t="s">
        <v>744</v>
      </c>
      <c r="P265" s="309" t="s">
        <v>745</v>
      </c>
      <c r="Q265" s="309" t="s">
        <v>746</v>
      </c>
      <c r="R265" s="318" t="b">
        <f aca="false">FALSE()</f>
        <v>0</v>
      </c>
      <c r="S265" s="312" t="n">
        <v>100</v>
      </c>
      <c r="T265" s="312" t="n">
        <v>100</v>
      </c>
      <c r="U265" s="312" t="n">
        <v>100</v>
      </c>
      <c r="V265" s="312" t="n">
        <v>120</v>
      </c>
      <c r="W265" s="312" t="n">
        <v>100</v>
      </c>
      <c r="X265" s="312" t="n">
        <v>100</v>
      </c>
      <c r="Y265" s="312" t="n">
        <v>0.2</v>
      </c>
      <c r="Z265" s="312" t="n">
        <v>0.7</v>
      </c>
      <c r="AA265" s="312" t="n">
        <v>10</v>
      </c>
      <c r="AB265" s="312" t="n">
        <v>1960</v>
      </c>
      <c r="AC265" s="309" t="s">
        <v>836</v>
      </c>
      <c r="AD265" s="309" t="s">
        <v>182</v>
      </c>
      <c r="AE265" s="312" t="n">
        <v>100</v>
      </c>
      <c r="AF265" s="312" t="n">
        <v>150</v>
      </c>
      <c r="AG265" s="312" t="n">
        <v>400</v>
      </c>
      <c r="AH265" s="312" t="n">
        <v>550</v>
      </c>
      <c r="AI265" s="312" t="n">
        <v>275</v>
      </c>
      <c r="AJ265" s="318" t="b">
        <f aca="false">TRUE()</f>
        <v>1</v>
      </c>
      <c r="AK265" s="318" t="b">
        <f aca="false">FALSE()</f>
        <v>0</v>
      </c>
      <c r="AL265" s="309" t="s">
        <v>1247</v>
      </c>
      <c r="AM265" s="318" t="b">
        <f aca="false">FALSE()</f>
        <v>0</v>
      </c>
      <c r="AN265" s="318" t="b">
        <f aca="false">FALSE()</f>
        <v>0</v>
      </c>
      <c r="AO265" s="312" t="n">
        <v>225</v>
      </c>
      <c r="AP265" s="312" t="n">
        <v>1</v>
      </c>
      <c r="AQ265" s="312" t="n">
        <v>3</v>
      </c>
      <c r="AR265" s="312" t="n">
        <v>25</v>
      </c>
      <c r="AS265" s="312" t="n">
        <v>90</v>
      </c>
      <c r="AT265" s="312" t="n">
        <v>1</v>
      </c>
      <c r="AU265" s="318" t="b">
        <f aca="false">FALSE()</f>
        <v>0</v>
      </c>
      <c r="AV265" s="318" t="b">
        <f aca="false">FALSE()</f>
        <v>0</v>
      </c>
      <c r="AW265" s="312" t="n">
        <v>9</v>
      </c>
      <c r="AX265" s="318" t="b">
        <f aca="false">FALSE()</f>
        <v>0</v>
      </c>
      <c r="AY265" s="318" t="b">
        <f aca="false">TRUE()</f>
        <v>1</v>
      </c>
      <c r="AZ265" s="312" t="n">
        <v>100</v>
      </c>
      <c r="BA265" s="312" t="n">
        <v>50</v>
      </c>
      <c r="BB265" s="312" t="n">
        <v>1050</v>
      </c>
      <c r="BC265" s="312" t="n">
        <v>0</v>
      </c>
      <c r="BD265" s="312" t="n">
        <v>0</v>
      </c>
      <c r="BE265" s="312" t="n">
        <v>2</v>
      </c>
      <c r="BF265" s="312" t="n">
        <v>0</v>
      </c>
      <c r="BG265" s="312" t="n">
        <v>2</v>
      </c>
      <c r="BH265" s="312" t="n">
        <v>2</v>
      </c>
      <c r="BI265" s="312" t="n">
        <v>0</v>
      </c>
      <c r="BJ265" s="312" t="n">
        <v>0</v>
      </c>
      <c r="BK265" s="312" t="n">
        <v>0</v>
      </c>
      <c r="BL265" s="312" t="n">
        <v>3</v>
      </c>
      <c r="BM265" s="312" t="n">
        <v>0</v>
      </c>
      <c r="BN265" s="312" t="n">
        <v>1</v>
      </c>
      <c r="BO265" s="312" t="n">
        <v>0</v>
      </c>
      <c r="BP265" s="309" t="s">
        <v>182</v>
      </c>
      <c r="BQ265" s="309" t="s">
        <v>182</v>
      </c>
      <c r="BR265" s="309" t="s">
        <v>182</v>
      </c>
      <c r="BS265" s="309" t="s">
        <v>182</v>
      </c>
      <c r="BT265" s="312" t="n">
        <v>342</v>
      </c>
      <c r="BU265" s="318" t="b">
        <f aca="false">FALSE()</f>
        <v>0</v>
      </c>
      <c r="BV265" s="3" t="e">
        <f aca="false">xlookup(MID($A265,7,50),$A$2:$A$139,$BV$2:$BV$139,,0,1)</f>
        <v>#NAME?</v>
      </c>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t="s">
        <v>1088</v>
      </c>
      <c r="CW265" s="3" t="s">
        <v>1089</v>
      </c>
      <c r="CX265" s="3" t="s">
        <v>1090</v>
      </c>
      <c r="CY265" s="3" t="s">
        <v>1091</v>
      </c>
      <c r="CZ265" s="3" t="s">
        <v>1092</v>
      </c>
    </row>
    <row r="266" customFormat="false" ht="15.75" hidden="false" customHeight="false" outlineLevel="0" collapsed="false">
      <c r="A266" s="309" t="s">
        <v>1862</v>
      </c>
      <c r="B266" s="309" t="s">
        <v>1863</v>
      </c>
      <c r="C266" s="309" t="s">
        <v>1864</v>
      </c>
      <c r="D266" s="309" t="s">
        <v>1865</v>
      </c>
      <c r="E266" s="309" t="s">
        <v>1866</v>
      </c>
      <c r="F266" s="318" t="b">
        <f aca="false">TRUE()</f>
        <v>1</v>
      </c>
      <c r="G266" s="309" t="s">
        <v>480</v>
      </c>
      <c r="H266" s="309" t="s">
        <v>1863</v>
      </c>
      <c r="I266" s="312" t="n">
        <v>-1</v>
      </c>
      <c r="J266" s="3"/>
      <c r="K266" s="309" t="s">
        <v>884</v>
      </c>
      <c r="L266" s="312" t="n">
        <v>0</v>
      </c>
      <c r="M266" s="309" t="s">
        <v>757</v>
      </c>
      <c r="N266" s="309" t="s">
        <v>742</v>
      </c>
      <c r="O266" s="309" t="s">
        <v>763</v>
      </c>
      <c r="P266" s="309" t="s">
        <v>745</v>
      </c>
      <c r="Q266" s="309" t="s">
        <v>746</v>
      </c>
      <c r="R266" s="318" t="b">
        <f aca="false">FALSE()</f>
        <v>0</v>
      </c>
      <c r="S266" s="312" t="n">
        <v>110</v>
      </c>
      <c r="T266" s="312" t="n">
        <v>100</v>
      </c>
      <c r="U266" s="312" t="n">
        <v>105</v>
      </c>
      <c r="V266" s="312" t="n">
        <v>120</v>
      </c>
      <c r="W266" s="312" t="n">
        <v>100</v>
      </c>
      <c r="X266" s="312" t="n">
        <v>100</v>
      </c>
      <c r="Y266" s="312" t="n">
        <v>0.2</v>
      </c>
      <c r="Z266" s="312" t="n">
        <v>0.7</v>
      </c>
      <c r="AA266" s="312" t="n">
        <v>10</v>
      </c>
      <c r="AB266" s="312" t="n">
        <v>6940</v>
      </c>
      <c r="AC266" s="309" t="s">
        <v>1253</v>
      </c>
      <c r="AD266" s="309" t="s">
        <v>182</v>
      </c>
      <c r="AE266" s="312" t="n">
        <v>50</v>
      </c>
      <c r="AF266" s="312" t="n">
        <v>80</v>
      </c>
      <c r="AG266" s="312" t="n">
        <v>390</v>
      </c>
      <c r="AH266" s="312" t="n">
        <v>650</v>
      </c>
      <c r="AI266" s="312" t="n">
        <v>235</v>
      </c>
      <c r="AJ266" s="318" t="b">
        <f aca="false">TRUE()</f>
        <v>1</v>
      </c>
      <c r="AK266" s="318" t="b">
        <f aca="false">FALSE()</f>
        <v>0</v>
      </c>
      <c r="AL266" s="309" t="s">
        <v>1247</v>
      </c>
      <c r="AM266" s="318" t="b">
        <f aca="false">FALSE()</f>
        <v>0</v>
      </c>
      <c r="AN266" s="318" t="b">
        <f aca="false">FALSE()</f>
        <v>0</v>
      </c>
      <c r="AO266" s="312" t="n">
        <v>350</v>
      </c>
      <c r="AP266" s="312" t="n">
        <v>1</v>
      </c>
      <c r="AQ266" s="312" t="n">
        <v>5</v>
      </c>
      <c r="AR266" s="312" t="n">
        <v>25</v>
      </c>
      <c r="AS266" s="312" t="n">
        <v>90</v>
      </c>
      <c r="AT266" s="312" t="n">
        <v>1</v>
      </c>
      <c r="AU266" s="318" t="b">
        <f aca="false">FALSE()</f>
        <v>0</v>
      </c>
      <c r="AV266" s="318" t="b">
        <f aca="false">FALSE()</f>
        <v>0</v>
      </c>
      <c r="AW266" s="312" t="n">
        <v>9</v>
      </c>
      <c r="AX266" s="318" t="b">
        <f aca="false">TRUE()</f>
        <v>1</v>
      </c>
      <c r="AY266" s="318" t="b">
        <f aca="false">TRUE()</f>
        <v>1</v>
      </c>
      <c r="AZ266" s="312" t="n">
        <v>100</v>
      </c>
      <c r="BA266" s="312" t="n">
        <v>50</v>
      </c>
      <c r="BB266" s="312" t="n">
        <v>320</v>
      </c>
      <c r="BC266" s="312" t="n">
        <v>3</v>
      </c>
      <c r="BD266" s="312" t="n">
        <v>0</v>
      </c>
      <c r="BE266" s="312" t="n">
        <v>0</v>
      </c>
      <c r="BF266" s="312" t="n">
        <v>0</v>
      </c>
      <c r="BG266" s="312" t="n">
        <v>0</v>
      </c>
      <c r="BH266" s="312" t="n">
        <v>0</v>
      </c>
      <c r="BI266" s="312" t="n">
        <v>0</v>
      </c>
      <c r="BJ266" s="312" t="n">
        <v>3</v>
      </c>
      <c r="BK266" s="312" t="n">
        <v>0</v>
      </c>
      <c r="BL266" s="312" t="n">
        <v>0</v>
      </c>
      <c r="BM266" s="312" t="n">
        <v>0</v>
      </c>
      <c r="BN266" s="312" t="n">
        <v>0</v>
      </c>
      <c r="BO266" s="312" t="n">
        <v>0</v>
      </c>
      <c r="BP266" s="309" t="s">
        <v>182</v>
      </c>
      <c r="BQ266" s="309" t="s">
        <v>182</v>
      </c>
      <c r="BR266" s="309" t="s">
        <v>182</v>
      </c>
      <c r="BS266" s="309" t="s">
        <v>182</v>
      </c>
      <c r="BT266" s="312" t="n">
        <v>343</v>
      </c>
      <c r="BU266" s="318" t="b">
        <f aca="false">FALSE()</f>
        <v>0</v>
      </c>
      <c r="BV266" s="3" t="e">
        <f aca="false">xlookup(MID($A266,7,50),$A$2:$A$139,$BV$2:$BV$139,,0,1)</f>
        <v>#NAME?</v>
      </c>
      <c r="BW266" s="3"/>
      <c r="BX266" s="85" t="n">
        <v>31</v>
      </c>
      <c r="BY266" s="3" t="s">
        <v>961</v>
      </c>
      <c r="BZ266" s="3" t="s">
        <v>775</v>
      </c>
      <c r="CA266" s="3"/>
      <c r="CB266" s="3"/>
      <c r="CC266" s="3"/>
      <c r="CD266" s="3"/>
      <c r="CE266" s="3"/>
      <c r="CF266" s="3"/>
      <c r="CG266" s="311" t="b">
        <f aca="false">TRUE()</f>
        <v>1</v>
      </c>
      <c r="CH266" s="3" t="s">
        <v>776</v>
      </c>
      <c r="CI266" s="3"/>
      <c r="CJ266" s="3"/>
      <c r="CK266" s="3"/>
      <c r="CL266" s="3"/>
      <c r="CM266" s="3"/>
      <c r="CN266" s="3"/>
      <c r="CO266" s="3"/>
      <c r="CP266" s="3"/>
      <c r="CQ266" s="3"/>
      <c r="CR266" s="3"/>
      <c r="CS266" s="3"/>
      <c r="CT266" s="3"/>
      <c r="CU266" s="3" t="s">
        <v>750</v>
      </c>
      <c r="CV266" s="3" t="s">
        <v>777</v>
      </c>
      <c r="CW266" s="3" t="s">
        <v>778</v>
      </c>
      <c r="CX266" s="3" t="s">
        <v>779</v>
      </c>
      <c r="CY266" s="3" t="s">
        <v>780</v>
      </c>
      <c r="CZ266" s="3" t="s">
        <v>781</v>
      </c>
    </row>
    <row r="267" customFormat="false" ht="15.75" hidden="false" customHeight="false" outlineLevel="0" collapsed="false">
      <c r="A267" s="309" t="s">
        <v>1867</v>
      </c>
      <c r="B267" s="309" t="s">
        <v>1868</v>
      </c>
      <c r="C267" s="309" t="s">
        <v>1869</v>
      </c>
      <c r="D267" s="309" t="s">
        <v>1870</v>
      </c>
      <c r="E267" s="309" t="s">
        <v>1871</v>
      </c>
      <c r="F267" s="318" t="b">
        <f aca="false">TRUE()</f>
        <v>1</v>
      </c>
      <c r="G267" s="309" t="s">
        <v>552</v>
      </c>
      <c r="H267" s="309" t="s">
        <v>1868</v>
      </c>
      <c r="I267" s="312" t="n">
        <v>-1</v>
      </c>
      <c r="J267" s="3"/>
      <c r="K267" s="309" t="s">
        <v>884</v>
      </c>
      <c r="L267" s="312" t="n">
        <v>7</v>
      </c>
      <c r="M267" s="309" t="s">
        <v>771</v>
      </c>
      <c r="N267" s="309" t="s">
        <v>742</v>
      </c>
      <c r="O267" s="309" t="s">
        <v>763</v>
      </c>
      <c r="P267" s="309" t="s">
        <v>745</v>
      </c>
      <c r="Q267" s="309" t="s">
        <v>746</v>
      </c>
      <c r="R267" s="318" t="b">
        <f aca="false">FALSE()</f>
        <v>0</v>
      </c>
      <c r="S267" s="312" t="n">
        <v>110</v>
      </c>
      <c r="T267" s="312" t="n">
        <v>100</v>
      </c>
      <c r="U267" s="312" t="n">
        <v>105</v>
      </c>
      <c r="V267" s="312" t="n">
        <v>130</v>
      </c>
      <c r="W267" s="312" t="n">
        <v>100</v>
      </c>
      <c r="X267" s="312" t="n">
        <v>100</v>
      </c>
      <c r="Y267" s="312" t="n">
        <v>0.2</v>
      </c>
      <c r="Z267" s="312" t="n">
        <v>0.7</v>
      </c>
      <c r="AA267" s="312" t="n">
        <v>10</v>
      </c>
      <c r="AB267" s="312" t="n">
        <v>7380</v>
      </c>
      <c r="AC267" s="309" t="s">
        <v>1253</v>
      </c>
      <c r="AD267" s="309" t="s">
        <v>182</v>
      </c>
      <c r="AE267" s="312" t="n">
        <v>50</v>
      </c>
      <c r="AF267" s="312" t="n">
        <v>80</v>
      </c>
      <c r="AG267" s="312" t="n">
        <v>390</v>
      </c>
      <c r="AH267" s="312" t="n">
        <v>650</v>
      </c>
      <c r="AI267" s="312" t="n">
        <v>235</v>
      </c>
      <c r="AJ267" s="318" t="b">
        <f aca="false">TRUE()</f>
        <v>1</v>
      </c>
      <c r="AK267" s="318" t="b">
        <f aca="false">FALSE()</f>
        <v>0</v>
      </c>
      <c r="AL267" s="309" t="s">
        <v>1247</v>
      </c>
      <c r="AM267" s="318" t="b">
        <f aca="false">FALSE()</f>
        <v>0</v>
      </c>
      <c r="AN267" s="318" t="b">
        <f aca="false">FALSE()</f>
        <v>0</v>
      </c>
      <c r="AO267" s="312" t="n">
        <v>350</v>
      </c>
      <c r="AP267" s="312" t="n">
        <v>1</v>
      </c>
      <c r="AQ267" s="312" t="n">
        <v>5</v>
      </c>
      <c r="AR267" s="312" t="n">
        <v>25</v>
      </c>
      <c r="AS267" s="312" t="n">
        <v>90</v>
      </c>
      <c r="AT267" s="312" t="n">
        <v>1</v>
      </c>
      <c r="AU267" s="318" t="b">
        <f aca="false">FALSE()</f>
        <v>0</v>
      </c>
      <c r="AV267" s="318" t="b">
        <f aca="false">FALSE()</f>
        <v>0</v>
      </c>
      <c r="AW267" s="312" t="n">
        <v>9</v>
      </c>
      <c r="AX267" s="318" t="b">
        <f aca="false">TRUE()</f>
        <v>1</v>
      </c>
      <c r="AY267" s="318" t="b">
        <f aca="false">TRUE()</f>
        <v>1</v>
      </c>
      <c r="AZ267" s="312" t="n">
        <v>100</v>
      </c>
      <c r="BA267" s="312" t="n">
        <v>50</v>
      </c>
      <c r="BB267" s="312" t="n">
        <v>230</v>
      </c>
      <c r="BC267" s="312" t="n">
        <v>0</v>
      </c>
      <c r="BD267" s="312" t="n">
        <v>0</v>
      </c>
      <c r="BE267" s="312" t="n">
        <v>0</v>
      </c>
      <c r="BF267" s="312" t="n">
        <v>0</v>
      </c>
      <c r="BG267" s="312" t="n">
        <v>0</v>
      </c>
      <c r="BH267" s="312" t="n">
        <v>0</v>
      </c>
      <c r="BI267" s="312" t="n">
        <v>0</v>
      </c>
      <c r="BJ267" s="312" t="n">
        <v>3</v>
      </c>
      <c r="BK267" s="312" t="n">
        <v>0</v>
      </c>
      <c r="BL267" s="312" t="n">
        <v>0</v>
      </c>
      <c r="BM267" s="312" t="n">
        <v>3</v>
      </c>
      <c r="BN267" s="312" t="n">
        <v>0</v>
      </c>
      <c r="BO267" s="312" t="n">
        <v>0</v>
      </c>
      <c r="BP267" s="309" t="s">
        <v>182</v>
      </c>
      <c r="BQ267" s="309" t="s">
        <v>182</v>
      </c>
      <c r="BR267" s="309" t="s">
        <v>182</v>
      </c>
      <c r="BS267" s="309" t="s">
        <v>182</v>
      </c>
      <c r="BT267" s="312" t="n">
        <v>344</v>
      </c>
      <c r="BU267" s="318" t="b">
        <f aca="false">TRUE()</f>
        <v>1</v>
      </c>
      <c r="BV267" s="3" t="e">
        <f aca="false">xlookup(MID($A267,7,50),$A$2:$A$139,$BV$2:$BV$139,,0,1)</f>
        <v>#NAME?</v>
      </c>
      <c r="BW267" s="3"/>
      <c r="BX267" s="85" t="n">
        <v>37</v>
      </c>
      <c r="BY267" s="3" t="s">
        <v>962</v>
      </c>
      <c r="BZ267" s="3" t="s">
        <v>775</v>
      </c>
      <c r="CA267" s="3"/>
      <c r="CB267" s="3"/>
      <c r="CC267" s="3"/>
      <c r="CD267" s="3"/>
      <c r="CE267" s="3"/>
      <c r="CF267" s="3"/>
      <c r="CG267" s="311" t="b">
        <f aca="false">TRUE()</f>
        <v>1</v>
      </c>
      <c r="CH267" s="3" t="s">
        <v>776</v>
      </c>
      <c r="CI267" s="3"/>
      <c r="CJ267" s="3"/>
      <c r="CK267" s="3"/>
      <c r="CL267" s="3"/>
      <c r="CM267" s="3"/>
      <c r="CN267" s="3"/>
      <c r="CO267" s="3"/>
      <c r="CP267" s="3"/>
      <c r="CQ267" s="3"/>
      <c r="CR267" s="3"/>
      <c r="CS267" s="3"/>
      <c r="CT267" s="3"/>
      <c r="CU267" s="3" t="s">
        <v>750</v>
      </c>
      <c r="CV267" s="3" t="s">
        <v>777</v>
      </c>
      <c r="CW267" s="3" t="s">
        <v>778</v>
      </c>
      <c r="CX267" s="3" t="s">
        <v>779</v>
      </c>
      <c r="CY267" s="3" t="s">
        <v>780</v>
      </c>
      <c r="CZ267" s="3" t="s">
        <v>781</v>
      </c>
    </row>
    <row r="268" customFormat="false" ht="15.75" hidden="false" customHeight="false" outlineLevel="0" collapsed="false">
      <c r="A268" s="309" t="s">
        <v>1872</v>
      </c>
      <c r="B268" s="309" t="s">
        <v>1873</v>
      </c>
      <c r="C268" s="309" t="s">
        <v>1874</v>
      </c>
      <c r="D268" s="309" t="s">
        <v>1875</v>
      </c>
      <c r="E268" s="309" t="s">
        <v>1876</v>
      </c>
      <c r="F268" s="318" t="b">
        <f aca="false">TRUE()</f>
        <v>1</v>
      </c>
      <c r="G268" s="309" t="s">
        <v>1194</v>
      </c>
      <c r="H268" s="309" t="s">
        <v>1873</v>
      </c>
      <c r="I268" s="312" t="n">
        <v>-1</v>
      </c>
      <c r="J268" s="3"/>
      <c r="K268" s="309" t="s">
        <v>884</v>
      </c>
      <c r="L268" s="312" t="n">
        <v>4</v>
      </c>
      <c r="M268" s="309" t="s">
        <v>771</v>
      </c>
      <c r="N268" s="309" t="s">
        <v>885</v>
      </c>
      <c r="O268" s="309" t="s">
        <v>763</v>
      </c>
      <c r="P268" s="309" t="s">
        <v>745</v>
      </c>
      <c r="Q268" s="309" t="s">
        <v>746</v>
      </c>
      <c r="R268" s="318" t="b">
        <f aca="false">FALSE()</f>
        <v>0</v>
      </c>
      <c r="S268" s="312" t="n">
        <v>90</v>
      </c>
      <c r="T268" s="312" t="n">
        <v>100</v>
      </c>
      <c r="U268" s="312" t="n">
        <v>80</v>
      </c>
      <c r="V268" s="312" t="n">
        <v>80</v>
      </c>
      <c r="W268" s="312" t="n">
        <v>100</v>
      </c>
      <c r="X268" s="312" t="n">
        <v>100</v>
      </c>
      <c r="Y268" s="312" t="n">
        <v>0.4</v>
      </c>
      <c r="Z268" s="312" t="n">
        <v>0.7</v>
      </c>
      <c r="AA268" s="312" t="n">
        <v>10</v>
      </c>
      <c r="AB268" s="312" t="n">
        <v>3310</v>
      </c>
      <c r="AC268" s="309" t="s">
        <v>836</v>
      </c>
      <c r="AD268" s="309" t="s">
        <v>182</v>
      </c>
      <c r="AE268" s="312" t="n">
        <v>100</v>
      </c>
      <c r="AF268" s="312" t="n">
        <v>180</v>
      </c>
      <c r="AG268" s="312" t="n">
        <v>600</v>
      </c>
      <c r="AH268" s="312" t="n">
        <v>900</v>
      </c>
      <c r="AI268" s="312" t="n">
        <v>390</v>
      </c>
      <c r="AJ268" s="318" t="b">
        <f aca="false">TRUE()</f>
        <v>1</v>
      </c>
      <c r="AK268" s="318" t="b">
        <f aca="false">FALSE()</f>
        <v>0</v>
      </c>
      <c r="AL268" s="309" t="s">
        <v>1247</v>
      </c>
      <c r="AM268" s="318" t="b">
        <f aca="false">FALSE()</f>
        <v>0</v>
      </c>
      <c r="AN268" s="318" t="b">
        <f aca="false">FALSE()</f>
        <v>0</v>
      </c>
      <c r="AO268" s="312" t="n">
        <v>225</v>
      </c>
      <c r="AP268" s="312" t="n">
        <v>1</v>
      </c>
      <c r="AQ268" s="312" t="n">
        <v>3</v>
      </c>
      <c r="AR268" s="312" t="n">
        <v>25</v>
      </c>
      <c r="AS268" s="312" t="n">
        <v>90</v>
      </c>
      <c r="AT268" s="312" t="n">
        <v>1</v>
      </c>
      <c r="AU268" s="318" t="b">
        <f aca="false">FALSE()</f>
        <v>0</v>
      </c>
      <c r="AV268" s="318" t="b">
        <f aca="false">FALSE()</f>
        <v>0</v>
      </c>
      <c r="AW268" s="312" t="n">
        <v>9</v>
      </c>
      <c r="AX268" s="318" t="b">
        <f aca="false">FALSE()</f>
        <v>0</v>
      </c>
      <c r="AY268" s="318" t="b">
        <f aca="false">TRUE()</f>
        <v>1</v>
      </c>
      <c r="AZ268" s="312" t="n">
        <v>100</v>
      </c>
      <c r="BA268" s="312" t="n">
        <v>50</v>
      </c>
      <c r="BB268" s="312" t="n">
        <v>800</v>
      </c>
      <c r="BC268" s="312" t="n">
        <v>0</v>
      </c>
      <c r="BD268" s="312" t="n">
        <v>0</v>
      </c>
      <c r="BE268" s="312" t="n">
        <v>0</v>
      </c>
      <c r="BF268" s="312" t="n">
        <v>0</v>
      </c>
      <c r="BG268" s="312" t="n">
        <v>0</v>
      </c>
      <c r="BH268" s="312" t="n">
        <v>1</v>
      </c>
      <c r="BI268" s="312" t="n">
        <v>0</v>
      </c>
      <c r="BJ268" s="312" t="n">
        <v>0</v>
      </c>
      <c r="BK268" s="312" t="n">
        <v>0</v>
      </c>
      <c r="BL268" s="312" t="n">
        <v>0</v>
      </c>
      <c r="BM268" s="312" t="n">
        <v>1</v>
      </c>
      <c r="BN268" s="312" t="n">
        <v>0</v>
      </c>
      <c r="BO268" s="312" t="n">
        <v>0</v>
      </c>
      <c r="BP268" s="309" t="s">
        <v>182</v>
      </c>
      <c r="BQ268" s="309" t="s">
        <v>182</v>
      </c>
      <c r="BR268" s="309" t="s">
        <v>182</v>
      </c>
      <c r="BS268" s="309" t="s">
        <v>182</v>
      </c>
      <c r="BT268" s="312" t="n">
        <v>346</v>
      </c>
      <c r="BU268" s="318" t="b">
        <f aca="false">FALSE()</f>
        <v>0</v>
      </c>
      <c r="BV268" s="3" t="e">
        <f aca="false">xlookup(MID($A268,7,50),$A$2:$A$139,$BV$2:$BV$139,,0,1)</f>
        <v>#NAME?</v>
      </c>
      <c r="BW268" s="3"/>
      <c r="BX268" s="85" t="n">
        <v>13</v>
      </c>
      <c r="BY268" s="3" t="s">
        <v>1195</v>
      </c>
      <c r="BZ268" s="3" t="s">
        <v>775</v>
      </c>
      <c r="CA268" s="3"/>
      <c r="CB268" s="3"/>
      <c r="CC268" s="3"/>
      <c r="CD268" s="3"/>
      <c r="CE268" s="3"/>
      <c r="CF268" s="3"/>
      <c r="CG268" s="311" t="b">
        <f aca="false">TRUE()</f>
        <v>1</v>
      </c>
      <c r="CH268" s="3" t="s">
        <v>776</v>
      </c>
      <c r="CI268" s="3" t="s">
        <v>750</v>
      </c>
      <c r="CJ268" s="3" t="s">
        <v>1196</v>
      </c>
      <c r="CK268" s="3" t="s">
        <v>1196</v>
      </c>
      <c r="CL268" s="3" t="s">
        <v>1196</v>
      </c>
      <c r="CM268" s="3" t="s">
        <v>1196</v>
      </c>
      <c r="CN268" s="3" t="s">
        <v>1196</v>
      </c>
      <c r="CO268" s="3"/>
      <c r="CP268" s="3"/>
      <c r="CQ268" s="3"/>
      <c r="CR268" s="3"/>
      <c r="CS268" s="3"/>
      <c r="CT268" s="3"/>
      <c r="CU268" s="3"/>
      <c r="CV268" s="3" t="s">
        <v>839</v>
      </c>
      <c r="CW268" s="3" t="s">
        <v>840</v>
      </c>
      <c r="CX268" s="3" t="s">
        <v>841</v>
      </c>
      <c r="CY268" s="3" t="s">
        <v>842</v>
      </c>
      <c r="CZ268" s="3" t="s">
        <v>843</v>
      </c>
    </row>
    <row r="269" customFormat="false" ht="15.75" hidden="false" customHeight="false" outlineLevel="0" collapsed="false">
      <c r="A269" s="309" t="s">
        <v>1877</v>
      </c>
      <c r="B269" s="309" t="s">
        <v>1878</v>
      </c>
      <c r="C269" s="309" t="s">
        <v>1879</v>
      </c>
      <c r="D269" s="309" t="s">
        <v>1880</v>
      </c>
      <c r="E269" s="309" t="s">
        <v>1881</v>
      </c>
      <c r="F269" s="318" t="b">
        <f aca="false">TRUE()</f>
        <v>1</v>
      </c>
      <c r="G269" s="309" t="s">
        <v>896</v>
      </c>
      <c r="H269" s="309" t="s">
        <v>1878</v>
      </c>
      <c r="I269" s="312" t="n">
        <v>-1</v>
      </c>
      <c r="J269" s="3"/>
      <c r="K269" s="309" t="s">
        <v>884</v>
      </c>
      <c r="L269" s="312" t="n">
        <v>3</v>
      </c>
      <c r="M269" s="309" t="s">
        <v>758</v>
      </c>
      <c r="N269" s="309" t="s">
        <v>743</v>
      </c>
      <c r="O269" s="309" t="s">
        <v>744</v>
      </c>
      <c r="P269" s="309" t="s">
        <v>745</v>
      </c>
      <c r="Q269" s="309" t="s">
        <v>746</v>
      </c>
      <c r="R269" s="318" t="b">
        <f aca="false">FALSE()</f>
        <v>0</v>
      </c>
      <c r="S269" s="312" t="n">
        <v>80</v>
      </c>
      <c r="T269" s="312" t="n">
        <v>130</v>
      </c>
      <c r="U269" s="312" t="n">
        <v>100</v>
      </c>
      <c r="V269" s="312" t="n">
        <v>80</v>
      </c>
      <c r="W269" s="312" t="n">
        <v>100</v>
      </c>
      <c r="X269" s="312" t="n">
        <v>100</v>
      </c>
      <c r="Y269" s="312" t="n">
        <v>0.2</v>
      </c>
      <c r="Z269" s="312" t="n">
        <v>0.7</v>
      </c>
      <c r="AA269" s="312" t="n">
        <v>10</v>
      </c>
      <c r="AB269" s="312" t="n">
        <v>2400</v>
      </c>
      <c r="AC269" s="309" t="s">
        <v>1253</v>
      </c>
      <c r="AD269" s="309" t="s">
        <v>182</v>
      </c>
      <c r="AE269" s="312" t="n">
        <v>100</v>
      </c>
      <c r="AF269" s="312" t="n">
        <v>150</v>
      </c>
      <c r="AG269" s="312" t="n">
        <v>600</v>
      </c>
      <c r="AH269" s="312" t="n">
        <v>800</v>
      </c>
      <c r="AI269" s="312" t="n">
        <v>375</v>
      </c>
      <c r="AJ269" s="318" t="b">
        <f aca="false">TRUE()</f>
        <v>1</v>
      </c>
      <c r="AK269" s="318" t="b">
        <f aca="false">FALSE()</f>
        <v>0</v>
      </c>
      <c r="AL269" s="309" t="s">
        <v>1247</v>
      </c>
      <c r="AM269" s="318" t="b">
        <f aca="false">FALSE()</f>
        <v>0</v>
      </c>
      <c r="AN269" s="318" t="b">
        <f aca="false">FALSE()</f>
        <v>0</v>
      </c>
      <c r="AO269" s="312" t="n">
        <v>350</v>
      </c>
      <c r="AP269" s="312" t="n">
        <v>1</v>
      </c>
      <c r="AQ269" s="312" t="n">
        <v>5</v>
      </c>
      <c r="AR269" s="312" t="n">
        <v>25</v>
      </c>
      <c r="AS269" s="312" t="n">
        <v>90</v>
      </c>
      <c r="AT269" s="312" t="n">
        <v>1</v>
      </c>
      <c r="AU269" s="318" t="b">
        <f aca="false">FALSE()</f>
        <v>0</v>
      </c>
      <c r="AV269" s="318" t="b">
        <f aca="false">TRUE()</f>
        <v>1</v>
      </c>
      <c r="AW269" s="312" t="n">
        <v>9</v>
      </c>
      <c r="AX269" s="318" t="b">
        <f aca="false">TRUE()</f>
        <v>1</v>
      </c>
      <c r="AY269" s="318" t="b">
        <f aca="false">TRUE()</f>
        <v>1</v>
      </c>
      <c r="AZ269" s="312" t="n">
        <v>100</v>
      </c>
      <c r="BA269" s="312" t="n">
        <v>50</v>
      </c>
      <c r="BB269" s="312" t="n">
        <v>950</v>
      </c>
      <c r="BC269" s="312" t="n">
        <v>0</v>
      </c>
      <c r="BD269" s="312" t="n">
        <v>0</v>
      </c>
      <c r="BE269" s="312" t="n">
        <v>0</v>
      </c>
      <c r="BF269" s="312" t="n">
        <v>0</v>
      </c>
      <c r="BG269" s="312" t="n">
        <v>2</v>
      </c>
      <c r="BH269" s="312" t="n">
        <v>0</v>
      </c>
      <c r="BI269" s="312" t="n">
        <v>0</v>
      </c>
      <c r="BJ269" s="312" t="n">
        <v>0</v>
      </c>
      <c r="BK269" s="312" t="n">
        <v>0</v>
      </c>
      <c r="BL269" s="312" t="n">
        <v>0</v>
      </c>
      <c r="BM269" s="312" t="n">
        <v>0</v>
      </c>
      <c r="BN269" s="312" t="n">
        <v>0</v>
      </c>
      <c r="BO269" s="312" t="n">
        <v>0</v>
      </c>
      <c r="BP269" s="309" t="s">
        <v>182</v>
      </c>
      <c r="BQ269" s="309" t="s">
        <v>182</v>
      </c>
      <c r="BR269" s="309" t="s">
        <v>182</v>
      </c>
      <c r="BS269" s="309" t="s">
        <v>182</v>
      </c>
      <c r="BT269" s="312" t="n">
        <v>347</v>
      </c>
      <c r="BU269" s="318" t="b">
        <f aca="false">FALSE()</f>
        <v>0</v>
      </c>
      <c r="BV269" s="3" t="e">
        <f aca="false">xlookup(MID($A269,7,50),$A$2:$A$139,$BV$2:$BV$139,,0,1)</f>
        <v>#NAME?</v>
      </c>
      <c r="BW269" s="3"/>
      <c r="BX269" s="3"/>
      <c r="BY269" s="3"/>
      <c r="BZ269" s="3"/>
      <c r="CA269" s="3" t="s">
        <v>897</v>
      </c>
      <c r="CB269" s="85" t="n">
        <v>1.1</v>
      </c>
      <c r="CC269" s="85" t="n">
        <v>1.3</v>
      </c>
      <c r="CD269" s="85" t="n">
        <v>1.6</v>
      </c>
      <c r="CE269" s="85" t="n">
        <v>2</v>
      </c>
      <c r="CF269" s="85" t="n">
        <v>2.5</v>
      </c>
      <c r="CG269" s="3"/>
      <c r="CH269" s="3"/>
      <c r="CI269" s="3"/>
      <c r="CJ269" s="3"/>
      <c r="CK269" s="3"/>
      <c r="CL269" s="3"/>
      <c r="CM269" s="3"/>
      <c r="CN269" s="3"/>
      <c r="CO269" s="3"/>
      <c r="CP269" s="3"/>
      <c r="CQ269" s="3"/>
      <c r="CR269" s="3"/>
      <c r="CS269" s="3"/>
      <c r="CT269" s="3"/>
      <c r="CU269" s="3"/>
      <c r="CV269" s="3"/>
      <c r="CW269" s="3"/>
      <c r="CX269" s="3"/>
      <c r="CY269" s="3"/>
      <c r="CZ269" s="3"/>
    </row>
    <row r="270" customFormat="false" ht="15.75" hidden="false" customHeight="false" outlineLevel="0" collapsed="false">
      <c r="A270" s="309" t="s">
        <v>1882</v>
      </c>
      <c r="B270" s="309" t="s">
        <v>1883</v>
      </c>
      <c r="C270" s="309" t="s">
        <v>1884</v>
      </c>
      <c r="D270" s="309" t="s">
        <v>1885</v>
      </c>
      <c r="E270" s="309" t="s">
        <v>1886</v>
      </c>
      <c r="F270" s="318" t="b">
        <f aca="false">TRUE()</f>
        <v>1</v>
      </c>
      <c r="G270" s="309" t="s">
        <v>1050</v>
      </c>
      <c r="H270" s="309" t="s">
        <v>1883</v>
      </c>
      <c r="I270" s="312" t="n">
        <v>-1</v>
      </c>
      <c r="J270" s="3"/>
      <c r="K270" s="309" t="s">
        <v>884</v>
      </c>
      <c r="L270" s="312" t="n">
        <v>7</v>
      </c>
      <c r="M270" s="309" t="s">
        <v>771</v>
      </c>
      <c r="N270" s="309" t="s">
        <v>743</v>
      </c>
      <c r="O270" s="309" t="s">
        <v>744</v>
      </c>
      <c r="P270" s="309" t="s">
        <v>745</v>
      </c>
      <c r="Q270" s="309" t="s">
        <v>746</v>
      </c>
      <c r="R270" s="318" t="b">
        <f aca="false">FALSE()</f>
        <v>0</v>
      </c>
      <c r="S270" s="312" t="n">
        <v>110</v>
      </c>
      <c r="T270" s="312" t="n">
        <v>90</v>
      </c>
      <c r="U270" s="312" t="n">
        <v>90</v>
      </c>
      <c r="V270" s="312" t="n">
        <v>100</v>
      </c>
      <c r="W270" s="312" t="n">
        <v>90</v>
      </c>
      <c r="X270" s="312" t="n">
        <v>100</v>
      </c>
      <c r="Y270" s="312" t="n">
        <v>0.2</v>
      </c>
      <c r="Z270" s="312" t="n">
        <v>0.7</v>
      </c>
      <c r="AA270" s="312" t="n">
        <v>10</v>
      </c>
      <c r="AB270" s="312" t="n">
        <v>5900</v>
      </c>
      <c r="AC270" s="309" t="s">
        <v>1253</v>
      </c>
      <c r="AD270" s="309" t="s">
        <v>182</v>
      </c>
      <c r="AE270" s="312" t="n">
        <v>50</v>
      </c>
      <c r="AF270" s="312" t="n">
        <v>100</v>
      </c>
      <c r="AG270" s="312" t="n">
        <v>400</v>
      </c>
      <c r="AH270" s="312" t="n">
        <v>550</v>
      </c>
      <c r="AI270" s="312" t="n">
        <v>250</v>
      </c>
      <c r="AJ270" s="318" t="b">
        <f aca="false">TRUE()</f>
        <v>1</v>
      </c>
      <c r="AK270" s="318" t="b">
        <f aca="false">FALSE()</f>
        <v>0</v>
      </c>
      <c r="AL270" s="309" t="s">
        <v>1247</v>
      </c>
      <c r="AM270" s="318" t="b">
        <f aca="false">FALSE()</f>
        <v>0</v>
      </c>
      <c r="AN270" s="318" t="b">
        <f aca="false">FALSE()</f>
        <v>0</v>
      </c>
      <c r="AO270" s="312" t="n">
        <v>350</v>
      </c>
      <c r="AP270" s="312" t="n">
        <v>1</v>
      </c>
      <c r="AQ270" s="312" t="n">
        <v>5</v>
      </c>
      <c r="AR270" s="312" t="n">
        <v>25</v>
      </c>
      <c r="AS270" s="312" t="n">
        <v>90</v>
      </c>
      <c r="AT270" s="312" t="n">
        <v>1</v>
      </c>
      <c r="AU270" s="318" t="b">
        <f aca="false">FALSE()</f>
        <v>0</v>
      </c>
      <c r="AV270" s="318" t="b">
        <f aca="false">FALSE()</f>
        <v>0</v>
      </c>
      <c r="AW270" s="312" t="n">
        <v>9</v>
      </c>
      <c r="AX270" s="318" t="b">
        <f aca="false">FALSE()</f>
        <v>0</v>
      </c>
      <c r="AY270" s="318" t="b">
        <f aca="false">TRUE()</f>
        <v>1</v>
      </c>
      <c r="AZ270" s="312" t="n">
        <v>100</v>
      </c>
      <c r="BA270" s="312" t="n">
        <v>50</v>
      </c>
      <c r="BB270" s="312" t="n">
        <v>450</v>
      </c>
      <c r="BC270" s="312" t="n">
        <v>0</v>
      </c>
      <c r="BD270" s="312" t="n">
        <v>0</v>
      </c>
      <c r="BE270" s="312" t="n">
        <v>0</v>
      </c>
      <c r="BF270" s="312" t="n">
        <v>0</v>
      </c>
      <c r="BG270" s="312" t="n">
        <v>0</v>
      </c>
      <c r="BH270" s="312" t="n">
        <v>0</v>
      </c>
      <c r="BI270" s="312" t="n">
        <v>0</v>
      </c>
      <c r="BJ270" s="312" t="n">
        <v>0</v>
      </c>
      <c r="BK270" s="312" t="n">
        <v>0</v>
      </c>
      <c r="BL270" s="312" t="n">
        <v>2</v>
      </c>
      <c r="BM270" s="312" t="n">
        <v>2</v>
      </c>
      <c r="BN270" s="312" t="n">
        <v>0</v>
      </c>
      <c r="BO270" s="312" t="n">
        <v>1</v>
      </c>
      <c r="BP270" s="309" t="s">
        <v>182</v>
      </c>
      <c r="BQ270" s="309" t="s">
        <v>182</v>
      </c>
      <c r="BR270" s="309" t="s">
        <v>182</v>
      </c>
      <c r="BS270" s="309" t="s">
        <v>182</v>
      </c>
      <c r="BT270" s="312" t="n">
        <v>348</v>
      </c>
      <c r="BU270" s="318" t="b">
        <f aca="false">FALSE()</f>
        <v>0</v>
      </c>
      <c r="BV270" s="3" t="e">
        <f aca="false">xlookup(MID($A270,7,50),$A$2:$A$139,$BV$2:$BV$139,,0,1)</f>
        <v>#NAME?</v>
      </c>
      <c r="BW270" s="3"/>
      <c r="BX270" s="3"/>
      <c r="BY270" s="3"/>
      <c r="BZ270" s="3"/>
      <c r="CA270" s="3" t="s">
        <v>1051</v>
      </c>
      <c r="CB270" s="85" t="n">
        <v>1.1</v>
      </c>
      <c r="CC270" s="85" t="n">
        <v>1.3</v>
      </c>
      <c r="CD270" s="85" t="n">
        <v>1.6</v>
      </c>
      <c r="CE270" s="85" t="n">
        <v>2</v>
      </c>
      <c r="CF270" s="85" t="n">
        <v>2.5</v>
      </c>
      <c r="CG270" s="3"/>
      <c r="CH270" s="3"/>
      <c r="CI270" s="3"/>
      <c r="CJ270" s="3"/>
      <c r="CK270" s="3"/>
      <c r="CL270" s="3"/>
      <c r="CM270" s="3"/>
      <c r="CN270" s="3"/>
      <c r="CO270" s="3"/>
      <c r="CP270" s="3"/>
      <c r="CQ270" s="3"/>
      <c r="CR270" s="3"/>
      <c r="CS270" s="3"/>
      <c r="CT270" s="3"/>
      <c r="CU270" s="3"/>
      <c r="CV270" s="3" t="s">
        <v>1052</v>
      </c>
      <c r="CW270" s="3" t="s">
        <v>1053</v>
      </c>
      <c r="CX270" s="3" t="s">
        <v>1054</v>
      </c>
      <c r="CY270" s="3" t="s">
        <v>1055</v>
      </c>
      <c r="CZ270" s="3" t="s">
        <v>1056</v>
      </c>
    </row>
    <row r="271" customFormat="false" ht="15.75" hidden="false" customHeight="false" outlineLevel="0" collapsed="false">
      <c r="A271" s="309" t="s">
        <v>1887</v>
      </c>
      <c r="B271" s="309" t="s">
        <v>1888</v>
      </c>
      <c r="C271" s="309" t="s">
        <v>1889</v>
      </c>
      <c r="D271" s="309" t="s">
        <v>1890</v>
      </c>
      <c r="E271" s="309" t="s">
        <v>1891</v>
      </c>
      <c r="F271" s="318" t="b">
        <f aca="false">TRUE()</f>
        <v>1</v>
      </c>
      <c r="G271" s="309" t="s">
        <v>932</v>
      </c>
      <c r="H271" s="309" t="s">
        <v>1888</v>
      </c>
      <c r="I271" s="312" t="n">
        <v>-1</v>
      </c>
      <c r="J271" s="3"/>
      <c r="K271" s="309" t="s">
        <v>884</v>
      </c>
      <c r="L271" s="312" t="n">
        <v>7</v>
      </c>
      <c r="M271" s="309" t="s">
        <v>771</v>
      </c>
      <c r="N271" s="309" t="s">
        <v>743</v>
      </c>
      <c r="O271" s="309" t="s">
        <v>744</v>
      </c>
      <c r="P271" s="309" t="s">
        <v>745</v>
      </c>
      <c r="Q271" s="309" t="s">
        <v>746</v>
      </c>
      <c r="R271" s="318" t="b">
        <f aca="false">FALSE()</f>
        <v>0</v>
      </c>
      <c r="S271" s="312" t="n">
        <v>100</v>
      </c>
      <c r="T271" s="312" t="n">
        <v>140</v>
      </c>
      <c r="U271" s="312" t="n">
        <v>100</v>
      </c>
      <c r="V271" s="312" t="n">
        <v>110</v>
      </c>
      <c r="W271" s="312" t="n">
        <v>100</v>
      </c>
      <c r="X271" s="312" t="n">
        <v>100</v>
      </c>
      <c r="Y271" s="312" t="n">
        <v>0.2</v>
      </c>
      <c r="Z271" s="312" t="n">
        <v>0.7</v>
      </c>
      <c r="AA271" s="312" t="n">
        <v>10</v>
      </c>
      <c r="AB271" s="312" t="n">
        <v>8440</v>
      </c>
      <c r="AC271" s="309" t="s">
        <v>1253</v>
      </c>
      <c r="AD271" s="309" t="s">
        <v>182</v>
      </c>
      <c r="AE271" s="312" t="n">
        <v>100</v>
      </c>
      <c r="AF271" s="312" t="n">
        <v>280</v>
      </c>
      <c r="AG271" s="312" t="n">
        <v>720</v>
      </c>
      <c r="AH271" s="312" t="n">
        <v>900</v>
      </c>
      <c r="AI271" s="312" t="n">
        <v>460</v>
      </c>
      <c r="AJ271" s="318" t="b">
        <f aca="false">TRUE()</f>
        <v>1</v>
      </c>
      <c r="AK271" s="318" t="b">
        <f aca="false">FALSE()</f>
        <v>0</v>
      </c>
      <c r="AL271" s="309" t="s">
        <v>1247</v>
      </c>
      <c r="AM271" s="318" t="b">
        <f aca="false">FALSE()</f>
        <v>0</v>
      </c>
      <c r="AN271" s="318" t="b">
        <f aca="false">FALSE()</f>
        <v>0</v>
      </c>
      <c r="AO271" s="312" t="n">
        <v>475</v>
      </c>
      <c r="AP271" s="312" t="n">
        <v>1</v>
      </c>
      <c r="AQ271" s="312" t="n">
        <v>7</v>
      </c>
      <c r="AR271" s="312" t="n">
        <v>25</v>
      </c>
      <c r="AS271" s="312" t="n">
        <v>90</v>
      </c>
      <c r="AT271" s="312" t="n">
        <v>1</v>
      </c>
      <c r="AU271" s="318" t="b">
        <f aca="false">FALSE()</f>
        <v>0</v>
      </c>
      <c r="AV271" s="318" t="b">
        <f aca="false">FALSE()</f>
        <v>0</v>
      </c>
      <c r="AW271" s="312" t="n">
        <v>9</v>
      </c>
      <c r="AX271" s="318" t="b">
        <f aca="false">TRUE()</f>
        <v>1</v>
      </c>
      <c r="AY271" s="318" t="b">
        <f aca="false">TRUE()</f>
        <v>1</v>
      </c>
      <c r="AZ271" s="312" t="n">
        <v>100</v>
      </c>
      <c r="BA271" s="312" t="n">
        <v>50</v>
      </c>
      <c r="BB271" s="312" t="n">
        <v>130</v>
      </c>
      <c r="BC271" s="312" t="n">
        <v>0</v>
      </c>
      <c r="BD271" s="312" t="n">
        <v>0</v>
      </c>
      <c r="BE271" s="312" t="n">
        <v>0</v>
      </c>
      <c r="BF271" s="312" t="n">
        <v>0</v>
      </c>
      <c r="BG271" s="312" t="n">
        <v>1</v>
      </c>
      <c r="BH271" s="312" t="n">
        <v>0</v>
      </c>
      <c r="BI271" s="312" t="n">
        <v>2</v>
      </c>
      <c r="BJ271" s="312" t="n">
        <v>0</v>
      </c>
      <c r="BK271" s="312" t="n">
        <v>0</v>
      </c>
      <c r="BL271" s="312" t="n">
        <v>0</v>
      </c>
      <c r="BM271" s="312" t="n">
        <v>3</v>
      </c>
      <c r="BN271" s="312" t="n">
        <v>0</v>
      </c>
      <c r="BO271" s="312" t="n">
        <v>0</v>
      </c>
      <c r="BP271" s="309" t="s">
        <v>182</v>
      </c>
      <c r="BQ271" s="309" t="s">
        <v>182</v>
      </c>
      <c r="BR271" s="309" t="s">
        <v>182</v>
      </c>
      <c r="BS271" s="309" t="s">
        <v>182</v>
      </c>
      <c r="BT271" s="312" t="n">
        <v>349</v>
      </c>
      <c r="BU271" s="318" t="b">
        <f aca="false">FALSE()</f>
        <v>0</v>
      </c>
      <c r="BV271" s="3" t="e">
        <f aca="false">xlookup(MID($A271,7,50),$A$2:$A$139,$BV$2:$BV$139,,0,1)</f>
        <v>#NAME?</v>
      </c>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t="s">
        <v>933</v>
      </c>
      <c r="CW271" s="3" t="s">
        <v>934</v>
      </c>
      <c r="CX271" s="3" t="s">
        <v>935</v>
      </c>
      <c r="CY271" s="3" t="s">
        <v>936</v>
      </c>
      <c r="CZ271" s="3" t="s">
        <v>937</v>
      </c>
    </row>
    <row r="272" customFormat="false" ht="15.75" hidden="false" customHeight="false" outlineLevel="0" collapsed="false">
      <c r="A272" s="309" t="s">
        <v>1892</v>
      </c>
      <c r="B272" s="309" t="s">
        <v>1893</v>
      </c>
      <c r="C272" s="309" t="s">
        <v>1894</v>
      </c>
      <c r="D272" s="309" t="s">
        <v>1895</v>
      </c>
      <c r="E272" s="309" t="s">
        <v>1896</v>
      </c>
      <c r="F272" s="318" t="b">
        <f aca="false">TRUE()</f>
        <v>1</v>
      </c>
      <c r="G272" s="309" t="s">
        <v>432</v>
      </c>
      <c r="H272" s="309" t="s">
        <v>1893</v>
      </c>
      <c r="I272" s="312" t="n">
        <v>-1</v>
      </c>
      <c r="J272" s="3"/>
      <c r="K272" s="309" t="s">
        <v>884</v>
      </c>
      <c r="L272" s="312" t="n">
        <v>1</v>
      </c>
      <c r="M272" s="309" t="s">
        <v>742</v>
      </c>
      <c r="N272" s="309" t="s">
        <v>743</v>
      </c>
      <c r="O272" s="309" t="s">
        <v>898</v>
      </c>
      <c r="P272" s="309" t="s">
        <v>745</v>
      </c>
      <c r="Q272" s="309" t="s">
        <v>746</v>
      </c>
      <c r="R272" s="318" t="b">
        <f aca="false">FALSE()</f>
        <v>0</v>
      </c>
      <c r="S272" s="312" t="n">
        <v>80</v>
      </c>
      <c r="T272" s="312" t="n">
        <v>70</v>
      </c>
      <c r="U272" s="312" t="n">
        <v>70</v>
      </c>
      <c r="V272" s="312" t="n">
        <v>70</v>
      </c>
      <c r="W272" s="312" t="n">
        <v>100</v>
      </c>
      <c r="X272" s="312" t="n">
        <v>100</v>
      </c>
      <c r="Y272" s="312" t="n">
        <v>0.2</v>
      </c>
      <c r="Z272" s="312" t="n">
        <v>0.7</v>
      </c>
      <c r="AA272" s="312" t="n">
        <v>10</v>
      </c>
      <c r="AB272" s="312" t="n">
        <v>1020</v>
      </c>
      <c r="AC272" s="309" t="s">
        <v>836</v>
      </c>
      <c r="AD272" s="309" t="s">
        <v>182</v>
      </c>
      <c r="AE272" s="312" t="n">
        <v>50</v>
      </c>
      <c r="AF272" s="312" t="n">
        <v>100</v>
      </c>
      <c r="AG272" s="312" t="n">
        <v>400</v>
      </c>
      <c r="AH272" s="312" t="n">
        <v>550</v>
      </c>
      <c r="AI272" s="312" t="n">
        <v>250</v>
      </c>
      <c r="AJ272" s="318" t="b">
        <f aca="false">TRUE()</f>
        <v>1</v>
      </c>
      <c r="AK272" s="318" t="b">
        <f aca="false">FALSE()</f>
        <v>0</v>
      </c>
      <c r="AL272" s="309" t="s">
        <v>1247</v>
      </c>
      <c r="AM272" s="318" t="b">
        <f aca="false">FALSE()</f>
        <v>0</v>
      </c>
      <c r="AN272" s="318" t="b">
        <f aca="false">FALSE()</f>
        <v>0</v>
      </c>
      <c r="AO272" s="312" t="n">
        <v>150</v>
      </c>
      <c r="AP272" s="312" t="n">
        <v>1</v>
      </c>
      <c r="AQ272" s="312" t="n">
        <v>2</v>
      </c>
      <c r="AR272" s="312" t="n">
        <v>25</v>
      </c>
      <c r="AS272" s="312" t="n">
        <v>90</v>
      </c>
      <c r="AT272" s="312" t="n">
        <v>1</v>
      </c>
      <c r="AU272" s="318" t="b">
        <f aca="false">FALSE()</f>
        <v>0</v>
      </c>
      <c r="AV272" s="318" t="b">
        <f aca="false">FALSE()</f>
        <v>0</v>
      </c>
      <c r="AW272" s="312" t="n">
        <v>9</v>
      </c>
      <c r="AX272" s="318" t="b">
        <f aca="false">FALSE()</f>
        <v>0</v>
      </c>
      <c r="AY272" s="318" t="b">
        <f aca="false">TRUE()</f>
        <v>1</v>
      </c>
      <c r="AZ272" s="312" t="n">
        <v>100</v>
      </c>
      <c r="BA272" s="312" t="n">
        <v>50</v>
      </c>
      <c r="BB272" s="312" t="n">
        <v>1420</v>
      </c>
      <c r="BC272" s="312" t="n">
        <v>0</v>
      </c>
      <c r="BD272" s="312" t="n">
        <v>0</v>
      </c>
      <c r="BE272" s="312" t="n">
        <v>0</v>
      </c>
      <c r="BF272" s="312" t="n">
        <v>0</v>
      </c>
      <c r="BG272" s="312" t="n">
        <v>1</v>
      </c>
      <c r="BH272" s="312" t="n">
        <v>1</v>
      </c>
      <c r="BI272" s="312" t="n">
        <v>0</v>
      </c>
      <c r="BJ272" s="312" t="n">
        <v>0</v>
      </c>
      <c r="BK272" s="312" t="n">
        <v>0</v>
      </c>
      <c r="BL272" s="312" t="n">
        <v>0</v>
      </c>
      <c r="BM272" s="312" t="n">
        <v>0</v>
      </c>
      <c r="BN272" s="312" t="n">
        <v>2</v>
      </c>
      <c r="BO272" s="312" t="n">
        <v>0</v>
      </c>
      <c r="BP272" s="309" t="s">
        <v>182</v>
      </c>
      <c r="BQ272" s="309" t="s">
        <v>182</v>
      </c>
      <c r="BR272" s="309" t="s">
        <v>182</v>
      </c>
      <c r="BS272" s="309" t="s">
        <v>182</v>
      </c>
      <c r="BT272" s="312" t="n">
        <v>350</v>
      </c>
      <c r="BU272" s="318" t="b">
        <f aca="false">FALSE()</f>
        <v>0</v>
      </c>
      <c r="BV272" s="3" t="e">
        <f aca="false">xlookup(MID($A272,7,50),$A$2:$A$139,$BV$2:$BV$139,,0,1)</f>
        <v>#NAME?</v>
      </c>
      <c r="BW272" s="3"/>
      <c r="BX272" s="85" t="n">
        <v>20</v>
      </c>
      <c r="BY272" s="3" t="s">
        <v>899</v>
      </c>
      <c r="BZ272" s="3" t="s">
        <v>809</v>
      </c>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row>
    <row r="273" customFormat="false" ht="15.75" hidden="false" customHeight="false" outlineLevel="0" collapsed="false">
      <c r="A273" s="309" t="s">
        <v>1897</v>
      </c>
      <c r="B273" s="309" t="s">
        <v>1898</v>
      </c>
      <c r="C273" s="309" t="s">
        <v>1899</v>
      </c>
      <c r="D273" s="309" t="s">
        <v>1900</v>
      </c>
      <c r="E273" s="309" t="s">
        <v>1901</v>
      </c>
      <c r="F273" s="318" t="b">
        <f aca="false">TRUE()</f>
        <v>1</v>
      </c>
      <c r="G273" s="309" t="s">
        <v>554</v>
      </c>
      <c r="H273" s="309" t="s">
        <v>1898</v>
      </c>
      <c r="I273" s="312" t="n">
        <v>-1</v>
      </c>
      <c r="J273" s="3"/>
      <c r="K273" s="309" t="s">
        <v>884</v>
      </c>
      <c r="L273" s="312" t="n">
        <v>2</v>
      </c>
      <c r="M273" s="309" t="s">
        <v>771</v>
      </c>
      <c r="N273" s="309" t="s">
        <v>743</v>
      </c>
      <c r="O273" s="309" t="s">
        <v>898</v>
      </c>
      <c r="P273" s="309" t="s">
        <v>745</v>
      </c>
      <c r="Q273" s="309" t="s">
        <v>746</v>
      </c>
      <c r="R273" s="318" t="b">
        <f aca="false">FALSE()</f>
        <v>0</v>
      </c>
      <c r="S273" s="312" t="n">
        <v>80</v>
      </c>
      <c r="T273" s="312" t="n">
        <v>70</v>
      </c>
      <c r="U273" s="312" t="n">
        <v>80</v>
      </c>
      <c r="V273" s="312" t="n">
        <v>70</v>
      </c>
      <c r="W273" s="312" t="n">
        <v>100</v>
      </c>
      <c r="X273" s="312" t="n">
        <v>100</v>
      </c>
      <c r="Y273" s="312" t="n">
        <v>0.2</v>
      </c>
      <c r="Z273" s="312" t="n">
        <v>0.7</v>
      </c>
      <c r="AA273" s="312" t="n">
        <v>10</v>
      </c>
      <c r="AB273" s="312" t="n">
        <v>1020</v>
      </c>
      <c r="AC273" s="309" t="s">
        <v>836</v>
      </c>
      <c r="AD273" s="309" t="s">
        <v>182</v>
      </c>
      <c r="AE273" s="312" t="n">
        <v>50</v>
      </c>
      <c r="AF273" s="312" t="n">
        <v>100</v>
      </c>
      <c r="AG273" s="312" t="n">
        <v>400</v>
      </c>
      <c r="AH273" s="312" t="n">
        <v>550</v>
      </c>
      <c r="AI273" s="312" t="n">
        <v>250</v>
      </c>
      <c r="AJ273" s="318" t="b">
        <f aca="false">TRUE()</f>
        <v>1</v>
      </c>
      <c r="AK273" s="318" t="b">
        <f aca="false">FALSE()</f>
        <v>0</v>
      </c>
      <c r="AL273" s="309" t="s">
        <v>1247</v>
      </c>
      <c r="AM273" s="318" t="b">
        <f aca="false">FALSE()</f>
        <v>0</v>
      </c>
      <c r="AN273" s="318" t="b">
        <f aca="false">FALSE()</f>
        <v>0</v>
      </c>
      <c r="AO273" s="312" t="n">
        <v>150</v>
      </c>
      <c r="AP273" s="312" t="n">
        <v>1</v>
      </c>
      <c r="AQ273" s="312" t="n">
        <v>2</v>
      </c>
      <c r="AR273" s="312" t="n">
        <v>25</v>
      </c>
      <c r="AS273" s="312" t="n">
        <v>90</v>
      </c>
      <c r="AT273" s="312" t="n">
        <v>1</v>
      </c>
      <c r="AU273" s="318" t="b">
        <f aca="false">FALSE()</f>
        <v>0</v>
      </c>
      <c r="AV273" s="318" t="b">
        <f aca="false">FALSE()</f>
        <v>0</v>
      </c>
      <c r="AW273" s="312" t="n">
        <v>9</v>
      </c>
      <c r="AX273" s="318" t="b">
        <f aca="false">FALSE()</f>
        <v>0</v>
      </c>
      <c r="AY273" s="318" t="b">
        <f aca="false">TRUE()</f>
        <v>1</v>
      </c>
      <c r="AZ273" s="312" t="n">
        <v>100</v>
      </c>
      <c r="BA273" s="312" t="n">
        <v>50</v>
      </c>
      <c r="BB273" s="312" t="n">
        <v>1422</v>
      </c>
      <c r="BC273" s="312" t="n">
        <v>0</v>
      </c>
      <c r="BD273" s="312" t="n">
        <v>0</v>
      </c>
      <c r="BE273" s="312" t="n">
        <v>0</v>
      </c>
      <c r="BF273" s="312" t="n">
        <v>0</v>
      </c>
      <c r="BG273" s="312" t="n">
        <v>1</v>
      </c>
      <c r="BH273" s="312" t="n">
        <v>1</v>
      </c>
      <c r="BI273" s="312" t="n">
        <v>0</v>
      </c>
      <c r="BJ273" s="312" t="n">
        <v>0</v>
      </c>
      <c r="BK273" s="312" t="n">
        <v>0</v>
      </c>
      <c r="BL273" s="312" t="n">
        <v>0</v>
      </c>
      <c r="BM273" s="312" t="n">
        <v>1</v>
      </c>
      <c r="BN273" s="312" t="n">
        <v>2</v>
      </c>
      <c r="BO273" s="312" t="n">
        <v>0</v>
      </c>
      <c r="BP273" s="309" t="s">
        <v>182</v>
      </c>
      <c r="BQ273" s="309" t="s">
        <v>182</v>
      </c>
      <c r="BR273" s="309" t="s">
        <v>182</v>
      </c>
      <c r="BS273" s="309" t="s">
        <v>182</v>
      </c>
      <c r="BT273" s="312" t="n">
        <v>351</v>
      </c>
      <c r="BU273" s="318" t="b">
        <f aca="false">TRUE()</f>
        <v>1</v>
      </c>
      <c r="BV273" s="3" t="e">
        <f aca="false">xlookup(MID($A273,7,50),$A$2:$A$139,$BV$2:$BV$139,,0,1)</f>
        <v>#NAME?</v>
      </c>
      <c r="BW273" s="3"/>
      <c r="BX273" s="85" t="n">
        <v>31</v>
      </c>
      <c r="BY273" s="3" t="s">
        <v>900</v>
      </c>
      <c r="BZ273" s="3" t="s">
        <v>809</v>
      </c>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row>
    <row r="274" customFormat="false" ht="15.75" hidden="false" customHeight="false" outlineLevel="0" collapsed="false">
      <c r="A274" s="309" t="s">
        <v>1902</v>
      </c>
      <c r="B274" s="309" t="s">
        <v>1903</v>
      </c>
      <c r="C274" s="309" t="s">
        <v>1904</v>
      </c>
      <c r="D274" s="309" t="s">
        <v>1905</v>
      </c>
      <c r="E274" s="309" t="s">
        <v>1906</v>
      </c>
      <c r="F274" s="318" t="b">
        <f aca="false">TRUE()</f>
        <v>1</v>
      </c>
      <c r="G274" s="309" t="s">
        <v>1067</v>
      </c>
      <c r="H274" s="309" t="s">
        <v>1903</v>
      </c>
      <c r="I274" s="312" t="n">
        <v>-1</v>
      </c>
      <c r="J274" s="3"/>
      <c r="K274" s="309" t="s">
        <v>741</v>
      </c>
      <c r="L274" s="312" t="n">
        <v>1</v>
      </c>
      <c r="M274" s="309" t="s">
        <v>758</v>
      </c>
      <c r="N274" s="309" t="s">
        <v>743</v>
      </c>
      <c r="O274" s="309" t="s">
        <v>790</v>
      </c>
      <c r="P274" s="309" t="s">
        <v>745</v>
      </c>
      <c r="Q274" s="309" t="s">
        <v>746</v>
      </c>
      <c r="R274" s="318" t="b">
        <f aca="false">FALSE()</f>
        <v>0</v>
      </c>
      <c r="S274" s="312" t="n">
        <v>70</v>
      </c>
      <c r="T274" s="312" t="n">
        <v>70</v>
      </c>
      <c r="U274" s="312" t="n">
        <v>70</v>
      </c>
      <c r="V274" s="312" t="n">
        <v>80</v>
      </c>
      <c r="W274" s="312" t="n">
        <v>100</v>
      </c>
      <c r="X274" s="312" t="n">
        <v>100</v>
      </c>
      <c r="Y274" s="312" t="n">
        <v>0.4</v>
      </c>
      <c r="Z274" s="312" t="n">
        <v>0.7</v>
      </c>
      <c r="AA274" s="312" t="n">
        <v>10</v>
      </c>
      <c r="AB274" s="312" t="n">
        <v>1050</v>
      </c>
      <c r="AC274" s="309" t="s">
        <v>836</v>
      </c>
      <c r="AD274" s="309" t="s">
        <v>182</v>
      </c>
      <c r="AE274" s="312" t="n">
        <v>26</v>
      </c>
      <c r="AF274" s="312" t="n">
        <v>70</v>
      </c>
      <c r="AG274" s="312" t="n">
        <v>380</v>
      </c>
      <c r="AH274" s="312" t="n">
        <v>550</v>
      </c>
      <c r="AI274" s="312" t="n">
        <v>225</v>
      </c>
      <c r="AJ274" s="318" t="b">
        <f aca="false">TRUE()</f>
        <v>1</v>
      </c>
      <c r="AK274" s="318" t="b">
        <f aca="false">FALSE()</f>
        <v>0</v>
      </c>
      <c r="AL274" s="309" t="s">
        <v>1247</v>
      </c>
      <c r="AM274" s="318" t="b">
        <f aca="false">FALSE()</f>
        <v>0</v>
      </c>
      <c r="AN274" s="318" t="b">
        <f aca="false">FALSE()</f>
        <v>0</v>
      </c>
      <c r="AO274" s="312" t="n">
        <v>225</v>
      </c>
      <c r="AP274" s="312" t="n">
        <v>1</v>
      </c>
      <c r="AQ274" s="312" t="n">
        <v>3</v>
      </c>
      <c r="AR274" s="312" t="n">
        <v>25</v>
      </c>
      <c r="AS274" s="312" t="n">
        <v>90</v>
      </c>
      <c r="AT274" s="312" t="n">
        <v>1</v>
      </c>
      <c r="AU274" s="318" t="b">
        <f aca="false">FALSE()</f>
        <v>0</v>
      </c>
      <c r="AV274" s="318" t="b">
        <f aca="false">TRUE()</f>
        <v>1</v>
      </c>
      <c r="AW274" s="312" t="n">
        <v>9</v>
      </c>
      <c r="AX274" s="318" t="b">
        <f aca="false">FALSE()</f>
        <v>0</v>
      </c>
      <c r="AY274" s="318" t="b">
        <f aca="false">TRUE()</f>
        <v>1</v>
      </c>
      <c r="AZ274" s="312" t="n">
        <v>100</v>
      </c>
      <c r="BA274" s="312" t="n">
        <v>50</v>
      </c>
      <c r="BB274" s="312" t="n">
        <v>1390</v>
      </c>
      <c r="BC274" s="312" t="n">
        <v>0</v>
      </c>
      <c r="BD274" s="312" t="n">
        <v>0</v>
      </c>
      <c r="BE274" s="312" t="n">
        <v>0</v>
      </c>
      <c r="BF274" s="312" t="n">
        <v>0</v>
      </c>
      <c r="BG274" s="312" t="n">
        <v>0</v>
      </c>
      <c r="BH274" s="312" t="n">
        <v>1</v>
      </c>
      <c r="BI274" s="312" t="n">
        <v>0</v>
      </c>
      <c r="BJ274" s="312" t="n">
        <v>0</v>
      </c>
      <c r="BK274" s="312" t="n">
        <v>0</v>
      </c>
      <c r="BL274" s="312" t="n">
        <v>0</v>
      </c>
      <c r="BM274" s="312" t="n">
        <v>0</v>
      </c>
      <c r="BN274" s="312" t="n">
        <v>0</v>
      </c>
      <c r="BO274" s="312" t="n">
        <v>0</v>
      </c>
      <c r="BP274" s="309" t="s">
        <v>182</v>
      </c>
      <c r="BQ274" s="309" t="s">
        <v>182</v>
      </c>
      <c r="BR274" s="309" t="s">
        <v>182</v>
      </c>
      <c r="BS274" s="309" t="s">
        <v>182</v>
      </c>
      <c r="BT274" s="312" t="n">
        <v>353</v>
      </c>
      <c r="BU274" s="318" t="b">
        <f aca="false">FALSE()</f>
        <v>0</v>
      </c>
      <c r="BV274" s="3" t="e">
        <f aca="false">xlookup(MID($A274,7,50),$A$2:$A$139,$BV$2:$BV$139,,0,1)</f>
        <v>#NAME?</v>
      </c>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t="s">
        <v>1068</v>
      </c>
      <c r="CV274" s="3" t="s">
        <v>850</v>
      </c>
      <c r="CW274" s="3" t="s">
        <v>851</v>
      </c>
      <c r="CX274" s="3" t="s">
        <v>852</v>
      </c>
      <c r="CY274" s="3" t="s">
        <v>853</v>
      </c>
      <c r="CZ274" s="3" t="s">
        <v>854</v>
      </c>
    </row>
    <row r="275" customFormat="false" ht="15.75" hidden="false" customHeight="false" outlineLevel="0" collapsed="false">
      <c r="A275" s="309" t="s">
        <v>1907</v>
      </c>
      <c r="B275" s="309" t="s">
        <v>1908</v>
      </c>
      <c r="C275" s="309" t="s">
        <v>1909</v>
      </c>
      <c r="D275" s="309" t="s">
        <v>1910</v>
      </c>
      <c r="E275" s="309" t="s">
        <v>1911</v>
      </c>
      <c r="F275" s="318" t="b">
        <f aca="false">TRUE()</f>
        <v>1</v>
      </c>
      <c r="G275" s="309" t="s">
        <v>1236</v>
      </c>
      <c r="H275" s="309" t="s">
        <v>1908</v>
      </c>
      <c r="I275" s="312" t="n">
        <v>-1</v>
      </c>
      <c r="J275" s="3"/>
      <c r="K275" s="309" t="s">
        <v>741</v>
      </c>
      <c r="L275" s="312" t="n">
        <v>1</v>
      </c>
      <c r="M275" s="309" t="s">
        <v>789</v>
      </c>
      <c r="N275" s="309" t="s">
        <v>743</v>
      </c>
      <c r="O275" s="309" t="s">
        <v>763</v>
      </c>
      <c r="P275" s="309" t="s">
        <v>745</v>
      </c>
      <c r="Q275" s="309" t="s">
        <v>746</v>
      </c>
      <c r="R275" s="318" t="b">
        <f aca="false">FALSE()</f>
        <v>0</v>
      </c>
      <c r="S275" s="312" t="n">
        <v>70</v>
      </c>
      <c r="T275" s="312" t="n">
        <v>100</v>
      </c>
      <c r="U275" s="312" t="n">
        <v>70</v>
      </c>
      <c r="V275" s="312" t="n">
        <v>75</v>
      </c>
      <c r="W275" s="312" t="n">
        <v>100</v>
      </c>
      <c r="X275" s="312" t="n">
        <v>100</v>
      </c>
      <c r="Y275" s="312" t="n">
        <v>0.4</v>
      </c>
      <c r="Z275" s="312" t="n">
        <v>0.91</v>
      </c>
      <c r="AA275" s="312" t="n">
        <v>10</v>
      </c>
      <c r="AB275" s="312" t="n">
        <v>1420</v>
      </c>
      <c r="AC275" s="309" t="s">
        <v>836</v>
      </c>
      <c r="AD275" s="309" t="s">
        <v>182</v>
      </c>
      <c r="AE275" s="312" t="n">
        <v>20</v>
      </c>
      <c r="AF275" s="312" t="n">
        <v>40</v>
      </c>
      <c r="AG275" s="312" t="n">
        <v>300</v>
      </c>
      <c r="AH275" s="312" t="n">
        <v>450</v>
      </c>
      <c r="AI275" s="312" t="n">
        <v>170</v>
      </c>
      <c r="AJ275" s="318" t="b">
        <f aca="false">TRUE()</f>
        <v>1</v>
      </c>
      <c r="AK275" s="318" t="b">
        <f aca="false">FALSE()</f>
        <v>0</v>
      </c>
      <c r="AL275" s="309" t="s">
        <v>1247</v>
      </c>
      <c r="AM275" s="318" t="b">
        <f aca="false">FALSE()</f>
        <v>0</v>
      </c>
      <c r="AN275" s="318" t="b">
        <f aca="false">FALSE()</f>
        <v>0</v>
      </c>
      <c r="AO275" s="312" t="n">
        <v>150</v>
      </c>
      <c r="AP275" s="312" t="n">
        <v>1</v>
      </c>
      <c r="AQ275" s="312" t="n">
        <v>2</v>
      </c>
      <c r="AR275" s="312" t="n">
        <v>25</v>
      </c>
      <c r="AS275" s="312" t="n">
        <v>90</v>
      </c>
      <c r="AT275" s="312" t="n">
        <v>1</v>
      </c>
      <c r="AU275" s="318" t="b">
        <f aca="false">FALSE()</f>
        <v>0</v>
      </c>
      <c r="AV275" s="318" t="b">
        <f aca="false">FALSE()</f>
        <v>0</v>
      </c>
      <c r="AW275" s="312" t="n">
        <v>9</v>
      </c>
      <c r="AX275" s="318" t="b">
        <f aca="false">FALSE()</f>
        <v>0</v>
      </c>
      <c r="AY275" s="318" t="b">
        <f aca="false">TRUE()</f>
        <v>1</v>
      </c>
      <c r="AZ275" s="312" t="n">
        <v>100</v>
      </c>
      <c r="BA275" s="312" t="n">
        <v>50</v>
      </c>
      <c r="BB275" s="312" t="n">
        <v>1455</v>
      </c>
      <c r="BC275" s="312" t="n">
        <v>0</v>
      </c>
      <c r="BD275" s="312" t="n">
        <v>0</v>
      </c>
      <c r="BE275" s="312" t="n">
        <v>0</v>
      </c>
      <c r="BF275" s="312" t="n">
        <v>0</v>
      </c>
      <c r="BG275" s="312" t="n">
        <v>0</v>
      </c>
      <c r="BH275" s="312" t="n">
        <v>1</v>
      </c>
      <c r="BI275" s="312" t="n">
        <v>0</v>
      </c>
      <c r="BJ275" s="312" t="n">
        <v>0</v>
      </c>
      <c r="BK275" s="312" t="n">
        <v>0</v>
      </c>
      <c r="BL275" s="312" t="n">
        <v>0</v>
      </c>
      <c r="BM275" s="312" t="n">
        <v>0</v>
      </c>
      <c r="BN275" s="312" t="n">
        <v>0</v>
      </c>
      <c r="BO275" s="312" t="n">
        <v>1</v>
      </c>
      <c r="BP275" s="309" t="s">
        <v>182</v>
      </c>
      <c r="BQ275" s="309" t="s">
        <v>182</v>
      </c>
      <c r="BR275" s="309" t="s">
        <v>182</v>
      </c>
      <c r="BS275" s="309" t="s">
        <v>182</v>
      </c>
      <c r="BT275" s="312" t="n">
        <v>354</v>
      </c>
      <c r="BU275" s="318" t="b">
        <f aca="false">FALSE()</f>
        <v>0</v>
      </c>
      <c r="BV275" s="3" t="e">
        <f aca="false">xlookup(MID($A275,7,50),$A$2:$A$139,$BV$2:$BV$139,,0,1)</f>
        <v>#NAME?</v>
      </c>
      <c r="BW275" s="3"/>
      <c r="BX275" s="3"/>
      <c r="BY275" s="3"/>
      <c r="BZ275" s="3"/>
      <c r="CA275" s="3"/>
      <c r="CB275" s="3"/>
      <c r="CC275" s="3"/>
      <c r="CD275" s="3"/>
      <c r="CE275" s="3"/>
      <c r="CF275" s="3"/>
      <c r="CG275" s="3"/>
      <c r="CH275" s="3"/>
      <c r="CI275" s="3" t="s">
        <v>877</v>
      </c>
      <c r="CJ275" s="3" t="s">
        <v>940</v>
      </c>
      <c r="CK275" s="3" t="s">
        <v>941</v>
      </c>
      <c r="CL275" s="3" t="s">
        <v>942</v>
      </c>
      <c r="CM275" s="3" t="s">
        <v>943</v>
      </c>
      <c r="CN275" s="3" t="s">
        <v>944</v>
      </c>
      <c r="CO275" s="3"/>
      <c r="CP275" s="3"/>
      <c r="CQ275" s="3"/>
      <c r="CR275" s="3"/>
      <c r="CS275" s="3"/>
      <c r="CT275" s="3"/>
      <c r="CU275" s="3" t="s">
        <v>1175</v>
      </c>
      <c r="CV275" s="3" t="s">
        <v>850</v>
      </c>
      <c r="CW275" s="3" t="s">
        <v>851</v>
      </c>
      <c r="CX275" s="3" t="s">
        <v>852</v>
      </c>
      <c r="CY275" s="3" t="s">
        <v>853</v>
      </c>
      <c r="CZ275" s="3" t="s">
        <v>854</v>
      </c>
    </row>
    <row r="276" customFormat="false" ht="15.75" hidden="false" customHeight="false" outlineLevel="0" collapsed="false">
      <c r="A276" s="309" t="s">
        <v>1912</v>
      </c>
      <c r="B276" s="309" t="s">
        <v>1913</v>
      </c>
      <c r="C276" s="309" t="s">
        <v>1914</v>
      </c>
      <c r="D276" s="309" t="s">
        <v>1915</v>
      </c>
      <c r="E276" s="309" t="s">
        <v>1916</v>
      </c>
      <c r="F276" s="318" t="b">
        <f aca="false">TRUE()</f>
        <v>1</v>
      </c>
      <c r="G276" s="309" t="s">
        <v>441</v>
      </c>
      <c r="H276" s="309" t="s">
        <v>1913</v>
      </c>
      <c r="I276" s="312" t="n">
        <v>-1</v>
      </c>
      <c r="J276" s="3"/>
      <c r="K276" s="309" t="s">
        <v>884</v>
      </c>
      <c r="L276" s="312" t="n">
        <v>7</v>
      </c>
      <c r="M276" s="309" t="s">
        <v>771</v>
      </c>
      <c r="N276" s="309" t="s">
        <v>743</v>
      </c>
      <c r="O276" s="309" t="s">
        <v>744</v>
      </c>
      <c r="P276" s="309" t="s">
        <v>745</v>
      </c>
      <c r="Q276" s="309" t="s">
        <v>746</v>
      </c>
      <c r="R276" s="318" t="b">
        <f aca="false">FALSE()</f>
        <v>0</v>
      </c>
      <c r="S276" s="312" t="n">
        <v>140</v>
      </c>
      <c r="T276" s="312" t="n">
        <v>100</v>
      </c>
      <c r="U276" s="312" t="n">
        <v>80</v>
      </c>
      <c r="V276" s="312" t="n">
        <v>100</v>
      </c>
      <c r="W276" s="312" t="n">
        <v>100</v>
      </c>
      <c r="X276" s="312" t="n">
        <v>100</v>
      </c>
      <c r="Y276" s="312" t="n">
        <v>0.2</v>
      </c>
      <c r="Z276" s="312" t="n">
        <v>0.7</v>
      </c>
      <c r="AA276" s="312" t="n">
        <v>10</v>
      </c>
      <c r="AB276" s="312" t="n">
        <v>5900</v>
      </c>
      <c r="AC276" s="309" t="s">
        <v>1253</v>
      </c>
      <c r="AD276" s="309" t="s">
        <v>182</v>
      </c>
      <c r="AE276" s="312" t="n">
        <v>70</v>
      </c>
      <c r="AF276" s="312" t="n">
        <v>100</v>
      </c>
      <c r="AG276" s="312" t="n">
        <v>365</v>
      </c>
      <c r="AH276" s="312" t="n">
        <v>650</v>
      </c>
      <c r="AI276" s="312" t="n">
        <v>150</v>
      </c>
      <c r="AJ276" s="318" t="b">
        <f aca="false">TRUE()</f>
        <v>1</v>
      </c>
      <c r="AK276" s="318" t="b">
        <f aca="false">FALSE()</f>
        <v>0</v>
      </c>
      <c r="AL276" s="309" t="s">
        <v>1247</v>
      </c>
      <c r="AM276" s="318" t="b">
        <f aca="false">FALSE()</f>
        <v>0</v>
      </c>
      <c r="AN276" s="318" t="b">
        <f aca="false">FALSE()</f>
        <v>0</v>
      </c>
      <c r="AO276" s="312" t="n">
        <v>525</v>
      </c>
      <c r="AP276" s="312" t="n">
        <v>1</v>
      </c>
      <c r="AQ276" s="312" t="n">
        <v>8</v>
      </c>
      <c r="AR276" s="312" t="n">
        <v>25</v>
      </c>
      <c r="AS276" s="312" t="n">
        <v>90</v>
      </c>
      <c r="AT276" s="312" t="n">
        <v>1</v>
      </c>
      <c r="AU276" s="318" t="b">
        <f aca="false">FALSE()</f>
        <v>0</v>
      </c>
      <c r="AV276" s="318" t="b">
        <f aca="false">FALSE()</f>
        <v>0</v>
      </c>
      <c r="AW276" s="312" t="n">
        <v>9</v>
      </c>
      <c r="AX276" s="318" t="b">
        <f aca="false">TRUE()</f>
        <v>1</v>
      </c>
      <c r="AY276" s="318" t="b">
        <f aca="false">TRUE()</f>
        <v>1</v>
      </c>
      <c r="AZ276" s="312" t="n">
        <v>100</v>
      </c>
      <c r="BA276" s="312" t="n">
        <v>50</v>
      </c>
      <c r="BB276" s="312" t="n">
        <v>460</v>
      </c>
      <c r="BC276" s="312" t="n">
        <v>0</v>
      </c>
      <c r="BD276" s="312" t="n">
        <v>0</v>
      </c>
      <c r="BE276" s="312" t="n">
        <v>0</v>
      </c>
      <c r="BF276" s="312" t="n">
        <v>0</v>
      </c>
      <c r="BG276" s="312" t="n">
        <v>2</v>
      </c>
      <c r="BH276" s="312" t="n">
        <v>0</v>
      </c>
      <c r="BI276" s="312" t="n">
        <v>3</v>
      </c>
      <c r="BJ276" s="312" t="n">
        <v>0</v>
      </c>
      <c r="BK276" s="312" t="n">
        <v>0</v>
      </c>
      <c r="BL276" s="312" t="n">
        <v>0</v>
      </c>
      <c r="BM276" s="312" t="n">
        <v>2</v>
      </c>
      <c r="BN276" s="312" t="n">
        <v>4</v>
      </c>
      <c r="BO276" s="312" t="n">
        <v>0</v>
      </c>
      <c r="BP276" s="309" t="s">
        <v>182</v>
      </c>
      <c r="BQ276" s="309" t="s">
        <v>182</v>
      </c>
      <c r="BR276" s="309" t="s">
        <v>182</v>
      </c>
      <c r="BS276" s="309" t="s">
        <v>182</v>
      </c>
      <c r="BT276" s="312" t="n">
        <v>355</v>
      </c>
      <c r="BU276" s="318" t="b">
        <f aca="false">FALSE()</f>
        <v>0</v>
      </c>
      <c r="BV276" s="3" t="e">
        <f aca="false">xlookup(MID($A276,7,50),$A$2:$A$139,$BV$2:$BV$139,,0,1)</f>
        <v>#NAME?</v>
      </c>
      <c r="BW276" s="3"/>
      <c r="BX276" s="85" t="n">
        <v>44</v>
      </c>
      <c r="BY276" s="3" t="s">
        <v>1082</v>
      </c>
      <c r="BZ276" s="3" t="s">
        <v>775</v>
      </c>
      <c r="CA276" s="3"/>
      <c r="CB276" s="3"/>
      <c r="CC276" s="3"/>
      <c r="CD276" s="3"/>
      <c r="CE276" s="3"/>
      <c r="CF276" s="3"/>
      <c r="CG276" s="311" t="b">
        <f aca="false">TRUE()</f>
        <v>1</v>
      </c>
      <c r="CH276" s="3" t="s">
        <v>776</v>
      </c>
      <c r="CI276" s="3"/>
      <c r="CJ276" s="3"/>
      <c r="CK276" s="3"/>
      <c r="CL276" s="3"/>
      <c r="CM276" s="3"/>
      <c r="CN276" s="3"/>
      <c r="CO276" s="3"/>
      <c r="CP276" s="3"/>
      <c r="CQ276" s="3"/>
      <c r="CR276" s="3"/>
      <c r="CS276" s="3"/>
      <c r="CT276" s="3"/>
      <c r="CU276" s="85" t="n">
        <v>8</v>
      </c>
      <c r="CV276" s="3" t="s">
        <v>860</v>
      </c>
      <c r="CW276" s="3" t="s">
        <v>1030</v>
      </c>
      <c r="CX276" s="3" t="s">
        <v>1031</v>
      </c>
      <c r="CY276" s="3" t="s">
        <v>1083</v>
      </c>
      <c r="CZ276" s="3" t="s">
        <v>1084</v>
      </c>
    </row>
    <row r="277" customFormat="false" ht="15.75" hidden="false" customHeight="false" outlineLevel="0" collapsed="false">
      <c r="A277" s="309" t="s">
        <v>1917</v>
      </c>
      <c r="B277" s="309" t="s">
        <v>1918</v>
      </c>
      <c r="C277" s="309" t="s">
        <v>1919</v>
      </c>
      <c r="D277" s="309" t="s">
        <v>1920</v>
      </c>
      <c r="E277" s="309" t="s">
        <v>1921</v>
      </c>
      <c r="F277" s="318" t="b">
        <f aca="false">TRUE()</f>
        <v>1</v>
      </c>
      <c r="G277" s="309" t="s">
        <v>1085</v>
      </c>
      <c r="H277" s="309" t="s">
        <v>1918</v>
      </c>
      <c r="I277" s="312" t="n">
        <v>-1</v>
      </c>
      <c r="J277" s="3"/>
      <c r="K277" s="309" t="s">
        <v>884</v>
      </c>
      <c r="L277" s="312" t="n">
        <v>8</v>
      </c>
      <c r="M277" s="309" t="s">
        <v>783</v>
      </c>
      <c r="N277" s="309" t="s">
        <v>743</v>
      </c>
      <c r="O277" s="309" t="s">
        <v>744</v>
      </c>
      <c r="P277" s="309" t="s">
        <v>745</v>
      </c>
      <c r="Q277" s="309" t="s">
        <v>746</v>
      </c>
      <c r="R277" s="318" t="b">
        <f aca="false">FALSE()</f>
        <v>0</v>
      </c>
      <c r="S277" s="312" t="n">
        <v>140</v>
      </c>
      <c r="T277" s="312" t="n">
        <v>100</v>
      </c>
      <c r="U277" s="312" t="n">
        <v>80</v>
      </c>
      <c r="V277" s="312" t="n">
        <v>110</v>
      </c>
      <c r="W277" s="312" t="n">
        <v>100</v>
      </c>
      <c r="X277" s="312" t="n">
        <v>100</v>
      </c>
      <c r="Y277" s="312" t="n">
        <v>0.2</v>
      </c>
      <c r="Z277" s="312" t="n">
        <v>0.7</v>
      </c>
      <c r="AA277" s="312" t="n">
        <v>10</v>
      </c>
      <c r="AB277" s="312" t="n">
        <v>5700</v>
      </c>
      <c r="AC277" s="309" t="s">
        <v>1253</v>
      </c>
      <c r="AD277" s="309" t="s">
        <v>182</v>
      </c>
      <c r="AE277" s="312" t="n">
        <v>70</v>
      </c>
      <c r="AF277" s="312" t="n">
        <v>100</v>
      </c>
      <c r="AG277" s="312" t="n">
        <v>365</v>
      </c>
      <c r="AH277" s="312" t="n">
        <v>650</v>
      </c>
      <c r="AI277" s="312" t="n">
        <v>150</v>
      </c>
      <c r="AJ277" s="318" t="b">
        <f aca="false">TRUE()</f>
        <v>1</v>
      </c>
      <c r="AK277" s="318" t="b">
        <f aca="false">FALSE()</f>
        <v>0</v>
      </c>
      <c r="AL277" s="309" t="s">
        <v>1247</v>
      </c>
      <c r="AM277" s="318" t="b">
        <f aca="false">FALSE()</f>
        <v>0</v>
      </c>
      <c r="AN277" s="318" t="b">
        <f aca="false">FALSE()</f>
        <v>0</v>
      </c>
      <c r="AO277" s="312" t="n">
        <v>525</v>
      </c>
      <c r="AP277" s="312" t="n">
        <v>1</v>
      </c>
      <c r="AQ277" s="312" t="n">
        <v>8</v>
      </c>
      <c r="AR277" s="312" t="n">
        <v>25</v>
      </c>
      <c r="AS277" s="312" t="n">
        <v>90</v>
      </c>
      <c r="AT277" s="312" t="n">
        <v>1</v>
      </c>
      <c r="AU277" s="318" t="b">
        <f aca="false">FALSE()</f>
        <v>0</v>
      </c>
      <c r="AV277" s="318" t="b">
        <f aca="false">FALSE()</f>
        <v>0</v>
      </c>
      <c r="AW277" s="312" t="n">
        <v>9</v>
      </c>
      <c r="AX277" s="318" t="b">
        <f aca="false">TRUE()</f>
        <v>1</v>
      </c>
      <c r="AY277" s="318" t="b">
        <f aca="false">TRUE()</f>
        <v>1</v>
      </c>
      <c r="AZ277" s="312" t="n">
        <v>100</v>
      </c>
      <c r="BA277" s="312" t="n">
        <v>50</v>
      </c>
      <c r="BB277" s="312" t="n">
        <v>480</v>
      </c>
      <c r="BC277" s="312" t="n">
        <v>0</v>
      </c>
      <c r="BD277" s="312" t="n">
        <v>0</v>
      </c>
      <c r="BE277" s="312" t="n">
        <v>1</v>
      </c>
      <c r="BF277" s="312" t="n">
        <v>0</v>
      </c>
      <c r="BG277" s="312" t="n">
        <v>2</v>
      </c>
      <c r="BH277" s="312" t="n">
        <v>0</v>
      </c>
      <c r="BI277" s="312" t="n">
        <v>3</v>
      </c>
      <c r="BJ277" s="312" t="n">
        <v>0</v>
      </c>
      <c r="BK277" s="312" t="n">
        <v>0</v>
      </c>
      <c r="BL277" s="312" t="n">
        <v>0</v>
      </c>
      <c r="BM277" s="312" t="n">
        <v>0</v>
      </c>
      <c r="BN277" s="312" t="n">
        <v>4</v>
      </c>
      <c r="BO277" s="312" t="n">
        <v>0</v>
      </c>
      <c r="BP277" s="309" t="s">
        <v>182</v>
      </c>
      <c r="BQ277" s="309" t="s">
        <v>182</v>
      </c>
      <c r="BR277" s="309" t="s">
        <v>182</v>
      </c>
      <c r="BS277" s="309" t="s">
        <v>182</v>
      </c>
      <c r="BT277" s="312" t="n">
        <v>356</v>
      </c>
      <c r="BU277" s="318" t="b">
        <f aca="false">FALSE()</f>
        <v>0</v>
      </c>
      <c r="BV277" s="3" t="e">
        <f aca="false">xlookup(MID($A277,7,50),$A$2:$A$139,$BV$2:$BV$139,,0,1)</f>
        <v>#NAME?</v>
      </c>
      <c r="BW277" s="3"/>
      <c r="BX277" s="85" t="n">
        <v>45</v>
      </c>
      <c r="BY277" s="3" t="s">
        <v>1086</v>
      </c>
      <c r="BZ277" s="3" t="s">
        <v>775</v>
      </c>
      <c r="CA277" s="3"/>
      <c r="CB277" s="3"/>
      <c r="CC277" s="3"/>
      <c r="CD277" s="3"/>
      <c r="CE277" s="3"/>
      <c r="CF277" s="3"/>
      <c r="CG277" s="311" t="b">
        <f aca="false">TRUE()</f>
        <v>1</v>
      </c>
      <c r="CH277" s="3" t="s">
        <v>776</v>
      </c>
      <c r="CI277" s="3"/>
      <c r="CJ277" s="3"/>
      <c r="CK277" s="3"/>
      <c r="CL277" s="3"/>
      <c r="CM277" s="3"/>
      <c r="CN277" s="3"/>
      <c r="CO277" s="3"/>
      <c r="CP277" s="3"/>
      <c r="CQ277" s="3"/>
      <c r="CR277" s="3"/>
      <c r="CS277" s="3"/>
      <c r="CT277" s="3"/>
      <c r="CU277" s="85" t="n">
        <v>8</v>
      </c>
      <c r="CV277" s="3" t="s">
        <v>860</v>
      </c>
      <c r="CW277" s="3" t="s">
        <v>1030</v>
      </c>
      <c r="CX277" s="3" t="s">
        <v>1031</v>
      </c>
      <c r="CY277" s="3" t="s">
        <v>1083</v>
      </c>
      <c r="CZ277" s="3" t="s">
        <v>1084</v>
      </c>
    </row>
    <row r="278" customFormat="false" ht="15.75" hidden="false" customHeight="false" outlineLevel="0" collapsed="false">
      <c r="A278" s="290"/>
      <c r="B278" s="290"/>
      <c r="C278" s="290"/>
      <c r="D278" s="290"/>
      <c r="E278" s="290"/>
      <c r="F278" s="290"/>
      <c r="G278" s="290"/>
      <c r="H278" s="290"/>
      <c r="I278" s="290"/>
      <c r="J278" s="3"/>
      <c r="K278" s="290"/>
      <c r="L278" s="290"/>
      <c r="M278" s="290"/>
      <c r="N278" s="290"/>
      <c r="O278" s="290"/>
      <c r="P278" s="290"/>
      <c r="Q278" s="290"/>
      <c r="R278" s="290"/>
      <c r="S278" s="290"/>
      <c r="T278" s="290"/>
      <c r="U278" s="290"/>
      <c r="V278" s="290"/>
      <c r="W278" s="290"/>
      <c r="X278" s="290"/>
      <c r="Y278" s="290"/>
      <c r="Z278" s="290"/>
      <c r="AA278" s="290"/>
      <c r="AB278" s="290"/>
      <c r="AC278" s="290"/>
      <c r="AD278" s="290"/>
      <c r="AE278" s="290"/>
      <c r="AF278" s="290"/>
      <c r="AG278" s="290"/>
      <c r="AH278" s="290"/>
      <c r="AI278" s="290"/>
      <c r="AJ278" s="290"/>
      <c r="AK278" s="290"/>
      <c r="AL278" s="290"/>
      <c r="AM278" s="290"/>
      <c r="AN278" s="290"/>
      <c r="AO278" s="290"/>
      <c r="AP278" s="290"/>
      <c r="AQ278" s="290"/>
      <c r="AR278" s="290"/>
      <c r="AS278" s="290"/>
      <c r="AT278" s="290"/>
      <c r="AU278" s="290"/>
      <c r="AV278" s="290"/>
      <c r="AW278" s="290"/>
      <c r="AX278" s="290"/>
      <c r="AY278" s="290"/>
      <c r="AZ278" s="290"/>
      <c r="BA278" s="290"/>
      <c r="BB278" s="290"/>
      <c r="BC278" s="290"/>
      <c r="BD278" s="290"/>
      <c r="BE278" s="290"/>
      <c r="BF278" s="290"/>
      <c r="BG278" s="290"/>
      <c r="BH278" s="290"/>
      <c r="BI278" s="290"/>
      <c r="BJ278" s="290"/>
      <c r="BK278" s="290"/>
      <c r="BL278" s="290"/>
      <c r="BM278" s="290"/>
      <c r="BN278" s="290"/>
      <c r="BO278" s="290"/>
      <c r="BP278" s="290"/>
      <c r="BQ278" s="290"/>
      <c r="BR278" s="290"/>
      <c r="BS278" s="290"/>
      <c r="BT278" s="290"/>
      <c r="BU278" s="290"/>
      <c r="BV278" s="290"/>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row>
    <row r="279" customFormat="false" ht="15.75" hidden="false" customHeight="false" outlineLevel="0" collapsed="false">
      <c r="A279" s="290"/>
      <c r="B279" s="290"/>
      <c r="C279" s="290"/>
      <c r="D279" s="290"/>
      <c r="E279" s="290"/>
      <c r="F279" s="290"/>
      <c r="G279" s="290"/>
      <c r="H279" s="290"/>
      <c r="I279" s="290"/>
      <c r="J279" s="3"/>
      <c r="K279" s="290"/>
      <c r="L279" s="290"/>
      <c r="M279" s="290"/>
      <c r="N279" s="290"/>
      <c r="O279" s="290"/>
      <c r="P279" s="290"/>
      <c r="Q279" s="290"/>
      <c r="R279" s="290"/>
      <c r="S279" s="290"/>
      <c r="T279" s="290"/>
      <c r="U279" s="290"/>
      <c r="V279" s="290"/>
      <c r="W279" s="290"/>
      <c r="X279" s="290"/>
      <c r="Y279" s="290"/>
      <c r="Z279" s="290"/>
      <c r="AA279" s="290"/>
      <c r="AB279" s="290"/>
      <c r="AC279" s="290"/>
      <c r="AD279" s="290"/>
      <c r="AE279" s="290"/>
      <c r="AF279" s="290"/>
      <c r="AG279" s="290"/>
      <c r="AH279" s="290"/>
      <c r="AI279" s="290"/>
      <c r="AJ279" s="290"/>
      <c r="AK279" s="290"/>
      <c r="AL279" s="290"/>
      <c r="AM279" s="290"/>
      <c r="AN279" s="290"/>
      <c r="AO279" s="290"/>
      <c r="AP279" s="290"/>
      <c r="AQ279" s="290"/>
      <c r="AR279" s="290"/>
      <c r="AS279" s="290"/>
      <c r="AT279" s="290"/>
      <c r="AU279" s="290"/>
      <c r="AV279" s="290"/>
      <c r="AW279" s="290"/>
      <c r="AX279" s="290"/>
      <c r="AY279" s="290"/>
      <c r="AZ279" s="290"/>
      <c r="BA279" s="290"/>
      <c r="BB279" s="290"/>
      <c r="BC279" s="290"/>
      <c r="BD279" s="290"/>
      <c r="BE279" s="290"/>
      <c r="BF279" s="290"/>
      <c r="BG279" s="290"/>
      <c r="BH279" s="290"/>
      <c r="BI279" s="290"/>
      <c r="BJ279" s="290"/>
      <c r="BK279" s="290"/>
      <c r="BL279" s="290"/>
      <c r="BM279" s="290"/>
      <c r="BN279" s="290"/>
      <c r="BO279" s="290"/>
      <c r="BP279" s="290"/>
      <c r="BQ279" s="290"/>
      <c r="BR279" s="290"/>
      <c r="BS279" s="290"/>
      <c r="BT279" s="290"/>
      <c r="BU279" s="290"/>
      <c r="BV279" s="290"/>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row>
    <row r="280" customFormat="false" ht="15.75" hidden="false" customHeight="false" outlineLevel="0" collapsed="false">
      <c r="A280" s="290"/>
      <c r="B280" s="290"/>
      <c r="C280" s="290"/>
      <c r="D280" s="290"/>
      <c r="E280" s="290"/>
      <c r="F280" s="290"/>
      <c r="G280" s="290"/>
      <c r="H280" s="290"/>
      <c r="I280" s="290"/>
      <c r="J280" s="3"/>
      <c r="K280" s="290"/>
      <c r="L280" s="290"/>
      <c r="M280" s="290"/>
      <c r="N280" s="290"/>
      <c r="O280" s="290"/>
      <c r="P280" s="290"/>
      <c r="Q280" s="290"/>
      <c r="R280" s="290"/>
      <c r="S280" s="290"/>
      <c r="T280" s="290"/>
      <c r="U280" s="290"/>
      <c r="V280" s="290"/>
      <c r="W280" s="290"/>
      <c r="X280" s="290"/>
      <c r="Y280" s="290"/>
      <c r="Z280" s="290"/>
      <c r="AA280" s="290"/>
      <c r="AB280" s="290"/>
      <c r="AC280" s="290"/>
      <c r="AD280" s="290"/>
      <c r="AE280" s="290"/>
      <c r="AF280" s="290"/>
      <c r="AG280" s="290"/>
      <c r="AH280" s="290"/>
      <c r="AI280" s="290"/>
      <c r="AJ280" s="290"/>
      <c r="AK280" s="290"/>
      <c r="AL280" s="290"/>
      <c r="AM280" s="290"/>
      <c r="AN280" s="290"/>
      <c r="AO280" s="290"/>
      <c r="AP280" s="290"/>
      <c r="AQ280" s="290"/>
      <c r="AR280" s="290"/>
      <c r="AS280" s="290"/>
      <c r="AT280" s="290"/>
      <c r="AU280" s="290"/>
      <c r="AV280" s="290"/>
      <c r="AW280" s="290"/>
      <c r="AX280" s="290"/>
      <c r="AY280" s="290"/>
      <c r="AZ280" s="290"/>
      <c r="BA280" s="290"/>
      <c r="BB280" s="290"/>
      <c r="BC280" s="290"/>
      <c r="BD280" s="290"/>
      <c r="BE280" s="290"/>
      <c r="BF280" s="290"/>
      <c r="BG280" s="290"/>
      <c r="BH280" s="290"/>
      <c r="BI280" s="290"/>
      <c r="BJ280" s="290"/>
      <c r="BK280" s="290"/>
      <c r="BL280" s="290"/>
      <c r="BM280" s="290"/>
      <c r="BN280" s="290"/>
      <c r="BO280" s="290"/>
      <c r="BP280" s="290"/>
      <c r="BQ280" s="290"/>
      <c r="BR280" s="290"/>
      <c r="BS280" s="290"/>
      <c r="BT280" s="290"/>
      <c r="BU280" s="290"/>
      <c r="BV280" s="290"/>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row>
    <row r="281" customFormat="false" ht="15.75" hidden="false" customHeight="false" outlineLevel="0" collapsed="false">
      <c r="A281" s="290"/>
      <c r="B281" s="290"/>
      <c r="C281" s="290"/>
      <c r="D281" s="290"/>
      <c r="E281" s="290"/>
      <c r="F281" s="290"/>
      <c r="G281" s="290"/>
      <c r="H281" s="290"/>
      <c r="I281" s="290"/>
      <c r="J281" s="3"/>
      <c r="K281" s="290"/>
      <c r="L281" s="290"/>
      <c r="M281" s="290"/>
      <c r="N281" s="290"/>
      <c r="O281" s="290"/>
      <c r="P281" s="290"/>
      <c r="Q281" s="290"/>
      <c r="R281" s="290"/>
      <c r="S281" s="290"/>
      <c r="T281" s="290"/>
      <c r="U281" s="290"/>
      <c r="V281" s="290"/>
      <c r="W281" s="290"/>
      <c r="X281" s="290"/>
      <c r="Y281" s="290"/>
      <c r="Z281" s="290"/>
      <c r="AA281" s="290"/>
      <c r="AB281" s="290"/>
      <c r="AC281" s="290"/>
      <c r="AD281" s="290"/>
      <c r="AE281" s="290"/>
      <c r="AF281" s="290"/>
      <c r="AG281" s="290"/>
      <c r="AH281" s="290"/>
      <c r="AI281" s="290"/>
      <c r="AJ281" s="290"/>
      <c r="AK281" s="290"/>
      <c r="AL281" s="290"/>
      <c r="AM281" s="290"/>
      <c r="AN281" s="290"/>
      <c r="AO281" s="290"/>
      <c r="AP281" s="290"/>
      <c r="AQ281" s="290"/>
      <c r="AR281" s="290"/>
      <c r="AS281" s="290"/>
      <c r="AT281" s="290"/>
      <c r="AU281" s="290"/>
      <c r="AV281" s="290"/>
      <c r="AW281" s="290"/>
      <c r="AX281" s="290"/>
      <c r="AY281" s="290"/>
      <c r="AZ281" s="290"/>
      <c r="BA281" s="290"/>
      <c r="BB281" s="290"/>
      <c r="BC281" s="290"/>
      <c r="BD281" s="290"/>
      <c r="BE281" s="290"/>
      <c r="BF281" s="290"/>
      <c r="BG281" s="290"/>
      <c r="BH281" s="290"/>
      <c r="BI281" s="290"/>
      <c r="BJ281" s="290"/>
      <c r="BK281" s="290"/>
      <c r="BL281" s="290"/>
      <c r="BM281" s="290"/>
      <c r="BN281" s="290"/>
      <c r="BO281" s="290"/>
      <c r="BP281" s="290"/>
      <c r="BQ281" s="290"/>
      <c r="BR281" s="290"/>
      <c r="BS281" s="290"/>
      <c r="BT281" s="290"/>
      <c r="BU281" s="290"/>
      <c r="BV281" s="290"/>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row>
    <row r="282" customFormat="false" ht="15.75" hidden="false" customHeight="false" outlineLevel="0" collapsed="false">
      <c r="A282" s="290"/>
      <c r="B282" s="290"/>
      <c r="C282" s="290"/>
      <c r="D282" s="290"/>
      <c r="E282" s="290"/>
      <c r="F282" s="290"/>
      <c r="G282" s="290"/>
      <c r="H282" s="290"/>
      <c r="I282" s="290"/>
      <c r="J282" s="3"/>
      <c r="K282" s="290"/>
      <c r="L282" s="290"/>
      <c r="M282" s="290"/>
      <c r="N282" s="290"/>
      <c r="O282" s="290"/>
      <c r="P282" s="290"/>
      <c r="Q282" s="290"/>
      <c r="R282" s="290"/>
      <c r="S282" s="290"/>
      <c r="T282" s="290"/>
      <c r="U282" s="290"/>
      <c r="V282" s="290"/>
      <c r="W282" s="290"/>
      <c r="X282" s="290"/>
      <c r="Y282" s="290"/>
      <c r="Z282" s="290"/>
      <c r="AA282" s="290"/>
      <c r="AB282" s="290"/>
      <c r="AC282" s="290"/>
      <c r="AD282" s="290"/>
      <c r="AE282" s="290"/>
      <c r="AF282" s="290"/>
      <c r="AG282" s="290"/>
      <c r="AH282" s="290"/>
      <c r="AI282" s="290"/>
      <c r="AJ282" s="290"/>
      <c r="AK282" s="290"/>
      <c r="AL282" s="290"/>
      <c r="AM282" s="290"/>
      <c r="AN282" s="290"/>
      <c r="AO282" s="290"/>
      <c r="AP282" s="290"/>
      <c r="AQ282" s="290"/>
      <c r="AR282" s="290"/>
      <c r="AS282" s="290"/>
      <c r="AT282" s="290"/>
      <c r="AU282" s="290"/>
      <c r="AV282" s="290"/>
      <c r="AW282" s="290"/>
      <c r="AX282" s="290"/>
      <c r="AY282" s="290"/>
      <c r="AZ282" s="290"/>
      <c r="BA282" s="290"/>
      <c r="BB282" s="290"/>
      <c r="BC282" s="290"/>
      <c r="BD282" s="290"/>
      <c r="BE282" s="290"/>
      <c r="BF282" s="290"/>
      <c r="BG282" s="290"/>
      <c r="BH282" s="290"/>
      <c r="BI282" s="290"/>
      <c r="BJ282" s="290"/>
      <c r="BK282" s="290"/>
      <c r="BL282" s="290"/>
      <c r="BM282" s="290"/>
      <c r="BN282" s="290"/>
      <c r="BO282" s="290"/>
      <c r="BP282" s="290"/>
      <c r="BQ282" s="290"/>
      <c r="BR282" s="290"/>
      <c r="BS282" s="290"/>
      <c r="BT282" s="290"/>
      <c r="BU282" s="290"/>
      <c r="BV282" s="290"/>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row>
    <row r="283" customFormat="false" ht="15.75" hidden="false" customHeight="false" outlineLevel="0" collapsed="false">
      <c r="A283" s="290"/>
      <c r="B283" s="290"/>
      <c r="C283" s="290"/>
      <c r="D283" s="290"/>
      <c r="E283" s="290"/>
      <c r="F283" s="290"/>
      <c r="G283" s="290"/>
      <c r="H283" s="290"/>
      <c r="I283" s="290"/>
      <c r="J283" s="3"/>
      <c r="K283" s="290"/>
      <c r="L283" s="290"/>
      <c r="M283" s="290"/>
      <c r="N283" s="290"/>
      <c r="O283" s="290"/>
      <c r="P283" s="290"/>
      <c r="Q283" s="290"/>
      <c r="R283" s="290"/>
      <c r="S283" s="290"/>
      <c r="T283" s="290"/>
      <c r="U283" s="290"/>
      <c r="V283" s="290"/>
      <c r="W283" s="290"/>
      <c r="X283" s="290"/>
      <c r="Y283" s="290"/>
      <c r="Z283" s="290"/>
      <c r="AA283" s="290"/>
      <c r="AB283" s="290"/>
      <c r="AC283" s="290"/>
      <c r="AD283" s="290"/>
      <c r="AE283" s="290"/>
      <c r="AF283" s="290"/>
      <c r="AG283" s="290"/>
      <c r="AH283" s="290"/>
      <c r="AI283" s="290"/>
      <c r="AJ283" s="290"/>
      <c r="AK283" s="290"/>
      <c r="AL283" s="290"/>
      <c r="AM283" s="290"/>
      <c r="AN283" s="290"/>
      <c r="AO283" s="290"/>
      <c r="AP283" s="290"/>
      <c r="AQ283" s="290"/>
      <c r="AR283" s="290"/>
      <c r="AS283" s="290"/>
      <c r="AT283" s="290"/>
      <c r="AU283" s="290"/>
      <c r="AV283" s="290"/>
      <c r="AW283" s="290"/>
      <c r="AX283" s="290"/>
      <c r="AY283" s="290"/>
      <c r="AZ283" s="290"/>
      <c r="BA283" s="290"/>
      <c r="BB283" s="290"/>
      <c r="BC283" s="290"/>
      <c r="BD283" s="290"/>
      <c r="BE283" s="290"/>
      <c r="BF283" s="290"/>
      <c r="BG283" s="290"/>
      <c r="BH283" s="290"/>
      <c r="BI283" s="290"/>
      <c r="BJ283" s="290"/>
      <c r="BK283" s="290"/>
      <c r="BL283" s="290"/>
      <c r="BM283" s="290"/>
      <c r="BN283" s="290"/>
      <c r="BO283" s="290"/>
      <c r="BP283" s="290"/>
      <c r="BQ283" s="290"/>
      <c r="BR283" s="290"/>
      <c r="BS283" s="290"/>
      <c r="BT283" s="290"/>
      <c r="BU283" s="290"/>
      <c r="BV283" s="290"/>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row>
    <row r="284" customFormat="false" ht="15.75" hidden="false" customHeight="false" outlineLevel="0" collapsed="false">
      <c r="A284" s="290"/>
      <c r="B284" s="290"/>
      <c r="C284" s="290"/>
      <c r="D284" s="290"/>
      <c r="E284" s="290"/>
      <c r="F284" s="290"/>
      <c r="G284" s="290"/>
      <c r="H284" s="290"/>
      <c r="I284" s="290"/>
      <c r="J284" s="3"/>
      <c r="K284" s="290"/>
      <c r="L284" s="290"/>
      <c r="M284" s="290"/>
      <c r="N284" s="290"/>
      <c r="O284" s="290"/>
      <c r="P284" s="290"/>
      <c r="Q284" s="290"/>
      <c r="R284" s="290"/>
      <c r="S284" s="290"/>
      <c r="T284" s="290"/>
      <c r="U284" s="290"/>
      <c r="V284" s="290"/>
      <c r="W284" s="290"/>
      <c r="X284" s="290"/>
      <c r="Y284" s="290"/>
      <c r="Z284" s="290"/>
      <c r="AA284" s="290"/>
      <c r="AB284" s="290"/>
      <c r="AC284" s="290"/>
      <c r="AD284" s="290"/>
      <c r="AE284" s="290"/>
      <c r="AF284" s="290"/>
      <c r="AG284" s="290"/>
      <c r="AH284" s="290"/>
      <c r="AI284" s="290"/>
      <c r="AJ284" s="290"/>
      <c r="AK284" s="290"/>
      <c r="AL284" s="290"/>
      <c r="AM284" s="290"/>
      <c r="AN284" s="290"/>
      <c r="AO284" s="290"/>
      <c r="AP284" s="290"/>
      <c r="AQ284" s="290"/>
      <c r="AR284" s="290"/>
      <c r="AS284" s="290"/>
      <c r="AT284" s="290"/>
      <c r="AU284" s="290"/>
      <c r="AV284" s="290"/>
      <c r="AW284" s="290"/>
      <c r="AX284" s="290"/>
      <c r="AY284" s="290"/>
      <c r="AZ284" s="290"/>
      <c r="BA284" s="290"/>
      <c r="BB284" s="290"/>
      <c r="BC284" s="290"/>
      <c r="BD284" s="290"/>
      <c r="BE284" s="290"/>
      <c r="BF284" s="290"/>
      <c r="BG284" s="290"/>
      <c r="BH284" s="290"/>
      <c r="BI284" s="290"/>
      <c r="BJ284" s="290"/>
      <c r="BK284" s="290"/>
      <c r="BL284" s="290"/>
      <c r="BM284" s="290"/>
      <c r="BN284" s="290"/>
      <c r="BO284" s="290"/>
      <c r="BP284" s="290"/>
      <c r="BQ284" s="290"/>
      <c r="BR284" s="290"/>
      <c r="BS284" s="290"/>
      <c r="BT284" s="290"/>
      <c r="BU284" s="290"/>
      <c r="BV284" s="290"/>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row>
    <row r="285" customFormat="false" ht="15.75" hidden="false" customHeight="false" outlineLevel="0" collapsed="false">
      <c r="A285" s="290"/>
      <c r="B285" s="290"/>
      <c r="C285" s="290"/>
      <c r="D285" s="290"/>
      <c r="E285" s="290"/>
      <c r="F285" s="290"/>
      <c r="G285" s="290"/>
      <c r="H285" s="290"/>
      <c r="I285" s="290"/>
      <c r="J285" s="3"/>
      <c r="K285" s="290"/>
      <c r="L285" s="290"/>
      <c r="M285" s="290"/>
      <c r="N285" s="290"/>
      <c r="O285" s="290"/>
      <c r="P285" s="290"/>
      <c r="Q285" s="290"/>
      <c r="R285" s="290"/>
      <c r="S285" s="290"/>
      <c r="T285" s="290"/>
      <c r="U285" s="290"/>
      <c r="V285" s="290"/>
      <c r="W285" s="290"/>
      <c r="X285" s="290"/>
      <c r="Y285" s="290"/>
      <c r="Z285" s="290"/>
      <c r="AA285" s="290"/>
      <c r="AB285" s="290"/>
      <c r="AC285" s="290"/>
      <c r="AD285" s="290"/>
      <c r="AE285" s="290"/>
      <c r="AF285" s="290"/>
      <c r="AG285" s="290"/>
      <c r="AH285" s="290"/>
      <c r="AI285" s="290"/>
      <c r="AJ285" s="290"/>
      <c r="AK285" s="290"/>
      <c r="AL285" s="290"/>
      <c r="AM285" s="290"/>
      <c r="AN285" s="290"/>
      <c r="AO285" s="290"/>
      <c r="AP285" s="290"/>
      <c r="AQ285" s="290"/>
      <c r="AR285" s="290"/>
      <c r="AS285" s="290"/>
      <c r="AT285" s="290"/>
      <c r="AU285" s="290"/>
      <c r="AV285" s="290"/>
      <c r="AW285" s="290"/>
      <c r="AX285" s="290"/>
      <c r="AY285" s="290"/>
      <c r="AZ285" s="290"/>
      <c r="BA285" s="290"/>
      <c r="BB285" s="290"/>
      <c r="BC285" s="290"/>
      <c r="BD285" s="290"/>
      <c r="BE285" s="290"/>
      <c r="BF285" s="290"/>
      <c r="BG285" s="290"/>
      <c r="BH285" s="290"/>
      <c r="BI285" s="290"/>
      <c r="BJ285" s="290"/>
      <c r="BK285" s="290"/>
      <c r="BL285" s="290"/>
      <c r="BM285" s="290"/>
      <c r="BN285" s="290"/>
      <c r="BO285" s="290"/>
      <c r="BP285" s="290"/>
      <c r="BQ285" s="290"/>
      <c r="BR285" s="290"/>
      <c r="BS285" s="290"/>
      <c r="BT285" s="290"/>
      <c r="BU285" s="290"/>
      <c r="BV285" s="290"/>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row>
    <row r="286" customFormat="false" ht="15.75" hidden="false" customHeight="false" outlineLevel="0" collapsed="false">
      <c r="A286" s="290"/>
      <c r="B286" s="290"/>
      <c r="C286" s="290"/>
      <c r="D286" s="290"/>
      <c r="E286" s="290"/>
      <c r="F286" s="290"/>
      <c r="G286" s="290"/>
      <c r="H286" s="290"/>
      <c r="I286" s="290"/>
      <c r="J286" s="3"/>
      <c r="K286" s="290"/>
      <c r="L286" s="290"/>
      <c r="M286" s="290"/>
      <c r="N286" s="290"/>
      <c r="O286" s="290"/>
      <c r="P286" s="290"/>
      <c r="Q286" s="290"/>
      <c r="R286" s="290"/>
      <c r="S286" s="290"/>
      <c r="T286" s="290"/>
      <c r="U286" s="290"/>
      <c r="V286" s="290"/>
      <c r="W286" s="290"/>
      <c r="X286" s="290"/>
      <c r="Y286" s="290"/>
      <c r="Z286" s="290"/>
      <c r="AA286" s="290"/>
      <c r="AB286" s="290"/>
      <c r="AC286" s="290"/>
      <c r="AD286" s="290"/>
      <c r="AE286" s="290"/>
      <c r="AF286" s="290"/>
      <c r="AG286" s="290"/>
      <c r="AH286" s="290"/>
      <c r="AI286" s="290"/>
      <c r="AJ286" s="290"/>
      <c r="AK286" s="290"/>
      <c r="AL286" s="290"/>
      <c r="AM286" s="290"/>
      <c r="AN286" s="290"/>
      <c r="AO286" s="290"/>
      <c r="AP286" s="290"/>
      <c r="AQ286" s="290"/>
      <c r="AR286" s="290"/>
      <c r="AS286" s="290"/>
      <c r="AT286" s="290"/>
      <c r="AU286" s="290"/>
      <c r="AV286" s="290"/>
      <c r="AW286" s="290"/>
      <c r="AX286" s="290"/>
      <c r="AY286" s="290"/>
      <c r="AZ286" s="290"/>
      <c r="BA286" s="290"/>
      <c r="BB286" s="290"/>
      <c r="BC286" s="290"/>
      <c r="BD286" s="290"/>
      <c r="BE286" s="290"/>
      <c r="BF286" s="290"/>
      <c r="BG286" s="290"/>
      <c r="BH286" s="290"/>
      <c r="BI286" s="290"/>
      <c r="BJ286" s="290"/>
      <c r="BK286" s="290"/>
      <c r="BL286" s="290"/>
      <c r="BM286" s="290"/>
      <c r="BN286" s="290"/>
      <c r="BO286" s="290"/>
      <c r="BP286" s="290"/>
      <c r="BQ286" s="290"/>
      <c r="BR286" s="290"/>
      <c r="BS286" s="290"/>
      <c r="BT286" s="290"/>
      <c r="BU286" s="290"/>
      <c r="BV286" s="290"/>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row>
    <row r="287" customFormat="false" ht="15.75" hidden="false" customHeight="false" outlineLevel="0" collapsed="false">
      <c r="A287" s="290"/>
      <c r="B287" s="290"/>
      <c r="C287" s="290"/>
      <c r="D287" s="290"/>
      <c r="E287" s="290"/>
      <c r="F287" s="290"/>
      <c r="G287" s="290"/>
      <c r="H287" s="290"/>
      <c r="I287" s="290"/>
      <c r="J287" s="3"/>
      <c r="K287" s="290"/>
      <c r="L287" s="290"/>
      <c r="M287" s="290"/>
      <c r="N287" s="290"/>
      <c r="O287" s="290"/>
      <c r="P287" s="290"/>
      <c r="Q287" s="290"/>
      <c r="R287" s="290"/>
      <c r="S287" s="290"/>
      <c r="T287" s="290"/>
      <c r="U287" s="290"/>
      <c r="V287" s="290"/>
      <c r="W287" s="290"/>
      <c r="X287" s="290"/>
      <c r="Y287" s="290"/>
      <c r="Z287" s="290"/>
      <c r="AA287" s="290"/>
      <c r="AB287" s="290"/>
      <c r="AC287" s="290"/>
      <c r="AD287" s="290"/>
      <c r="AE287" s="290"/>
      <c r="AF287" s="290"/>
      <c r="AG287" s="290"/>
      <c r="AH287" s="290"/>
      <c r="AI287" s="290"/>
      <c r="AJ287" s="290"/>
      <c r="AK287" s="290"/>
      <c r="AL287" s="290"/>
      <c r="AM287" s="290"/>
      <c r="AN287" s="290"/>
      <c r="AO287" s="290"/>
      <c r="AP287" s="290"/>
      <c r="AQ287" s="290"/>
      <c r="AR287" s="290"/>
      <c r="AS287" s="290"/>
      <c r="AT287" s="290"/>
      <c r="AU287" s="290"/>
      <c r="AV287" s="290"/>
      <c r="AW287" s="290"/>
      <c r="AX287" s="290"/>
      <c r="AY287" s="290"/>
      <c r="AZ287" s="290"/>
      <c r="BA287" s="290"/>
      <c r="BB287" s="290"/>
      <c r="BC287" s="290"/>
      <c r="BD287" s="290"/>
      <c r="BE287" s="290"/>
      <c r="BF287" s="290"/>
      <c r="BG287" s="290"/>
      <c r="BH287" s="290"/>
      <c r="BI287" s="290"/>
      <c r="BJ287" s="290"/>
      <c r="BK287" s="290"/>
      <c r="BL287" s="290"/>
      <c r="BM287" s="290"/>
      <c r="BN287" s="290"/>
      <c r="BO287" s="290"/>
      <c r="BP287" s="290"/>
      <c r="BQ287" s="290"/>
      <c r="BR287" s="290"/>
      <c r="BS287" s="290"/>
      <c r="BT287" s="290"/>
      <c r="BU287" s="290"/>
      <c r="BV287" s="290"/>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row>
    <row r="288" customFormat="false" ht="15.75" hidden="false" customHeight="false" outlineLevel="0" collapsed="false">
      <c r="A288" s="290"/>
      <c r="B288" s="290"/>
      <c r="C288" s="290"/>
      <c r="D288" s="290"/>
      <c r="E288" s="290"/>
      <c r="F288" s="290"/>
      <c r="G288" s="290"/>
      <c r="H288" s="290"/>
      <c r="I288" s="290"/>
      <c r="J288" s="3"/>
      <c r="K288" s="290"/>
      <c r="L288" s="290"/>
      <c r="M288" s="290"/>
      <c r="N288" s="290"/>
      <c r="O288" s="290"/>
      <c r="P288" s="290"/>
      <c r="Q288" s="290"/>
      <c r="R288" s="290"/>
      <c r="S288" s="290"/>
      <c r="T288" s="290"/>
      <c r="U288" s="290"/>
      <c r="V288" s="290"/>
      <c r="W288" s="290"/>
      <c r="X288" s="290"/>
      <c r="Y288" s="290"/>
      <c r="Z288" s="290"/>
      <c r="AA288" s="290"/>
      <c r="AB288" s="290"/>
      <c r="AC288" s="290"/>
      <c r="AD288" s="290"/>
      <c r="AE288" s="290"/>
      <c r="AF288" s="290"/>
      <c r="AG288" s="290"/>
      <c r="AH288" s="290"/>
      <c r="AI288" s="290"/>
      <c r="AJ288" s="290"/>
      <c r="AK288" s="290"/>
      <c r="AL288" s="290"/>
      <c r="AM288" s="290"/>
      <c r="AN288" s="290"/>
      <c r="AO288" s="290"/>
      <c r="AP288" s="290"/>
      <c r="AQ288" s="290"/>
      <c r="AR288" s="290"/>
      <c r="AS288" s="290"/>
      <c r="AT288" s="290"/>
      <c r="AU288" s="290"/>
      <c r="AV288" s="290"/>
      <c r="AW288" s="290"/>
      <c r="AX288" s="290"/>
      <c r="AY288" s="290"/>
      <c r="AZ288" s="290"/>
      <c r="BA288" s="290"/>
      <c r="BB288" s="290"/>
      <c r="BC288" s="290"/>
      <c r="BD288" s="290"/>
      <c r="BE288" s="290"/>
      <c r="BF288" s="290"/>
      <c r="BG288" s="290"/>
      <c r="BH288" s="290"/>
      <c r="BI288" s="290"/>
      <c r="BJ288" s="290"/>
      <c r="BK288" s="290"/>
      <c r="BL288" s="290"/>
      <c r="BM288" s="290"/>
      <c r="BN288" s="290"/>
      <c r="BO288" s="290"/>
      <c r="BP288" s="290"/>
      <c r="BQ288" s="290"/>
      <c r="BR288" s="290"/>
      <c r="BS288" s="290"/>
      <c r="BT288" s="290"/>
      <c r="BU288" s="290"/>
      <c r="BV288" s="290"/>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row>
    <row r="289" customFormat="false" ht="15.75" hidden="false" customHeight="false" outlineLevel="0" collapsed="false">
      <c r="A289" s="290"/>
      <c r="B289" s="290"/>
      <c r="C289" s="290"/>
      <c r="D289" s="290"/>
      <c r="E289" s="290"/>
      <c r="F289" s="290"/>
      <c r="G289" s="290"/>
      <c r="H289" s="290"/>
      <c r="I289" s="290"/>
      <c r="J289" s="3"/>
      <c r="K289" s="290"/>
      <c r="L289" s="290"/>
      <c r="M289" s="290"/>
      <c r="N289" s="290"/>
      <c r="O289" s="290"/>
      <c r="P289" s="290"/>
      <c r="Q289" s="290"/>
      <c r="R289" s="290"/>
      <c r="S289" s="290"/>
      <c r="T289" s="290"/>
      <c r="U289" s="290"/>
      <c r="V289" s="290"/>
      <c r="W289" s="290"/>
      <c r="X289" s="290"/>
      <c r="Y289" s="290"/>
      <c r="Z289" s="290"/>
      <c r="AA289" s="290"/>
      <c r="AB289" s="290"/>
      <c r="AC289" s="290"/>
      <c r="AD289" s="290"/>
      <c r="AE289" s="290"/>
      <c r="AF289" s="290"/>
      <c r="AG289" s="290"/>
      <c r="AH289" s="290"/>
      <c r="AI289" s="290"/>
      <c r="AJ289" s="290"/>
      <c r="AK289" s="290"/>
      <c r="AL289" s="290"/>
      <c r="AM289" s="290"/>
      <c r="AN289" s="290"/>
      <c r="AO289" s="290"/>
      <c r="AP289" s="290"/>
      <c r="AQ289" s="290"/>
      <c r="AR289" s="290"/>
      <c r="AS289" s="290"/>
      <c r="AT289" s="290"/>
      <c r="AU289" s="290"/>
      <c r="AV289" s="290"/>
      <c r="AW289" s="290"/>
      <c r="AX289" s="290"/>
      <c r="AY289" s="290"/>
      <c r="AZ289" s="290"/>
      <c r="BA289" s="290"/>
      <c r="BB289" s="290"/>
      <c r="BC289" s="290"/>
      <c r="BD289" s="290"/>
      <c r="BE289" s="290"/>
      <c r="BF289" s="290"/>
      <c r="BG289" s="290"/>
      <c r="BH289" s="290"/>
      <c r="BI289" s="290"/>
      <c r="BJ289" s="290"/>
      <c r="BK289" s="290"/>
      <c r="BL289" s="290"/>
      <c r="BM289" s="290"/>
      <c r="BN289" s="290"/>
      <c r="BO289" s="290"/>
      <c r="BP289" s="290"/>
      <c r="BQ289" s="290"/>
      <c r="BR289" s="290"/>
      <c r="BS289" s="290"/>
      <c r="BT289" s="290"/>
      <c r="BU289" s="290"/>
      <c r="BV289" s="290"/>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row>
    <row r="290" customFormat="false" ht="15.75" hidden="false" customHeight="false" outlineLevel="0" collapsed="false">
      <c r="A290" s="290"/>
      <c r="B290" s="290"/>
      <c r="C290" s="290"/>
      <c r="D290" s="290"/>
      <c r="E290" s="290"/>
      <c r="F290" s="290"/>
      <c r="G290" s="290"/>
      <c r="H290" s="290"/>
      <c r="I290" s="290"/>
      <c r="J290" s="3"/>
      <c r="K290" s="290"/>
      <c r="L290" s="290"/>
      <c r="M290" s="290"/>
      <c r="N290" s="290"/>
      <c r="O290" s="290"/>
      <c r="P290" s="290"/>
      <c r="Q290" s="290"/>
      <c r="R290" s="290"/>
      <c r="S290" s="290"/>
      <c r="T290" s="290"/>
      <c r="U290" s="290"/>
      <c r="V290" s="290"/>
      <c r="W290" s="290"/>
      <c r="X290" s="290"/>
      <c r="Y290" s="290"/>
      <c r="Z290" s="290"/>
      <c r="AA290" s="290"/>
      <c r="AB290" s="290"/>
      <c r="AC290" s="290"/>
      <c r="AD290" s="290"/>
      <c r="AE290" s="290"/>
      <c r="AF290" s="290"/>
      <c r="AG290" s="290"/>
      <c r="AH290" s="290"/>
      <c r="AI290" s="290"/>
      <c r="AJ290" s="290"/>
      <c r="AK290" s="290"/>
      <c r="AL290" s="290"/>
      <c r="AM290" s="290"/>
      <c r="AN290" s="290"/>
      <c r="AO290" s="290"/>
      <c r="AP290" s="290"/>
      <c r="AQ290" s="290"/>
      <c r="AR290" s="290"/>
      <c r="AS290" s="290"/>
      <c r="AT290" s="290"/>
      <c r="AU290" s="290"/>
      <c r="AV290" s="290"/>
      <c r="AW290" s="290"/>
      <c r="AX290" s="290"/>
      <c r="AY290" s="290"/>
      <c r="AZ290" s="290"/>
      <c r="BA290" s="290"/>
      <c r="BB290" s="290"/>
      <c r="BC290" s="290"/>
      <c r="BD290" s="290"/>
      <c r="BE290" s="290"/>
      <c r="BF290" s="290"/>
      <c r="BG290" s="290"/>
      <c r="BH290" s="290"/>
      <c r="BI290" s="290"/>
      <c r="BJ290" s="290"/>
      <c r="BK290" s="290"/>
      <c r="BL290" s="290"/>
      <c r="BM290" s="290"/>
      <c r="BN290" s="290"/>
      <c r="BO290" s="290"/>
      <c r="BP290" s="290"/>
      <c r="BQ290" s="290"/>
      <c r="BR290" s="290"/>
      <c r="BS290" s="290"/>
      <c r="BT290" s="290"/>
      <c r="BU290" s="290"/>
      <c r="BV290" s="290"/>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row>
    <row r="291" customFormat="false" ht="15.75" hidden="false" customHeight="false" outlineLevel="0" collapsed="false">
      <c r="A291" s="290"/>
      <c r="B291" s="290"/>
      <c r="C291" s="290"/>
      <c r="D291" s="290"/>
      <c r="E291" s="290"/>
      <c r="F291" s="290"/>
      <c r="G291" s="290"/>
      <c r="H291" s="290"/>
      <c r="I291" s="290"/>
      <c r="J291" s="3"/>
      <c r="K291" s="290"/>
      <c r="L291" s="290"/>
      <c r="M291" s="290"/>
      <c r="N291" s="290"/>
      <c r="O291" s="290"/>
      <c r="P291" s="290"/>
      <c r="Q291" s="290"/>
      <c r="R291" s="290"/>
      <c r="S291" s="290"/>
      <c r="T291" s="290"/>
      <c r="U291" s="290"/>
      <c r="V291" s="290"/>
      <c r="W291" s="290"/>
      <c r="X291" s="290"/>
      <c r="Y291" s="290"/>
      <c r="Z291" s="290"/>
      <c r="AA291" s="290"/>
      <c r="AB291" s="290"/>
      <c r="AC291" s="290"/>
      <c r="AD291" s="290"/>
      <c r="AE291" s="290"/>
      <c r="AF291" s="290"/>
      <c r="AG291" s="290"/>
      <c r="AH291" s="290"/>
      <c r="AI291" s="290"/>
      <c r="AJ291" s="290"/>
      <c r="AK291" s="290"/>
      <c r="AL291" s="290"/>
      <c r="AM291" s="290"/>
      <c r="AN291" s="290"/>
      <c r="AO291" s="290"/>
      <c r="AP291" s="290"/>
      <c r="AQ291" s="290"/>
      <c r="AR291" s="290"/>
      <c r="AS291" s="290"/>
      <c r="AT291" s="290"/>
      <c r="AU291" s="290"/>
      <c r="AV291" s="290"/>
      <c r="AW291" s="290"/>
      <c r="AX291" s="290"/>
      <c r="AY291" s="290"/>
      <c r="AZ291" s="290"/>
      <c r="BA291" s="290"/>
      <c r="BB291" s="290"/>
      <c r="BC291" s="290"/>
      <c r="BD291" s="290"/>
      <c r="BE291" s="290"/>
      <c r="BF291" s="290"/>
      <c r="BG291" s="290"/>
      <c r="BH291" s="290"/>
      <c r="BI291" s="290"/>
      <c r="BJ291" s="290"/>
      <c r="BK291" s="290"/>
      <c r="BL291" s="290"/>
      <c r="BM291" s="290"/>
      <c r="BN291" s="290"/>
      <c r="BO291" s="290"/>
      <c r="BP291" s="290"/>
      <c r="BQ291" s="290"/>
      <c r="BR291" s="290"/>
      <c r="BS291" s="290"/>
      <c r="BT291" s="290"/>
      <c r="BU291" s="290"/>
      <c r="BV291" s="290"/>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row>
    <row r="292" customFormat="false" ht="15.75" hidden="false" customHeight="false" outlineLevel="0" collapsed="false">
      <c r="A292" s="290"/>
      <c r="B292" s="290"/>
      <c r="C292" s="290"/>
      <c r="D292" s="290"/>
      <c r="E292" s="290"/>
      <c r="F292" s="290"/>
      <c r="G292" s="290"/>
      <c r="H292" s="290"/>
      <c r="I292" s="290"/>
      <c r="J292" s="3"/>
      <c r="K292" s="290"/>
      <c r="L292" s="290"/>
      <c r="M292" s="290"/>
      <c r="N292" s="290"/>
      <c r="O292" s="290"/>
      <c r="P292" s="290"/>
      <c r="Q292" s="290"/>
      <c r="R292" s="290"/>
      <c r="S292" s="290"/>
      <c r="T292" s="290"/>
      <c r="U292" s="290"/>
      <c r="V292" s="290"/>
      <c r="W292" s="290"/>
      <c r="X292" s="290"/>
      <c r="Y292" s="290"/>
      <c r="Z292" s="290"/>
      <c r="AA292" s="290"/>
      <c r="AB292" s="290"/>
      <c r="AC292" s="290"/>
      <c r="AD292" s="290"/>
      <c r="AE292" s="290"/>
      <c r="AF292" s="290"/>
      <c r="AG292" s="290"/>
      <c r="AH292" s="290"/>
      <c r="AI292" s="290"/>
      <c r="AJ292" s="290"/>
      <c r="AK292" s="290"/>
      <c r="AL292" s="290"/>
      <c r="AM292" s="290"/>
      <c r="AN292" s="290"/>
      <c r="AO292" s="290"/>
      <c r="AP292" s="290"/>
      <c r="AQ292" s="290"/>
      <c r="AR292" s="290"/>
      <c r="AS292" s="290"/>
      <c r="AT292" s="290"/>
      <c r="AU292" s="290"/>
      <c r="AV292" s="290"/>
      <c r="AW292" s="290"/>
      <c r="AX292" s="290"/>
      <c r="AY292" s="290"/>
      <c r="AZ292" s="290"/>
      <c r="BA292" s="290"/>
      <c r="BB292" s="290"/>
      <c r="BC292" s="290"/>
      <c r="BD292" s="290"/>
      <c r="BE292" s="290"/>
      <c r="BF292" s="290"/>
      <c r="BG292" s="290"/>
      <c r="BH292" s="290"/>
      <c r="BI292" s="290"/>
      <c r="BJ292" s="290"/>
      <c r="BK292" s="290"/>
      <c r="BL292" s="290"/>
      <c r="BM292" s="290"/>
      <c r="BN292" s="290"/>
      <c r="BO292" s="290"/>
      <c r="BP292" s="290"/>
      <c r="BQ292" s="290"/>
      <c r="BR292" s="290"/>
      <c r="BS292" s="290"/>
      <c r="BT292" s="290"/>
      <c r="BU292" s="290"/>
      <c r="BV292" s="290"/>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row>
    <row r="293" customFormat="false" ht="15.75" hidden="false" customHeight="false" outlineLevel="0" collapsed="false">
      <c r="A293" s="290"/>
      <c r="B293" s="290"/>
      <c r="C293" s="290"/>
      <c r="D293" s="290"/>
      <c r="E293" s="290"/>
      <c r="F293" s="290"/>
      <c r="G293" s="290"/>
      <c r="H293" s="290"/>
      <c r="I293" s="290"/>
      <c r="J293" s="3"/>
      <c r="K293" s="290"/>
      <c r="L293" s="290"/>
      <c r="M293" s="290"/>
      <c r="N293" s="290"/>
      <c r="O293" s="290"/>
      <c r="P293" s="290"/>
      <c r="Q293" s="290"/>
      <c r="R293" s="290"/>
      <c r="S293" s="290"/>
      <c r="T293" s="290"/>
      <c r="U293" s="290"/>
      <c r="V293" s="290"/>
      <c r="W293" s="290"/>
      <c r="X293" s="290"/>
      <c r="Y293" s="290"/>
      <c r="Z293" s="290"/>
      <c r="AA293" s="290"/>
      <c r="AB293" s="290"/>
      <c r="AC293" s="290"/>
      <c r="AD293" s="290"/>
      <c r="AE293" s="290"/>
      <c r="AF293" s="290"/>
      <c r="AG293" s="290"/>
      <c r="AH293" s="290"/>
      <c r="AI293" s="290"/>
      <c r="AJ293" s="290"/>
      <c r="AK293" s="290"/>
      <c r="AL293" s="290"/>
      <c r="AM293" s="290"/>
      <c r="AN293" s="290"/>
      <c r="AO293" s="290"/>
      <c r="AP293" s="290"/>
      <c r="AQ293" s="290"/>
      <c r="AR293" s="290"/>
      <c r="AS293" s="290"/>
      <c r="AT293" s="290"/>
      <c r="AU293" s="290"/>
      <c r="AV293" s="290"/>
      <c r="AW293" s="290"/>
      <c r="AX293" s="290"/>
      <c r="AY293" s="290"/>
      <c r="AZ293" s="290"/>
      <c r="BA293" s="290"/>
      <c r="BB293" s="290"/>
      <c r="BC293" s="290"/>
      <c r="BD293" s="290"/>
      <c r="BE293" s="290"/>
      <c r="BF293" s="290"/>
      <c r="BG293" s="290"/>
      <c r="BH293" s="290"/>
      <c r="BI293" s="290"/>
      <c r="BJ293" s="290"/>
      <c r="BK293" s="290"/>
      <c r="BL293" s="290"/>
      <c r="BM293" s="290"/>
      <c r="BN293" s="290"/>
      <c r="BO293" s="290"/>
      <c r="BP293" s="290"/>
      <c r="BQ293" s="290"/>
      <c r="BR293" s="290"/>
      <c r="BS293" s="290"/>
      <c r="BT293" s="290"/>
      <c r="BU293" s="290"/>
      <c r="BV293" s="290"/>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row>
    <row r="294" customFormat="false" ht="15.75" hidden="false" customHeight="false" outlineLevel="0" collapsed="false">
      <c r="A294" s="290"/>
      <c r="B294" s="290"/>
      <c r="C294" s="290"/>
      <c r="D294" s="290"/>
      <c r="E294" s="290"/>
      <c r="F294" s="290"/>
      <c r="G294" s="290"/>
      <c r="H294" s="290"/>
      <c r="I294" s="290"/>
      <c r="J294" s="3"/>
      <c r="K294" s="290"/>
      <c r="L294" s="290"/>
      <c r="M294" s="290"/>
      <c r="N294" s="290"/>
      <c r="O294" s="290"/>
      <c r="P294" s="290"/>
      <c r="Q294" s="290"/>
      <c r="R294" s="290"/>
      <c r="S294" s="290"/>
      <c r="T294" s="290"/>
      <c r="U294" s="290"/>
      <c r="V294" s="290"/>
      <c r="W294" s="290"/>
      <c r="X294" s="290"/>
      <c r="Y294" s="290"/>
      <c r="Z294" s="290"/>
      <c r="AA294" s="290"/>
      <c r="AB294" s="290"/>
      <c r="AC294" s="290"/>
      <c r="AD294" s="290"/>
      <c r="AE294" s="290"/>
      <c r="AF294" s="290"/>
      <c r="AG294" s="290"/>
      <c r="AH294" s="290"/>
      <c r="AI294" s="290"/>
      <c r="AJ294" s="290"/>
      <c r="AK294" s="290"/>
      <c r="AL294" s="290"/>
      <c r="AM294" s="290"/>
      <c r="AN294" s="290"/>
      <c r="AO294" s="290"/>
      <c r="AP294" s="290"/>
      <c r="AQ294" s="290"/>
      <c r="AR294" s="290"/>
      <c r="AS294" s="290"/>
      <c r="AT294" s="290"/>
      <c r="AU294" s="290"/>
      <c r="AV294" s="290"/>
      <c r="AW294" s="290"/>
      <c r="AX294" s="290"/>
      <c r="AY294" s="290"/>
      <c r="AZ294" s="290"/>
      <c r="BA294" s="290"/>
      <c r="BB294" s="290"/>
      <c r="BC294" s="290"/>
      <c r="BD294" s="290"/>
      <c r="BE294" s="290"/>
      <c r="BF294" s="290"/>
      <c r="BG294" s="290"/>
      <c r="BH294" s="290"/>
      <c r="BI294" s="290"/>
      <c r="BJ294" s="290"/>
      <c r="BK294" s="290"/>
      <c r="BL294" s="290"/>
      <c r="BM294" s="290"/>
      <c r="BN294" s="290"/>
      <c r="BO294" s="290"/>
      <c r="BP294" s="290"/>
      <c r="BQ294" s="290"/>
      <c r="BR294" s="290"/>
      <c r="BS294" s="290"/>
      <c r="BT294" s="290"/>
      <c r="BU294" s="290"/>
      <c r="BV294" s="290"/>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row>
    <row r="295" customFormat="false" ht="15.75" hidden="false" customHeight="false" outlineLevel="0" collapsed="false">
      <c r="A295" s="290"/>
      <c r="B295" s="290"/>
      <c r="C295" s="290"/>
      <c r="D295" s="290"/>
      <c r="E295" s="290"/>
      <c r="F295" s="290"/>
      <c r="G295" s="290"/>
      <c r="H295" s="290"/>
      <c r="I295" s="290"/>
      <c r="J295" s="3"/>
      <c r="K295" s="290"/>
      <c r="L295" s="290"/>
      <c r="M295" s="290"/>
      <c r="N295" s="290"/>
      <c r="O295" s="290"/>
      <c r="P295" s="290"/>
      <c r="Q295" s="290"/>
      <c r="R295" s="290"/>
      <c r="S295" s="290"/>
      <c r="T295" s="290"/>
      <c r="U295" s="290"/>
      <c r="V295" s="290"/>
      <c r="W295" s="290"/>
      <c r="X295" s="290"/>
      <c r="Y295" s="290"/>
      <c r="Z295" s="290"/>
      <c r="AA295" s="290"/>
      <c r="AB295" s="290"/>
      <c r="AC295" s="290"/>
      <c r="AD295" s="290"/>
      <c r="AE295" s="290"/>
      <c r="AF295" s="290"/>
      <c r="AG295" s="290"/>
      <c r="AH295" s="290"/>
      <c r="AI295" s="290"/>
      <c r="AJ295" s="290"/>
      <c r="AK295" s="290"/>
      <c r="AL295" s="290"/>
      <c r="AM295" s="290"/>
      <c r="AN295" s="290"/>
      <c r="AO295" s="290"/>
      <c r="AP295" s="290"/>
      <c r="AQ295" s="290"/>
      <c r="AR295" s="290"/>
      <c r="AS295" s="290"/>
      <c r="AT295" s="290"/>
      <c r="AU295" s="290"/>
      <c r="AV295" s="290"/>
      <c r="AW295" s="290"/>
      <c r="AX295" s="290"/>
      <c r="AY295" s="290"/>
      <c r="AZ295" s="290"/>
      <c r="BA295" s="290"/>
      <c r="BB295" s="290"/>
      <c r="BC295" s="290"/>
      <c r="BD295" s="290"/>
      <c r="BE295" s="290"/>
      <c r="BF295" s="290"/>
      <c r="BG295" s="290"/>
      <c r="BH295" s="290"/>
      <c r="BI295" s="290"/>
      <c r="BJ295" s="290"/>
      <c r="BK295" s="290"/>
      <c r="BL295" s="290"/>
      <c r="BM295" s="290"/>
      <c r="BN295" s="290"/>
      <c r="BO295" s="290"/>
      <c r="BP295" s="290"/>
      <c r="BQ295" s="290"/>
      <c r="BR295" s="290"/>
      <c r="BS295" s="290"/>
      <c r="BT295" s="290"/>
      <c r="BU295" s="290"/>
      <c r="BV295" s="290"/>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row>
    <row r="296" customFormat="false" ht="15.75" hidden="false" customHeight="false" outlineLevel="0" collapsed="false">
      <c r="A296" s="290"/>
      <c r="B296" s="290"/>
      <c r="C296" s="290"/>
      <c r="D296" s="290"/>
      <c r="E296" s="290"/>
      <c r="F296" s="290"/>
      <c r="G296" s="290"/>
      <c r="H296" s="290"/>
      <c r="I296" s="290"/>
      <c r="J296" s="3"/>
      <c r="K296" s="290"/>
      <c r="L296" s="290"/>
      <c r="M296" s="290"/>
      <c r="N296" s="290"/>
      <c r="O296" s="290"/>
      <c r="P296" s="290"/>
      <c r="Q296" s="290"/>
      <c r="R296" s="290"/>
      <c r="S296" s="290"/>
      <c r="T296" s="290"/>
      <c r="U296" s="290"/>
      <c r="V296" s="290"/>
      <c r="W296" s="290"/>
      <c r="X296" s="290"/>
      <c r="Y296" s="290"/>
      <c r="Z296" s="290"/>
      <c r="AA296" s="290"/>
      <c r="AB296" s="290"/>
      <c r="AC296" s="290"/>
      <c r="AD296" s="290"/>
      <c r="AE296" s="290"/>
      <c r="AF296" s="290"/>
      <c r="AG296" s="290"/>
      <c r="AH296" s="290"/>
      <c r="AI296" s="290"/>
      <c r="AJ296" s="290"/>
      <c r="AK296" s="290"/>
      <c r="AL296" s="290"/>
      <c r="AM296" s="290"/>
      <c r="AN296" s="290"/>
      <c r="AO296" s="290"/>
      <c r="AP296" s="290"/>
      <c r="AQ296" s="290"/>
      <c r="AR296" s="290"/>
      <c r="AS296" s="290"/>
      <c r="AT296" s="290"/>
      <c r="AU296" s="290"/>
      <c r="AV296" s="290"/>
      <c r="AW296" s="290"/>
      <c r="AX296" s="290"/>
      <c r="AY296" s="290"/>
      <c r="AZ296" s="290"/>
      <c r="BA296" s="290"/>
      <c r="BB296" s="290"/>
      <c r="BC296" s="290"/>
      <c r="BD296" s="290"/>
      <c r="BE296" s="290"/>
      <c r="BF296" s="290"/>
      <c r="BG296" s="290"/>
      <c r="BH296" s="290"/>
      <c r="BI296" s="290"/>
      <c r="BJ296" s="290"/>
      <c r="BK296" s="290"/>
      <c r="BL296" s="290"/>
      <c r="BM296" s="290"/>
      <c r="BN296" s="290"/>
      <c r="BO296" s="290"/>
      <c r="BP296" s="290"/>
      <c r="BQ296" s="290"/>
      <c r="BR296" s="290"/>
      <c r="BS296" s="290"/>
      <c r="BT296" s="290"/>
      <c r="BU296" s="290"/>
      <c r="BV296" s="290"/>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row>
    <row r="297" customFormat="false" ht="15.75" hidden="false" customHeight="false" outlineLevel="0" collapsed="false">
      <c r="A297" s="290"/>
      <c r="B297" s="290"/>
      <c r="C297" s="290"/>
      <c r="D297" s="290"/>
      <c r="E297" s="290"/>
      <c r="F297" s="290"/>
      <c r="G297" s="290"/>
      <c r="H297" s="290"/>
      <c r="I297" s="290"/>
      <c r="J297" s="3"/>
      <c r="K297" s="290"/>
      <c r="L297" s="290"/>
      <c r="M297" s="290"/>
      <c r="N297" s="290"/>
      <c r="O297" s="290"/>
      <c r="P297" s="290"/>
      <c r="Q297" s="290"/>
      <c r="R297" s="290"/>
      <c r="S297" s="290"/>
      <c r="T297" s="290"/>
      <c r="U297" s="290"/>
      <c r="V297" s="290"/>
      <c r="W297" s="290"/>
      <c r="X297" s="290"/>
      <c r="Y297" s="290"/>
      <c r="Z297" s="290"/>
      <c r="AA297" s="290"/>
      <c r="AB297" s="290"/>
      <c r="AC297" s="290"/>
      <c r="AD297" s="290"/>
      <c r="AE297" s="290"/>
      <c r="AF297" s="290"/>
      <c r="AG297" s="290"/>
      <c r="AH297" s="290"/>
      <c r="AI297" s="290"/>
      <c r="AJ297" s="290"/>
      <c r="AK297" s="290"/>
      <c r="AL297" s="290"/>
      <c r="AM297" s="290"/>
      <c r="AN297" s="290"/>
      <c r="AO297" s="290"/>
      <c r="AP297" s="290"/>
      <c r="AQ297" s="290"/>
      <c r="AR297" s="290"/>
      <c r="AS297" s="290"/>
      <c r="AT297" s="290"/>
      <c r="AU297" s="290"/>
      <c r="AV297" s="290"/>
      <c r="AW297" s="290"/>
      <c r="AX297" s="290"/>
      <c r="AY297" s="290"/>
      <c r="AZ297" s="290"/>
      <c r="BA297" s="290"/>
      <c r="BB297" s="290"/>
      <c r="BC297" s="290"/>
      <c r="BD297" s="290"/>
      <c r="BE297" s="290"/>
      <c r="BF297" s="290"/>
      <c r="BG297" s="290"/>
      <c r="BH297" s="290"/>
      <c r="BI297" s="290"/>
      <c r="BJ297" s="290"/>
      <c r="BK297" s="290"/>
      <c r="BL297" s="290"/>
      <c r="BM297" s="290"/>
      <c r="BN297" s="290"/>
      <c r="BO297" s="290"/>
      <c r="BP297" s="290"/>
      <c r="BQ297" s="290"/>
      <c r="BR297" s="290"/>
      <c r="BS297" s="290"/>
      <c r="BT297" s="290"/>
      <c r="BU297" s="290"/>
      <c r="BV297" s="290"/>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row>
    <row r="298" customFormat="false" ht="15.75" hidden="false" customHeight="false" outlineLevel="0" collapsed="false">
      <c r="A298" s="290"/>
      <c r="B298" s="290"/>
      <c r="C298" s="290"/>
      <c r="D298" s="290"/>
      <c r="E298" s="290"/>
      <c r="F298" s="290"/>
      <c r="G298" s="290"/>
      <c r="H298" s="290"/>
      <c r="I298" s="290"/>
      <c r="J298" s="3"/>
      <c r="K298" s="290"/>
      <c r="L298" s="290"/>
      <c r="M298" s="290"/>
      <c r="N298" s="290"/>
      <c r="O298" s="290"/>
      <c r="P298" s="290"/>
      <c r="Q298" s="290"/>
      <c r="R298" s="290"/>
      <c r="S298" s="290"/>
      <c r="T298" s="290"/>
      <c r="U298" s="290"/>
      <c r="V298" s="290"/>
      <c r="W298" s="290"/>
      <c r="X298" s="290"/>
      <c r="Y298" s="290"/>
      <c r="Z298" s="290"/>
      <c r="AA298" s="290"/>
      <c r="AB298" s="290"/>
      <c r="AC298" s="290"/>
      <c r="AD298" s="290"/>
      <c r="AE298" s="290"/>
      <c r="AF298" s="290"/>
      <c r="AG298" s="290"/>
      <c r="AH298" s="290"/>
      <c r="AI298" s="290"/>
      <c r="AJ298" s="290"/>
      <c r="AK298" s="290"/>
      <c r="AL298" s="290"/>
      <c r="AM298" s="290"/>
      <c r="AN298" s="290"/>
      <c r="AO298" s="290"/>
      <c r="AP298" s="290"/>
      <c r="AQ298" s="290"/>
      <c r="AR298" s="290"/>
      <c r="AS298" s="290"/>
      <c r="AT298" s="290"/>
      <c r="AU298" s="290"/>
      <c r="AV298" s="290"/>
      <c r="AW298" s="290"/>
      <c r="AX298" s="290"/>
      <c r="AY298" s="290"/>
      <c r="AZ298" s="290"/>
      <c r="BA298" s="290"/>
      <c r="BB298" s="290"/>
      <c r="BC298" s="290"/>
      <c r="BD298" s="290"/>
      <c r="BE298" s="290"/>
      <c r="BF298" s="290"/>
      <c r="BG298" s="290"/>
      <c r="BH298" s="290"/>
      <c r="BI298" s="290"/>
      <c r="BJ298" s="290"/>
      <c r="BK298" s="290"/>
      <c r="BL298" s="290"/>
      <c r="BM298" s="290"/>
      <c r="BN298" s="290"/>
      <c r="BO298" s="290"/>
      <c r="BP298" s="290"/>
      <c r="BQ298" s="290"/>
      <c r="BR298" s="290"/>
      <c r="BS298" s="290"/>
      <c r="BT298" s="290"/>
      <c r="BU298" s="290"/>
      <c r="BV298" s="290"/>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row>
    <row r="299" customFormat="false" ht="15.75" hidden="false" customHeight="false" outlineLevel="0" collapsed="false">
      <c r="A299" s="290"/>
      <c r="B299" s="290"/>
      <c r="C299" s="290"/>
      <c r="D299" s="290"/>
      <c r="E299" s="290"/>
      <c r="F299" s="290"/>
      <c r="G299" s="290"/>
      <c r="H299" s="290"/>
      <c r="I299" s="290"/>
      <c r="J299" s="3"/>
      <c r="K299" s="290"/>
      <c r="L299" s="290"/>
      <c r="M299" s="290"/>
      <c r="N299" s="290"/>
      <c r="O299" s="290"/>
      <c r="P299" s="290"/>
      <c r="Q299" s="290"/>
      <c r="R299" s="290"/>
      <c r="S299" s="290"/>
      <c r="T299" s="290"/>
      <c r="U299" s="290"/>
      <c r="V299" s="290"/>
      <c r="W299" s="290"/>
      <c r="X299" s="290"/>
      <c r="Y299" s="290"/>
      <c r="Z299" s="290"/>
      <c r="AA299" s="290"/>
      <c r="AB299" s="290"/>
      <c r="AC299" s="290"/>
      <c r="AD299" s="290"/>
      <c r="AE299" s="290"/>
      <c r="AF299" s="290"/>
      <c r="AG299" s="290"/>
      <c r="AH299" s="290"/>
      <c r="AI299" s="290"/>
      <c r="AJ299" s="290"/>
      <c r="AK299" s="290"/>
      <c r="AL299" s="290"/>
      <c r="AM299" s="290"/>
      <c r="AN299" s="290"/>
      <c r="AO299" s="290"/>
      <c r="AP299" s="290"/>
      <c r="AQ299" s="290"/>
      <c r="AR299" s="290"/>
      <c r="AS299" s="290"/>
      <c r="AT299" s="290"/>
      <c r="AU299" s="290"/>
      <c r="AV299" s="290"/>
      <c r="AW299" s="290"/>
      <c r="AX299" s="290"/>
      <c r="AY299" s="290"/>
      <c r="AZ299" s="290"/>
      <c r="BA299" s="290"/>
      <c r="BB299" s="290"/>
      <c r="BC299" s="290"/>
      <c r="BD299" s="290"/>
      <c r="BE299" s="290"/>
      <c r="BF299" s="290"/>
      <c r="BG299" s="290"/>
      <c r="BH299" s="290"/>
      <c r="BI299" s="290"/>
      <c r="BJ299" s="290"/>
      <c r="BK299" s="290"/>
      <c r="BL299" s="290"/>
      <c r="BM299" s="290"/>
      <c r="BN299" s="290"/>
      <c r="BO299" s="290"/>
      <c r="BP299" s="290"/>
      <c r="BQ299" s="290"/>
      <c r="BR299" s="290"/>
      <c r="BS299" s="290"/>
      <c r="BT299" s="290"/>
      <c r="BU299" s="290"/>
      <c r="BV299" s="290"/>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row>
    <row r="300" customFormat="false" ht="15.75" hidden="false" customHeight="false" outlineLevel="0" collapsed="false">
      <c r="A300" s="290"/>
      <c r="B300" s="290"/>
      <c r="C300" s="290"/>
      <c r="D300" s="290"/>
      <c r="E300" s="290"/>
      <c r="F300" s="290"/>
      <c r="G300" s="290"/>
      <c r="H300" s="290"/>
      <c r="I300" s="290"/>
      <c r="J300" s="3"/>
      <c r="K300" s="290"/>
      <c r="L300" s="290"/>
      <c r="M300" s="290"/>
      <c r="N300" s="290"/>
      <c r="O300" s="290"/>
      <c r="P300" s="290"/>
      <c r="Q300" s="290"/>
      <c r="R300" s="290"/>
      <c r="S300" s="290"/>
      <c r="T300" s="290"/>
      <c r="U300" s="290"/>
      <c r="V300" s="290"/>
      <c r="W300" s="290"/>
      <c r="X300" s="290"/>
      <c r="Y300" s="290"/>
      <c r="Z300" s="290"/>
      <c r="AA300" s="290"/>
      <c r="AB300" s="290"/>
      <c r="AC300" s="290"/>
      <c r="AD300" s="290"/>
      <c r="AE300" s="290"/>
      <c r="AF300" s="290"/>
      <c r="AG300" s="290"/>
      <c r="AH300" s="290"/>
      <c r="AI300" s="290"/>
      <c r="AJ300" s="290"/>
      <c r="AK300" s="290"/>
      <c r="AL300" s="290"/>
      <c r="AM300" s="290"/>
      <c r="AN300" s="290"/>
      <c r="AO300" s="290"/>
      <c r="AP300" s="290"/>
      <c r="AQ300" s="290"/>
      <c r="AR300" s="290"/>
      <c r="AS300" s="290"/>
      <c r="AT300" s="290"/>
      <c r="AU300" s="290"/>
      <c r="AV300" s="290"/>
      <c r="AW300" s="290"/>
      <c r="AX300" s="290"/>
      <c r="AY300" s="290"/>
      <c r="AZ300" s="290"/>
      <c r="BA300" s="290"/>
      <c r="BB300" s="290"/>
      <c r="BC300" s="290"/>
      <c r="BD300" s="290"/>
      <c r="BE300" s="290"/>
      <c r="BF300" s="290"/>
      <c r="BG300" s="290"/>
      <c r="BH300" s="290"/>
      <c r="BI300" s="290"/>
      <c r="BJ300" s="290"/>
      <c r="BK300" s="290"/>
      <c r="BL300" s="290"/>
      <c r="BM300" s="290"/>
      <c r="BN300" s="290"/>
      <c r="BO300" s="290"/>
      <c r="BP300" s="290"/>
      <c r="BQ300" s="290"/>
      <c r="BR300" s="290"/>
      <c r="BS300" s="290"/>
      <c r="BT300" s="290"/>
      <c r="BU300" s="290"/>
      <c r="BV300" s="290"/>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row>
    <row r="301" customFormat="false" ht="15.75" hidden="false" customHeight="false" outlineLevel="0" collapsed="false">
      <c r="A301" s="290"/>
      <c r="B301" s="290"/>
      <c r="C301" s="290"/>
      <c r="D301" s="290"/>
      <c r="E301" s="290"/>
      <c r="F301" s="290"/>
      <c r="G301" s="290"/>
      <c r="H301" s="290"/>
      <c r="I301" s="290"/>
      <c r="J301" s="3"/>
      <c r="K301" s="290"/>
      <c r="L301" s="290"/>
      <c r="M301" s="290"/>
      <c r="N301" s="290"/>
      <c r="O301" s="290"/>
      <c r="P301" s="290"/>
      <c r="Q301" s="290"/>
      <c r="R301" s="290"/>
      <c r="S301" s="290"/>
      <c r="T301" s="290"/>
      <c r="U301" s="290"/>
      <c r="V301" s="290"/>
      <c r="W301" s="290"/>
      <c r="X301" s="290"/>
      <c r="Y301" s="290"/>
      <c r="Z301" s="290"/>
      <c r="AA301" s="290"/>
      <c r="AB301" s="290"/>
      <c r="AC301" s="290"/>
      <c r="AD301" s="290"/>
      <c r="AE301" s="290"/>
      <c r="AF301" s="290"/>
      <c r="AG301" s="290"/>
      <c r="AH301" s="290"/>
      <c r="AI301" s="290"/>
      <c r="AJ301" s="290"/>
      <c r="AK301" s="290"/>
      <c r="AL301" s="290"/>
      <c r="AM301" s="290"/>
      <c r="AN301" s="290"/>
      <c r="AO301" s="290"/>
      <c r="AP301" s="290"/>
      <c r="AQ301" s="290"/>
      <c r="AR301" s="290"/>
      <c r="AS301" s="290"/>
      <c r="AT301" s="290"/>
      <c r="AU301" s="290"/>
      <c r="AV301" s="290"/>
      <c r="AW301" s="290"/>
      <c r="AX301" s="290"/>
      <c r="AY301" s="290"/>
      <c r="AZ301" s="290"/>
      <c r="BA301" s="290"/>
      <c r="BB301" s="290"/>
      <c r="BC301" s="290"/>
      <c r="BD301" s="290"/>
      <c r="BE301" s="290"/>
      <c r="BF301" s="290"/>
      <c r="BG301" s="290"/>
      <c r="BH301" s="290"/>
      <c r="BI301" s="290"/>
      <c r="BJ301" s="290"/>
      <c r="BK301" s="290"/>
      <c r="BL301" s="290"/>
      <c r="BM301" s="290"/>
      <c r="BN301" s="290"/>
      <c r="BO301" s="290"/>
      <c r="BP301" s="290"/>
      <c r="BQ301" s="290"/>
      <c r="BR301" s="290"/>
      <c r="BS301" s="290"/>
      <c r="BT301" s="290"/>
      <c r="BU301" s="290"/>
      <c r="BV301" s="290"/>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row>
    <row r="302" customFormat="false" ht="15.75" hidden="false" customHeight="false" outlineLevel="0" collapsed="false">
      <c r="A302" s="290"/>
      <c r="B302" s="290"/>
      <c r="C302" s="290"/>
      <c r="D302" s="290"/>
      <c r="E302" s="290"/>
      <c r="F302" s="290"/>
      <c r="G302" s="290"/>
      <c r="H302" s="290"/>
      <c r="I302" s="290"/>
      <c r="J302" s="3"/>
      <c r="K302" s="290"/>
      <c r="L302" s="290"/>
      <c r="M302" s="290"/>
      <c r="N302" s="290"/>
      <c r="O302" s="290"/>
      <c r="P302" s="290"/>
      <c r="Q302" s="290"/>
      <c r="R302" s="290"/>
      <c r="S302" s="290"/>
      <c r="T302" s="290"/>
      <c r="U302" s="290"/>
      <c r="V302" s="290"/>
      <c r="W302" s="290"/>
      <c r="X302" s="290"/>
      <c r="Y302" s="290"/>
      <c r="Z302" s="290"/>
      <c r="AA302" s="290"/>
      <c r="AB302" s="290"/>
      <c r="AC302" s="290"/>
      <c r="AD302" s="290"/>
      <c r="AE302" s="290"/>
      <c r="AF302" s="290"/>
      <c r="AG302" s="290"/>
      <c r="AH302" s="290"/>
      <c r="AI302" s="290"/>
      <c r="AJ302" s="290"/>
      <c r="AK302" s="290"/>
      <c r="AL302" s="290"/>
      <c r="AM302" s="290"/>
      <c r="AN302" s="290"/>
      <c r="AO302" s="290"/>
      <c r="AP302" s="290"/>
      <c r="AQ302" s="290"/>
      <c r="AR302" s="290"/>
      <c r="AS302" s="290"/>
      <c r="AT302" s="290"/>
      <c r="AU302" s="290"/>
      <c r="AV302" s="290"/>
      <c r="AW302" s="290"/>
      <c r="AX302" s="290"/>
      <c r="AY302" s="290"/>
      <c r="AZ302" s="290"/>
      <c r="BA302" s="290"/>
      <c r="BB302" s="290"/>
      <c r="BC302" s="290"/>
      <c r="BD302" s="290"/>
      <c r="BE302" s="290"/>
      <c r="BF302" s="290"/>
      <c r="BG302" s="290"/>
      <c r="BH302" s="290"/>
      <c r="BI302" s="290"/>
      <c r="BJ302" s="290"/>
      <c r="BK302" s="290"/>
      <c r="BL302" s="290"/>
      <c r="BM302" s="290"/>
      <c r="BN302" s="290"/>
      <c r="BO302" s="290"/>
      <c r="BP302" s="290"/>
      <c r="BQ302" s="290"/>
      <c r="BR302" s="290"/>
      <c r="BS302" s="290"/>
      <c r="BT302" s="290"/>
      <c r="BU302" s="290"/>
      <c r="BV302" s="290"/>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row>
    <row r="303" customFormat="false" ht="15.75" hidden="false" customHeight="false" outlineLevel="0" collapsed="false">
      <c r="A303" s="290"/>
      <c r="B303" s="290"/>
      <c r="C303" s="290"/>
      <c r="D303" s="290"/>
      <c r="E303" s="290"/>
      <c r="F303" s="290"/>
      <c r="G303" s="290"/>
      <c r="H303" s="290"/>
      <c r="I303" s="290"/>
      <c r="J303" s="3"/>
      <c r="K303" s="290"/>
      <c r="L303" s="290"/>
      <c r="M303" s="290"/>
      <c r="N303" s="290"/>
      <c r="O303" s="290"/>
      <c r="P303" s="290"/>
      <c r="Q303" s="290"/>
      <c r="R303" s="290"/>
      <c r="S303" s="290"/>
      <c r="T303" s="290"/>
      <c r="U303" s="290"/>
      <c r="V303" s="290"/>
      <c r="W303" s="290"/>
      <c r="X303" s="290"/>
      <c r="Y303" s="290"/>
      <c r="Z303" s="290"/>
      <c r="AA303" s="290"/>
      <c r="AB303" s="290"/>
      <c r="AC303" s="290"/>
      <c r="AD303" s="290"/>
      <c r="AE303" s="290"/>
      <c r="AF303" s="290"/>
      <c r="AG303" s="290"/>
      <c r="AH303" s="290"/>
      <c r="AI303" s="290"/>
      <c r="AJ303" s="290"/>
      <c r="AK303" s="290"/>
      <c r="AL303" s="290"/>
      <c r="AM303" s="290"/>
      <c r="AN303" s="290"/>
      <c r="AO303" s="290"/>
      <c r="AP303" s="290"/>
      <c r="AQ303" s="290"/>
      <c r="AR303" s="290"/>
      <c r="AS303" s="290"/>
      <c r="AT303" s="290"/>
      <c r="AU303" s="290"/>
      <c r="AV303" s="290"/>
      <c r="AW303" s="290"/>
      <c r="AX303" s="290"/>
      <c r="AY303" s="290"/>
      <c r="AZ303" s="290"/>
      <c r="BA303" s="290"/>
      <c r="BB303" s="290"/>
      <c r="BC303" s="290"/>
      <c r="BD303" s="290"/>
      <c r="BE303" s="290"/>
      <c r="BF303" s="290"/>
      <c r="BG303" s="290"/>
      <c r="BH303" s="290"/>
      <c r="BI303" s="290"/>
      <c r="BJ303" s="290"/>
      <c r="BK303" s="290"/>
      <c r="BL303" s="290"/>
      <c r="BM303" s="290"/>
      <c r="BN303" s="290"/>
      <c r="BO303" s="290"/>
      <c r="BP303" s="290"/>
      <c r="BQ303" s="290"/>
      <c r="BR303" s="290"/>
      <c r="BS303" s="290"/>
      <c r="BT303" s="290"/>
      <c r="BU303" s="290"/>
      <c r="BV303" s="290"/>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row>
    <row r="304" customFormat="false" ht="15.75" hidden="false" customHeight="false" outlineLevel="0" collapsed="false">
      <c r="A304" s="290"/>
      <c r="B304" s="290"/>
      <c r="C304" s="290"/>
      <c r="D304" s="290"/>
      <c r="E304" s="290"/>
      <c r="F304" s="290"/>
      <c r="G304" s="290"/>
      <c r="H304" s="290"/>
      <c r="I304" s="290"/>
      <c r="J304" s="3"/>
      <c r="K304" s="290"/>
      <c r="L304" s="290"/>
      <c r="M304" s="290"/>
      <c r="N304" s="290"/>
      <c r="O304" s="290"/>
      <c r="P304" s="290"/>
      <c r="Q304" s="290"/>
      <c r="R304" s="290"/>
      <c r="S304" s="290"/>
      <c r="T304" s="290"/>
      <c r="U304" s="290"/>
      <c r="V304" s="290"/>
      <c r="W304" s="290"/>
      <c r="X304" s="290"/>
      <c r="Y304" s="290"/>
      <c r="Z304" s="290"/>
      <c r="AA304" s="290"/>
      <c r="AB304" s="290"/>
      <c r="AC304" s="290"/>
      <c r="AD304" s="290"/>
      <c r="AE304" s="290"/>
      <c r="AF304" s="290"/>
      <c r="AG304" s="290"/>
      <c r="AH304" s="290"/>
      <c r="AI304" s="290"/>
      <c r="AJ304" s="290"/>
      <c r="AK304" s="290"/>
      <c r="AL304" s="290"/>
      <c r="AM304" s="290"/>
      <c r="AN304" s="290"/>
      <c r="AO304" s="290"/>
      <c r="AP304" s="290"/>
      <c r="AQ304" s="290"/>
      <c r="AR304" s="290"/>
      <c r="AS304" s="290"/>
      <c r="AT304" s="290"/>
      <c r="AU304" s="290"/>
      <c r="AV304" s="290"/>
      <c r="AW304" s="290"/>
      <c r="AX304" s="290"/>
      <c r="AY304" s="290"/>
      <c r="AZ304" s="290"/>
      <c r="BA304" s="290"/>
      <c r="BB304" s="290"/>
      <c r="BC304" s="290"/>
      <c r="BD304" s="290"/>
      <c r="BE304" s="290"/>
      <c r="BF304" s="290"/>
      <c r="BG304" s="290"/>
      <c r="BH304" s="290"/>
      <c r="BI304" s="290"/>
      <c r="BJ304" s="290"/>
      <c r="BK304" s="290"/>
      <c r="BL304" s="290"/>
      <c r="BM304" s="290"/>
      <c r="BN304" s="290"/>
      <c r="BO304" s="290"/>
      <c r="BP304" s="290"/>
      <c r="BQ304" s="290"/>
      <c r="BR304" s="290"/>
      <c r="BS304" s="290"/>
      <c r="BT304" s="290"/>
      <c r="BU304" s="290"/>
      <c r="BV304" s="290"/>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row>
    <row r="305" customFormat="false" ht="15.75" hidden="false" customHeight="false" outlineLevel="0" collapsed="false">
      <c r="A305" s="290"/>
      <c r="B305" s="290"/>
      <c r="C305" s="290"/>
      <c r="D305" s="290"/>
      <c r="E305" s="290"/>
      <c r="F305" s="290"/>
      <c r="G305" s="290"/>
      <c r="H305" s="290"/>
      <c r="I305" s="290"/>
      <c r="J305" s="3"/>
      <c r="K305" s="290"/>
      <c r="L305" s="290"/>
      <c r="M305" s="290"/>
      <c r="N305" s="290"/>
      <c r="O305" s="290"/>
      <c r="P305" s="290"/>
      <c r="Q305" s="290"/>
      <c r="R305" s="290"/>
      <c r="S305" s="290"/>
      <c r="T305" s="290"/>
      <c r="U305" s="290"/>
      <c r="V305" s="290"/>
      <c r="W305" s="290"/>
      <c r="X305" s="290"/>
      <c r="Y305" s="290"/>
      <c r="Z305" s="290"/>
      <c r="AA305" s="290"/>
      <c r="AB305" s="290"/>
      <c r="AC305" s="290"/>
      <c r="AD305" s="290"/>
      <c r="AE305" s="290"/>
      <c r="AF305" s="290"/>
      <c r="AG305" s="290"/>
      <c r="AH305" s="290"/>
      <c r="AI305" s="290"/>
      <c r="AJ305" s="290"/>
      <c r="AK305" s="290"/>
      <c r="AL305" s="290"/>
      <c r="AM305" s="290"/>
      <c r="AN305" s="290"/>
      <c r="AO305" s="290"/>
      <c r="AP305" s="290"/>
      <c r="AQ305" s="290"/>
      <c r="AR305" s="290"/>
      <c r="AS305" s="290"/>
      <c r="AT305" s="290"/>
      <c r="AU305" s="290"/>
      <c r="AV305" s="290"/>
      <c r="AW305" s="290"/>
      <c r="AX305" s="290"/>
      <c r="AY305" s="290"/>
      <c r="AZ305" s="290"/>
      <c r="BA305" s="290"/>
      <c r="BB305" s="290"/>
      <c r="BC305" s="290"/>
      <c r="BD305" s="290"/>
      <c r="BE305" s="290"/>
      <c r="BF305" s="290"/>
      <c r="BG305" s="290"/>
      <c r="BH305" s="290"/>
      <c r="BI305" s="290"/>
      <c r="BJ305" s="290"/>
      <c r="BK305" s="290"/>
      <c r="BL305" s="290"/>
      <c r="BM305" s="290"/>
      <c r="BN305" s="290"/>
      <c r="BO305" s="290"/>
      <c r="BP305" s="290"/>
      <c r="BQ305" s="290"/>
      <c r="BR305" s="290"/>
      <c r="BS305" s="290"/>
      <c r="BT305" s="290"/>
      <c r="BU305" s="290"/>
      <c r="BV305" s="290"/>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row>
    <row r="306" customFormat="false" ht="15.75" hidden="false" customHeight="false" outlineLevel="0" collapsed="false">
      <c r="A306" s="290"/>
      <c r="B306" s="290"/>
      <c r="C306" s="290"/>
      <c r="D306" s="290"/>
      <c r="E306" s="290"/>
      <c r="F306" s="290"/>
      <c r="G306" s="290"/>
      <c r="H306" s="290"/>
      <c r="I306" s="290"/>
      <c r="J306" s="3"/>
      <c r="K306" s="290"/>
      <c r="L306" s="290"/>
      <c r="M306" s="290"/>
      <c r="N306" s="290"/>
      <c r="O306" s="290"/>
      <c r="P306" s="290"/>
      <c r="Q306" s="290"/>
      <c r="R306" s="290"/>
      <c r="S306" s="290"/>
      <c r="T306" s="290"/>
      <c r="U306" s="290"/>
      <c r="V306" s="290"/>
      <c r="W306" s="290"/>
      <c r="X306" s="290"/>
      <c r="Y306" s="290"/>
      <c r="Z306" s="290"/>
      <c r="AA306" s="290"/>
      <c r="AB306" s="290"/>
      <c r="AC306" s="290"/>
      <c r="AD306" s="290"/>
      <c r="AE306" s="290"/>
      <c r="AF306" s="290"/>
      <c r="AG306" s="290"/>
      <c r="AH306" s="290"/>
      <c r="AI306" s="290"/>
      <c r="AJ306" s="290"/>
      <c r="AK306" s="290"/>
      <c r="AL306" s="290"/>
      <c r="AM306" s="290"/>
      <c r="AN306" s="290"/>
      <c r="AO306" s="290"/>
      <c r="AP306" s="290"/>
      <c r="AQ306" s="290"/>
      <c r="AR306" s="290"/>
      <c r="AS306" s="290"/>
      <c r="AT306" s="290"/>
      <c r="AU306" s="290"/>
      <c r="AV306" s="290"/>
      <c r="AW306" s="290"/>
      <c r="AX306" s="290"/>
      <c r="AY306" s="290"/>
      <c r="AZ306" s="290"/>
      <c r="BA306" s="290"/>
      <c r="BB306" s="290"/>
      <c r="BC306" s="290"/>
      <c r="BD306" s="290"/>
      <c r="BE306" s="290"/>
      <c r="BF306" s="290"/>
      <c r="BG306" s="290"/>
      <c r="BH306" s="290"/>
      <c r="BI306" s="290"/>
      <c r="BJ306" s="290"/>
      <c r="BK306" s="290"/>
      <c r="BL306" s="290"/>
      <c r="BM306" s="290"/>
      <c r="BN306" s="290"/>
      <c r="BO306" s="290"/>
      <c r="BP306" s="290"/>
      <c r="BQ306" s="290"/>
      <c r="BR306" s="290"/>
      <c r="BS306" s="290"/>
      <c r="BT306" s="290"/>
      <c r="BU306" s="290"/>
      <c r="BV306" s="290"/>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row>
    <row r="307" customFormat="false" ht="15.75" hidden="false" customHeight="false" outlineLevel="0" collapsed="false">
      <c r="A307" s="290"/>
      <c r="B307" s="290"/>
      <c r="C307" s="290"/>
      <c r="D307" s="290"/>
      <c r="E307" s="290"/>
      <c r="F307" s="290"/>
      <c r="G307" s="290"/>
      <c r="H307" s="290"/>
      <c r="I307" s="290"/>
      <c r="J307" s="3"/>
      <c r="K307" s="290"/>
      <c r="L307" s="290"/>
      <c r="M307" s="290"/>
      <c r="N307" s="290"/>
      <c r="O307" s="290"/>
      <c r="P307" s="290"/>
      <c r="Q307" s="290"/>
      <c r="R307" s="290"/>
      <c r="S307" s="290"/>
      <c r="T307" s="290"/>
      <c r="U307" s="290"/>
      <c r="V307" s="290"/>
      <c r="W307" s="290"/>
      <c r="X307" s="290"/>
      <c r="Y307" s="290"/>
      <c r="Z307" s="290"/>
      <c r="AA307" s="290"/>
      <c r="AB307" s="290"/>
      <c r="AC307" s="290"/>
      <c r="AD307" s="290"/>
      <c r="AE307" s="290"/>
      <c r="AF307" s="290"/>
      <c r="AG307" s="290"/>
      <c r="AH307" s="290"/>
      <c r="AI307" s="290"/>
      <c r="AJ307" s="290"/>
      <c r="AK307" s="290"/>
      <c r="AL307" s="290"/>
      <c r="AM307" s="290"/>
      <c r="AN307" s="290"/>
      <c r="AO307" s="290"/>
      <c r="AP307" s="290"/>
      <c r="AQ307" s="290"/>
      <c r="AR307" s="290"/>
      <c r="AS307" s="290"/>
      <c r="AT307" s="290"/>
      <c r="AU307" s="290"/>
      <c r="AV307" s="290"/>
      <c r="AW307" s="290"/>
      <c r="AX307" s="290"/>
      <c r="AY307" s="290"/>
      <c r="AZ307" s="290"/>
      <c r="BA307" s="290"/>
      <c r="BB307" s="290"/>
      <c r="BC307" s="290"/>
      <c r="BD307" s="290"/>
      <c r="BE307" s="290"/>
      <c r="BF307" s="290"/>
      <c r="BG307" s="290"/>
      <c r="BH307" s="290"/>
      <c r="BI307" s="290"/>
      <c r="BJ307" s="290"/>
      <c r="BK307" s="290"/>
      <c r="BL307" s="290"/>
      <c r="BM307" s="290"/>
      <c r="BN307" s="290"/>
      <c r="BO307" s="290"/>
      <c r="BP307" s="290"/>
      <c r="BQ307" s="290"/>
      <c r="BR307" s="290"/>
      <c r="BS307" s="290"/>
      <c r="BT307" s="290"/>
      <c r="BU307" s="290"/>
      <c r="BV307" s="290"/>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row>
    <row r="308" customFormat="false" ht="15.75" hidden="false" customHeight="false" outlineLevel="0" collapsed="false">
      <c r="A308" s="290"/>
      <c r="B308" s="290"/>
      <c r="C308" s="290"/>
      <c r="D308" s="290"/>
      <c r="E308" s="290"/>
      <c r="F308" s="290"/>
      <c r="G308" s="290"/>
      <c r="H308" s="290"/>
      <c r="I308" s="290"/>
      <c r="J308" s="3"/>
      <c r="K308" s="290"/>
      <c r="L308" s="290"/>
      <c r="M308" s="290"/>
      <c r="N308" s="290"/>
      <c r="O308" s="290"/>
      <c r="P308" s="290"/>
      <c r="Q308" s="290"/>
      <c r="R308" s="290"/>
      <c r="S308" s="290"/>
      <c r="T308" s="290"/>
      <c r="U308" s="290"/>
      <c r="V308" s="290"/>
      <c r="W308" s="290"/>
      <c r="X308" s="290"/>
      <c r="Y308" s="290"/>
      <c r="Z308" s="290"/>
      <c r="AA308" s="290"/>
      <c r="AB308" s="290"/>
      <c r="AC308" s="290"/>
      <c r="AD308" s="290"/>
      <c r="AE308" s="290"/>
      <c r="AF308" s="290"/>
      <c r="AG308" s="290"/>
      <c r="AH308" s="290"/>
      <c r="AI308" s="290"/>
      <c r="AJ308" s="290"/>
      <c r="AK308" s="290"/>
      <c r="AL308" s="290"/>
      <c r="AM308" s="290"/>
      <c r="AN308" s="290"/>
      <c r="AO308" s="290"/>
      <c r="AP308" s="290"/>
      <c r="AQ308" s="290"/>
      <c r="AR308" s="290"/>
      <c r="AS308" s="290"/>
      <c r="AT308" s="290"/>
      <c r="AU308" s="290"/>
      <c r="AV308" s="290"/>
      <c r="AW308" s="290"/>
      <c r="AX308" s="290"/>
      <c r="AY308" s="290"/>
      <c r="AZ308" s="290"/>
      <c r="BA308" s="290"/>
      <c r="BB308" s="290"/>
      <c r="BC308" s="290"/>
      <c r="BD308" s="290"/>
      <c r="BE308" s="290"/>
      <c r="BF308" s="290"/>
      <c r="BG308" s="290"/>
      <c r="BH308" s="290"/>
      <c r="BI308" s="290"/>
      <c r="BJ308" s="290"/>
      <c r="BK308" s="290"/>
      <c r="BL308" s="290"/>
      <c r="BM308" s="290"/>
      <c r="BN308" s="290"/>
      <c r="BO308" s="290"/>
      <c r="BP308" s="290"/>
      <c r="BQ308" s="290"/>
      <c r="BR308" s="290"/>
      <c r="BS308" s="290"/>
      <c r="BT308" s="290"/>
      <c r="BU308" s="290"/>
      <c r="BV308" s="290"/>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row>
    <row r="309" customFormat="false" ht="15.75" hidden="false" customHeight="false" outlineLevel="0" collapsed="false">
      <c r="A309" s="290"/>
      <c r="B309" s="290"/>
      <c r="C309" s="290"/>
      <c r="D309" s="290"/>
      <c r="E309" s="290"/>
      <c r="F309" s="290"/>
      <c r="G309" s="290"/>
      <c r="H309" s="290"/>
      <c r="I309" s="290"/>
      <c r="J309" s="3"/>
      <c r="K309" s="290"/>
      <c r="L309" s="290"/>
      <c r="M309" s="290"/>
      <c r="N309" s="290"/>
      <c r="O309" s="290"/>
      <c r="P309" s="290"/>
      <c r="Q309" s="290"/>
      <c r="R309" s="290"/>
      <c r="S309" s="290"/>
      <c r="T309" s="290"/>
      <c r="U309" s="290"/>
      <c r="V309" s="290"/>
      <c r="W309" s="290"/>
      <c r="X309" s="290"/>
      <c r="Y309" s="290"/>
      <c r="Z309" s="290"/>
      <c r="AA309" s="290"/>
      <c r="AB309" s="290"/>
      <c r="AC309" s="290"/>
      <c r="AD309" s="290"/>
      <c r="AE309" s="290"/>
      <c r="AF309" s="290"/>
      <c r="AG309" s="290"/>
      <c r="AH309" s="290"/>
      <c r="AI309" s="290"/>
      <c r="AJ309" s="290"/>
      <c r="AK309" s="290"/>
      <c r="AL309" s="290"/>
      <c r="AM309" s="290"/>
      <c r="AN309" s="290"/>
      <c r="AO309" s="290"/>
      <c r="AP309" s="290"/>
      <c r="AQ309" s="290"/>
      <c r="AR309" s="290"/>
      <c r="AS309" s="290"/>
      <c r="AT309" s="290"/>
      <c r="AU309" s="290"/>
      <c r="AV309" s="290"/>
      <c r="AW309" s="290"/>
      <c r="AX309" s="290"/>
      <c r="AY309" s="290"/>
      <c r="AZ309" s="290"/>
      <c r="BA309" s="290"/>
      <c r="BB309" s="290"/>
      <c r="BC309" s="290"/>
      <c r="BD309" s="290"/>
      <c r="BE309" s="290"/>
      <c r="BF309" s="290"/>
      <c r="BG309" s="290"/>
      <c r="BH309" s="290"/>
      <c r="BI309" s="290"/>
      <c r="BJ309" s="290"/>
      <c r="BK309" s="290"/>
      <c r="BL309" s="290"/>
      <c r="BM309" s="290"/>
      <c r="BN309" s="290"/>
      <c r="BO309" s="290"/>
      <c r="BP309" s="290"/>
      <c r="BQ309" s="290"/>
      <c r="BR309" s="290"/>
      <c r="BS309" s="290"/>
      <c r="BT309" s="290"/>
      <c r="BU309" s="290"/>
      <c r="BV309" s="290"/>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row>
    <row r="310" customFormat="false" ht="15.75" hidden="false" customHeight="false" outlineLevel="0" collapsed="false">
      <c r="A310" s="290"/>
      <c r="B310" s="290"/>
      <c r="C310" s="290"/>
      <c r="D310" s="290"/>
      <c r="E310" s="290"/>
      <c r="F310" s="290"/>
      <c r="G310" s="290"/>
      <c r="H310" s="290"/>
      <c r="I310" s="290"/>
      <c r="J310" s="3"/>
      <c r="K310" s="290"/>
      <c r="L310" s="290"/>
      <c r="M310" s="290"/>
      <c r="N310" s="290"/>
      <c r="O310" s="290"/>
      <c r="P310" s="290"/>
      <c r="Q310" s="290"/>
      <c r="R310" s="290"/>
      <c r="S310" s="290"/>
      <c r="T310" s="290"/>
      <c r="U310" s="290"/>
      <c r="V310" s="290"/>
      <c r="W310" s="290"/>
      <c r="X310" s="290"/>
      <c r="Y310" s="290"/>
      <c r="Z310" s="290"/>
      <c r="AA310" s="290"/>
      <c r="AB310" s="290"/>
      <c r="AC310" s="290"/>
      <c r="AD310" s="290"/>
      <c r="AE310" s="290"/>
      <c r="AF310" s="290"/>
      <c r="AG310" s="290"/>
      <c r="AH310" s="290"/>
      <c r="AI310" s="290"/>
      <c r="AJ310" s="290"/>
      <c r="AK310" s="290"/>
      <c r="AL310" s="290"/>
      <c r="AM310" s="290"/>
      <c r="AN310" s="290"/>
      <c r="AO310" s="290"/>
      <c r="AP310" s="290"/>
      <c r="AQ310" s="290"/>
      <c r="AR310" s="290"/>
      <c r="AS310" s="290"/>
      <c r="AT310" s="290"/>
      <c r="AU310" s="290"/>
      <c r="AV310" s="290"/>
      <c r="AW310" s="290"/>
      <c r="AX310" s="290"/>
      <c r="AY310" s="290"/>
      <c r="AZ310" s="290"/>
      <c r="BA310" s="290"/>
      <c r="BB310" s="290"/>
      <c r="BC310" s="290"/>
      <c r="BD310" s="290"/>
      <c r="BE310" s="290"/>
      <c r="BF310" s="290"/>
      <c r="BG310" s="290"/>
      <c r="BH310" s="290"/>
      <c r="BI310" s="290"/>
      <c r="BJ310" s="290"/>
      <c r="BK310" s="290"/>
      <c r="BL310" s="290"/>
      <c r="BM310" s="290"/>
      <c r="BN310" s="290"/>
      <c r="BO310" s="290"/>
      <c r="BP310" s="290"/>
      <c r="BQ310" s="290"/>
      <c r="BR310" s="290"/>
      <c r="BS310" s="290"/>
      <c r="BT310" s="290"/>
      <c r="BU310" s="290"/>
      <c r="BV310" s="290"/>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row>
    <row r="311" customFormat="false" ht="15.75" hidden="false" customHeight="false" outlineLevel="0" collapsed="false">
      <c r="A311" s="290"/>
      <c r="B311" s="290"/>
      <c r="C311" s="290"/>
      <c r="D311" s="290"/>
      <c r="E311" s="290"/>
      <c r="F311" s="290"/>
      <c r="G311" s="290"/>
      <c r="H311" s="290"/>
      <c r="I311" s="290"/>
      <c r="J311" s="3"/>
      <c r="K311" s="290"/>
      <c r="L311" s="290"/>
      <c r="M311" s="290"/>
      <c r="N311" s="290"/>
      <c r="O311" s="290"/>
      <c r="P311" s="290"/>
      <c r="Q311" s="290"/>
      <c r="R311" s="290"/>
      <c r="S311" s="290"/>
      <c r="T311" s="290"/>
      <c r="U311" s="290"/>
      <c r="V311" s="290"/>
      <c r="W311" s="290"/>
      <c r="X311" s="290"/>
      <c r="Y311" s="290"/>
      <c r="Z311" s="290"/>
      <c r="AA311" s="290"/>
      <c r="AB311" s="290"/>
      <c r="AC311" s="290"/>
      <c r="AD311" s="290"/>
      <c r="AE311" s="290"/>
      <c r="AF311" s="290"/>
      <c r="AG311" s="290"/>
      <c r="AH311" s="290"/>
      <c r="AI311" s="290"/>
      <c r="AJ311" s="290"/>
      <c r="AK311" s="290"/>
      <c r="AL311" s="290"/>
      <c r="AM311" s="290"/>
      <c r="AN311" s="290"/>
      <c r="AO311" s="290"/>
      <c r="AP311" s="290"/>
      <c r="AQ311" s="290"/>
      <c r="AR311" s="290"/>
      <c r="AS311" s="290"/>
      <c r="AT311" s="290"/>
      <c r="AU311" s="290"/>
      <c r="AV311" s="290"/>
      <c r="AW311" s="290"/>
      <c r="AX311" s="290"/>
      <c r="AY311" s="290"/>
      <c r="AZ311" s="290"/>
      <c r="BA311" s="290"/>
      <c r="BB311" s="290"/>
      <c r="BC311" s="290"/>
      <c r="BD311" s="290"/>
      <c r="BE311" s="290"/>
      <c r="BF311" s="290"/>
      <c r="BG311" s="290"/>
      <c r="BH311" s="290"/>
      <c r="BI311" s="290"/>
      <c r="BJ311" s="290"/>
      <c r="BK311" s="290"/>
      <c r="BL311" s="290"/>
      <c r="BM311" s="290"/>
      <c r="BN311" s="290"/>
      <c r="BO311" s="290"/>
      <c r="BP311" s="290"/>
      <c r="BQ311" s="290"/>
      <c r="BR311" s="290"/>
      <c r="BS311" s="290"/>
      <c r="BT311" s="290"/>
      <c r="BU311" s="290"/>
      <c r="BV311" s="290"/>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row>
    <row r="312" customFormat="false" ht="15.75" hidden="false" customHeight="false" outlineLevel="0" collapsed="false">
      <c r="A312" s="290"/>
      <c r="B312" s="290"/>
      <c r="C312" s="290"/>
      <c r="D312" s="290"/>
      <c r="E312" s="290"/>
      <c r="F312" s="290"/>
      <c r="G312" s="290"/>
      <c r="H312" s="290"/>
      <c r="I312" s="290"/>
      <c r="J312" s="3"/>
      <c r="K312" s="290"/>
      <c r="L312" s="290"/>
      <c r="M312" s="290"/>
      <c r="N312" s="290"/>
      <c r="O312" s="290"/>
      <c r="P312" s="290"/>
      <c r="Q312" s="290"/>
      <c r="R312" s="290"/>
      <c r="S312" s="290"/>
      <c r="T312" s="290"/>
      <c r="U312" s="290"/>
      <c r="V312" s="290"/>
      <c r="W312" s="290"/>
      <c r="X312" s="290"/>
      <c r="Y312" s="290"/>
      <c r="Z312" s="290"/>
      <c r="AA312" s="290"/>
      <c r="AB312" s="290"/>
      <c r="AC312" s="290"/>
      <c r="AD312" s="290"/>
      <c r="AE312" s="290"/>
      <c r="AF312" s="290"/>
      <c r="AG312" s="290"/>
      <c r="AH312" s="290"/>
      <c r="AI312" s="290"/>
      <c r="AJ312" s="290"/>
      <c r="AK312" s="290"/>
      <c r="AL312" s="290"/>
      <c r="AM312" s="290"/>
      <c r="AN312" s="290"/>
      <c r="AO312" s="290"/>
      <c r="AP312" s="290"/>
      <c r="AQ312" s="290"/>
      <c r="AR312" s="290"/>
      <c r="AS312" s="290"/>
      <c r="AT312" s="290"/>
      <c r="AU312" s="290"/>
      <c r="AV312" s="290"/>
      <c r="AW312" s="290"/>
      <c r="AX312" s="290"/>
      <c r="AY312" s="290"/>
      <c r="AZ312" s="290"/>
      <c r="BA312" s="290"/>
      <c r="BB312" s="290"/>
      <c r="BC312" s="290"/>
      <c r="BD312" s="290"/>
      <c r="BE312" s="290"/>
      <c r="BF312" s="290"/>
      <c r="BG312" s="290"/>
      <c r="BH312" s="290"/>
      <c r="BI312" s="290"/>
      <c r="BJ312" s="290"/>
      <c r="BK312" s="290"/>
      <c r="BL312" s="290"/>
      <c r="BM312" s="290"/>
      <c r="BN312" s="290"/>
      <c r="BO312" s="290"/>
      <c r="BP312" s="290"/>
      <c r="BQ312" s="290"/>
      <c r="BR312" s="290"/>
      <c r="BS312" s="290"/>
      <c r="BT312" s="290"/>
      <c r="BU312" s="290"/>
      <c r="BV312" s="290"/>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row>
    <row r="313" customFormat="false" ht="15.75" hidden="false" customHeight="false" outlineLevel="0" collapsed="false">
      <c r="A313" s="290"/>
      <c r="B313" s="290"/>
      <c r="C313" s="290"/>
      <c r="D313" s="290"/>
      <c r="E313" s="290"/>
      <c r="F313" s="290"/>
      <c r="G313" s="290"/>
      <c r="H313" s="290"/>
      <c r="I313" s="290"/>
      <c r="J313" s="3"/>
      <c r="K313" s="290"/>
      <c r="L313" s="290"/>
      <c r="M313" s="290"/>
      <c r="N313" s="290"/>
      <c r="O313" s="290"/>
      <c r="P313" s="290"/>
      <c r="Q313" s="290"/>
      <c r="R313" s="290"/>
      <c r="S313" s="290"/>
      <c r="T313" s="290"/>
      <c r="U313" s="290"/>
      <c r="V313" s="290"/>
      <c r="W313" s="290"/>
      <c r="X313" s="290"/>
      <c r="Y313" s="290"/>
      <c r="Z313" s="290"/>
      <c r="AA313" s="290"/>
      <c r="AB313" s="290"/>
      <c r="AC313" s="290"/>
      <c r="AD313" s="290"/>
      <c r="AE313" s="290"/>
      <c r="AF313" s="290"/>
      <c r="AG313" s="290"/>
      <c r="AH313" s="290"/>
      <c r="AI313" s="290"/>
      <c r="AJ313" s="290"/>
      <c r="AK313" s="290"/>
      <c r="AL313" s="290"/>
      <c r="AM313" s="290"/>
      <c r="AN313" s="290"/>
      <c r="AO313" s="290"/>
      <c r="AP313" s="290"/>
      <c r="AQ313" s="290"/>
      <c r="AR313" s="290"/>
      <c r="AS313" s="290"/>
      <c r="AT313" s="290"/>
      <c r="AU313" s="290"/>
      <c r="AV313" s="290"/>
      <c r="AW313" s="290"/>
      <c r="AX313" s="290"/>
      <c r="AY313" s="290"/>
      <c r="AZ313" s="290"/>
      <c r="BA313" s="290"/>
      <c r="BB313" s="290"/>
      <c r="BC313" s="290"/>
      <c r="BD313" s="290"/>
      <c r="BE313" s="290"/>
      <c r="BF313" s="290"/>
      <c r="BG313" s="290"/>
      <c r="BH313" s="290"/>
      <c r="BI313" s="290"/>
      <c r="BJ313" s="290"/>
      <c r="BK313" s="290"/>
      <c r="BL313" s="290"/>
      <c r="BM313" s="290"/>
      <c r="BN313" s="290"/>
      <c r="BO313" s="290"/>
      <c r="BP313" s="290"/>
      <c r="BQ313" s="290"/>
      <c r="BR313" s="290"/>
      <c r="BS313" s="290"/>
      <c r="BT313" s="290"/>
      <c r="BU313" s="290"/>
      <c r="BV313" s="290"/>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row>
    <row r="314" customFormat="false" ht="15.75" hidden="false" customHeight="false" outlineLevel="0" collapsed="false">
      <c r="A314" s="290"/>
      <c r="B314" s="290"/>
      <c r="C314" s="290"/>
      <c r="D314" s="290"/>
      <c r="E314" s="290"/>
      <c r="F314" s="290"/>
      <c r="G314" s="290"/>
      <c r="H314" s="290"/>
      <c r="I314" s="290"/>
      <c r="J314" s="3"/>
      <c r="K314" s="290"/>
      <c r="L314" s="290"/>
      <c r="M314" s="290"/>
      <c r="N314" s="290"/>
      <c r="O314" s="290"/>
      <c r="P314" s="290"/>
      <c r="Q314" s="290"/>
      <c r="R314" s="290"/>
      <c r="S314" s="290"/>
      <c r="T314" s="290"/>
      <c r="U314" s="290"/>
      <c r="V314" s="290"/>
      <c r="W314" s="290"/>
      <c r="X314" s="290"/>
      <c r="Y314" s="290"/>
      <c r="Z314" s="290"/>
      <c r="AA314" s="290"/>
      <c r="AB314" s="290"/>
      <c r="AC314" s="290"/>
      <c r="AD314" s="290"/>
      <c r="AE314" s="290"/>
      <c r="AF314" s="290"/>
      <c r="AG314" s="290"/>
      <c r="AH314" s="290"/>
      <c r="AI314" s="290"/>
      <c r="AJ314" s="290"/>
      <c r="AK314" s="290"/>
      <c r="AL314" s="290"/>
      <c r="AM314" s="290"/>
      <c r="AN314" s="290"/>
      <c r="AO314" s="290"/>
      <c r="AP314" s="290"/>
      <c r="AQ314" s="290"/>
      <c r="AR314" s="290"/>
      <c r="AS314" s="290"/>
      <c r="AT314" s="290"/>
      <c r="AU314" s="290"/>
      <c r="AV314" s="290"/>
      <c r="AW314" s="290"/>
      <c r="AX314" s="290"/>
      <c r="AY314" s="290"/>
      <c r="AZ314" s="290"/>
      <c r="BA314" s="290"/>
      <c r="BB314" s="290"/>
      <c r="BC314" s="290"/>
      <c r="BD314" s="290"/>
      <c r="BE314" s="290"/>
      <c r="BF314" s="290"/>
      <c r="BG314" s="290"/>
      <c r="BH314" s="290"/>
      <c r="BI314" s="290"/>
      <c r="BJ314" s="290"/>
      <c r="BK314" s="290"/>
      <c r="BL314" s="290"/>
      <c r="BM314" s="290"/>
      <c r="BN314" s="290"/>
      <c r="BO314" s="290"/>
      <c r="BP314" s="290"/>
      <c r="BQ314" s="290"/>
      <c r="BR314" s="290"/>
      <c r="BS314" s="290"/>
      <c r="BT314" s="290"/>
      <c r="BU314" s="290"/>
      <c r="BV314" s="290"/>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row>
    <row r="315" customFormat="false" ht="15.75" hidden="false" customHeight="false" outlineLevel="0" collapsed="false">
      <c r="A315" s="290"/>
      <c r="B315" s="290"/>
      <c r="C315" s="290"/>
      <c r="D315" s="290"/>
      <c r="E315" s="290"/>
      <c r="F315" s="290"/>
      <c r="G315" s="290"/>
      <c r="H315" s="290"/>
      <c r="I315" s="290"/>
      <c r="J315" s="3"/>
      <c r="K315" s="290"/>
      <c r="L315" s="290"/>
      <c r="M315" s="290"/>
      <c r="N315" s="290"/>
      <c r="O315" s="290"/>
      <c r="P315" s="290"/>
      <c r="Q315" s="290"/>
      <c r="R315" s="290"/>
      <c r="S315" s="290"/>
      <c r="T315" s="290"/>
      <c r="U315" s="290"/>
      <c r="V315" s="290"/>
      <c r="W315" s="290"/>
      <c r="X315" s="290"/>
      <c r="Y315" s="290"/>
      <c r="Z315" s="290"/>
      <c r="AA315" s="290"/>
      <c r="AB315" s="290"/>
      <c r="AC315" s="290"/>
      <c r="AD315" s="290"/>
      <c r="AE315" s="290"/>
      <c r="AF315" s="290"/>
      <c r="AG315" s="290"/>
      <c r="AH315" s="290"/>
      <c r="AI315" s="290"/>
      <c r="AJ315" s="290"/>
      <c r="AK315" s="290"/>
      <c r="AL315" s="290"/>
      <c r="AM315" s="290"/>
      <c r="AN315" s="290"/>
      <c r="AO315" s="290"/>
      <c r="AP315" s="290"/>
      <c r="AQ315" s="290"/>
      <c r="AR315" s="290"/>
      <c r="AS315" s="290"/>
      <c r="AT315" s="290"/>
      <c r="AU315" s="290"/>
      <c r="AV315" s="290"/>
      <c r="AW315" s="290"/>
      <c r="AX315" s="290"/>
      <c r="AY315" s="290"/>
      <c r="AZ315" s="290"/>
      <c r="BA315" s="290"/>
      <c r="BB315" s="290"/>
      <c r="BC315" s="290"/>
      <c r="BD315" s="290"/>
      <c r="BE315" s="290"/>
      <c r="BF315" s="290"/>
      <c r="BG315" s="290"/>
      <c r="BH315" s="290"/>
      <c r="BI315" s="290"/>
      <c r="BJ315" s="290"/>
      <c r="BK315" s="290"/>
      <c r="BL315" s="290"/>
      <c r="BM315" s="290"/>
      <c r="BN315" s="290"/>
      <c r="BO315" s="290"/>
      <c r="BP315" s="290"/>
      <c r="BQ315" s="290"/>
      <c r="BR315" s="290"/>
      <c r="BS315" s="290"/>
      <c r="BT315" s="290"/>
      <c r="BU315" s="290"/>
      <c r="BV315" s="290"/>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row>
    <row r="316" customFormat="false" ht="15.75" hidden="false" customHeight="false" outlineLevel="0" collapsed="false">
      <c r="A316" s="290"/>
      <c r="B316" s="290"/>
      <c r="C316" s="290"/>
      <c r="D316" s="290"/>
      <c r="E316" s="290"/>
      <c r="F316" s="290"/>
      <c r="G316" s="290"/>
      <c r="H316" s="290"/>
      <c r="I316" s="290"/>
      <c r="J316" s="3"/>
      <c r="K316" s="290"/>
      <c r="L316" s="290"/>
      <c r="M316" s="290"/>
      <c r="N316" s="290"/>
      <c r="O316" s="290"/>
      <c r="P316" s="290"/>
      <c r="Q316" s="290"/>
      <c r="R316" s="290"/>
      <c r="S316" s="290"/>
      <c r="T316" s="290"/>
      <c r="U316" s="290"/>
      <c r="V316" s="290"/>
      <c r="W316" s="290"/>
      <c r="X316" s="290"/>
      <c r="Y316" s="290"/>
      <c r="Z316" s="290"/>
      <c r="AA316" s="290"/>
      <c r="AB316" s="290"/>
      <c r="AC316" s="290"/>
      <c r="AD316" s="290"/>
      <c r="AE316" s="290"/>
      <c r="AF316" s="290"/>
      <c r="AG316" s="290"/>
      <c r="AH316" s="290"/>
      <c r="AI316" s="290"/>
      <c r="AJ316" s="290"/>
      <c r="AK316" s="290"/>
      <c r="AL316" s="290"/>
      <c r="AM316" s="290"/>
      <c r="AN316" s="290"/>
      <c r="AO316" s="290"/>
      <c r="AP316" s="290"/>
      <c r="AQ316" s="290"/>
      <c r="AR316" s="290"/>
      <c r="AS316" s="290"/>
      <c r="AT316" s="290"/>
      <c r="AU316" s="290"/>
      <c r="AV316" s="290"/>
      <c r="AW316" s="290"/>
      <c r="AX316" s="290"/>
      <c r="AY316" s="290"/>
      <c r="AZ316" s="290"/>
      <c r="BA316" s="290"/>
      <c r="BB316" s="290"/>
      <c r="BC316" s="290"/>
      <c r="BD316" s="290"/>
      <c r="BE316" s="290"/>
      <c r="BF316" s="290"/>
      <c r="BG316" s="290"/>
      <c r="BH316" s="290"/>
      <c r="BI316" s="290"/>
      <c r="BJ316" s="290"/>
      <c r="BK316" s="290"/>
      <c r="BL316" s="290"/>
      <c r="BM316" s="290"/>
      <c r="BN316" s="290"/>
      <c r="BO316" s="290"/>
      <c r="BP316" s="290"/>
      <c r="BQ316" s="290"/>
      <c r="BR316" s="290"/>
      <c r="BS316" s="290"/>
      <c r="BT316" s="290"/>
      <c r="BU316" s="290"/>
      <c r="BV316" s="290"/>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row>
    <row r="317" customFormat="false" ht="15.75" hidden="false" customHeight="false" outlineLevel="0" collapsed="false">
      <c r="A317" s="290"/>
      <c r="B317" s="290"/>
      <c r="C317" s="290"/>
      <c r="D317" s="290"/>
      <c r="E317" s="290"/>
      <c r="F317" s="290"/>
      <c r="G317" s="290"/>
      <c r="H317" s="290"/>
      <c r="I317" s="290"/>
      <c r="J317" s="3"/>
      <c r="K317" s="290"/>
      <c r="L317" s="290"/>
      <c r="M317" s="290"/>
      <c r="N317" s="290"/>
      <c r="O317" s="290"/>
      <c r="P317" s="290"/>
      <c r="Q317" s="290"/>
      <c r="R317" s="290"/>
      <c r="S317" s="290"/>
      <c r="T317" s="290"/>
      <c r="U317" s="290"/>
      <c r="V317" s="290"/>
      <c r="W317" s="290"/>
      <c r="X317" s="290"/>
      <c r="Y317" s="290"/>
      <c r="Z317" s="290"/>
      <c r="AA317" s="290"/>
      <c r="AB317" s="290"/>
      <c r="AC317" s="290"/>
      <c r="AD317" s="290"/>
      <c r="AE317" s="290"/>
      <c r="AF317" s="290"/>
      <c r="AG317" s="290"/>
      <c r="AH317" s="290"/>
      <c r="AI317" s="290"/>
      <c r="AJ317" s="290"/>
      <c r="AK317" s="290"/>
      <c r="AL317" s="290"/>
      <c r="AM317" s="290"/>
      <c r="AN317" s="290"/>
      <c r="AO317" s="290"/>
      <c r="AP317" s="290"/>
      <c r="AQ317" s="290"/>
      <c r="AR317" s="290"/>
      <c r="AS317" s="290"/>
      <c r="AT317" s="290"/>
      <c r="AU317" s="290"/>
      <c r="AV317" s="290"/>
      <c r="AW317" s="290"/>
      <c r="AX317" s="290"/>
      <c r="AY317" s="290"/>
      <c r="AZ317" s="290"/>
      <c r="BA317" s="290"/>
      <c r="BB317" s="290"/>
      <c r="BC317" s="290"/>
      <c r="BD317" s="290"/>
      <c r="BE317" s="290"/>
      <c r="BF317" s="290"/>
      <c r="BG317" s="290"/>
      <c r="BH317" s="290"/>
      <c r="BI317" s="290"/>
      <c r="BJ317" s="290"/>
      <c r="BK317" s="290"/>
      <c r="BL317" s="290"/>
      <c r="BM317" s="290"/>
      <c r="BN317" s="290"/>
      <c r="BO317" s="290"/>
      <c r="BP317" s="290"/>
      <c r="BQ317" s="290"/>
      <c r="BR317" s="290"/>
      <c r="BS317" s="290"/>
      <c r="BT317" s="290"/>
      <c r="BU317" s="290"/>
      <c r="BV317" s="290"/>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row>
    <row r="318" customFormat="false" ht="15.75" hidden="false" customHeight="false" outlineLevel="0" collapsed="false">
      <c r="A318" s="290"/>
      <c r="B318" s="290"/>
      <c r="C318" s="290"/>
      <c r="D318" s="290"/>
      <c r="E318" s="290"/>
      <c r="F318" s="290"/>
      <c r="G318" s="290"/>
      <c r="H318" s="290"/>
      <c r="I318" s="290"/>
      <c r="J318" s="3"/>
      <c r="K318" s="290"/>
      <c r="L318" s="290"/>
      <c r="M318" s="290"/>
      <c r="N318" s="290"/>
      <c r="O318" s="290"/>
      <c r="P318" s="290"/>
      <c r="Q318" s="290"/>
      <c r="R318" s="290"/>
      <c r="S318" s="290"/>
      <c r="T318" s="290"/>
      <c r="U318" s="290"/>
      <c r="V318" s="290"/>
      <c r="W318" s="290"/>
      <c r="X318" s="290"/>
      <c r="Y318" s="290"/>
      <c r="Z318" s="290"/>
      <c r="AA318" s="290"/>
      <c r="AB318" s="290"/>
      <c r="AC318" s="290"/>
      <c r="AD318" s="290"/>
      <c r="AE318" s="290"/>
      <c r="AF318" s="290"/>
      <c r="AG318" s="290"/>
      <c r="AH318" s="290"/>
      <c r="AI318" s="290"/>
      <c r="AJ318" s="290"/>
      <c r="AK318" s="290"/>
      <c r="AL318" s="290"/>
      <c r="AM318" s="290"/>
      <c r="AN318" s="290"/>
      <c r="AO318" s="290"/>
      <c r="AP318" s="290"/>
      <c r="AQ318" s="290"/>
      <c r="AR318" s="290"/>
      <c r="AS318" s="290"/>
      <c r="AT318" s="290"/>
      <c r="AU318" s="290"/>
      <c r="AV318" s="290"/>
      <c r="AW318" s="290"/>
      <c r="AX318" s="290"/>
      <c r="AY318" s="290"/>
      <c r="AZ318" s="290"/>
      <c r="BA318" s="290"/>
      <c r="BB318" s="290"/>
      <c r="BC318" s="290"/>
      <c r="BD318" s="290"/>
      <c r="BE318" s="290"/>
      <c r="BF318" s="290"/>
      <c r="BG318" s="290"/>
      <c r="BH318" s="290"/>
      <c r="BI318" s="290"/>
      <c r="BJ318" s="290"/>
      <c r="BK318" s="290"/>
      <c r="BL318" s="290"/>
      <c r="BM318" s="290"/>
      <c r="BN318" s="290"/>
      <c r="BO318" s="290"/>
      <c r="BP318" s="290"/>
      <c r="BQ318" s="290"/>
      <c r="BR318" s="290"/>
      <c r="BS318" s="290"/>
      <c r="BT318" s="290"/>
      <c r="BU318" s="290"/>
      <c r="BV318" s="290"/>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row>
    <row r="319" customFormat="false" ht="15.75" hidden="false" customHeight="false" outlineLevel="0" collapsed="false">
      <c r="A319" s="290"/>
      <c r="B319" s="290"/>
      <c r="C319" s="290"/>
      <c r="D319" s="290"/>
      <c r="E319" s="290"/>
      <c r="F319" s="290"/>
      <c r="G319" s="290"/>
      <c r="H319" s="290"/>
      <c r="I319" s="290"/>
      <c r="J319" s="3"/>
      <c r="K319" s="290"/>
      <c r="L319" s="290"/>
      <c r="M319" s="290"/>
      <c r="N319" s="290"/>
      <c r="O319" s="290"/>
      <c r="P319" s="290"/>
      <c r="Q319" s="290"/>
      <c r="R319" s="290"/>
      <c r="S319" s="290"/>
      <c r="T319" s="290"/>
      <c r="U319" s="290"/>
      <c r="V319" s="290"/>
      <c r="W319" s="290"/>
      <c r="X319" s="290"/>
      <c r="Y319" s="290"/>
      <c r="Z319" s="290"/>
      <c r="AA319" s="290"/>
      <c r="AB319" s="290"/>
      <c r="AC319" s="290"/>
      <c r="AD319" s="290"/>
      <c r="AE319" s="290"/>
      <c r="AF319" s="290"/>
      <c r="AG319" s="290"/>
      <c r="AH319" s="290"/>
      <c r="AI319" s="290"/>
      <c r="AJ319" s="290"/>
      <c r="AK319" s="290"/>
      <c r="AL319" s="290"/>
      <c r="AM319" s="290"/>
      <c r="AN319" s="290"/>
      <c r="AO319" s="290"/>
      <c r="AP319" s="290"/>
      <c r="AQ319" s="290"/>
      <c r="AR319" s="290"/>
      <c r="AS319" s="290"/>
      <c r="AT319" s="290"/>
      <c r="AU319" s="290"/>
      <c r="AV319" s="290"/>
      <c r="AW319" s="290"/>
      <c r="AX319" s="290"/>
      <c r="AY319" s="290"/>
      <c r="AZ319" s="290"/>
      <c r="BA319" s="290"/>
      <c r="BB319" s="290"/>
      <c r="BC319" s="290"/>
      <c r="BD319" s="290"/>
      <c r="BE319" s="290"/>
      <c r="BF319" s="290"/>
      <c r="BG319" s="290"/>
      <c r="BH319" s="290"/>
      <c r="BI319" s="290"/>
      <c r="BJ319" s="290"/>
      <c r="BK319" s="290"/>
      <c r="BL319" s="290"/>
      <c r="BM319" s="290"/>
      <c r="BN319" s="290"/>
      <c r="BO319" s="290"/>
      <c r="BP319" s="290"/>
      <c r="BQ319" s="290"/>
      <c r="BR319" s="290"/>
      <c r="BS319" s="290"/>
      <c r="BT319" s="290"/>
      <c r="BU319" s="290"/>
      <c r="BV319" s="290"/>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row>
    <row r="320" customFormat="false" ht="15.75" hidden="false" customHeight="false" outlineLevel="0" collapsed="false">
      <c r="A320" s="290"/>
      <c r="B320" s="290"/>
      <c r="C320" s="290"/>
      <c r="D320" s="290"/>
      <c r="E320" s="290"/>
      <c r="F320" s="290"/>
      <c r="G320" s="290"/>
      <c r="H320" s="290"/>
      <c r="I320" s="290"/>
      <c r="J320" s="3"/>
      <c r="K320" s="290"/>
      <c r="L320" s="290"/>
      <c r="M320" s="290"/>
      <c r="N320" s="290"/>
      <c r="O320" s="290"/>
      <c r="P320" s="290"/>
      <c r="Q320" s="290"/>
      <c r="R320" s="290"/>
      <c r="S320" s="290"/>
      <c r="T320" s="290"/>
      <c r="U320" s="290"/>
      <c r="V320" s="290"/>
      <c r="W320" s="290"/>
      <c r="X320" s="290"/>
      <c r="Y320" s="290"/>
      <c r="Z320" s="290"/>
      <c r="AA320" s="290"/>
      <c r="AB320" s="290"/>
      <c r="AC320" s="290"/>
      <c r="AD320" s="290"/>
      <c r="AE320" s="290"/>
      <c r="AF320" s="290"/>
      <c r="AG320" s="290"/>
      <c r="AH320" s="290"/>
      <c r="AI320" s="290"/>
      <c r="AJ320" s="290"/>
      <c r="AK320" s="290"/>
      <c r="AL320" s="290"/>
      <c r="AM320" s="290"/>
      <c r="AN320" s="290"/>
      <c r="AO320" s="290"/>
      <c r="AP320" s="290"/>
      <c r="AQ320" s="290"/>
      <c r="AR320" s="290"/>
      <c r="AS320" s="290"/>
      <c r="AT320" s="290"/>
      <c r="AU320" s="290"/>
      <c r="AV320" s="290"/>
      <c r="AW320" s="290"/>
      <c r="AX320" s="290"/>
      <c r="AY320" s="290"/>
      <c r="AZ320" s="290"/>
      <c r="BA320" s="290"/>
      <c r="BB320" s="290"/>
      <c r="BC320" s="290"/>
      <c r="BD320" s="290"/>
      <c r="BE320" s="290"/>
      <c r="BF320" s="290"/>
      <c r="BG320" s="290"/>
      <c r="BH320" s="290"/>
      <c r="BI320" s="290"/>
      <c r="BJ320" s="290"/>
      <c r="BK320" s="290"/>
      <c r="BL320" s="290"/>
      <c r="BM320" s="290"/>
      <c r="BN320" s="290"/>
      <c r="BO320" s="290"/>
      <c r="BP320" s="290"/>
      <c r="BQ320" s="290"/>
      <c r="BR320" s="290"/>
      <c r="BS320" s="290"/>
      <c r="BT320" s="290"/>
      <c r="BU320" s="290"/>
      <c r="BV320" s="290"/>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row>
    <row r="321" customFormat="false" ht="15.75" hidden="false" customHeight="false" outlineLevel="0" collapsed="false">
      <c r="A321" s="290"/>
      <c r="B321" s="290"/>
      <c r="C321" s="290"/>
      <c r="D321" s="290"/>
      <c r="E321" s="290"/>
      <c r="F321" s="290"/>
      <c r="G321" s="290"/>
      <c r="H321" s="290"/>
      <c r="I321" s="290"/>
      <c r="J321" s="3"/>
      <c r="K321" s="290"/>
      <c r="L321" s="290"/>
      <c r="M321" s="290"/>
      <c r="N321" s="290"/>
      <c r="O321" s="290"/>
      <c r="P321" s="290"/>
      <c r="Q321" s="290"/>
      <c r="R321" s="290"/>
      <c r="S321" s="290"/>
      <c r="T321" s="290"/>
      <c r="U321" s="290"/>
      <c r="V321" s="290"/>
      <c r="W321" s="290"/>
      <c r="X321" s="290"/>
      <c r="Y321" s="290"/>
      <c r="Z321" s="290"/>
      <c r="AA321" s="290"/>
      <c r="AB321" s="290"/>
      <c r="AC321" s="290"/>
      <c r="AD321" s="290"/>
      <c r="AE321" s="290"/>
      <c r="AF321" s="290"/>
      <c r="AG321" s="290"/>
      <c r="AH321" s="290"/>
      <c r="AI321" s="290"/>
      <c r="AJ321" s="290"/>
      <c r="AK321" s="290"/>
      <c r="AL321" s="290"/>
      <c r="AM321" s="290"/>
      <c r="AN321" s="290"/>
      <c r="AO321" s="290"/>
      <c r="AP321" s="290"/>
      <c r="AQ321" s="290"/>
      <c r="AR321" s="290"/>
      <c r="AS321" s="290"/>
      <c r="AT321" s="290"/>
      <c r="AU321" s="290"/>
      <c r="AV321" s="290"/>
      <c r="AW321" s="290"/>
      <c r="AX321" s="290"/>
      <c r="AY321" s="290"/>
      <c r="AZ321" s="290"/>
      <c r="BA321" s="290"/>
      <c r="BB321" s="290"/>
      <c r="BC321" s="290"/>
      <c r="BD321" s="290"/>
      <c r="BE321" s="290"/>
      <c r="BF321" s="290"/>
      <c r="BG321" s="290"/>
      <c r="BH321" s="290"/>
      <c r="BI321" s="290"/>
      <c r="BJ321" s="290"/>
      <c r="BK321" s="290"/>
      <c r="BL321" s="290"/>
      <c r="BM321" s="290"/>
      <c r="BN321" s="290"/>
      <c r="BO321" s="290"/>
      <c r="BP321" s="290"/>
      <c r="BQ321" s="290"/>
      <c r="BR321" s="290"/>
      <c r="BS321" s="290"/>
      <c r="BT321" s="290"/>
      <c r="BU321" s="290"/>
      <c r="BV321" s="290"/>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row>
    <row r="322" customFormat="false" ht="15.75" hidden="false" customHeight="false" outlineLevel="0" collapsed="false">
      <c r="A322" s="290"/>
      <c r="B322" s="290"/>
      <c r="C322" s="290"/>
      <c r="D322" s="290"/>
      <c r="E322" s="290"/>
      <c r="F322" s="290"/>
      <c r="G322" s="290"/>
      <c r="H322" s="290"/>
      <c r="I322" s="290"/>
      <c r="J322" s="3"/>
      <c r="K322" s="290"/>
      <c r="L322" s="290"/>
      <c r="M322" s="290"/>
      <c r="N322" s="290"/>
      <c r="O322" s="290"/>
      <c r="P322" s="290"/>
      <c r="Q322" s="290"/>
      <c r="R322" s="290"/>
      <c r="S322" s="290"/>
      <c r="T322" s="290"/>
      <c r="U322" s="290"/>
      <c r="V322" s="290"/>
      <c r="W322" s="290"/>
      <c r="X322" s="290"/>
      <c r="Y322" s="290"/>
      <c r="Z322" s="290"/>
      <c r="AA322" s="290"/>
      <c r="AB322" s="290"/>
      <c r="AC322" s="290"/>
      <c r="AD322" s="290"/>
      <c r="AE322" s="290"/>
      <c r="AF322" s="290"/>
      <c r="AG322" s="290"/>
      <c r="AH322" s="290"/>
      <c r="AI322" s="290"/>
      <c r="AJ322" s="290"/>
      <c r="AK322" s="290"/>
      <c r="AL322" s="290"/>
      <c r="AM322" s="290"/>
      <c r="AN322" s="290"/>
      <c r="AO322" s="290"/>
      <c r="AP322" s="290"/>
      <c r="AQ322" s="290"/>
      <c r="AR322" s="290"/>
      <c r="AS322" s="290"/>
      <c r="AT322" s="290"/>
      <c r="AU322" s="290"/>
      <c r="AV322" s="290"/>
      <c r="AW322" s="290"/>
      <c r="AX322" s="290"/>
      <c r="AY322" s="290"/>
      <c r="AZ322" s="290"/>
      <c r="BA322" s="290"/>
      <c r="BB322" s="290"/>
      <c r="BC322" s="290"/>
      <c r="BD322" s="290"/>
      <c r="BE322" s="290"/>
      <c r="BF322" s="290"/>
      <c r="BG322" s="290"/>
      <c r="BH322" s="290"/>
      <c r="BI322" s="290"/>
      <c r="BJ322" s="290"/>
      <c r="BK322" s="290"/>
      <c r="BL322" s="290"/>
      <c r="BM322" s="290"/>
      <c r="BN322" s="290"/>
      <c r="BO322" s="290"/>
      <c r="BP322" s="290"/>
      <c r="BQ322" s="290"/>
      <c r="BR322" s="290"/>
      <c r="BS322" s="290"/>
      <c r="BT322" s="290"/>
      <c r="BU322" s="290"/>
      <c r="BV322" s="290"/>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row>
    <row r="323" customFormat="false" ht="15.75" hidden="false" customHeight="false" outlineLevel="0" collapsed="false">
      <c r="A323" s="290"/>
      <c r="B323" s="290"/>
      <c r="C323" s="290"/>
      <c r="D323" s="290"/>
      <c r="E323" s="290"/>
      <c r="F323" s="290"/>
      <c r="G323" s="290"/>
      <c r="H323" s="290"/>
      <c r="I323" s="290"/>
      <c r="J323" s="3"/>
      <c r="K323" s="290"/>
      <c r="L323" s="290"/>
      <c r="M323" s="290"/>
      <c r="N323" s="290"/>
      <c r="O323" s="290"/>
      <c r="P323" s="290"/>
      <c r="Q323" s="290"/>
      <c r="R323" s="290"/>
      <c r="S323" s="290"/>
      <c r="T323" s="290"/>
      <c r="U323" s="290"/>
      <c r="V323" s="290"/>
      <c r="W323" s="290"/>
      <c r="X323" s="290"/>
      <c r="Y323" s="290"/>
      <c r="Z323" s="290"/>
      <c r="AA323" s="290"/>
      <c r="AB323" s="290"/>
      <c r="AC323" s="290"/>
      <c r="AD323" s="290"/>
      <c r="AE323" s="290"/>
      <c r="AF323" s="290"/>
      <c r="AG323" s="290"/>
      <c r="AH323" s="290"/>
      <c r="AI323" s="290"/>
      <c r="AJ323" s="290"/>
      <c r="AK323" s="290"/>
      <c r="AL323" s="290"/>
      <c r="AM323" s="290"/>
      <c r="AN323" s="290"/>
      <c r="AO323" s="290"/>
      <c r="AP323" s="290"/>
      <c r="AQ323" s="290"/>
      <c r="AR323" s="290"/>
      <c r="AS323" s="290"/>
      <c r="AT323" s="290"/>
      <c r="AU323" s="290"/>
      <c r="AV323" s="290"/>
      <c r="AW323" s="290"/>
      <c r="AX323" s="290"/>
      <c r="AY323" s="290"/>
      <c r="AZ323" s="290"/>
      <c r="BA323" s="290"/>
      <c r="BB323" s="290"/>
      <c r="BC323" s="290"/>
      <c r="BD323" s="290"/>
      <c r="BE323" s="290"/>
      <c r="BF323" s="290"/>
      <c r="BG323" s="290"/>
      <c r="BH323" s="290"/>
      <c r="BI323" s="290"/>
      <c r="BJ323" s="290"/>
      <c r="BK323" s="290"/>
      <c r="BL323" s="290"/>
      <c r="BM323" s="290"/>
      <c r="BN323" s="290"/>
      <c r="BO323" s="290"/>
      <c r="BP323" s="290"/>
      <c r="BQ323" s="290"/>
      <c r="BR323" s="290"/>
      <c r="BS323" s="290"/>
      <c r="BT323" s="290"/>
      <c r="BU323" s="290"/>
      <c r="BV323" s="290"/>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row>
    <row r="324" customFormat="false" ht="15.75" hidden="false" customHeight="false" outlineLevel="0" collapsed="false">
      <c r="A324" s="290"/>
      <c r="B324" s="290"/>
      <c r="C324" s="290"/>
      <c r="D324" s="290"/>
      <c r="E324" s="290"/>
      <c r="F324" s="290"/>
      <c r="G324" s="290"/>
      <c r="H324" s="290"/>
      <c r="I324" s="290"/>
      <c r="J324" s="3"/>
      <c r="K324" s="290"/>
      <c r="L324" s="290"/>
      <c r="M324" s="290"/>
      <c r="N324" s="290"/>
      <c r="O324" s="290"/>
      <c r="P324" s="290"/>
      <c r="Q324" s="290"/>
      <c r="R324" s="290"/>
      <c r="S324" s="290"/>
      <c r="T324" s="290"/>
      <c r="U324" s="290"/>
      <c r="V324" s="290"/>
      <c r="W324" s="290"/>
      <c r="X324" s="290"/>
      <c r="Y324" s="290"/>
      <c r="Z324" s="290"/>
      <c r="AA324" s="290"/>
      <c r="AB324" s="290"/>
      <c r="AC324" s="290"/>
      <c r="AD324" s="290"/>
      <c r="AE324" s="290"/>
      <c r="AF324" s="290"/>
      <c r="AG324" s="290"/>
      <c r="AH324" s="290"/>
      <c r="AI324" s="290"/>
      <c r="AJ324" s="290"/>
      <c r="AK324" s="290"/>
      <c r="AL324" s="290"/>
      <c r="AM324" s="290"/>
      <c r="AN324" s="290"/>
      <c r="AO324" s="290"/>
      <c r="AP324" s="290"/>
      <c r="AQ324" s="290"/>
      <c r="AR324" s="290"/>
      <c r="AS324" s="290"/>
      <c r="AT324" s="290"/>
      <c r="AU324" s="290"/>
      <c r="AV324" s="290"/>
      <c r="AW324" s="290"/>
      <c r="AX324" s="290"/>
      <c r="AY324" s="290"/>
      <c r="AZ324" s="290"/>
      <c r="BA324" s="290"/>
      <c r="BB324" s="290"/>
      <c r="BC324" s="290"/>
      <c r="BD324" s="290"/>
      <c r="BE324" s="290"/>
      <c r="BF324" s="290"/>
      <c r="BG324" s="290"/>
      <c r="BH324" s="290"/>
      <c r="BI324" s="290"/>
      <c r="BJ324" s="290"/>
      <c r="BK324" s="290"/>
      <c r="BL324" s="290"/>
      <c r="BM324" s="290"/>
      <c r="BN324" s="290"/>
      <c r="BO324" s="290"/>
      <c r="BP324" s="290"/>
      <c r="BQ324" s="290"/>
      <c r="BR324" s="290"/>
      <c r="BS324" s="290"/>
      <c r="BT324" s="290"/>
      <c r="BU324" s="290"/>
      <c r="BV324" s="290"/>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row>
    <row r="325" customFormat="false" ht="15.75" hidden="false" customHeight="false" outlineLevel="0" collapsed="false">
      <c r="A325" s="290"/>
      <c r="B325" s="290"/>
      <c r="C325" s="290"/>
      <c r="D325" s="290"/>
      <c r="E325" s="290"/>
      <c r="F325" s="290"/>
      <c r="G325" s="290"/>
      <c r="H325" s="290"/>
      <c r="I325" s="290"/>
      <c r="J325" s="3"/>
      <c r="K325" s="290"/>
      <c r="L325" s="290"/>
      <c r="M325" s="290"/>
      <c r="N325" s="290"/>
      <c r="O325" s="290"/>
      <c r="P325" s="290"/>
      <c r="Q325" s="290"/>
      <c r="R325" s="290"/>
      <c r="S325" s="290"/>
      <c r="T325" s="290"/>
      <c r="U325" s="290"/>
      <c r="V325" s="290"/>
      <c r="W325" s="290"/>
      <c r="X325" s="290"/>
      <c r="Y325" s="290"/>
      <c r="Z325" s="290"/>
      <c r="AA325" s="290"/>
      <c r="AB325" s="290"/>
      <c r="AC325" s="290"/>
      <c r="AD325" s="290"/>
      <c r="AE325" s="290"/>
      <c r="AF325" s="290"/>
      <c r="AG325" s="290"/>
      <c r="AH325" s="290"/>
      <c r="AI325" s="290"/>
      <c r="AJ325" s="290"/>
      <c r="AK325" s="290"/>
      <c r="AL325" s="290"/>
      <c r="AM325" s="290"/>
      <c r="AN325" s="290"/>
      <c r="AO325" s="290"/>
      <c r="AP325" s="290"/>
      <c r="AQ325" s="290"/>
      <c r="AR325" s="290"/>
      <c r="AS325" s="290"/>
      <c r="AT325" s="290"/>
      <c r="AU325" s="290"/>
      <c r="AV325" s="290"/>
      <c r="AW325" s="290"/>
      <c r="AX325" s="290"/>
      <c r="AY325" s="290"/>
      <c r="AZ325" s="290"/>
      <c r="BA325" s="290"/>
      <c r="BB325" s="290"/>
      <c r="BC325" s="290"/>
      <c r="BD325" s="290"/>
      <c r="BE325" s="290"/>
      <c r="BF325" s="290"/>
      <c r="BG325" s="290"/>
      <c r="BH325" s="290"/>
      <c r="BI325" s="290"/>
      <c r="BJ325" s="290"/>
      <c r="BK325" s="290"/>
      <c r="BL325" s="290"/>
      <c r="BM325" s="290"/>
      <c r="BN325" s="290"/>
      <c r="BO325" s="290"/>
      <c r="BP325" s="290"/>
      <c r="BQ325" s="290"/>
      <c r="BR325" s="290"/>
      <c r="BS325" s="290"/>
      <c r="BT325" s="290"/>
      <c r="BU325" s="290"/>
      <c r="BV325" s="290"/>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row>
    <row r="326" customFormat="false" ht="15.75" hidden="false" customHeight="false" outlineLevel="0" collapsed="false">
      <c r="A326" s="290"/>
      <c r="B326" s="290"/>
      <c r="C326" s="290"/>
      <c r="D326" s="290"/>
      <c r="E326" s="290"/>
      <c r="F326" s="290"/>
      <c r="G326" s="290"/>
      <c r="H326" s="290"/>
      <c r="I326" s="290"/>
      <c r="J326" s="3"/>
      <c r="K326" s="290"/>
      <c r="L326" s="290"/>
      <c r="M326" s="290"/>
      <c r="N326" s="290"/>
      <c r="O326" s="290"/>
      <c r="P326" s="290"/>
      <c r="Q326" s="290"/>
      <c r="R326" s="290"/>
      <c r="S326" s="290"/>
      <c r="T326" s="290"/>
      <c r="U326" s="290"/>
      <c r="V326" s="290"/>
      <c r="W326" s="290"/>
      <c r="X326" s="290"/>
      <c r="Y326" s="290"/>
      <c r="Z326" s="290"/>
      <c r="AA326" s="290"/>
      <c r="AB326" s="290"/>
      <c r="AC326" s="290"/>
      <c r="AD326" s="290"/>
      <c r="AE326" s="290"/>
      <c r="AF326" s="290"/>
      <c r="AG326" s="290"/>
      <c r="AH326" s="290"/>
      <c r="AI326" s="290"/>
      <c r="AJ326" s="290"/>
      <c r="AK326" s="290"/>
      <c r="AL326" s="290"/>
      <c r="AM326" s="290"/>
      <c r="AN326" s="290"/>
      <c r="AO326" s="290"/>
      <c r="AP326" s="290"/>
      <c r="AQ326" s="290"/>
      <c r="AR326" s="290"/>
      <c r="AS326" s="290"/>
      <c r="AT326" s="290"/>
      <c r="AU326" s="290"/>
      <c r="AV326" s="290"/>
      <c r="AW326" s="290"/>
      <c r="AX326" s="290"/>
      <c r="AY326" s="290"/>
      <c r="AZ326" s="290"/>
      <c r="BA326" s="290"/>
      <c r="BB326" s="290"/>
      <c r="BC326" s="290"/>
      <c r="BD326" s="290"/>
      <c r="BE326" s="290"/>
      <c r="BF326" s="290"/>
      <c r="BG326" s="290"/>
      <c r="BH326" s="290"/>
      <c r="BI326" s="290"/>
      <c r="BJ326" s="290"/>
      <c r="BK326" s="290"/>
      <c r="BL326" s="290"/>
      <c r="BM326" s="290"/>
      <c r="BN326" s="290"/>
      <c r="BO326" s="290"/>
      <c r="BP326" s="290"/>
      <c r="BQ326" s="290"/>
      <c r="BR326" s="290"/>
      <c r="BS326" s="290"/>
      <c r="BT326" s="290"/>
      <c r="BU326" s="290"/>
      <c r="BV326" s="290"/>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row>
    <row r="327" customFormat="false" ht="15.75" hidden="false" customHeight="false" outlineLevel="0" collapsed="false">
      <c r="A327" s="290"/>
      <c r="B327" s="290"/>
      <c r="C327" s="290"/>
      <c r="D327" s="290"/>
      <c r="E327" s="290"/>
      <c r="F327" s="290"/>
      <c r="G327" s="290"/>
      <c r="H327" s="290"/>
      <c r="I327" s="290"/>
      <c r="J327" s="3"/>
      <c r="K327" s="290"/>
      <c r="L327" s="290"/>
      <c r="M327" s="290"/>
      <c r="N327" s="290"/>
      <c r="O327" s="290"/>
      <c r="P327" s="290"/>
      <c r="Q327" s="290"/>
      <c r="R327" s="290"/>
      <c r="S327" s="290"/>
      <c r="T327" s="290"/>
      <c r="U327" s="290"/>
      <c r="V327" s="290"/>
      <c r="W327" s="290"/>
      <c r="X327" s="290"/>
      <c r="Y327" s="290"/>
      <c r="Z327" s="290"/>
      <c r="AA327" s="290"/>
      <c r="AB327" s="290"/>
      <c r="AC327" s="290"/>
      <c r="AD327" s="290"/>
      <c r="AE327" s="290"/>
      <c r="AF327" s="290"/>
      <c r="AG327" s="290"/>
      <c r="AH327" s="290"/>
      <c r="AI327" s="290"/>
      <c r="AJ327" s="290"/>
      <c r="AK327" s="290"/>
      <c r="AL327" s="290"/>
      <c r="AM327" s="290"/>
      <c r="AN327" s="290"/>
      <c r="AO327" s="290"/>
      <c r="AP327" s="290"/>
      <c r="AQ327" s="290"/>
      <c r="AR327" s="290"/>
      <c r="AS327" s="290"/>
      <c r="AT327" s="290"/>
      <c r="AU327" s="290"/>
      <c r="AV327" s="290"/>
      <c r="AW327" s="290"/>
      <c r="AX327" s="290"/>
      <c r="AY327" s="290"/>
      <c r="AZ327" s="290"/>
      <c r="BA327" s="290"/>
      <c r="BB327" s="290"/>
      <c r="BC327" s="290"/>
      <c r="BD327" s="290"/>
      <c r="BE327" s="290"/>
      <c r="BF327" s="290"/>
      <c r="BG327" s="290"/>
      <c r="BH327" s="290"/>
      <c r="BI327" s="290"/>
      <c r="BJ327" s="290"/>
      <c r="BK327" s="290"/>
      <c r="BL327" s="290"/>
      <c r="BM327" s="290"/>
      <c r="BN327" s="290"/>
      <c r="BO327" s="290"/>
      <c r="BP327" s="290"/>
      <c r="BQ327" s="290"/>
      <c r="BR327" s="290"/>
      <c r="BS327" s="290"/>
      <c r="BT327" s="290"/>
      <c r="BU327" s="290"/>
      <c r="BV327" s="290"/>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row>
    <row r="328" customFormat="false" ht="15.75" hidden="false" customHeight="false" outlineLevel="0" collapsed="false">
      <c r="A328" s="290"/>
      <c r="B328" s="290"/>
      <c r="C328" s="290"/>
      <c r="D328" s="290"/>
      <c r="E328" s="290"/>
      <c r="F328" s="290"/>
      <c r="G328" s="290"/>
      <c r="H328" s="290"/>
      <c r="I328" s="290"/>
      <c r="J328" s="3"/>
      <c r="K328" s="290"/>
      <c r="L328" s="290"/>
      <c r="M328" s="290"/>
      <c r="N328" s="290"/>
      <c r="O328" s="290"/>
      <c r="P328" s="290"/>
      <c r="Q328" s="290"/>
      <c r="R328" s="290"/>
      <c r="S328" s="290"/>
      <c r="T328" s="290"/>
      <c r="U328" s="290"/>
      <c r="V328" s="290"/>
      <c r="W328" s="290"/>
      <c r="X328" s="290"/>
      <c r="Y328" s="290"/>
      <c r="Z328" s="290"/>
      <c r="AA328" s="290"/>
      <c r="AB328" s="290"/>
      <c r="AC328" s="290"/>
      <c r="AD328" s="290"/>
      <c r="AE328" s="290"/>
      <c r="AF328" s="290"/>
      <c r="AG328" s="290"/>
      <c r="AH328" s="290"/>
      <c r="AI328" s="290"/>
      <c r="AJ328" s="290"/>
      <c r="AK328" s="290"/>
      <c r="AL328" s="290"/>
      <c r="AM328" s="290"/>
      <c r="AN328" s="290"/>
      <c r="AO328" s="290"/>
      <c r="AP328" s="290"/>
      <c r="AQ328" s="290"/>
      <c r="AR328" s="290"/>
      <c r="AS328" s="290"/>
      <c r="AT328" s="290"/>
      <c r="AU328" s="290"/>
      <c r="AV328" s="290"/>
      <c r="AW328" s="290"/>
      <c r="AX328" s="290"/>
      <c r="AY328" s="290"/>
      <c r="AZ328" s="290"/>
      <c r="BA328" s="290"/>
      <c r="BB328" s="290"/>
      <c r="BC328" s="290"/>
      <c r="BD328" s="290"/>
      <c r="BE328" s="290"/>
      <c r="BF328" s="290"/>
      <c r="BG328" s="290"/>
      <c r="BH328" s="290"/>
      <c r="BI328" s="290"/>
      <c r="BJ328" s="290"/>
      <c r="BK328" s="290"/>
      <c r="BL328" s="290"/>
      <c r="BM328" s="290"/>
      <c r="BN328" s="290"/>
      <c r="BO328" s="290"/>
      <c r="BP328" s="290"/>
      <c r="BQ328" s="290"/>
      <c r="BR328" s="290"/>
      <c r="BS328" s="290"/>
      <c r="BT328" s="290"/>
      <c r="BU328" s="290"/>
      <c r="BV328" s="290"/>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row>
    <row r="329" customFormat="false" ht="15.75" hidden="false" customHeight="false" outlineLevel="0" collapsed="false">
      <c r="A329" s="290"/>
      <c r="B329" s="290"/>
      <c r="C329" s="290"/>
      <c r="D329" s="290"/>
      <c r="E329" s="290"/>
      <c r="F329" s="290"/>
      <c r="G329" s="290"/>
      <c r="H329" s="290"/>
      <c r="I329" s="290"/>
      <c r="J329" s="3"/>
      <c r="K329" s="290"/>
      <c r="L329" s="290"/>
      <c r="M329" s="290"/>
      <c r="N329" s="290"/>
      <c r="O329" s="290"/>
      <c r="P329" s="290"/>
      <c r="Q329" s="290"/>
      <c r="R329" s="290"/>
      <c r="S329" s="290"/>
      <c r="T329" s="290"/>
      <c r="U329" s="290"/>
      <c r="V329" s="290"/>
      <c r="W329" s="290"/>
      <c r="X329" s="290"/>
      <c r="Y329" s="290"/>
      <c r="Z329" s="290"/>
      <c r="AA329" s="290"/>
      <c r="AB329" s="290"/>
      <c r="AC329" s="290"/>
      <c r="AD329" s="290"/>
      <c r="AE329" s="290"/>
      <c r="AF329" s="290"/>
      <c r="AG329" s="290"/>
      <c r="AH329" s="290"/>
      <c r="AI329" s="290"/>
      <c r="AJ329" s="290"/>
      <c r="AK329" s="290"/>
      <c r="AL329" s="290"/>
      <c r="AM329" s="290"/>
      <c r="AN329" s="290"/>
      <c r="AO329" s="290"/>
      <c r="AP329" s="290"/>
      <c r="AQ329" s="290"/>
      <c r="AR329" s="290"/>
      <c r="AS329" s="290"/>
      <c r="AT329" s="290"/>
      <c r="AU329" s="290"/>
      <c r="AV329" s="290"/>
      <c r="AW329" s="290"/>
      <c r="AX329" s="290"/>
      <c r="AY329" s="290"/>
      <c r="AZ329" s="290"/>
      <c r="BA329" s="290"/>
      <c r="BB329" s="290"/>
      <c r="BC329" s="290"/>
      <c r="BD329" s="290"/>
      <c r="BE329" s="290"/>
      <c r="BF329" s="290"/>
      <c r="BG329" s="290"/>
      <c r="BH329" s="290"/>
      <c r="BI329" s="290"/>
      <c r="BJ329" s="290"/>
      <c r="BK329" s="290"/>
      <c r="BL329" s="290"/>
      <c r="BM329" s="290"/>
      <c r="BN329" s="290"/>
      <c r="BO329" s="290"/>
      <c r="BP329" s="290"/>
      <c r="BQ329" s="290"/>
      <c r="BR329" s="290"/>
      <c r="BS329" s="290"/>
      <c r="BT329" s="290"/>
      <c r="BU329" s="290"/>
      <c r="BV329" s="290"/>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row>
    <row r="330" customFormat="false" ht="15.75" hidden="false" customHeight="false" outlineLevel="0" collapsed="false">
      <c r="A330" s="290"/>
      <c r="B330" s="290"/>
      <c r="C330" s="290"/>
      <c r="D330" s="290"/>
      <c r="E330" s="290"/>
      <c r="F330" s="290"/>
      <c r="G330" s="290"/>
      <c r="H330" s="290"/>
      <c r="I330" s="290"/>
      <c r="J330" s="3"/>
      <c r="K330" s="290"/>
      <c r="L330" s="290"/>
      <c r="M330" s="290"/>
      <c r="N330" s="290"/>
      <c r="O330" s="290"/>
      <c r="P330" s="290"/>
      <c r="Q330" s="290"/>
      <c r="R330" s="290"/>
      <c r="S330" s="290"/>
      <c r="T330" s="290"/>
      <c r="U330" s="290"/>
      <c r="V330" s="290"/>
      <c r="W330" s="290"/>
      <c r="X330" s="290"/>
      <c r="Y330" s="290"/>
      <c r="Z330" s="290"/>
      <c r="AA330" s="290"/>
      <c r="AB330" s="290"/>
      <c r="AC330" s="290"/>
      <c r="AD330" s="290"/>
      <c r="AE330" s="290"/>
      <c r="AF330" s="290"/>
      <c r="AG330" s="290"/>
      <c r="AH330" s="290"/>
      <c r="AI330" s="290"/>
      <c r="AJ330" s="290"/>
      <c r="AK330" s="290"/>
      <c r="AL330" s="290"/>
      <c r="AM330" s="290"/>
      <c r="AN330" s="290"/>
      <c r="AO330" s="290"/>
      <c r="AP330" s="290"/>
      <c r="AQ330" s="290"/>
      <c r="AR330" s="290"/>
      <c r="AS330" s="290"/>
      <c r="AT330" s="290"/>
      <c r="AU330" s="290"/>
      <c r="AV330" s="290"/>
      <c r="AW330" s="290"/>
      <c r="AX330" s="290"/>
      <c r="AY330" s="290"/>
      <c r="AZ330" s="290"/>
      <c r="BA330" s="290"/>
      <c r="BB330" s="290"/>
      <c r="BC330" s="290"/>
      <c r="BD330" s="290"/>
      <c r="BE330" s="290"/>
      <c r="BF330" s="290"/>
      <c r="BG330" s="290"/>
      <c r="BH330" s="290"/>
      <c r="BI330" s="290"/>
      <c r="BJ330" s="290"/>
      <c r="BK330" s="290"/>
      <c r="BL330" s="290"/>
      <c r="BM330" s="290"/>
      <c r="BN330" s="290"/>
      <c r="BO330" s="290"/>
      <c r="BP330" s="290"/>
      <c r="BQ330" s="290"/>
      <c r="BR330" s="290"/>
      <c r="BS330" s="290"/>
      <c r="BT330" s="290"/>
      <c r="BU330" s="290"/>
      <c r="BV330" s="290"/>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row>
    <row r="331" customFormat="false" ht="15.75" hidden="false" customHeight="false" outlineLevel="0" collapsed="false">
      <c r="A331" s="290"/>
      <c r="B331" s="290"/>
      <c r="C331" s="290"/>
      <c r="D331" s="290"/>
      <c r="E331" s="290"/>
      <c r="F331" s="290"/>
      <c r="G331" s="290"/>
      <c r="H331" s="290"/>
      <c r="I331" s="290"/>
      <c r="J331" s="3"/>
      <c r="K331" s="290"/>
      <c r="L331" s="290"/>
      <c r="M331" s="290"/>
      <c r="N331" s="290"/>
      <c r="O331" s="290"/>
      <c r="P331" s="290"/>
      <c r="Q331" s="290"/>
      <c r="R331" s="290"/>
      <c r="S331" s="290"/>
      <c r="T331" s="290"/>
      <c r="U331" s="290"/>
      <c r="V331" s="290"/>
      <c r="W331" s="290"/>
      <c r="X331" s="290"/>
      <c r="Y331" s="290"/>
      <c r="Z331" s="290"/>
      <c r="AA331" s="290"/>
      <c r="AB331" s="290"/>
      <c r="AC331" s="290"/>
      <c r="AD331" s="290"/>
      <c r="AE331" s="290"/>
      <c r="AF331" s="290"/>
      <c r="AG331" s="290"/>
      <c r="AH331" s="290"/>
      <c r="AI331" s="290"/>
      <c r="AJ331" s="290"/>
      <c r="AK331" s="290"/>
      <c r="AL331" s="290"/>
      <c r="AM331" s="290"/>
      <c r="AN331" s="290"/>
      <c r="AO331" s="290"/>
      <c r="AP331" s="290"/>
      <c r="AQ331" s="290"/>
      <c r="AR331" s="290"/>
      <c r="AS331" s="290"/>
      <c r="AT331" s="290"/>
      <c r="AU331" s="290"/>
      <c r="AV331" s="290"/>
      <c r="AW331" s="290"/>
      <c r="AX331" s="290"/>
      <c r="AY331" s="290"/>
      <c r="AZ331" s="290"/>
      <c r="BA331" s="290"/>
      <c r="BB331" s="290"/>
      <c r="BC331" s="290"/>
      <c r="BD331" s="290"/>
      <c r="BE331" s="290"/>
      <c r="BF331" s="290"/>
      <c r="BG331" s="290"/>
      <c r="BH331" s="290"/>
      <c r="BI331" s="290"/>
      <c r="BJ331" s="290"/>
      <c r="BK331" s="290"/>
      <c r="BL331" s="290"/>
      <c r="BM331" s="290"/>
      <c r="BN331" s="290"/>
      <c r="BO331" s="290"/>
      <c r="BP331" s="290"/>
      <c r="BQ331" s="290"/>
      <c r="BR331" s="290"/>
      <c r="BS331" s="290"/>
      <c r="BT331" s="290"/>
      <c r="BU331" s="290"/>
      <c r="BV331" s="290"/>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row>
    <row r="332" customFormat="false" ht="15.75" hidden="false" customHeight="false" outlineLevel="0" collapsed="false">
      <c r="A332" s="290"/>
      <c r="B332" s="290"/>
      <c r="C332" s="290"/>
      <c r="D332" s="290"/>
      <c r="E332" s="290"/>
      <c r="F332" s="290"/>
      <c r="G332" s="290"/>
      <c r="H332" s="290"/>
      <c r="I332" s="290"/>
      <c r="J332" s="3"/>
      <c r="K332" s="290"/>
      <c r="L332" s="290"/>
      <c r="M332" s="290"/>
      <c r="N332" s="290"/>
      <c r="O332" s="290"/>
      <c r="P332" s="290"/>
      <c r="Q332" s="290"/>
      <c r="R332" s="290"/>
      <c r="S332" s="290"/>
      <c r="T332" s="290"/>
      <c r="U332" s="290"/>
      <c r="V332" s="290"/>
      <c r="W332" s="290"/>
      <c r="X332" s="290"/>
      <c r="Y332" s="290"/>
      <c r="Z332" s="290"/>
      <c r="AA332" s="290"/>
      <c r="AB332" s="290"/>
      <c r="AC332" s="290"/>
      <c r="AD332" s="290"/>
      <c r="AE332" s="290"/>
      <c r="AF332" s="290"/>
      <c r="AG332" s="290"/>
      <c r="AH332" s="290"/>
      <c r="AI332" s="290"/>
      <c r="AJ332" s="290"/>
      <c r="AK332" s="290"/>
      <c r="AL332" s="290"/>
      <c r="AM332" s="290"/>
      <c r="AN332" s="290"/>
      <c r="AO332" s="290"/>
      <c r="AP332" s="290"/>
      <c r="AQ332" s="290"/>
      <c r="AR332" s="290"/>
      <c r="AS332" s="290"/>
      <c r="AT332" s="290"/>
      <c r="AU332" s="290"/>
      <c r="AV332" s="290"/>
      <c r="AW332" s="290"/>
      <c r="AX332" s="290"/>
      <c r="AY332" s="290"/>
      <c r="AZ332" s="290"/>
      <c r="BA332" s="290"/>
      <c r="BB332" s="290"/>
      <c r="BC332" s="290"/>
      <c r="BD332" s="290"/>
      <c r="BE332" s="290"/>
      <c r="BF332" s="290"/>
      <c r="BG332" s="290"/>
      <c r="BH332" s="290"/>
      <c r="BI332" s="290"/>
      <c r="BJ332" s="290"/>
      <c r="BK332" s="290"/>
      <c r="BL332" s="290"/>
      <c r="BM332" s="290"/>
      <c r="BN332" s="290"/>
      <c r="BO332" s="290"/>
      <c r="BP332" s="290"/>
      <c r="BQ332" s="290"/>
      <c r="BR332" s="290"/>
      <c r="BS332" s="290"/>
      <c r="BT332" s="290"/>
      <c r="BU332" s="290"/>
      <c r="BV332" s="290"/>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row>
    <row r="333" customFormat="false" ht="15.75" hidden="false" customHeight="false" outlineLevel="0" collapsed="false">
      <c r="A333" s="290"/>
      <c r="B333" s="290"/>
      <c r="C333" s="290"/>
      <c r="D333" s="290"/>
      <c r="E333" s="290"/>
      <c r="F333" s="290"/>
      <c r="G333" s="290"/>
      <c r="H333" s="290"/>
      <c r="I333" s="290"/>
      <c r="J333" s="3"/>
      <c r="K333" s="290"/>
      <c r="L333" s="290"/>
      <c r="M333" s="290"/>
      <c r="N333" s="290"/>
      <c r="O333" s="290"/>
      <c r="P333" s="290"/>
      <c r="Q333" s="290"/>
      <c r="R333" s="290"/>
      <c r="S333" s="290"/>
      <c r="T333" s="290"/>
      <c r="U333" s="290"/>
      <c r="V333" s="290"/>
      <c r="W333" s="290"/>
      <c r="X333" s="290"/>
      <c r="Y333" s="290"/>
      <c r="Z333" s="290"/>
      <c r="AA333" s="290"/>
      <c r="AB333" s="290"/>
      <c r="AC333" s="290"/>
      <c r="AD333" s="290"/>
      <c r="AE333" s="290"/>
      <c r="AF333" s="290"/>
      <c r="AG333" s="290"/>
      <c r="AH333" s="290"/>
      <c r="AI333" s="290"/>
      <c r="AJ333" s="290"/>
      <c r="AK333" s="290"/>
      <c r="AL333" s="290"/>
      <c r="AM333" s="290"/>
      <c r="AN333" s="290"/>
      <c r="AO333" s="290"/>
      <c r="AP333" s="290"/>
      <c r="AQ333" s="290"/>
      <c r="AR333" s="290"/>
      <c r="AS333" s="290"/>
      <c r="AT333" s="290"/>
      <c r="AU333" s="290"/>
      <c r="AV333" s="290"/>
      <c r="AW333" s="290"/>
      <c r="AX333" s="290"/>
      <c r="AY333" s="290"/>
      <c r="AZ333" s="290"/>
      <c r="BA333" s="290"/>
      <c r="BB333" s="290"/>
      <c r="BC333" s="290"/>
      <c r="BD333" s="290"/>
      <c r="BE333" s="290"/>
      <c r="BF333" s="290"/>
      <c r="BG333" s="290"/>
      <c r="BH333" s="290"/>
      <c r="BI333" s="290"/>
      <c r="BJ333" s="290"/>
      <c r="BK333" s="290"/>
      <c r="BL333" s="290"/>
      <c r="BM333" s="290"/>
      <c r="BN333" s="290"/>
      <c r="BO333" s="290"/>
      <c r="BP333" s="290"/>
      <c r="BQ333" s="290"/>
      <c r="BR333" s="290"/>
      <c r="BS333" s="290"/>
      <c r="BT333" s="290"/>
      <c r="BU333" s="290"/>
      <c r="BV333" s="290"/>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row>
    <row r="334" customFormat="false" ht="15.75" hidden="false" customHeight="false" outlineLevel="0" collapsed="false">
      <c r="A334" s="290"/>
      <c r="B334" s="290"/>
      <c r="C334" s="290"/>
      <c r="D334" s="290"/>
      <c r="E334" s="290"/>
      <c r="F334" s="290"/>
      <c r="G334" s="290"/>
      <c r="H334" s="290"/>
      <c r="I334" s="290"/>
      <c r="J334" s="3"/>
      <c r="K334" s="290"/>
      <c r="L334" s="290"/>
      <c r="M334" s="290"/>
      <c r="N334" s="290"/>
      <c r="O334" s="290"/>
      <c r="P334" s="290"/>
      <c r="Q334" s="290"/>
      <c r="R334" s="290"/>
      <c r="S334" s="290"/>
      <c r="T334" s="290"/>
      <c r="U334" s="290"/>
      <c r="V334" s="290"/>
      <c r="W334" s="290"/>
      <c r="X334" s="290"/>
      <c r="Y334" s="290"/>
      <c r="Z334" s="290"/>
      <c r="AA334" s="290"/>
      <c r="AB334" s="290"/>
      <c r="AC334" s="290"/>
      <c r="AD334" s="290"/>
      <c r="AE334" s="290"/>
      <c r="AF334" s="290"/>
      <c r="AG334" s="290"/>
      <c r="AH334" s="290"/>
      <c r="AI334" s="290"/>
      <c r="AJ334" s="290"/>
      <c r="AK334" s="290"/>
      <c r="AL334" s="290"/>
      <c r="AM334" s="290"/>
      <c r="AN334" s="290"/>
      <c r="AO334" s="290"/>
      <c r="AP334" s="290"/>
      <c r="AQ334" s="290"/>
      <c r="AR334" s="290"/>
      <c r="AS334" s="290"/>
      <c r="AT334" s="290"/>
      <c r="AU334" s="290"/>
      <c r="AV334" s="290"/>
      <c r="AW334" s="290"/>
      <c r="AX334" s="290"/>
      <c r="AY334" s="290"/>
      <c r="AZ334" s="290"/>
      <c r="BA334" s="290"/>
      <c r="BB334" s="290"/>
      <c r="BC334" s="290"/>
      <c r="BD334" s="290"/>
      <c r="BE334" s="290"/>
      <c r="BF334" s="290"/>
      <c r="BG334" s="290"/>
      <c r="BH334" s="290"/>
      <c r="BI334" s="290"/>
      <c r="BJ334" s="290"/>
      <c r="BK334" s="290"/>
      <c r="BL334" s="290"/>
      <c r="BM334" s="290"/>
      <c r="BN334" s="290"/>
      <c r="BO334" s="290"/>
      <c r="BP334" s="290"/>
      <c r="BQ334" s="290"/>
      <c r="BR334" s="290"/>
      <c r="BS334" s="290"/>
      <c r="BT334" s="290"/>
      <c r="BU334" s="290"/>
      <c r="BV334" s="290"/>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row>
    <row r="335" customFormat="false" ht="15.75" hidden="false" customHeight="false" outlineLevel="0" collapsed="false">
      <c r="A335" s="290"/>
      <c r="B335" s="290"/>
      <c r="C335" s="290"/>
      <c r="D335" s="290"/>
      <c r="E335" s="290"/>
      <c r="F335" s="290"/>
      <c r="G335" s="290"/>
      <c r="H335" s="290"/>
      <c r="I335" s="290"/>
      <c r="J335" s="3"/>
      <c r="K335" s="290"/>
      <c r="L335" s="290"/>
      <c r="M335" s="290"/>
      <c r="N335" s="290"/>
      <c r="O335" s="290"/>
      <c r="P335" s="290"/>
      <c r="Q335" s="290"/>
      <c r="R335" s="290"/>
      <c r="S335" s="290"/>
      <c r="T335" s="290"/>
      <c r="U335" s="290"/>
      <c r="V335" s="290"/>
      <c r="W335" s="290"/>
      <c r="X335" s="290"/>
      <c r="Y335" s="290"/>
      <c r="Z335" s="290"/>
      <c r="AA335" s="290"/>
      <c r="AB335" s="290"/>
      <c r="AC335" s="290"/>
      <c r="AD335" s="290"/>
      <c r="AE335" s="290"/>
      <c r="AF335" s="290"/>
      <c r="AG335" s="290"/>
      <c r="AH335" s="290"/>
      <c r="AI335" s="290"/>
      <c r="AJ335" s="290"/>
      <c r="AK335" s="290"/>
      <c r="AL335" s="290"/>
      <c r="AM335" s="290"/>
      <c r="AN335" s="290"/>
      <c r="AO335" s="290"/>
      <c r="AP335" s="290"/>
      <c r="AQ335" s="290"/>
      <c r="AR335" s="290"/>
      <c r="AS335" s="290"/>
      <c r="AT335" s="290"/>
      <c r="AU335" s="290"/>
      <c r="AV335" s="290"/>
      <c r="AW335" s="290"/>
      <c r="AX335" s="290"/>
      <c r="AY335" s="290"/>
      <c r="AZ335" s="290"/>
      <c r="BA335" s="290"/>
      <c r="BB335" s="290"/>
      <c r="BC335" s="290"/>
      <c r="BD335" s="290"/>
      <c r="BE335" s="290"/>
      <c r="BF335" s="290"/>
      <c r="BG335" s="290"/>
      <c r="BH335" s="290"/>
      <c r="BI335" s="290"/>
      <c r="BJ335" s="290"/>
      <c r="BK335" s="290"/>
      <c r="BL335" s="290"/>
      <c r="BM335" s="290"/>
      <c r="BN335" s="290"/>
      <c r="BO335" s="290"/>
      <c r="BP335" s="290"/>
      <c r="BQ335" s="290"/>
      <c r="BR335" s="290"/>
      <c r="BS335" s="290"/>
      <c r="BT335" s="290"/>
      <c r="BU335" s="290"/>
      <c r="BV335" s="290"/>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row>
    <row r="336" customFormat="false" ht="15.75" hidden="false" customHeight="false" outlineLevel="0" collapsed="false">
      <c r="A336" s="290"/>
      <c r="B336" s="290"/>
      <c r="C336" s="290"/>
      <c r="D336" s="290"/>
      <c r="E336" s="290"/>
      <c r="F336" s="290"/>
      <c r="G336" s="290"/>
      <c r="H336" s="290"/>
      <c r="I336" s="290"/>
      <c r="J336" s="3"/>
      <c r="K336" s="290"/>
      <c r="L336" s="290"/>
      <c r="M336" s="290"/>
      <c r="N336" s="290"/>
      <c r="O336" s="290"/>
      <c r="P336" s="290"/>
      <c r="Q336" s="290"/>
      <c r="R336" s="290"/>
      <c r="S336" s="290"/>
      <c r="T336" s="290"/>
      <c r="U336" s="290"/>
      <c r="V336" s="290"/>
      <c r="W336" s="290"/>
      <c r="X336" s="290"/>
      <c r="Y336" s="290"/>
      <c r="Z336" s="290"/>
      <c r="AA336" s="290"/>
      <c r="AB336" s="290"/>
      <c r="AC336" s="290"/>
      <c r="AD336" s="290"/>
      <c r="AE336" s="290"/>
      <c r="AF336" s="290"/>
      <c r="AG336" s="290"/>
      <c r="AH336" s="290"/>
      <c r="AI336" s="290"/>
      <c r="AJ336" s="290"/>
      <c r="AK336" s="290"/>
      <c r="AL336" s="290"/>
      <c r="AM336" s="290"/>
      <c r="AN336" s="290"/>
      <c r="AO336" s="290"/>
      <c r="AP336" s="290"/>
      <c r="AQ336" s="290"/>
      <c r="AR336" s="290"/>
      <c r="AS336" s="290"/>
      <c r="AT336" s="290"/>
      <c r="AU336" s="290"/>
      <c r="AV336" s="290"/>
      <c r="AW336" s="290"/>
      <c r="AX336" s="290"/>
      <c r="AY336" s="290"/>
      <c r="AZ336" s="290"/>
      <c r="BA336" s="290"/>
      <c r="BB336" s="290"/>
      <c r="BC336" s="290"/>
      <c r="BD336" s="290"/>
      <c r="BE336" s="290"/>
      <c r="BF336" s="290"/>
      <c r="BG336" s="290"/>
      <c r="BH336" s="290"/>
      <c r="BI336" s="290"/>
      <c r="BJ336" s="290"/>
      <c r="BK336" s="290"/>
      <c r="BL336" s="290"/>
      <c r="BM336" s="290"/>
      <c r="BN336" s="290"/>
      <c r="BO336" s="290"/>
      <c r="BP336" s="290"/>
      <c r="BQ336" s="290"/>
      <c r="BR336" s="290"/>
      <c r="BS336" s="290"/>
      <c r="BT336" s="290"/>
      <c r="BU336" s="290"/>
      <c r="BV336" s="290"/>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row>
    <row r="337" customFormat="false" ht="15.75" hidden="false" customHeight="false" outlineLevel="0" collapsed="false">
      <c r="A337" s="290"/>
      <c r="B337" s="290"/>
      <c r="C337" s="290"/>
      <c r="D337" s="290"/>
      <c r="E337" s="290"/>
      <c r="F337" s="290"/>
      <c r="G337" s="290"/>
      <c r="H337" s="290"/>
      <c r="I337" s="290"/>
      <c r="J337" s="3"/>
      <c r="K337" s="290"/>
      <c r="L337" s="290"/>
      <c r="M337" s="290"/>
      <c r="N337" s="290"/>
      <c r="O337" s="290"/>
      <c r="P337" s="290"/>
      <c r="Q337" s="290"/>
      <c r="R337" s="290"/>
      <c r="S337" s="290"/>
      <c r="T337" s="290"/>
      <c r="U337" s="290"/>
      <c r="V337" s="290"/>
      <c r="W337" s="290"/>
      <c r="X337" s="290"/>
      <c r="Y337" s="290"/>
      <c r="Z337" s="290"/>
      <c r="AA337" s="290"/>
      <c r="AB337" s="290"/>
      <c r="AC337" s="290"/>
      <c r="AD337" s="290"/>
      <c r="AE337" s="290"/>
      <c r="AF337" s="290"/>
      <c r="AG337" s="290"/>
      <c r="AH337" s="290"/>
      <c r="AI337" s="290"/>
      <c r="AJ337" s="290"/>
      <c r="AK337" s="290"/>
      <c r="AL337" s="290"/>
      <c r="AM337" s="290"/>
      <c r="AN337" s="290"/>
      <c r="AO337" s="290"/>
      <c r="AP337" s="290"/>
      <c r="AQ337" s="290"/>
      <c r="AR337" s="290"/>
      <c r="AS337" s="290"/>
      <c r="AT337" s="290"/>
      <c r="AU337" s="290"/>
      <c r="AV337" s="290"/>
      <c r="AW337" s="290"/>
      <c r="AX337" s="290"/>
      <c r="AY337" s="290"/>
      <c r="AZ337" s="290"/>
      <c r="BA337" s="290"/>
      <c r="BB337" s="290"/>
      <c r="BC337" s="290"/>
      <c r="BD337" s="290"/>
      <c r="BE337" s="290"/>
      <c r="BF337" s="290"/>
      <c r="BG337" s="290"/>
      <c r="BH337" s="290"/>
      <c r="BI337" s="290"/>
      <c r="BJ337" s="290"/>
      <c r="BK337" s="290"/>
      <c r="BL337" s="290"/>
      <c r="BM337" s="290"/>
      <c r="BN337" s="290"/>
      <c r="BO337" s="290"/>
      <c r="BP337" s="290"/>
      <c r="BQ337" s="290"/>
      <c r="BR337" s="290"/>
      <c r="BS337" s="290"/>
      <c r="BT337" s="290"/>
      <c r="BU337" s="290"/>
      <c r="BV337" s="290"/>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row>
    <row r="338" customFormat="false" ht="15.75" hidden="false" customHeight="false" outlineLevel="0" collapsed="false">
      <c r="A338" s="290"/>
      <c r="B338" s="290"/>
      <c r="C338" s="290"/>
      <c r="D338" s="290"/>
      <c r="E338" s="290"/>
      <c r="F338" s="290"/>
      <c r="G338" s="290"/>
      <c r="H338" s="290"/>
      <c r="I338" s="290"/>
      <c r="J338" s="3"/>
      <c r="K338" s="290"/>
      <c r="L338" s="290"/>
      <c r="M338" s="290"/>
      <c r="N338" s="290"/>
      <c r="O338" s="290"/>
      <c r="P338" s="290"/>
      <c r="Q338" s="290"/>
      <c r="R338" s="290"/>
      <c r="S338" s="290"/>
      <c r="T338" s="290"/>
      <c r="U338" s="290"/>
      <c r="V338" s="290"/>
      <c r="W338" s="290"/>
      <c r="X338" s="290"/>
      <c r="Y338" s="290"/>
      <c r="Z338" s="290"/>
      <c r="AA338" s="290"/>
      <c r="AB338" s="290"/>
      <c r="AC338" s="290"/>
      <c r="AD338" s="290"/>
      <c r="AE338" s="290"/>
      <c r="AF338" s="290"/>
      <c r="AG338" s="290"/>
      <c r="AH338" s="290"/>
      <c r="AI338" s="290"/>
      <c r="AJ338" s="290"/>
      <c r="AK338" s="290"/>
      <c r="AL338" s="290"/>
      <c r="AM338" s="290"/>
      <c r="AN338" s="290"/>
      <c r="AO338" s="290"/>
      <c r="AP338" s="290"/>
      <c r="AQ338" s="290"/>
      <c r="AR338" s="290"/>
      <c r="AS338" s="290"/>
      <c r="AT338" s="290"/>
      <c r="AU338" s="290"/>
      <c r="AV338" s="290"/>
      <c r="AW338" s="290"/>
      <c r="AX338" s="290"/>
      <c r="AY338" s="290"/>
      <c r="AZ338" s="290"/>
      <c r="BA338" s="290"/>
      <c r="BB338" s="290"/>
      <c r="BC338" s="290"/>
      <c r="BD338" s="290"/>
      <c r="BE338" s="290"/>
      <c r="BF338" s="290"/>
      <c r="BG338" s="290"/>
      <c r="BH338" s="290"/>
      <c r="BI338" s="290"/>
      <c r="BJ338" s="290"/>
      <c r="BK338" s="290"/>
      <c r="BL338" s="290"/>
      <c r="BM338" s="290"/>
      <c r="BN338" s="290"/>
      <c r="BO338" s="290"/>
      <c r="BP338" s="290"/>
      <c r="BQ338" s="290"/>
      <c r="BR338" s="290"/>
      <c r="BS338" s="290"/>
      <c r="BT338" s="290"/>
      <c r="BU338" s="290"/>
      <c r="BV338" s="290"/>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row>
    <row r="339" customFormat="false" ht="15.75" hidden="false" customHeight="false" outlineLevel="0" collapsed="false">
      <c r="A339" s="290"/>
      <c r="B339" s="290"/>
      <c r="C339" s="290"/>
      <c r="D339" s="290"/>
      <c r="E339" s="290"/>
      <c r="F339" s="290"/>
      <c r="G339" s="290"/>
      <c r="H339" s="290"/>
      <c r="I339" s="290"/>
      <c r="J339" s="3"/>
      <c r="K339" s="290"/>
      <c r="L339" s="290"/>
      <c r="M339" s="290"/>
      <c r="N339" s="290"/>
      <c r="O339" s="290"/>
      <c r="P339" s="290"/>
      <c r="Q339" s="290"/>
      <c r="R339" s="290"/>
      <c r="S339" s="290"/>
      <c r="T339" s="290"/>
      <c r="U339" s="290"/>
      <c r="V339" s="290"/>
      <c r="W339" s="290"/>
      <c r="X339" s="290"/>
      <c r="Y339" s="290"/>
      <c r="Z339" s="290"/>
      <c r="AA339" s="290"/>
      <c r="AB339" s="290"/>
      <c r="AC339" s="290"/>
      <c r="AD339" s="290"/>
      <c r="AE339" s="290"/>
      <c r="AF339" s="290"/>
      <c r="AG339" s="290"/>
      <c r="AH339" s="290"/>
      <c r="AI339" s="290"/>
      <c r="AJ339" s="290"/>
      <c r="AK339" s="290"/>
      <c r="AL339" s="290"/>
      <c r="AM339" s="290"/>
      <c r="AN339" s="290"/>
      <c r="AO339" s="290"/>
      <c r="AP339" s="290"/>
      <c r="AQ339" s="290"/>
      <c r="AR339" s="290"/>
      <c r="AS339" s="290"/>
      <c r="AT339" s="290"/>
      <c r="AU339" s="290"/>
      <c r="AV339" s="290"/>
      <c r="AW339" s="290"/>
      <c r="AX339" s="290"/>
      <c r="AY339" s="290"/>
      <c r="AZ339" s="290"/>
      <c r="BA339" s="290"/>
      <c r="BB339" s="290"/>
      <c r="BC339" s="290"/>
      <c r="BD339" s="290"/>
      <c r="BE339" s="290"/>
      <c r="BF339" s="290"/>
      <c r="BG339" s="290"/>
      <c r="BH339" s="290"/>
      <c r="BI339" s="290"/>
      <c r="BJ339" s="290"/>
      <c r="BK339" s="290"/>
      <c r="BL339" s="290"/>
      <c r="BM339" s="290"/>
      <c r="BN339" s="290"/>
      <c r="BO339" s="290"/>
      <c r="BP339" s="290"/>
      <c r="BQ339" s="290"/>
      <c r="BR339" s="290"/>
      <c r="BS339" s="290"/>
      <c r="BT339" s="290"/>
      <c r="BU339" s="290"/>
      <c r="BV339" s="290"/>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row>
    <row r="340" customFormat="false" ht="15.75" hidden="false" customHeight="false" outlineLevel="0" collapsed="false">
      <c r="A340" s="290"/>
      <c r="B340" s="290"/>
      <c r="C340" s="290"/>
      <c r="D340" s="290"/>
      <c r="E340" s="290"/>
      <c r="F340" s="290"/>
      <c r="G340" s="290"/>
      <c r="H340" s="290"/>
      <c r="I340" s="290"/>
      <c r="J340" s="3"/>
      <c r="K340" s="290"/>
      <c r="L340" s="290"/>
      <c r="M340" s="290"/>
      <c r="N340" s="290"/>
      <c r="O340" s="290"/>
      <c r="P340" s="290"/>
      <c r="Q340" s="290"/>
      <c r="R340" s="290"/>
      <c r="S340" s="290"/>
      <c r="T340" s="290"/>
      <c r="U340" s="290"/>
      <c r="V340" s="290"/>
      <c r="W340" s="290"/>
      <c r="X340" s="290"/>
      <c r="Y340" s="290"/>
      <c r="Z340" s="290"/>
      <c r="AA340" s="290"/>
      <c r="AB340" s="290"/>
      <c r="AC340" s="290"/>
      <c r="AD340" s="290"/>
      <c r="AE340" s="290"/>
      <c r="AF340" s="290"/>
      <c r="AG340" s="290"/>
      <c r="AH340" s="290"/>
      <c r="AI340" s="290"/>
      <c r="AJ340" s="290"/>
      <c r="AK340" s="290"/>
      <c r="AL340" s="290"/>
      <c r="AM340" s="290"/>
      <c r="AN340" s="290"/>
      <c r="AO340" s="290"/>
      <c r="AP340" s="290"/>
      <c r="AQ340" s="290"/>
      <c r="AR340" s="290"/>
      <c r="AS340" s="290"/>
      <c r="AT340" s="290"/>
      <c r="AU340" s="290"/>
      <c r="AV340" s="290"/>
      <c r="AW340" s="290"/>
      <c r="AX340" s="290"/>
      <c r="AY340" s="290"/>
      <c r="AZ340" s="290"/>
      <c r="BA340" s="290"/>
      <c r="BB340" s="290"/>
      <c r="BC340" s="290"/>
      <c r="BD340" s="290"/>
      <c r="BE340" s="290"/>
      <c r="BF340" s="290"/>
      <c r="BG340" s="290"/>
      <c r="BH340" s="290"/>
      <c r="BI340" s="290"/>
      <c r="BJ340" s="290"/>
      <c r="BK340" s="290"/>
      <c r="BL340" s="290"/>
      <c r="BM340" s="290"/>
      <c r="BN340" s="290"/>
      <c r="BO340" s="290"/>
      <c r="BP340" s="290"/>
      <c r="BQ340" s="290"/>
      <c r="BR340" s="290"/>
      <c r="BS340" s="290"/>
      <c r="BT340" s="290"/>
      <c r="BU340" s="290"/>
      <c r="BV340" s="290"/>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row>
    <row r="341" customFormat="false" ht="15.75" hidden="false" customHeight="false" outlineLevel="0" collapsed="false">
      <c r="A341" s="290"/>
      <c r="B341" s="290"/>
      <c r="C341" s="290"/>
      <c r="D341" s="290"/>
      <c r="E341" s="290"/>
      <c r="F341" s="290"/>
      <c r="G341" s="290"/>
      <c r="H341" s="290"/>
      <c r="I341" s="290"/>
      <c r="J341" s="3"/>
      <c r="K341" s="290"/>
      <c r="L341" s="290"/>
      <c r="M341" s="290"/>
      <c r="N341" s="290"/>
      <c r="O341" s="290"/>
      <c r="P341" s="290"/>
      <c r="Q341" s="290"/>
      <c r="R341" s="290"/>
      <c r="S341" s="290"/>
      <c r="T341" s="290"/>
      <c r="U341" s="290"/>
      <c r="V341" s="290"/>
      <c r="W341" s="290"/>
      <c r="X341" s="290"/>
      <c r="Y341" s="290"/>
      <c r="Z341" s="290"/>
      <c r="AA341" s="290"/>
      <c r="AB341" s="290"/>
      <c r="AC341" s="290"/>
      <c r="AD341" s="290"/>
      <c r="AE341" s="290"/>
      <c r="AF341" s="290"/>
      <c r="AG341" s="290"/>
      <c r="AH341" s="290"/>
      <c r="AI341" s="290"/>
      <c r="AJ341" s="290"/>
      <c r="AK341" s="290"/>
      <c r="AL341" s="290"/>
      <c r="AM341" s="290"/>
      <c r="AN341" s="290"/>
      <c r="AO341" s="290"/>
      <c r="AP341" s="290"/>
      <c r="AQ341" s="290"/>
      <c r="AR341" s="290"/>
      <c r="AS341" s="290"/>
      <c r="AT341" s="290"/>
      <c r="AU341" s="290"/>
      <c r="AV341" s="290"/>
      <c r="AW341" s="290"/>
      <c r="AX341" s="290"/>
      <c r="AY341" s="290"/>
      <c r="AZ341" s="290"/>
      <c r="BA341" s="290"/>
      <c r="BB341" s="290"/>
      <c r="BC341" s="290"/>
      <c r="BD341" s="290"/>
      <c r="BE341" s="290"/>
      <c r="BF341" s="290"/>
      <c r="BG341" s="290"/>
      <c r="BH341" s="290"/>
      <c r="BI341" s="290"/>
      <c r="BJ341" s="290"/>
      <c r="BK341" s="290"/>
      <c r="BL341" s="290"/>
      <c r="BM341" s="290"/>
      <c r="BN341" s="290"/>
      <c r="BO341" s="290"/>
      <c r="BP341" s="290"/>
      <c r="BQ341" s="290"/>
      <c r="BR341" s="290"/>
      <c r="BS341" s="290"/>
      <c r="BT341" s="290"/>
      <c r="BU341" s="290"/>
      <c r="BV341" s="290"/>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row>
    <row r="342" customFormat="false" ht="15.75" hidden="false" customHeight="false" outlineLevel="0" collapsed="false">
      <c r="A342" s="290"/>
      <c r="B342" s="290"/>
      <c r="C342" s="290"/>
      <c r="D342" s="290"/>
      <c r="E342" s="290"/>
      <c r="F342" s="290"/>
      <c r="G342" s="290"/>
      <c r="H342" s="290"/>
      <c r="I342" s="290"/>
      <c r="J342" s="3"/>
      <c r="K342" s="290"/>
      <c r="L342" s="290"/>
      <c r="M342" s="290"/>
      <c r="N342" s="290"/>
      <c r="O342" s="290"/>
      <c r="P342" s="290"/>
      <c r="Q342" s="290"/>
      <c r="R342" s="290"/>
      <c r="S342" s="290"/>
      <c r="T342" s="290"/>
      <c r="U342" s="290"/>
      <c r="V342" s="290"/>
      <c r="W342" s="290"/>
      <c r="X342" s="290"/>
      <c r="Y342" s="290"/>
      <c r="Z342" s="290"/>
      <c r="AA342" s="290"/>
      <c r="AB342" s="290"/>
      <c r="AC342" s="290"/>
      <c r="AD342" s="290"/>
      <c r="AE342" s="290"/>
      <c r="AF342" s="290"/>
      <c r="AG342" s="290"/>
      <c r="AH342" s="290"/>
      <c r="AI342" s="290"/>
      <c r="AJ342" s="290"/>
      <c r="AK342" s="290"/>
      <c r="AL342" s="290"/>
      <c r="AM342" s="290"/>
      <c r="AN342" s="290"/>
      <c r="AO342" s="290"/>
      <c r="AP342" s="290"/>
      <c r="AQ342" s="290"/>
      <c r="AR342" s="290"/>
      <c r="AS342" s="290"/>
      <c r="AT342" s="290"/>
      <c r="AU342" s="290"/>
      <c r="AV342" s="290"/>
      <c r="AW342" s="290"/>
      <c r="AX342" s="290"/>
      <c r="AY342" s="290"/>
      <c r="AZ342" s="290"/>
      <c r="BA342" s="290"/>
      <c r="BB342" s="290"/>
      <c r="BC342" s="290"/>
      <c r="BD342" s="290"/>
      <c r="BE342" s="290"/>
      <c r="BF342" s="290"/>
      <c r="BG342" s="290"/>
      <c r="BH342" s="290"/>
      <c r="BI342" s="290"/>
      <c r="BJ342" s="290"/>
      <c r="BK342" s="290"/>
      <c r="BL342" s="290"/>
      <c r="BM342" s="290"/>
      <c r="BN342" s="290"/>
      <c r="BO342" s="290"/>
      <c r="BP342" s="290"/>
      <c r="BQ342" s="290"/>
      <c r="BR342" s="290"/>
      <c r="BS342" s="290"/>
      <c r="BT342" s="290"/>
      <c r="BU342" s="290"/>
      <c r="BV342" s="290"/>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row>
    <row r="343" customFormat="false" ht="15.75" hidden="false" customHeight="false" outlineLevel="0" collapsed="false">
      <c r="A343" s="290"/>
      <c r="B343" s="290"/>
      <c r="C343" s="290"/>
      <c r="D343" s="290"/>
      <c r="E343" s="290"/>
      <c r="F343" s="290"/>
      <c r="G343" s="290"/>
      <c r="H343" s="290"/>
      <c r="I343" s="290"/>
      <c r="J343" s="3"/>
      <c r="K343" s="290"/>
      <c r="L343" s="290"/>
      <c r="M343" s="290"/>
      <c r="N343" s="290"/>
      <c r="O343" s="290"/>
      <c r="P343" s="290"/>
      <c r="Q343" s="290"/>
      <c r="R343" s="290"/>
      <c r="S343" s="290"/>
      <c r="T343" s="290"/>
      <c r="U343" s="290"/>
      <c r="V343" s="290"/>
      <c r="W343" s="290"/>
      <c r="X343" s="290"/>
      <c r="Y343" s="290"/>
      <c r="Z343" s="290"/>
      <c r="AA343" s="290"/>
      <c r="AB343" s="290"/>
      <c r="AC343" s="290"/>
      <c r="AD343" s="290"/>
      <c r="AE343" s="290"/>
      <c r="AF343" s="290"/>
      <c r="AG343" s="290"/>
      <c r="AH343" s="290"/>
      <c r="AI343" s="290"/>
      <c r="AJ343" s="290"/>
      <c r="AK343" s="290"/>
      <c r="AL343" s="290"/>
      <c r="AM343" s="290"/>
      <c r="AN343" s="290"/>
      <c r="AO343" s="290"/>
      <c r="AP343" s="290"/>
      <c r="AQ343" s="290"/>
      <c r="AR343" s="290"/>
      <c r="AS343" s="290"/>
      <c r="AT343" s="290"/>
      <c r="AU343" s="290"/>
      <c r="AV343" s="290"/>
      <c r="AW343" s="290"/>
      <c r="AX343" s="290"/>
      <c r="AY343" s="290"/>
      <c r="AZ343" s="290"/>
      <c r="BA343" s="290"/>
      <c r="BB343" s="290"/>
      <c r="BC343" s="290"/>
      <c r="BD343" s="290"/>
      <c r="BE343" s="290"/>
      <c r="BF343" s="290"/>
      <c r="BG343" s="290"/>
      <c r="BH343" s="290"/>
      <c r="BI343" s="290"/>
      <c r="BJ343" s="290"/>
      <c r="BK343" s="290"/>
      <c r="BL343" s="290"/>
      <c r="BM343" s="290"/>
      <c r="BN343" s="290"/>
      <c r="BO343" s="290"/>
      <c r="BP343" s="290"/>
      <c r="BQ343" s="290"/>
      <c r="BR343" s="290"/>
      <c r="BS343" s="290"/>
      <c r="BT343" s="290"/>
      <c r="BU343" s="290"/>
      <c r="BV343" s="290"/>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row>
    <row r="344" customFormat="false" ht="15.75" hidden="false" customHeight="false" outlineLevel="0" collapsed="false">
      <c r="A344" s="290"/>
      <c r="B344" s="290"/>
      <c r="C344" s="290"/>
      <c r="D344" s="290"/>
      <c r="E344" s="290"/>
      <c r="F344" s="290"/>
      <c r="G344" s="290"/>
      <c r="H344" s="290"/>
      <c r="I344" s="290"/>
      <c r="J344" s="3"/>
      <c r="K344" s="290"/>
      <c r="L344" s="290"/>
      <c r="M344" s="290"/>
      <c r="N344" s="290"/>
      <c r="O344" s="290"/>
      <c r="P344" s="290"/>
      <c r="Q344" s="290"/>
      <c r="R344" s="290"/>
      <c r="S344" s="290"/>
      <c r="T344" s="290"/>
      <c r="U344" s="290"/>
      <c r="V344" s="290"/>
      <c r="W344" s="290"/>
      <c r="X344" s="290"/>
      <c r="Y344" s="290"/>
      <c r="Z344" s="290"/>
      <c r="AA344" s="290"/>
      <c r="AB344" s="290"/>
      <c r="AC344" s="290"/>
      <c r="AD344" s="290"/>
      <c r="AE344" s="290"/>
      <c r="AF344" s="290"/>
      <c r="AG344" s="290"/>
      <c r="AH344" s="290"/>
      <c r="AI344" s="290"/>
      <c r="AJ344" s="290"/>
      <c r="AK344" s="290"/>
      <c r="AL344" s="290"/>
      <c r="AM344" s="290"/>
      <c r="AN344" s="290"/>
      <c r="AO344" s="290"/>
      <c r="AP344" s="290"/>
      <c r="AQ344" s="290"/>
      <c r="AR344" s="290"/>
      <c r="AS344" s="290"/>
      <c r="AT344" s="290"/>
      <c r="AU344" s="290"/>
      <c r="AV344" s="290"/>
      <c r="AW344" s="290"/>
      <c r="AX344" s="290"/>
      <c r="AY344" s="290"/>
      <c r="AZ344" s="290"/>
      <c r="BA344" s="290"/>
      <c r="BB344" s="290"/>
      <c r="BC344" s="290"/>
      <c r="BD344" s="290"/>
      <c r="BE344" s="290"/>
      <c r="BF344" s="290"/>
      <c r="BG344" s="290"/>
      <c r="BH344" s="290"/>
      <c r="BI344" s="290"/>
      <c r="BJ344" s="290"/>
      <c r="BK344" s="290"/>
      <c r="BL344" s="290"/>
      <c r="BM344" s="290"/>
      <c r="BN344" s="290"/>
      <c r="BO344" s="290"/>
      <c r="BP344" s="290"/>
      <c r="BQ344" s="290"/>
      <c r="BR344" s="290"/>
      <c r="BS344" s="290"/>
      <c r="BT344" s="290"/>
      <c r="BU344" s="290"/>
      <c r="BV344" s="290"/>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row>
    <row r="345" customFormat="false" ht="15.75" hidden="false" customHeight="false" outlineLevel="0" collapsed="false">
      <c r="A345" s="290"/>
      <c r="B345" s="290"/>
      <c r="C345" s="290"/>
      <c r="D345" s="290"/>
      <c r="E345" s="290"/>
      <c r="F345" s="290"/>
      <c r="G345" s="290"/>
      <c r="H345" s="290"/>
      <c r="I345" s="290"/>
      <c r="J345" s="3"/>
      <c r="K345" s="290"/>
      <c r="L345" s="290"/>
      <c r="M345" s="290"/>
      <c r="N345" s="290"/>
      <c r="O345" s="290"/>
      <c r="P345" s="290"/>
      <c r="Q345" s="290"/>
      <c r="R345" s="290"/>
      <c r="S345" s="290"/>
      <c r="T345" s="290"/>
      <c r="U345" s="290"/>
      <c r="V345" s="290"/>
      <c r="W345" s="290"/>
      <c r="X345" s="290"/>
      <c r="Y345" s="290"/>
      <c r="Z345" s="290"/>
      <c r="AA345" s="290"/>
      <c r="AB345" s="290"/>
      <c r="AC345" s="290"/>
      <c r="AD345" s="290"/>
      <c r="AE345" s="290"/>
      <c r="AF345" s="290"/>
      <c r="AG345" s="290"/>
      <c r="AH345" s="290"/>
      <c r="AI345" s="290"/>
      <c r="AJ345" s="290"/>
      <c r="AK345" s="290"/>
      <c r="AL345" s="290"/>
      <c r="AM345" s="290"/>
      <c r="AN345" s="290"/>
      <c r="AO345" s="290"/>
      <c r="AP345" s="290"/>
      <c r="AQ345" s="290"/>
      <c r="AR345" s="290"/>
      <c r="AS345" s="290"/>
      <c r="AT345" s="290"/>
      <c r="AU345" s="290"/>
      <c r="AV345" s="290"/>
      <c r="AW345" s="290"/>
      <c r="AX345" s="290"/>
      <c r="AY345" s="290"/>
      <c r="AZ345" s="290"/>
      <c r="BA345" s="290"/>
      <c r="BB345" s="290"/>
      <c r="BC345" s="290"/>
      <c r="BD345" s="290"/>
      <c r="BE345" s="290"/>
      <c r="BF345" s="290"/>
      <c r="BG345" s="290"/>
      <c r="BH345" s="290"/>
      <c r="BI345" s="290"/>
      <c r="BJ345" s="290"/>
      <c r="BK345" s="290"/>
      <c r="BL345" s="290"/>
      <c r="BM345" s="290"/>
      <c r="BN345" s="290"/>
      <c r="BO345" s="290"/>
      <c r="BP345" s="290"/>
      <c r="BQ345" s="290"/>
      <c r="BR345" s="290"/>
      <c r="BS345" s="290"/>
      <c r="BT345" s="290"/>
      <c r="BU345" s="290"/>
      <c r="BV345" s="290"/>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row>
    <row r="346" customFormat="false" ht="15.75" hidden="false" customHeight="false" outlineLevel="0" collapsed="false">
      <c r="A346" s="290"/>
      <c r="B346" s="290"/>
      <c r="C346" s="290"/>
      <c r="D346" s="290"/>
      <c r="E346" s="290"/>
      <c r="F346" s="290"/>
      <c r="G346" s="290"/>
      <c r="H346" s="290"/>
      <c r="I346" s="290"/>
      <c r="J346" s="3"/>
      <c r="K346" s="290"/>
      <c r="L346" s="290"/>
      <c r="M346" s="290"/>
      <c r="N346" s="290"/>
      <c r="O346" s="290"/>
      <c r="P346" s="290"/>
      <c r="Q346" s="290"/>
      <c r="R346" s="290"/>
      <c r="S346" s="290"/>
      <c r="T346" s="290"/>
      <c r="U346" s="290"/>
      <c r="V346" s="290"/>
      <c r="W346" s="290"/>
      <c r="X346" s="290"/>
      <c r="Y346" s="290"/>
      <c r="Z346" s="290"/>
      <c r="AA346" s="290"/>
      <c r="AB346" s="290"/>
      <c r="AC346" s="290"/>
      <c r="AD346" s="290"/>
      <c r="AE346" s="290"/>
      <c r="AF346" s="290"/>
      <c r="AG346" s="290"/>
      <c r="AH346" s="290"/>
      <c r="AI346" s="290"/>
      <c r="AJ346" s="290"/>
      <c r="AK346" s="290"/>
      <c r="AL346" s="290"/>
      <c r="AM346" s="290"/>
      <c r="AN346" s="290"/>
      <c r="AO346" s="290"/>
      <c r="AP346" s="290"/>
      <c r="AQ346" s="290"/>
      <c r="AR346" s="290"/>
      <c r="AS346" s="290"/>
      <c r="AT346" s="290"/>
      <c r="AU346" s="290"/>
      <c r="AV346" s="290"/>
      <c r="AW346" s="290"/>
      <c r="AX346" s="290"/>
      <c r="AY346" s="290"/>
      <c r="AZ346" s="290"/>
      <c r="BA346" s="290"/>
      <c r="BB346" s="290"/>
      <c r="BC346" s="290"/>
      <c r="BD346" s="290"/>
      <c r="BE346" s="290"/>
      <c r="BF346" s="290"/>
      <c r="BG346" s="290"/>
      <c r="BH346" s="290"/>
      <c r="BI346" s="290"/>
      <c r="BJ346" s="290"/>
      <c r="BK346" s="290"/>
      <c r="BL346" s="290"/>
      <c r="BM346" s="290"/>
      <c r="BN346" s="290"/>
      <c r="BO346" s="290"/>
      <c r="BP346" s="290"/>
      <c r="BQ346" s="290"/>
      <c r="BR346" s="290"/>
      <c r="BS346" s="290"/>
      <c r="BT346" s="290"/>
      <c r="BU346" s="290"/>
      <c r="BV346" s="290"/>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row>
    <row r="347" customFormat="false" ht="15.75" hidden="false" customHeight="false" outlineLevel="0" collapsed="false">
      <c r="A347" s="290"/>
      <c r="B347" s="290"/>
      <c r="C347" s="290"/>
      <c r="D347" s="290"/>
      <c r="E347" s="290"/>
      <c r="F347" s="290"/>
      <c r="G347" s="290"/>
      <c r="H347" s="290"/>
      <c r="I347" s="290"/>
      <c r="J347" s="3"/>
      <c r="K347" s="290"/>
      <c r="L347" s="290"/>
      <c r="M347" s="290"/>
      <c r="N347" s="290"/>
      <c r="O347" s="290"/>
      <c r="P347" s="290"/>
      <c r="Q347" s="290"/>
      <c r="R347" s="290"/>
      <c r="S347" s="290"/>
      <c r="T347" s="290"/>
      <c r="U347" s="290"/>
      <c r="V347" s="290"/>
      <c r="W347" s="290"/>
      <c r="X347" s="290"/>
      <c r="Y347" s="290"/>
      <c r="Z347" s="290"/>
      <c r="AA347" s="290"/>
      <c r="AB347" s="290"/>
      <c r="AC347" s="290"/>
      <c r="AD347" s="290"/>
      <c r="AE347" s="290"/>
      <c r="AF347" s="290"/>
      <c r="AG347" s="290"/>
      <c r="AH347" s="290"/>
      <c r="AI347" s="290"/>
      <c r="AJ347" s="290"/>
      <c r="AK347" s="290"/>
      <c r="AL347" s="290"/>
      <c r="AM347" s="290"/>
      <c r="AN347" s="290"/>
      <c r="AO347" s="290"/>
      <c r="AP347" s="290"/>
      <c r="AQ347" s="290"/>
      <c r="AR347" s="290"/>
      <c r="AS347" s="290"/>
      <c r="AT347" s="290"/>
      <c r="AU347" s="290"/>
      <c r="AV347" s="290"/>
      <c r="AW347" s="290"/>
      <c r="AX347" s="290"/>
      <c r="AY347" s="290"/>
      <c r="AZ347" s="290"/>
      <c r="BA347" s="290"/>
      <c r="BB347" s="290"/>
      <c r="BC347" s="290"/>
      <c r="BD347" s="290"/>
      <c r="BE347" s="290"/>
      <c r="BF347" s="290"/>
      <c r="BG347" s="290"/>
      <c r="BH347" s="290"/>
      <c r="BI347" s="290"/>
      <c r="BJ347" s="290"/>
      <c r="BK347" s="290"/>
      <c r="BL347" s="290"/>
      <c r="BM347" s="290"/>
      <c r="BN347" s="290"/>
      <c r="BO347" s="290"/>
      <c r="BP347" s="290"/>
      <c r="BQ347" s="290"/>
      <c r="BR347" s="290"/>
      <c r="BS347" s="290"/>
      <c r="BT347" s="290"/>
      <c r="BU347" s="290"/>
      <c r="BV347" s="290"/>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row>
    <row r="348" customFormat="false" ht="15.75" hidden="false" customHeight="false" outlineLevel="0" collapsed="false">
      <c r="A348" s="290"/>
      <c r="B348" s="290"/>
      <c r="C348" s="290"/>
      <c r="D348" s="290"/>
      <c r="E348" s="290"/>
      <c r="F348" s="290"/>
      <c r="G348" s="290"/>
      <c r="H348" s="290"/>
      <c r="I348" s="290"/>
      <c r="J348" s="3"/>
      <c r="K348" s="290"/>
      <c r="L348" s="290"/>
      <c r="M348" s="290"/>
      <c r="N348" s="290"/>
      <c r="O348" s="290"/>
      <c r="P348" s="290"/>
      <c r="Q348" s="290"/>
      <c r="R348" s="290"/>
      <c r="S348" s="290"/>
      <c r="T348" s="290"/>
      <c r="U348" s="290"/>
      <c r="V348" s="290"/>
      <c r="W348" s="290"/>
      <c r="X348" s="290"/>
      <c r="Y348" s="290"/>
      <c r="Z348" s="290"/>
      <c r="AA348" s="290"/>
      <c r="AB348" s="290"/>
      <c r="AC348" s="290"/>
      <c r="AD348" s="290"/>
      <c r="AE348" s="290"/>
      <c r="AF348" s="290"/>
      <c r="AG348" s="290"/>
      <c r="AH348" s="290"/>
      <c r="AI348" s="290"/>
      <c r="AJ348" s="290"/>
      <c r="AK348" s="290"/>
      <c r="AL348" s="290"/>
      <c r="AM348" s="290"/>
      <c r="AN348" s="290"/>
      <c r="AO348" s="290"/>
      <c r="AP348" s="290"/>
      <c r="AQ348" s="290"/>
      <c r="AR348" s="290"/>
      <c r="AS348" s="290"/>
      <c r="AT348" s="290"/>
      <c r="AU348" s="290"/>
      <c r="AV348" s="290"/>
      <c r="AW348" s="290"/>
      <c r="AX348" s="290"/>
      <c r="AY348" s="290"/>
      <c r="AZ348" s="290"/>
      <c r="BA348" s="290"/>
      <c r="BB348" s="290"/>
      <c r="BC348" s="290"/>
      <c r="BD348" s="290"/>
      <c r="BE348" s="290"/>
      <c r="BF348" s="290"/>
      <c r="BG348" s="290"/>
      <c r="BH348" s="290"/>
      <c r="BI348" s="290"/>
      <c r="BJ348" s="290"/>
      <c r="BK348" s="290"/>
      <c r="BL348" s="290"/>
      <c r="BM348" s="290"/>
      <c r="BN348" s="290"/>
      <c r="BO348" s="290"/>
      <c r="BP348" s="290"/>
      <c r="BQ348" s="290"/>
      <c r="BR348" s="290"/>
      <c r="BS348" s="290"/>
      <c r="BT348" s="290"/>
      <c r="BU348" s="290"/>
      <c r="BV348" s="290"/>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row>
    <row r="349" customFormat="false" ht="15.75" hidden="false" customHeight="false" outlineLevel="0" collapsed="false">
      <c r="A349" s="290"/>
      <c r="B349" s="290"/>
      <c r="C349" s="290"/>
      <c r="D349" s="290"/>
      <c r="E349" s="290"/>
      <c r="F349" s="290"/>
      <c r="G349" s="290"/>
      <c r="H349" s="290"/>
      <c r="I349" s="290"/>
      <c r="J349" s="3"/>
      <c r="K349" s="290"/>
      <c r="L349" s="290"/>
      <c r="M349" s="290"/>
      <c r="N349" s="290"/>
      <c r="O349" s="290"/>
      <c r="P349" s="290"/>
      <c r="Q349" s="290"/>
      <c r="R349" s="290"/>
      <c r="S349" s="290"/>
      <c r="T349" s="290"/>
      <c r="U349" s="290"/>
      <c r="V349" s="290"/>
      <c r="W349" s="290"/>
      <c r="X349" s="290"/>
      <c r="Y349" s="290"/>
      <c r="Z349" s="290"/>
      <c r="AA349" s="290"/>
      <c r="AB349" s="290"/>
      <c r="AC349" s="290"/>
      <c r="AD349" s="290"/>
      <c r="AE349" s="290"/>
      <c r="AF349" s="290"/>
      <c r="AG349" s="290"/>
      <c r="AH349" s="290"/>
      <c r="AI349" s="290"/>
      <c r="AJ349" s="290"/>
      <c r="AK349" s="290"/>
      <c r="AL349" s="290"/>
      <c r="AM349" s="290"/>
      <c r="AN349" s="290"/>
      <c r="AO349" s="290"/>
      <c r="AP349" s="290"/>
      <c r="AQ349" s="290"/>
      <c r="AR349" s="290"/>
      <c r="AS349" s="290"/>
      <c r="AT349" s="290"/>
      <c r="AU349" s="290"/>
      <c r="AV349" s="290"/>
      <c r="AW349" s="290"/>
      <c r="AX349" s="290"/>
      <c r="AY349" s="290"/>
      <c r="AZ349" s="290"/>
      <c r="BA349" s="290"/>
      <c r="BB349" s="290"/>
      <c r="BC349" s="290"/>
      <c r="BD349" s="290"/>
      <c r="BE349" s="290"/>
      <c r="BF349" s="290"/>
      <c r="BG349" s="290"/>
      <c r="BH349" s="290"/>
      <c r="BI349" s="290"/>
      <c r="BJ349" s="290"/>
      <c r="BK349" s="290"/>
      <c r="BL349" s="290"/>
      <c r="BM349" s="290"/>
      <c r="BN349" s="290"/>
      <c r="BO349" s="290"/>
      <c r="BP349" s="290"/>
      <c r="BQ349" s="290"/>
      <c r="BR349" s="290"/>
      <c r="BS349" s="290"/>
      <c r="BT349" s="290"/>
      <c r="BU349" s="290"/>
      <c r="BV349" s="290"/>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row>
    <row r="350" customFormat="false" ht="15.75" hidden="false" customHeight="false" outlineLevel="0" collapsed="false">
      <c r="A350" s="290"/>
      <c r="B350" s="290"/>
      <c r="C350" s="290"/>
      <c r="D350" s="290"/>
      <c r="E350" s="290"/>
      <c r="F350" s="290"/>
      <c r="G350" s="290"/>
      <c r="H350" s="290"/>
      <c r="I350" s="290"/>
      <c r="J350" s="3"/>
      <c r="K350" s="290"/>
      <c r="L350" s="290"/>
      <c r="M350" s="290"/>
      <c r="N350" s="290"/>
      <c r="O350" s="290"/>
      <c r="P350" s="290"/>
      <c r="Q350" s="290"/>
      <c r="R350" s="290"/>
      <c r="S350" s="290"/>
      <c r="T350" s="290"/>
      <c r="U350" s="290"/>
      <c r="V350" s="290"/>
      <c r="W350" s="290"/>
      <c r="X350" s="290"/>
      <c r="Y350" s="290"/>
      <c r="Z350" s="290"/>
      <c r="AA350" s="290"/>
      <c r="AB350" s="290"/>
      <c r="AC350" s="290"/>
      <c r="AD350" s="290"/>
      <c r="AE350" s="290"/>
      <c r="AF350" s="290"/>
      <c r="AG350" s="290"/>
      <c r="AH350" s="290"/>
      <c r="AI350" s="290"/>
      <c r="AJ350" s="290"/>
      <c r="AK350" s="290"/>
      <c r="AL350" s="290"/>
      <c r="AM350" s="290"/>
      <c r="AN350" s="290"/>
      <c r="AO350" s="290"/>
      <c r="AP350" s="290"/>
      <c r="AQ350" s="290"/>
      <c r="AR350" s="290"/>
      <c r="AS350" s="290"/>
      <c r="AT350" s="290"/>
      <c r="AU350" s="290"/>
      <c r="AV350" s="290"/>
      <c r="AW350" s="290"/>
      <c r="AX350" s="290"/>
      <c r="AY350" s="290"/>
      <c r="AZ350" s="290"/>
      <c r="BA350" s="290"/>
      <c r="BB350" s="290"/>
      <c r="BC350" s="290"/>
      <c r="BD350" s="290"/>
      <c r="BE350" s="290"/>
      <c r="BF350" s="290"/>
      <c r="BG350" s="290"/>
      <c r="BH350" s="290"/>
      <c r="BI350" s="290"/>
      <c r="BJ350" s="290"/>
      <c r="BK350" s="290"/>
      <c r="BL350" s="290"/>
      <c r="BM350" s="290"/>
      <c r="BN350" s="290"/>
      <c r="BO350" s="290"/>
      <c r="BP350" s="290"/>
      <c r="BQ350" s="290"/>
      <c r="BR350" s="290"/>
      <c r="BS350" s="290"/>
      <c r="BT350" s="290"/>
      <c r="BU350" s="290"/>
      <c r="BV350" s="290"/>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row>
    <row r="351" customFormat="false" ht="15.75" hidden="false" customHeight="false" outlineLevel="0" collapsed="false">
      <c r="A351" s="290"/>
      <c r="B351" s="290"/>
      <c r="C351" s="290"/>
      <c r="D351" s="290"/>
      <c r="E351" s="290"/>
      <c r="F351" s="290"/>
      <c r="G351" s="290"/>
      <c r="H351" s="290"/>
      <c r="I351" s="290"/>
      <c r="J351" s="3"/>
      <c r="K351" s="290"/>
      <c r="L351" s="290"/>
      <c r="M351" s="290"/>
      <c r="N351" s="290"/>
      <c r="O351" s="290"/>
      <c r="P351" s="290"/>
      <c r="Q351" s="290"/>
      <c r="R351" s="290"/>
      <c r="S351" s="290"/>
      <c r="T351" s="290"/>
      <c r="U351" s="290"/>
      <c r="V351" s="290"/>
      <c r="W351" s="290"/>
      <c r="X351" s="290"/>
      <c r="Y351" s="290"/>
      <c r="Z351" s="290"/>
      <c r="AA351" s="290"/>
      <c r="AB351" s="290"/>
      <c r="AC351" s="290"/>
      <c r="AD351" s="290"/>
      <c r="AE351" s="290"/>
      <c r="AF351" s="290"/>
      <c r="AG351" s="290"/>
      <c r="AH351" s="290"/>
      <c r="AI351" s="290"/>
      <c r="AJ351" s="290"/>
      <c r="AK351" s="290"/>
      <c r="AL351" s="290"/>
      <c r="AM351" s="290"/>
      <c r="AN351" s="290"/>
      <c r="AO351" s="290"/>
      <c r="AP351" s="290"/>
      <c r="AQ351" s="290"/>
      <c r="AR351" s="290"/>
      <c r="AS351" s="290"/>
      <c r="AT351" s="290"/>
      <c r="AU351" s="290"/>
      <c r="AV351" s="290"/>
      <c r="AW351" s="290"/>
      <c r="AX351" s="290"/>
      <c r="AY351" s="290"/>
      <c r="AZ351" s="290"/>
      <c r="BA351" s="290"/>
      <c r="BB351" s="290"/>
      <c r="BC351" s="290"/>
      <c r="BD351" s="290"/>
      <c r="BE351" s="290"/>
      <c r="BF351" s="290"/>
      <c r="BG351" s="290"/>
      <c r="BH351" s="290"/>
      <c r="BI351" s="290"/>
      <c r="BJ351" s="290"/>
      <c r="BK351" s="290"/>
      <c r="BL351" s="290"/>
      <c r="BM351" s="290"/>
      <c r="BN351" s="290"/>
      <c r="BO351" s="290"/>
      <c r="BP351" s="290"/>
      <c r="BQ351" s="290"/>
      <c r="BR351" s="290"/>
      <c r="BS351" s="290"/>
      <c r="BT351" s="290"/>
      <c r="BU351" s="290"/>
      <c r="BV351" s="290"/>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row>
    <row r="352" customFormat="false" ht="15.75" hidden="false" customHeight="false" outlineLevel="0" collapsed="false">
      <c r="A352" s="290"/>
      <c r="B352" s="290"/>
      <c r="C352" s="290"/>
      <c r="D352" s="290"/>
      <c r="E352" s="290"/>
      <c r="F352" s="290"/>
      <c r="G352" s="290"/>
      <c r="H352" s="290"/>
      <c r="I352" s="290"/>
      <c r="J352" s="3"/>
      <c r="K352" s="290"/>
      <c r="L352" s="290"/>
      <c r="M352" s="290"/>
      <c r="N352" s="290"/>
      <c r="O352" s="290"/>
      <c r="P352" s="290"/>
      <c r="Q352" s="290"/>
      <c r="R352" s="290"/>
      <c r="S352" s="290"/>
      <c r="T352" s="290"/>
      <c r="U352" s="290"/>
      <c r="V352" s="290"/>
      <c r="W352" s="290"/>
      <c r="X352" s="290"/>
      <c r="Y352" s="290"/>
      <c r="Z352" s="290"/>
      <c r="AA352" s="290"/>
      <c r="AB352" s="290"/>
      <c r="AC352" s="290"/>
      <c r="AD352" s="290"/>
      <c r="AE352" s="290"/>
      <c r="AF352" s="290"/>
      <c r="AG352" s="290"/>
      <c r="AH352" s="290"/>
      <c r="AI352" s="290"/>
      <c r="AJ352" s="290"/>
      <c r="AK352" s="290"/>
      <c r="AL352" s="290"/>
      <c r="AM352" s="290"/>
      <c r="AN352" s="290"/>
      <c r="AO352" s="290"/>
      <c r="AP352" s="290"/>
      <c r="AQ352" s="290"/>
      <c r="AR352" s="290"/>
      <c r="AS352" s="290"/>
      <c r="AT352" s="290"/>
      <c r="AU352" s="290"/>
      <c r="AV352" s="290"/>
      <c r="AW352" s="290"/>
      <c r="AX352" s="290"/>
      <c r="AY352" s="290"/>
      <c r="AZ352" s="290"/>
      <c r="BA352" s="290"/>
      <c r="BB352" s="290"/>
      <c r="BC352" s="290"/>
      <c r="BD352" s="290"/>
      <c r="BE352" s="290"/>
      <c r="BF352" s="290"/>
      <c r="BG352" s="290"/>
      <c r="BH352" s="290"/>
      <c r="BI352" s="290"/>
      <c r="BJ352" s="290"/>
      <c r="BK352" s="290"/>
      <c r="BL352" s="290"/>
      <c r="BM352" s="290"/>
      <c r="BN352" s="290"/>
      <c r="BO352" s="290"/>
      <c r="BP352" s="290"/>
      <c r="BQ352" s="290"/>
      <c r="BR352" s="290"/>
      <c r="BS352" s="290"/>
      <c r="BT352" s="290"/>
      <c r="BU352" s="290"/>
      <c r="BV352" s="290"/>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row>
    <row r="353" customFormat="false" ht="15.75" hidden="false" customHeight="false" outlineLevel="0" collapsed="false">
      <c r="A353" s="290"/>
      <c r="B353" s="290"/>
      <c r="C353" s="290"/>
      <c r="D353" s="290"/>
      <c r="E353" s="290"/>
      <c r="F353" s="290"/>
      <c r="G353" s="290"/>
      <c r="H353" s="290"/>
      <c r="I353" s="290"/>
      <c r="J353" s="3"/>
      <c r="K353" s="290"/>
      <c r="L353" s="290"/>
      <c r="M353" s="290"/>
      <c r="N353" s="290"/>
      <c r="O353" s="290"/>
      <c r="P353" s="290"/>
      <c r="Q353" s="290"/>
      <c r="R353" s="290"/>
      <c r="S353" s="290"/>
      <c r="T353" s="290"/>
      <c r="U353" s="290"/>
      <c r="V353" s="290"/>
      <c r="W353" s="290"/>
      <c r="X353" s="290"/>
      <c r="Y353" s="290"/>
      <c r="Z353" s="290"/>
      <c r="AA353" s="290"/>
      <c r="AB353" s="290"/>
      <c r="AC353" s="290"/>
      <c r="AD353" s="290"/>
      <c r="AE353" s="290"/>
      <c r="AF353" s="290"/>
      <c r="AG353" s="290"/>
      <c r="AH353" s="290"/>
      <c r="AI353" s="290"/>
      <c r="AJ353" s="290"/>
      <c r="AK353" s="290"/>
      <c r="AL353" s="290"/>
      <c r="AM353" s="290"/>
      <c r="AN353" s="290"/>
      <c r="AO353" s="290"/>
      <c r="AP353" s="290"/>
      <c r="AQ353" s="290"/>
      <c r="AR353" s="290"/>
      <c r="AS353" s="290"/>
      <c r="AT353" s="290"/>
      <c r="AU353" s="290"/>
      <c r="AV353" s="290"/>
      <c r="AW353" s="290"/>
      <c r="AX353" s="290"/>
      <c r="AY353" s="290"/>
      <c r="AZ353" s="290"/>
      <c r="BA353" s="290"/>
      <c r="BB353" s="290"/>
      <c r="BC353" s="290"/>
      <c r="BD353" s="290"/>
      <c r="BE353" s="290"/>
      <c r="BF353" s="290"/>
      <c r="BG353" s="290"/>
      <c r="BH353" s="290"/>
      <c r="BI353" s="290"/>
      <c r="BJ353" s="290"/>
      <c r="BK353" s="290"/>
      <c r="BL353" s="290"/>
      <c r="BM353" s="290"/>
      <c r="BN353" s="290"/>
      <c r="BO353" s="290"/>
      <c r="BP353" s="290"/>
      <c r="BQ353" s="290"/>
      <c r="BR353" s="290"/>
      <c r="BS353" s="290"/>
      <c r="BT353" s="290"/>
      <c r="BU353" s="290"/>
      <c r="BV353" s="290"/>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row>
    <row r="354" customFormat="false" ht="15.75" hidden="false" customHeight="false" outlineLevel="0" collapsed="false">
      <c r="A354" s="290"/>
      <c r="B354" s="290"/>
      <c r="C354" s="290"/>
      <c r="D354" s="290"/>
      <c r="E354" s="290"/>
      <c r="F354" s="290"/>
      <c r="G354" s="290"/>
      <c r="H354" s="290"/>
      <c r="I354" s="290"/>
      <c r="J354" s="3"/>
      <c r="K354" s="290"/>
      <c r="L354" s="290"/>
      <c r="M354" s="290"/>
      <c r="N354" s="290"/>
      <c r="O354" s="290"/>
      <c r="P354" s="290"/>
      <c r="Q354" s="290"/>
      <c r="R354" s="290"/>
      <c r="S354" s="290"/>
      <c r="T354" s="290"/>
      <c r="U354" s="290"/>
      <c r="V354" s="290"/>
      <c r="W354" s="290"/>
      <c r="X354" s="290"/>
      <c r="Y354" s="290"/>
      <c r="Z354" s="290"/>
      <c r="AA354" s="290"/>
      <c r="AB354" s="290"/>
      <c r="AC354" s="290"/>
      <c r="AD354" s="290"/>
      <c r="AE354" s="290"/>
      <c r="AF354" s="290"/>
      <c r="AG354" s="290"/>
      <c r="AH354" s="290"/>
      <c r="AI354" s="290"/>
      <c r="AJ354" s="290"/>
      <c r="AK354" s="290"/>
      <c r="AL354" s="290"/>
      <c r="AM354" s="290"/>
      <c r="AN354" s="290"/>
      <c r="AO354" s="290"/>
      <c r="AP354" s="290"/>
      <c r="AQ354" s="290"/>
      <c r="AR354" s="290"/>
      <c r="AS354" s="290"/>
      <c r="AT354" s="290"/>
      <c r="AU354" s="290"/>
      <c r="AV354" s="290"/>
      <c r="AW354" s="290"/>
      <c r="AX354" s="290"/>
      <c r="AY354" s="290"/>
      <c r="AZ354" s="290"/>
      <c r="BA354" s="290"/>
      <c r="BB354" s="290"/>
      <c r="BC354" s="290"/>
      <c r="BD354" s="290"/>
      <c r="BE354" s="290"/>
      <c r="BF354" s="290"/>
      <c r="BG354" s="290"/>
      <c r="BH354" s="290"/>
      <c r="BI354" s="290"/>
      <c r="BJ354" s="290"/>
      <c r="BK354" s="290"/>
      <c r="BL354" s="290"/>
      <c r="BM354" s="290"/>
      <c r="BN354" s="290"/>
      <c r="BO354" s="290"/>
      <c r="BP354" s="290"/>
      <c r="BQ354" s="290"/>
      <c r="BR354" s="290"/>
      <c r="BS354" s="290"/>
      <c r="BT354" s="290"/>
      <c r="BU354" s="290"/>
      <c r="BV354" s="290"/>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row>
    <row r="355" customFormat="false" ht="15.75" hidden="false" customHeight="false" outlineLevel="0" collapsed="false">
      <c r="A355" s="290"/>
      <c r="B355" s="290"/>
      <c r="C355" s="290"/>
      <c r="D355" s="290"/>
      <c r="E355" s="290"/>
      <c r="F355" s="290"/>
      <c r="G355" s="290"/>
      <c r="H355" s="290"/>
      <c r="I355" s="290"/>
      <c r="J355" s="3"/>
      <c r="K355" s="290"/>
      <c r="L355" s="290"/>
      <c r="M355" s="290"/>
      <c r="N355" s="290"/>
      <c r="O355" s="290"/>
      <c r="P355" s="290"/>
      <c r="Q355" s="290"/>
      <c r="R355" s="290"/>
      <c r="S355" s="290"/>
      <c r="T355" s="290"/>
      <c r="U355" s="290"/>
      <c r="V355" s="290"/>
      <c r="W355" s="290"/>
      <c r="X355" s="290"/>
      <c r="Y355" s="290"/>
      <c r="Z355" s="290"/>
      <c r="AA355" s="290"/>
      <c r="AB355" s="290"/>
      <c r="AC355" s="290"/>
      <c r="AD355" s="290"/>
      <c r="AE355" s="290"/>
      <c r="AF355" s="290"/>
      <c r="AG355" s="290"/>
      <c r="AH355" s="290"/>
      <c r="AI355" s="290"/>
      <c r="AJ355" s="290"/>
      <c r="AK355" s="290"/>
      <c r="AL355" s="290"/>
      <c r="AM355" s="290"/>
      <c r="AN355" s="290"/>
      <c r="AO355" s="290"/>
      <c r="AP355" s="290"/>
      <c r="AQ355" s="290"/>
      <c r="AR355" s="290"/>
      <c r="AS355" s="290"/>
      <c r="AT355" s="290"/>
      <c r="AU355" s="290"/>
      <c r="AV355" s="290"/>
      <c r="AW355" s="290"/>
      <c r="AX355" s="290"/>
      <c r="AY355" s="290"/>
      <c r="AZ355" s="290"/>
      <c r="BA355" s="290"/>
      <c r="BB355" s="290"/>
      <c r="BC355" s="290"/>
      <c r="BD355" s="290"/>
      <c r="BE355" s="290"/>
      <c r="BF355" s="290"/>
      <c r="BG355" s="290"/>
      <c r="BH355" s="290"/>
      <c r="BI355" s="290"/>
      <c r="BJ355" s="290"/>
      <c r="BK355" s="290"/>
      <c r="BL355" s="290"/>
      <c r="BM355" s="290"/>
      <c r="BN355" s="290"/>
      <c r="BO355" s="290"/>
      <c r="BP355" s="290"/>
      <c r="BQ355" s="290"/>
      <c r="BR355" s="290"/>
      <c r="BS355" s="290"/>
      <c r="BT355" s="290"/>
      <c r="BU355" s="290"/>
      <c r="BV355" s="290"/>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row>
    <row r="356" customFormat="false" ht="15.75" hidden="false" customHeight="false" outlineLevel="0" collapsed="false">
      <c r="A356" s="290"/>
      <c r="B356" s="290"/>
      <c r="C356" s="290"/>
      <c r="D356" s="290"/>
      <c r="E356" s="290"/>
      <c r="F356" s="290"/>
      <c r="G356" s="290"/>
      <c r="H356" s="290"/>
      <c r="I356" s="290"/>
      <c r="J356" s="3"/>
      <c r="K356" s="290"/>
      <c r="L356" s="290"/>
      <c r="M356" s="290"/>
      <c r="N356" s="290"/>
      <c r="O356" s="290"/>
      <c r="P356" s="290"/>
      <c r="Q356" s="290"/>
      <c r="R356" s="290"/>
      <c r="S356" s="290"/>
      <c r="T356" s="290"/>
      <c r="U356" s="290"/>
      <c r="V356" s="290"/>
      <c r="W356" s="290"/>
      <c r="X356" s="290"/>
      <c r="Y356" s="290"/>
      <c r="Z356" s="290"/>
      <c r="AA356" s="290"/>
      <c r="AB356" s="290"/>
      <c r="AC356" s="290"/>
      <c r="AD356" s="290"/>
      <c r="AE356" s="290"/>
      <c r="AF356" s="290"/>
      <c r="AG356" s="290"/>
      <c r="AH356" s="290"/>
      <c r="AI356" s="290"/>
      <c r="AJ356" s="290"/>
      <c r="AK356" s="290"/>
      <c r="AL356" s="290"/>
      <c r="AM356" s="290"/>
      <c r="AN356" s="290"/>
      <c r="AO356" s="290"/>
      <c r="AP356" s="290"/>
      <c r="AQ356" s="290"/>
      <c r="AR356" s="290"/>
      <c r="AS356" s="290"/>
      <c r="AT356" s="290"/>
      <c r="AU356" s="290"/>
      <c r="AV356" s="290"/>
      <c r="AW356" s="290"/>
      <c r="AX356" s="290"/>
      <c r="AY356" s="290"/>
      <c r="AZ356" s="290"/>
      <c r="BA356" s="290"/>
      <c r="BB356" s="290"/>
      <c r="BC356" s="290"/>
      <c r="BD356" s="290"/>
      <c r="BE356" s="290"/>
      <c r="BF356" s="290"/>
      <c r="BG356" s="290"/>
      <c r="BH356" s="290"/>
      <c r="BI356" s="290"/>
      <c r="BJ356" s="290"/>
      <c r="BK356" s="290"/>
      <c r="BL356" s="290"/>
      <c r="BM356" s="290"/>
      <c r="BN356" s="290"/>
      <c r="BO356" s="290"/>
      <c r="BP356" s="290"/>
      <c r="BQ356" s="290"/>
      <c r="BR356" s="290"/>
      <c r="BS356" s="290"/>
      <c r="BT356" s="290"/>
      <c r="BU356" s="290"/>
      <c r="BV356" s="290"/>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row>
    <row r="357" customFormat="false" ht="15.75" hidden="false" customHeight="false" outlineLevel="0" collapsed="false">
      <c r="A357" s="290"/>
      <c r="B357" s="290"/>
      <c r="C357" s="290"/>
      <c r="D357" s="290"/>
      <c r="E357" s="290"/>
      <c r="F357" s="290"/>
      <c r="G357" s="290"/>
      <c r="H357" s="290"/>
      <c r="I357" s="290"/>
      <c r="J357" s="3"/>
      <c r="K357" s="290"/>
      <c r="L357" s="290"/>
      <c r="M357" s="290"/>
      <c r="N357" s="290"/>
      <c r="O357" s="290"/>
      <c r="P357" s="290"/>
      <c r="Q357" s="290"/>
      <c r="R357" s="290"/>
      <c r="S357" s="290"/>
      <c r="T357" s="290"/>
      <c r="U357" s="290"/>
      <c r="V357" s="290"/>
      <c r="W357" s="290"/>
      <c r="X357" s="290"/>
      <c r="Y357" s="290"/>
      <c r="Z357" s="290"/>
      <c r="AA357" s="290"/>
      <c r="AB357" s="290"/>
      <c r="AC357" s="290"/>
      <c r="AD357" s="290"/>
      <c r="AE357" s="290"/>
      <c r="AF357" s="290"/>
      <c r="AG357" s="290"/>
      <c r="AH357" s="290"/>
      <c r="AI357" s="290"/>
      <c r="AJ357" s="290"/>
      <c r="AK357" s="290"/>
      <c r="AL357" s="290"/>
      <c r="AM357" s="290"/>
      <c r="AN357" s="290"/>
      <c r="AO357" s="290"/>
      <c r="AP357" s="290"/>
      <c r="AQ357" s="290"/>
      <c r="AR357" s="290"/>
      <c r="AS357" s="290"/>
      <c r="AT357" s="290"/>
      <c r="AU357" s="290"/>
      <c r="AV357" s="290"/>
      <c r="AW357" s="290"/>
      <c r="AX357" s="290"/>
      <c r="AY357" s="290"/>
      <c r="AZ357" s="290"/>
      <c r="BA357" s="290"/>
      <c r="BB357" s="290"/>
      <c r="BC357" s="290"/>
      <c r="BD357" s="290"/>
      <c r="BE357" s="290"/>
      <c r="BF357" s="290"/>
      <c r="BG357" s="290"/>
      <c r="BH357" s="290"/>
      <c r="BI357" s="290"/>
      <c r="BJ357" s="290"/>
      <c r="BK357" s="290"/>
      <c r="BL357" s="290"/>
      <c r="BM357" s="290"/>
      <c r="BN357" s="290"/>
      <c r="BO357" s="290"/>
      <c r="BP357" s="290"/>
      <c r="BQ357" s="290"/>
      <c r="BR357" s="290"/>
      <c r="BS357" s="290"/>
      <c r="BT357" s="290"/>
      <c r="BU357" s="290"/>
      <c r="BV357" s="290"/>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row>
    <row r="358" customFormat="false" ht="15.75" hidden="false" customHeight="false" outlineLevel="0" collapsed="false">
      <c r="A358" s="290"/>
      <c r="B358" s="290"/>
      <c r="C358" s="290"/>
      <c r="D358" s="290"/>
      <c r="E358" s="290"/>
      <c r="F358" s="290"/>
      <c r="G358" s="290"/>
      <c r="H358" s="290"/>
      <c r="I358" s="290"/>
      <c r="J358" s="3"/>
      <c r="K358" s="290"/>
      <c r="L358" s="290"/>
      <c r="M358" s="290"/>
      <c r="N358" s="290"/>
      <c r="O358" s="290"/>
      <c r="P358" s="290"/>
      <c r="Q358" s="290"/>
      <c r="R358" s="290"/>
      <c r="S358" s="290"/>
      <c r="T358" s="290"/>
      <c r="U358" s="290"/>
      <c r="V358" s="290"/>
      <c r="W358" s="290"/>
      <c r="X358" s="290"/>
      <c r="Y358" s="290"/>
      <c r="Z358" s="290"/>
      <c r="AA358" s="290"/>
      <c r="AB358" s="290"/>
      <c r="AC358" s="290"/>
      <c r="AD358" s="290"/>
      <c r="AE358" s="290"/>
      <c r="AF358" s="290"/>
      <c r="AG358" s="290"/>
      <c r="AH358" s="290"/>
      <c r="AI358" s="290"/>
      <c r="AJ358" s="290"/>
      <c r="AK358" s="290"/>
      <c r="AL358" s="290"/>
      <c r="AM358" s="290"/>
      <c r="AN358" s="290"/>
      <c r="AO358" s="290"/>
      <c r="AP358" s="290"/>
      <c r="AQ358" s="290"/>
      <c r="AR358" s="290"/>
      <c r="AS358" s="290"/>
      <c r="AT358" s="290"/>
      <c r="AU358" s="290"/>
      <c r="AV358" s="290"/>
      <c r="AW358" s="290"/>
      <c r="AX358" s="290"/>
      <c r="AY358" s="290"/>
      <c r="AZ358" s="290"/>
      <c r="BA358" s="290"/>
      <c r="BB358" s="290"/>
      <c r="BC358" s="290"/>
      <c r="BD358" s="290"/>
      <c r="BE358" s="290"/>
      <c r="BF358" s="290"/>
      <c r="BG358" s="290"/>
      <c r="BH358" s="290"/>
      <c r="BI358" s="290"/>
      <c r="BJ358" s="290"/>
      <c r="BK358" s="290"/>
      <c r="BL358" s="290"/>
      <c r="BM358" s="290"/>
      <c r="BN358" s="290"/>
      <c r="BO358" s="290"/>
      <c r="BP358" s="290"/>
      <c r="BQ358" s="290"/>
      <c r="BR358" s="290"/>
      <c r="BS358" s="290"/>
      <c r="BT358" s="290"/>
      <c r="BU358" s="290"/>
      <c r="BV358" s="290"/>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row>
    <row r="359" customFormat="false" ht="15.75" hidden="false" customHeight="false" outlineLevel="0" collapsed="false">
      <c r="A359" s="290"/>
      <c r="B359" s="290"/>
      <c r="C359" s="290"/>
      <c r="D359" s="290"/>
      <c r="E359" s="290"/>
      <c r="F359" s="290"/>
      <c r="G359" s="290"/>
      <c r="H359" s="290"/>
      <c r="I359" s="290"/>
      <c r="J359" s="3"/>
      <c r="K359" s="290"/>
      <c r="L359" s="290"/>
      <c r="M359" s="290"/>
      <c r="N359" s="290"/>
      <c r="O359" s="290"/>
      <c r="P359" s="290"/>
      <c r="Q359" s="290"/>
      <c r="R359" s="290"/>
      <c r="S359" s="290"/>
      <c r="T359" s="290"/>
      <c r="U359" s="290"/>
      <c r="V359" s="290"/>
      <c r="W359" s="290"/>
      <c r="X359" s="290"/>
      <c r="Y359" s="290"/>
      <c r="Z359" s="290"/>
      <c r="AA359" s="290"/>
      <c r="AB359" s="290"/>
      <c r="AC359" s="290"/>
      <c r="AD359" s="290"/>
      <c r="AE359" s="290"/>
      <c r="AF359" s="290"/>
      <c r="AG359" s="290"/>
      <c r="AH359" s="290"/>
      <c r="AI359" s="290"/>
      <c r="AJ359" s="290"/>
      <c r="AK359" s="290"/>
      <c r="AL359" s="290"/>
      <c r="AM359" s="290"/>
      <c r="AN359" s="290"/>
      <c r="AO359" s="290"/>
      <c r="AP359" s="290"/>
      <c r="AQ359" s="290"/>
      <c r="AR359" s="290"/>
      <c r="AS359" s="290"/>
      <c r="AT359" s="290"/>
      <c r="AU359" s="290"/>
      <c r="AV359" s="290"/>
      <c r="AW359" s="290"/>
      <c r="AX359" s="290"/>
      <c r="AY359" s="290"/>
      <c r="AZ359" s="290"/>
      <c r="BA359" s="290"/>
      <c r="BB359" s="290"/>
      <c r="BC359" s="290"/>
      <c r="BD359" s="290"/>
      <c r="BE359" s="290"/>
      <c r="BF359" s="290"/>
      <c r="BG359" s="290"/>
      <c r="BH359" s="290"/>
      <c r="BI359" s="290"/>
      <c r="BJ359" s="290"/>
      <c r="BK359" s="290"/>
      <c r="BL359" s="290"/>
      <c r="BM359" s="290"/>
      <c r="BN359" s="290"/>
      <c r="BO359" s="290"/>
      <c r="BP359" s="290"/>
      <c r="BQ359" s="290"/>
      <c r="BR359" s="290"/>
      <c r="BS359" s="290"/>
      <c r="BT359" s="290"/>
      <c r="BU359" s="290"/>
      <c r="BV359" s="290"/>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row>
    <row r="360" customFormat="false" ht="15.75" hidden="false" customHeight="false" outlineLevel="0" collapsed="false">
      <c r="A360" s="290"/>
      <c r="B360" s="290"/>
      <c r="C360" s="290"/>
      <c r="D360" s="290"/>
      <c r="E360" s="290"/>
      <c r="F360" s="290"/>
      <c r="G360" s="290"/>
      <c r="H360" s="290"/>
      <c r="I360" s="290"/>
      <c r="J360" s="3"/>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row>
    <row r="361" customFormat="false" ht="15.75" hidden="false" customHeight="false" outlineLevel="0" collapsed="false">
      <c r="A361" s="290"/>
      <c r="B361" s="290"/>
      <c r="C361" s="290"/>
      <c r="D361" s="290"/>
      <c r="E361" s="290"/>
      <c r="F361" s="290"/>
      <c r="G361" s="290"/>
      <c r="H361" s="290"/>
      <c r="I361" s="290"/>
      <c r="J361" s="3"/>
      <c r="K361" s="290"/>
      <c r="L361" s="290"/>
      <c r="M361" s="290"/>
      <c r="N361" s="290"/>
      <c r="O361" s="290"/>
      <c r="P361" s="290"/>
      <c r="Q361" s="290"/>
      <c r="R361" s="290"/>
      <c r="S361" s="290"/>
      <c r="T361" s="290"/>
      <c r="U361" s="290"/>
      <c r="V361" s="290"/>
      <c r="W361" s="290"/>
      <c r="X361" s="290"/>
      <c r="Y361" s="290"/>
      <c r="Z361" s="290"/>
      <c r="AA361" s="290"/>
      <c r="AB361" s="290"/>
      <c r="AC361" s="290"/>
      <c r="AD361" s="290"/>
      <c r="AE361" s="290"/>
      <c r="AF361" s="290"/>
      <c r="AG361" s="290"/>
      <c r="AH361" s="290"/>
      <c r="AI361" s="290"/>
      <c r="AJ361" s="290"/>
      <c r="AK361" s="290"/>
      <c r="AL361" s="290"/>
      <c r="AM361" s="290"/>
      <c r="AN361" s="290"/>
      <c r="AO361" s="290"/>
      <c r="AP361" s="290"/>
      <c r="AQ361" s="290"/>
      <c r="AR361" s="290"/>
      <c r="AS361" s="290"/>
      <c r="AT361" s="290"/>
      <c r="AU361" s="290"/>
      <c r="AV361" s="290"/>
      <c r="AW361" s="290"/>
      <c r="AX361" s="290"/>
      <c r="AY361" s="290"/>
      <c r="AZ361" s="290"/>
      <c r="BA361" s="290"/>
      <c r="BB361" s="290"/>
      <c r="BC361" s="290"/>
      <c r="BD361" s="290"/>
      <c r="BE361" s="290"/>
      <c r="BF361" s="290"/>
      <c r="BG361" s="290"/>
      <c r="BH361" s="290"/>
      <c r="BI361" s="290"/>
      <c r="BJ361" s="290"/>
      <c r="BK361" s="290"/>
      <c r="BL361" s="290"/>
      <c r="BM361" s="290"/>
      <c r="BN361" s="290"/>
      <c r="BO361" s="290"/>
      <c r="BP361" s="290"/>
      <c r="BQ361" s="290"/>
      <c r="BR361" s="290"/>
      <c r="BS361" s="290"/>
      <c r="BT361" s="290"/>
      <c r="BU361" s="290"/>
      <c r="BV361" s="290"/>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row>
    <row r="362" customFormat="false" ht="15.75" hidden="false" customHeight="false" outlineLevel="0" collapsed="false">
      <c r="A362" s="290"/>
      <c r="B362" s="290"/>
      <c r="C362" s="290"/>
      <c r="D362" s="290"/>
      <c r="E362" s="290"/>
      <c r="F362" s="290"/>
      <c r="G362" s="290"/>
      <c r="H362" s="290"/>
      <c r="I362" s="290"/>
      <c r="J362" s="3"/>
      <c r="K362" s="290"/>
      <c r="L362" s="290"/>
      <c r="M362" s="290"/>
      <c r="N362" s="290"/>
      <c r="O362" s="290"/>
      <c r="P362" s="290"/>
      <c r="Q362" s="290"/>
      <c r="R362" s="290"/>
      <c r="S362" s="290"/>
      <c r="T362" s="290"/>
      <c r="U362" s="290"/>
      <c r="V362" s="290"/>
      <c r="W362" s="290"/>
      <c r="X362" s="290"/>
      <c r="Y362" s="290"/>
      <c r="Z362" s="290"/>
      <c r="AA362" s="290"/>
      <c r="AB362" s="290"/>
      <c r="AC362" s="290"/>
      <c r="AD362" s="290"/>
      <c r="AE362" s="290"/>
      <c r="AF362" s="290"/>
      <c r="AG362" s="290"/>
      <c r="AH362" s="290"/>
      <c r="AI362" s="290"/>
      <c r="AJ362" s="290"/>
      <c r="AK362" s="290"/>
      <c r="AL362" s="290"/>
      <c r="AM362" s="290"/>
      <c r="AN362" s="290"/>
      <c r="AO362" s="290"/>
      <c r="AP362" s="290"/>
      <c r="AQ362" s="290"/>
      <c r="AR362" s="290"/>
      <c r="AS362" s="290"/>
      <c r="AT362" s="290"/>
      <c r="AU362" s="290"/>
      <c r="AV362" s="290"/>
      <c r="AW362" s="290"/>
      <c r="AX362" s="290"/>
      <c r="AY362" s="290"/>
      <c r="AZ362" s="290"/>
      <c r="BA362" s="290"/>
      <c r="BB362" s="290"/>
      <c r="BC362" s="290"/>
      <c r="BD362" s="290"/>
      <c r="BE362" s="290"/>
      <c r="BF362" s="290"/>
      <c r="BG362" s="290"/>
      <c r="BH362" s="290"/>
      <c r="BI362" s="290"/>
      <c r="BJ362" s="290"/>
      <c r="BK362" s="290"/>
      <c r="BL362" s="290"/>
      <c r="BM362" s="290"/>
      <c r="BN362" s="290"/>
      <c r="BO362" s="290"/>
      <c r="BP362" s="290"/>
      <c r="BQ362" s="290"/>
      <c r="BR362" s="290"/>
      <c r="BS362" s="290"/>
      <c r="BT362" s="290"/>
      <c r="BU362" s="290"/>
      <c r="BV362" s="290"/>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row>
    <row r="363" customFormat="false" ht="15.75" hidden="false" customHeight="false" outlineLevel="0" collapsed="false">
      <c r="A363" s="290"/>
      <c r="B363" s="290"/>
      <c r="C363" s="290"/>
      <c r="D363" s="290"/>
      <c r="E363" s="290"/>
      <c r="F363" s="290"/>
      <c r="G363" s="290"/>
      <c r="H363" s="290"/>
      <c r="I363" s="290"/>
      <c r="J363" s="3"/>
      <c r="K363" s="290"/>
      <c r="L363" s="290"/>
      <c r="M363" s="290"/>
      <c r="N363" s="290"/>
      <c r="O363" s="290"/>
      <c r="P363" s="290"/>
      <c r="Q363" s="290"/>
      <c r="R363" s="290"/>
      <c r="S363" s="290"/>
      <c r="T363" s="290"/>
      <c r="U363" s="290"/>
      <c r="V363" s="290"/>
      <c r="W363" s="290"/>
      <c r="X363" s="290"/>
      <c r="Y363" s="290"/>
      <c r="Z363" s="290"/>
      <c r="AA363" s="290"/>
      <c r="AB363" s="290"/>
      <c r="AC363" s="290"/>
      <c r="AD363" s="290"/>
      <c r="AE363" s="290"/>
      <c r="AF363" s="290"/>
      <c r="AG363" s="290"/>
      <c r="AH363" s="290"/>
      <c r="AI363" s="290"/>
      <c r="AJ363" s="290"/>
      <c r="AK363" s="290"/>
      <c r="AL363" s="290"/>
      <c r="AM363" s="290"/>
      <c r="AN363" s="290"/>
      <c r="AO363" s="290"/>
      <c r="AP363" s="290"/>
      <c r="AQ363" s="290"/>
      <c r="AR363" s="290"/>
      <c r="AS363" s="290"/>
      <c r="AT363" s="290"/>
      <c r="AU363" s="290"/>
      <c r="AV363" s="290"/>
      <c r="AW363" s="290"/>
      <c r="AX363" s="290"/>
      <c r="AY363" s="290"/>
      <c r="AZ363" s="290"/>
      <c r="BA363" s="290"/>
      <c r="BB363" s="290"/>
      <c r="BC363" s="290"/>
      <c r="BD363" s="290"/>
      <c r="BE363" s="290"/>
      <c r="BF363" s="290"/>
      <c r="BG363" s="290"/>
      <c r="BH363" s="290"/>
      <c r="BI363" s="290"/>
      <c r="BJ363" s="290"/>
      <c r="BK363" s="290"/>
      <c r="BL363" s="290"/>
      <c r="BM363" s="290"/>
      <c r="BN363" s="290"/>
      <c r="BO363" s="290"/>
      <c r="BP363" s="290"/>
      <c r="BQ363" s="290"/>
      <c r="BR363" s="290"/>
      <c r="BS363" s="290"/>
      <c r="BT363" s="290"/>
      <c r="BU363" s="290"/>
      <c r="BV363" s="290"/>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row>
    <row r="364" customFormat="false" ht="15.75" hidden="false" customHeight="false" outlineLevel="0" collapsed="false">
      <c r="A364" s="290"/>
      <c r="B364" s="290"/>
      <c r="C364" s="290"/>
      <c r="D364" s="290"/>
      <c r="E364" s="290"/>
      <c r="F364" s="290"/>
      <c r="G364" s="290"/>
      <c r="H364" s="290"/>
      <c r="I364" s="290"/>
      <c r="J364" s="3"/>
      <c r="K364" s="290"/>
      <c r="L364" s="290"/>
      <c r="M364" s="290"/>
      <c r="N364" s="290"/>
      <c r="O364" s="290"/>
      <c r="P364" s="290"/>
      <c r="Q364" s="290"/>
      <c r="R364" s="290"/>
      <c r="S364" s="290"/>
      <c r="T364" s="290"/>
      <c r="U364" s="290"/>
      <c r="V364" s="290"/>
      <c r="W364" s="290"/>
      <c r="X364" s="290"/>
      <c r="Y364" s="290"/>
      <c r="Z364" s="290"/>
      <c r="AA364" s="290"/>
      <c r="AB364" s="290"/>
      <c r="AC364" s="290"/>
      <c r="AD364" s="290"/>
      <c r="AE364" s="290"/>
      <c r="AF364" s="290"/>
      <c r="AG364" s="290"/>
      <c r="AH364" s="290"/>
      <c r="AI364" s="290"/>
      <c r="AJ364" s="290"/>
      <c r="AK364" s="290"/>
      <c r="AL364" s="290"/>
      <c r="AM364" s="290"/>
      <c r="AN364" s="290"/>
      <c r="AO364" s="290"/>
      <c r="AP364" s="290"/>
      <c r="AQ364" s="290"/>
      <c r="AR364" s="290"/>
      <c r="AS364" s="290"/>
      <c r="AT364" s="290"/>
      <c r="AU364" s="290"/>
      <c r="AV364" s="290"/>
      <c r="AW364" s="290"/>
      <c r="AX364" s="290"/>
      <c r="AY364" s="290"/>
      <c r="AZ364" s="290"/>
      <c r="BA364" s="290"/>
      <c r="BB364" s="290"/>
      <c r="BC364" s="290"/>
      <c r="BD364" s="290"/>
      <c r="BE364" s="290"/>
      <c r="BF364" s="290"/>
      <c r="BG364" s="290"/>
      <c r="BH364" s="290"/>
      <c r="BI364" s="290"/>
      <c r="BJ364" s="290"/>
      <c r="BK364" s="290"/>
      <c r="BL364" s="290"/>
      <c r="BM364" s="290"/>
      <c r="BN364" s="290"/>
      <c r="BO364" s="290"/>
      <c r="BP364" s="290"/>
      <c r="BQ364" s="290"/>
      <c r="BR364" s="290"/>
      <c r="BS364" s="290"/>
      <c r="BT364" s="290"/>
      <c r="BU364" s="290"/>
      <c r="BV364" s="290"/>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row>
    <row r="365" customFormat="false" ht="15.75" hidden="false" customHeight="false" outlineLevel="0" collapsed="false">
      <c r="A365" s="290"/>
      <c r="B365" s="290"/>
      <c r="C365" s="290"/>
      <c r="D365" s="290"/>
      <c r="E365" s="290"/>
      <c r="F365" s="290"/>
      <c r="G365" s="290"/>
      <c r="H365" s="290"/>
      <c r="I365" s="290"/>
      <c r="J365" s="3"/>
      <c r="K365" s="290"/>
      <c r="L365" s="290"/>
      <c r="M365" s="290"/>
      <c r="N365" s="290"/>
      <c r="O365" s="290"/>
      <c r="P365" s="290"/>
      <c r="Q365" s="290"/>
      <c r="R365" s="290"/>
      <c r="S365" s="290"/>
      <c r="T365" s="290"/>
      <c r="U365" s="290"/>
      <c r="V365" s="290"/>
      <c r="W365" s="290"/>
      <c r="X365" s="290"/>
      <c r="Y365" s="290"/>
      <c r="Z365" s="290"/>
      <c r="AA365" s="290"/>
      <c r="AB365" s="290"/>
      <c r="AC365" s="290"/>
      <c r="AD365" s="290"/>
      <c r="AE365" s="290"/>
      <c r="AF365" s="290"/>
      <c r="AG365" s="290"/>
      <c r="AH365" s="290"/>
      <c r="AI365" s="290"/>
      <c r="AJ365" s="290"/>
      <c r="AK365" s="290"/>
      <c r="AL365" s="290"/>
      <c r="AM365" s="290"/>
      <c r="AN365" s="290"/>
      <c r="AO365" s="290"/>
      <c r="AP365" s="290"/>
      <c r="AQ365" s="290"/>
      <c r="AR365" s="290"/>
      <c r="AS365" s="290"/>
      <c r="AT365" s="290"/>
      <c r="AU365" s="290"/>
      <c r="AV365" s="290"/>
      <c r="AW365" s="290"/>
      <c r="AX365" s="290"/>
      <c r="AY365" s="290"/>
      <c r="AZ365" s="290"/>
      <c r="BA365" s="290"/>
      <c r="BB365" s="290"/>
      <c r="BC365" s="290"/>
      <c r="BD365" s="290"/>
      <c r="BE365" s="290"/>
      <c r="BF365" s="290"/>
      <c r="BG365" s="290"/>
      <c r="BH365" s="290"/>
      <c r="BI365" s="290"/>
      <c r="BJ365" s="290"/>
      <c r="BK365" s="290"/>
      <c r="BL365" s="290"/>
      <c r="BM365" s="290"/>
      <c r="BN365" s="290"/>
      <c r="BO365" s="290"/>
      <c r="BP365" s="290"/>
      <c r="BQ365" s="290"/>
      <c r="BR365" s="290"/>
      <c r="BS365" s="290"/>
      <c r="BT365" s="290"/>
      <c r="BU365" s="290"/>
      <c r="BV365" s="290"/>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row>
    <row r="366" customFormat="false" ht="15.75" hidden="false" customHeight="false" outlineLevel="0" collapsed="false">
      <c r="A366" s="290"/>
      <c r="B366" s="290"/>
      <c r="C366" s="290"/>
      <c r="D366" s="290"/>
      <c r="E366" s="290"/>
      <c r="F366" s="290"/>
      <c r="G366" s="290"/>
      <c r="H366" s="290"/>
      <c r="I366" s="290"/>
      <c r="J366" s="3"/>
      <c r="K366" s="290"/>
      <c r="L366" s="290"/>
      <c r="M366" s="290"/>
      <c r="N366" s="290"/>
      <c r="O366" s="290"/>
      <c r="P366" s="290"/>
      <c r="Q366" s="290"/>
      <c r="R366" s="290"/>
      <c r="S366" s="290"/>
      <c r="T366" s="290"/>
      <c r="U366" s="290"/>
      <c r="V366" s="290"/>
      <c r="W366" s="290"/>
      <c r="X366" s="290"/>
      <c r="Y366" s="290"/>
      <c r="Z366" s="290"/>
      <c r="AA366" s="290"/>
      <c r="AB366" s="290"/>
      <c r="AC366" s="290"/>
      <c r="AD366" s="290"/>
      <c r="AE366" s="290"/>
      <c r="AF366" s="290"/>
      <c r="AG366" s="290"/>
      <c r="AH366" s="290"/>
      <c r="AI366" s="290"/>
      <c r="AJ366" s="290"/>
      <c r="AK366" s="290"/>
      <c r="AL366" s="290"/>
      <c r="AM366" s="290"/>
      <c r="AN366" s="290"/>
      <c r="AO366" s="290"/>
      <c r="AP366" s="290"/>
      <c r="AQ366" s="290"/>
      <c r="AR366" s="290"/>
      <c r="AS366" s="290"/>
      <c r="AT366" s="290"/>
      <c r="AU366" s="290"/>
      <c r="AV366" s="290"/>
      <c r="AW366" s="290"/>
      <c r="AX366" s="290"/>
      <c r="AY366" s="290"/>
      <c r="AZ366" s="290"/>
      <c r="BA366" s="290"/>
      <c r="BB366" s="290"/>
      <c r="BC366" s="290"/>
      <c r="BD366" s="290"/>
      <c r="BE366" s="290"/>
      <c r="BF366" s="290"/>
      <c r="BG366" s="290"/>
      <c r="BH366" s="290"/>
      <c r="BI366" s="290"/>
      <c r="BJ366" s="290"/>
      <c r="BK366" s="290"/>
      <c r="BL366" s="290"/>
      <c r="BM366" s="290"/>
      <c r="BN366" s="290"/>
      <c r="BO366" s="290"/>
      <c r="BP366" s="290"/>
      <c r="BQ366" s="290"/>
      <c r="BR366" s="290"/>
      <c r="BS366" s="290"/>
      <c r="BT366" s="290"/>
      <c r="BU366" s="290"/>
      <c r="BV366" s="290"/>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row>
    <row r="367" customFormat="false" ht="15.75" hidden="false" customHeight="false" outlineLevel="0" collapsed="false">
      <c r="A367" s="290"/>
      <c r="B367" s="290"/>
      <c r="C367" s="290"/>
      <c r="D367" s="290"/>
      <c r="E367" s="290"/>
      <c r="F367" s="290"/>
      <c r="G367" s="290"/>
      <c r="H367" s="290"/>
      <c r="I367" s="290"/>
      <c r="J367" s="3"/>
      <c r="K367" s="290"/>
      <c r="L367" s="290"/>
      <c r="M367" s="290"/>
      <c r="N367" s="290"/>
      <c r="O367" s="290"/>
      <c r="P367" s="290"/>
      <c r="Q367" s="290"/>
      <c r="R367" s="290"/>
      <c r="S367" s="290"/>
      <c r="T367" s="290"/>
      <c r="U367" s="290"/>
      <c r="V367" s="290"/>
      <c r="W367" s="290"/>
      <c r="X367" s="290"/>
      <c r="Y367" s="290"/>
      <c r="Z367" s="290"/>
      <c r="AA367" s="290"/>
      <c r="AB367" s="290"/>
      <c r="AC367" s="290"/>
      <c r="AD367" s="290"/>
      <c r="AE367" s="290"/>
      <c r="AF367" s="290"/>
      <c r="AG367" s="290"/>
      <c r="AH367" s="290"/>
      <c r="AI367" s="290"/>
      <c r="AJ367" s="290"/>
      <c r="AK367" s="290"/>
      <c r="AL367" s="290"/>
      <c r="AM367" s="290"/>
      <c r="AN367" s="290"/>
      <c r="AO367" s="290"/>
      <c r="AP367" s="290"/>
      <c r="AQ367" s="290"/>
      <c r="AR367" s="290"/>
      <c r="AS367" s="290"/>
      <c r="AT367" s="290"/>
      <c r="AU367" s="290"/>
      <c r="AV367" s="290"/>
      <c r="AW367" s="290"/>
      <c r="AX367" s="290"/>
      <c r="AY367" s="290"/>
      <c r="AZ367" s="290"/>
      <c r="BA367" s="290"/>
      <c r="BB367" s="290"/>
      <c r="BC367" s="290"/>
      <c r="BD367" s="290"/>
      <c r="BE367" s="290"/>
      <c r="BF367" s="290"/>
      <c r="BG367" s="290"/>
      <c r="BH367" s="290"/>
      <c r="BI367" s="290"/>
      <c r="BJ367" s="290"/>
      <c r="BK367" s="290"/>
      <c r="BL367" s="290"/>
      <c r="BM367" s="290"/>
      <c r="BN367" s="290"/>
      <c r="BO367" s="290"/>
      <c r="BP367" s="290"/>
      <c r="BQ367" s="290"/>
      <c r="BR367" s="290"/>
      <c r="BS367" s="290"/>
      <c r="BT367" s="290"/>
      <c r="BU367" s="290"/>
      <c r="BV367" s="290"/>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row>
    <row r="368" customFormat="false" ht="15.75" hidden="false" customHeight="false" outlineLevel="0" collapsed="false">
      <c r="A368" s="290"/>
      <c r="B368" s="290"/>
      <c r="C368" s="290"/>
      <c r="D368" s="290"/>
      <c r="E368" s="290"/>
      <c r="F368" s="290"/>
      <c r="G368" s="290"/>
      <c r="H368" s="290"/>
      <c r="I368" s="290"/>
      <c r="J368" s="3"/>
      <c r="K368" s="290"/>
      <c r="L368" s="290"/>
      <c r="M368" s="290"/>
      <c r="N368" s="290"/>
      <c r="O368" s="290"/>
      <c r="P368" s="290"/>
      <c r="Q368" s="290"/>
      <c r="R368" s="290"/>
      <c r="S368" s="290"/>
      <c r="T368" s="290"/>
      <c r="U368" s="290"/>
      <c r="V368" s="290"/>
      <c r="W368" s="290"/>
      <c r="X368" s="290"/>
      <c r="Y368" s="290"/>
      <c r="Z368" s="290"/>
      <c r="AA368" s="290"/>
      <c r="AB368" s="290"/>
      <c r="AC368" s="290"/>
      <c r="AD368" s="290"/>
      <c r="AE368" s="290"/>
      <c r="AF368" s="290"/>
      <c r="AG368" s="290"/>
      <c r="AH368" s="290"/>
      <c r="AI368" s="290"/>
      <c r="AJ368" s="290"/>
      <c r="AK368" s="290"/>
      <c r="AL368" s="290"/>
      <c r="AM368" s="290"/>
      <c r="AN368" s="290"/>
      <c r="AO368" s="290"/>
      <c r="AP368" s="290"/>
      <c r="AQ368" s="290"/>
      <c r="AR368" s="290"/>
      <c r="AS368" s="290"/>
      <c r="AT368" s="290"/>
      <c r="AU368" s="290"/>
      <c r="AV368" s="290"/>
      <c r="AW368" s="290"/>
      <c r="AX368" s="290"/>
      <c r="AY368" s="290"/>
      <c r="AZ368" s="290"/>
      <c r="BA368" s="290"/>
      <c r="BB368" s="290"/>
      <c r="BC368" s="290"/>
      <c r="BD368" s="290"/>
      <c r="BE368" s="290"/>
      <c r="BF368" s="290"/>
      <c r="BG368" s="290"/>
      <c r="BH368" s="290"/>
      <c r="BI368" s="290"/>
      <c r="BJ368" s="290"/>
      <c r="BK368" s="290"/>
      <c r="BL368" s="290"/>
      <c r="BM368" s="290"/>
      <c r="BN368" s="290"/>
      <c r="BO368" s="290"/>
      <c r="BP368" s="290"/>
      <c r="BQ368" s="290"/>
      <c r="BR368" s="290"/>
      <c r="BS368" s="290"/>
      <c r="BT368" s="290"/>
      <c r="BU368" s="290"/>
      <c r="BV368" s="290"/>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row>
    <row r="369" customFormat="false" ht="15.75" hidden="false" customHeight="false" outlineLevel="0" collapsed="false">
      <c r="A369" s="290"/>
      <c r="B369" s="290"/>
      <c r="C369" s="290"/>
      <c r="D369" s="290"/>
      <c r="E369" s="290"/>
      <c r="F369" s="290"/>
      <c r="G369" s="290"/>
      <c r="H369" s="290"/>
      <c r="I369" s="290"/>
      <c r="J369" s="3"/>
      <c r="K369" s="290"/>
      <c r="L369" s="290"/>
      <c r="M369" s="290"/>
      <c r="N369" s="290"/>
      <c r="O369" s="290"/>
      <c r="P369" s="290"/>
      <c r="Q369" s="290"/>
      <c r="R369" s="290"/>
      <c r="S369" s="290"/>
      <c r="T369" s="290"/>
      <c r="U369" s="290"/>
      <c r="V369" s="290"/>
      <c r="W369" s="290"/>
      <c r="X369" s="290"/>
      <c r="Y369" s="290"/>
      <c r="Z369" s="290"/>
      <c r="AA369" s="290"/>
      <c r="AB369" s="290"/>
      <c r="AC369" s="290"/>
      <c r="AD369" s="290"/>
      <c r="AE369" s="290"/>
      <c r="AF369" s="290"/>
      <c r="AG369" s="290"/>
      <c r="AH369" s="290"/>
      <c r="AI369" s="290"/>
      <c r="AJ369" s="290"/>
      <c r="AK369" s="290"/>
      <c r="AL369" s="290"/>
      <c r="AM369" s="290"/>
      <c r="AN369" s="290"/>
      <c r="AO369" s="290"/>
      <c r="AP369" s="290"/>
      <c r="AQ369" s="290"/>
      <c r="AR369" s="290"/>
      <c r="AS369" s="290"/>
      <c r="AT369" s="290"/>
      <c r="AU369" s="290"/>
      <c r="AV369" s="290"/>
      <c r="AW369" s="290"/>
      <c r="AX369" s="290"/>
      <c r="AY369" s="290"/>
      <c r="AZ369" s="290"/>
      <c r="BA369" s="290"/>
      <c r="BB369" s="290"/>
      <c r="BC369" s="290"/>
      <c r="BD369" s="290"/>
      <c r="BE369" s="290"/>
      <c r="BF369" s="290"/>
      <c r="BG369" s="290"/>
      <c r="BH369" s="290"/>
      <c r="BI369" s="290"/>
      <c r="BJ369" s="290"/>
      <c r="BK369" s="290"/>
      <c r="BL369" s="290"/>
      <c r="BM369" s="290"/>
      <c r="BN369" s="290"/>
      <c r="BO369" s="290"/>
      <c r="BP369" s="290"/>
      <c r="BQ369" s="290"/>
      <c r="BR369" s="290"/>
      <c r="BS369" s="290"/>
      <c r="BT369" s="290"/>
      <c r="BU369" s="290"/>
      <c r="BV369" s="290"/>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row>
    <row r="370" customFormat="false" ht="15.75" hidden="false" customHeight="false" outlineLevel="0" collapsed="false">
      <c r="A370" s="290"/>
      <c r="B370" s="290"/>
      <c r="C370" s="290"/>
      <c r="D370" s="290"/>
      <c r="E370" s="290"/>
      <c r="F370" s="290"/>
      <c r="G370" s="290"/>
      <c r="H370" s="290"/>
      <c r="I370" s="290"/>
      <c r="J370" s="3"/>
      <c r="K370" s="290"/>
      <c r="L370" s="290"/>
      <c r="M370" s="290"/>
      <c r="N370" s="290"/>
      <c r="O370" s="290"/>
      <c r="P370" s="290"/>
      <c r="Q370" s="290"/>
      <c r="R370" s="290"/>
      <c r="S370" s="290"/>
      <c r="T370" s="290"/>
      <c r="U370" s="290"/>
      <c r="V370" s="290"/>
      <c r="W370" s="290"/>
      <c r="X370" s="290"/>
      <c r="Y370" s="290"/>
      <c r="Z370" s="290"/>
      <c r="AA370" s="290"/>
      <c r="AB370" s="290"/>
      <c r="AC370" s="290"/>
      <c r="AD370" s="290"/>
      <c r="AE370" s="290"/>
      <c r="AF370" s="290"/>
      <c r="AG370" s="290"/>
      <c r="AH370" s="290"/>
      <c r="AI370" s="290"/>
      <c r="AJ370" s="290"/>
      <c r="AK370" s="290"/>
      <c r="AL370" s="290"/>
      <c r="AM370" s="290"/>
      <c r="AN370" s="290"/>
      <c r="AO370" s="290"/>
      <c r="AP370" s="290"/>
      <c r="AQ370" s="290"/>
      <c r="AR370" s="290"/>
      <c r="AS370" s="290"/>
      <c r="AT370" s="290"/>
      <c r="AU370" s="290"/>
      <c r="AV370" s="290"/>
      <c r="AW370" s="290"/>
      <c r="AX370" s="290"/>
      <c r="AY370" s="290"/>
      <c r="AZ370" s="290"/>
      <c r="BA370" s="290"/>
      <c r="BB370" s="290"/>
      <c r="BC370" s="290"/>
      <c r="BD370" s="290"/>
      <c r="BE370" s="290"/>
      <c r="BF370" s="290"/>
      <c r="BG370" s="290"/>
      <c r="BH370" s="290"/>
      <c r="BI370" s="290"/>
      <c r="BJ370" s="290"/>
      <c r="BK370" s="290"/>
      <c r="BL370" s="290"/>
      <c r="BM370" s="290"/>
      <c r="BN370" s="290"/>
      <c r="BO370" s="290"/>
      <c r="BP370" s="290"/>
      <c r="BQ370" s="290"/>
      <c r="BR370" s="290"/>
      <c r="BS370" s="290"/>
      <c r="BT370" s="290"/>
      <c r="BU370" s="290"/>
      <c r="BV370" s="290"/>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row>
    <row r="371" customFormat="false" ht="15.75" hidden="false" customHeight="false" outlineLevel="0" collapsed="false">
      <c r="A371" s="290"/>
      <c r="B371" s="290"/>
      <c r="C371" s="290"/>
      <c r="D371" s="290"/>
      <c r="E371" s="290"/>
      <c r="F371" s="290"/>
      <c r="G371" s="290"/>
      <c r="H371" s="290"/>
      <c r="I371" s="290"/>
      <c r="J371" s="3"/>
      <c r="K371" s="290"/>
      <c r="L371" s="290"/>
      <c r="M371" s="290"/>
      <c r="N371" s="290"/>
      <c r="O371" s="290"/>
      <c r="P371" s="290"/>
      <c r="Q371" s="290"/>
      <c r="R371" s="290"/>
      <c r="S371" s="290"/>
      <c r="T371" s="290"/>
      <c r="U371" s="290"/>
      <c r="V371" s="290"/>
      <c r="W371" s="290"/>
      <c r="X371" s="290"/>
      <c r="Y371" s="290"/>
      <c r="Z371" s="290"/>
      <c r="AA371" s="290"/>
      <c r="AB371" s="290"/>
      <c r="AC371" s="290"/>
      <c r="AD371" s="290"/>
      <c r="AE371" s="290"/>
      <c r="AF371" s="290"/>
      <c r="AG371" s="290"/>
      <c r="AH371" s="290"/>
      <c r="AI371" s="290"/>
      <c r="AJ371" s="290"/>
      <c r="AK371" s="290"/>
      <c r="AL371" s="290"/>
      <c r="AM371" s="290"/>
      <c r="AN371" s="290"/>
      <c r="AO371" s="290"/>
      <c r="AP371" s="290"/>
      <c r="AQ371" s="290"/>
      <c r="AR371" s="290"/>
      <c r="AS371" s="290"/>
      <c r="AT371" s="290"/>
      <c r="AU371" s="290"/>
      <c r="AV371" s="290"/>
      <c r="AW371" s="290"/>
      <c r="AX371" s="290"/>
      <c r="AY371" s="290"/>
      <c r="AZ371" s="290"/>
      <c r="BA371" s="290"/>
      <c r="BB371" s="290"/>
      <c r="BC371" s="290"/>
      <c r="BD371" s="290"/>
      <c r="BE371" s="290"/>
      <c r="BF371" s="290"/>
      <c r="BG371" s="290"/>
      <c r="BH371" s="290"/>
      <c r="BI371" s="290"/>
      <c r="BJ371" s="290"/>
      <c r="BK371" s="290"/>
      <c r="BL371" s="290"/>
      <c r="BM371" s="290"/>
      <c r="BN371" s="290"/>
      <c r="BO371" s="290"/>
      <c r="BP371" s="290"/>
      <c r="BQ371" s="290"/>
      <c r="BR371" s="290"/>
      <c r="BS371" s="290"/>
      <c r="BT371" s="290"/>
      <c r="BU371" s="290"/>
      <c r="BV371" s="290"/>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row>
    <row r="372" customFormat="false" ht="15.75" hidden="false" customHeight="false" outlineLevel="0" collapsed="false">
      <c r="A372" s="290"/>
      <c r="B372" s="290"/>
      <c r="C372" s="290"/>
      <c r="D372" s="290"/>
      <c r="E372" s="290"/>
      <c r="F372" s="290"/>
      <c r="G372" s="290"/>
      <c r="H372" s="290"/>
      <c r="I372" s="290"/>
      <c r="J372" s="3"/>
      <c r="K372" s="290"/>
      <c r="L372" s="290"/>
      <c r="M372" s="290"/>
      <c r="N372" s="290"/>
      <c r="O372" s="290"/>
      <c r="P372" s="290"/>
      <c r="Q372" s="290"/>
      <c r="R372" s="290"/>
      <c r="S372" s="290"/>
      <c r="T372" s="290"/>
      <c r="U372" s="290"/>
      <c r="V372" s="290"/>
      <c r="W372" s="290"/>
      <c r="X372" s="290"/>
      <c r="Y372" s="290"/>
      <c r="Z372" s="290"/>
      <c r="AA372" s="290"/>
      <c r="AB372" s="290"/>
      <c r="AC372" s="290"/>
      <c r="AD372" s="290"/>
      <c r="AE372" s="290"/>
      <c r="AF372" s="290"/>
      <c r="AG372" s="290"/>
      <c r="AH372" s="290"/>
      <c r="AI372" s="290"/>
      <c r="AJ372" s="290"/>
      <c r="AK372" s="290"/>
      <c r="AL372" s="290"/>
      <c r="AM372" s="290"/>
      <c r="AN372" s="290"/>
      <c r="AO372" s="290"/>
      <c r="AP372" s="290"/>
      <c r="AQ372" s="290"/>
      <c r="AR372" s="290"/>
      <c r="AS372" s="290"/>
      <c r="AT372" s="290"/>
      <c r="AU372" s="290"/>
      <c r="AV372" s="290"/>
      <c r="AW372" s="290"/>
      <c r="AX372" s="290"/>
      <c r="AY372" s="290"/>
      <c r="AZ372" s="290"/>
      <c r="BA372" s="290"/>
      <c r="BB372" s="290"/>
      <c r="BC372" s="290"/>
      <c r="BD372" s="290"/>
      <c r="BE372" s="290"/>
      <c r="BF372" s="290"/>
      <c r="BG372" s="290"/>
      <c r="BH372" s="290"/>
      <c r="BI372" s="290"/>
      <c r="BJ372" s="290"/>
      <c r="BK372" s="290"/>
      <c r="BL372" s="290"/>
      <c r="BM372" s="290"/>
      <c r="BN372" s="290"/>
      <c r="BO372" s="290"/>
      <c r="BP372" s="290"/>
      <c r="BQ372" s="290"/>
      <c r="BR372" s="290"/>
      <c r="BS372" s="290"/>
      <c r="BT372" s="290"/>
      <c r="BU372" s="290"/>
      <c r="BV372" s="290"/>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row>
    <row r="373" customFormat="false" ht="15.75" hidden="false" customHeight="false" outlineLevel="0" collapsed="false">
      <c r="A373" s="290"/>
      <c r="B373" s="290"/>
      <c r="C373" s="290"/>
      <c r="D373" s="290"/>
      <c r="E373" s="290"/>
      <c r="F373" s="290"/>
      <c r="G373" s="290"/>
      <c r="H373" s="290"/>
      <c r="I373" s="290"/>
      <c r="J373" s="3"/>
      <c r="K373" s="290"/>
      <c r="L373" s="290"/>
      <c r="M373" s="290"/>
      <c r="N373" s="290"/>
      <c r="O373" s="290"/>
      <c r="P373" s="290"/>
      <c r="Q373" s="290"/>
      <c r="R373" s="290"/>
      <c r="S373" s="290"/>
      <c r="T373" s="290"/>
      <c r="U373" s="290"/>
      <c r="V373" s="290"/>
      <c r="W373" s="290"/>
      <c r="X373" s="290"/>
      <c r="Y373" s="290"/>
      <c r="Z373" s="290"/>
      <c r="AA373" s="290"/>
      <c r="AB373" s="290"/>
      <c r="AC373" s="290"/>
      <c r="AD373" s="290"/>
      <c r="AE373" s="290"/>
      <c r="AF373" s="290"/>
      <c r="AG373" s="290"/>
      <c r="AH373" s="290"/>
      <c r="AI373" s="290"/>
      <c r="AJ373" s="290"/>
      <c r="AK373" s="290"/>
      <c r="AL373" s="290"/>
      <c r="AM373" s="290"/>
      <c r="AN373" s="290"/>
      <c r="AO373" s="290"/>
      <c r="AP373" s="290"/>
      <c r="AQ373" s="290"/>
      <c r="AR373" s="290"/>
      <c r="AS373" s="290"/>
      <c r="AT373" s="290"/>
      <c r="AU373" s="290"/>
      <c r="AV373" s="290"/>
      <c r="AW373" s="290"/>
      <c r="AX373" s="290"/>
      <c r="AY373" s="290"/>
      <c r="AZ373" s="290"/>
      <c r="BA373" s="290"/>
      <c r="BB373" s="290"/>
      <c r="BC373" s="290"/>
      <c r="BD373" s="290"/>
      <c r="BE373" s="290"/>
      <c r="BF373" s="290"/>
      <c r="BG373" s="290"/>
      <c r="BH373" s="290"/>
      <c r="BI373" s="290"/>
      <c r="BJ373" s="290"/>
      <c r="BK373" s="290"/>
      <c r="BL373" s="290"/>
      <c r="BM373" s="290"/>
      <c r="BN373" s="290"/>
      <c r="BO373" s="290"/>
      <c r="BP373" s="290"/>
      <c r="BQ373" s="290"/>
      <c r="BR373" s="290"/>
      <c r="BS373" s="290"/>
      <c r="BT373" s="290"/>
      <c r="BU373" s="290"/>
      <c r="BV373" s="290"/>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row>
    <row r="374" customFormat="false" ht="15.75" hidden="false" customHeight="false" outlineLevel="0" collapsed="false">
      <c r="A374" s="290"/>
      <c r="B374" s="290"/>
      <c r="C374" s="290"/>
      <c r="D374" s="290"/>
      <c r="E374" s="290"/>
      <c r="F374" s="290"/>
      <c r="G374" s="290"/>
      <c r="H374" s="290"/>
      <c r="I374" s="290"/>
      <c r="J374" s="3"/>
      <c r="K374" s="290"/>
      <c r="L374" s="290"/>
      <c r="M374" s="290"/>
      <c r="N374" s="290"/>
      <c r="O374" s="290"/>
      <c r="P374" s="290"/>
      <c r="Q374" s="290"/>
      <c r="R374" s="290"/>
      <c r="S374" s="290"/>
      <c r="T374" s="290"/>
      <c r="U374" s="290"/>
      <c r="V374" s="290"/>
      <c r="W374" s="290"/>
      <c r="X374" s="290"/>
      <c r="Y374" s="290"/>
      <c r="Z374" s="290"/>
      <c r="AA374" s="290"/>
      <c r="AB374" s="290"/>
      <c r="AC374" s="290"/>
      <c r="AD374" s="290"/>
      <c r="AE374" s="290"/>
      <c r="AF374" s="290"/>
      <c r="AG374" s="290"/>
      <c r="AH374" s="290"/>
      <c r="AI374" s="290"/>
      <c r="AJ374" s="290"/>
      <c r="AK374" s="290"/>
      <c r="AL374" s="290"/>
      <c r="AM374" s="290"/>
      <c r="AN374" s="290"/>
      <c r="AO374" s="290"/>
      <c r="AP374" s="290"/>
      <c r="AQ374" s="290"/>
      <c r="AR374" s="290"/>
      <c r="AS374" s="290"/>
      <c r="AT374" s="290"/>
      <c r="AU374" s="290"/>
      <c r="AV374" s="290"/>
      <c r="AW374" s="290"/>
      <c r="AX374" s="290"/>
      <c r="AY374" s="290"/>
      <c r="AZ374" s="290"/>
      <c r="BA374" s="290"/>
      <c r="BB374" s="290"/>
      <c r="BC374" s="290"/>
      <c r="BD374" s="290"/>
      <c r="BE374" s="290"/>
      <c r="BF374" s="290"/>
      <c r="BG374" s="290"/>
      <c r="BH374" s="290"/>
      <c r="BI374" s="290"/>
      <c r="BJ374" s="290"/>
      <c r="BK374" s="290"/>
      <c r="BL374" s="290"/>
      <c r="BM374" s="290"/>
      <c r="BN374" s="290"/>
      <c r="BO374" s="290"/>
      <c r="BP374" s="290"/>
      <c r="BQ374" s="290"/>
      <c r="BR374" s="290"/>
      <c r="BS374" s="290"/>
      <c r="BT374" s="290"/>
      <c r="BU374" s="290"/>
      <c r="BV374" s="290"/>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row>
    <row r="375" customFormat="false" ht="15.75" hidden="false" customHeight="false" outlineLevel="0" collapsed="false">
      <c r="A375" s="290"/>
      <c r="B375" s="290"/>
      <c r="C375" s="290"/>
      <c r="D375" s="290"/>
      <c r="E375" s="290"/>
      <c r="F375" s="290"/>
      <c r="G375" s="290"/>
      <c r="H375" s="290"/>
      <c r="I375" s="290"/>
      <c r="J375" s="3"/>
      <c r="K375" s="290"/>
      <c r="L375" s="290"/>
      <c r="M375" s="290"/>
      <c r="N375" s="290"/>
      <c r="O375" s="290"/>
      <c r="P375" s="290"/>
      <c r="Q375" s="290"/>
      <c r="R375" s="290"/>
      <c r="S375" s="290"/>
      <c r="T375" s="290"/>
      <c r="U375" s="290"/>
      <c r="V375" s="290"/>
      <c r="W375" s="290"/>
      <c r="X375" s="290"/>
      <c r="Y375" s="290"/>
      <c r="Z375" s="290"/>
      <c r="AA375" s="290"/>
      <c r="AB375" s="290"/>
      <c r="AC375" s="290"/>
      <c r="AD375" s="290"/>
      <c r="AE375" s="290"/>
      <c r="AF375" s="290"/>
      <c r="AG375" s="290"/>
      <c r="AH375" s="290"/>
      <c r="AI375" s="290"/>
      <c r="AJ375" s="290"/>
      <c r="AK375" s="290"/>
      <c r="AL375" s="290"/>
      <c r="AM375" s="290"/>
      <c r="AN375" s="290"/>
      <c r="AO375" s="290"/>
      <c r="AP375" s="290"/>
      <c r="AQ375" s="290"/>
      <c r="AR375" s="290"/>
      <c r="AS375" s="290"/>
      <c r="AT375" s="290"/>
      <c r="AU375" s="290"/>
      <c r="AV375" s="290"/>
      <c r="AW375" s="290"/>
      <c r="AX375" s="290"/>
      <c r="AY375" s="290"/>
      <c r="AZ375" s="290"/>
      <c r="BA375" s="290"/>
      <c r="BB375" s="290"/>
      <c r="BC375" s="290"/>
      <c r="BD375" s="290"/>
      <c r="BE375" s="290"/>
      <c r="BF375" s="290"/>
      <c r="BG375" s="290"/>
      <c r="BH375" s="290"/>
      <c r="BI375" s="290"/>
      <c r="BJ375" s="290"/>
      <c r="BK375" s="290"/>
      <c r="BL375" s="290"/>
      <c r="BM375" s="290"/>
      <c r="BN375" s="290"/>
      <c r="BO375" s="290"/>
      <c r="BP375" s="290"/>
      <c r="BQ375" s="290"/>
      <c r="BR375" s="290"/>
      <c r="BS375" s="290"/>
      <c r="BT375" s="290"/>
      <c r="BU375" s="290"/>
      <c r="BV375" s="290"/>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row>
    <row r="376" customFormat="false" ht="15.75" hidden="false" customHeight="false" outlineLevel="0" collapsed="false">
      <c r="A376" s="290"/>
      <c r="B376" s="290"/>
      <c r="C376" s="290"/>
      <c r="D376" s="290"/>
      <c r="E376" s="290"/>
      <c r="F376" s="290"/>
      <c r="G376" s="290"/>
      <c r="H376" s="290"/>
      <c r="I376" s="290"/>
      <c r="J376" s="3"/>
      <c r="K376" s="290"/>
      <c r="L376" s="290"/>
      <c r="M376" s="290"/>
      <c r="N376" s="290"/>
      <c r="O376" s="290"/>
      <c r="P376" s="290"/>
      <c r="Q376" s="290"/>
      <c r="R376" s="290"/>
      <c r="S376" s="290"/>
      <c r="T376" s="290"/>
      <c r="U376" s="290"/>
      <c r="V376" s="290"/>
      <c r="W376" s="290"/>
      <c r="X376" s="290"/>
      <c r="Y376" s="290"/>
      <c r="Z376" s="290"/>
      <c r="AA376" s="290"/>
      <c r="AB376" s="290"/>
      <c r="AC376" s="290"/>
      <c r="AD376" s="290"/>
      <c r="AE376" s="290"/>
      <c r="AF376" s="290"/>
      <c r="AG376" s="290"/>
      <c r="AH376" s="290"/>
      <c r="AI376" s="290"/>
      <c r="AJ376" s="290"/>
      <c r="AK376" s="290"/>
      <c r="AL376" s="290"/>
      <c r="AM376" s="290"/>
      <c r="AN376" s="290"/>
      <c r="AO376" s="290"/>
      <c r="AP376" s="290"/>
      <c r="AQ376" s="290"/>
      <c r="AR376" s="290"/>
      <c r="AS376" s="290"/>
      <c r="AT376" s="290"/>
      <c r="AU376" s="290"/>
      <c r="AV376" s="290"/>
      <c r="AW376" s="290"/>
      <c r="AX376" s="290"/>
      <c r="AY376" s="290"/>
      <c r="AZ376" s="290"/>
      <c r="BA376" s="290"/>
      <c r="BB376" s="290"/>
      <c r="BC376" s="290"/>
      <c r="BD376" s="290"/>
      <c r="BE376" s="290"/>
      <c r="BF376" s="290"/>
      <c r="BG376" s="290"/>
      <c r="BH376" s="290"/>
      <c r="BI376" s="290"/>
      <c r="BJ376" s="290"/>
      <c r="BK376" s="290"/>
      <c r="BL376" s="290"/>
      <c r="BM376" s="290"/>
      <c r="BN376" s="290"/>
      <c r="BO376" s="290"/>
      <c r="BP376" s="290"/>
      <c r="BQ376" s="290"/>
      <c r="BR376" s="290"/>
      <c r="BS376" s="290"/>
      <c r="BT376" s="290"/>
      <c r="BU376" s="290"/>
      <c r="BV376" s="290"/>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row>
    <row r="377" customFormat="false" ht="15.75" hidden="false" customHeight="false" outlineLevel="0" collapsed="false">
      <c r="A377" s="290"/>
      <c r="B377" s="290"/>
      <c r="C377" s="290"/>
      <c r="D377" s="290"/>
      <c r="E377" s="290"/>
      <c r="F377" s="290"/>
      <c r="G377" s="290"/>
      <c r="H377" s="290"/>
      <c r="I377" s="290"/>
      <c r="J377" s="3"/>
      <c r="K377" s="290"/>
      <c r="L377" s="290"/>
      <c r="M377" s="290"/>
      <c r="N377" s="290"/>
      <c r="O377" s="290"/>
      <c r="P377" s="290"/>
      <c r="Q377" s="290"/>
      <c r="R377" s="290"/>
      <c r="S377" s="290"/>
      <c r="T377" s="290"/>
      <c r="U377" s="290"/>
      <c r="V377" s="290"/>
      <c r="W377" s="290"/>
      <c r="X377" s="290"/>
      <c r="Y377" s="290"/>
      <c r="Z377" s="290"/>
      <c r="AA377" s="290"/>
      <c r="AB377" s="290"/>
      <c r="AC377" s="290"/>
      <c r="AD377" s="290"/>
      <c r="AE377" s="290"/>
      <c r="AF377" s="290"/>
      <c r="AG377" s="290"/>
      <c r="AH377" s="290"/>
      <c r="AI377" s="290"/>
      <c r="AJ377" s="290"/>
      <c r="AK377" s="290"/>
      <c r="AL377" s="290"/>
      <c r="AM377" s="290"/>
      <c r="AN377" s="290"/>
      <c r="AO377" s="290"/>
      <c r="AP377" s="290"/>
      <c r="AQ377" s="290"/>
      <c r="AR377" s="290"/>
      <c r="AS377" s="290"/>
      <c r="AT377" s="290"/>
      <c r="AU377" s="290"/>
      <c r="AV377" s="290"/>
      <c r="AW377" s="290"/>
      <c r="AX377" s="290"/>
      <c r="AY377" s="290"/>
      <c r="AZ377" s="290"/>
      <c r="BA377" s="290"/>
      <c r="BB377" s="290"/>
      <c r="BC377" s="290"/>
      <c r="BD377" s="290"/>
      <c r="BE377" s="290"/>
      <c r="BF377" s="290"/>
      <c r="BG377" s="290"/>
      <c r="BH377" s="290"/>
      <c r="BI377" s="290"/>
      <c r="BJ377" s="290"/>
      <c r="BK377" s="290"/>
      <c r="BL377" s="290"/>
      <c r="BM377" s="290"/>
      <c r="BN377" s="290"/>
      <c r="BO377" s="290"/>
      <c r="BP377" s="290"/>
      <c r="BQ377" s="290"/>
      <c r="BR377" s="290"/>
      <c r="BS377" s="290"/>
      <c r="BT377" s="290"/>
      <c r="BU377" s="290"/>
      <c r="BV377" s="290"/>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row>
    <row r="378" customFormat="false" ht="15.75" hidden="false" customHeight="false" outlineLevel="0" collapsed="false">
      <c r="A378" s="290"/>
      <c r="B378" s="290"/>
      <c r="C378" s="290"/>
      <c r="D378" s="290"/>
      <c r="E378" s="290"/>
      <c r="F378" s="290"/>
      <c r="G378" s="290"/>
      <c r="H378" s="290"/>
      <c r="I378" s="290"/>
      <c r="J378" s="3"/>
      <c r="K378" s="290"/>
      <c r="L378" s="290"/>
      <c r="M378" s="290"/>
      <c r="N378" s="290"/>
      <c r="O378" s="290"/>
      <c r="P378" s="290"/>
      <c r="Q378" s="290"/>
      <c r="R378" s="290"/>
      <c r="S378" s="290"/>
      <c r="T378" s="290"/>
      <c r="U378" s="290"/>
      <c r="V378" s="290"/>
      <c r="W378" s="290"/>
      <c r="X378" s="290"/>
      <c r="Y378" s="290"/>
      <c r="Z378" s="290"/>
      <c r="AA378" s="290"/>
      <c r="AB378" s="290"/>
      <c r="AC378" s="290"/>
      <c r="AD378" s="290"/>
      <c r="AE378" s="290"/>
      <c r="AF378" s="290"/>
      <c r="AG378" s="290"/>
      <c r="AH378" s="290"/>
      <c r="AI378" s="290"/>
      <c r="AJ378" s="290"/>
      <c r="AK378" s="290"/>
      <c r="AL378" s="290"/>
      <c r="AM378" s="290"/>
      <c r="AN378" s="290"/>
      <c r="AO378" s="290"/>
      <c r="AP378" s="290"/>
      <c r="AQ378" s="290"/>
      <c r="AR378" s="290"/>
      <c r="AS378" s="290"/>
      <c r="AT378" s="290"/>
      <c r="AU378" s="290"/>
      <c r="AV378" s="290"/>
      <c r="AW378" s="290"/>
      <c r="AX378" s="290"/>
      <c r="AY378" s="290"/>
      <c r="AZ378" s="290"/>
      <c r="BA378" s="290"/>
      <c r="BB378" s="290"/>
      <c r="BC378" s="290"/>
      <c r="BD378" s="290"/>
      <c r="BE378" s="290"/>
      <c r="BF378" s="290"/>
      <c r="BG378" s="290"/>
      <c r="BH378" s="290"/>
      <c r="BI378" s="290"/>
      <c r="BJ378" s="290"/>
      <c r="BK378" s="290"/>
      <c r="BL378" s="290"/>
      <c r="BM378" s="290"/>
      <c r="BN378" s="290"/>
      <c r="BO378" s="290"/>
      <c r="BP378" s="290"/>
      <c r="BQ378" s="290"/>
      <c r="BR378" s="290"/>
      <c r="BS378" s="290"/>
      <c r="BT378" s="290"/>
      <c r="BU378" s="290"/>
      <c r="BV378" s="290"/>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row>
    <row r="379" customFormat="false" ht="15.75" hidden="false" customHeight="false" outlineLevel="0" collapsed="false">
      <c r="A379" s="290"/>
      <c r="B379" s="290"/>
      <c r="C379" s="290"/>
      <c r="D379" s="290"/>
      <c r="E379" s="290"/>
      <c r="F379" s="290"/>
      <c r="G379" s="290"/>
      <c r="H379" s="290"/>
      <c r="I379" s="290"/>
      <c r="J379" s="3"/>
      <c r="K379" s="290"/>
      <c r="L379" s="290"/>
      <c r="M379" s="290"/>
      <c r="N379" s="290"/>
      <c r="O379" s="290"/>
      <c r="P379" s="290"/>
      <c r="Q379" s="290"/>
      <c r="R379" s="290"/>
      <c r="S379" s="290"/>
      <c r="T379" s="290"/>
      <c r="U379" s="290"/>
      <c r="V379" s="290"/>
      <c r="W379" s="290"/>
      <c r="X379" s="290"/>
      <c r="Y379" s="290"/>
      <c r="Z379" s="290"/>
      <c r="AA379" s="290"/>
      <c r="AB379" s="290"/>
      <c r="AC379" s="290"/>
      <c r="AD379" s="290"/>
      <c r="AE379" s="290"/>
      <c r="AF379" s="290"/>
      <c r="AG379" s="290"/>
      <c r="AH379" s="290"/>
      <c r="AI379" s="290"/>
      <c r="AJ379" s="290"/>
      <c r="AK379" s="290"/>
      <c r="AL379" s="290"/>
      <c r="AM379" s="290"/>
      <c r="AN379" s="290"/>
      <c r="AO379" s="290"/>
      <c r="AP379" s="290"/>
      <c r="AQ379" s="290"/>
      <c r="AR379" s="290"/>
      <c r="AS379" s="290"/>
      <c r="AT379" s="290"/>
      <c r="AU379" s="290"/>
      <c r="AV379" s="290"/>
      <c r="AW379" s="290"/>
      <c r="AX379" s="290"/>
      <c r="AY379" s="290"/>
      <c r="AZ379" s="290"/>
      <c r="BA379" s="290"/>
      <c r="BB379" s="290"/>
      <c r="BC379" s="290"/>
      <c r="BD379" s="290"/>
      <c r="BE379" s="290"/>
      <c r="BF379" s="290"/>
      <c r="BG379" s="290"/>
      <c r="BH379" s="290"/>
      <c r="BI379" s="290"/>
      <c r="BJ379" s="290"/>
      <c r="BK379" s="290"/>
      <c r="BL379" s="290"/>
      <c r="BM379" s="290"/>
      <c r="BN379" s="290"/>
      <c r="BO379" s="290"/>
      <c r="BP379" s="290"/>
      <c r="BQ379" s="290"/>
      <c r="BR379" s="290"/>
      <c r="BS379" s="290"/>
      <c r="BT379" s="290"/>
      <c r="BU379" s="290"/>
      <c r="BV379" s="290"/>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row>
    <row r="380" customFormat="false" ht="15.75" hidden="false" customHeight="false" outlineLevel="0" collapsed="false">
      <c r="A380" s="290"/>
      <c r="B380" s="290"/>
      <c r="C380" s="290"/>
      <c r="D380" s="290"/>
      <c r="E380" s="290"/>
      <c r="F380" s="290"/>
      <c r="G380" s="290"/>
      <c r="H380" s="290"/>
      <c r="I380" s="290"/>
      <c r="J380" s="3"/>
      <c r="K380" s="290"/>
      <c r="L380" s="290"/>
      <c r="M380" s="290"/>
      <c r="N380" s="290"/>
      <c r="O380" s="290"/>
      <c r="P380" s="290"/>
      <c r="Q380" s="290"/>
      <c r="R380" s="290"/>
      <c r="S380" s="290"/>
      <c r="T380" s="290"/>
      <c r="U380" s="290"/>
      <c r="V380" s="290"/>
      <c r="W380" s="290"/>
      <c r="X380" s="290"/>
      <c r="Y380" s="290"/>
      <c r="Z380" s="290"/>
      <c r="AA380" s="290"/>
      <c r="AB380" s="290"/>
      <c r="AC380" s="290"/>
      <c r="AD380" s="290"/>
      <c r="AE380" s="290"/>
      <c r="AF380" s="290"/>
      <c r="AG380" s="290"/>
      <c r="AH380" s="290"/>
      <c r="AI380" s="290"/>
      <c r="AJ380" s="290"/>
      <c r="AK380" s="290"/>
      <c r="AL380" s="290"/>
      <c r="AM380" s="290"/>
      <c r="AN380" s="290"/>
      <c r="AO380" s="290"/>
      <c r="AP380" s="290"/>
      <c r="AQ380" s="290"/>
      <c r="AR380" s="290"/>
      <c r="AS380" s="290"/>
      <c r="AT380" s="290"/>
      <c r="AU380" s="290"/>
      <c r="AV380" s="290"/>
      <c r="AW380" s="290"/>
      <c r="AX380" s="290"/>
      <c r="AY380" s="290"/>
      <c r="AZ380" s="290"/>
      <c r="BA380" s="290"/>
      <c r="BB380" s="290"/>
      <c r="BC380" s="290"/>
      <c r="BD380" s="290"/>
      <c r="BE380" s="290"/>
      <c r="BF380" s="290"/>
      <c r="BG380" s="290"/>
      <c r="BH380" s="290"/>
      <c r="BI380" s="290"/>
      <c r="BJ380" s="290"/>
      <c r="BK380" s="290"/>
      <c r="BL380" s="290"/>
      <c r="BM380" s="290"/>
      <c r="BN380" s="290"/>
      <c r="BO380" s="290"/>
      <c r="BP380" s="290"/>
      <c r="BQ380" s="290"/>
      <c r="BR380" s="290"/>
      <c r="BS380" s="290"/>
      <c r="BT380" s="290"/>
      <c r="BU380" s="290"/>
      <c r="BV380" s="290"/>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row>
    <row r="381" customFormat="false" ht="15.75" hidden="false" customHeight="false" outlineLevel="0" collapsed="false">
      <c r="A381" s="290"/>
      <c r="B381" s="290"/>
      <c r="C381" s="290"/>
      <c r="D381" s="290"/>
      <c r="E381" s="290"/>
      <c r="F381" s="290"/>
      <c r="G381" s="290"/>
      <c r="H381" s="290"/>
      <c r="I381" s="290"/>
      <c r="J381" s="3"/>
      <c r="K381" s="290"/>
      <c r="L381" s="290"/>
      <c r="M381" s="290"/>
      <c r="N381" s="290"/>
      <c r="O381" s="290"/>
      <c r="P381" s="290"/>
      <c r="Q381" s="290"/>
      <c r="R381" s="290"/>
      <c r="S381" s="290"/>
      <c r="T381" s="290"/>
      <c r="U381" s="290"/>
      <c r="V381" s="290"/>
      <c r="W381" s="290"/>
      <c r="X381" s="290"/>
      <c r="Y381" s="290"/>
      <c r="Z381" s="290"/>
      <c r="AA381" s="290"/>
      <c r="AB381" s="290"/>
      <c r="AC381" s="290"/>
      <c r="AD381" s="290"/>
      <c r="AE381" s="290"/>
      <c r="AF381" s="290"/>
      <c r="AG381" s="290"/>
      <c r="AH381" s="290"/>
      <c r="AI381" s="290"/>
      <c r="AJ381" s="290"/>
      <c r="AK381" s="290"/>
      <c r="AL381" s="290"/>
      <c r="AM381" s="290"/>
      <c r="AN381" s="290"/>
      <c r="AO381" s="290"/>
      <c r="AP381" s="290"/>
      <c r="AQ381" s="290"/>
      <c r="AR381" s="290"/>
      <c r="AS381" s="290"/>
      <c r="AT381" s="290"/>
      <c r="AU381" s="290"/>
      <c r="AV381" s="290"/>
      <c r="AW381" s="290"/>
      <c r="AX381" s="290"/>
      <c r="AY381" s="290"/>
      <c r="AZ381" s="290"/>
      <c r="BA381" s="290"/>
      <c r="BB381" s="290"/>
      <c r="BC381" s="290"/>
      <c r="BD381" s="290"/>
      <c r="BE381" s="290"/>
      <c r="BF381" s="290"/>
      <c r="BG381" s="290"/>
      <c r="BH381" s="290"/>
      <c r="BI381" s="290"/>
      <c r="BJ381" s="290"/>
      <c r="BK381" s="290"/>
      <c r="BL381" s="290"/>
      <c r="BM381" s="290"/>
      <c r="BN381" s="290"/>
      <c r="BO381" s="290"/>
      <c r="BP381" s="290"/>
      <c r="BQ381" s="290"/>
      <c r="BR381" s="290"/>
      <c r="BS381" s="290"/>
      <c r="BT381" s="290"/>
      <c r="BU381" s="290"/>
      <c r="BV381" s="290"/>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row>
    <row r="382" customFormat="false" ht="15.75" hidden="false" customHeight="false" outlineLevel="0" collapsed="false">
      <c r="A382" s="290"/>
      <c r="B382" s="290"/>
      <c r="C382" s="290"/>
      <c r="D382" s="290"/>
      <c r="E382" s="290"/>
      <c r="F382" s="290"/>
      <c r="G382" s="290"/>
      <c r="H382" s="290"/>
      <c r="I382" s="290"/>
      <c r="J382" s="3"/>
      <c r="K382" s="290"/>
      <c r="L382" s="290"/>
      <c r="M382" s="290"/>
      <c r="N382" s="290"/>
      <c r="O382" s="290"/>
      <c r="P382" s="290"/>
      <c r="Q382" s="290"/>
      <c r="R382" s="290"/>
      <c r="S382" s="290"/>
      <c r="T382" s="290"/>
      <c r="U382" s="290"/>
      <c r="V382" s="290"/>
      <c r="W382" s="290"/>
      <c r="X382" s="290"/>
      <c r="Y382" s="290"/>
      <c r="Z382" s="290"/>
      <c r="AA382" s="290"/>
      <c r="AB382" s="290"/>
      <c r="AC382" s="290"/>
      <c r="AD382" s="290"/>
      <c r="AE382" s="290"/>
      <c r="AF382" s="290"/>
      <c r="AG382" s="290"/>
      <c r="AH382" s="290"/>
      <c r="AI382" s="290"/>
      <c r="AJ382" s="290"/>
      <c r="AK382" s="290"/>
      <c r="AL382" s="290"/>
      <c r="AM382" s="290"/>
      <c r="AN382" s="290"/>
      <c r="AO382" s="290"/>
      <c r="AP382" s="290"/>
      <c r="AQ382" s="290"/>
      <c r="AR382" s="290"/>
      <c r="AS382" s="290"/>
      <c r="AT382" s="290"/>
      <c r="AU382" s="290"/>
      <c r="AV382" s="290"/>
      <c r="AW382" s="290"/>
      <c r="AX382" s="290"/>
      <c r="AY382" s="290"/>
      <c r="AZ382" s="290"/>
      <c r="BA382" s="290"/>
      <c r="BB382" s="290"/>
      <c r="BC382" s="290"/>
      <c r="BD382" s="290"/>
      <c r="BE382" s="290"/>
      <c r="BF382" s="290"/>
      <c r="BG382" s="290"/>
      <c r="BH382" s="290"/>
      <c r="BI382" s="290"/>
      <c r="BJ382" s="290"/>
      <c r="BK382" s="290"/>
      <c r="BL382" s="290"/>
      <c r="BM382" s="290"/>
      <c r="BN382" s="290"/>
      <c r="BO382" s="290"/>
      <c r="BP382" s="290"/>
      <c r="BQ382" s="290"/>
      <c r="BR382" s="290"/>
      <c r="BS382" s="290"/>
      <c r="BT382" s="290"/>
      <c r="BU382" s="290"/>
      <c r="BV382" s="290"/>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row>
    <row r="383" customFormat="false" ht="15.75" hidden="false" customHeight="false" outlineLevel="0" collapsed="false">
      <c r="A383" s="290"/>
      <c r="B383" s="290"/>
      <c r="C383" s="290"/>
      <c r="D383" s="290"/>
      <c r="E383" s="290"/>
      <c r="F383" s="290"/>
      <c r="G383" s="290"/>
      <c r="H383" s="290"/>
      <c r="I383" s="290"/>
      <c r="J383" s="3"/>
      <c r="K383" s="290"/>
      <c r="L383" s="290"/>
      <c r="M383" s="290"/>
      <c r="N383" s="290"/>
      <c r="O383" s="290"/>
      <c r="P383" s="290"/>
      <c r="Q383" s="290"/>
      <c r="R383" s="290"/>
      <c r="S383" s="290"/>
      <c r="T383" s="290"/>
      <c r="U383" s="290"/>
      <c r="V383" s="290"/>
      <c r="W383" s="290"/>
      <c r="X383" s="290"/>
      <c r="Y383" s="290"/>
      <c r="Z383" s="290"/>
      <c r="AA383" s="290"/>
      <c r="AB383" s="290"/>
      <c r="AC383" s="290"/>
      <c r="AD383" s="290"/>
      <c r="AE383" s="290"/>
      <c r="AF383" s="290"/>
      <c r="AG383" s="290"/>
      <c r="AH383" s="290"/>
      <c r="AI383" s="290"/>
      <c r="AJ383" s="290"/>
      <c r="AK383" s="290"/>
      <c r="AL383" s="290"/>
      <c r="AM383" s="290"/>
      <c r="AN383" s="290"/>
      <c r="AO383" s="290"/>
      <c r="AP383" s="290"/>
      <c r="AQ383" s="290"/>
      <c r="AR383" s="290"/>
      <c r="AS383" s="290"/>
      <c r="AT383" s="290"/>
      <c r="AU383" s="290"/>
      <c r="AV383" s="290"/>
      <c r="AW383" s="290"/>
      <c r="AX383" s="290"/>
      <c r="AY383" s="290"/>
      <c r="AZ383" s="290"/>
      <c r="BA383" s="290"/>
      <c r="BB383" s="290"/>
      <c r="BC383" s="290"/>
      <c r="BD383" s="290"/>
      <c r="BE383" s="290"/>
      <c r="BF383" s="290"/>
      <c r="BG383" s="290"/>
      <c r="BH383" s="290"/>
      <c r="BI383" s="290"/>
      <c r="BJ383" s="290"/>
      <c r="BK383" s="290"/>
      <c r="BL383" s="290"/>
      <c r="BM383" s="290"/>
      <c r="BN383" s="290"/>
      <c r="BO383" s="290"/>
      <c r="BP383" s="290"/>
      <c r="BQ383" s="290"/>
      <c r="BR383" s="290"/>
      <c r="BS383" s="290"/>
      <c r="BT383" s="290"/>
      <c r="BU383" s="290"/>
      <c r="BV383" s="290"/>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row>
    <row r="384" customFormat="false" ht="15.75" hidden="false" customHeight="false" outlineLevel="0" collapsed="false">
      <c r="A384" s="290"/>
      <c r="B384" s="290"/>
      <c r="C384" s="290"/>
      <c r="D384" s="290"/>
      <c r="E384" s="290"/>
      <c r="F384" s="290"/>
      <c r="G384" s="290"/>
      <c r="H384" s="290"/>
      <c r="I384" s="290"/>
      <c r="J384" s="3"/>
      <c r="K384" s="290"/>
      <c r="L384" s="290"/>
      <c r="M384" s="290"/>
      <c r="N384" s="290"/>
      <c r="O384" s="290"/>
      <c r="P384" s="290"/>
      <c r="Q384" s="290"/>
      <c r="R384" s="290"/>
      <c r="S384" s="290"/>
      <c r="T384" s="290"/>
      <c r="U384" s="290"/>
      <c r="V384" s="290"/>
      <c r="W384" s="290"/>
      <c r="X384" s="290"/>
      <c r="Y384" s="290"/>
      <c r="Z384" s="290"/>
      <c r="AA384" s="290"/>
      <c r="AB384" s="290"/>
      <c r="AC384" s="290"/>
      <c r="AD384" s="290"/>
      <c r="AE384" s="290"/>
      <c r="AF384" s="290"/>
      <c r="AG384" s="290"/>
      <c r="AH384" s="290"/>
      <c r="AI384" s="290"/>
      <c r="AJ384" s="290"/>
      <c r="AK384" s="290"/>
      <c r="AL384" s="290"/>
      <c r="AM384" s="290"/>
      <c r="AN384" s="290"/>
      <c r="AO384" s="290"/>
      <c r="AP384" s="290"/>
      <c r="AQ384" s="290"/>
      <c r="AR384" s="290"/>
      <c r="AS384" s="290"/>
      <c r="AT384" s="290"/>
      <c r="AU384" s="290"/>
      <c r="AV384" s="290"/>
      <c r="AW384" s="290"/>
      <c r="AX384" s="290"/>
      <c r="AY384" s="290"/>
      <c r="AZ384" s="290"/>
      <c r="BA384" s="290"/>
      <c r="BB384" s="290"/>
      <c r="BC384" s="290"/>
      <c r="BD384" s="290"/>
      <c r="BE384" s="290"/>
      <c r="BF384" s="290"/>
      <c r="BG384" s="290"/>
      <c r="BH384" s="290"/>
      <c r="BI384" s="290"/>
      <c r="BJ384" s="290"/>
      <c r="BK384" s="290"/>
      <c r="BL384" s="290"/>
      <c r="BM384" s="290"/>
      <c r="BN384" s="290"/>
      <c r="BO384" s="290"/>
      <c r="BP384" s="290"/>
      <c r="BQ384" s="290"/>
      <c r="BR384" s="290"/>
      <c r="BS384" s="290"/>
      <c r="BT384" s="290"/>
      <c r="BU384" s="290"/>
      <c r="BV384" s="290"/>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row>
    <row r="385" customFormat="false" ht="15.75" hidden="false" customHeight="false" outlineLevel="0" collapsed="false">
      <c r="A385" s="290"/>
      <c r="B385" s="290"/>
      <c r="C385" s="290"/>
      <c r="D385" s="290"/>
      <c r="E385" s="290"/>
      <c r="F385" s="290"/>
      <c r="G385" s="290"/>
      <c r="H385" s="290"/>
      <c r="I385" s="290"/>
      <c r="J385" s="3"/>
      <c r="K385" s="290"/>
      <c r="L385" s="290"/>
      <c r="M385" s="290"/>
      <c r="N385" s="290"/>
      <c r="O385" s="290"/>
      <c r="P385" s="290"/>
      <c r="Q385" s="290"/>
      <c r="R385" s="290"/>
      <c r="S385" s="290"/>
      <c r="T385" s="290"/>
      <c r="U385" s="290"/>
      <c r="V385" s="290"/>
      <c r="W385" s="290"/>
      <c r="X385" s="290"/>
      <c r="Y385" s="290"/>
      <c r="Z385" s="290"/>
      <c r="AA385" s="290"/>
      <c r="AB385" s="290"/>
      <c r="AC385" s="290"/>
      <c r="AD385" s="290"/>
      <c r="AE385" s="290"/>
      <c r="AF385" s="290"/>
      <c r="AG385" s="290"/>
      <c r="AH385" s="290"/>
      <c r="AI385" s="290"/>
      <c r="AJ385" s="290"/>
      <c r="AK385" s="290"/>
      <c r="AL385" s="290"/>
      <c r="AM385" s="290"/>
      <c r="AN385" s="290"/>
      <c r="AO385" s="290"/>
      <c r="AP385" s="290"/>
      <c r="AQ385" s="290"/>
      <c r="AR385" s="290"/>
      <c r="AS385" s="290"/>
      <c r="AT385" s="290"/>
      <c r="AU385" s="290"/>
      <c r="AV385" s="290"/>
      <c r="AW385" s="290"/>
      <c r="AX385" s="290"/>
      <c r="AY385" s="290"/>
      <c r="AZ385" s="290"/>
      <c r="BA385" s="290"/>
      <c r="BB385" s="290"/>
      <c r="BC385" s="290"/>
      <c r="BD385" s="290"/>
      <c r="BE385" s="290"/>
      <c r="BF385" s="290"/>
      <c r="BG385" s="290"/>
      <c r="BH385" s="290"/>
      <c r="BI385" s="290"/>
      <c r="BJ385" s="290"/>
      <c r="BK385" s="290"/>
      <c r="BL385" s="290"/>
      <c r="BM385" s="290"/>
      <c r="BN385" s="290"/>
      <c r="BO385" s="290"/>
      <c r="BP385" s="290"/>
      <c r="BQ385" s="290"/>
      <c r="BR385" s="290"/>
      <c r="BS385" s="290"/>
      <c r="BT385" s="290"/>
      <c r="BU385" s="290"/>
      <c r="BV385" s="290"/>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row>
    <row r="386" customFormat="false" ht="15.75" hidden="false" customHeight="false" outlineLevel="0" collapsed="false">
      <c r="A386" s="290"/>
      <c r="B386" s="290"/>
      <c r="C386" s="290"/>
      <c r="D386" s="290"/>
      <c r="E386" s="290"/>
      <c r="F386" s="290"/>
      <c r="G386" s="290"/>
      <c r="H386" s="290"/>
      <c r="I386" s="290"/>
      <c r="J386" s="3"/>
      <c r="K386" s="290"/>
      <c r="L386" s="290"/>
      <c r="M386" s="290"/>
      <c r="N386" s="290"/>
      <c r="O386" s="290"/>
      <c r="P386" s="290"/>
      <c r="Q386" s="290"/>
      <c r="R386" s="290"/>
      <c r="S386" s="290"/>
      <c r="T386" s="290"/>
      <c r="U386" s="290"/>
      <c r="V386" s="290"/>
      <c r="W386" s="290"/>
      <c r="X386" s="290"/>
      <c r="Y386" s="290"/>
      <c r="Z386" s="290"/>
      <c r="AA386" s="290"/>
      <c r="AB386" s="290"/>
      <c r="AC386" s="290"/>
      <c r="AD386" s="290"/>
      <c r="AE386" s="290"/>
      <c r="AF386" s="290"/>
      <c r="AG386" s="290"/>
      <c r="AH386" s="290"/>
      <c r="AI386" s="290"/>
      <c r="AJ386" s="290"/>
      <c r="AK386" s="290"/>
      <c r="AL386" s="290"/>
      <c r="AM386" s="290"/>
      <c r="AN386" s="290"/>
      <c r="AO386" s="290"/>
      <c r="AP386" s="290"/>
      <c r="AQ386" s="290"/>
      <c r="AR386" s="290"/>
      <c r="AS386" s="290"/>
      <c r="AT386" s="290"/>
      <c r="AU386" s="290"/>
      <c r="AV386" s="290"/>
      <c r="AW386" s="290"/>
      <c r="AX386" s="290"/>
      <c r="AY386" s="290"/>
      <c r="AZ386" s="290"/>
      <c r="BA386" s="290"/>
      <c r="BB386" s="290"/>
      <c r="BC386" s="290"/>
      <c r="BD386" s="290"/>
      <c r="BE386" s="290"/>
      <c r="BF386" s="290"/>
      <c r="BG386" s="290"/>
      <c r="BH386" s="290"/>
      <c r="BI386" s="290"/>
      <c r="BJ386" s="290"/>
      <c r="BK386" s="290"/>
      <c r="BL386" s="290"/>
      <c r="BM386" s="290"/>
      <c r="BN386" s="290"/>
      <c r="BO386" s="290"/>
      <c r="BP386" s="290"/>
      <c r="BQ386" s="290"/>
      <c r="BR386" s="290"/>
      <c r="BS386" s="290"/>
      <c r="BT386" s="290"/>
      <c r="BU386" s="290"/>
      <c r="BV386" s="290"/>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row>
    <row r="387" customFormat="false" ht="15.75" hidden="false" customHeight="false" outlineLevel="0" collapsed="false">
      <c r="A387" s="290"/>
      <c r="B387" s="290"/>
      <c r="C387" s="290"/>
      <c r="D387" s="290"/>
      <c r="E387" s="290"/>
      <c r="F387" s="290"/>
      <c r="G387" s="290"/>
      <c r="H387" s="290"/>
      <c r="I387" s="290"/>
      <c r="J387" s="3"/>
      <c r="K387" s="290"/>
      <c r="L387" s="290"/>
      <c r="M387" s="290"/>
      <c r="N387" s="290"/>
      <c r="O387" s="290"/>
      <c r="P387" s="290"/>
      <c r="Q387" s="290"/>
      <c r="R387" s="290"/>
      <c r="S387" s="290"/>
      <c r="T387" s="290"/>
      <c r="U387" s="290"/>
      <c r="V387" s="290"/>
      <c r="W387" s="290"/>
      <c r="X387" s="290"/>
      <c r="Y387" s="290"/>
      <c r="Z387" s="290"/>
      <c r="AA387" s="290"/>
      <c r="AB387" s="290"/>
      <c r="AC387" s="290"/>
      <c r="AD387" s="290"/>
      <c r="AE387" s="290"/>
      <c r="AF387" s="290"/>
      <c r="AG387" s="290"/>
      <c r="AH387" s="290"/>
      <c r="AI387" s="290"/>
      <c r="AJ387" s="290"/>
      <c r="AK387" s="290"/>
      <c r="AL387" s="290"/>
      <c r="AM387" s="290"/>
      <c r="AN387" s="290"/>
      <c r="AO387" s="290"/>
      <c r="AP387" s="290"/>
      <c r="AQ387" s="290"/>
      <c r="AR387" s="290"/>
      <c r="AS387" s="290"/>
      <c r="AT387" s="290"/>
      <c r="AU387" s="290"/>
      <c r="AV387" s="290"/>
      <c r="AW387" s="290"/>
      <c r="AX387" s="290"/>
      <c r="AY387" s="290"/>
      <c r="AZ387" s="290"/>
      <c r="BA387" s="290"/>
      <c r="BB387" s="290"/>
      <c r="BC387" s="290"/>
      <c r="BD387" s="290"/>
      <c r="BE387" s="290"/>
      <c r="BF387" s="290"/>
      <c r="BG387" s="290"/>
      <c r="BH387" s="290"/>
      <c r="BI387" s="290"/>
      <c r="BJ387" s="290"/>
      <c r="BK387" s="290"/>
      <c r="BL387" s="290"/>
      <c r="BM387" s="290"/>
      <c r="BN387" s="290"/>
      <c r="BO387" s="290"/>
      <c r="BP387" s="290"/>
      <c r="BQ387" s="290"/>
      <c r="BR387" s="290"/>
      <c r="BS387" s="290"/>
      <c r="BT387" s="290"/>
      <c r="BU387" s="290"/>
      <c r="BV387" s="290"/>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row>
    <row r="388" customFormat="false" ht="15.75" hidden="false" customHeight="false" outlineLevel="0" collapsed="false">
      <c r="A388" s="290"/>
      <c r="B388" s="290"/>
      <c r="C388" s="290"/>
      <c r="D388" s="290"/>
      <c r="E388" s="290"/>
      <c r="F388" s="290"/>
      <c r="G388" s="290"/>
      <c r="H388" s="290"/>
      <c r="I388" s="290"/>
      <c r="J388" s="3"/>
      <c r="K388" s="290"/>
      <c r="L388" s="290"/>
      <c r="M388" s="290"/>
      <c r="N388" s="290"/>
      <c r="O388" s="290"/>
      <c r="P388" s="290"/>
      <c r="Q388" s="290"/>
      <c r="R388" s="290"/>
      <c r="S388" s="290"/>
      <c r="T388" s="290"/>
      <c r="U388" s="290"/>
      <c r="V388" s="290"/>
      <c r="W388" s="290"/>
      <c r="X388" s="290"/>
      <c r="Y388" s="290"/>
      <c r="Z388" s="290"/>
      <c r="AA388" s="290"/>
      <c r="AB388" s="290"/>
      <c r="AC388" s="290"/>
      <c r="AD388" s="290"/>
      <c r="AE388" s="290"/>
      <c r="AF388" s="290"/>
      <c r="AG388" s="290"/>
      <c r="AH388" s="290"/>
      <c r="AI388" s="290"/>
      <c r="AJ388" s="290"/>
      <c r="AK388" s="290"/>
      <c r="AL388" s="290"/>
      <c r="AM388" s="290"/>
      <c r="AN388" s="290"/>
      <c r="AO388" s="290"/>
      <c r="AP388" s="290"/>
      <c r="AQ388" s="290"/>
      <c r="AR388" s="290"/>
      <c r="AS388" s="290"/>
      <c r="AT388" s="290"/>
      <c r="AU388" s="290"/>
      <c r="AV388" s="290"/>
      <c r="AW388" s="290"/>
      <c r="AX388" s="290"/>
      <c r="AY388" s="290"/>
      <c r="AZ388" s="290"/>
      <c r="BA388" s="290"/>
      <c r="BB388" s="290"/>
      <c r="BC388" s="290"/>
      <c r="BD388" s="290"/>
      <c r="BE388" s="290"/>
      <c r="BF388" s="290"/>
      <c r="BG388" s="290"/>
      <c r="BH388" s="290"/>
      <c r="BI388" s="290"/>
      <c r="BJ388" s="290"/>
      <c r="BK388" s="290"/>
      <c r="BL388" s="290"/>
      <c r="BM388" s="290"/>
      <c r="BN388" s="290"/>
      <c r="BO388" s="290"/>
      <c r="BP388" s="290"/>
      <c r="BQ388" s="290"/>
      <c r="BR388" s="290"/>
      <c r="BS388" s="290"/>
      <c r="BT388" s="290"/>
      <c r="BU388" s="290"/>
      <c r="BV388" s="290"/>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row>
    <row r="389" customFormat="false" ht="15.75" hidden="false" customHeight="false" outlineLevel="0" collapsed="false">
      <c r="A389" s="290"/>
      <c r="B389" s="290"/>
      <c r="C389" s="290"/>
      <c r="D389" s="290"/>
      <c r="E389" s="290"/>
      <c r="F389" s="290"/>
      <c r="G389" s="290"/>
      <c r="H389" s="290"/>
      <c r="I389" s="290"/>
      <c r="J389" s="3"/>
      <c r="K389" s="290"/>
      <c r="L389" s="290"/>
      <c r="M389" s="290"/>
      <c r="N389" s="290"/>
      <c r="O389" s="290"/>
      <c r="P389" s="290"/>
      <c r="Q389" s="290"/>
      <c r="R389" s="290"/>
      <c r="S389" s="290"/>
      <c r="T389" s="290"/>
      <c r="U389" s="290"/>
      <c r="V389" s="290"/>
      <c r="W389" s="290"/>
      <c r="X389" s="290"/>
      <c r="Y389" s="290"/>
      <c r="Z389" s="290"/>
      <c r="AA389" s="290"/>
      <c r="AB389" s="290"/>
      <c r="AC389" s="290"/>
      <c r="AD389" s="290"/>
      <c r="AE389" s="290"/>
      <c r="AF389" s="290"/>
      <c r="AG389" s="290"/>
      <c r="AH389" s="290"/>
      <c r="AI389" s="290"/>
      <c r="AJ389" s="290"/>
      <c r="AK389" s="290"/>
      <c r="AL389" s="290"/>
      <c r="AM389" s="290"/>
      <c r="AN389" s="290"/>
      <c r="AO389" s="290"/>
      <c r="AP389" s="290"/>
      <c r="AQ389" s="290"/>
      <c r="AR389" s="290"/>
      <c r="AS389" s="290"/>
      <c r="AT389" s="290"/>
      <c r="AU389" s="290"/>
      <c r="AV389" s="290"/>
      <c r="AW389" s="290"/>
      <c r="AX389" s="290"/>
      <c r="AY389" s="290"/>
      <c r="AZ389" s="290"/>
      <c r="BA389" s="290"/>
      <c r="BB389" s="290"/>
      <c r="BC389" s="290"/>
      <c r="BD389" s="290"/>
      <c r="BE389" s="290"/>
      <c r="BF389" s="290"/>
      <c r="BG389" s="290"/>
      <c r="BH389" s="290"/>
      <c r="BI389" s="290"/>
      <c r="BJ389" s="290"/>
      <c r="BK389" s="290"/>
      <c r="BL389" s="290"/>
      <c r="BM389" s="290"/>
      <c r="BN389" s="290"/>
      <c r="BO389" s="290"/>
      <c r="BP389" s="290"/>
      <c r="BQ389" s="290"/>
      <c r="BR389" s="290"/>
      <c r="BS389" s="290"/>
      <c r="BT389" s="290"/>
      <c r="BU389" s="290"/>
      <c r="BV389" s="290"/>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row>
    <row r="390" customFormat="false" ht="15.75" hidden="false" customHeight="false" outlineLevel="0" collapsed="false">
      <c r="A390" s="290"/>
      <c r="B390" s="290"/>
      <c r="C390" s="290"/>
      <c r="D390" s="290"/>
      <c r="E390" s="290"/>
      <c r="F390" s="290"/>
      <c r="G390" s="290"/>
      <c r="H390" s="290"/>
      <c r="I390" s="290"/>
      <c r="J390" s="3"/>
      <c r="K390" s="290"/>
      <c r="L390" s="290"/>
      <c r="M390" s="290"/>
      <c r="N390" s="290"/>
      <c r="O390" s="290"/>
      <c r="P390" s="290"/>
      <c r="Q390" s="290"/>
      <c r="R390" s="290"/>
      <c r="S390" s="290"/>
      <c r="T390" s="290"/>
      <c r="U390" s="290"/>
      <c r="V390" s="290"/>
      <c r="W390" s="290"/>
      <c r="X390" s="290"/>
      <c r="Y390" s="290"/>
      <c r="Z390" s="290"/>
      <c r="AA390" s="290"/>
      <c r="AB390" s="290"/>
      <c r="AC390" s="290"/>
      <c r="AD390" s="290"/>
      <c r="AE390" s="290"/>
      <c r="AF390" s="290"/>
      <c r="AG390" s="290"/>
      <c r="AH390" s="290"/>
      <c r="AI390" s="290"/>
      <c r="AJ390" s="290"/>
      <c r="AK390" s="290"/>
      <c r="AL390" s="290"/>
      <c r="AM390" s="290"/>
      <c r="AN390" s="290"/>
      <c r="AO390" s="290"/>
      <c r="AP390" s="290"/>
      <c r="AQ390" s="290"/>
      <c r="AR390" s="290"/>
      <c r="AS390" s="290"/>
      <c r="AT390" s="290"/>
      <c r="AU390" s="290"/>
      <c r="AV390" s="290"/>
      <c r="AW390" s="290"/>
      <c r="AX390" s="290"/>
      <c r="AY390" s="290"/>
      <c r="AZ390" s="290"/>
      <c r="BA390" s="290"/>
      <c r="BB390" s="290"/>
      <c r="BC390" s="290"/>
      <c r="BD390" s="290"/>
      <c r="BE390" s="290"/>
      <c r="BF390" s="290"/>
      <c r="BG390" s="290"/>
      <c r="BH390" s="290"/>
      <c r="BI390" s="290"/>
      <c r="BJ390" s="290"/>
      <c r="BK390" s="290"/>
      <c r="BL390" s="290"/>
      <c r="BM390" s="290"/>
      <c r="BN390" s="290"/>
      <c r="BO390" s="290"/>
      <c r="BP390" s="290"/>
      <c r="BQ390" s="290"/>
      <c r="BR390" s="290"/>
      <c r="BS390" s="290"/>
      <c r="BT390" s="290"/>
      <c r="BU390" s="290"/>
      <c r="BV390" s="290"/>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row>
    <row r="391" customFormat="false" ht="15.75" hidden="false" customHeight="false" outlineLevel="0" collapsed="false">
      <c r="A391" s="290"/>
      <c r="B391" s="290"/>
      <c r="C391" s="290"/>
      <c r="D391" s="290"/>
      <c r="E391" s="290"/>
      <c r="F391" s="290"/>
      <c r="G391" s="290"/>
      <c r="H391" s="290"/>
      <c r="I391" s="290"/>
      <c r="J391" s="3"/>
      <c r="K391" s="290"/>
      <c r="L391" s="290"/>
      <c r="M391" s="290"/>
      <c r="N391" s="290"/>
      <c r="O391" s="290"/>
      <c r="P391" s="290"/>
      <c r="Q391" s="290"/>
      <c r="R391" s="290"/>
      <c r="S391" s="290"/>
      <c r="T391" s="290"/>
      <c r="U391" s="290"/>
      <c r="V391" s="290"/>
      <c r="W391" s="290"/>
      <c r="X391" s="290"/>
      <c r="Y391" s="290"/>
      <c r="Z391" s="290"/>
      <c r="AA391" s="290"/>
      <c r="AB391" s="290"/>
      <c r="AC391" s="290"/>
      <c r="AD391" s="290"/>
      <c r="AE391" s="290"/>
      <c r="AF391" s="290"/>
      <c r="AG391" s="290"/>
      <c r="AH391" s="290"/>
      <c r="AI391" s="290"/>
      <c r="AJ391" s="290"/>
      <c r="AK391" s="290"/>
      <c r="AL391" s="290"/>
      <c r="AM391" s="290"/>
      <c r="AN391" s="290"/>
      <c r="AO391" s="290"/>
      <c r="AP391" s="290"/>
      <c r="AQ391" s="290"/>
      <c r="AR391" s="290"/>
      <c r="AS391" s="290"/>
      <c r="AT391" s="290"/>
      <c r="AU391" s="290"/>
      <c r="AV391" s="290"/>
      <c r="AW391" s="290"/>
      <c r="AX391" s="290"/>
      <c r="AY391" s="290"/>
      <c r="AZ391" s="290"/>
      <c r="BA391" s="290"/>
      <c r="BB391" s="290"/>
      <c r="BC391" s="290"/>
      <c r="BD391" s="290"/>
      <c r="BE391" s="290"/>
      <c r="BF391" s="290"/>
      <c r="BG391" s="290"/>
      <c r="BH391" s="290"/>
      <c r="BI391" s="290"/>
      <c r="BJ391" s="290"/>
      <c r="BK391" s="290"/>
      <c r="BL391" s="290"/>
      <c r="BM391" s="290"/>
      <c r="BN391" s="290"/>
      <c r="BO391" s="290"/>
      <c r="BP391" s="290"/>
      <c r="BQ391" s="290"/>
      <c r="BR391" s="290"/>
      <c r="BS391" s="290"/>
      <c r="BT391" s="290"/>
      <c r="BU391" s="290"/>
      <c r="BV391" s="290"/>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row>
    <row r="392" customFormat="false" ht="15.75" hidden="false" customHeight="false" outlineLevel="0" collapsed="false">
      <c r="A392" s="290"/>
      <c r="B392" s="290"/>
      <c r="C392" s="290"/>
      <c r="D392" s="290"/>
      <c r="E392" s="290"/>
      <c r="F392" s="290"/>
      <c r="G392" s="290"/>
      <c r="H392" s="290"/>
      <c r="I392" s="290"/>
      <c r="J392" s="3"/>
      <c r="K392" s="290"/>
      <c r="L392" s="290"/>
      <c r="M392" s="290"/>
      <c r="N392" s="290"/>
      <c r="O392" s="290"/>
      <c r="P392" s="290"/>
      <c r="Q392" s="290"/>
      <c r="R392" s="290"/>
      <c r="S392" s="290"/>
      <c r="T392" s="290"/>
      <c r="U392" s="290"/>
      <c r="V392" s="290"/>
      <c r="W392" s="290"/>
      <c r="X392" s="290"/>
      <c r="Y392" s="290"/>
      <c r="Z392" s="290"/>
      <c r="AA392" s="290"/>
      <c r="AB392" s="290"/>
      <c r="AC392" s="290"/>
      <c r="AD392" s="290"/>
      <c r="AE392" s="290"/>
      <c r="AF392" s="290"/>
      <c r="AG392" s="290"/>
      <c r="AH392" s="290"/>
      <c r="AI392" s="290"/>
      <c r="AJ392" s="290"/>
      <c r="AK392" s="290"/>
      <c r="AL392" s="290"/>
      <c r="AM392" s="290"/>
      <c r="AN392" s="290"/>
      <c r="AO392" s="290"/>
      <c r="AP392" s="290"/>
      <c r="AQ392" s="290"/>
      <c r="AR392" s="290"/>
      <c r="AS392" s="290"/>
      <c r="AT392" s="290"/>
      <c r="AU392" s="290"/>
      <c r="AV392" s="290"/>
      <c r="AW392" s="290"/>
      <c r="AX392" s="290"/>
      <c r="AY392" s="290"/>
      <c r="AZ392" s="290"/>
      <c r="BA392" s="290"/>
      <c r="BB392" s="290"/>
      <c r="BC392" s="290"/>
      <c r="BD392" s="290"/>
      <c r="BE392" s="290"/>
      <c r="BF392" s="290"/>
      <c r="BG392" s="290"/>
      <c r="BH392" s="290"/>
      <c r="BI392" s="290"/>
      <c r="BJ392" s="290"/>
      <c r="BK392" s="290"/>
      <c r="BL392" s="290"/>
      <c r="BM392" s="290"/>
      <c r="BN392" s="290"/>
      <c r="BO392" s="290"/>
      <c r="BP392" s="290"/>
      <c r="BQ392" s="290"/>
      <c r="BR392" s="290"/>
      <c r="BS392" s="290"/>
      <c r="BT392" s="290"/>
      <c r="BU392" s="290"/>
      <c r="BV392" s="290"/>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row>
    <row r="393" customFormat="false" ht="15.75" hidden="false" customHeight="false" outlineLevel="0" collapsed="false">
      <c r="A393" s="290"/>
      <c r="B393" s="290"/>
      <c r="C393" s="290"/>
      <c r="D393" s="290"/>
      <c r="E393" s="290"/>
      <c r="F393" s="290"/>
      <c r="G393" s="290"/>
      <c r="H393" s="290"/>
      <c r="I393" s="290"/>
      <c r="J393" s="3"/>
      <c r="K393" s="290"/>
      <c r="L393" s="290"/>
      <c r="M393" s="290"/>
      <c r="N393" s="290"/>
      <c r="O393" s="290"/>
      <c r="P393" s="290"/>
      <c r="Q393" s="290"/>
      <c r="R393" s="290"/>
      <c r="S393" s="290"/>
      <c r="T393" s="290"/>
      <c r="U393" s="290"/>
      <c r="V393" s="290"/>
      <c r="W393" s="290"/>
      <c r="X393" s="290"/>
      <c r="Y393" s="290"/>
      <c r="Z393" s="290"/>
      <c r="AA393" s="290"/>
      <c r="AB393" s="290"/>
      <c r="AC393" s="290"/>
      <c r="AD393" s="290"/>
      <c r="AE393" s="290"/>
      <c r="AF393" s="290"/>
      <c r="AG393" s="290"/>
      <c r="AH393" s="290"/>
      <c r="AI393" s="290"/>
      <c r="AJ393" s="290"/>
      <c r="AK393" s="290"/>
      <c r="AL393" s="290"/>
      <c r="AM393" s="290"/>
      <c r="AN393" s="290"/>
      <c r="AO393" s="290"/>
      <c r="AP393" s="290"/>
      <c r="AQ393" s="290"/>
      <c r="AR393" s="290"/>
      <c r="AS393" s="290"/>
      <c r="AT393" s="290"/>
      <c r="AU393" s="290"/>
      <c r="AV393" s="290"/>
      <c r="AW393" s="290"/>
      <c r="AX393" s="290"/>
      <c r="AY393" s="290"/>
      <c r="AZ393" s="290"/>
      <c r="BA393" s="290"/>
      <c r="BB393" s="290"/>
      <c r="BC393" s="290"/>
      <c r="BD393" s="290"/>
      <c r="BE393" s="290"/>
      <c r="BF393" s="290"/>
      <c r="BG393" s="290"/>
      <c r="BH393" s="290"/>
      <c r="BI393" s="290"/>
      <c r="BJ393" s="290"/>
      <c r="BK393" s="290"/>
      <c r="BL393" s="290"/>
      <c r="BM393" s="290"/>
      <c r="BN393" s="290"/>
      <c r="BO393" s="290"/>
      <c r="BP393" s="290"/>
      <c r="BQ393" s="290"/>
      <c r="BR393" s="290"/>
      <c r="BS393" s="290"/>
      <c r="BT393" s="290"/>
      <c r="BU393" s="290"/>
      <c r="BV393" s="290"/>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row>
    <row r="394" customFormat="false" ht="15.75" hidden="false" customHeight="false" outlineLevel="0" collapsed="false">
      <c r="A394" s="290"/>
      <c r="B394" s="290"/>
      <c r="C394" s="290"/>
      <c r="D394" s="290"/>
      <c r="E394" s="290"/>
      <c r="F394" s="290"/>
      <c r="G394" s="290"/>
      <c r="H394" s="290"/>
      <c r="I394" s="290"/>
      <c r="J394" s="3"/>
      <c r="K394" s="290"/>
      <c r="L394" s="290"/>
      <c r="M394" s="290"/>
      <c r="N394" s="290"/>
      <c r="O394" s="290"/>
      <c r="P394" s="290"/>
      <c r="Q394" s="290"/>
      <c r="R394" s="290"/>
      <c r="S394" s="290"/>
      <c r="T394" s="290"/>
      <c r="U394" s="290"/>
      <c r="V394" s="290"/>
      <c r="W394" s="290"/>
      <c r="X394" s="290"/>
      <c r="Y394" s="290"/>
      <c r="Z394" s="290"/>
      <c r="AA394" s="290"/>
      <c r="AB394" s="290"/>
      <c r="AC394" s="290"/>
      <c r="AD394" s="290"/>
      <c r="AE394" s="290"/>
      <c r="AF394" s="290"/>
      <c r="AG394" s="290"/>
      <c r="AH394" s="290"/>
      <c r="AI394" s="290"/>
      <c r="AJ394" s="290"/>
      <c r="AK394" s="290"/>
      <c r="AL394" s="290"/>
      <c r="AM394" s="290"/>
      <c r="AN394" s="290"/>
      <c r="AO394" s="290"/>
      <c r="AP394" s="290"/>
      <c r="AQ394" s="290"/>
      <c r="AR394" s="290"/>
      <c r="AS394" s="290"/>
      <c r="AT394" s="290"/>
      <c r="AU394" s="290"/>
      <c r="AV394" s="290"/>
      <c r="AW394" s="290"/>
      <c r="AX394" s="290"/>
      <c r="AY394" s="290"/>
      <c r="AZ394" s="290"/>
      <c r="BA394" s="290"/>
      <c r="BB394" s="290"/>
      <c r="BC394" s="290"/>
      <c r="BD394" s="290"/>
      <c r="BE394" s="290"/>
      <c r="BF394" s="290"/>
      <c r="BG394" s="290"/>
      <c r="BH394" s="290"/>
      <c r="BI394" s="290"/>
      <c r="BJ394" s="290"/>
      <c r="BK394" s="290"/>
      <c r="BL394" s="290"/>
      <c r="BM394" s="290"/>
      <c r="BN394" s="290"/>
      <c r="BO394" s="290"/>
      <c r="BP394" s="290"/>
      <c r="BQ394" s="290"/>
      <c r="BR394" s="290"/>
      <c r="BS394" s="290"/>
      <c r="BT394" s="290"/>
      <c r="BU394" s="290"/>
      <c r="BV394" s="290"/>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row>
    <row r="395" customFormat="false" ht="15.75" hidden="false" customHeight="false" outlineLevel="0" collapsed="false">
      <c r="A395" s="290"/>
      <c r="B395" s="290"/>
      <c r="C395" s="290"/>
      <c r="D395" s="290"/>
      <c r="E395" s="290"/>
      <c r="F395" s="290"/>
      <c r="G395" s="290"/>
      <c r="H395" s="290"/>
      <c r="I395" s="290"/>
      <c r="J395" s="3"/>
      <c r="K395" s="290"/>
      <c r="L395" s="290"/>
      <c r="M395" s="290"/>
      <c r="N395" s="290"/>
      <c r="O395" s="290"/>
      <c r="P395" s="290"/>
      <c r="Q395" s="290"/>
      <c r="R395" s="290"/>
      <c r="S395" s="290"/>
      <c r="T395" s="290"/>
      <c r="U395" s="290"/>
      <c r="V395" s="290"/>
      <c r="W395" s="290"/>
      <c r="X395" s="290"/>
      <c r="Y395" s="290"/>
      <c r="Z395" s="290"/>
      <c r="AA395" s="290"/>
      <c r="AB395" s="290"/>
      <c r="AC395" s="290"/>
      <c r="AD395" s="290"/>
      <c r="AE395" s="290"/>
      <c r="AF395" s="290"/>
      <c r="AG395" s="290"/>
      <c r="AH395" s="290"/>
      <c r="AI395" s="290"/>
      <c r="AJ395" s="290"/>
      <c r="AK395" s="290"/>
      <c r="AL395" s="290"/>
      <c r="AM395" s="290"/>
      <c r="AN395" s="290"/>
      <c r="AO395" s="290"/>
      <c r="AP395" s="290"/>
      <c r="AQ395" s="290"/>
      <c r="AR395" s="290"/>
      <c r="AS395" s="290"/>
      <c r="AT395" s="290"/>
      <c r="AU395" s="290"/>
      <c r="AV395" s="290"/>
      <c r="AW395" s="290"/>
      <c r="AX395" s="290"/>
      <c r="AY395" s="290"/>
      <c r="AZ395" s="290"/>
      <c r="BA395" s="290"/>
      <c r="BB395" s="290"/>
      <c r="BC395" s="290"/>
      <c r="BD395" s="290"/>
      <c r="BE395" s="290"/>
      <c r="BF395" s="290"/>
      <c r="BG395" s="290"/>
      <c r="BH395" s="290"/>
      <c r="BI395" s="290"/>
      <c r="BJ395" s="290"/>
      <c r="BK395" s="290"/>
      <c r="BL395" s="290"/>
      <c r="BM395" s="290"/>
      <c r="BN395" s="290"/>
      <c r="BO395" s="290"/>
      <c r="BP395" s="290"/>
      <c r="BQ395" s="290"/>
      <c r="BR395" s="290"/>
      <c r="BS395" s="290"/>
      <c r="BT395" s="290"/>
      <c r="BU395" s="290"/>
      <c r="BV395" s="290"/>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row>
    <row r="396" customFormat="false" ht="15.75" hidden="false" customHeight="false" outlineLevel="0" collapsed="false">
      <c r="A396" s="290"/>
      <c r="B396" s="290"/>
      <c r="C396" s="290"/>
      <c r="D396" s="290"/>
      <c r="E396" s="290"/>
      <c r="F396" s="290"/>
      <c r="G396" s="290"/>
      <c r="H396" s="290"/>
      <c r="I396" s="290"/>
      <c r="J396" s="3"/>
      <c r="K396" s="290"/>
      <c r="L396" s="290"/>
      <c r="M396" s="290"/>
      <c r="N396" s="290"/>
      <c r="O396" s="290"/>
      <c r="P396" s="290"/>
      <c r="Q396" s="290"/>
      <c r="R396" s="290"/>
      <c r="S396" s="290"/>
      <c r="T396" s="290"/>
      <c r="U396" s="290"/>
      <c r="V396" s="290"/>
      <c r="W396" s="290"/>
      <c r="X396" s="290"/>
      <c r="Y396" s="290"/>
      <c r="Z396" s="290"/>
      <c r="AA396" s="290"/>
      <c r="AB396" s="290"/>
      <c r="AC396" s="290"/>
      <c r="AD396" s="290"/>
      <c r="AE396" s="290"/>
      <c r="AF396" s="290"/>
      <c r="AG396" s="290"/>
      <c r="AH396" s="290"/>
      <c r="AI396" s="290"/>
      <c r="AJ396" s="290"/>
      <c r="AK396" s="290"/>
      <c r="AL396" s="290"/>
      <c r="AM396" s="290"/>
      <c r="AN396" s="290"/>
      <c r="AO396" s="290"/>
      <c r="AP396" s="290"/>
      <c r="AQ396" s="290"/>
      <c r="AR396" s="290"/>
      <c r="AS396" s="290"/>
      <c r="AT396" s="290"/>
      <c r="AU396" s="290"/>
      <c r="AV396" s="290"/>
      <c r="AW396" s="290"/>
      <c r="AX396" s="290"/>
      <c r="AY396" s="290"/>
      <c r="AZ396" s="290"/>
      <c r="BA396" s="290"/>
      <c r="BB396" s="290"/>
      <c r="BC396" s="290"/>
      <c r="BD396" s="290"/>
      <c r="BE396" s="290"/>
      <c r="BF396" s="290"/>
      <c r="BG396" s="290"/>
      <c r="BH396" s="290"/>
      <c r="BI396" s="290"/>
      <c r="BJ396" s="290"/>
      <c r="BK396" s="290"/>
      <c r="BL396" s="290"/>
      <c r="BM396" s="290"/>
      <c r="BN396" s="290"/>
      <c r="BO396" s="290"/>
      <c r="BP396" s="290"/>
      <c r="BQ396" s="290"/>
      <c r="BR396" s="290"/>
      <c r="BS396" s="290"/>
      <c r="BT396" s="290"/>
      <c r="BU396" s="290"/>
      <c r="BV396" s="290"/>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row>
    <row r="397" customFormat="false" ht="15.75" hidden="false" customHeight="false" outlineLevel="0" collapsed="false">
      <c r="A397" s="290"/>
      <c r="B397" s="290"/>
      <c r="C397" s="290"/>
      <c r="D397" s="290"/>
      <c r="E397" s="290"/>
      <c r="F397" s="290"/>
      <c r="G397" s="290"/>
      <c r="H397" s="290"/>
      <c r="I397" s="290"/>
      <c r="J397" s="3"/>
      <c r="K397" s="290"/>
      <c r="L397" s="290"/>
      <c r="M397" s="290"/>
      <c r="N397" s="290"/>
      <c r="O397" s="290"/>
      <c r="P397" s="290"/>
      <c r="Q397" s="290"/>
      <c r="R397" s="290"/>
      <c r="S397" s="290"/>
      <c r="T397" s="290"/>
      <c r="U397" s="290"/>
      <c r="V397" s="290"/>
      <c r="W397" s="290"/>
      <c r="X397" s="290"/>
      <c r="Y397" s="290"/>
      <c r="Z397" s="290"/>
      <c r="AA397" s="290"/>
      <c r="AB397" s="290"/>
      <c r="AC397" s="290"/>
      <c r="AD397" s="290"/>
      <c r="AE397" s="290"/>
      <c r="AF397" s="290"/>
      <c r="AG397" s="290"/>
      <c r="AH397" s="290"/>
      <c r="AI397" s="290"/>
      <c r="AJ397" s="290"/>
      <c r="AK397" s="290"/>
      <c r="AL397" s="290"/>
      <c r="AM397" s="290"/>
      <c r="AN397" s="290"/>
      <c r="AO397" s="290"/>
      <c r="AP397" s="290"/>
      <c r="AQ397" s="290"/>
      <c r="AR397" s="290"/>
      <c r="AS397" s="290"/>
      <c r="AT397" s="290"/>
      <c r="AU397" s="290"/>
      <c r="AV397" s="290"/>
      <c r="AW397" s="290"/>
      <c r="AX397" s="290"/>
      <c r="AY397" s="290"/>
      <c r="AZ397" s="290"/>
      <c r="BA397" s="290"/>
      <c r="BB397" s="290"/>
      <c r="BC397" s="290"/>
      <c r="BD397" s="290"/>
      <c r="BE397" s="290"/>
      <c r="BF397" s="290"/>
      <c r="BG397" s="290"/>
      <c r="BH397" s="290"/>
      <c r="BI397" s="290"/>
      <c r="BJ397" s="290"/>
      <c r="BK397" s="290"/>
      <c r="BL397" s="290"/>
      <c r="BM397" s="290"/>
      <c r="BN397" s="290"/>
      <c r="BO397" s="290"/>
      <c r="BP397" s="290"/>
      <c r="BQ397" s="290"/>
      <c r="BR397" s="290"/>
      <c r="BS397" s="290"/>
      <c r="BT397" s="290"/>
      <c r="BU397" s="290"/>
      <c r="BV397" s="290"/>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row>
    <row r="398" customFormat="false" ht="15.75" hidden="false" customHeight="false" outlineLevel="0" collapsed="false">
      <c r="A398" s="290"/>
      <c r="B398" s="290"/>
      <c r="C398" s="290"/>
      <c r="D398" s="290"/>
      <c r="E398" s="290"/>
      <c r="F398" s="290"/>
      <c r="G398" s="290"/>
      <c r="H398" s="290"/>
      <c r="I398" s="290"/>
      <c r="J398" s="3"/>
      <c r="K398" s="290"/>
      <c r="L398" s="290"/>
      <c r="M398" s="290"/>
      <c r="N398" s="290"/>
      <c r="O398" s="290"/>
      <c r="P398" s="290"/>
      <c r="Q398" s="290"/>
      <c r="R398" s="290"/>
      <c r="S398" s="290"/>
      <c r="T398" s="290"/>
      <c r="U398" s="290"/>
      <c r="V398" s="290"/>
      <c r="W398" s="290"/>
      <c r="X398" s="290"/>
      <c r="Y398" s="290"/>
      <c r="Z398" s="290"/>
      <c r="AA398" s="290"/>
      <c r="AB398" s="290"/>
      <c r="AC398" s="290"/>
      <c r="AD398" s="290"/>
      <c r="AE398" s="290"/>
      <c r="AF398" s="290"/>
      <c r="AG398" s="290"/>
      <c r="AH398" s="290"/>
      <c r="AI398" s="290"/>
      <c r="AJ398" s="290"/>
      <c r="AK398" s="290"/>
      <c r="AL398" s="290"/>
      <c r="AM398" s="290"/>
      <c r="AN398" s="290"/>
      <c r="AO398" s="290"/>
      <c r="AP398" s="290"/>
      <c r="AQ398" s="290"/>
      <c r="AR398" s="290"/>
      <c r="AS398" s="290"/>
      <c r="AT398" s="290"/>
      <c r="AU398" s="290"/>
      <c r="AV398" s="290"/>
      <c r="AW398" s="290"/>
      <c r="AX398" s="290"/>
      <c r="AY398" s="290"/>
      <c r="AZ398" s="290"/>
      <c r="BA398" s="290"/>
      <c r="BB398" s="290"/>
      <c r="BC398" s="290"/>
      <c r="BD398" s="290"/>
      <c r="BE398" s="290"/>
      <c r="BF398" s="290"/>
      <c r="BG398" s="290"/>
      <c r="BH398" s="290"/>
      <c r="BI398" s="290"/>
      <c r="BJ398" s="290"/>
      <c r="BK398" s="290"/>
      <c r="BL398" s="290"/>
      <c r="BM398" s="290"/>
      <c r="BN398" s="290"/>
      <c r="BO398" s="290"/>
      <c r="BP398" s="290"/>
      <c r="BQ398" s="290"/>
      <c r="BR398" s="290"/>
      <c r="BS398" s="290"/>
      <c r="BT398" s="290"/>
      <c r="BU398" s="290"/>
      <c r="BV398" s="290"/>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row>
    <row r="399" customFormat="false" ht="15.75" hidden="false" customHeight="false" outlineLevel="0" collapsed="false">
      <c r="A399" s="290"/>
      <c r="B399" s="290"/>
      <c r="C399" s="290"/>
      <c r="D399" s="290"/>
      <c r="E399" s="290"/>
      <c r="F399" s="290"/>
      <c r="G399" s="290"/>
      <c r="H399" s="290"/>
      <c r="I399" s="290"/>
      <c r="J399" s="3"/>
      <c r="K399" s="290"/>
      <c r="L399" s="290"/>
      <c r="M399" s="290"/>
      <c r="N399" s="290"/>
      <c r="O399" s="290"/>
      <c r="P399" s="290"/>
      <c r="Q399" s="290"/>
      <c r="R399" s="290"/>
      <c r="S399" s="290"/>
      <c r="T399" s="290"/>
      <c r="U399" s="290"/>
      <c r="V399" s="290"/>
      <c r="W399" s="290"/>
      <c r="X399" s="290"/>
      <c r="Y399" s="290"/>
      <c r="Z399" s="290"/>
      <c r="AA399" s="290"/>
      <c r="AB399" s="290"/>
      <c r="AC399" s="290"/>
      <c r="AD399" s="290"/>
      <c r="AE399" s="290"/>
      <c r="AF399" s="290"/>
      <c r="AG399" s="290"/>
      <c r="AH399" s="290"/>
      <c r="AI399" s="290"/>
      <c r="AJ399" s="290"/>
      <c r="AK399" s="290"/>
      <c r="AL399" s="290"/>
      <c r="AM399" s="290"/>
      <c r="AN399" s="290"/>
      <c r="AO399" s="290"/>
      <c r="AP399" s="290"/>
      <c r="AQ399" s="290"/>
      <c r="AR399" s="290"/>
      <c r="AS399" s="290"/>
      <c r="AT399" s="290"/>
      <c r="AU399" s="290"/>
      <c r="AV399" s="290"/>
      <c r="AW399" s="290"/>
      <c r="AX399" s="290"/>
      <c r="AY399" s="290"/>
      <c r="AZ399" s="290"/>
      <c r="BA399" s="290"/>
      <c r="BB399" s="290"/>
      <c r="BC399" s="290"/>
      <c r="BD399" s="290"/>
      <c r="BE399" s="290"/>
      <c r="BF399" s="290"/>
      <c r="BG399" s="290"/>
      <c r="BH399" s="290"/>
      <c r="BI399" s="290"/>
      <c r="BJ399" s="290"/>
      <c r="BK399" s="290"/>
      <c r="BL399" s="290"/>
      <c r="BM399" s="290"/>
      <c r="BN399" s="290"/>
      <c r="BO399" s="290"/>
      <c r="BP399" s="290"/>
      <c r="BQ399" s="290"/>
      <c r="BR399" s="290"/>
      <c r="BS399" s="290"/>
      <c r="BT399" s="290"/>
      <c r="BU399" s="290"/>
      <c r="BV399" s="290"/>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row>
    <row r="400" customFormat="false" ht="15.75" hidden="false" customHeight="false" outlineLevel="0" collapsed="false">
      <c r="A400" s="290"/>
      <c r="B400" s="290"/>
      <c r="C400" s="290"/>
      <c r="D400" s="290"/>
      <c r="E400" s="290"/>
      <c r="F400" s="290"/>
      <c r="G400" s="290"/>
      <c r="H400" s="290"/>
      <c r="I400" s="290"/>
      <c r="J400" s="3"/>
      <c r="K400" s="290"/>
      <c r="L400" s="290"/>
      <c r="M400" s="290"/>
      <c r="N400" s="290"/>
      <c r="O400" s="290"/>
      <c r="P400" s="290"/>
      <c r="Q400" s="290"/>
      <c r="R400" s="290"/>
      <c r="S400" s="290"/>
      <c r="T400" s="290"/>
      <c r="U400" s="290"/>
      <c r="V400" s="290"/>
      <c r="W400" s="290"/>
      <c r="X400" s="290"/>
      <c r="Y400" s="290"/>
      <c r="Z400" s="290"/>
      <c r="AA400" s="290"/>
      <c r="AB400" s="290"/>
      <c r="AC400" s="290"/>
      <c r="AD400" s="290"/>
      <c r="AE400" s="290"/>
      <c r="AF400" s="290"/>
      <c r="AG400" s="290"/>
      <c r="AH400" s="290"/>
      <c r="AI400" s="290"/>
      <c r="AJ400" s="290"/>
      <c r="AK400" s="290"/>
      <c r="AL400" s="290"/>
      <c r="AM400" s="290"/>
      <c r="AN400" s="290"/>
      <c r="AO400" s="290"/>
      <c r="AP400" s="290"/>
      <c r="AQ400" s="290"/>
      <c r="AR400" s="290"/>
      <c r="AS400" s="290"/>
      <c r="AT400" s="290"/>
      <c r="AU400" s="290"/>
      <c r="AV400" s="290"/>
      <c r="AW400" s="290"/>
      <c r="AX400" s="290"/>
      <c r="AY400" s="290"/>
      <c r="AZ400" s="290"/>
      <c r="BA400" s="290"/>
      <c r="BB400" s="290"/>
      <c r="BC400" s="290"/>
      <c r="BD400" s="290"/>
      <c r="BE400" s="290"/>
      <c r="BF400" s="290"/>
      <c r="BG400" s="290"/>
      <c r="BH400" s="290"/>
      <c r="BI400" s="290"/>
      <c r="BJ400" s="290"/>
      <c r="BK400" s="290"/>
      <c r="BL400" s="290"/>
      <c r="BM400" s="290"/>
      <c r="BN400" s="290"/>
      <c r="BO400" s="290"/>
      <c r="BP400" s="290"/>
      <c r="BQ400" s="290"/>
      <c r="BR400" s="290"/>
      <c r="BS400" s="290"/>
      <c r="BT400" s="290"/>
      <c r="BU400" s="290"/>
      <c r="BV400" s="290"/>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row>
    <row r="401" customFormat="false" ht="15.75" hidden="false" customHeight="false" outlineLevel="0" collapsed="false">
      <c r="A401" s="290"/>
      <c r="B401" s="290"/>
      <c r="C401" s="290"/>
      <c r="D401" s="290"/>
      <c r="E401" s="290"/>
      <c r="F401" s="290"/>
      <c r="G401" s="290"/>
      <c r="H401" s="290"/>
      <c r="I401" s="290"/>
      <c r="J401" s="3"/>
      <c r="K401" s="290"/>
      <c r="L401" s="290"/>
      <c r="M401" s="290"/>
      <c r="N401" s="290"/>
      <c r="O401" s="290"/>
      <c r="P401" s="290"/>
      <c r="Q401" s="290"/>
      <c r="R401" s="290"/>
      <c r="S401" s="290"/>
      <c r="T401" s="290"/>
      <c r="U401" s="290"/>
      <c r="V401" s="290"/>
      <c r="W401" s="290"/>
      <c r="X401" s="290"/>
      <c r="Y401" s="290"/>
      <c r="Z401" s="290"/>
      <c r="AA401" s="290"/>
      <c r="AB401" s="290"/>
      <c r="AC401" s="290"/>
      <c r="AD401" s="290"/>
      <c r="AE401" s="290"/>
      <c r="AF401" s="290"/>
      <c r="AG401" s="290"/>
      <c r="AH401" s="290"/>
      <c r="AI401" s="290"/>
      <c r="AJ401" s="290"/>
      <c r="AK401" s="290"/>
      <c r="AL401" s="290"/>
      <c r="AM401" s="290"/>
      <c r="AN401" s="290"/>
      <c r="AO401" s="290"/>
      <c r="AP401" s="290"/>
      <c r="AQ401" s="290"/>
      <c r="AR401" s="290"/>
      <c r="AS401" s="290"/>
      <c r="AT401" s="290"/>
      <c r="AU401" s="290"/>
      <c r="AV401" s="290"/>
      <c r="AW401" s="290"/>
      <c r="AX401" s="290"/>
      <c r="AY401" s="290"/>
      <c r="AZ401" s="290"/>
      <c r="BA401" s="290"/>
      <c r="BB401" s="290"/>
      <c r="BC401" s="290"/>
      <c r="BD401" s="290"/>
      <c r="BE401" s="290"/>
      <c r="BF401" s="290"/>
      <c r="BG401" s="290"/>
      <c r="BH401" s="290"/>
      <c r="BI401" s="290"/>
      <c r="BJ401" s="290"/>
      <c r="BK401" s="290"/>
      <c r="BL401" s="290"/>
      <c r="BM401" s="290"/>
      <c r="BN401" s="290"/>
      <c r="BO401" s="290"/>
      <c r="BP401" s="290"/>
      <c r="BQ401" s="290"/>
      <c r="BR401" s="290"/>
      <c r="BS401" s="290"/>
      <c r="BT401" s="290"/>
      <c r="BU401" s="290"/>
      <c r="BV401" s="290"/>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row>
    <row r="402" customFormat="false" ht="15.75" hidden="false" customHeight="false" outlineLevel="0" collapsed="false">
      <c r="A402" s="290"/>
      <c r="B402" s="290"/>
      <c r="C402" s="290"/>
      <c r="D402" s="290"/>
      <c r="E402" s="290"/>
      <c r="F402" s="290"/>
      <c r="G402" s="290"/>
      <c r="H402" s="290"/>
      <c r="I402" s="290"/>
      <c r="J402" s="3"/>
      <c r="K402" s="290"/>
      <c r="L402" s="290"/>
      <c r="M402" s="290"/>
      <c r="N402" s="290"/>
      <c r="O402" s="290"/>
      <c r="P402" s="290"/>
      <c r="Q402" s="290"/>
      <c r="R402" s="290"/>
      <c r="S402" s="290"/>
      <c r="T402" s="290"/>
      <c r="U402" s="290"/>
      <c r="V402" s="290"/>
      <c r="W402" s="290"/>
      <c r="X402" s="290"/>
      <c r="Y402" s="290"/>
      <c r="Z402" s="290"/>
      <c r="AA402" s="290"/>
      <c r="AB402" s="290"/>
      <c r="AC402" s="290"/>
      <c r="AD402" s="290"/>
      <c r="AE402" s="290"/>
      <c r="AF402" s="290"/>
      <c r="AG402" s="290"/>
      <c r="AH402" s="290"/>
      <c r="AI402" s="290"/>
      <c r="AJ402" s="290"/>
      <c r="AK402" s="290"/>
      <c r="AL402" s="290"/>
      <c r="AM402" s="290"/>
      <c r="AN402" s="290"/>
      <c r="AO402" s="290"/>
      <c r="AP402" s="290"/>
      <c r="AQ402" s="290"/>
      <c r="AR402" s="290"/>
      <c r="AS402" s="290"/>
      <c r="AT402" s="290"/>
      <c r="AU402" s="290"/>
      <c r="AV402" s="290"/>
      <c r="AW402" s="290"/>
      <c r="AX402" s="290"/>
      <c r="AY402" s="290"/>
      <c r="AZ402" s="290"/>
      <c r="BA402" s="290"/>
      <c r="BB402" s="290"/>
      <c r="BC402" s="290"/>
      <c r="BD402" s="290"/>
      <c r="BE402" s="290"/>
      <c r="BF402" s="290"/>
      <c r="BG402" s="290"/>
      <c r="BH402" s="290"/>
      <c r="BI402" s="290"/>
      <c r="BJ402" s="290"/>
      <c r="BK402" s="290"/>
      <c r="BL402" s="290"/>
      <c r="BM402" s="290"/>
      <c r="BN402" s="290"/>
      <c r="BO402" s="290"/>
      <c r="BP402" s="290"/>
      <c r="BQ402" s="290"/>
      <c r="BR402" s="290"/>
      <c r="BS402" s="290"/>
      <c r="BT402" s="290"/>
      <c r="BU402" s="290"/>
      <c r="BV402" s="290"/>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row>
    <row r="403" customFormat="false" ht="15.75" hidden="false" customHeight="false" outlineLevel="0" collapsed="false">
      <c r="A403" s="290"/>
      <c r="B403" s="290"/>
      <c r="C403" s="290"/>
      <c r="D403" s="290"/>
      <c r="E403" s="290"/>
      <c r="F403" s="290"/>
      <c r="G403" s="290"/>
      <c r="H403" s="290"/>
      <c r="I403" s="290"/>
      <c r="J403" s="3"/>
      <c r="K403" s="290"/>
      <c r="L403" s="290"/>
      <c r="M403" s="290"/>
      <c r="N403" s="290"/>
      <c r="O403" s="290"/>
      <c r="P403" s="290"/>
      <c r="Q403" s="290"/>
      <c r="R403" s="290"/>
      <c r="S403" s="290"/>
      <c r="T403" s="290"/>
      <c r="U403" s="290"/>
      <c r="V403" s="290"/>
      <c r="W403" s="290"/>
      <c r="X403" s="290"/>
      <c r="Y403" s="290"/>
      <c r="Z403" s="290"/>
      <c r="AA403" s="290"/>
      <c r="AB403" s="290"/>
      <c r="AC403" s="290"/>
      <c r="AD403" s="290"/>
      <c r="AE403" s="290"/>
      <c r="AF403" s="290"/>
      <c r="AG403" s="290"/>
      <c r="AH403" s="290"/>
      <c r="AI403" s="290"/>
      <c r="AJ403" s="290"/>
      <c r="AK403" s="290"/>
      <c r="AL403" s="290"/>
      <c r="AM403" s="290"/>
      <c r="AN403" s="290"/>
      <c r="AO403" s="290"/>
      <c r="AP403" s="290"/>
      <c r="AQ403" s="290"/>
      <c r="AR403" s="290"/>
      <c r="AS403" s="290"/>
      <c r="AT403" s="290"/>
      <c r="AU403" s="290"/>
      <c r="AV403" s="290"/>
      <c r="AW403" s="290"/>
      <c r="AX403" s="290"/>
      <c r="AY403" s="290"/>
      <c r="AZ403" s="290"/>
      <c r="BA403" s="290"/>
      <c r="BB403" s="290"/>
      <c r="BC403" s="290"/>
      <c r="BD403" s="290"/>
      <c r="BE403" s="290"/>
      <c r="BF403" s="290"/>
      <c r="BG403" s="290"/>
      <c r="BH403" s="290"/>
      <c r="BI403" s="290"/>
      <c r="BJ403" s="290"/>
      <c r="BK403" s="290"/>
      <c r="BL403" s="290"/>
      <c r="BM403" s="290"/>
      <c r="BN403" s="290"/>
      <c r="BO403" s="290"/>
      <c r="BP403" s="290"/>
      <c r="BQ403" s="290"/>
      <c r="BR403" s="290"/>
      <c r="BS403" s="290"/>
      <c r="BT403" s="290"/>
      <c r="BU403" s="290"/>
      <c r="BV403" s="290"/>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row>
    <row r="404" customFormat="false" ht="15.75" hidden="false" customHeight="false" outlineLevel="0" collapsed="false">
      <c r="A404" s="290"/>
      <c r="B404" s="290"/>
      <c r="C404" s="290"/>
      <c r="D404" s="290"/>
      <c r="E404" s="290"/>
      <c r="F404" s="290"/>
      <c r="G404" s="290"/>
      <c r="H404" s="290"/>
      <c r="I404" s="290"/>
      <c r="J404" s="3"/>
      <c r="K404" s="290"/>
      <c r="L404" s="290"/>
      <c r="M404" s="290"/>
      <c r="N404" s="290"/>
      <c r="O404" s="290"/>
      <c r="P404" s="290"/>
      <c r="Q404" s="290"/>
      <c r="R404" s="290"/>
      <c r="S404" s="290"/>
      <c r="T404" s="290"/>
      <c r="U404" s="290"/>
      <c r="V404" s="290"/>
      <c r="W404" s="290"/>
      <c r="X404" s="290"/>
      <c r="Y404" s="290"/>
      <c r="Z404" s="290"/>
      <c r="AA404" s="290"/>
      <c r="AB404" s="290"/>
      <c r="AC404" s="290"/>
      <c r="AD404" s="290"/>
      <c r="AE404" s="290"/>
      <c r="AF404" s="290"/>
      <c r="AG404" s="290"/>
      <c r="AH404" s="290"/>
      <c r="AI404" s="290"/>
      <c r="AJ404" s="290"/>
      <c r="AK404" s="290"/>
      <c r="AL404" s="290"/>
      <c r="AM404" s="290"/>
      <c r="AN404" s="290"/>
      <c r="AO404" s="290"/>
      <c r="AP404" s="290"/>
      <c r="AQ404" s="290"/>
      <c r="AR404" s="290"/>
      <c r="AS404" s="290"/>
      <c r="AT404" s="290"/>
      <c r="AU404" s="290"/>
      <c r="AV404" s="290"/>
      <c r="AW404" s="290"/>
      <c r="AX404" s="290"/>
      <c r="AY404" s="290"/>
      <c r="AZ404" s="290"/>
      <c r="BA404" s="290"/>
      <c r="BB404" s="290"/>
      <c r="BC404" s="290"/>
      <c r="BD404" s="290"/>
      <c r="BE404" s="290"/>
      <c r="BF404" s="290"/>
      <c r="BG404" s="290"/>
      <c r="BH404" s="290"/>
      <c r="BI404" s="290"/>
      <c r="BJ404" s="290"/>
      <c r="BK404" s="290"/>
      <c r="BL404" s="290"/>
      <c r="BM404" s="290"/>
      <c r="BN404" s="290"/>
      <c r="BO404" s="290"/>
      <c r="BP404" s="290"/>
      <c r="BQ404" s="290"/>
      <c r="BR404" s="290"/>
      <c r="BS404" s="290"/>
      <c r="BT404" s="290"/>
      <c r="BU404" s="290"/>
      <c r="BV404" s="290"/>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row>
    <row r="405" customFormat="false" ht="15.75" hidden="false" customHeight="false" outlineLevel="0" collapsed="false">
      <c r="A405" s="290"/>
      <c r="B405" s="290"/>
      <c r="C405" s="290"/>
      <c r="D405" s="290"/>
      <c r="E405" s="290"/>
      <c r="F405" s="290"/>
      <c r="G405" s="290"/>
      <c r="H405" s="290"/>
      <c r="I405" s="290"/>
      <c r="J405" s="3"/>
      <c r="K405" s="290"/>
      <c r="L405" s="290"/>
      <c r="M405" s="290"/>
      <c r="N405" s="290"/>
      <c r="O405" s="290"/>
      <c r="P405" s="290"/>
      <c r="Q405" s="290"/>
      <c r="R405" s="290"/>
      <c r="S405" s="290"/>
      <c r="T405" s="290"/>
      <c r="U405" s="290"/>
      <c r="V405" s="290"/>
      <c r="W405" s="290"/>
      <c r="X405" s="290"/>
      <c r="Y405" s="290"/>
      <c r="Z405" s="290"/>
      <c r="AA405" s="290"/>
      <c r="AB405" s="290"/>
      <c r="AC405" s="290"/>
      <c r="AD405" s="290"/>
      <c r="AE405" s="290"/>
      <c r="AF405" s="290"/>
      <c r="AG405" s="290"/>
      <c r="AH405" s="290"/>
      <c r="AI405" s="290"/>
      <c r="AJ405" s="290"/>
      <c r="AK405" s="290"/>
      <c r="AL405" s="290"/>
      <c r="AM405" s="290"/>
      <c r="AN405" s="290"/>
      <c r="AO405" s="290"/>
      <c r="AP405" s="290"/>
      <c r="AQ405" s="290"/>
      <c r="AR405" s="290"/>
      <c r="AS405" s="290"/>
      <c r="AT405" s="290"/>
      <c r="AU405" s="290"/>
      <c r="AV405" s="290"/>
      <c r="AW405" s="290"/>
      <c r="AX405" s="290"/>
      <c r="AY405" s="290"/>
      <c r="AZ405" s="290"/>
      <c r="BA405" s="290"/>
      <c r="BB405" s="290"/>
      <c r="BC405" s="290"/>
      <c r="BD405" s="290"/>
      <c r="BE405" s="290"/>
      <c r="BF405" s="290"/>
      <c r="BG405" s="290"/>
      <c r="BH405" s="290"/>
      <c r="BI405" s="290"/>
      <c r="BJ405" s="290"/>
      <c r="BK405" s="290"/>
      <c r="BL405" s="290"/>
      <c r="BM405" s="290"/>
      <c r="BN405" s="290"/>
      <c r="BO405" s="290"/>
      <c r="BP405" s="290"/>
      <c r="BQ405" s="290"/>
      <c r="BR405" s="290"/>
      <c r="BS405" s="290"/>
      <c r="BT405" s="290"/>
      <c r="BU405" s="290"/>
      <c r="BV405" s="290"/>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row>
    <row r="406" customFormat="false" ht="15.75" hidden="false" customHeight="false" outlineLevel="0" collapsed="false">
      <c r="A406" s="290"/>
      <c r="B406" s="290"/>
      <c r="C406" s="290"/>
      <c r="D406" s="290"/>
      <c r="E406" s="290"/>
      <c r="F406" s="290"/>
      <c r="G406" s="290"/>
      <c r="H406" s="290"/>
      <c r="I406" s="290"/>
      <c r="J406" s="3"/>
      <c r="K406" s="290"/>
      <c r="L406" s="290"/>
      <c r="M406" s="290"/>
      <c r="N406" s="290"/>
      <c r="O406" s="290"/>
      <c r="P406" s="290"/>
      <c r="Q406" s="290"/>
      <c r="R406" s="290"/>
      <c r="S406" s="290"/>
      <c r="T406" s="290"/>
      <c r="U406" s="290"/>
      <c r="V406" s="290"/>
      <c r="W406" s="290"/>
      <c r="X406" s="290"/>
      <c r="Y406" s="290"/>
      <c r="Z406" s="290"/>
      <c r="AA406" s="290"/>
      <c r="AB406" s="290"/>
      <c r="AC406" s="290"/>
      <c r="AD406" s="290"/>
      <c r="AE406" s="290"/>
      <c r="AF406" s="290"/>
      <c r="AG406" s="290"/>
      <c r="AH406" s="290"/>
      <c r="AI406" s="290"/>
      <c r="AJ406" s="290"/>
      <c r="AK406" s="290"/>
      <c r="AL406" s="290"/>
      <c r="AM406" s="290"/>
      <c r="AN406" s="290"/>
      <c r="AO406" s="290"/>
      <c r="AP406" s="290"/>
      <c r="AQ406" s="290"/>
      <c r="AR406" s="290"/>
      <c r="AS406" s="290"/>
      <c r="AT406" s="290"/>
      <c r="AU406" s="290"/>
      <c r="AV406" s="290"/>
      <c r="AW406" s="290"/>
      <c r="AX406" s="290"/>
      <c r="AY406" s="290"/>
      <c r="AZ406" s="290"/>
      <c r="BA406" s="290"/>
      <c r="BB406" s="290"/>
      <c r="BC406" s="290"/>
      <c r="BD406" s="290"/>
      <c r="BE406" s="290"/>
      <c r="BF406" s="290"/>
      <c r="BG406" s="290"/>
      <c r="BH406" s="290"/>
      <c r="BI406" s="290"/>
      <c r="BJ406" s="290"/>
      <c r="BK406" s="290"/>
      <c r="BL406" s="290"/>
      <c r="BM406" s="290"/>
      <c r="BN406" s="290"/>
      <c r="BO406" s="290"/>
      <c r="BP406" s="290"/>
      <c r="BQ406" s="290"/>
      <c r="BR406" s="290"/>
      <c r="BS406" s="290"/>
      <c r="BT406" s="290"/>
      <c r="BU406" s="290"/>
      <c r="BV406" s="290"/>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row>
    <row r="407" customFormat="false" ht="15.75" hidden="false" customHeight="false" outlineLevel="0" collapsed="false">
      <c r="A407" s="290"/>
      <c r="B407" s="290"/>
      <c r="C407" s="290"/>
      <c r="D407" s="290"/>
      <c r="E407" s="290"/>
      <c r="F407" s="290"/>
      <c r="G407" s="290"/>
      <c r="H407" s="290"/>
      <c r="I407" s="290"/>
      <c r="J407" s="3"/>
      <c r="K407" s="290"/>
      <c r="L407" s="290"/>
      <c r="M407" s="290"/>
      <c r="N407" s="290"/>
      <c r="O407" s="290"/>
      <c r="P407" s="290"/>
      <c r="Q407" s="290"/>
      <c r="R407" s="290"/>
      <c r="S407" s="290"/>
      <c r="T407" s="290"/>
      <c r="U407" s="290"/>
      <c r="V407" s="290"/>
      <c r="W407" s="290"/>
      <c r="X407" s="290"/>
      <c r="Y407" s="290"/>
      <c r="Z407" s="290"/>
      <c r="AA407" s="290"/>
      <c r="AB407" s="290"/>
      <c r="AC407" s="290"/>
      <c r="AD407" s="290"/>
      <c r="AE407" s="290"/>
      <c r="AF407" s="290"/>
      <c r="AG407" s="290"/>
      <c r="AH407" s="290"/>
      <c r="AI407" s="290"/>
      <c r="AJ407" s="290"/>
      <c r="AK407" s="290"/>
      <c r="AL407" s="290"/>
      <c r="AM407" s="290"/>
      <c r="AN407" s="290"/>
      <c r="AO407" s="290"/>
      <c r="AP407" s="290"/>
      <c r="AQ407" s="290"/>
      <c r="AR407" s="290"/>
      <c r="AS407" s="290"/>
      <c r="AT407" s="290"/>
      <c r="AU407" s="290"/>
      <c r="AV407" s="290"/>
      <c r="AW407" s="290"/>
      <c r="AX407" s="290"/>
      <c r="AY407" s="290"/>
      <c r="AZ407" s="290"/>
      <c r="BA407" s="290"/>
      <c r="BB407" s="290"/>
      <c r="BC407" s="290"/>
      <c r="BD407" s="290"/>
      <c r="BE407" s="290"/>
      <c r="BF407" s="290"/>
      <c r="BG407" s="290"/>
      <c r="BH407" s="290"/>
      <c r="BI407" s="290"/>
      <c r="BJ407" s="290"/>
      <c r="BK407" s="290"/>
      <c r="BL407" s="290"/>
      <c r="BM407" s="290"/>
      <c r="BN407" s="290"/>
      <c r="BO407" s="290"/>
      <c r="BP407" s="290"/>
      <c r="BQ407" s="290"/>
      <c r="BR407" s="290"/>
      <c r="BS407" s="290"/>
      <c r="BT407" s="290"/>
      <c r="BU407" s="290"/>
      <c r="BV407" s="290"/>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row>
    <row r="408" customFormat="false" ht="15.75" hidden="false" customHeight="false" outlineLevel="0" collapsed="false">
      <c r="A408" s="290"/>
      <c r="B408" s="290"/>
      <c r="C408" s="290"/>
      <c r="D408" s="290"/>
      <c r="E408" s="290"/>
      <c r="F408" s="290"/>
      <c r="G408" s="290"/>
      <c r="H408" s="290"/>
      <c r="I408" s="290"/>
      <c r="J408" s="3"/>
      <c r="K408" s="290"/>
      <c r="L408" s="290"/>
      <c r="M408" s="290"/>
      <c r="N408" s="290"/>
      <c r="O408" s="290"/>
      <c r="P408" s="290"/>
      <c r="Q408" s="290"/>
      <c r="R408" s="290"/>
      <c r="S408" s="290"/>
      <c r="T408" s="290"/>
      <c r="U408" s="290"/>
      <c r="V408" s="290"/>
      <c r="W408" s="290"/>
      <c r="X408" s="290"/>
      <c r="Y408" s="290"/>
      <c r="Z408" s="290"/>
      <c r="AA408" s="290"/>
      <c r="AB408" s="290"/>
      <c r="AC408" s="290"/>
      <c r="AD408" s="290"/>
      <c r="AE408" s="290"/>
      <c r="AF408" s="290"/>
      <c r="AG408" s="290"/>
      <c r="AH408" s="290"/>
      <c r="AI408" s="290"/>
      <c r="AJ408" s="290"/>
      <c r="AK408" s="290"/>
      <c r="AL408" s="290"/>
      <c r="AM408" s="290"/>
      <c r="AN408" s="290"/>
      <c r="AO408" s="290"/>
      <c r="AP408" s="290"/>
      <c r="AQ408" s="290"/>
      <c r="AR408" s="290"/>
      <c r="AS408" s="290"/>
      <c r="AT408" s="290"/>
      <c r="AU408" s="290"/>
      <c r="AV408" s="290"/>
      <c r="AW408" s="290"/>
      <c r="AX408" s="290"/>
      <c r="AY408" s="290"/>
      <c r="AZ408" s="290"/>
      <c r="BA408" s="290"/>
      <c r="BB408" s="290"/>
      <c r="BC408" s="290"/>
      <c r="BD408" s="290"/>
      <c r="BE408" s="290"/>
      <c r="BF408" s="290"/>
      <c r="BG408" s="290"/>
      <c r="BH408" s="290"/>
      <c r="BI408" s="290"/>
      <c r="BJ408" s="290"/>
      <c r="BK408" s="290"/>
      <c r="BL408" s="290"/>
      <c r="BM408" s="290"/>
      <c r="BN408" s="290"/>
      <c r="BO408" s="290"/>
      <c r="BP408" s="290"/>
      <c r="BQ408" s="290"/>
      <c r="BR408" s="290"/>
      <c r="BS408" s="290"/>
      <c r="BT408" s="290"/>
      <c r="BU408" s="290"/>
      <c r="BV408" s="290"/>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row>
    <row r="409" customFormat="false" ht="15.75" hidden="false" customHeight="false" outlineLevel="0" collapsed="false">
      <c r="A409" s="290"/>
      <c r="B409" s="290"/>
      <c r="C409" s="290"/>
      <c r="D409" s="290"/>
      <c r="E409" s="290"/>
      <c r="F409" s="290"/>
      <c r="G409" s="290"/>
      <c r="H409" s="290"/>
      <c r="I409" s="290"/>
      <c r="J409" s="3"/>
      <c r="K409" s="290"/>
      <c r="L409" s="290"/>
      <c r="M409" s="290"/>
      <c r="N409" s="290"/>
      <c r="O409" s="290"/>
      <c r="P409" s="290"/>
      <c r="Q409" s="290"/>
      <c r="R409" s="290"/>
      <c r="S409" s="290"/>
      <c r="T409" s="290"/>
      <c r="U409" s="290"/>
      <c r="V409" s="290"/>
      <c r="W409" s="290"/>
      <c r="X409" s="290"/>
      <c r="Y409" s="290"/>
      <c r="Z409" s="290"/>
      <c r="AA409" s="290"/>
      <c r="AB409" s="290"/>
      <c r="AC409" s="290"/>
      <c r="AD409" s="290"/>
      <c r="AE409" s="290"/>
      <c r="AF409" s="290"/>
      <c r="AG409" s="290"/>
      <c r="AH409" s="290"/>
      <c r="AI409" s="290"/>
      <c r="AJ409" s="290"/>
      <c r="AK409" s="290"/>
      <c r="AL409" s="290"/>
      <c r="AM409" s="290"/>
      <c r="AN409" s="290"/>
      <c r="AO409" s="290"/>
      <c r="AP409" s="290"/>
      <c r="AQ409" s="290"/>
      <c r="AR409" s="290"/>
      <c r="AS409" s="290"/>
      <c r="AT409" s="290"/>
      <c r="AU409" s="290"/>
      <c r="AV409" s="290"/>
      <c r="AW409" s="290"/>
      <c r="AX409" s="290"/>
      <c r="AY409" s="290"/>
      <c r="AZ409" s="290"/>
      <c r="BA409" s="290"/>
      <c r="BB409" s="290"/>
      <c r="BC409" s="290"/>
      <c r="BD409" s="290"/>
      <c r="BE409" s="290"/>
      <c r="BF409" s="290"/>
      <c r="BG409" s="290"/>
      <c r="BH409" s="290"/>
      <c r="BI409" s="290"/>
      <c r="BJ409" s="290"/>
      <c r="BK409" s="290"/>
      <c r="BL409" s="290"/>
      <c r="BM409" s="290"/>
      <c r="BN409" s="290"/>
      <c r="BO409" s="290"/>
      <c r="BP409" s="290"/>
      <c r="BQ409" s="290"/>
      <c r="BR409" s="290"/>
      <c r="BS409" s="290"/>
      <c r="BT409" s="290"/>
      <c r="BU409" s="290"/>
      <c r="BV409" s="290"/>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row>
    <row r="410" customFormat="false" ht="15.75" hidden="false" customHeight="false" outlineLevel="0" collapsed="false">
      <c r="A410" s="290"/>
      <c r="B410" s="290"/>
      <c r="C410" s="290"/>
      <c r="D410" s="290"/>
      <c r="E410" s="290"/>
      <c r="F410" s="290"/>
      <c r="G410" s="290"/>
      <c r="H410" s="290"/>
      <c r="I410" s="290"/>
      <c r="J410" s="3"/>
      <c r="K410" s="290"/>
      <c r="L410" s="290"/>
      <c r="M410" s="290"/>
      <c r="N410" s="290"/>
      <c r="O410" s="290"/>
      <c r="P410" s="290"/>
      <c r="Q410" s="290"/>
      <c r="R410" s="290"/>
      <c r="S410" s="290"/>
      <c r="T410" s="290"/>
      <c r="U410" s="290"/>
      <c r="V410" s="290"/>
      <c r="W410" s="290"/>
      <c r="X410" s="290"/>
      <c r="Y410" s="290"/>
      <c r="Z410" s="290"/>
      <c r="AA410" s="290"/>
      <c r="AB410" s="290"/>
      <c r="AC410" s="290"/>
      <c r="AD410" s="290"/>
      <c r="AE410" s="290"/>
      <c r="AF410" s="290"/>
      <c r="AG410" s="290"/>
      <c r="AH410" s="290"/>
      <c r="AI410" s="290"/>
      <c r="AJ410" s="290"/>
      <c r="AK410" s="290"/>
      <c r="AL410" s="290"/>
      <c r="AM410" s="290"/>
      <c r="AN410" s="290"/>
      <c r="AO410" s="290"/>
      <c r="AP410" s="290"/>
      <c r="AQ410" s="290"/>
      <c r="AR410" s="290"/>
      <c r="AS410" s="290"/>
      <c r="AT410" s="290"/>
      <c r="AU410" s="290"/>
      <c r="AV410" s="290"/>
      <c r="AW410" s="290"/>
      <c r="AX410" s="290"/>
      <c r="AY410" s="290"/>
      <c r="AZ410" s="290"/>
      <c r="BA410" s="290"/>
      <c r="BB410" s="290"/>
      <c r="BC410" s="290"/>
      <c r="BD410" s="290"/>
      <c r="BE410" s="290"/>
      <c r="BF410" s="290"/>
      <c r="BG410" s="290"/>
      <c r="BH410" s="290"/>
      <c r="BI410" s="290"/>
      <c r="BJ410" s="290"/>
      <c r="BK410" s="290"/>
      <c r="BL410" s="290"/>
      <c r="BM410" s="290"/>
      <c r="BN410" s="290"/>
      <c r="BO410" s="290"/>
      <c r="BP410" s="290"/>
      <c r="BQ410" s="290"/>
      <c r="BR410" s="290"/>
      <c r="BS410" s="290"/>
      <c r="BT410" s="290"/>
      <c r="BU410" s="290"/>
      <c r="BV410" s="290"/>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row>
    <row r="411" customFormat="false" ht="15.75" hidden="false" customHeight="false" outlineLevel="0" collapsed="false">
      <c r="A411" s="290"/>
      <c r="B411" s="290"/>
      <c r="C411" s="290"/>
      <c r="D411" s="290"/>
      <c r="E411" s="290"/>
      <c r="F411" s="290"/>
      <c r="G411" s="290"/>
      <c r="H411" s="290"/>
      <c r="I411" s="290"/>
      <c r="J411" s="3"/>
      <c r="K411" s="290"/>
      <c r="L411" s="290"/>
      <c r="M411" s="290"/>
      <c r="N411" s="290"/>
      <c r="O411" s="290"/>
      <c r="P411" s="290"/>
      <c r="Q411" s="290"/>
      <c r="R411" s="290"/>
      <c r="S411" s="290"/>
      <c r="T411" s="290"/>
      <c r="U411" s="290"/>
      <c r="V411" s="290"/>
      <c r="W411" s="290"/>
      <c r="X411" s="290"/>
      <c r="Y411" s="290"/>
      <c r="Z411" s="290"/>
      <c r="AA411" s="290"/>
      <c r="AB411" s="290"/>
      <c r="AC411" s="290"/>
      <c r="AD411" s="290"/>
      <c r="AE411" s="290"/>
      <c r="AF411" s="290"/>
      <c r="AG411" s="290"/>
      <c r="AH411" s="290"/>
      <c r="AI411" s="290"/>
      <c r="AJ411" s="290"/>
      <c r="AK411" s="290"/>
      <c r="AL411" s="290"/>
      <c r="AM411" s="290"/>
      <c r="AN411" s="290"/>
      <c r="AO411" s="290"/>
      <c r="AP411" s="290"/>
      <c r="AQ411" s="290"/>
      <c r="AR411" s="290"/>
      <c r="AS411" s="290"/>
      <c r="AT411" s="290"/>
      <c r="AU411" s="290"/>
      <c r="AV411" s="290"/>
      <c r="AW411" s="290"/>
      <c r="AX411" s="290"/>
      <c r="AY411" s="290"/>
      <c r="AZ411" s="290"/>
      <c r="BA411" s="290"/>
      <c r="BB411" s="290"/>
      <c r="BC411" s="290"/>
      <c r="BD411" s="290"/>
      <c r="BE411" s="290"/>
      <c r="BF411" s="290"/>
      <c r="BG411" s="290"/>
      <c r="BH411" s="290"/>
      <c r="BI411" s="290"/>
      <c r="BJ411" s="290"/>
      <c r="BK411" s="290"/>
      <c r="BL411" s="290"/>
      <c r="BM411" s="290"/>
      <c r="BN411" s="290"/>
      <c r="BO411" s="290"/>
      <c r="BP411" s="290"/>
      <c r="BQ411" s="290"/>
      <c r="BR411" s="290"/>
      <c r="BS411" s="290"/>
      <c r="BT411" s="290"/>
      <c r="BU411" s="290"/>
      <c r="BV411" s="290"/>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row>
    <row r="412" customFormat="false" ht="15.75" hidden="false" customHeight="false" outlineLevel="0" collapsed="false">
      <c r="A412" s="290"/>
      <c r="B412" s="290"/>
      <c r="C412" s="290"/>
      <c r="D412" s="290"/>
      <c r="E412" s="290"/>
      <c r="F412" s="290"/>
      <c r="G412" s="290"/>
      <c r="H412" s="290"/>
      <c r="I412" s="290"/>
      <c r="J412" s="3"/>
      <c r="K412" s="290"/>
      <c r="L412" s="290"/>
      <c r="M412" s="290"/>
      <c r="N412" s="290"/>
      <c r="O412" s="290"/>
      <c r="P412" s="290"/>
      <c r="Q412" s="290"/>
      <c r="R412" s="290"/>
      <c r="S412" s="290"/>
      <c r="T412" s="290"/>
      <c r="U412" s="290"/>
      <c r="V412" s="290"/>
      <c r="W412" s="290"/>
      <c r="X412" s="290"/>
      <c r="Y412" s="290"/>
      <c r="Z412" s="290"/>
      <c r="AA412" s="290"/>
      <c r="AB412" s="290"/>
      <c r="AC412" s="290"/>
      <c r="AD412" s="290"/>
      <c r="AE412" s="290"/>
      <c r="AF412" s="290"/>
      <c r="AG412" s="290"/>
      <c r="AH412" s="290"/>
      <c r="AI412" s="290"/>
      <c r="AJ412" s="290"/>
      <c r="AK412" s="290"/>
      <c r="AL412" s="290"/>
      <c r="AM412" s="290"/>
      <c r="AN412" s="290"/>
      <c r="AO412" s="290"/>
      <c r="AP412" s="290"/>
      <c r="AQ412" s="290"/>
      <c r="AR412" s="290"/>
      <c r="AS412" s="290"/>
      <c r="AT412" s="290"/>
      <c r="AU412" s="290"/>
      <c r="AV412" s="290"/>
      <c r="AW412" s="290"/>
      <c r="AX412" s="290"/>
      <c r="AY412" s="290"/>
      <c r="AZ412" s="290"/>
      <c r="BA412" s="290"/>
      <c r="BB412" s="290"/>
      <c r="BC412" s="290"/>
      <c r="BD412" s="290"/>
      <c r="BE412" s="290"/>
      <c r="BF412" s="290"/>
      <c r="BG412" s="290"/>
      <c r="BH412" s="290"/>
      <c r="BI412" s="290"/>
      <c r="BJ412" s="290"/>
      <c r="BK412" s="290"/>
      <c r="BL412" s="290"/>
      <c r="BM412" s="290"/>
      <c r="BN412" s="290"/>
      <c r="BO412" s="290"/>
      <c r="BP412" s="290"/>
      <c r="BQ412" s="290"/>
      <c r="BR412" s="290"/>
      <c r="BS412" s="290"/>
      <c r="BT412" s="290"/>
      <c r="BU412" s="290"/>
      <c r="BV412" s="290"/>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row>
    <row r="413" customFormat="false" ht="15.75" hidden="false" customHeight="false" outlineLevel="0" collapsed="false">
      <c r="A413" s="290"/>
      <c r="B413" s="290"/>
      <c r="C413" s="290"/>
      <c r="D413" s="290"/>
      <c r="E413" s="290"/>
      <c r="F413" s="290"/>
      <c r="G413" s="290"/>
      <c r="H413" s="290"/>
      <c r="I413" s="290"/>
      <c r="J413" s="3"/>
      <c r="K413" s="290"/>
      <c r="L413" s="290"/>
      <c r="M413" s="290"/>
      <c r="N413" s="290"/>
      <c r="O413" s="290"/>
      <c r="P413" s="290"/>
      <c r="Q413" s="290"/>
      <c r="R413" s="290"/>
      <c r="S413" s="290"/>
      <c r="T413" s="290"/>
      <c r="U413" s="290"/>
      <c r="V413" s="290"/>
      <c r="W413" s="290"/>
      <c r="X413" s="290"/>
      <c r="Y413" s="290"/>
      <c r="Z413" s="290"/>
      <c r="AA413" s="290"/>
      <c r="AB413" s="290"/>
      <c r="AC413" s="290"/>
      <c r="AD413" s="290"/>
      <c r="AE413" s="290"/>
      <c r="AF413" s="290"/>
      <c r="AG413" s="290"/>
      <c r="AH413" s="290"/>
      <c r="AI413" s="290"/>
      <c r="AJ413" s="290"/>
      <c r="AK413" s="290"/>
      <c r="AL413" s="290"/>
      <c r="AM413" s="290"/>
      <c r="AN413" s="290"/>
      <c r="AO413" s="290"/>
      <c r="AP413" s="290"/>
      <c r="AQ413" s="290"/>
      <c r="AR413" s="290"/>
      <c r="AS413" s="290"/>
      <c r="AT413" s="290"/>
      <c r="AU413" s="290"/>
      <c r="AV413" s="290"/>
      <c r="AW413" s="290"/>
      <c r="AX413" s="290"/>
      <c r="AY413" s="290"/>
      <c r="AZ413" s="290"/>
      <c r="BA413" s="290"/>
      <c r="BB413" s="290"/>
      <c r="BC413" s="290"/>
      <c r="BD413" s="290"/>
      <c r="BE413" s="290"/>
      <c r="BF413" s="290"/>
      <c r="BG413" s="290"/>
      <c r="BH413" s="290"/>
      <c r="BI413" s="290"/>
      <c r="BJ413" s="290"/>
      <c r="BK413" s="290"/>
      <c r="BL413" s="290"/>
      <c r="BM413" s="290"/>
      <c r="BN413" s="290"/>
      <c r="BO413" s="290"/>
      <c r="BP413" s="290"/>
      <c r="BQ413" s="290"/>
      <c r="BR413" s="290"/>
      <c r="BS413" s="290"/>
      <c r="BT413" s="290"/>
      <c r="BU413" s="290"/>
      <c r="BV413" s="290"/>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row>
    <row r="414" customFormat="false" ht="15.75" hidden="false" customHeight="false" outlineLevel="0" collapsed="false">
      <c r="A414" s="290"/>
      <c r="B414" s="290"/>
      <c r="C414" s="290"/>
      <c r="D414" s="290"/>
      <c r="E414" s="290"/>
      <c r="F414" s="290"/>
      <c r="G414" s="290"/>
      <c r="H414" s="290"/>
      <c r="I414" s="290"/>
      <c r="J414" s="3"/>
      <c r="K414" s="290"/>
      <c r="L414" s="290"/>
      <c r="M414" s="290"/>
      <c r="N414" s="290"/>
      <c r="O414" s="290"/>
      <c r="P414" s="290"/>
      <c r="Q414" s="290"/>
      <c r="R414" s="290"/>
      <c r="S414" s="290"/>
      <c r="T414" s="290"/>
      <c r="U414" s="290"/>
      <c r="V414" s="290"/>
      <c r="W414" s="290"/>
      <c r="X414" s="290"/>
      <c r="Y414" s="290"/>
      <c r="Z414" s="290"/>
      <c r="AA414" s="290"/>
      <c r="AB414" s="290"/>
      <c r="AC414" s="290"/>
      <c r="AD414" s="290"/>
      <c r="AE414" s="290"/>
      <c r="AF414" s="290"/>
      <c r="AG414" s="290"/>
      <c r="AH414" s="290"/>
      <c r="AI414" s="290"/>
      <c r="AJ414" s="290"/>
      <c r="AK414" s="290"/>
      <c r="AL414" s="290"/>
      <c r="AM414" s="290"/>
      <c r="AN414" s="290"/>
      <c r="AO414" s="290"/>
      <c r="AP414" s="290"/>
      <c r="AQ414" s="290"/>
      <c r="AR414" s="290"/>
      <c r="AS414" s="290"/>
      <c r="AT414" s="290"/>
      <c r="AU414" s="290"/>
      <c r="AV414" s="290"/>
      <c r="AW414" s="290"/>
      <c r="AX414" s="290"/>
      <c r="AY414" s="290"/>
      <c r="AZ414" s="290"/>
      <c r="BA414" s="290"/>
      <c r="BB414" s="290"/>
      <c r="BC414" s="290"/>
      <c r="BD414" s="290"/>
      <c r="BE414" s="290"/>
      <c r="BF414" s="290"/>
      <c r="BG414" s="290"/>
      <c r="BH414" s="290"/>
      <c r="BI414" s="290"/>
      <c r="BJ414" s="290"/>
      <c r="BK414" s="290"/>
      <c r="BL414" s="290"/>
      <c r="BM414" s="290"/>
      <c r="BN414" s="290"/>
      <c r="BO414" s="290"/>
      <c r="BP414" s="290"/>
      <c r="BQ414" s="290"/>
      <c r="BR414" s="290"/>
      <c r="BS414" s="290"/>
      <c r="BT414" s="290"/>
      <c r="BU414" s="290"/>
      <c r="BV414" s="290"/>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row>
    <row r="415" customFormat="false" ht="15.75" hidden="false" customHeight="false" outlineLevel="0" collapsed="false">
      <c r="A415" s="290"/>
      <c r="B415" s="290"/>
      <c r="C415" s="290"/>
      <c r="D415" s="290"/>
      <c r="E415" s="290"/>
      <c r="F415" s="290"/>
      <c r="G415" s="290"/>
      <c r="H415" s="290"/>
      <c r="I415" s="290"/>
      <c r="J415" s="3"/>
      <c r="K415" s="290"/>
      <c r="L415" s="290"/>
      <c r="M415" s="290"/>
      <c r="N415" s="290"/>
      <c r="O415" s="290"/>
      <c r="P415" s="290"/>
      <c r="Q415" s="290"/>
      <c r="R415" s="290"/>
      <c r="S415" s="290"/>
      <c r="T415" s="290"/>
      <c r="U415" s="290"/>
      <c r="V415" s="290"/>
      <c r="W415" s="290"/>
      <c r="X415" s="290"/>
      <c r="Y415" s="290"/>
      <c r="Z415" s="290"/>
      <c r="AA415" s="290"/>
      <c r="AB415" s="290"/>
      <c r="AC415" s="290"/>
      <c r="AD415" s="290"/>
      <c r="AE415" s="290"/>
      <c r="AF415" s="290"/>
      <c r="AG415" s="290"/>
      <c r="AH415" s="290"/>
      <c r="AI415" s="290"/>
      <c r="AJ415" s="290"/>
      <c r="AK415" s="290"/>
      <c r="AL415" s="290"/>
      <c r="AM415" s="290"/>
      <c r="AN415" s="290"/>
      <c r="AO415" s="290"/>
      <c r="AP415" s="290"/>
      <c r="AQ415" s="290"/>
      <c r="AR415" s="290"/>
      <c r="AS415" s="290"/>
      <c r="AT415" s="290"/>
      <c r="AU415" s="290"/>
      <c r="AV415" s="290"/>
      <c r="AW415" s="290"/>
      <c r="AX415" s="290"/>
      <c r="AY415" s="290"/>
      <c r="AZ415" s="290"/>
      <c r="BA415" s="290"/>
      <c r="BB415" s="290"/>
      <c r="BC415" s="290"/>
      <c r="BD415" s="290"/>
      <c r="BE415" s="290"/>
      <c r="BF415" s="290"/>
      <c r="BG415" s="290"/>
      <c r="BH415" s="290"/>
      <c r="BI415" s="290"/>
      <c r="BJ415" s="290"/>
      <c r="BK415" s="290"/>
      <c r="BL415" s="290"/>
      <c r="BM415" s="290"/>
      <c r="BN415" s="290"/>
      <c r="BO415" s="290"/>
      <c r="BP415" s="290"/>
      <c r="BQ415" s="290"/>
      <c r="BR415" s="290"/>
      <c r="BS415" s="290"/>
      <c r="BT415" s="290"/>
      <c r="BU415" s="290"/>
      <c r="BV415" s="290"/>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row>
    <row r="416" customFormat="false" ht="15.75" hidden="false" customHeight="false" outlineLevel="0" collapsed="false">
      <c r="A416" s="290"/>
      <c r="B416" s="290"/>
      <c r="C416" s="290"/>
      <c r="D416" s="290"/>
      <c r="E416" s="290"/>
      <c r="F416" s="290"/>
      <c r="G416" s="290"/>
      <c r="H416" s="290"/>
      <c r="I416" s="290"/>
      <c r="J416" s="3"/>
      <c r="K416" s="290"/>
      <c r="L416" s="290"/>
      <c r="M416" s="290"/>
      <c r="N416" s="290"/>
      <c r="O416" s="290"/>
      <c r="P416" s="290"/>
      <c r="Q416" s="290"/>
      <c r="R416" s="290"/>
      <c r="S416" s="290"/>
      <c r="T416" s="290"/>
      <c r="U416" s="290"/>
      <c r="V416" s="290"/>
      <c r="W416" s="290"/>
      <c r="X416" s="290"/>
      <c r="Y416" s="290"/>
      <c r="Z416" s="290"/>
      <c r="AA416" s="290"/>
      <c r="AB416" s="290"/>
      <c r="AC416" s="290"/>
      <c r="AD416" s="290"/>
      <c r="AE416" s="290"/>
      <c r="AF416" s="290"/>
      <c r="AG416" s="290"/>
      <c r="AH416" s="290"/>
      <c r="AI416" s="290"/>
      <c r="AJ416" s="290"/>
      <c r="AK416" s="290"/>
      <c r="AL416" s="290"/>
      <c r="AM416" s="290"/>
      <c r="AN416" s="290"/>
      <c r="AO416" s="290"/>
      <c r="AP416" s="290"/>
      <c r="AQ416" s="290"/>
      <c r="AR416" s="290"/>
      <c r="AS416" s="290"/>
      <c r="AT416" s="290"/>
      <c r="AU416" s="290"/>
      <c r="AV416" s="290"/>
      <c r="AW416" s="290"/>
      <c r="AX416" s="290"/>
      <c r="AY416" s="290"/>
      <c r="AZ416" s="290"/>
      <c r="BA416" s="290"/>
      <c r="BB416" s="290"/>
      <c r="BC416" s="290"/>
      <c r="BD416" s="290"/>
      <c r="BE416" s="290"/>
      <c r="BF416" s="290"/>
      <c r="BG416" s="290"/>
      <c r="BH416" s="290"/>
      <c r="BI416" s="290"/>
      <c r="BJ416" s="290"/>
      <c r="BK416" s="290"/>
      <c r="BL416" s="290"/>
      <c r="BM416" s="290"/>
      <c r="BN416" s="290"/>
      <c r="BO416" s="290"/>
      <c r="BP416" s="290"/>
      <c r="BQ416" s="290"/>
      <c r="BR416" s="290"/>
      <c r="BS416" s="290"/>
      <c r="BT416" s="290"/>
      <c r="BU416" s="290"/>
      <c r="BV416" s="290"/>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row>
    <row r="417" customFormat="false" ht="15.75" hidden="false" customHeight="false" outlineLevel="0" collapsed="false">
      <c r="A417" s="290"/>
      <c r="B417" s="290"/>
      <c r="C417" s="290"/>
      <c r="D417" s="290"/>
      <c r="E417" s="290"/>
      <c r="F417" s="290"/>
      <c r="G417" s="290"/>
      <c r="H417" s="290"/>
      <c r="I417" s="290"/>
      <c r="J417" s="3"/>
      <c r="K417" s="290"/>
      <c r="L417" s="290"/>
      <c r="M417" s="290"/>
      <c r="N417" s="290"/>
      <c r="O417" s="290"/>
      <c r="P417" s="290"/>
      <c r="Q417" s="290"/>
      <c r="R417" s="290"/>
      <c r="S417" s="290"/>
      <c r="T417" s="290"/>
      <c r="U417" s="290"/>
      <c r="V417" s="290"/>
      <c r="W417" s="290"/>
      <c r="X417" s="290"/>
      <c r="Y417" s="290"/>
      <c r="Z417" s="290"/>
      <c r="AA417" s="290"/>
      <c r="AB417" s="290"/>
      <c r="AC417" s="290"/>
      <c r="AD417" s="290"/>
      <c r="AE417" s="290"/>
      <c r="AF417" s="290"/>
      <c r="AG417" s="290"/>
      <c r="AH417" s="290"/>
      <c r="AI417" s="290"/>
      <c r="AJ417" s="290"/>
      <c r="AK417" s="290"/>
      <c r="AL417" s="290"/>
      <c r="AM417" s="290"/>
      <c r="AN417" s="290"/>
      <c r="AO417" s="290"/>
      <c r="AP417" s="290"/>
      <c r="AQ417" s="290"/>
      <c r="AR417" s="290"/>
      <c r="AS417" s="290"/>
      <c r="AT417" s="290"/>
      <c r="AU417" s="290"/>
      <c r="AV417" s="290"/>
      <c r="AW417" s="290"/>
      <c r="AX417" s="290"/>
      <c r="AY417" s="290"/>
      <c r="AZ417" s="290"/>
      <c r="BA417" s="290"/>
      <c r="BB417" s="290"/>
      <c r="BC417" s="290"/>
      <c r="BD417" s="290"/>
      <c r="BE417" s="290"/>
      <c r="BF417" s="290"/>
      <c r="BG417" s="290"/>
      <c r="BH417" s="290"/>
      <c r="BI417" s="290"/>
      <c r="BJ417" s="290"/>
      <c r="BK417" s="290"/>
      <c r="BL417" s="290"/>
      <c r="BM417" s="290"/>
      <c r="BN417" s="290"/>
      <c r="BO417" s="290"/>
      <c r="BP417" s="290"/>
      <c r="BQ417" s="290"/>
      <c r="BR417" s="290"/>
      <c r="BS417" s="290"/>
      <c r="BT417" s="290"/>
      <c r="BU417" s="290"/>
      <c r="BV417" s="290"/>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row>
    <row r="418" customFormat="false" ht="15.75" hidden="false" customHeight="false" outlineLevel="0" collapsed="false">
      <c r="A418" s="290"/>
      <c r="B418" s="290"/>
      <c r="C418" s="290"/>
      <c r="D418" s="290"/>
      <c r="E418" s="290"/>
      <c r="F418" s="290"/>
      <c r="G418" s="290"/>
      <c r="H418" s="290"/>
      <c r="I418" s="290"/>
      <c r="J418" s="3"/>
      <c r="K418" s="290"/>
      <c r="L418" s="290"/>
      <c r="M418" s="290"/>
      <c r="N418" s="290"/>
      <c r="O418" s="290"/>
      <c r="P418" s="290"/>
      <c r="Q418" s="290"/>
      <c r="R418" s="290"/>
      <c r="S418" s="290"/>
      <c r="T418" s="290"/>
      <c r="U418" s="290"/>
      <c r="V418" s="290"/>
      <c r="W418" s="290"/>
      <c r="X418" s="290"/>
      <c r="Y418" s="290"/>
      <c r="Z418" s="290"/>
      <c r="AA418" s="290"/>
      <c r="AB418" s="290"/>
      <c r="AC418" s="290"/>
      <c r="AD418" s="290"/>
      <c r="AE418" s="290"/>
      <c r="AF418" s="290"/>
      <c r="AG418" s="290"/>
      <c r="AH418" s="290"/>
      <c r="AI418" s="290"/>
      <c r="AJ418" s="290"/>
      <c r="AK418" s="290"/>
      <c r="AL418" s="290"/>
      <c r="AM418" s="290"/>
      <c r="AN418" s="290"/>
      <c r="AO418" s="290"/>
      <c r="AP418" s="290"/>
      <c r="AQ418" s="290"/>
      <c r="AR418" s="290"/>
      <c r="AS418" s="290"/>
      <c r="AT418" s="290"/>
      <c r="AU418" s="290"/>
      <c r="AV418" s="290"/>
      <c r="AW418" s="290"/>
      <c r="AX418" s="290"/>
      <c r="AY418" s="290"/>
      <c r="AZ418" s="290"/>
      <c r="BA418" s="290"/>
      <c r="BB418" s="290"/>
      <c r="BC418" s="290"/>
      <c r="BD418" s="290"/>
      <c r="BE418" s="290"/>
      <c r="BF418" s="290"/>
      <c r="BG418" s="290"/>
      <c r="BH418" s="290"/>
      <c r="BI418" s="290"/>
      <c r="BJ418" s="290"/>
      <c r="BK418" s="290"/>
      <c r="BL418" s="290"/>
      <c r="BM418" s="290"/>
      <c r="BN418" s="290"/>
      <c r="BO418" s="290"/>
      <c r="BP418" s="290"/>
      <c r="BQ418" s="290"/>
      <c r="BR418" s="290"/>
      <c r="BS418" s="290"/>
      <c r="BT418" s="290"/>
      <c r="BU418" s="290"/>
      <c r="BV418" s="290"/>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row>
    <row r="419" customFormat="false" ht="15.75" hidden="false" customHeight="false" outlineLevel="0" collapsed="false">
      <c r="A419" s="290"/>
      <c r="B419" s="290"/>
      <c r="C419" s="290"/>
      <c r="D419" s="290"/>
      <c r="E419" s="290"/>
      <c r="F419" s="290"/>
      <c r="G419" s="290"/>
      <c r="H419" s="290"/>
      <c r="I419" s="290"/>
      <c r="J419" s="3"/>
      <c r="K419" s="290"/>
      <c r="L419" s="290"/>
      <c r="M419" s="290"/>
      <c r="N419" s="290"/>
      <c r="O419" s="290"/>
      <c r="P419" s="290"/>
      <c r="Q419" s="290"/>
      <c r="R419" s="290"/>
      <c r="S419" s="290"/>
      <c r="T419" s="290"/>
      <c r="U419" s="290"/>
      <c r="V419" s="290"/>
      <c r="W419" s="290"/>
      <c r="X419" s="290"/>
      <c r="Y419" s="290"/>
      <c r="Z419" s="290"/>
      <c r="AA419" s="290"/>
      <c r="AB419" s="290"/>
      <c r="AC419" s="290"/>
      <c r="AD419" s="290"/>
      <c r="AE419" s="290"/>
      <c r="AF419" s="290"/>
      <c r="AG419" s="290"/>
      <c r="AH419" s="290"/>
      <c r="AI419" s="290"/>
      <c r="AJ419" s="290"/>
      <c r="AK419" s="290"/>
      <c r="AL419" s="290"/>
      <c r="AM419" s="290"/>
      <c r="AN419" s="290"/>
      <c r="AO419" s="290"/>
      <c r="AP419" s="290"/>
      <c r="AQ419" s="290"/>
      <c r="AR419" s="290"/>
      <c r="AS419" s="290"/>
      <c r="AT419" s="290"/>
      <c r="AU419" s="290"/>
      <c r="AV419" s="290"/>
      <c r="AW419" s="290"/>
      <c r="AX419" s="290"/>
      <c r="AY419" s="290"/>
      <c r="AZ419" s="290"/>
      <c r="BA419" s="290"/>
      <c r="BB419" s="290"/>
      <c r="BC419" s="290"/>
      <c r="BD419" s="290"/>
      <c r="BE419" s="290"/>
      <c r="BF419" s="290"/>
      <c r="BG419" s="290"/>
      <c r="BH419" s="290"/>
      <c r="BI419" s="290"/>
      <c r="BJ419" s="290"/>
      <c r="BK419" s="290"/>
      <c r="BL419" s="290"/>
      <c r="BM419" s="290"/>
      <c r="BN419" s="290"/>
      <c r="BO419" s="290"/>
      <c r="BP419" s="290"/>
      <c r="BQ419" s="290"/>
      <c r="BR419" s="290"/>
      <c r="BS419" s="290"/>
      <c r="BT419" s="290"/>
      <c r="BU419" s="290"/>
      <c r="BV419" s="290"/>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row>
    <row r="420" customFormat="false" ht="15.75" hidden="false" customHeight="false" outlineLevel="0" collapsed="false">
      <c r="A420" s="290"/>
      <c r="B420" s="290"/>
      <c r="C420" s="290"/>
      <c r="D420" s="290"/>
      <c r="E420" s="290"/>
      <c r="F420" s="290"/>
      <c r="G420" s="290"/>
      <c r="H420" s="290"/>
      <c r="I420" s="290"/>
      <c r="J420" s="3"/>
      <c r="K420" s="290"/>
      <c r="L420" s="290"/>
      <c r="M420" s="290"/>
      <c r="N420" s="290"/>
      <c r="O420" s="290"/>
      <c r="P420" s="290"/>
      <c r="Q420" s="290"/>
      <c r="R420" s="290"/>
      <c r="S420" s="290"/>
      <c r="T420" s="290"/>
      <c r="U420" s="290"/>
      <c r="V420" s="290"/>
      <c r="W420" s="290"/>
      <c r="X420" s="290"/>
      <c r="Y420" s="290"/>
      <c r="Z420" s="290"/>
      <c r="AA420" s="290"/>
      <c r="AB420" s="290"/>
      <c r="AC420" s="290"/>
      <c r="AD420" s="290"/>
      <c r="AE420" s="290"/>
      <c r="AF420" s="290"/>
      <c r="AG420" s="290"/>
      <c r="AH420" s="290"/>
      <c r="AI420" s="290"/>
      <c r="AJ420" s="290"/>
      <c r="AK420" s="290"/>
      <c r="AL420" s="290"/>
      <c r="AM420" s="290"/>
      <c r="AN420" s="290"/>
      <c r="AO420" s="290"/>
      <c r="AP420" s="290"/>
      <c r="AQ420" s="290"/>
      <c r="AR420" s="290"/>
      <c r="AS420" s="290"/>
      <c r="AT420" s="290"/>
      <c r="AU420" s="290"/>
      <c r="AV420" s="290"/>
      <c r="AW420" s="290"/>
      <c r="AX420" s="290"/>
      <c r="AY420" s="290"/>
      <c r="AZ420" s="290"/>
      <c r="BA420" s="290"/>
      <c r="BB420" s="290"/>
      <c r="BC420" s="290"/>
      <c r="BD420" s="290"/>
      <c r="BE420" s="290"/>
      <c r="BF420" s="290"/>
      <c r="BG420" s="290"/>
      <c r="BH420" s="290"/>
      <c r="BI420" s="290"/>
      <c r="BJ420" s="290"/>
      <c r="BK420" s="290"/>
      <c r="BL420" s="290"/>
      <c r="BM420" s="290"/>
      <c r="BN420" s="290"/>
      <c r="BO420" s="290"/>
      <c r="BP420" s="290"/>
      <c r="BQ420" s="290"/>
      <c r="BR420" s="290"/>
      <c r="BS420" s="290"/>
      <c r="BT420" s="290"/>
      <c r="BU420" s="290"/>
      <c r="BV420" s="290"/>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row>
    <row r="421" customFormat="false" ht="15.75" hidden="false" customHeight="false" outlineLevel="0" collapsed="false">
      <c r="A421" s="290"/>
      <c r="B421" s="290"/>
      <c r="C421" s="290"/>
      <c r="D421" s="290"/>
      <c r="E421" s="290"/>
      <c r="F421" s="290"/>
      <c r="G421" s="290"/>
      <c r="H421" s="290"/>
      <c r="I421" s="290"/>
      <c r="J421" s="3"/>
      <c r="K421" s="290"/>
      <c r="L421" s="290"/>
      <c r="M421" s="290"/>
      <c r="N421" s="290"/>
      <c r="O421" s="290"/>
      <c r="P421" s="290"/>
      <c r="Q421" s="290"/>
      <c r="R421" s="290"/>
      <c r="S421" s="290"/>
      <c r="T421" s="290"/>
      <c r="U421" s="290"/>
      <c r="V421" s="290"/>
      <c r="W421" s="290"/>
      <c r="X421" s="290"/>
      <c r="Y421" s="290"/>
      <c r="Z421" s="290"/>
      <c r="AA421" s="290"/>
      <c r="AB421" s="290"/>
      <c r="AC421" s="290"/>
      <c r="AD421" s="290"/>
      <c r="AE421" s="290"/>
      <c r="AF421" s="290"/>
      <c r="AG421" s="290"/>
      <c r="AH421" s="290"/>
      <c r="AI421" s="290"/>
      <c r="AJ421" s="290"/>
      <c r="AK421" s="290"/>
      <c r="AL421" s="290"/>
      <c r="AM421" s="290"/>
      <c r="AN421" s="290"/>
      <c r="AO421" s="290"/>
      <c r="AP421" s="290"/>
      <c r="AQ421" s="290"/>
      <c r="AR421" s="290"/>
      <c r="AS421" s="290"/>
      <c r="AT421" s="290"/>
      <c r="AU421" s="290"/>
      <c r="AV421" s="290"/>
      <c r="AW421" s="290"/>
      <c r="AX421" s="290"/>
      <c r="AY421" s="290"/>
      <c r="AZ421" s="290"/>
      <c r="BA421" s="290"/>
      <c r="BB421" s="290"/>
      <c r="BC421" s="290"/>
      <c r="BD421" s="290"/>
      <c r="BE421" s="290"/>
      <c r="BF421" s="290"/>
      <c r="BG421" s="290"/>
      <c r="BH421" s="290"/>
      <c r="BI421" s="290"/>
      <c r="BJ421" s="290"/>
      <c r="BK421" s="290"/>
      <c r="BL421" s="290"/>
      <c r="BM421" s="290"/>
      <c r="BN421" s="290"/>
      <c r="BO421" s="290"/>
      <c r="BP421" s="290"/>
      <c r="BQ421" s="290"/>
      <c r="BR421" s="290"/>
      <c r="BS421" s="290"/>
      <c r="BT421" s="290"/>
      <c r="BU421" s="290"/>
      <c r="BV421" s="290"/>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row>
    <row r="422" customFormat="false" ht="15.75" hidden="false" customHeight="false" outlineLevel="0" collapsed="false">
      <c r="A422" s="290"/>
      <c r="B422" s="290"/>
      <c r="C422" s="290"/>
      <c r="D422" s="290"/>
      <c r="E422" s="290"/>
      <c r="F422" s="290"/>
      <c r="G422" s="290"/>
      <c r="H422" s="290"/>
      <c r="I422" s="290"/>
      <c r="J422" s="3"/>
      <c r="K422" s="290"/>
      <c r="L422" s="290"/>
      <c r="M422" s="290"/>
      <c r="N422" s="290"/>
      <c r="O422" s="290"/>
      <c r="P422" s="290"/>
      <c r="Q422" s="290"/>
      <c r="R422" s="290"/>
      <c r="S422" s="290"/>
      <c r="T422" s="290"/>
      <c r="U422" s="290"/>
      <c r="V422" s="290"/>
      <c r="W422" s="290"/>
      <c r="X422" s="290"/>
      <c r="Y422" s="290"/>
      <c r="Z422" s="290"/>
      <c r="AA422" s="290"/>
      <c r="AB422" s="290"/>
      <c r="AC422" s="290"/>
      <c r="AD422" s="290"/>
      <c r="AE422" s="290"/>
      <c r="AF422" s="290"/>
      <c r="AG422" s="290"/>
      <c r="AH422" s="290"/>
      <c r="AI422" s="290"/>
      <c r="AJ422" s="290"/>
      <c r="AK422" s="290"/>
      <c r="AL422" s="290"/>
      <c r="AM422" s="290"/>
      <c r="AN422" s="290"/>
      <c r="AO422" s="290"/>
      <c r="AP422" s="290"/>
      <c r="AQ422" s="290"/>
      <c r="AR422" s="290"/>
      <c r="AS422" s="290"/>
      <c r="AT422" s="290"/>
      <c r="AU422" s="290"/>
      <c r="AV422" s="290"/>
      <c r="AW422" s="290"/>
      <c r="AX422" s="290"/>
      <c r="AY422" s="290"/>
      <c r="AZ422" s="290"/>
      <c r="BA422" s="290"/>
      <c r="BB422" s="290"/>
      <c r="BC422" s="290"/>
      <c r="BD422" s="290"/>
      <c r="BE422" s="290"/>
      <c r="BF422" s="290"/>
      <c r="BG422" s="290"/>
      <c r="BH422" s="290"/>
      <c r="BI422" s="290"/>
      <c r="BJ422" s="290"/>
      <c r="BK422" s="290"/>
      <c r="BL422" s="290"/>
      <c r="BM422" s="290"/>
      <c r="BN422" s="290"/>
      <c r="BO422" s="290"/>
      <c r="BP422" s="290"/>
      <c r="BQ422" s="290"/>
      <c r="BR422" s="290"/>
      <c r="BS422" s="290"/>
      <c r="BT422" s="290"/>
      <c r="BU422" s="290"/>
      <c r="BV422" s="290"/>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row>
    <row r="423" customFormat="false" ht="15.75" hidden="false" customHeight="false" outlineLevel="0" collapsed="false">
      <c r="A423" s="290"/>
      <c r="B423" s="290"/>
      <c r="C423" s="290"/>
      <c r="D423" s="290"/>
      <c r="E423" s="290"/>
      <c r="F423" s="290"/>
      <c r="G423" s="290"/>
      <c r="H423" s="290"/>
      <c r="I423" s="290"/>
      <c r="J423" s="3"/>
      <c r="K423" s="290"/>
      <c r="L423" s="290"/>
      <c r="M423" s="290"/>
      <c r="N423" s="290"/>
      <c r="O423" s="290"/>
      <c r="P423" s="290"/>
      <c r="Q423" s="290"/>
      <c r="R423" s="290"/>
      <c r="S423" s="290"/>
      <c r="T423" s="290"/>
      <c r="U423" s="290"/>
      <c r="V423" s="290"/>
      <c r="W423" s="290"/>
      <c r="X423" s="290"/>
      <c r="Y423" s="290"/>
      <c r="Z423" s="290"/>
      <c r="AA423" s="290"/>
      <c r="AB423" s="290"/>
      <c r="AC423" s="290"/>
      <c r="AD423" s="290"/>
      <c r="AE423" s="290"/>
      <c r="AF423" s="290"/>
      <c r="AG423" s="290"/>
      <c r="AH423" s="290"/>
      <c r="AI423" s="290"/>
      <c r="AJ423" s="290"/>
      <c r="AK423" s="290"/>
      <c r="AL423" s="290"/>
      <c r="AM423" s="290"/>
      <c r="AN423" s="290"/>
      <c r="AO423" s="290"/>
      <c r="AP423" s="290"/>
      <c r="AQ423" s="290"/>
      <c r="AR423" s="290"/>
      <c r="AS423" s="290"/>
      <c r="AT423" s="290"/>
      <c r="AU423" s="290"/>
      <c r="AV423" s="290"/>
      <c r="AW423" s="290"/>
      <c r="AX423" s="290"/>
      <c r="AY423" s="290"/>
      <c r="AZ423" s="290"/>
      <c r="BA423" s="290"/>
      <c r="BB423" s="290"/>
      <c r="BC423" s="290"/>
      <c r="BD423" s="290"/>
      <c r="BE423" s="290"/>
      <c r="BF423" s="290"/>
      <c r="BG423" s="290"/>
      <c r="BH423" s="290"/>
      <c r="BI423" s="290"/>
      <c r="BJ423" s="290"/>
      <c r="BK423" s="290"/>
      <c r="BL423" s="290"/>
      <c r="BM423" s="290"/>
      <c r="BN423" s="290"/>
      <c r="BO423" s="290"/>
      <c r="BP423" s="290"/>
      <c r="BQ423" s="290"/>
      <c r="BR423" s="290"/>
      <c r="BS423" s="290"/>
      <c r="BT423" s="290"/>
      <c r="BU423" s="290"/>
      <c r="BV423" s="290"/>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row>
    <row r="424" customFormat="false" ht="15.75" hidden="false" customHeight="false" outlineLevel="0" collapsed="false">
      <c r="A424" s="290"/>
      <c r="B424" s="290"/>
      <c r="C424" s="290"/>
      <c r="D424" s="290"/>
      <c r="E424" s="290"/>
      <c r="F424" s="290"/>
      <c r="G424" s="290"/>
      <c r="H424" s="290"/>
      <c r="I424" s="290"/>
      <c r="J424" s="3"/>
      <c r="K424" s="290"/>
      <c r="L424" s="290"/>
      <c r="M424" s="290"/>
      <c r="N424" s="290"/>
      <c r="O424" s="290"/>
      <c r="P424" s="290"/>
      <c r="Q424" s="290"/>
      <c r="R424" s="290"/>
      <c r="S424" s="290"/>
      <c r="T424" s="290"/>
      <c r="U424" s="290"/>
      <c r="V424" s="290"/>
      <c r="W424" s="290"/>
      <c r="X424" s="290"/>
      <c r="Y424" s="290"/>
      <c r="Z424" s="290"/>
      <c r="AA424" s="290"/>
      <c r="AB424" s="290"/>
      <c r="AC424" s="290"/>
      <c r="AD424" s="290"/>
      <c r="AE424" s="290"/>
      <c r="AF424" s="290"/>
      <c r="AG424" s="290"/>
      <c r="AH424" s="290"/>
      <c r="AI424" s="290"/>
      <c r="AJ424" s="290"/>
      <c r="AK424" s="290"/>
      <c r="AL424" s="290"/>
      <c r="AM424" s="290"/>
      <c r="AN424" s="290"/>
      <c r="AO424" s="290"/>
      <c r="AP424" s="290"/>
      <c r="AQ424" s="290"/>
      <c r="AR424" s="290"/>
      <c r="AS424" s="290"/>
      <c r="AT424" s="290"/>
      <c r="AU424" s="290"/>
      <c r="AV424" s="290"/>
      <c r="AW424" s="290"/>
      <c r="AX424" s="290"/>
      <c r="AY424" s="290"/>
      <c r="AZ424" s="290"/>
      <c r="BA424" s="290"/>
      <c r="BB424" s="290"/>
      <c r="BC424" s="290"/>
      <c r="BD424" s="290"/>
      <c r="BE424" s="290"/>
      <c r="BF424" s="290"/>
      <c r="BG424" s="290"/>
      <c r="BH424" s="290"/>
      <c r="BI424" s="290"/>
      <c r="BJ424" s="290"/>
      <c r="BK424" s="290"/>
      <c r="BL424" s="290"/>
      <c r="BM424" s="290"/>
      <c r="BN424" s="290"/>
      <c r="BO424" s="290"/>
      <c r="BP424" s="290"/>
      <c r="BQ424" s="290"/>
      <c r="BR424" s="290"/>
      <c r="BS424" s="290"/>
      <c r="BT424" s="290"/>
      <c r="BU424" s="290"/>
      <c r="BV424" s="290"/>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row>
    <row r="425" customFormat="false" ht="15.75" hidden="false" customHeight="false" outlineLevel="0" collapsed="false">
      <c r="A425" s="290"/>
      <c r="B425" s="290"/>
      <c r="C425" s="290"/>
      <c r="D425" s="290"/>
      <c r="E425" s="290"/>
      <c r="F425" s="290"/>
      <c r="G425" s="290"/>
      <c r="H425" s="290"/>
      <c r="I425" s="290"/>
      <c r="J425" s="3"/>
      <c r="K425" s="290"/>
      <c r="L425" s="290"/>
      <c r="M425" s="290"/>
      <c r="N425" s="290"/>
      <c r="O425" s="290"/>
      <c r="P425" s="290"/>
      <c r="Q425" s="290"/>
      <c r="R425" s="290"/>
      <c r="S425" s="290"/>
      <c r="T425" s="290"/>
      <c r="U425" s="290"/>
      <c r="V425" s="290"/>
      <c r="W425" s="290"/>
      <c r="X425" s="290"/>
      <c r="Y425" s="290"/>
      <c r="Z425" s="290"/>
      <c r="AA425" s="290"/>
      <c r="AB425" s="290"/>
      <c r="AC425" s="290"/>
      <c r="AD425" s="290"/>
      <c r="AE425" s="290"/>
      <c r="AF425" s="290"/>
      <c r="AG425" s="290"/>
      <c r="AH425" s="290"/>
      <c r="AI425" s="290"/>
      <c r="AJ425" s="290"/>
      <c r="AK425" s="290"/>
      <c r="AL425" s="290"/>
      <c r="AM425" s="290"/>
      <c r="AN425" s="290"/>
      <c r="AO425" s="290"/>
      <c r="AP425" s="290"/>
      <c r="AQ425" s="290"/>
      <c r="AR425" s="290"/>
      <c r="AS425" s="290"/>
      <c r="AT425" s="290"/>
      <c r="AU425" s="290"/>
      <c r="AV425" s="290"/>
      <c r="AW425" s="290"/>
      <c r="AX425" s="290"/>
      <c r="AY425" s="290"/>
      <c r="AZ425" s="290"/>
      <c r="BA425" s="290"/>
      <c r="BB425" s="290"/>
      <c r="BC425" s="290"/>
      <c r="BD425" s="290"/>
      <c r="BE425" s="290"/>
      <c r="BF425" s="290"/>
      <c r="BG425" s="290"/>
      <c r="BH425" s="290"/>
      <c r="BI425" s="290"/>
      <c r="BJ425" s="290"/>
      <c r="BK425" s="290"/>
      <c r="BL425" s="290"/>
      <c r="BM425" s="290"/>
      <c r="BN425" s="290"/>
      <c r="BO425" s="290"/>
      <c r="BP425" s="290"/>
      <c r="BQ425" s="290"/>
      <c r="BR425" s="290"/>
      <c r="BS425" s="290"/>
      <c r="BT425" s="290"/>
      <c r="BU425" s="290"/>
      <c r="BV425" s="290"/>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row>
    <row r="426" customFormat="false" ht="15.75" hidden="false" customHeight="false" outlineLevel="0" collapsed="false">
      <c r="A426" s="290"/>
      <c r="B426" s="290"/>
      <c r="C426" s="290"/>
      <c r="D426" s="290"/>
      <c r="E426" s="290"/>
      <c r="F426" s="290"/>
      <c r="G426" s="290"/>
      <c r="H426" s="290"/>
      <c r="I426" s="290"/>
      <c r="J426" s="3"/>
      <c r="K426" s="290"/>
      <c r="L426" s="290"/>
      <c r="M426" s="290"/>
      <c r="N426" s="290"/>
      <c r="O426" s="290"/>
      <c r="P426" s="290"/>
      <c r="Q426" s="290"/>
      <c r="R426" s="290"/>
      <c r="S426" s="290"/>
      <c r="T426" s="290"/>
      <c r="U426" s="290"/>
      <c r="V426" s="290"/>
      <c r="W426" s="290"/>
      <c r="X426" s="290"/>
      <c r="Y426" s="290"/>
      <c r="Z426" s="290"/>
      <c r="AA426" s="290"/>
      <c r="AB426" s="290"/>
      <c r="AC426" s="290"/>
      <c r="AD426" s="290"/>
      <c r="AE426" s="290"/>
      <c r="AF426" s="290"/>
      <c r="AG426" s="290"/>
      <c r="AH426" s="290"/>
      <c r="AI426" s="290"/>
      <c r="AJ426" s="290"/>
      <c r="AK426" s="290"/>
      <c r="AL426" s="290"/>
      <c r="AM426" s="290"/>
      <c r="AN426" s="290"/>
      <c r="AO426" s="290"/>
      <c r="AP426" s="290"/>
      <c r="AQ426" s="290"/>
      <c r="AR426" s="290"/>
      <c r="AS426" s="290"/>
      <c r="AT426" s="290"/>
      <c r="AU426" s="290"/>
      <c r="AV426" s="290"/>
      <c r="AW426" s="290"/>
      <c r="AX426" s="290"/>
      <c r="AY426" s="290"/>
      <c r="AZ426" s="290"/>
      <c r="BA426" s="290"/>
      <c r="BB426" s="290"/>
      <c r="BC426" s="290"/>
      <c r="BD426" s="290"/>
      <c r="BE426" s="290"/>
      <c r="BF426" s="290"/>
      <c r="BG426" s="290"/>
      <c r="BH426" s="290"/>
      <c r="BI426" s="290"/>
      <c r="BJ426" s="290"/>
      <c r="BK426" s="290"/>
      <c r="BL426" s="290"/>
      <c r="BM426" s="290"/>
      <c r="BN426" s="290"/>
      <c r="BO426" s="290"/>
      <c r="BP426" s="290"/>
      <c r="BQ426" s="290"/>
      <c r="BR426" s="290"/>
      <c r="BS426" s="290"/>
      <c r="BT426" s="290"/>
      <c r="BU426" s="290"/>
      <c r="BV426" s="290"/>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row>
    <row r="427" customFormat="false" ht="15.75" hidden="false" customHeight="false" outlineLevel="0" collapsed="false">
      <c r="A427" s="290"/>
      <c r="B427" s="290"/>
      <c r="C427" s="290"/>
      <c r="D427" s="290"/>
      <c r="E427" s="290"/>
      <c r="F427" s="290"/>
      <c r="G427" s="290"/>
      <c r="H427" s="290"/>
      <c r="I427" s="290"/>
      <c r="J427" s="3"/>
      <c r="K427" s="290"/>
      <c r="L427" s="290"/>
      <c r="M427" s="290"/>
      <c r="N427" s="290"/>
      <c r="O427" s="290"/>
      <c r="P427" s="290"/>
      <c r="Q427" s="290"/>
      <c r="R427" s="290"/>
      <c r="S427" s="290"/>
      <c r="T427" s="290"/>
      <c r="U427" s="290"/>
      <c r="V427" s="290"/>
      <c r="W427" s="290"/>
      <c r="X427" s="290"/>
      <c r="Y427" s="290"/>
      <c r="Z427" s="290"/>
      <c r="AA427" s="290"/>
      <c r="AB427" s="290"/>
      <c r="AC427" s="290"/>
      <c r="AD427" s="290"/>
      <c r="AE427" s="290"/>
      <c r="AF427" s="290"/>
      <c r="AG427" s="290"/>
      <c r="AH427" s="290"/>
      <c r="AI427" s="290"/>
      <c r="AJ427" s="290"/>
      <c r="AK427" s="290"/>
      <c r="AL427" s="290"/>
      <c r="AM427" s="290"/>
      <c r="AN427" s="290"/>
      <c r="AO427" s="290"/>
      <c r="AP427" s="290"/>
      <c r="AQ427" s="290"/>
      <c r="AR427" s="290"/>
      <c r="AS427" s="290"/>
      <c r="AT427" s="290"/>
      <c r="AU427" s="290"/>
      <c r="AV427" s="290"/>
      <c r="AW427" s="290"/>
      <c r="AX427" s="290"/>
      <c r="AY427" s="290"/>
      <c r="AZ427" s="290"/>
      <c r="BA427" s="290"/>
      <c r="BB427" s="290"/>
      <c r="BC427" s="290"/>
      <c r="BD427" s="290"/>
      <c r="BE427" s="290"/>
      <c r="BF427" s="290"/>
      <c r="BG427" s="290"/>
      <c r="BH427" s="290"/>
      <c r="BI427" s="290"/>
      <c r="BJ427" s="290"/>
      <c r="BK427" s="290"/>
      <c r="BL427" s="290"/>
      <c r="BM427" s="290"/>
      <c r="BN427" s="290"/>
      <c r="BO427" s="290"/>
      <c r="BP427" s="290"/>
      <c r="BQ427" s="290"/>
      <c r="BR427" s="290"/>
      <c r="BS427" s="290"/>
      <c r="BT427" s="290"/>
      <c r="BU427" s="290"/>
      <c r="BV427" s="290"/>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row>
    <row r="428" customFormat="false" ht="15.75" hidden="false" customHeight="false" outlineLevel="0" collapsed="false">
      <c r="A428" s="290"/>
      <c r="B428" s="290"/>
      <c r="C428" s="290"/>
      <c r="D428" s="290"/>
      <c r="E428" s="290"/>
      <c r="F428" s="290"/>
      <c r="G428" s="290"/>
      <c r="H428" s="290"/>
      <c r="I428" s="290"/>
      <c r="J428" s="3"/>
      <c r="K428" s="290"/>
      <c r="L428" s="290"/>
      <c r="M428" s="290"/>
      <c r="N428" s="290"/>
      <c r="O428" s="290"/>
      <c r="P428" s="290"/>
      <c r="Q428" s="290"/>
      <c r="R428" s="290"/>
      <c r="S428" s="290"/>
      <c r="T428" s="290"/>
      <c r="U428" s="290"/>
      <c r="V428" s="290"/>
      <c r="W428" s="290"/>
      <c r="X428" s="290"/>
      <c r="Y428" s="290"/>
      <c r="Z428" s="290"/>
      <c r="AA428" s="290"/>
      <c r="AB428" s="290"/>
      <c r="AC428" s="290"/>
      <c r="AD428" s="290"/>
      <c r="AE428" s="290"/>
      <c r="AF428" s="290"/>
      <c r="AG428" s="290"/>
      <c r="AH428" s="290"/>
      <c r="AI428" s="290"/>
      <c r="AJ428" s="290"/>
      <c r="AK428" s="290"/>
      <c r="AL428" s="290"/>
      <c r="AM428" s="290"/>
      <c r="AN428" s="290"/>
      <c r="AO428" s="290"/>
      <c r="AP428" s="290"/>
      <c r="AQ428" s="290"/>
      <c r="AR428" s="290"/>
      <c r="AS428" s="290"/>
      <c r="AT428" s="290"/>
      <c r="AU428" s="290"/>
      <c r="AV428" s="290"/>
      <c r="AW428" s="290"/>
      <c r="AX428" s="290"/>
      <c r="AY428" s="290"/>
      <c r="AZ428" s="290"/>
      <c r="BA428" s="290"/>
      <c r="BB428" s="290"/>
      <c r="BC428" s="290"/>
      <c r="BD428" s="290"/>
      <c r="BE428" s="290"/>
      <c r="BF428" s="290"/>
      <c r="BG428" s="290"/>
      <c r="BH428" s="290"/>
      <c r="BI428" s="290"/>
      <c r="BJ428" s="290"/>
      <c r="BK428" s="290"/>
      <c r="BL428" s="290"/>
      <c r="BM428" s="290"/>
      <c r="BN428" s="290"/>
      <c r="BO428" s="290"/>
      <c r="BP428" s="290"/>
      <c r="BQ428" s="290"/>
      <c r="BR428" s="290"/>
      <c r="BS428" s="290"/>
      <c r="BT428" s="290"/>
      <c r="BU428" s="290"/>
      <c r="BV428" s="290"/>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row>
    <row r="429" customFormat="false" ht="15.75" hidden="false" customHeight="false" outlineLevel="0" collapsed="false">
      <c r="A429" s="290"/>
      <c r="B429" s="290"/>
      <c r="C429" s="290"/>
      <c r="D429" s="290"/>
      <c r="E429" s="290"/>
      <c r="F429" s="290"/>
      <c r="G429" s="290"/>
      <c r="H429" s="290"/>
      <c r="I429" s="290"/>
      <c r="J429" s="3"/>
      <c r="K429" s="290"/>
      <c r="L429" s="290"/>
      <c r="M429" s="290"/>
      <c r="N429" s="290"/>
      <c r="O429" s="290"/>
      <c r="P429" s="290"/>
      <c r="Q429" s="290"/>
      <c r="R429" s="290"/>
      <c r="S429" s="290"/>
      <c r="T429" s="290"/>
      <c r="U429" s="290"/>
      <c r="V429" s="290"/>
      <c r="W429" s="290"/>
      <c r="X429" s="290"/>
      <c r="Y429" s="290"/>
      <c r="Z429" s="290"/>
      <c r="AA429" s="290"/>
      <c r="AB429" s="290"/>
      <c r="AC429" s="290"/>
      <c r="AD429" s="290"/>
      <c r="AE429" s="290"/>
      <c r="AF429" s="290"/>
      <c r="AG429" s="290"/>
      <c r="AH429" s="290"/>
      <c r="AI429" s="290"/>
      <c r="AJ429" s="290"/>
      <c r="AK429" s="290"/>
      <c r="AL429" s="290"/>
      <c r="AM429" s="290"/>
      <c r="AN429" s="290"/>
      <c r="AO429" s="290"/>
      <c r="AP429" s="290"/>
      <c r="AQ429" s="290"/>
      <c r="AR429" s="290"/>
      <c r="AS429" s="290"/>
      <c r="AT429" s="290"/>
      <c r="AU429" s="290"/>
      <c r="AV429" s="290"/>
      <c r="AW429" s="290"/>
      <c r="AX429" s="290"/>
      <c r="AY429" s="290"/>
      <c r="AZ429" s="290"/>
      <c r="BA429" s="290"/>
      <c r="BB429" s="290"/>
      <c r="BC429" s="290"/>
      <c r="BD429" s="290"/>
      <c r="BE429" s="290"/>
      <c r="BF429" s="290"/>
      <c r="BG429" s="290"/>
      <c r="BH429" s="290"/>
      <c r="BI429" s="290"/>
      <c r="BJ429" s="290"/>
      <c r="BK429" s="290"/>
      <c r="BL429" s="290"/>
      <c r="BM429" s="290"/>
      <c r="BN429" s="290"/>
      <c r="BO429" s="290"/>
      <c r="BP429" s="290"/>
      <c r="BQ429" s="290"/>
      <c r="BR429" s="290"/>
      <c r="BS429" s="290"/>
      <c r="BT429" s="290"/>
      <c r="BU429" s="290"/>
      <c r="BV429" s="290"/>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row>
    <row r="430" customFormat="false" ht="15.75" hidden="false" customHeight="false" outlineLevel="0" collapsed="false">
      <c r="A430" s="290"/>
      <c r="B430" s="290"/>
      <c r="C430" s="290"/>
      <c r="D430" s="290"/>
      <c r="E430" s="290"/>
      <c r="F430" s="290"/>
      <c r="G430" s="290"/>
      <c r="H430" s="290"/>
      <c r="I430" s="290"/>
      <c r="J430" s="3"/>
      <c r="K430" s="290"/>
      <c r="L430" s="290"/>
      <c r="M430" s="290"/>
      <c r="N430" s="290"/>
      <c r="O430" s="290"/>
      <c r="P430" s="290"/>
      <c r="Q430" s="290"/>
      <c r="R430" s="290"/>
      <c r="S430" s="290"/>
      <c r="T430" s="290"/>
      <c r="U430" s="290"/>
      <c r="V430" s="290"/>
      <c r="W430" s="290"/>
      <c r="X430" s="290"/>
      <c r="Y430" s="290"/>
      <c r="Z430" s="290"/>
      <c r="AA430" s="290"/>
      <c r="AB430" s="290"/>
      <c r="AC430" s="290"/>
      <c r="AD430" s="290"/>
      <c r="AE430" s="290"/>
      <c r="AF430" s="290"/>
      <c r="AG430" s="290"/>
      <c r="AH430" s="290"/>
      <c r="AI430" s="290"/>
      <c r="AJ430" s="290"/>
      <c r="AK430" s="290"/>
      <c r="AL430" s="290"/>
      <c r="AM430" s="290"/>
      <c r="AN430" s="290"/>
      <c r="AO430" s="290"/>
      <c r="AP430" s="290"/>
      <c r="AQ430" s="290"/>
      <c r="AR430" s="290"/>
      <c r="AS430" s="290"/>
      <c r="AT430" s="290"/>
      <c r="AU430" s="290"/>
      <c r="AV430" s="290"/>
      <c r="AW430" s="290"/>
      <c r="AX430" s="290"/>
      <c r="AY430" s="290"/>
      <c r="AZ430" s="290"/>
      <c r="BA430" s="290"/>
      <c r="BB430" s="290"/>
      <c r="BC430" s="290"/>
      <c r="BD430" s="290"/>
      <c r="BE430" s="290"/>
      <c r="BF430" s="290"/>
      <c r="BG430" s="290"/>
      <c r="BH430" s="290"/>
      <c r="BI430" s="290"/>
      <c r="BJ430" s="290"/>
      <c r="BK430" s="290"/>
      <c r="BL430" s="290"/>
      <c r="BM430" s="290"/>
      <c r="BN430" s="290"/>
      <c r="BO430" s="290"/>
      <c r="BP430" s="290"/>
      <c r="BQ430" s="290"/>
      <c r="BR430" s="290"/>
      <c r="BS430" s="290"/>
      <c r="BT430" s="290"/>
      <c r="BU430" s="290"/>
      <c r="BV430" s="290"/>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row>
    <row r="431" customFormat="false" ht="15.75" hidden="false" customHeight="false" outlineLevel="0" collapsed="false">
      <c r="A431" s="290"/>
      <c r="B431" s="290"/>
      <c r="C431" s="290"/>
      <c r="D431" s="290"/>
      <c r="E431" s="290"/>
      <c r="F431" s="290"/>
      <c r="G431" s="290"/>
      <c r="H431" s="290"/>
      <c r="I431" s="290"/>
      <c r="J431" s="3"/>
      <c r="K431" s="290"/>
      <c r="L431" s="290"/>
      <c r="M431" s="290"/>
      <c r="N431" s="290"/>
      <c r="O431" s="290"/>
      <c r="P431" s="290"/>
      <c r="Q431" s="290"/>
      <c r="R431" s="290"/>
      <c r="S431" s="290"/>
      <c r="T431" s="290"/>
      <c r="U431" s="290"/>
      <c r="V431" s="290"/>
      <c r="W431" s="290"/>
      <c r="X431" s="290"/>
      <c r="Y431" s="290"/>
      <c r="Z431" s="290"/>
      <c r="AA431" s="290"/>
      <c r="AB431" s="290"/>
      <c r="AC431" s="290"/>
      <c r="AD431" s="290"/>
      <c r="AE431" s="290"/>
      <c r="AF431" s="290"/>
      <c r="AG431" s="290"/>
      <c r="AH431" s="290"/>
      <c r="AI431" s="290"/>
      <c r="AJ431" s="290"/>
      <c r="AK431" s="290"/>
      <c r="AL431" s="290"/>
      <c r="AM431" s="290"/>
      <c r="AN431" s="290"/>
      <c r="AO431" s="290"/>
      <c r="AP431" s="290"/>
      <c r="AQ431" s="290"/>
      <c r="AR431" s="290"/>
      <c r="AS431" s="290"/>
      <c r="AT431" s="290"/>
      <c r="AU431" s="290"/>
      <c r="AV431" s="290"/>
      <c r="AW431" s="290"/>
      <c r="AX431" s="290"/>
      <c r="AY431" s="290"/>
      <c r="AZ431" s="290"/>
      <c r="BA431" s="290"/>
      <c r="BB431" s="290"/>
      <c r="BC431" s="290"/>
      <c r="BD431" s="290"/>
      <c r="BE431" s="290"/>
      <c r="BF431" s="290"/>
      <c r="BG431" s="290"/>
      <c r="BH431" s="290"/>
      <c r="BI431" s="290"/>
      <c r="BJ431" s="290"/>
      <c r="BK431" s="290"/>
      <c r="BL431" s="290"/>
      <c r="BM431" s="290"/>
      <c r="BN431" s="290"/>
      <c r="BO431" s="290"/>
      <c r="BP431" s="290"/>
      <c r="BQ431" s="290"/>
      <c r="BR431" s="290"/>
      <c r="BS431" s="290"/>
      <c r="BT431" s="290"/>
      <c r="BU431" s="290"/>
      <c r="BV431" s="290"/>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row>
    <row r="432" customFormat="false" ht="15.75" hidden="false" customHeight="false" outlineLevel="0" collapsed="false">
      <c r="A432" s="290"/>
      <c r="B432" s="290"/>
      <c r="C432" s="290"/>
      <c r="D432" s="290"/>
      <c r="E432" s="290"/>
      <c r="F432" s="290"/>
      <c r="G432" s="290"/>
      <c r="H432" s="290"/>
      <c r="I432" s="290"/>
      <c r="J432" s="3"/>
      <c r="K432" s="290"/>
      <c r="L432" s="290"/>
      <c r="M432" s="290"/>
      <c r="N432" s="290"/>
      <c r="O432" s="290"/>
      <c r="P432" s="290"/>
      <c r="Q432" s="290"/>
      <c r="R432" s="290"/>
      <c r="S432" s="290"/>
      <c r="T432" s="290"/>
      <c r="U432" s="290"/>
      <c r="V432" s="290"/>
      <c r="W432" s="290"/>
      <c r="X432" s="290"/>
      <c r="Y432" s="290"/>
      <c r="Z432" s="290"/>
      <c r="AA432" s="290"/>
      <c r="AB432" s="290"/>
      <c r="AC432" s="290"/>
      <c r="AD432" s="290"/>
      <c r="AE432" s="290"/>
      <c r="AF432" s="290"/>
      <c r="AG432" s="290"/>
      <c r="AH432" s="290"/>
      <c r="AI432" s="290"/>
      <c r="AJ432" s="290"/>
      <c r="AK432" s="290"/>
      <c r="AL432" s="290"/>
      <c r="AM432" s="290"/>
      <c r="AN432" s="290"/>
      <c r="AO432" s="290"/>
      <c r="AP432" s="290"/>
      <c r="AQ432" s="290"/>
      <c r="AR432" s="290"/>
      <c r="AS432" s="290"/>
      <c r="AT432" s="290"/>
      <c r="AU432" s="290"/>
      <c r="AV432" s="290"/>
      <c r="AW432" s="290"/>
      <c r="AX432" s="290"/>
      <c r="AY432" s="290"/>
      <c r="AZ432" s="290"/>
      <c r="BA432" s="290"/>
      <c r="BB432" s="290"/>
      <c r="BC432" s="290"/>
      <c r="BD432" s="290"/>
      <c r="BE432" s="290"/>
      <c r="BF432" s="290"/>
      <c r="BG432" s="290"/>
      <c r="BH432" s="290"/>
      <c r="BI432" s="290"/>
      <c r="BJ432" s="290"/>
      <c r="BK432" s="290"/>
      <c r="BL432" s="290"/>
      <c r="BM432" s="290"/>
      <c r="BN432" s="290"/>
      <c r="BO432" s="290"/>
      <c r="BP432" s="290"/>
      <c r="BQ432" s="290"/>
      <c r="BR432" s="290"/>
      <c r="BS432" s="290"/>
      <c r="BT432" s="290"/>
      <c r="BU432" s="290"/>
      <c r="BV432" s="290"/>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row>
    <row r="433" customFormat="false" ht="15.75" hidden="false" customHeight="false" outlineLevel="0" collapsed="false">
      <c r="A433" s="290"/>
      <c r="B433" s="290"/>
      <c r="C433" s="290"/>
      <c r="D433" s="290"/>
      <c r="E433" s="290"/>
      <c r="F433" s="290"/>
      <c r="G433" s="290"/>
      <c r="H433" s="290"/>
      <c r="I433" s="290"/>
      <c r="J433" s="3"/>
      <c r="K433" s="290"/>
      <c r="L433" s="290"/>
      <c r="M433" s="290"/>
      <c r="N433" s="290"/>
      <c r="O433" s="290"/>
      <c r="P433" s="290"/>
      <c r="Q433" s="290"/>
      <c r="R433" s="290"/>
      <c r="S433" s="290"/>
      <c r="T433" s="290"/>
      <c r="U433" s="290"/>
      <c r="V433" s="290"/>
      <c r="W433" s="290"/>
      <c r="X433" s="290"/>
      <c r="Y433" s="290"/>
      <c r="Z433" s="290"/>
      <c r="AA433" s="290"/>
      <c r="AB433" s="290"/>
      <c r="AC433" s="290"/>
      <c r="AD433" s="290"/>
      <c r="AE433" s="290"/>
      <c r="AF433" s="290"/>
      <c r="AG433" s="290"/>
      <c r="AH433" s="290"/>
      <c r="AI433" s="290"/>
      <c r="AJ433" s="290"/>
      <c r="AK433" s="290"/>
      <c r="AL433" s="290"/>
      <c r="AM433" s="290"/>
      <c r="AN433" s="290"/>
      <c r="AO433" s="290"/>
      <c r="AP433" s="290"/>
      <c r="AQ433" s="290"/>
      <c r="AR433" s="290"/>
      <c r="AS433" s="290"/>
      <c r="AT433" s="290"/>
      <c r="AU433" s="290"/>
      <c r="AV433" s="290"/>
      <c r="AW433" s="290"/>
      <c r="AX433" s="290"/>
      <c r="AY433" s="290"/>
      <c r="AZ433" s="290"/>
      <c r="BA433" s="290"/>
      <c r="BB433" s="290"/>
      <c r="BC433" s="290"/>
      <c r="BD433" s="290"/>
      <c r="BE433" s="290"/>
      <c r="BF433" s="290"/>
      <c r="BG433" s="290"/>
      <c r="BH433" s="290"/>
      <c r="BI433" s="290"/>
      <c r="BJ433" s="290"/>
      <c r="BK433" s="290"/>
      <c r="BL433" s="290"/>
      <c r="BM433" s="290"/>
      <c r="BN433" s="290"/>
      <c r="BO433" s="290"/>
      <c r="BP433" s="290"/>
      <c r="BQ433" s="290"/>
      <c r="BR433" s="290"/>
      <c r="BS433" s="290"/>
      <c r="BT433" s="290"/>
      <c r="BU433" s="290"/>
      <c r="BV433" s="290"/>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row>
    <row r="434" customFormat="false" ht="15.75" hidden="false" customHeight="false" outlineLevel="0" collapsed="false">
      <c r="A434" s="290"/>
      <c r="B434" s="290"/>
      <c r="C434" s="290"/>
      <c r="D434" s="290"/>
      <c r="E434" s="290"/>
      <c r="F434" s="290"/>
      <c r="G434" s="290"/>
      <c r="H434" s="290"/>
      <c r="I434" s="290"/>
      <c r="J434" s="3"/>
      <c r="K434" s="290"/>
      <c r="L434" s="290"/>
      <c r="M434" s="290"/>
      <c r="N434" s="290"/>
      <c r="O434" s="290"/>
      <c r="P434" s="290"/>
      <c r="Q434" s="290"/>
      <c r="R434" s="290"/>
      <c r="S434" s="290"/>
      <c r="T434" s="290"/>
      <c r="U434" s="290"/>
      <c r="V434" s="290"/>
      <c r="W434" s="290"/>
      <c r="X434" s="290"/>
      <c r="Y434" s="290"/>
      <c r="Z434" s="290"/>
      <c r="AA434" s="290"/>
      <c r="AB434" s="290"/>
      <c r="AC434" s="290"/>
      <c r="AD434" s="290"/>
      <c r="AE434" s="290"/>
      <c r="AF434" s="290"/>
      <c r="AG434" s="290"/>
      <c r="AH434" s="290"/>
      <c r="AI434" s="290"/>
      <c r="AJ434" s="290"/>
      <c r="AK434" s="290"/>
      <c r="AL434" s="290"/>
      <c r="AM434" s="290"/>
      <c r="AN434" s="290"/>
      <c r="AO434" s="290"/>
      <c r="AP434" s="290"/>
      <c r="AQ434" s="290"/>
      <c r="AR434" s="290"/>
      <c r="AS434" s="290"/>
      <c r="AT434" s="290"/>
      <c r="AU434" s="290"/>
      <c r="AV434" s="290"/>
      <c r="AW434" s="290"/>
      <c r="AX434" s="290"/>
      <c r="AY434" s="290"/>
      <c r="AZ434" s="290"/>
      <c r="BA434" s="290"/>
      <c r="BB434" s="290"/>
      <c r="BC434" s="290"/>
      <c r="BD434" s="290"/>
      <c r="BE434" s="290"/>
      <c r="BF434" s="290"/>
      <c r="BG434" s="290"/>
      <c r="BH434" s="290"/>
      <c r="BI434" s="290"/>
      <c r="BJ434" s="290"/>
      <c r="BK434" s="290"/>
      <c r="BL434" s="290"/>
      <c r="BM434" s="290"/>
      <c r="BN434" s="290"/>
      <c r="BO434" s="290"/>
      <c r="BP434" s="290"/>
      <c r="BQ434" s="290"/>
      <c r="BR434" s="290"/>
      <c r="BS434" s="290"/>
      <c r="BT434" s="290"/>
      <c r="BU434" s="290"/>
      <c r="BV434" s="290"/>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row>
    <row r="435" customFormat="false" ht="15.75" hidden="false" customHeight="false" outlineLevel="0" collapsed="false">
      <c r="A435" s="290"/>
      <c r="B435" s="290"/>
      <c r="C435" s="290"/>
      <c r="D435" s="290"/>
      <c r="E435" s="290"/>
      <c r="F435" s="290"/>
      <c r="G435" s="290"/>
      <c r="H435" s="290"/>
      <c r="I435" s="290"/>
      <c r="J435" s="3"/>
      <c r="K435" s="290"/>
      <c r="L435" s="290"/>
      <c r="M435" s="290"/>
      <c r="N435" s="290"/>
      <c r="O435" s="290"/>
      <c r="P435" s="290"/>
      <c r="Q435" s="290"/>
      <c r="R435" s="290"/>
      <c r="S435" s="290"/>
      <c r="T435" s="290"/>
      <c r="U435" s="290"/>
      <c r="V435" s="290"/>
      <c r="W435" s="290"/>
      <c r="X435" s="290"/>
      <c r="Y435" s="290"/>
      <c r="Z435" s="290"/>
      <c r="AA435" s="290"/>
      <c r="AB435" s="290"/>
      <c r="AC435" s="290"/>
      <c r="AD435" s="290"/>
      <c r="AE435" s="290"/>
      <c r="AF435" s="290"/>
      <c r="AG435" s="290"/>
      <c r="AH435" s="290"/>
      <c r="AI435" s="290"/>
      <c r="AJ435" s="290"/>
      <c r="AK435" s="290"/>
      <c r="AL435" s="290"/>
      <c r="AM435" s="290"/>
      <c r="AN435" s="290"/>
      <c r="AO435" s="290"/>
      <c r="AP435" s="290"/>
      <c r="AQ435" s="290"/>
      <c r="AR435" s="290"/>
      <c r="AS435" s="290"/>
      <c r="AT435" s="290"/>
      <c r="AU435" s="290"/>
      <c r="AV435" s="290"/>
      <c r="AW435" s="290"/>
      <c r="AX435" s="290"/>
      <c r="AY435" s="290"/>
      <c r="AZ435" s="290"/>
      <c r="BA435" s="290"/>
      <c r="BB435" s="290"/>
      <c r="BC435" s="290"/>
      <c r="BD435" s="290"/>
      <c r="BE435" s="290"/>
      <c r="BF435" s="290"/>
      <c r="BG435" s="290"/>
      <c r="BH435" s="290"/>
      <c r="BI435" s="290"/>
      <c r="BJ435" s="290"/>
      <c r="BK435" s="290"/>
      <c r="BL435" s="290"/>
      <c r="BM435" s="290"/>
      <c r="BN435" s="290"/>
      <c r="BO435" s="290"/>
      <c r="BP435" s="290"/>
      <c r="BQ435" s="290"/>
      <c r="BR435" s="290"/>
      <c r="BS435" s="290"/>
      <c r="BT435" s="290"/>
      <c r="BU435" s="290"/>
      <c r="BV435" s="290"/>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row>
    <row r="436" customFormat="false" ht="15.75" hidden="false" customHeight="false" outlineLevel="0" collapsed="false">
      <c r="A436" s="290"/>
      <c r="B436" s="290"/>
      <c r="C436" s="290"/>
      <c r="D436" s="290"/>
      <c r="E436" s="290"/>
      <c r="F436" s="290"/>
      <c r="G436" s="290"/>
      <c r="H436" s="290"/>
      <c r="I436" s="290"/>
      <c r="J436" s="3"/>
      <c r="K436" s="290"/>
      <c r="L436" s="290"/>
      <c r="M436" s="290"/>
      <c r="N436" s="290"/>
      <c r="O436" s="290"/>
      <c r="P436" s="290"/>
      <c r="Q436" s="290"/>
      <c r="R436" s="290"/>
      <c r="S436" s="290"/>
      <c r="T436" s="290"/>
      <c r="U436" s="290"/>
      <c r="V436" s="290"/>
      <c r="W436" s="290"/>
      <c r="X436" s="290"/>
      <c r="Y436" s="290"/>
      <c r="Z436" s="290"/>
      <c r="AA436" s="290"/>
      <c r="AB436" s="290"/>
      <c r="AC436" s="290"/>
      <c r="AD436" s="290"/>
      <c r="AE436" s="290"/>
      <c r="AF436" s="290"/>
      <c r="AG436" s="290"/>
      <c r="AH436" s="290"/>
      <c r="AI436" s="290"/>
      <c r="AJ436" s="290"/>
      <c r="AK436" s="290"/>
      <c r="AL436" s="290"/>
      <c r="AM436" s="290"/>
      <c r="AN436" s="290"/>
      <c r="AO436" s="290"/>
      <c r="AP436" s="290"/>
      <c r="AQ436" s="290"/>
      <c r="AR436" s="290"/>
      <c r="AS436" s="290"/>
      <c r="AT436" s="290"/>
      <c r="AU436" s="290"/>
      <c r="AV436" s="290"/>
      <c r="AW436" s="290"/>
      <c r="AX436" s="290"/>
      <c r="AY436" s="290"/>
      <c r="AZ436" s="290"/>
      <c r="BA436" s="290"/>
      <c r="BB436" s="290"/>
      <c r="BC436" s="290"/>
      <c r="BD436" s="290"/>
      <c r="BE436" s="290"/>
      <c r="BF436" s="290"/>
      <c r="BG436" s="290"/>
      <c r="BH436" s="290"/>
      <c r="BI436" s="290"/>
      <c r="BJ436" s="290"/>
      <c r="BK436" s="290"/>
      <c r="BL436" s="290"/>
      <c r="BM436" s="290"/>
      <c r="BN436" s="290"/>
      <c r="BO436" s="290"/>
      <c r="BP436" s="290"/>
      <c r="BQ436" s="290"/>
      <c r="BR436" s="290"/>
      <c r="BS436" s="290"/>
      <c r="BT436" s="290"/>
      <c r="BU436" s="290"/>
      <c r="BV436" s="290"/>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row>
    <row r="437" customFormat="false" ht="15.75" hidden="false" customHeight="false" outlineLevel="0" collapsed="false">
      <c r="A437" s="290"/>
      <c r="B437" s="290"/>
      <c r="C437" s="290"/>
      <c r="D437" s="290"/>
      <c r="E437" s="290"/>
      <c r="F437" s="290"/>
      <c r="G437" s="290"/>
      <c r="H437" s="290"/>
      <c r="I437" s="290"/>
      <c r="J437" s="3"/>
      <c r="K437" s="290"/>
      <c r="L437" s="290"/>
      <c r="M437" s="290"/>
      <c r="N437" s="290"/>
      <c r="O437" s="290"/>
      <c r="P437" s="290"/>
      <c r="Q437" s="290"/>
      <c r="R437" s="290"/>
      <c r="S437" s="290"/>
      <c r="T437" s="290"/>
      <c r="U437" s="290"/>
      <c r="V437" s="290"/>
      <c r="W437" s="290"/>
      <c r="X437" s="290"/>
      <c r="Y437" s="290"/>
      <c r="Z437" s="290"/>
      <c r="AA437" s="290"/>
      <c r="AB437" s="290"/>
      <c r="AC437" s="290"/>
      <c r="AD437" s="290"/>
      <c r="AE437" s="290"/>
      <c r="AF437" s="290"/>
      <c r="AG437" s="290"/>
      <c r="AH437" s="290"/>
      <c r="AI437" s="290"/>
      <c r="AJ437" s="290"/>
      <c r="AK437" s="290"/>
      <c r="AL437" s="290"/>
      <c r="AM437" s="290"/>
      <c r="AN437" s="290"/>
      <c r="AO437" s="290"/>
      <c r="AP437" s="290"/>
      <c r="AQ437" s="290"/>
      <c r="AR437" s="290"/>
      <c r="AS437" s="290"/>
      <c r="AT437" s="290"/>
      <c r="AU437" s="290"/>
      <c r="AV437" s="290"/>
      <c r="AW437" s="290"/>
      <c r="AX437" s="290"/>
      <c r="AY437" s="290"/>
      <c r="AZ437" s="290"/>
      <c r="BA437" s="290"/>
      <c r="BB437" s="290"/>
      <c r="BC437" s="290"/>
      <c r="BD437" s="290"/>
      <c r="BE437" s="290"/>
      <c r="BF437" s="290"/>
      <c r="BG437" s="290"/>
      <c r="BH437" s="290"/>
      <c r="BI437" s="290"/>
      <c r="BJ437" s="290"/>
      <c r="BK437" s="290"/>
      <c r="BL437" s="290"/>
      <c r="BM437" s="290"/>
      <c r="BN437" s="290"/>
      <c r="BO437" s="290"/>
      <c r="BP437" s="290"/>
      <c r="BQ437" s="290"/>
      <c r="BR437" s="290"/>
      <c r="BS437" s="290"/>
      <c r="BT437" s="290"/>
      <c r="BU437" s="290"/>
      <c r="BV437" s="290"/>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row>
    <row r="438" customFormat="false" ht="15.75" hidden="false" customHeight="false" outlineLevel="0" collapsed="false">
      <c r="A438" s="290"/>
      <c r="B438" s="290"/>
      <c r="C438" s="290"/>
      <c r="D438" s="290"/>
      <c r="E438" s="290"/>
      <c r="F438" s="290"/>
      <c r="G438" s="290"/>
      <c r="H438" s="290"/>
      <c r="I438" s="290"/>
      <c r="J438" s="3"/>
      <c r="K438" s="290"/>
      <c r="L438" s="290"/>
      <c r="M438" s="290"/>
      <c r="N438" s="290"/>
      <c r="O438" s="290"/>
      <c r="P438" s="290"/>
      <c r="Q438" s="290"/>
      <c r="R438" s="290"/>
      <c r="S438" s="290"/>
      <c r="T438" s="290"/>
      <c r="U438" s="290"/>
      <c r="V438" s="290"/>
      <c r="W438" s="290"/>
      <c r="X438" s="290"/>
      <c r="Y438" s="290"/>
      <c r="Z438" s="290"/>
      <c r="AA438" s="290"/>
      <c r="AB438" s="290"/>
      <c r="AC438" s="290"/>
      <c r="AD438" s="290"/>
      <c r="AE438" s="290"/>
      <c r="AF438" s="290"/>
      <c r="AG438" s="290"/>
      <c r="AH438" s="290"/>
      <c r="AI438" s="290"/>
      <c r="AJ438" s="290"/>
      <c r="AK438" s="290"/>
      <c r="AL438" s="290"/>
      <c r="AM438" s="290"/>
      <c r="AN438" s="290"/>
      <c r="AO438" s="290"/>
      <c r="AP438" s="290"/>
      <c r="AQ438" s="290"/>
      <c r="AR438" s="290"/>
      <c r="AS438" s="290"/>
      <c r="AT438" s="290"/>
      <c r="AU438" s="290"/>
      <c r="AV438" s="290"/>
      <c r="AW438" s="290"/>
      <c r="AX438" s="290"/>
      <c r="AY438" s="290"/>
      <c r="AZ438" s="290"/>
      <c r="BA438" s="290"/>
      <c r="BB438" s="290"/>
      <c r="BC438" s="290"/>
      <c r="BD438" s="290"/>
      <c r="BE438" s="290"/>
      <c r="BF438" s="290"/>
      <c r="BG438" s="290"/>
      <c r="BH438" s="290"/>
      <c r="BI438" s="290"/>
      <c r="BJ438" s="290"/>
      <c r="BK438" s="290"/>
      <c r="BL438" s="290"/>
      <c r="BM438" s="290"/>
      <c r="BN438" s="290"/>
      <c r="BO438" s="290"/>
      <c r="BP438" s="290"/>
      <c r="BQ438" s="290"/>
      <c r="BR438" s="290"/>
      <c r="BS438" s="290"/>
      <c r="BT438" s="290"/>
      <c r="BU438" s="290"/>
      <c r="BV438" s="290"/>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row>
    <row r="439" customFormat="false" ht="15.75" hidden="false" customHeight="false" outlineLevel="0" collapsed="false">
      <c r="A439" s="290"/>
      <c r="B439" s="290"/>
      <c r="C439" s="290"/>
      <c r="D439" s="290"/>
      <c r="E439" s="290"/>
      <c r="F439" s="290"/>
      <c r="G439" s="290"/>
      <c r="H439" s="290"/>
      <c r="I439" s="290"/>
      <c r="J439" s="3"/>
      <c r="K439" s="290"/>
      <c r="L439" s="290"/>
      <c r="M439" s="290"/>
      <c r="N439" s="290"/>
      <c r="O439" s="290"/>
      <c r="P439" s="290"/>
      <c r="Q439" s="290"/>
      <c r="R439" s="290"/>
      <c r="S439" s="290"/>
      <c r="T439" s="290"/>
      <c r="U439" s="290"/>
      <c r="V439" s="290"/>
      <c r="W439" s="290"/>
      <c r="X439" s="290"/>
      <c r="Y439" s="290"/>
      <c r="Z439" s="290"/>
      <c r="AA439" s="290"/>
      <c r="AB439" s="290"/>
      <c r="AC439" s="290"/>
      <c r="AD439" s="290"/>
      <c r="AE439" s="290"/>
      <c r="AF439" s="290"/>
      <c r="AG439" s="290"/>
      <c r="AH439" s="290"/>
      <c r="AI439" s="290"/>
      <c r="AJ439" s="290"/>
      <c r="AK439" s="290"/>
      <c r="AL439" s="290"/>
      <c r="AM439" s="290"/>
      <c r="AN439" s="290"/>
      <c r="AO439" s="290"/>
      <c r="AP439" s="290"/>
      <c r="AQ439" s="290"/>
      <c r="AR439" s="290"/>
      <c r="AS439" s="290"/>
      <c r="AT439" s="290"/>
      <c r="AU439" s="290"/>
      <c r="AV439" s="290"/>
      <c r="AW439" s="290"/>
      <c r="AX439" s="290"/>
      <c r="AY439" s="290"/>
      <c r="AZ439" s="290"/>
      <c r="BA439" s="290"/>
      <c r="BB439" s="290"/>
      <c r="BC439" s="290"/>
      <c r="BD439" s="290"/>
      <c r="BE439" s="290"/>
      <c r="BF439" s="290"/>
      <c r="BG439" s="290"/>
      <c r="BH439" s="290"/>
      <c r="BI439" s="290"/>
      <c r="BJ439" s="290"/>
      <c r="BK439" s="290"/>
      <c r="BL439" s="290"/>
      <c r="BM439" s="290"/>
      <c r="BN439" s="290"/>
      <c r="BO439" s="290"/>
      <c r="BP439" s="290"/>
      <c r="BQ439" s="290"/>
      <c r="BR439" s="290"/>
      <c r="BS439" s="290"/>
      <c r="BT439" s="290"/>
      <c r="BU439" s="290"/>
      <c r="BV439" s="290"/>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row>
    <row r="440" customFormat="false" ht="15.75" hidden="false" customHeight="false" outlineLevel="0" collapsed="false">
      <c r="A440" s="290"/>
      <c r="B440" s="290"/>
      <c r="C440" s="290"/>
      <c r="D440" s="290"/>
      <c r="E440" s="290"/>
      <c r="F440" s="290"/>
      <c r="G440" s="290"/>
      <c r="H440" s="290"/>
      <c r="I440" s="290"/>
      <c r="J440" s="3"/>
      <c r="K440" s="290"/>
      <c r="L440" s="290"/>
      <c r="M440" s="290"/>
      <c r="N440" s="290"/>
      <c r="O440" s="290"/>
      <c r="P440" s="290"/>
      <c r="Q440" s="290"/>
      <c r="R440" s="290"/>
      <c r="S440" s="290"/>
      <c r="T440" s="290"/>
      <c r="U440" s="290"/>
      <c r="V440" s="290"/>
      <c r="W440" s="290"/>
      <c r="X440" s="290"/>
      <c r="Y440" s="290"/>
      <c r="Z440" s="290"/>
      <c r="AA440" s="290"/>
      <c r="AB440" s="290"/>
      <c r="AC440" s="290"/>
      <c r="AD440" s="290"/>
      <c r="AE440" s="290"/>
      <c r="AF440" s="290"/>
      <c r="AG440" s="290"/>
      <c r="AH440" s="290"/>
      <c r="AI440" s="290"/>
      <c r="AJ440" s="290"/>
      <c r="AK440" s="290"/>
      <c r="AL440" s="290"/>
      <c r="AM440" s="290"/>
      <c r="AN440" s="290"/>
      <c r="AO440" s="290"/>
      <c r="AP440" s="290"/>
      <c r="AQ440" s="290"/>
      <c r="AR440" s="290"/>
      <c r="AS440" s="290"/>
      <c r="AT440" s="290"/>
      <c r="AU440" s="290"/>
      <c r="AV440" s="290"/>
      <c r="AW440" s="290"/>
      <c r="AX440" s="290"/>
      <c r="AY440" s="290"/>
      <c r="AZ440" s="290"/>
      <c r="BA440" s="290"/>
      <c r="BB440" s="290"/>
      <c r="BC440" s="290"/>
      <c r="BD440" s="290"/>
      <c r="BE440" s="290"/>
      <c r="BF440" s="290"/>
      <c r="BG440" s="290"/>
      <c r="BH440" s="290"/>
      <c r="BI440" s="290"/>
      <c r="BJ440" s="290"/>
      <c r="BK440" s="290"/>
      <c r="BL440" s="290"/>
      <c r="BM440" s="290"/>
      <c r="BN440" s="290"/>
      <c r="BO440" s="290"/>
      <c r="BP440" s="290"/>
      <c r="BQ440" s="290"/>
      <c r="BR440" s="290"/>
      <c r="BS440" s="290"/>
      <c r="BT440" s="290"/>
      <c r="BU440" s="290"/>
      <c r="BV440" s="290"/>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row>
    <row r="441" customFormat="false" ht="15.75" hidden="false" customHeight="false" outlineLevel="0" collapsed="false">
      <c r="A441" s="290"/>
      <c r="B441" s="290"/>
      <c r="C441" s="290"/>
      <c r="D441" s="290"/>
      <c r="E441" s="290"/>
      <c r="F441" s="290"/>
      <c r="G441" s="290"/>
      <c r="H441" s="290"/>
      <c r="I441" s="290"/>
      <c r="J441" s="3"/>
      <c r="K441" s="290"/>
      <c r="L441" s="290"/>
      <c r="M441" s="290"/>
      <c r="N441" s="290"/>
      <c r="O441" s="290"/>
      <c r="P441" s="290"/>
      <c r="Q441" s="290"/>
      <c r="R441" s="290"/>
      <c r="S441" s="290"/>
      <c r="T441" s="290"/>
      <c r="U441" s="290"/>
      <c r="V441" s="290"/>
      <c r="W441" s="290"/>
      <c r="X441" s="290"/>
      <c r="Y441" s="290"/>
      <c r="Z441" s="290"/>
      <c r="AA441" s="290"/>
      <c r="AB441" s="290"/>
      <c r="AC441" s="290"/>
      <c r="AD441" s="290"/>
      <c r="AE441" s="290"/>
      <c r="AF441" s="290"/>
      <c r="AG441" s="290"/>
      <c r="AH441" s="290"/>
      <c r="AI441" s="290"/>
      <c r="AJ441" s="290"/>
      <c r="AK441" s="290"/>
      <c r="AL441" s="290"/>
      <c r="AM441" s="290"/>
      <c r="AN441" s="290"/>
      <c r="AO441" s="290"/>
      <c r="AP441" s="290"/>
      <c r="AQ441" s="290"/>
      <c r="AR441" s="290"/>
      <c r="AS441" s="290"/>
      <c r="AT441" s="290"/>
      <c r="AU441" s="290"/>
      <c r="AV441" s="290"/>
      <c r="AW441" s="290"/>
      <c r="AX441" s="290"/>
      <c r="AY441" s="290"/>
      <c r="AZ441" s="290"/>
      <c r="BA441" s="290"/>
      <c r="BB441" s="290"/>
      <c r="BC441" s="290"/>
      <c r="BD441" s="290"/>
      <c r="BE441" s="290"/>
      <c r="BF441" s="290"/>
      <c r="BG441" s="290"/>
      <c r="BH441" s="290"/>
      <c r="BI441" s="290"/>
      <c r="BJ441" s="290"/>
      <c r="BK441" s="290"/>
      <c r="BL441" s="290"/>
      <c r="BM441" s="290"/>
      <c r="BN441" s="290"/>
      <c r="BO441" s="290"/>
      <c r="BP441" s="290"/>
      <c r="BQ441" s="290"/>
      <c r="BR441" s="290"/>
      <c r="BS441" s="290"/>
      <c r="BT441" s="290"/>
      <c r="BU441" s="290"/>
      <c r="BV441" s="290"/>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row>
    <row r="442" customFormat="false" ht="15.75" hidden="false" customHeight="false" outlineLevel="0" collapsed="false">
      <c r="A442" s="290"/>
      <c r="B442" s="290"/>
      <c r="C442" s="290"/>
      <c r="D442" s="290"/>
      <c r="E442" s="290"/>
      <c r="F442" s="290"/>
      <c r="G442" s="290"/>
      <c r="H442" s="290"/>
      <c r="I442" s="290"/>
      <c r="J442" s="3"/>
      <c r="K442" s="290"/>
      <c r="L442" s="290"/>
      <c r="M442" s="290"/>
      <c r="N442" s="290"/>
      <c r="O442" s="290"/>
      <c r="P442" s="290"/>
      <c r="Q442" s="290"/>
      <c r="R442" s="290"/>
      <c r="S442" s="290"/>
      <c r="T442" s="290"/>
      <c r="U442" s="290"/>
      <c r="V442" s="290"/>
      <c r="W442" s="290"/>
      <c r="X442" s="290"/>
      <c r="Y442" s="290"/>
      <c r="Z442" s="290"/>
      <c r="AA442" s="290"/>
      <c r="AB442" s="290"/>
      <c r="AC442" s="290"/>
      <c r="AD442" s="290"/>
      <c r="AE442" s="290"/>
      <c r="AF442" s="290"/>
      <c r="AG442" s="290"/>
      <c r="AH442" s="290"/>
      <c r="AI442" s="290"/>
      <c r="AJ442" s="290"/>
      <c r="AK442" s="290"/>
      <c r="AL442" s="290"/>
      <c r="AM442" s="290"/>
      <c r="AN442" s="290"/>
      <c r="AO442" s="290"/>
      <c r="AP442" s="290"/>
      <c r="AQ442" s="290"/>
      <c r="AR442" s="290"/>
      <c r="AS442" s="290"/>
      <c r="AT442" s="290"/>
      <c r="AU442" s="290"/>
      <c r="AV442" s="290"/>
      <c r="AW442" s="290"/>
      <c r="AX442" s="290"/>
      <c r="AY442" s="290"/>
      <c r="AZ442" s="290"/>
      <c r="BA442" s="290"/>
      <c r="BB442" s="290"/>
      <c r="BC442" s="290"/>
      <c r="BD442" s="290"/>
      <c r="BE442" s="290"/>
      <c r="BF442" s="290"/>
      <c r="BG442" s="290"/>
      <c r="BH442" s="290"/>
      <c r="BI442" s="290"/>
      <c r="BJ442" s="290"/>
      <c r="BK442" s="290"/>
      <c r="BL442" s="290"/>
      <c r="BM442" s="290"/>
      <c r="BN442" s="290"/>
      <c r="BO442" s="290"/>
      <c r="BP442" s="290"/>
      <c r="BQ442" s="290"/>
      <c r="BR442" s="290"/>
      <c r="BS442" s="290"/>
      <c r="BT442" s="290"/>
      <c r="BU442" s="290"/>
      <c r="BV442" s="290"/>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row>
    <row r="443" customFormat="false" ht="15.75" hidden="false" customHeight="false" outlineLevel="0" collapsed="false">
      <c r="A443" s="290"/>
      <c r="B443" s="290"/>
      <c r="C443" s="290"/>
      <c r="D443" s="290"/>
      <c r="E443" s="290"/>
      <c r="F443" s="290"/>
      <c r="G443" s="290"/>
      <c r="H443" s="290"/>
      <c r="I443" s="290"/>
      <c r="J443" s="3"/>
      <c r="K443" s="290"/>
      <c r="L443" s="290"/>
      <c r="M443" s="290"/>
      <c r="N443" s="290"/>
      <c r="O443" s="290"/>
      <c r="P443" s="290"/>
      <c r="Q443" s="290"/>
      <c r="R443" s="290"/>
      <c r="S443" s="290"/>
      <c r="T443" s="290"/>
      <c r="U443" s="290"/>
      <c r="V443" s="290"/>
      <c r="W443" s="290"/>
      <c r="X443" s="290"/>
      <c r="Y443" s="290"/>
      <c r="Z443" s="290"/>
      <c r="AA443" s="290"/>
      <c r="AB443" s="290"/>
      <c r="AC443" s="290"/>
      <c r="AD443" s="290"/>
      <c r="AE443" s="290"/>
      <c r="AF443" s="290"/>
      <c r="AG443" s="290"/>
      <c r="AH443" s="290"/>
      <c r="AI443" s="290"/>
      <c r="AJ443" s="290"/>
      <c r="AK443" s="290"/>
      <c r="AL443" s="290"/>
      <c r="AM443" s="290"/>
      <c r="AN443" s="290"/>
      <c r="AO443" s="290"/>
      <c r="AP443" s="290"/>
      <c r="AQ443" s="290"/>
      <c r="AR443" s="290"/>
      <c r="AS443" s="290"/>
      <c r="AT443" s="290"/>
      <c r="AU443" s="290"/>
      <c r="AV443" s="290"/>
      <c r="AW443" s="290"/>
      <c r="AX443" s="290"/>
      <c r="AY443" s="290"/>
      <c r="AZ443" s="290"/>
      <c r="BA443" s="290"/>
      <c r="BB443" s="290"/>
      <c r="BC443" s="290"/>
      <c r="BD443" s="290"/>
      <c r="BE443" s="290"/>
      <c r="BF443" s="290"/>
      <c r="BG443" s="290"/>
      <c r="BH443" s="290"/>
      <c r="BI443" s="290"/>
      <c r="BJ443" s="290"/>
      <c r="BK443" s="290"/>
      <c r="BL443" s="290"/>
      <c r="BM443" s="290"/>
      <c r="BN443" s="290"/>
      <c r="BO443" s="290"/>
      <c r="BP443" s="290"/>
      <c r="BQ443" s="290"/>
      <c r="BR443" s="290"/>
      <c r="BS443" s="290"/>
      <c r="BT443" s="290"/>
      <c r="BU443" s="290"/>
      <c r="BV443" s="290"/>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row>
    <row r="444" customFormat="false" ht="15.75" hidden="false" customHeight="false" outlineLevel="0" collapsed="false">
      <c r="A444" s="290"/>
      <c r="B444" s="290"/>
      <c r="C444" s="290"/>
      <c r="D444" s="290"/>
      <c r="E444" s="290"/>
      <c r="F444" s="290"/>
      <c r="G444" s="290"/>
      <c r="H444" s="290"/>
      <c r="I444" s="290"/>
      <c r="J444" s="3"/>
      <c r="K444" s="290"/>
      <c r="L444" s="290"/>
      <c r="M444" s="290"/>
      <c r="N444" s="290"/>
      <c r="O444" s="290"/>
      <c r="P444" s="290"/>
      <c r="Q444" s="290"/>
      <c r="R444" s="290"/>
      <c r="S444" s="290"/>
      <c r="T444" s="290"/>
      <c r="U444" s="290"/>
      <c r="V444" s="290"/>
      <c r="W444" s="290"/>
      <c r="X444" s="290"/>
      <c r="Y444" s="290"/>
      <c r="Z444" s="290"/>
      <c r="AA444" s="290"/>
      <c r="AB444" s="290"/>
      <c r="AC444" s="290"/>
      <c r="AD444" s="290"/>
      <c r="AE444" s="290"/>
      <c r="AF444" s="290"/>
      <c r="AG444" s="290"/>
      <c r="AH444" s="290"/>
      <c r="AI444" s="290"/>
      <c r="AJ444" s="290"/>
      <c r="AK444" s="290"/>
      <c r="AL444" s="290"/>
      <c r="AM444" s="290"/>
      <c r="AN444" s="290"/>
      <c r="AO444" s="290"/>
      <c r="AP444" s="290"/>
      <c r="AQ444" s="290"/>
      <c r="AR444" s="290"/>
      <c r="AS444" s="290"/>
      <c r="AT444" s="290"/>
      <c r="AU444" s="290"/>
      <c r="AV444" s="290"/>
      <c r="AW444" s="290"/>
      <c r="AX444" s="290"/>
      <c r="AY444" s="290"/>
      <c r="AZ444" s="290"/>
      <c r="BA444" s="290"/>
      <c r="BB444" s="290"/>
      <c r="BC444" s="290"/>
      <c r="BD444" s="290"/>
      <c r="BE444" s="290"/>
      <c r="BF444" s="290"/>
      <c r="BG444" s="290"/>
      <c r="BH444" s="290"/>
      <c r="BI444" s="290"/>
      <c r="BJ444" s="290"/>
      <c r="BK444" s="290"/>
      <c r="BL444" s="290"/>
      <c r="BM444" s="290"/>
      <c r="BN444" s="290"/>
      <c r="BO444" s="290"/>
      <c r="BP444" s="290"/>
      <c r="BQ444" s="290"/>
      <c r="BR444" s="290"/>
      <c r="BS444" s="290"/>
      <c r="BT444" s="290"/>
      <c r="BU444" s="290"/>
      <c r="BV444" s="290"/>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row>
    <row r="445" customFormat="false" ht="15.75" hidden="false" customHeight="false" outlineLevel="0" collapsed="false">
      <c r="A445" s="290"/>
      <c r="B445" s="290"/>
      <c r="C445" s="290"/>
      <c r="D445" s="290"/>
      <c r="E445" s="290"/>
      <c r="F445" s="290"/>
      <c r="G445" s="290"/>
      <c r="H445" s="290"/>
      <c r="I445" s="290"/>
      <c r="J445" s="3"/>
      <c r="K445" s="290"/>
      <c r="L445" s="290"/>
      <c r="M445" s="290"/>
      <c r="N445" s="290"/>
      <c r="O445" s="290"/>
      <c r="P445" s="290"/>
      <c r="Q445" s="290"/>
      <c r="R445" s="290"/>
      <c r="S445" s="290"/>
      <c r="T445" s="290"/>
      <c r="U445" s="290"/>
      <c r="V445" s="290"/>
      <c r="W445" s="290"/>
      <c r="X445" s="290"/>
      <c r="Y445" s="290"/>
      <c r="Z445" s="290"/>
      <c r="AA445" s="290"/>
      <c r="AB445" s="290"/>
      <c r="AC445" s="290"/>
      <c r="AD445" s="290"/>
      <c r="AE445" s="290"/>
      <c r="AF445" s="290"/>
      <c r="AG445" s="290"/>
      <c r="AH445" s="290"/>
      <c r="AI445" s="290"/>
      <c r="AJ445" s="290"/>
      <c r="AK445" s="290"/>
      <c r="AL445" s="290"/>
      <c r="AM445" s="290"/>
      <c r="AN445" s="290"/>
      <c r="AO445" s="290"/>
      <c r="AP445" s="290"/>
      <c r="AQ445" s="290"/>
      <c r="AR445" s="290"/>
      <c r="AS445" s="290"/>
      <c r="AT445" s="290"/>
      <c r="AU445" s="290"/>
      <c r="AV445" s="290"/>
      <c r="AW445" s="290"/>
      <c r="AX445" s="290"/>
      <c r="AY445" s="290"/>
      <c r="AZ445" s="290"/>
      <c r="BA445" s="290"/>
      <c r="BB445" s="290"/>
      <c r="BC445" s="290"/>
      <c r="BD445" s="290"/>
      <c r="BE445" s="290"/>
      <c r="BF445" s="290"/>
      <c r="BG445" s="290"/>
      <c r="BH445" s="290"/>
      <c r="BI445" s="290"/>
      <c r="BJ445" s="290"/>
      <c r="BK445" s="290"/>
      <c r="BL445" s="290"/>
      <c r="BM445" s="290"/>
      <c r="BN445" s="290"/>
      <c r="BO445" s="290"/>
      <c r="BP445" s="290"/>
      <c r="BQ445" s="290"/>
      <c r="BR445" s="290"/>
      <c r="BS445" s="290"/>
      <c r="BT445" s="290"/>
      <c r="BU445" s="290"/>
      <c r="BV445" s="290"/>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row>
    <row r="446" customFormat="false" ht="15.75" hidden="false" customHeight="false" outlineLevel="0" collapsed="false">
      <c r="A446" s="290"/>
      <c r="B446" s="290"/>
      <c r="C446" s="290"/>
      <c r="D446" s="290"/>
      <c r="E446" s="290"/>
      <c r="F446" s="290"/>
      <c r="G446" s="290"/>
      <c r="H446" s="290"/>
      <c r="I446" s="290"/>
      <c r="J446" s="3"/>
      <c r="K446" s="290"/>
      <c r="L446" s="290"/>
      <c r="M446" s="290"/>
      <c r="N446" s="290"/>
      <c r="O446" s="290"/>
      <c r="P446" s="290"/>
      <c r="Q446" s="290"/>
      <c r="R446" s="290"/>
      <c r="S446" s="290"/>
      <c r="T446" s="290"/>
      <c r="U446" s="290"/>
      <c r="V446" s="290"/>
      <c r="W446" s="290"/>
      <c r="X446" s="290"/>
      <c r="Y446" s="290"/>
      <c r="Z446" s="290"/>
      <c r="AA446" s="290"/>
      <c r="AB446" s="290"/>
      <c r="AC446" s="290"/>
      <c r="AD446" s="290"/>
      <c r="AE446" s="290"/>
      <c r="AF446" s="290"/>
      <c r="AG446" s="290"/>
      <c r="AH446" s="290"/>
      <c r="AI446" s="290"/>
      <c r="AJ446" s="290"/>
      <c r="AK446" s="290"/>
      <c r="AL446" s="290"/>
      <c r="AM446" s="290"/>
      <c r="AN446" s="290"/>
      <c r="AO446" s="290"/>
      <c r="AP446" s="290"/>
      <c r="AQ446" s="290"/>
      <c r="AR446" s="290"/>
      <c r="AS446" s="290"/>
      <c r="AT446" s="290"/>
      <c r="AU446" s="290"/>
      <c r="AV446" s="290"/>
      <c r="AW446" s="290"/>
      <c r="AX446" s="290"/>
      <c r="AY446" s="290"/>
      <c r="AZ446" s="290"/>
      <c r="BA446" s="290"/>
      <c r="BB446" s="290"/>
      <c r="BC446" s="290"/>
      <c r="BD446" s="290"/>
      <c r="BE446" s="290"/>
      <c r="BF446" s="290"/>
      <c r="BG446" s="290"/>
      <c r="BH446" s="290"/>
      <c r="BI446" s="290"/>
      <c r="BJ446" s="290"/>
      <c r="BK446" s="290"/>
      <c r="BL446" s="290"/>
      <c r="BM446" s="290"/>
      <c r="BN446" s="290"/>
      <c r="BO446" s="290"/>
      <c r="BP446" s="290"/>
      <c r="BQ446" s="290"/>
      <c r="BR446" s="290"/>
      <c r="BS446" s="290"/>
      <c r="BT446" s="290"/>
      <c r="BU446" s="290"/>
      <c r="BV446" s="290"/>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row>
    <row r="447" customFormat="false" ht="15.75" hidden="false" customHeight="false" outlineLevel="0" collapsed="false">
      <c r="A447" s="290"/>
      <c r="B447" s="290"/>
      <c r="C447" s="290"/>
      <c r="D447" s="290"/>
      <c r="E447" s="290"/>
      <c r="F447" s="290"/>
      <c r="G447" s="290"/>
      <c r="H447" s="290"/>
      <c r="I447" s="290"/>
      <c r="J447" s="3"/>
      <c r="K447" s="290"/>
      <c r="L447" s="290"/>
      <c r="M447" s="290"/>
      <c r="N447" s="290"/>
      <c r="O447" s="290"/>
      <c r="P447" s="290"/>
      <c r="Q447" s="290"/>
      <c r="R447" s="290"/>
      <c r="S447" s="290"/>
      <c r="T447" s="290"/>
      <c r="U447" s="290"/>
      <c r="V447" s="290"/>
      <c r="W447" s="290"/>
      <c r="X447" s="290"/>
      <c r="Y447" s="290"/>
      <c r="Z447" s="290"/>
      <c r="AA447" s="290"/>
      <c r="AB447" s="290"/>
      <c r="AC447" s="290"/>
      <c r="AD447" s="290"/>
      <c r="AE447" s="290"/>
      <c r="AF447" s="290"/>
      <c r="AG447" s="290"/>
      <c r="AH447" s="290"/>
      <c r="AI447" s="290"/>
      <c r="AJ447" s="290"/>
      <c r="AK447" s="290"/>
      <c r="AL447" s="290"/>
      <c r="AM447" s="290"/>
      <c r="AN447" s="290"/>
      <c r="AO447" s="290"/>
      <c r="AP447" s="290"/>
      <c r="AQ447" s="290"/>
      <c r="AR447" s="290"/>
      <c r="AS447" s="290"/>
      <c r="AT447" s="290"/>
      <c r="AU447" s="290"/>
      <c r="AV447" s="290"/>
      <c r="AW447" s="290"/>
      <c r="AX447" s="290"/>
      <c r="AY447" s="290"/>
      <c r="AZ447" s="290"/>
      <c r="BA447" s="290"/>
      <c r="BB447" s="290"/>
      <c r="BC447" s="290"/>
      <c r="BD447" s="290"/>
      <c r="BE447" s="290"/>
      <c r="BF447" s="290"/>
      <c r="BG447" s="290"/>
      <c r="BH447" s="290"/>
      <c r="BI447" s="290"/>
      <c r="BJ447" s="290"/>
      <c r="BK447" s="290"/>
      <c r="BL447" s="290"/>
      <c r="BM447" s="290"/>
      <c r="BN447" s="290"/>
      <c r="BO447" s="290"/>
      <c r="BP447" s="290"/>
      <c r="BQ447" s="290"/>
      <c r="BR447" s="290"/>
      <c r="BS447" s="290"/>
      <c r="BT447" s="290"/>
      <c r="BU447" s="290"/>
      <c r="BV447" s="290"/>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row>
    <row r="448" customFormat="false" ht="15.75" hidden="false" customHeight="false" outlineLevel="0" collapsed="false">
      <c r="A448" s="290"/>
      <c r="B448" s="290"/>
      <c r="C448" s="290"/>
      <c r="D448" s="290"/>
      <c r="E448" s="290"/>
      <c r="F448" s="290"/>
      <c r="G448" s="290"/>
      <c r="H448" s="290"/>
      <c r="I448" s="290"/>
      <c r="J448" s="3"/>
      <c r="K448" s="290"/>
      <c r="L448" s="290"/>
      <c r="M448" s="290"/>
      <c r="N448" s="290"/>
      <c r="O448" s="290"/>
      <c r="P448" s="290"/>
      <c r="Q448" s="290"/>
      <c r="R448" s="290"/>
      <c r="S448" s="290"/>
      <c r="T448" s="290"/>
      <c r="U448" s="290"/>
      <c r="V448" s="290"/>
      <c r="W448" s="290"/>
      <c r="X448" s="290"/>
      <c r="Y448" s="290"/>
      <c r="Z448" s="290"/>
      <c r="AA448" s="290"/>
      <c r="AB448" s="290"/>
      <c r="AC448" s="290"/>
      <c r="AD448" s="290"/>
      <c r="AE448" s="290"/>
      <c r="AF448" s="290"/>
      <c r="AG448" s="290"/>
      <c r="AH448" s="290"/>
      <c r="AI448" s="290"/>
      <c r="AJ448" s="290"/>
      <c r="AK448" s="290"/>
      <c r="AL448" s="290"/>
      <c r="AM448" s="290"/>
      <c r="AN448" s="290"/>
      <c r="AO448" s="290"/>
      <c r="AP448" s="290"/>
      <c r="AQ448" s="290"/>
      <c r="AR448" s="290"/>
      <c r="AS448" s="290"/>
      <c r="AT448" s="290"/>
      <c r="AU448" s="290"/>
      <c r="AV448" s="290"/>
      <c r="AW448" s="290"/>
      <c r="AX448" s="290"/>
      <c r="AY448" s="290"/>
      <c r="AZ448" s="290"/>
      <c r="BA448" s="290"/>
      <c r="BB448" s="290"/>
      <c r="BC448" s="290"/>
      <c r="BD448" s="290"/>
      <c r="BE448" s="290"/>
      <c r="BF448" s="290"/>
      <c r="BG448" s="290"/>
      <c r="BH448" s="290"/>
      <c r="BI448" s="290"/>
      <c r="BJ448" s="290"/>
      <c r="BK448" s="290"/>
      <c r="BL448" s="290"/>
      <c r="BM448" s="290"/>
      <c r="BN448" s="290"/>
      <c r="BO448" s="290"/>
      <c r="BP448" s="290"/>
      <c r="BQ448" s="290"/>
      <c r="BR448" s="290"/>
      <c r="BS448" s="290"/>
      <c r="BT448" s="290"/>
      <c r="BU448" s="290"/>
      <c r="BV448" s="290"/>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row>
    <row r="449" customFormat="false" ht="15.75" hidden="false" customHeight="false" outlineLevel="0" collapsed="false">
      <c r="A449" s="290"/>
      <c r="B449" s="290"/>
      <c r="C449" s="290"/>
      <c r="D449" s="290"/>
      <c r="E449" s="290"/>
      <c r="F449" s="290"/>
      <c r="G449" s="290"/>
      <c r="H449" s="290"/>
      <c r="I449" s="290"/>
      <c r="J449" s="3"/>
      <c r="K449" s="290"/>
      <c r="L449" s="290"/>
      <c r="M449" s="290"/>
      <c r="N449" s="290"/>
      <c r="O449" s="290"/>
      <c r="P449" s="290"/>
      <c r="Q449" s="290"/>
      <c r="R449" s="290"/>
      <c r="S449" s="290"/>
      <c r="T449" s="290"/>
      <c r="U449" s="290"/>
      <c r="V449" s="290"/>
      <c r="W449" s="290"/>
      <c r="X449" s="290"/>
      <c r="Y449" s="290"/>
      <c r="Z449" s="290"/>
      <c r="AA449" s="290"/>
      <c r="AB449" s="290"/>
      <c r="AC449" s="290"/>
      <c r="AD449" s="290"/>
      <c r="AE449" s="290"/>
      <c r="AF449" s="290"/>
      <c r="AG449" s="290"/>
      <c r="AH449" s="290"/>
      <c r="AI449" s="290"/>
      <c r="AJ449" s="290"/>
      <c r="AK449" s="290"/>
      <c r="AL449" s="290"/>
      <c r="AM449" s="290"/>
      <c r="AN449" s="290"/>
      <c r="AO449" s="290"/>
      <c r="AP449" s="290"/>
      <c r="AQ449" s="290"/>
      <c r="AR449" s="290"/>
      <c r="AS449" s="290"/>
      <c r="AT449" s="290"/>
      <c r="AU449" s="290"/>
      <c r="AV449" s="290"/>
      <c r="AW449" s="290"/>
      <c r="AX449" s="290"/>
      <c r="AY449" s="290"/>
      <c r="AZ449" s="290"/>
      <c r="BA449" s="290"/>
      <c r="BB449" s="290"/>
      <c r="BC449" s="290"/>
      <c r="BD449" s="290"/>
      <c r="BE449" s="290"/>
      <c r="BF449" s="290"/>
      <c r="BG449" s="290"/>
      <c r="BH449" s="290"/>
      <c r="BI449" s="290"/>
      <c r="BJ449" s="290"/>
      <c r="BK449" s="290"/>
      <c r="BL449" s="290"/>
      <c r="BM449" s="290"/>
      <c r="BN449" s="290"/>
      <c r="BO449" s="290"/>
      <c r="BP449" s="290"/>
      <c r="BQ449" s="290"/>
      <c r="BR449" s="290"/>
      <c r="BS449" s="290"/>
      <c r="BT449" s="290"/>
      <c r="BU449" s="290"/>
      <c r="BV449" s="290"/>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row>
    <row r="450" customFormat="false" ht="15.75" hidden="false" customHeight="false" outlineLevel="0" collapsed="false">
      <c r="A450" s="290"/>
      <c r="B450" s="290"/>
      <c r="C450" s="290"/>
      <c r="D450" s="290"/>
      <c r="E450" s="290"/>
      <c r="F450" s="290"/>
      <c r="G450" s="290"/>
      <c r="H450" s="290"/>
      <c r="I450" s="290"/>
      <c r="J450" s="3"/>
      <c r="K450" s="290"/>
      <c r="L450" s="290"/>
      <c r="M450" s="290"/>
      <c r="N450" s="290"/>
      <c r="O450" s="290"/>
      <c r="P450" s="290"/>
      <c r="Q450" s="290"/>
      <c r="R450" s="290"/>
      <c r="S450" s="290"/>
      <c r="T450" s="290"/>
      <c r="U450" s="290"/>
      <c r="V450" s="290"/>
      <c r="W450" s="290"/>
      <c r="X450" s="290"/>
      <c r="Y450" s="290"/>
      <c r="Z450" s="290"/>
      <c r="AA450" s="290"/>
      <c r="AB450" s="290"/>
      <c r="AC450" s="290"/>
      <c r="AD450" s="290"/>
      <c r="AE450" s="290"/>
      <c r="AF450" s="290"/>
      <c r="AG450" s="290"/>
      <c r="AH450" s="290"/>
      <c r="AI450" s="290"/>
      <c r="AJ450" s="290"/>
      <c r="AK450" s="290"/>
      <c r="AL450" s="290"/>
      <c r="AM450" s="290"/>
      <c r="AN450" s="290"/>
      <c r="AO450" s="290"/>
      <c r="AP450" s="290"/>
      <c r="AQ450" s="290"/>
      <c r="AR450" s="290"/>
      <c r="AS450" s="290"/>
      <c r="AT450" s="290"/>
      <c r="AU450" s="290"/>
      <c r="AV450" s="290"/>
      <c r="AW450" s="290"/>
      <c r="AX450" s="290"/>
      <c r="AY450" s="290"/>
      <c r="AZ450" s="290"/>
      <c r="BA450" s="290"/>
      <c r="BB450" s="290"/>
      <c r="BC450" s="290"/>
      <c r="BD450" s="290"/>
      <c r="BE450" s="290"/>
      <c r="BF450" s="290"/>
      <c r="BG450" s="290"/>
      <c r="BH450" s="290"/>
      <c r="BI450" s="290"/>
      <c r="BJ450" s="290"/>
      <c r="BK450" s="290"/>
      <c r="BL450" s="290"/>
      <c r="BM450" s="290"/>
      <c r="BN450" s="290"/>
      <c r="BO450" s="290"/>
      <c r="BP450" s="290"/>
      <c r="BQ450" s="290"/>
      <c r="BR450" s="290"/>
      <c r="BS450" s="290"/>
      <c r="BT450" s="290"/>
      <c r="BU450" s="290"/>
      <c r="BV450" s="290"/>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row>
    <row r="451" customFormat="false" ht="15.75" hidden="false" customHeight="false" outlineLevel="0" collapsed="false">
      <c r="A451" s="290"/>
      <c r="B451" s="290"/>
      <c r="C451" s="290"/>
      <c r="D451" s="290"/>
      <c r="E451" s="290"/>
      <c r="F451" s="290"/>
      <c r="G451" s="290"/>
      <c r="H451" s="290"/>
      <c r="I451" s="290"/>
      <c r="J451" s="3"/>
      <c r="K451" s="290"/>
      <c r="L451" s="290"/>
      <c r="M451" s="290"/>
      <c r="N451" s="290"/>
      <c r="O451" s="290"/>
      <c r="P451" s="290"/>
      <c r="Q451" s="290"/>
      <c r="R451" s="290"/>
      <c r="S451" s="290"/>
      <c r="T451" s="290"/>
      <c r="U451" s="290"/>
      <c r="V451" s="290"/>
      <c r="W451" s="290"/>
      <c r="X451" s="290"/>
      <c r="Y451" s="290"/>
      <c r="Z451" s="290"/>
      <c r="AA451" s="290"/>
      <c r="AB451" s="290"/>
      <c r="AC451" s="290"/>
      <c r="AD451" s="290"/>
      <c r="AE451" s="290"/>
      <c r="AF451" s="290"/>
      <c r="AG451" s="290"/>
      <c r="AH451" s="290"/>
      <c r="AI451" s="290"/>
      <c r="AJ451" s="290"/>
      <c r="AK451" s="290"/>
      <c r="AL451" s="290"/>
      <c r="AM451" s="290"/>
      <c r="AN451" s="290"/>
      <c r="AO451" s="290"/>
      <c r="AP451" s="290"/>
      <c r="AQ451" s="290"/>
      <c r="AR451" s="290"/>
      <c r="AS451" s="290"/>
      <c r="AT451" s="290"/>
      <c r="AU451" s="290"/>
      <c r="AV451" s="290"/>
      <c r="AW451" s="290"/>
      <c r="AX451" s="290"/>
      <c r="AY451" s="290"/>
      <c r="AZ451" s="290"/>
      <c r="BA451" s="290"/>
      <c r="BB451" s="290"/>
      <c r="BC451" s="290"/>
      <c r="BD451" s="290"/>
      <c r="BE451" s="290"/>
      <c r="BF451" s="290"/>
      <c r="BG451" s="290"/>
      <c r="BH451" s="290"/>
      <c r="BI451" s="290"/>
      <c r="BJ451" s="290"/>
      <c r="BK451" s="290"/>
      <c r="BL451" s="290"/>
      <c r="BM451" s="290"/>
      <c r="BN451" s="290"/>
      <c r="BO451" s="290"/>
      <c r="BP451" s="290"/>
      <c r="BQ451" s="290"/>
      <c r="BR451" s="290"/>
      <c r="BS451" s="290"/>
      <c r="BT451" s="290"/>
      <c r="BU451" s="290"/>
      <c r="BV451" s="290"/>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row>
    <row r="452" customFormat="false" ht="15.75" hidden="false" customHeight="false" outlineLevel="0" collapsed="false">
      <c r="A452" s="290"/>
      <c r="B452" s="290"/>
      <c r="C452" s="290"/>
      <c r="D452" s="290"/>
      <c r="E452" s="290"/>
      <c r="F452" s="290"/>
      <c r="G452" s="290"/>
      <c r="H452" s="290"/>
      <c r="I452" s="290"/>
      <c r="J452" s="3"/>
      <c r="K452" s="290"/>
      <c r="L452" s="290"/>
      <c r="M452" s="290"/>
      <c r="N452" s="290"/>
      <c r="O452" s="290"/>
      <c r="P452" s="290"/>
      <c r="Q452" s="290"/>
      <c r="R452" s="290"/>
      <c r="S452" s="290"/>
      <c r="T452" s="290"/>
      <c r="U452" s="290"/>
      <c r="V452" s="290"/>
      <c r="W452" s="290"/>
      <c r="X452" s="290"/>
      <c r="Y452" s="290"/>
      <c r="Z452" s="290"/>
      <c r="AA452" s="290"/>
      <c r="AB452" s="290"/>
      <c r="AC452" s="290"/>
      <c r="AD452" s="290"/>
      <c r="AE452" s="290"/>
      <c r="AF452" s="290"/>
      <c r="AG452" s="290"/>
      <c r="AH452" s="290"/>
      <c r="AI452" s="290"/>
      <c r="AJ452" s="290"/>
      <c r="AK452" s="290"/>
      <c r="AL452" s="290"/>
      <c r="AM452" s="290"/>
      <c r="AN452" s="290"/>
      <c r="AO452" s="290"/>
      <c r="AP452" s="290"/>
      <c r="AQ452" s="290"/>
      <c r="AR452" s="290"/>
      <c r="AS452" s="290"/>
      <c r="AT452" s="290"/>
      <c r="AU452" s="290"/>
      <c r="AV452" s="290"/>
      <c r="AW452" s="290"/>
      <c r="AX452" s="290"/>
      <c r="AY452" s="290"/>
      <c r="AZ452" s="290"/>
      <c r="BA452" s="290"/>
      <c r="BB452" s="290"/>
      <c r="BC452" s="290"/>
      <c r="BD452" s="290"/>
      <c r="BE452" s="290"/>
      <c r="BF452" s="290"/>
      <c r="BG452" s="290"/>
      <c r="BH452" s="290"/>
      <c r="BI452" s="290"/>
      <c r="BJ452" s="290"/>
      <c r="BK452" s="290"/>
      <c r="BL452" s="290"/>
      <c r="BM452" s="290"/>
      <c r="BN452" s="290"/>
      <c r="BO452" s="290"/>
      <c r="BP452" s="290"/>
      <c r="BQ452" s="290"/>
      <c r="BR452" s="290"/>
      <c r="BS452" s="290"/>
      <c r="BT452" s="290"/>
      <c r="BU452" s="290"/>
      <c r="BV452" s="290"/>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row>
    <row r="453" customFormat="false" ht="15.75" hidden="false" customHeight="false" outlineLevel="0" collapsed="false">
      <c r="A453" s="290"/>
      <c r="B453" s="290"/>
      <c r="C453" s="290"/>
      <c r="D453" s="290"/>
      <c r="E453" s="290"/>
      <c r="F453" s="290"/>
      <c r="G453" s="290"/>
      <c r="H453" s="290"/>
      <c r="I453" s="290"/>
      <c r="J453" s="3"/>
      <c r="K453" s="290"/>
      <c r="L453" s="290"/>
      <c r="M453" s="290"/>
      <c r="N453" s="290"/>
      <c r="O453" s="290"/>
      <c r="P453" s="290"/>
      <c r="Q453" s="290"/>
      <c r="R453" s="290"/>
      <c r="S453" s="290"/>
      <c r="T453" s="290"/>
      <c r="U453" s="290"/>
      <c r="V453" s="290"/>
      <c r="W453" s="290"/>
      <c r="X453" s="290"/>
      <c r="Y453" s="290"/>
      <c r="Z453" s="290"/>
      <c r="AA453" s="290"/>
      <c r="AB453" s="290"/>
      <c r="AC453" s="290"/>
      <c r="AD453" s="290"/>
      <c r="AE453" s="290"/>
      <c r="AF453" s="290"/>
      <c r="AG453" s="290"/>
      <c r="AH453" s="290"/>
      <c r="AI453" s="290"/>
      <c r="AJ453" s="290"/>
      <c r="AK453" s="290"/>
      <c r="AL453" s="290"/>
      <c r="AM453" s="290"/>
      <c r="AN453" s="290"/>
      <c r="AO453" s="290"/>
      <c r="AP453" s="290"/>
      <c r="AQ453" s="290"/>
      <c r="AR453" s="290"/>
      <c r="AS453" s="290"/>
      <c r="AT453" s="290"/>
      <c r="AU453" s="290"/>
      <c r="AV453" s="290"/>
      <c r="AW453" s="290"/>
      <c r="AX453" s="290"/>
      <c r="AY453" s="290"/>
      <c r="AZ453" s="290"/>
      <c r="BA453" s="290"/>
      <c r="BB453" s="290"/>
      <c r="BC453" s="290"/>
      <c r="BD453" s="290"/>
      <c r="BE453" s="290"/>
      <c r="BF453" s="290"/>
      <c r="BG453" s="290"/>
      <c r="BH453" s="290"/>
      <c r="BI453" s="290"/>
      <c r="BJ453" s="290"/>
      <c r="BK453" s="290"/>
      <c r="BL453" s="290"/>
      <c r="BM453" s="290"/>
      <c r="BN453" s="290"/>
      <c r="BO453" s="290"/>
      <c r="BP453" s="290"/>
      <c r="BQ453" s="290"/>
      <c r="BR453" s="290"/>
      <c r="BS453" s="290"/>
      <c r="BT453" s="290"/>
      <c r="BU453" s="290"/>
      <c r="BV453" s="290"/>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row>
    <row r="454" customFormat="false" ht="15.75" hidden="false" customHeight="false" outlineLevel="0" collapsed="false">
      <c r="A454" s="290"/>
      <c r="B454" s="290"/>
      <c r="C454" s="290"/>
      <c r="D454" s="290"/>
      <c r="E454" s="290"/>
      <c r="F454" s="290"/>
      <c r="G454" s="290"/>
      <c r="H454" s="290"/>
      <c r="I454" s="290"/>
      <c r="J454" s="3"/>
      <c r="K454" s="290"/>
      <c r="L454" s="290"/>
      <c r="M454" s="290"/>
      <c r="N454" s="290"/>
      <c r="O454" s="290"/>
      <c r="P454" s="290"/>
      <c r="Q454" s="290"/>
      <c r="R454" s="290"/>
      <c r="S454" s="290"/>
      <c r="T454" s="290"/>
      <c r="U454" s="290"/>
      <c r="V454" s="290"/>
      <c r="W454" s="290"/>
      <c r="X454" s="290"/>
      <c r="Y454" s="290"/>
      <c r="Z454" s="290"/>
      <c r="AA454" s="290"/>
      <c r="AB454" s="290"/>
      <c r="AC454" s="290"/>
      <c r="AD454" s="290"/>
      <c r="AE454" s="290"/>
      <c r="AF454" s="290"/>
      <c r="AG454" s="290"/>
      <c r="AH454" s="290"/>
      <c r="AI454" s="290"/>
      <c r="AJ454" s="290"/>
      <c r="AK454" s="290"/>
      <c r="AL454" s="290"/>
      <c r="AM454" s="290"/>
      <c r="AN454" s="290"/>
      <c r="AO454" s="290"/>
      <c r="AP454" s="290"/>
      <c r="AQ454" s="290"/>
      <c r="AR454" s="290"/>
      <c r="AS454" s="290"/>
      <c r="AT454" s="290"/>
      <c r="AU454" s="290"/>
      <c r="AV454" s="290"/>
      <c r="AW454" s="290"/>
      <c r="AX454" s="290"/>
      <c r="AY454" s="290"/>
      <c r="AZ454" s="290"/>
      <c r="BA454" s="290"/>
      <c r="BB454" s="290"/>
      <c r="BC454" s="290"/>
      <c r="BD454" s="290"/>
      <c r="BE454" s="290"/>
      <c r="BF454" s="290"/>
      <c r="BG454" s="290"/>
      <c r="BH454" s="290"/>
      <c r="BI454" s="290"/>
      <c r="BJ454" s="290"/>
      <c r="BK454" s="290"/>
      <c r="BL454" s="290"/>
      <c r="BM454" s="290"/>
      <c r="BN454" s="290"/>
      <c r="BO454" s="290"/>
      <c r="BP454" s="290"/>
      <c r="BQ454" s="290"/>
      <c r="BR454" s="290"/>
      <c r="BS454" s="290"/>
      <c r="BT454" s="290"/>
      <c r="BU454" s="290"/>
      <c r="BV454" s="290"/>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row>
    <row r="455" customFormat="false" ht="15.75" hidden="false" customHeight="false" outlineLevel="0" collapsed="false">
      <c r="A455" s="290"/>
      <c r="B455" s="290"/>
      <c r="C455" s="290"/>
      <c r="D455" s="290"/>
      <c r="E455" s="290"/>
      <c r="F455" s="290"/>
      <c r="G455" s="290"/>
      <c r="H455" s="290"/>
      <c r="I455" s="290"/>
      <c r="J455" s="3"/>
      <c r="K455" s="290"/>
      <c r="L455" s="290"/>
      <c r="M455" s="290"/>
      <c r="N455" s="290"/>
      <c r="O455" s="290"/>
      <c r="P455" s="290"/>
      <c r="Q455" s="290"/>
      <c r="R455" s="290"/>
      <c r="S455" s="290"/>
      <c r="T455" s="290"/>
      <c r="U455" s="290"/>
      <c r="V455" s="290"/>
      <c r="W455" s="290"/>
      <c r="X455" s="290"/>
      <c r="Y455" s="290"/>
      <c r="Z455" s="290"/>
      <c r="AA455" s="290"/>
      <c r="AB455" s="290"/>
      <c r="AC455" s="290"/>
      <c r="AD455" s="290"/>
      <c r="AE455" s="290"/>
      <c r="AF455" s="290"/>
      <c r="AG455" s="290"/>
      <c r="AH455" s="290"/>
      <c r="AI455" s="290"/>
      <c r="AJ455" s="290"/>
      <c r="AK455" s="290"/>
      <c r="AL455" s="290"/>
      <c r="AM455" s="290"/>
      <c r="AN455" s="290"/>
      <c r="AO455" s="290"/>
      <c r="AP455" s="290"/>
      <c r="AQ455" s="290"/>
      <c r="AR455" s="290"/>
      <c r="AS455" s="290"/>
      <c r="AT455" s="290"/>
      <c r="AU455" s="290"/>
      <c r="AV455" s="290"/>
      <c r="AW455" s="290"/>
      <c r="AX455" s="290"/>
      <c r="AY455" s="290"/>
      <c r="AZ455" s="290"/>
      <c r="BA455" s="290"/>
      <c r="BB455" s="290"/>
      <c r="BC455" s="290"/>
      <c r="BD455" s="290"/>
      <c r="BE455" s="290"/>
      <c r="BF455" s="290"/>
      <c r="BG455" s="290"/>
      <c r="BH455" s="290"/>
      <c r="BI455" s="290"/>
      <c r="BJ455" s="290"/>
      <c r="BK455" s="290"/>
      <c r="BL455" s="290"/>
      <c r="BM455" s="290"/>
      <c r="BN455" s="290"/>
      <c r="BO455" s="290"/>
      <c r="BP455" s="290"/>
      <c r="BQ455" s="290"/>
      <c r="BR455" s="290"/>
      <c r="BS455" s="290"/>
      <c r="BT455" s="290"/>
      <c r="BU455" s="290"/>
      <c r="BV455" s="290"/>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row>
    <row r="456" customFormat="false" ht="15.75" hidden="false" customHeight="false" outlineLevel="0" collapsed="false">
      <c r="A456" s="290"/>
      <c r="B456" s="290"/>
      <c r="C456" s="290"/>
      <c r="D456" s="290"/>
      <c r="E456" s="290"/>
      <c r="F456" s="290"/>
      <c r="G456" s="290"/>
      <c r="H456" s="290"/>
      <c r="I456" s="290"/>
      <c r="J456" s="3"/>
      <c r="K456" s="290"/>
      <c r="L456" s="290"/>
      <c r="M456" s="290"/>
      <c r="N456" s="290"/>
      <c r="O456" s="290"/>
      <c r="P456" s="290"/>
      <c r="Q456" s="290"/>
      <c r="R456" s="290"/>
      <c r="S456" s="290"/>
      <c r="T456" s="290"/>
      <c r="U456" s="290"/>
      <c r="V456" s="290"/>
      <c r="W456" s="290"/>
      <c r="X456" s="290"/>
      <c r="Y456" s="290"/>
      <c r="Z456" s="290"/>
      <c r="AA456" s="290"/>
      <c r="AB456" s="290"/>
      <c r="AC456" s="290"/>
      <c r="AD456" s="290"/>
      <c r="AE456" s="290"/>
      <c r="AF456" s="290"/>
      <c r="AG456" s="290"/>
      <c r="AH456" s="290"/>
      <c r="AI456" s="290"/>
      <c r="AJ456" s="290"/>
      <c r="AK456" s="290"/>
      <c r="AL456" s="290"/>
      <c r="AM456" s="290"/>
      <c r="AN456" s="290"/>
      <c r="AO456" s="290"/>
      <c r="AP456" s="290"/>
      <c r="AQ456" s="290"/>
      <c r="AR456" s="290"/>
      <c r="AS456" s="290"/>
      <c r="AT456" s="290"/>
      <c r="AU456" s="290"/>
      <c r="AV456" s="290"/>
      <c r="AW456" s="290"/>
      <c r="AX456" s="290"/>
      <c r="AY456" s="290"/>
      <c r="AZ456" s="290"/>
      <c r="BA456" s="290"/>
      <c r="BB456" s="290"/>
      <c r="BC456" s="290"/>
      <c r="BD456" s="290"/>
      <c r="BE456" s="290"/>
      <c r="BF456" s="290"/>
      <c r="BG456" s="290"/>
      <c r="BH456" s="290"/>
      <c r="BI456" s="290"/>
      <c r="BJ456" s="290"/>
      <c r="BK456" s="290"/>
      <c r="BL456" s="290"/>
      <c r="BM456" s="290"/>
      <c r="BN456" s="290"/>
      <c r="BO456" s="290"/>
      <c r="BP456" s="290"/>
      <c r="BQ456" s="290"/>
      <c r="BR456" s="290"/>
      <c r="BS456" s="290"/>
      <c r="BT456" s="290"/>
      <c r="BU456" s="290"/>
      <c r="BV456" s="290"/>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row>
    <row r="457" customFormat="false" ht="15.75" hidden="false" customHeight="false" outlineLevel="0" collapsed="false">
      <c r="A457" s="290"/>
      <c r="B457" s="290"/>
      <c r="C457" s="290"/>
      <c r="D457" s="290"/>
      <c r="E457" s="290"/>
      <c r="F457" s="290"/>
      <c r="G457" s="290"/>
      <c r="H457" s="290"/>
      <c r="I457" s="290"/>
      <c r="J457" s="3"/>
      <c r="K457" s="290"/>
      <c r="L457" s="290"/>
      <c r="M457" s="290"/>
      <c r="N457" s="290"/>
      <c r="O457" s="290"/>
      <c r="P457" s="290"/>
      <c r="Q457" s="290"/>
      <c r="R457" s="290"/>
      <c r="S457" s="290"/>
      <c r="T457" s="290"/>
      <c r="U457" s="290"/>
      <c r="V457" s="290"/>
      <c r="W457" s="290"/>
      <c r="X457" s="290"/>
      <c r="Y457" s="290"/>
      <c r="Z457" s="290"/>
      <c r="AA457" s="290"/>
      <c r="AB457" s="290"/>
      <c r="AC457" s="290"/>
      <c r="AD457" s="290"/>
      <c r="AE457" s="290"/>
      <c r="AF457" s="290"/>
      <c r="AG457" s="290"/>
      <c r="AH457" s="290"/>
      <c r="AI457" s="290"/>
      <c r="AJ457" s="290"/>
      <c r="AK457" s="290"/>
      <c r="AL457" s="290"/>
      <c r="AM457" s="290"/>
      <c r="AN457" s="290"/>
      <c r="AO457" s="290"/>
      <c r="AP457" s="290"/>
      <c r="AQ457" s="290"/>
      <c r="AR457" s="290"/>
      <c r="AS457" s="290"/>
      <c r="AT457" s="290"/>
      <c r="AU457" s="290"/>
      <c r="AV457" s="290"/>
      <c r="AW457" s="290"/>
      <c r="AX457" s="290"/>
      <c r="AY457" s="290"/>
      <c r="AZ457" s="290"/>
      <c r="BA457" s="290"/>
      <c r="BB457" s="290"/>
      <c r="BC457" s="290"/>
      <c r="BD457" s="290"/>
      <c r="BE457" s="290"/>
      <c r="BF457" s="290"/>
      <c r="BG457" s="290"/>
      <c r="BH457" s="290"/>
      <c r="BI457" s="290"/>
      <c r="BJ457" s="290"/>
      <c r="BK457" s="290"/>
      <c r="BL457" s="290"/>
      <c r="BM457" s="290"/>
      <c r="BN457" s="290"/>
      <c r="BO457" s="290"/>
      <c r="BP457" s="290"/>
      <c r="BQ457" s="290"/>
      <c r="BR457" s="290"/>
      <c r="BS457" s="290"/>
      <c r="BT457" s="290"/>
      <c r="BU457" s="290"/>
      <c r="BV457" s="290"/>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row>
    <row r="458" customFormat="false" ht="15.75" hidden="false" customHeight="false" outlineLevel="0" collapsed="false">
      <c r="A458" s="290"/>
      <c r="B458" s="290"/>
      <c r="C458" s="290"/>
      <c r="D458" s="290"/>
      <c r="E458" s="290"/>
      <c r="F458" s="290"/>
      <c r="G458" s="290"/>
      <c r="H458" s="290"/>
      <c r="I458" s="290"/>
      <c r="J458" s="3"/>
      <c r="K458" s="290"/>
      <c r="L458" s="290"/>
      <c r="M458" s="290"/>
      <c r="N458" s="290"/>
      <c r="O458" s="290"/>
      <c r="P458" s="290"/>
      <c r="Q458" s="290"/>
      <c r="R458" s="290"/>
      <c r="S458" s="290"/>
      <c r="T458" s="290"/>
      <c r="U458" s="290"/>
      <c r="V458" s="290"/>
      <c r="W458" s="290"/>
      <c r="X458" s="290"/>
      <c r="Y458" s="290"/>
      <c r="Z458" s="290"/>
      <c r="AA458" s="290"/>
      <c r="AB458" s="290"/>
      <c r="AC458" s="290"/>
      <c r="AD458" s="290"/>
      <c r="AE458" s="290"/>
      <c r="AF458" s="290"/>
      <c r="AG458" s="290"/>
      <c r="AH458" s="290"/>
      <c r="AI458" s="290"/>
      <c r="AJ458" s="290"/>
      <c r="AK458" s="290"/>
      <c r="AL458" s="290"/>
      <c r="AM458" s="290"/>
      <c r="AN458" s="290"/>
      <c r="AO458" s="290"/>
      <c r="AP458" s="290"/>
      <c r="AQ458" s="290"/>
      <c r="AR458" s="290"/>
      <c r="AS458" s="290"/>
      <c r="AT458" s="290"/>
      <c r="AU458" s="290"/>
      <c r="AV458" s="290"/>
      <c r="AW458" s="290"/>
      <c r="AX458" s="290"/>
      <c r="AY458" s="290"/>
      <c r="AZ458" s="290"/>
      <c r="BA458" s="290"/>
      <c r="BB458" s="290"/>
      <c r="BC458" s="290"/>
      <c r="BD458" s="290"/>
      <c r="BE458" s="290"/>
      <c r="BF458" s="290"/>
      <c r="BG458" s="290"/>
      <c r="BH458" s="290"/>
      <c r="BI458" s="290"/>
      <c r="BJ458" s="290"/>
      <c r="BK458" s="290"/>
      <c r="BL458" s="290"/>
      <c r="BM458" s="290"/>
      <c r="BN458" s="290"/>
      <c r="BO458" s="290"/>
      <c r="BP458" s="290"/>
      <c r="BQ458" s="290"/>
      <c r="BR458" s="290"/>
      <c r="BS458" s="290"/>
      <c r="BT458" s="290"/>
      <c r="BU458" s="290"/>
      <c r="BV458" s="290"/>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row>
    <row r="459" customFormat="false" ht="15.75" hidden="false" customHeight="false" outlineLevel="0" collapsed="false">
      <c r="A459" s="290"/>
      <c r="B459" s="290"/>
      <c r="C459" s="290"/>
      <c r="D459" s="290"/>
      <c r="E459" s="290"/>
      <c r="F459" s="290"/>
      <c r="G459" s="290"/>
      <c r="H459" s="290"/>
      <c r="I459" s="290"/>
      <c r="J459" s="3"/>
      <c r="K459" s="290"/>
      <c r="L459" s="290"/>
      <c r="M459" s="290"/>
      <c r="N459" s="290"/>
      <c r="O459" s="290"/>
      <c r="P459" s="290"/>
      <c r="Q459" s="290"/>
      <c r="R459" s="290"/>
      <c r="S459" s="290"/>
      <c r="T459" s="290"/>
      <c r="U459" s="290"/>
      <c r="V459" s="290"/>
      <c r="W459" s="290"/>
      <c r="X459" s="290"/>
      <c r="Y459" s="290"/>
      <c r="Z459" s="290"/>
      <c r="AA459" s="290"/>
      <c r="AB459" s="290"/>
      <c r="AC459" s="290"/>
      <c r="AD459" s="290"/>
      <c r="AE459" s="290"/>
      <c r="AF459" s="290"/>
      <c r="AG459" s="290"/>
      <c r="AH459" s="290"/>
      <c r="AI459" s="290"/>
      <c r="AJ459" s="290"/>
      <c r="AK459" s="290"/>
      <c r="AL459" s="290"/>
      <c r="AM459" s="290"/>
      <c r="AN459" s="290"/>
      <c r="AO459" s="290"/>
      <c r="AP459" s="290"/>
      <c r="AQ459" s="290"/>
      <c r="AR459" s="290"/>
      <c r="AS459" s="290"/>
      <c r="AT459" s="290"/>
      <c r="AU459" s="290"/>
      <c r="AV459" s="290"/>
      <c r="AW459" s="290"/>
      <c r="AX459" s="290"/>
      <c r="AY459" s="290"/>
      <c r="AZ459" s="290"/>
      <c r="BA459" s="290"/>
      <c r="BB459" s="290"/>
      <c r="BC459" s="290"/>
      <c r="BD459" s="290"/>
      <c r="BE459" s="290"/>
      <c r="BF459" s="290"/>
      <c r="BG459" s="290"/>
      <c r="BH459" s="290"/>
      <c r="BI459" s="290"/>
      <c r="BJ459" s="290"/>
      <c r="BK459" s="290"/>
      <c r="BL459" s="290"/>
      <c r="BM459" s="290"/>
      <c r="BN459" s="290"/>
      <c r="BO459" s="290"/>
      <c r="BP459" s="290"/>
      <c r="BQ459" s="290"/>
      <c r="BR459" s="290"/>
      <c r="BS459" s="290"/>
      <c r="BT459" s="290"/>
      <c r="BU459" s="290"/>
      <c r="BV459" s="290"/>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row>
    <row r="460" customFormat="false" ht="15.75" hidden="false" customHeight="false" outlineLevel="0" collapsed="false">
      <c r="A460" s="290"/>
      <c r="B460" s="290"/>
      <c r="C460" s="290"/>
      <c r="D460" s="290"/>
      <c r="E460" s="290"/>
      <c r="F460" s="290"/>
      <c r="G460" s="290"/>
      <c r="H460" s="290"/>
      <c r="I460" s="290"/>
      <c r="J460" s="3"/>
      <c r="K460" s="290"/>
      <c r="L460" s="290"/>
      <c r="M460" s="290"/>
      <c r="N460" s="290"/>
      <c r="O460" s="290"/>
      <c r="P460" s="290"/>
      <c r="Q460" s="290"/>
      <c r="R460" s="290"/>
      <c r="S460" s="290"/>
      <c r="T460" s="290"/>
      <c r="U460" s="290"/>
      <c r="V460" s="290"/>
      <c r="W460" s="290"/>
      <c r="X460" s="290"/>
      <c r="Y460" s="290"/>
      <c r="Z460" s="290"/>
      <c r="AA460" s="290"/>
      <c r="AB460" s="290"/>
      <c r="AC460" s="290"/>
      <c r="AD460" s="290"/>
      <c r="AE460" s="290"/>
      <c r="AF460" s="290"/>
      <c r="AG460" s="290"/>
      <c r="AH460" s="290"/>
      <c r="AI460" s="290"/>
      <c r="AJ460" s="290"/>
      <c r="AK460" s="290"/>
      <c r="AL460" s="290"/>
      <c r="AM460" s="290"/>
      <c r="AN460" s="290"/>
      <c r="AO460" s="290"/>
      <c r="AP460" s="290"/>
      <c r="AQ460" s="290"/>
      <c r="AR460" s="290"/>
      <c r="AS460" s="290"/>
      <c r="AT460" s="290"/>
      <c r="AU460" s="290"/>
      <c r="AV460" s="290"/>
      <c r="AW460" s="290"/>
      <c r="AX460" s="290"/>
      <c r="AY460" s="290"/>
      <c r="AZ460" s="290"/>
      <c r="BA460" s="290"/>
      <c r="BB460" s="290"/>
      <c r="BC460" s="290"/>
      <c r="BD460" s="290"/>
      <c r="BE460" s="290"/>
      <c r="BF460" s="290"/>
      <c r="BG460" s="290"/>
      <c r="BH460" s="290"/>
      <c r="BI460" s="290"/>
      <c r="BJ460" s="290"/>
      <c r="BK460" s="290"/>
      <c r="BL460" s="290"/>
      <c r="BM460" s="290"/>
      <c r="BN460" s="290"/>
      <c r="BO460" s="290"/>
      <c r="BP460" s="290"/>
      <c r="BQ460" s="290"/>
      <c r="BR460" s="290"/>
      <c r="BS460" s="290"/>
      <c r="BT460" s="290"/>
      <c r="BU460" s="290"/>
      <c r="BV460" s="290"/>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row>
    <row r="461" customFormat="false" ht="15.75" hidden="false" customHeight="false" outlineLevel="0" collapsed="false">
      <c r="A461" s="290"/>
      <c r="B461" s="290"/>
      <c r="C461" s="290"/>
      <c r="D461" s="290"/>
      <c r="E461" s="290"/>
      <c r="F461" s="290"/>
      <c r="G461" s="290"/>
      <c r="H461" s="290"/>
      <c r="I461" s="290"/>
      <c r="J461" s="3"/>
      <c r="K461" s="290"/>
      <c r="L461" s="290"/>
      <c r="M461" s="290"/>
      <c r="N461" s="290"/>
      <c r="O461" s="290"/>
      <c r="P461" s="290"/>
      <c r="Q461" s="290"/>
      <c r="R461" s="290"/>
      <c r="S461" s="290"/>
      <c r="T461" s="290"/>
      <c r="U461" s="290"/>
      <c r="V461" s="290"/>
      <c r="W461" s="290"/>
      <c r="X461" s="290"/>
      <c r="Y461" s="290"/>
      <c r="Z461" s="290"/>
      <c r="AA461" s="290"/>
      <c r="AB461" s="290"/>
      <c r="AC461" s="290"/>
      <c r="AD461" s="290"/>
      <c r="AE461" s="290"/>
      <c r="AF461" s="290"/>
      <c r="AG461" s="290"/>
      <c r="AH461" s="290"/>
      <c r="AI461" s="290"/>
      <c r="AJ461" s="290"/>
      <c r="AK461" s="290"/>
      <c r="AL461" s="290"/>
      <c r="AM461" s="290"/>
      <c r="AN461" s="290"/>
      <c r="AO461" s="290"/>
      <c r="AP461" s="290"/>
      <c r="AQ461" s="290"/>
      <c r="AR461" s="290"/>
      <c r="AS461" s="290"/>
      <c r="AT461" s="290"/>
      <c r="AU461" s="290"/>
      <c r="AV461" s="290"/>
      <c r="AW461" s="290"/>
      <c r="AX461" s="290"/>
      <c r="AY461" s="290"/>
      <c r="AZ461" s="290"/>
      <c r="BA461" s="290"/>
      <c r="BB461" s="290"/>
      <c r="BC461" s="290"/>
      <c r="BD461" s="290"/>
      <c r="BE461" s="290"/>
      <c r="BF461" s="290"/>
      <c r="BG461" s="290"/>
      <c r="BH461" s="290"/>
      <c r="BI461" s="290"/>
      <c r="BJ461" s="290"/>
      <c r="BK461" s="290"/>
      <c r="BL461" s="290"/>
      <c r="BM461" s="290"/>
      <c r="BN461" s="290"/>
      <c r="BO461" s="290"/>
      <c r="BP461" s="290"/>
      <c r="BQ461" s="290"/>
      <c r="BR461" s="290"/>
      <c r="BS461" s="290"/>
      <c r="BT461" s="290"/>
      <c r="BU461" s="290"/>
      <c r="BV461" s="290"/>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row>
    <row r="462" customFormat="false" ht="15.75" hidden="false" customHeight="false" outlineLevel="0" collapsed="false">
      <c r="A462" s="290"/>
      <c r="B462" s="290"/>
      <c r="C462" s="290"/>
      <c r="D462" s="290"/>
      <c r="E462" s="290"/>
      <c r="F462" s="290"/>
      <c r="G462" s="290"/>
      <c r="H462" s="290"/>
      <c r="I462" s="290"/>
      <c r="J462" s="3"/>
      <c r="K462" s="290"/>
      <c r="L462" s="290"/>
      <c r="M462" s="290"/>
      <c r="N462" s="290"/>
      <c r="O462" s="290"/>
      <c r="P462" s="290"/>
      <c r="Q462" s="290"/>
      <c r="R462" s="290"/>
      <c r="S462" s="290"/>
      <c r="T462" s="290"/>
      <c r="U462" s="290"/>
      <c r="V462" s="290"/>
      <c r="W462" s="290"/>
      <c r="X462" s="290"/>
      <c r="Y462" s="290"/>
      <c r="Z462" s="290"/>
      <c r="AA462" s="290"/>
      <c r="AB462" s="290"/>
      <c r="AC462" s="290"/>
      <c r="AD462" s="290"/>
      <c r="AE462" s="290"/>
      <c r="AF462" s="290"/>
      <c r="AG462" s="290"/>
      <c r="AH462" s="290"/>
      <c r="AI462" s="290"/>
      <c r="AJ462" s="290"/>
      <c r="AK462" s="290"/>
      <c r="AL462" s="290"/>
      <c r="AM462" s="290"/>
      <c r="AN462" s="290"/>
      <c r="AO462" s="290"/>
      <c r="AP462" s="290"/>
      <c r="AQ462" s="290"/>
      <c r="AR462" s="290"/>
      <c r="AS462" s="290"/>
      <c r="AT462" s="290"/>
      <c r="AU462" s="290"/>
      <c r="AV462" s="290"/>
      <c r="AW462" s="290"/>
      <c r="AX462" s="290"/>
      <c r="AY462" s="290"/>
      <c r="AZ462" s="290"/>
      <c r="BA462" s="290"/>
      <c r="BB462" s="290"/>
      <c r="BC462" s="290"/>
      <c r="BD462" s="290"/>
      <c r="BE462" s="290"/>
      <c r="BF462" s="290"/>
      <c r="BG462" s="290"/>
      <c r="BH462" s="290"/>
      <c r="BI462" s="290"/>
      <c r="BJ462" s="290"/>
      <c r="BK462" s="290"/>
      <c r="BL462" s="290"/>
      <c r="BM462" s="290"/>
      <c r="BN462" s="290"/>
      <c r="BO462" s="290"/>
      <c r="BP462" s="290"/>
      <c r="BQ462" s="290"/>
      <c r="BR462" s="290"/>
      <c r="BS462" s="290"/>
      <c r="BT462" s="290"/>
      <c r="BU462" s="290"/>
      <c r="BV462" s="290"/>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row>
    <row r="463" customFormat="false" ht="15.75" hidden="false" customHeight="false" outlineLevel="0" collapsed="false">
      <c r="A463" s="290"/>
      <c r="B463" s="290"/>
      <c r="C463" s="290"/>
      <c r="D463" s="290"/>
      <c r="E463" s="290"/>
      <c r="F463" s="290"/>
      <c r="G463" s="290"/>
      <c r="H463" s="290"/>
      <c r="I463" s="290"/>
      <c r="J463" s="3"/>
      <c r="K463" s="290"/>
      <c r="L463" s="290"/>
      <c r="M463" s="290"/>
      <c r="N463" s="290"/>
      <c r="O463" s="290"/>
      <c r="P463" s="290"/>
      <c r="Q463" s="290"/>
      <c r="R463" s="290"/>
      <c r="S463" s="290"/>
      <c r="T463" s="290"/>
      <c r="U463" s="290"/>
      <c r="V463" s="290"/>
      <c r="W463" s="290"/>
      <c r="X463" s="290"/>
      <c r="Y463" s="290"/>
      <c r="Z463" s="290"/>
      <c r="AA463" s="290"/>
      <c r="AB463" s="290"/>
      <c r="AC463" s="290"/>
      <c r="AD463" s="290"/>
      <c r="AE463" s="290"/>
      <c r="AF463" s="290"/>
      <c r="AG463" s="290"/>
      <c r="AH463" s="290"/>
      <c r="AI463" s="290"/>
      <c r="AJ463" s="290"/>
      <c r="AK463" s="290"/>
      <c r="AL463" s="290"/>
      <c r="AM463" s="290"/>
      <c r="AN463" s="290"/>
      <c r="AO463" s="290"/>
      <c r="AP463" s="290"/>
      <c r="AQ463" s="290"/>
      <c r="AR463" s="290"/>
      <c r="AS463" s="290"/>
      <c r="AT463" s="290"/>
      <c r="AU463" s="290"/>
      <c r="AV463" s="290"/>
      <c r="AW463" s="290"/>
      <c r="AX463" s="290"/>
      <c r="AY463" s="290"/>
      <c r="AZ463" s="290"/>
      <c r="BA463" s="290"/>
      <c r="BB463" s="290"/>
      <c r="BC463" s="290"/>
      <c r="BD463" s="290"/>
      <c r="BE463" s="290"/>
      <c r="BF463" s="290"/>
      <c r="BG463" s="290"/>
      <c r="BH463" s="290"/>
      <c r="BI463" s="290"/>
      <c r="BJ463" s="290"/>
      <c r="BK463" s="290"/>
      <c r="BL463" s="290"/>
      <c r="BM463" s="290"/>
      <c r="BN463" s="290"/>
      <c r="BO463" s="290"/>
      <c r="BP463" s="290"/>
      <c r="BQ463" s="290"/>
      <c r="BR463" s="290"/>
      <c r="BS463" s="290"/>
      <c r="BT463" s="290"/>
      <c r="BU463" s="290"/>
      <c r="BV463" s="290"/>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row>
    <row r="464" customFormat="false" ht="15.75" hidden="false" customHeight="false" outlineLevel="0" collapsed="false">
      <c r="A464" s="290"/>
      <c r="B464" s="290"/>
      <c r="C464" s="290"/>
      <c r="D464" s="290"/>
      <c r="E464" s="290"/>
      <c r="F464" s="290"/>
      <c r="G464" s="290"/>
      <c r="H464" s="290"/>
      <c r="I464" s="290"/>
      <c r="J464" s="3"/>
      <c r="K464" s="290"/>
      <c r="L464" s="290"/>
      <c r="M464" s="290"/>
      <c r="N464" s="290"/>
      <c r="O464" s="290"/>
      <c r="P464" s="290"/>
      <c r="Q464" s="290"/>
      <c r="R464" s="290"/>
      <c r="S464" s="290"/>
      <c r="T464" s="290"/>
      <c r="U464" s="290"/>
      <c r="V464" s="290"/>
      <c r="W464" s="290"/>
      <c r="X464" s="290"/>
      <c r="Y464" s="290"/>
      <c r="Z464" s="290"/>
      <c r="AA464" s="290"/>
      <c r="AB464" s="290"/>
      <c r="AC464" s="290"/>
      <c r="AD464" s="290"/>
      <c r="AE464" s="290"/>
      <c r="AF464" s="290"/>
      <c r="AG464" s="290"/>
      <c r="AH464" s="290"/>
      <c r="AI464" s="290"/>
      <c r="AJ464" s="290"/>
      <c r="AK464" s="290"/>
      <c r="AL464" s="290"/>
      <c r="AM464" s="290"/>
      <c r="AN464" s="290"/>
      <c r="AO464" s="290"/>
      <c r="AP464" s="290"/>
      <c r="AQ464" s="290"/>
      <c r="AR464" s="290"/>
      <c r="AS464" s="290"/>
      <c r="AT464" s="290"/>
      <c r="AU464" s="290"/>
      <c r="AV464" s="290"/>
      <c r="AW464" s="290"/>
      <c r="AX464" s="290"/>
      <c r="AY464" s="290"/>
      <c r="AZ464" s="290"/>
      <c r="BA464" s="290"/>
      <c r="BB464" s="290"/>
      <c r="BC464" s="290"/>
      <c r="BD464" s="290"/>
      <c r="BE464" s="290"/>
      <c r="BF464" s="290"/>
      <c r="BG464" s="290"/>
      <c r="BH464" s="290"/>
      <c r="BI464" s="290"/>
      <c r="BJ464" s="290"/>
      <c r="BK464" s="290"/>
      <c r="BL464" s="290"/>
      <c r="BM464" s="290"/>
      <c r="BN464" s="290"/>
      <c r="BO464" s="290"/>
      <c r="BP464" s="290"/>
      <c r="BQ464" s="290"/>
      <c r="BR464" s="290"/>
      <c r="BS464" s="290"/>
      <c r="BT464" s="290"/>
      <c r="BU464" s="290"/>
      <c r="BV464" s="290"/>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row>
    <row r="465" customFormat="false" ht="15.75" hidden="false" customHeight="false" outlineLevel="0" collapsed="false">
      <c r="A465" s="290"/>
      <c r="B465" s="290"/>
      <c r="C465" s="290"/>
      <c r="D465" s="290"/>
      <c r="E465" s="290"/>
      <c r="F465" s="290"/>
      <c r="G465" s="290"/>
      <c r="H465" s="290"/>
      <c r="I465" s="290"/>
      <c r="J465" s="3"/>
      <c r="K465" s="290"/>
      <c r="L465" s="290"/>
      <c r="M465" s="290"/>
      <c r="N465" s="290"/>
      <c r="O465" s="290"/>
      <c r="P465" s="290"/>
      <c r="Q465" s="290"/>
      <c r="R465" s="290"/>
      <c r="S465" s="290"/>
      <c r="T465" s="290"/>
      <c r="U465" s="290"/>
      <c r="V465" s="290"/>
      <c r="W465" s="290"/>
      <c r="X465" s="290"/>
      <c r="Y465" s="290"/>
      <c r="Z465" s="290"/>
      <c r="AA465" s="290"/>
      <c r="AB465" s="290"/>
      <c r="AC465" s="290"/>
      <c r="AD465" s="290"/>
      <c r="AE465" s="290"/>
      <c r="AF465" s="290"/>
      <c r="AG465" s="290"/>
      <c r="AH465" s="290"/>
      <c r="AI465" s="290"/>
      <c r="AJ465" s="290"/>
      <c r="AK465" s="290"/>
      <c r="AL465" s="290"/>
      <c r="AM465" s="290"/>
      <c r="AN465" s="290"/>
      <c r="AO465" s="290"/>
      <c r="AP465" s="290"/>
      <c r="AQ465" s="290"/>
      <c r="AR465" s="290"/>
      <c r="AS465" s="290"/>
      <c r="AT465" s="290"/>
      <c r="AU465" s="290"/>
      <c r="AV465" s="290"/>
      <c r="AW465" s="290"/>
      <c r="AX465" s="290"/>
      <c r="AY465" s="290"/>
      <c r="AZ465" s="290"/>
      <c r="BA465" s="290"/>
      <c r="BB465" s="290"/>
      <c r="BC465" s="290"/>
      <c r="BD465" s="290"/>
      <c r="BE465" s="290"/>
      <c r="BF465" s="290"/>
      <c r="BG465" s="290"/>
      <c r="BH465" s="290"/>
      <c r="BI465" s="290"/>
      <c r="BJ465" s="290"/>
      <c r="BK465" s="290"/>
      <c r="BL465" s="290"/>
      <c r="BM465" s="290"/>
      <c r="BN465" s="290"/>
      <c r="BO465" s="290"/>
      <c r="BP465" s="290"/>
      <c r="BQ465" s="290"/>
      <c r="BR465" s="290"/>
      <c r="BS465" s="290"/>
      <c r="BT465" s="290"/>
      <c r="BU465" s="290"/>
      <c r="BV465" s="290"/>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row>
    <row r="466" customFormat="false" ht="15.75" hidden="false" customHeight="false" outlineLevel="0" collapsed="false">
      <c r="A466" s="290"/>
      <c r="B466" s="290"/>
      <c r="C466" s="290"/>
      <c r="D466" s="290"/>
      <c r="E466" s="290"/>
      <c r="F466" s="290"/>
      <c r="G466" s="290"/>
      <c r="H466" s="290"/>
      <c r="I466" s="290"/>
      <c r="J466" s="3"/>
      <c r="K466" s="290"/>
      <c r="L466" s="290"/>
      <c r="M466" s="290"/>
      <c r="N466" s="290"/>
      <c r="O466" s="290"/>
      <c r="P466" s="290"/>
      <c r="Q466" s="290"/>
      <c r="R466" s="290"/>
      <c r="S466" s="290"/>
      <c r="T466" s="290"/>
      <c r="U466" s="290"/>
      <c r="V466" s="290"/>
      <c r="W466" s="290"/>
      <c r="X466" s="290"/>
      <c r="Y466" s="290"/>
      <c r="Z466" s="290"/>
      <c r="AA466" s="290"/>
      <c r="AB466" s="290"/>
      <c r="AC466" s="290"/>
      <c r="AD466" s="290"/>
      <c r="AE466" s="290"/>
      <c r="AF466" s="290"/>
      <c r="AG466" s="290"/>
      <c r="AH466" s="290"/>
      <c r="AI466" s="290"/>
      <c r="AJ466" s="290"/>
      <c r="AK466" s="290"/>
      <c r="AL466" s="290"/>
      <c r="AM466" s="290"/>
      <c r="AN466" s="290"/>
      <c r="AO466" s="290"/>
      <c r="AP466" s="290"/>
      <c r="AQ466" s="290"/>
      <c r="AR466" s="290"/>
      <c r="AS466" s="290"/>
      <c r="AT466" s="290"/>
      <c r="AU466" s="290"/>
      <c r="AV466" s="290"/>
      <c r="AW466" s="290"/>
      <c r="AX466" s="290"/>
      <c r="AY466" s="290"/>
      <c r="AZ466" s="290"/>
      <c r="BA466" s="290"/>
      <c r="BB466" s="290"/>
      <c r="BC466" s="290"/>
      <c r="BD466" s="290"/>
      <c r="BE466" s="290"/>
      <c r="BF466" s="290"/>
      <c r="BG466" s="290"/>
      <c r="BH466" s="290"/>
      <c r="BI466" s="290"/>
      <c r="BJ466" s="290"/>
      <c r="BK466" s="290"/>
      <c r="BL466" s="290"/>
      <c r="BM466" s="290"/>
      <c r="BN466" s="290"/>
      <c r="BO466" s="290"/>
      <c r="BP466" s="290"/>
      <c r="BQ466" s="290"/>
      <c r="BR466" s="290"/>
      <c r="BS466" s="290"/>
      <c r="BT466" s="290"/>
      <c r="BU466" s="290"/>
      <c r="BV466" s="290"/>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row>
    <row r="467" customFormat="false" ht="15.75" hidden="false" customHeight="false" outlineLevel="0" collapsed="false">
      <c r="A467" s="290"/>
      <c r="B467" s="290"/>
      <c r="C467" s="290"/>
      <c r="D467" s="290"/>
      <c r="E467" s="290"/>
      <c r="F467" s="290"/>
      <c r="G467" s="290"/>
      <c r="H467" s="290"/>
      <c r="I467" s="290"/>
      <c r="J467" s="3"/>
      <c r="K467" s="290"/>
      <c r="L467" s="290"/>
      <c r="M467" s="290"/>
      <c r="N467" s="290"/>
      <c r="O467" s="290"/>
      <c r="P467" s="290"/>
      <c r="Q467" s="290"/>
      <c r="R467" s="290"/>
      <c r="S467" s="290"/>
      <c r="T467" s="290"/>
      <c r="U467" s="290"/>
      <c r="V467" s="290"/>
      <c r="W467" s="290"/>
      <c r="X467" s="290"/>
      <c r="Y467" s="290"/>
      <c r="Z467" s="290"/>
      <c r="AA467" s="290"/>
      <c r="AB467" s="290"/>
      <c r="AC467" s="290"/>
      <c r="AD467" s="290"/>
      <c r="AE467" s="290"/>
      <c r="AF467" s="290"/>
      <c r="AG467" s="290"/>
      <c r="AH467" s="290"/>
      <c r="AI467" s="290"/>
      <c r="AJ467" s="290"/>
      <c r="AK467" s="290"/>
      <c r="AL467" s="290"/>
      <c r="AM467" s="290"/>
      <c r="AN467" s="290"/>
      <c r="AO467" s="290"/>
      <c r="AP467" s="290"/>
      <c r="AQ467" s="290"/>
      <c r="AR467" s="290"/>
      <c r="AS467" s="290"/>
      <c r="AT467" s="290"/>
      <c r="AU467" s="290"/>
      <c r="AV467" s="290"/>
      <c r="AW467" s="290"/>
      <c r="AX467" s="290"/>
      <c r="AY467" s="290"/>
      <c r="AZ467" s="290"/>
      <c r="BA467" s="290"/>
      <c r="BB467" s="290"/>
      <c r="BC467" s="290"/>
      <c r="BD467" s="290"/>
      <c r="BE467" s="290"/>
      <c r="BF467" s="290"/>
      <c r="BG467" s="290"/>
      <c r="BH467" s="290"/>
      <c r="BI467" s="290"/>
      <c r="BJ467" s="290"/>
      <c r="BK467" s="290"/>
      <c r="BL467" s="290"/>
      <c r="BM467" s="290"/>
      <c r="BN467" s="290"/>
      <c r="BO467" s="290"/>
      <c r="BP467" s="290"/>
      <c r="BQ467" s="290"/>
      <c r="BR467" s="290"/>
      <c r="BS467" s="290"/>
      <c r="BT467" s="290"/>
      <c r="BU467" s="290"/>
      <c r="BV467" s="290"/>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row>
    <row r="468" customFormat="false" ht="15.75" hidden="false" customHeight="false" outlineLevel="0" collapsed="false">
      <c r="A468" s="290"/>
      <c r="B468" s="290"/>
      <c r="C468" s="290"/>
      <c r="D468" s="290"/>
      <c r="E468" s="290"/>
      <c r="F468" s="290"/>
      <c r="G468" s="290"/>
      <c r="H468" s="290"/>
      <c r="I468" s="290"/>
      <c r="J468" s="3"/>
      <c r="K468" s="290"/>
      <c r="L468" s="290"/>
      <c r="M468" s="290"/>
      <c r="N468" s="290"/>
      <c r="O468" s="290"/>
      <c r="P468" s="290"/>
      <c r="Q468" s="290"/>
      <c r="R468" s="290"/>
      <c r="S468" s="290"/>
      <c r="T468" s="290"/>
      <c r="U468" s="290"/>
      <c r="V468" s="290"/>
      <c r="W468" s="290"/>
      <c r="X468" s="290"/>
      <c r="Y468" s="290"/>
      <c r="Z468" s="290"/>
      <c r="AA468" s="290"/>
      <c r="AB468" s="290"/>
      <c r="AC468" s="290"/>
      <c r="AD468" s="290"/>
      <c r="AE468" s="290"/>
      <c r="AF468" s="290"/>
      <c r="AG468" s="290"/>
      <c r="AH468" s="290"/>
      <c r="AI468" s="290"/>
      <c r="AJ468" s="290"/>
      <c r="AK468" s="290"/>
      <c r="AL468" s="290"/>
      <c r="AM468" s="290"/>
      <c r="AN468" s="290"/>
      <c r="AO468" s="290"/>
      <c r="AP468" s="290"/>
      <c r="AQ468" s="290"/>
      <c r="AR468" s="290"/>
      <c r="AS468" s="290"/>
      <c r="AT468" s="290"/>
      <c r="AU468" s="290"/>
      <c r="AV468" s="290"/>
      <c r="AW468" s="290"/>
      <c r="AX468" s="290"/>
      <c r="AY468" s="290"/>
      <c r="AZ468" s="290"/>
      <c r="BA468" s="290"/>
      <c r="BB468" s="290"/>
      <c r="BC468" s="290"/>
      <c r="BD468" s="290"/>
      <c r="BE468" s="290"/>
      <c r="BF468" s="290"/>
      <c r="BG468" s="290"/>
      <c r="BH468" s="290"/>
      <c r="BI468" s="290"/>
      <c r="BJ468" s="290"/>
      <c r="BK468" s="290"/>
      <c r="BL468" s="290"/>
      <c r="BM468" s="290"/>
      <c r="BN468" s="290"/>
      <c r="BO468" s="290"/>
      <c r="BP468" s="290"/>
      <c r="BQ468" s="290"/>
      <c r="BR468" s="290"/>
      <c r="BS468" s="290"/>
      <c r="BT468" s="290"/>
      <c r="BU468" s="290"/>
      <c r="BV468" s="290"/>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row>
    <row r="469" customFormat="false" ht="15.75" hidden="false" customHeight="false" outlineLevel="0" collapsed="false">
      <c r="A469" s="290"/>
      <c r="B469" s="290"/>
      <c r="C469" s="290"/>
      <c r="D469" s="290"/>
      <c r="E469" s="290"/>
      <c r="F469" s="290"/>
      <c r="G469" s="290"/>
      <c r="H469" s="290"/>
      <c r="I469" s="290"/>
      <c r="J469" s="3"/>
      <c r="K469" s="290"/>
      <c r="L469" s="290"/>
      <c r="M469" s="290"/>
      <c r="N469" s="290"/>
      <c r="O469" s="290"/>
      <c r="P469" s="290"/>
      <c r="Q469" s="290"/>
      <c r="R469" s="290"/>
      <c r="S469" s="290"/>
      <c r="T469" s="290"/>
      <c r="U469" s="290"/>
      <c r="V469" s="290"/>
      <c r="W469" s="290"/>
      <c r="X469" s="290"/>
      <c r="Y469" s="290"/>
      <c r="Z469" s="290"/>
      <c r="AA469" s="290"/>
      <c r="AB469" s="290"/>
      <c r="AC469" s="290"/>
      <c r="AD469" s="290"/>
      <c r="AE469" s="290"/>
      <c r="AF469" s="290"/>
      <c r="AG469" s="290"/>
      <c r="AH469" s="290"/>
      <c r="AI469" s="290"/>
      <c r="AJ469" s="290"/>
      <c r="AK469" s="290"/>
      <c r="AL469" s="290"/>
      <c r="AM469" s="290"/>
      <c r="AN469" s="290"/>
      <c r="AO469" s="290"/>
      <c r="AP469" s="290"/>
      <c r="AQ469" s="290"/>
      <c r="AR469" s="290"/>
      <c r="AS469" s="290"/>
      <c r="AT469" s="290"/>
      <c r="AU469" s="290"/>
      <c r="AV469" s="290"/>
      <c r="AW469" s="290"/>
      <c r="AX469" s="290"/>
      <c r="AY469" s="290"/>
      <c r="AZ469" s="290"/>
      <c r="BA469" s="290"/>
      <c r="BB469" s="290"/>
      <c r="BC469" s="290"/>
      <c r="BD469" s="290"/>
      <c r="BE469" s="290"/>
      <c r="BF469" s="290"/>
      <c r="BG469" s="290"/>
      <c r="BH469" s="290"/>
      <c r="BI469" s="290"/>
      <c r="BJ469" s="290"/>
      <c r="BK469" s="290"/>
      <c r="BL469" s="290"/>
      <c r="BM469" s="290"/>
      <c r="BN469" s="290"/>
      <c r="BO469" s="290"/>
      <c r="BP469" s="290"/>
      <c r="BQ469" s="290"/>
      <c r="BR469" s="290"/>
      <c r="BS469" s="290"/>
      <c r="BT469" s="290"/>
      <c r="BU469" s="290"/>
      <c r="BV469" s="290"/>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row>
    <row r="470" customFormat="false" ht="15.75" hidden="false" customHeight="false" outlineLevel="0" collapsed="false">
      <c r="A470" s="290"/>
      <c r="B470" s="290"/>
      <c r="C470" s="290"/>
      <c r="D470" s="290"/>
      <c r="E470" s="290"/>
      <c r="F470" s="290"/>
      <c r="G470" s="290"/>
      <c r="H470" s="290"/>
      <c r="I470" s="290"/>
      <c r="J470" s="3"/>
      <c r="K470" s="290"/>
      <c r="L470" s="290"/>
      <c r="M470" s="290"/>
      <c r="N470" s="290"/>
      <c r="O470" s="290"/>
      <c r="P470" s="290"/>
      <c r="Q470" s="290"/>
      <c r="R470" s="290"/>
      <c r="S470" s="290"/>
      <c r="T470" s="290"/>
      <c r="U470" s="290"/>
      <c r="V470" s="290"/>
      <c r="W470" s="290"/>
      <c r="X470" s="290"/>
      <c r="Y470" s="290"/>
      <c r="Z470" s="290"/>
      <c r="AA470" s="290"/>
      <c r="AB470" s="290"/>
      <c r="AC470" s="290"/>
      <c r="AD470" s="290"/>
      <c r="AE470" s="290"/>
      <c r="AF470" s="290"/>
      <c r="AG470" s="290"/>
      <c r="AH470" s="290"/>
      <c r="AI470" s="290"/>
      <c r="AJ470" s="290"/>
      <c r="AK470" s="290"/>
      <c r="AL470" s="290"/>
      <c r="AM470" s="290"/>
      <c r="AN470" s="290"/>
      <c r="AO470" s="290"/>
      <c r="AP470" s="290"/>
      <c r="AQ470" s="290"/>
      <c r="AR470" s="290"/>
      <c r="AS470" s="290"/>
      <c r="AT470" s="290"/>
      <c r="AU470" s="290"/>
      <c r="AV470" s="290"/>
      <c r="AW470" s="290"/>
      <c r="AX470" s="290"/>
      <c r="AY470" s="290"/>
      <c r="AZ470" s="290"/>
      <c r="BA470" s="290"/>
      <c r="BB470" s="290"/>
      <c r="BC470" s="290"/>
      <c r="BD470" s="290"/>
      <c r="BE470" s="290"/>
      <c r="BF470" s="290"/>
      <c r="BG470" s="290"/>
      <c r="BH470" s="290"/>
      <c r="BI470" s="290"/>
      <c r="BJ470" s="290"/>
      <c r="BK470" s="290"/>
      <c r="BL470" s="290"/>
      <c r="BM470" s="290"/>
      <c r="BN470" s="290"/>
      <c r="BO470" s="290"/>
      <c r="BP470" s="290"/>
      <c r="BQ470" s="290"/>
      <c r="BR470" s="290"/>
      <c r="BS470" s="290"/>
      <c r="BT470" s="290"/>
      <c r="BU470" s="290"/>
      <c r="BV470" s="290"/>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row>
    <row r="471" customFormat="false" ht="15.75" hidden="false" customHeight="false" outlineLevel="0" collapsed="false">
      <c r="A471" s="290"/>
      <c r="B471" s="290"/>
      <c r="C471" s="290"/>
      <c r="D471" s="290"/>
      <c r="E471" s="290"/>
      <c r="F471" s="290"/>
      <c r="G471" s="290"/>
      <c r="H471" s="290"/>
      <c r="I471" s="290"/>
      <c r="J471" s="3"/>
      <c r="K471" s="290"/>
      <c r="L471" s="290"/>
      <c r="M471" s="290"/>
      <c r="N471" s="290"/>
      <c r="O471" s="290"/>
      <c r="P471" s="290"/>
      <c r="Q471" s="290"/>
      <c r="R471" s="290"/>
      <c r="S471" s="290"/>
      <c r="T471" s="290"/>
      <c r="U471" s="290"/>
      <c r="V471" s="290"/>
      <c r="W471" s="290"/>
      <c r="X471" s="290"/>
      <c r="Y471" s="290"/>
      <c r="Z471" s="290"/>
      <c r="AA471" s="290"/>
      <c r="AB471" s="290"/>
      <c r="AC471" s="290"/>
      <c r="AD471" s="290"/>
      <c r="AE471" s="290"/>
      <c r="AF471" s="290"/>
      <c r="AG471" s="290"/>
      <c r="AH471" s="290"/>
      <c r="AI471" s="290"/>
      <c r="AJ471" s="290"/>
      <c r="AK471" s="290"/>
      <c r="AL471" s="290"/>
      <c r="AM471" s="290"/>
      <c r="AN471" s="290"/>
      <c r="AO471" s="290"/>
      <c r="AP471" s="290"/>
      <c r="AQ471" s="290"/>
      <c r="AR471" s="290"/>
      <c r="AS471" s="290"/>
      <c r="AT471" s="290"/>
      <c r="AU471" s="290"/>
      <c r="AV471" s="290"/>
      <c r="AW471" s="290"/>
      <c r="AX471" s="290"/>
      <c r="AY471" s="290"/>
      <c r="AZ471" s="290"/>
      <c r="BA471" s="290"/>
      <c r="BB471" s="290"/>
      <c r="BC471" s="290"/>
      <c r="BD471" s="290"/>
      <c r="BE471" s="290"/>
      <c r="BF471" s="290"/>
      <c r="BG471" s="290"/>
      <c r="BH471" s="290"/>
      <c r="BI471" s="290"/>
      <c r="BJ471" s="290"/>
      <c r="BK471" s="290"/>
      <c r="BL471" s="290"/>
      <c r="BM471" s="290"/>
      <c r="BN471" s="290"/>
      <c r="BO471" s="290"/>
      <c r="BP471" s="290"/>
      <c r="BQ471" s="290"/>
      <c r="BR471" s="290"/>
      <c r="BS471" s="290"/>
      <c r="BT471" s="290"/>
      <c r="BU471" s="290"/>
      <c r="BV471" s="290"/>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row>
    <row r="472" customFormat="false" ht="15.75" hidden="false" customHeight="false" outlineLevel="0" collapsed="false">
      <c r="A472" s="290"/>
      <c r="B472" s="290"/>
      <c r="C472" s="290"/>
      <c r="D472" s="290"/>
      <c r="E472" s="290"/>
      <c r="F472" s="290"/>
      <c r="G472" s="290"/>
      <c r="H472" s="290"/>
      <c r="I472" s="290"/>
      <c r="J472" s="3"/>
      <c r="K472" s="290"/>
      <c r="L472" s="290"/>
      <c r="M472" s="290"/>
      <c r="N472" s="290"/>
      <c r="O472" s="290"/>
      <c r="P472" s="290"/>
      <c r="Q472" s="290"/>
      <c r="R472" s="290"/>
      <c r="S472" s="290"/>
      <c r="T472" s="290"/>
      <c r="U472" s="290"/>
      <c r="V472" s="290"/>
      <c r="W472" s="290"/>
      <c r="X472" s="290"/>
      <c r="Y472" s="290"/>
      <c r="Z472" s="290"/>
      <c r="AA472" s="290"/>
      <c r="AB472" s="290"/>
      <c r="AC472" s="290"/>
      <c r="AD472" s="290"/>
      <c r="AE472" s="290"/>
      <c r="AF472" s="290"/>
      <c r="AG472" s="290"/>
      <c r="AH472" s="290"/>
      <c r="AI472" s="290"/>
      <c r="AJ472" s="290"/>
      <c r="AK472" s="290"/>
      <c r="AL472" s="290"/>
      <c r="AM472" s="290"/>
      <c r="AN472" s="290"/>
      <c r="AO472" s="290"/>
      <c r="AP472" s="290"/>
      <c r="AQ472" s="290"/>
      <c r="AR472" s="290"/>
      <c r="AS472" s="290"/>
      <c r="AT472" s="290"/>
      <c r="AU472" s="290"/>
      <c r="AV472" s="290"/>
      <c r="AW472" s="290"/>
      <c r="AX472" s="290"/>
      <c r="AY472" s="290"/>
      <c r="AZ472" s="290"/>
      <c r="BA472" s="290"/>
      <c r="BB472" s="290"/>
      <c r="BC472" s="290"/>
      <c r="BD472" s="290"/>
      <c r="BE472" s="290"/>
      <c r="BF472" s="290"/>
      <c r="BG472" s="290"/>
      <c r="BH472" s="290"/>
      <c r="BI472" s="290"/>
      <c r="BJ472" s="290"/>
      <c r="BK472" s="290"/>
      <c r="BL472" s="290"/>
      <c r="BM472" s="290"/>
      <c r="BN472" s="290"/>
      <c r="BO472" s="290"/>
      <c r="BP472" s="290"/>
      <c r="BQ472" s="290"/>
      <c r="BR472" s="290"/>
      <c r="BS472" s="290"/>
      <c r="BT472" s="290"/>
      <c r="BU472" s="290"/>
      <c r="BV472" s="290"/>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row>
    <row r="473" customFormat="false" ht="15.75" hidden="false" customHeight="false" outlineLevel="0" collapsed="false">
      <c r="A473" s="290"/>
      <c r="B473" s="290"/>
      <c r="C473" s="290"/>
      <c r="D473" s="290"/>
      <c r="E473" s="290"/>
      <c r="F473" s="290"/>
      <c r="G473" s="290"/>
      <c r="H473" s="290"/>
      <c r="I473" s="290"/>
      <c r="J473" s="3"/>
      <c r="K473" s="290"/>
      <c r="L473" s="290"/>
      <c r="M473" s="290"/>
      <c r="N473" s="290"/>
      <c r="O473" s="290"/>
      <c r="P473" s="290"/>
      <c r="Q473" s="290"/>
      <c r="R473" s="290"/>
      <c r="S473" s="290"/>
      <c r="T473" s="290"/>
      <c r="U473" s="290"/>
      <c r="V473" s="290"/>
      <c r="W473" s="290"/>
      <c r="X473" s="290"/>
      <c r="Y473" s="290"/>
      <c r="Z473" s="290"/>
      <c r="AA473" s="290"/>
      <c r="AB473" s="290"/>
      <c r="AC473" s="290"/>
      <c r="AD473" s="290"/>
      <c r="AE473" s="290"/>
      <c r="AF473" s="290"/>
      <c r="AG473" s="290"/>
      <c r="AH473" s="290"/>
      <c r="AI473" s="290"/>
      <c r="AJ473" s="290"/>
      <c r="AK473" s="290"/>
      <c r="AL473" s="290"/>
      <c r="AM473" s="290"/>
      <c r="AN473" s="290"/>
      <c r="AO473" s="290"/>
      <c r="AP473" s="290"/>
      <c r="AQ473" s="290"/>
      <c r="AR473" s="290"/>
      <c r="AS473" s="290"/>
      <c r="AT473" s="290"/>
      <c r="AU473" s="290"/>
      <c r="AV473" s="290"/>
      <c r="AW473" s="290"/>
      <c r="AX473" s="290"/>
      <c r="AY473" s="290"/>
      <c r="AZ473" s="290"/>
      <c r="BA473" s="290"/>
      <c r="BB473" s="290"/>
      <c r="BC473" s="290"/>
      <c r="BD473" s="290"/>
      <c r="BE473" s="290"/>
      <c r="BF473" s="290"/>
      <c r="BG473" s="290"/>
      <c r="BH473" s="290"/>
      <c r="BI473" s="290"/>
      <c r="BJ473" s="290"/>
      <c r="BK473" s="290"/>
      <c r="BL473" s="290"/>
      <c r="BM473" s="290"/>
      <c r="BN473" s="290"/>
      <c r="BO473" s="290"/>
      <c r="BP473" s="290"/>
      <c r="BQ473" s="290"/>
      <c r="BR473" s="290"/>
      <c r="BS473" s="290"/>
      <c r="BT473" s="290"/>
      <c r="BU473" s="290"/>
      <c r="BV473" s="290"/>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row>
    <row r="474" customFormat="false" ht="15.75" hidden="false" customHeight="false" outlineLevel="0" collapsed="false">
      <c r="A474" s="290"/>
      <c r="B474" s="290"/>
      <c r="C474" s="290"/>
      <c r="D474" s="290"/>
      <c r="E474" s="290"/>
      <c r="F474" s="290"/>
      <c r="G474" s="290"/>
      <c r="H474" s="290"/>
      <c r="I474" s="290"/>
      <c r="J474" s="3"/>
      <c r="K474" s="290"/>
      <c r="L474" s="290"/>
      <c r="M474" s="290"/>
      <c r="N474" s="290"/>
      <c r="O474" s="290"/>
      <c r="P474" s="290"/>
      <c r="Q474" s="290"/>
      <c r="R474" s="290"/>
      <c r="S474" s="290"/>
      <c r="T474" s="290"/>
      <c r="U474" s="290"/>
      <c r="V474" s="290"/>
      <c r="W474" s="290"/>
      <c r="X474" s="290"/>
      <c r="Y474" s="290"/>
      <c r="Z474" s="290"/>
      <c r="AA474" s="290"/>
      <c r="AB474" s="290"/>
      <c r="AC474" s="290"/>
      <c r="AD474" s="290"/>
      <c r="AE474" s="290"/>
      <c r="AF474" s="290"/>
      <c r="AG474" s="290"/>
      <c r="AH474" s="290"/>
      <c r="AI474" s="290"/>
      <c r="AJ474" s="290"/>
      <c r="AK474" s="290"/>
      <c r="AL474" s="290"/>
      <c r="AM474" s="290"/>
      <c r="AN474" s="290"/>
      <c r="AO474" s="290"/>
      <c r="AP474" s="290"/>
      <c r="AQ474" s="290"/>
      <c r="AR474" s="290"/>
      <c r="AS474" s="290"/>
      <c r="AT474" s="290"/>
      <c r="AU474" s="290"/>
      <c r="AV474" s="290"/>
      <c r="AW474" s="290"/>
      <c r="AX474" s="290"/>
      <c r="AY474" s="290"/>
      <c r="AZ474" s="290"/>
      <c r="BA474" s="290"/>
      <c r="BB474" s="290"/>
      <c r="BC474" s="290"/>
      <c r="BD474" s="290"/>
      <c r="BE474" s="290"/>
      <c r="BF474" s="290"/>
      <c r="BG474" s="290"/>
      <c r="BH474" s="290"/>
      <c r="BI474" s="290"/>
      <c r="BJ474" s="290"/>
      <c r="BK474" s="290"/>
      <c r="BL474" s="290"/>
      <c r="BM474" s="290"/>
      <c r="BN474" s="290"/>
      <c r="BO474" s="290"/>
      <c r="BP474" s="290"/>
      <c r="BQ474" s="290"/>
      <c r="BR474" s="290"/>
      <c r="BS474" s="290"/>
      <c r="BT474" s="290"/>
      <c r="BU474" s="290"/>
      <c r="BV474" s="290"/>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row>
    <row r="475" customFormat="false" ht="15.75" hidden="false" customHeight="false" outlineLevel="0" collapsed="false">
      <c r="A475" s="290"/>
      <c r="B475" s="290"/>
      <c r="C475" s="290"/>
      <c r="D475" s="290"/>
      <c r="E475" s="290"/>
      <c r="F475" s="290"/>
      <c r="G475" s="290"/>
      <c r="H475" s="290"/>
      <c r="I475" s="290"/>
      <c r="J475" s="3"/>
      <c r="K475" s="290"/>
      <c r="L475" s="290"/>
      <c r="M475" s="290"/>
      <c r="N475" s="290"/>
      <c r="O475" s="290"/>
      <c r="P475" s="290"/>
      <c r="Q475" s="290"/>
      <c r="R475" s="290"/>
      <c r="S475" s="290"/>
      <c r="T475" s="290"/>
      <c r="U475" s="290"/>
      <c r="V475" s="290"/>
      <c r="W475" s="290"/>
      <c r="X475" s="290"/>
      <c r="Y475" s="290"/>
      <c r="Z475" s="290"/>
      <c r="AA475" s="290"/>
      <c r="AB475" s="290"/>
      <c r="AC475" s="290"/>
      <c r="AD475" s="290"/>
      <c r="AE475" s="290"/>
      <c r="AF475" s="290"/>
      <c r="AG475" s="290"/>
      <c r="AH475" s="290"/>
      <c r="AI475" s="290"/>
      <c r="AJ475" s="290"/>
      <c r="AK475" s="290"/>
      <c r="AL475" s="290"/>
      <c r="AM475" s="290"/>
      <c r="AN475" s="290"/>
      <c r="AO475" s="290"/>
      <c r="AP475" s="290"/>
      <c r="AQ475" s="290"/>
      <c r="AR475" s="290"/>
      <c r="AS475" s="290"/>
      <c r="AT475" s="290"/>
      <c r="AU475" s="290"/>
      <c r="AV475" s="290"/>
      <c r="AW475" s="290"/>
      <c r="AX475" s="290"/>
      <c r="AY475" s="290"/>
      <c r="AZ475" s="290"/>
      <c r="BA475" s="290"/>
      <c r="BB475" s="290"/>
      <c r="BC475" s="290"/>
      <c r="BD475" s="290"/>
      <c r="BE475" s="290"/>
      <c r="BF475" s="290"/>
      <c r="BG475" s="290"/>
      <c r="BH475" s="290"/>
      <c r="BI475" s="290"/>
      <c r="BJ475" s="290"/>
      <c r="BK475" s="290"/>
      <c r="BL475" s="290"/>
      <c r="BM475" s="290"/>
      <c r="BN475" s="290"/>
      <c r="BO475" s="290"/>
      <c r="BP475" s="290"/>
      <c r="BQ475" s="290"/>
      <c r="BR475" s="290"/>
      <c r="BS475" s="290"/>
      <c r="BT475" s="290"/>
      <c r="BU475" s="290"/>
      <c r="BV475" s="290"/>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row>
    <row r="476" customFormat="false" ht="15.75" hidden="false" customHeight="false" outlineLevel="0" collapsed="false">
      <c r="A476" s="290"/>
      <c r="B476" s="290"/>
      <c r="C476" s="290"/>
      <c r="D476" s="290"/>
      <c r="E476" s="290"/>
      <c r="F476" s="290"/>
      <c r="G476" s="290"/>
      <c r="H476" s="290"/>
      <c r="I476" s="290"/>
      <c r="J476" s="3"/>
      <c r="K476" s="290"/>
      <c r="L476" s="290"/>
      <c r="M476" s="290"/>
      <c r="N476" s="290"/>
      <c r="O476" s="290"/>
      <c r="P476" s="290"/>
      <c r="Q476" s="290"/>
      <c r="R476" s="290"/>
      <c r="S476" s="290"/>
      <c r="T476" s="290"/>
      <c r="U476" s="290"/>
      <c r="V476" s="290"/>
      <c r="W476" s="290"/>
      <c r="X476" s="290"/>
      <c r="Y476" s="290"/>
      <c r="Z476" s="290"/>
      <c r="AA476" s="290"/>
      <c r="AB476" s="290"/>
      <c r="AC476" s="290"/>
      <c r="AD476" s="290"/>
      <c r="AE476" s="290"/>
      <c r="AF476" s="290"/>
      <c r="AG476" s="290"/>
      <c r="AH476" s="290"/>
      <c r="AI476" s="290"/>
      <c r="AJ476" s="290"/>
      <c r="AK476" s="290"/>
      <c r="AL476" s="290"/>
      <c r="AM476" s="290"/>
      <c r="AN476" s="290"/>
      <c r="AO476" s="290"/>
      <c r="AP476" s="290"/>
      <c r="AQ476" s="290"/>
      <c r="AR476" s="290"/>
      <c r="AS476" s="290"/>
      <c r="AT476" s="290"/>
      <c r="AU476" s="290"/>
      <c r="AV476" s="290"/>
      <c r="AW476" s="290"/>
      <c r="AX476" s="290"/>
      <c r="AY476" s="290"/>
      <c r="AZ476" s="290"/>
      <c r="BA476" s="290"/>
      <c r="BB476" s="290"/>
      <c r="BC476" s="290"/>
      <c r="BD476" s="290"/>
      <c r="BE476" s="290"/>
      <c r="BF476" s="290"/>
      <c r="BG476" s="290"/>
      <c r="BH476" s="290"/>
      <c r="BI476" s="290"/>
      <c r="BJ476" s="290"/>
      <c r="BK476" s="290"/>
      <c r="BL476" s="290"/>
      <c r="BM476" s="290"/>
      <c r="BN476" s="290"/>
      <c r="BO476" s="290"/>
      <c r="BP476" s="290"/>
      <c r="BQ476" s="290"/>
      <c r="BR476" s="290"/>
      <c r="BS476" s="290"/>
      <c r="BT476" s="290"/>
      <c r="BU476" s="290"/>
      <c r="BV476" s="290"/>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row>
    <row r="477" customFormat="false" ht="15.75" hidden="false" customHeight="false" outlineLevel="0" collapsed="false">
      <c r="A477" s="290"/>
      <c r="B477" s="290"/>
      <c r="C477" s="290"/>
      <c r="D477" s="290"/>
      <c r="E477" s="290"/>
      <c r="F477" s="290"/>
      <c r="G477" s="290"/>
      <c r="H477" s="290"/>
      <c r="I477" s="290"/>
      <c r="J477" s="3"/>
      <c r="K477" s="290"/>
      <c r="L477" s="290"/>
      <c r="M477" s="290"/>
      <c r="N477" s="290"/>
      <c r="O477" s="290"/>
      <c r="P477" s="290"/>
      <c r="Q477" s="290"/>
      <c r="R477" s="290"/>
      <c r="S477" s="290"/>
      <c r="T477" s="290"/>
      <c r="U477" s="290"/>
      <c r="V477" s="290"/>
      <c r="W477" s="290"/>
      <c r="X477" s="290"/>
      <c r="Y477" s="290"/>
      <c r="Z477" s="290"/>
      <c r="AA477" s="290"/>
      <c r="AB477" s="290"/>
      <c r="AC477" s="290"/>
      <c r="AD477" s="290"/>
      <c r="AE477" s="290"/>
      <c r="AF477" s="290"/>
      <c r="AG477" s="290"/>
      <c r="AH477" s="290"/>
      <c r="AI477" s="290"/>
      <c r="AJ477" s="290"/>
      <c r="AK477" s="290"/>
      <c r="AL477" s="290"/>
      <c r="AM477" s="290"/>
      <c r="AN477" s="290"/>
      <c r="AO477" s="290"/>
      <c r="AP477" s="290"/>
      <c r="AQ477" s="290"/>
      <c r="AR477" s="290"/>
      <c r="AS477" s="290"/>
      <c r="AT477" s="290"/>
      <c r="AU477" s="290"/>
      <c r="AV477" s="290"/>
      <c r="AW477" s="290"/>
      <c r="AX477" s="290"/>
      <c r="AY477" s="290"/>
      <c r="AZ477" s="290"/>
      <c r="BA477" s="290"/>
      <c r="BB477" s="290"/>
      <c r="BC477" s="290"/>
      <c r="BD477" s="290"/>
      <c r="BE477" s="290"/>
      <c r="BF477" s="290"/>
      <c r="BG477" s="290"/>
      <c r="BH477" s="290"/>
      <c r="BI477" s="290"/>
      <c r="BJ477" s="290"/>
      <c r="BK477" s="290"/>
      <c r="BL477" s="290"/>
      <c r="BM477" s="290"/>
      <c r="BN477" s="290"/>
      <c r="BO477" s="290"/>
      <c r="BP477" s="290"/>
      <c r="BQ477" s="290"/>
      <c r="BR477" s="290"/>
      <c r="BS477" s="290"/>
      <c r="BT477" s="290"/>
      <c r="BU477" s="290"/>
      <c r="BV477" s="290"/>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row>
    <row r="478" customFormat="false" ht="15.75" hidden="false" customHeight="false" outlineLevel="0" collapsed="false">
      <c r="A478" s="290"/>
      <c r="B478" s="290"/>
      <c r="C478" s="290"/>
      <c r="D478" s="290"/>
      <c r="E478" s="290"/>
      <c r="F478" s="290"/>
      <c r="G478" s="290"/>
      <c r="H478" s="290"/>
      <c r="I478" s="290"/>
      <c r="J478" s="3"/>
      <c r="K478" s="290"/>
      <c r="L478" s="290"/>
      <c r="M478" s="290"/>
      <c r="N478" s="290"/>
      <c r="O478" s="290"/>
      <c r="P478" s="290"/>
      <c r="Q478" s="290"/>
      <c r="R478" s="290"/>
      <c r="S478" s="290"/>
      <c r="T478" s="290"/>
      <c r="U478" s="290"/>
      <c r="V478" s="290"/>
      <c r="W478" s="290"/>
      <c r="X478" s="290"/>
      <c r="Y478" s="290"/>
      <c r="Z478" s="290"/>
      <c r="AA478" s="290"/>
      <c r="AB478" s="290"/>
      <c r="AC478" s="290"/>
      <c r="AD478" s="290"/>
      <c r="AE478" s="290"/>
      <c r="AF478" s="290"/>
      <c r="AG478" s="290"/>
      <c r="AH478" s="290"/>
      <c r="AI478" s="290"/>
      <c r="AJ478" s="290"/>
      <c r="AK478" s="290"/>
      <c r="AL478" s="290"/>
      <c r="AM478" s="290"/>
      <c r="AN478" s="290"/>
      <c r="AO478" s="290"/>
      <c r="AP478" s="290"/>
      <c r="AQ478" s="290"/>
      <c r="AR478" s="290"/>
      <c r="AS478" s="290"/>
      <c r="AT478" s="290"/>
      <c r="AU478" s="290"/>
      <c r="AV478" s="290"/>
      <c r="AW478" s="290"/>
      <c r="AX478" s="290"/>
      <c r="AY478" s="290"/>
      <c r="AZ478" s="290"/>
      <c r="BA478" s="290"/>
      <c r="BB478" s="290"/>
      <c r="BC478" s="290"/>
      <c r="BD478" s="290"/>
      <c r="BE478" s="290"/>
      <c r="BF478" s="290"/>
      <c r="BG478" s="290"/>
      <c r="BH478" s="290"/>
      <c r="BI478" s="290"/>
      <c r="BJ478" s="290"/>
      <c r="BK478" s="290"/>
      <c r="BL478" s="290"/>
      <c r="BM478" s="290"/>
      <c r="BN478" s="290"/>
      <c r="BO478" s="290"/>
      <c r="BP478" s="290"/>
      <c r="BQ478" s="290"/>
      <c r="BR478" s="290"/>
      <c r="BS478" s="290"/>
      <c r="BT478" s="290"/>
      <c r="BU478" s="290"/>
      <c r="BV478" s="290"/>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row>
    <row r="479" customFormat="false" ht="15.75" hidden="false" customHeight="false" outlineLevel="0" collapsed="false">
      <c r="A479" s="290"/>
      <c r="B479" s="290"/>
      <c r="C479" s="290"/>
      <c r="D479" s="290"/>
      <c r="E479" s="290"/>
      <c r="F479" s="290"/>
      <c r="G479" s="290"/>
      <c r="H479" s="290"/>
      <c r="I479" s="290"/>
      <c r="J479" s="3"/>
      <c r="K479" s="290"/>
      <c r="L479" s="290"/>
      <c r="M479" s="290"/>
      <c r="N479" s="290"/>
      <c r="O479" s="290"/>
      <c r="P479" s="290"/>
      <c r="Q479" s="290"/>
      <c r="R479" s="290"/>
      <c r="S479" s="290"/>
      <c r="T479" s="290"/>
      <c r="U479" s="290"/>
      <c r="V479" s="290"/>
      <c r="W479" s="290"/>
      <c r="X479" s="290"/>
      <c r="Y479" s="290"/>
      <c r="Z479" s="290"/>
      <c r="AA479" s="290"/>
      <c r="AB479" s="290"/>
      <c r="AC479" s="290"/>
      <c r="AD479" s="290"/>
      <c r="AE479" s="290"/>
      <c r="AF479" s="290"/>
      <c r="AG479" s="290"/>
      <c r="AH479" s="290"/>
      <c r="AI479" s="290"/>
      <c r="AJ479" s="290"/>
      <c r="AK479" s="290"/>
      <c r="AL479" s="290"/>
      <c r="AM479" s="290"/>
      <c r="AN479" s="290"/>
      <c r="AO479" s="290"/>
      <c r="AP479" s="290"/>
      <c r="AQ479" s="290"/>
      <c r="AR479" s="290"/>
      <c r="AS479" s="290"/>
      <c r="AT479" s="290"/>
      <c r="AU479" s="290"/>
      <c r="AV479" s="290"/>
      <c r="AW479" s="290"/>
      <c r="AX479" s="290"/>
      <c r="AY479" s="290"/>
      <c r="AZ479" s="290"/>
      <c r="BA479" s="290"/>
      <c r="BB479" s="290"/>
      <c r="BC479" s="290"/>
      <c r="BD479" s="290"/>
      <c r="BE479" s="290"/>
      <c r="BF479" s="290"/>
      <c r="BG479" s="290"/>
      <c r="BH479" s="290"/>
      <c r="BI479" s="290"/>
      <c r="BJ479" s="290"/>
      <c r="BK479" s="290"/>
      <c r="BL479" s="290"/>
      <c r="BM479" s="290"/>
      <c r="BN479" s="290"/>
      <c r="BO479" s="290"/>
      <c r="BP479" s="290"/>
      <c r="BQ479" s="290"/>
      <c r="BR479" s="290"/>
      <c r="BS479" s="290"/>
      <c r="BT479" s="290"/>
      <c r="BU479" s="290"/>
      <c r="BV479" s="290"/>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row>
    <row r="480" customFormat="false" ht="15.75" hidden="false" customHeight="false" outlineLevel="0" collapsed="false">
      <c r="A480" s="290"/>
      <c r="B480" s="290"/>
      <c r="C480" s="290"/>
      <c r="D480" s="290"/>
      <c r="E480" s="290"/>
      <c r="F480" s="290"/>
      <c r="G480" s="290"/>
      <c r="H480" s="290"/>
      <c r="I480" s="290"/>
      <c r="J480" s="3"/>
      <c r="K480" s="290"/>
      <c r="L480" s="290"/>
      <c r="M480" s="290"/>
      <c r="N480" s="290"/>
      <c r="O480" s="290"/>
      <c r="P480" s="290"/>
      <c r="Q480" s="290"/>
      <c r="R480" s="290"/>
      <c r="S480" s="290"/>
      <c r="T480" s="290"/>
      <c r="U480" s="290"/>
      <c r="V480" s="290"/>
      <c r="W480" s="290"/>
      <c r="X480" s="290"/>
      <c r="Y480" s="290"/>
      <c r="Z480" s="290"/>
      <c r="AA480" s="290"/>
      <c r="AB480" s="290"/>
      <c r="AC480" s="290"/>
      <c r="AD480" s="290"/>
      <c r="AE480" s="290"/>
      <c r="AF480" s="290"/>
      <c r="AG480" s="290"/>
      <c r="AH480" s="290"/>
      <c r="AI480" s="290"/>
      <c r="AJ480" s="290"/>
      <c r="AK480" s="290"/>
      <c r="AL480" s="290"/>
      <c r="AM480" s="290"/>
      <c r="AN480" s="290"/>
      <c r="AO480" s="290"/>
      <c r="AP480" s="290"/>
      <c r="AQ480" s="290"/>
      <c r="AR480" s="290"/>
      <c r="AS480" s="290"/>
      <c r="AT480" s="290"/>
      <c r="AU480" s="290"/>
      <c r="AV480" s="290"/>
      <c r="AW480" s="290"/>
      <c r="AX480" s="290"/>
      <c r="AY480" s="290"/>
      <c r="AZ480" s="290"/>
      <c r="BA480" s="290"/>
      <c r="BB480" s="290"/>
      <c r="BC480" s="290"/>
      <c r="BD480" s="290"/>
      <c r="BE480" s="290"/>
      <c r="BF480" s="290"/>
      <c r="BG480" s="290"/>
      <c r="BH480" s="290"/>
      <c r="BI480" s="290"/>
      <c r="BJ480" s="290"/>
      <c r="BK480" s="290"/>
      <c r="BL480" s="290"/>
      <c r="BM480" s="290"/>
      <c r="BN480" s="290"/>
      <c r="BO480" s="290"/>
      <c r="BP480" s="290"/>
      <c r="BQ480" s="290"/>
      <c r="BR480" s="290"/>
      <c r="BS480" s="290"/>
      <c r="BT480" s="290"/>
      <c r="BU480" s="290"/>
      <c r="BV480" s="290"/>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row>
    <row r="481" customFormat="false" ht="15.75" hidden="false" customHeight="false" outlineLevel="0" collapsed="false">
      <c r="A481" s="290"/>
      <c r="B481" s="290"/>
      <c r="C481" s="290"/>
      <c r="D481" s="290"/>
      <c r="E481" s="290"/>
      <c r="F481" s="290"/>
      <c r="G481" s="290"/>
      <c r="H481" s="290"/>
      <c r="I481" s="290"/>
      <c r="J481" s="3"/>
      <c r="K481" s="290"/>
      <c r="L481" s="290"/>
      <c r="M481" s="290"/>
      <c r="N481" s="290"/>
      <c r="O481" s="290"/>
      <c r="P481" s="290"/>
      <c r="Q481" s="290"/>
      <c r="R481" s="290"/>
      <c r="S481" s="290"/>
      <c r="T481" s="290"/>
      <c r="U481" s="290"/>
      <c r="V481" s="290"/>
      <c r="W481" s="290"/>
      <c r="X481" s="290"/>
      <c r="Y481" s="290"/>
      <c r="Z481" s="290"/>
      <c r="AA481" s="290"/>
      <c r="AB481" s="290"/>
      <c r="AC481" s="290"/>
      <c r="AD481" s="290"/>
      <c r="AE481" s="290"/>
      <c r="AF481" s="290"/>
      <c r="AG481" s="290"/>
      <c r="AH481" s="290"/>
      <c r="AI481" s="290"/>
      <c r="AJ481" s="290"/>
      <c r="AK481" s="290"/>
      <c r="AL481" s="290"/>
      <c r="AM481" s="290"/>
      <c r="AN481" s="290"/>
      <c r="AO481" s="290"/>
      <c r="AP481" s="290"/>
      <c r="AQ481" s="290"/>
      <c r="AR481" s="290"/>
      <c r="AS481" s="290"/>
      <c r="AT481" s="290"/>
      <c r="AU481" s="290"/>
      <c r="AV481" s="290"/>
      <c r="AW481" s="290"/>
      <c r="AX481" s="290"/>
      <c r="AY481" s="290"/>
      <c r="AZ481" s="290"/>
      <c r="BA481" s="290"/>
      <c r="BB481" s="290"/>
      <c r="BC481" s="290"/>
      <c r="BD481" s="290"/>
      <c r="BE481" s="290"/>
      <c r="BF481" s="290"/>
      <c r="BG481" s="290"/>
      <c r="BH481" s="290"/>
      <c r="BI481" s="290"/>
      <c r="BJ481" s="290"/>
      <c r="BK481" s="290"/>
      <c r="BL481" s="290"/>
      <c r="BM481" s="290"/>
      <c r="BN481" s="290"/>
      <c r="BO481" s="290"/>
      <c r="BP481" s="290"/>
      <c r="BQ481" s="290"/>
      <c r="BR481" s="290"/>
      <c r="BS481" s="290"/>
      <c r="BT481" s="290"/>
      <c r="BU481" s="290"/>
      <c r="BV481" s="290"/>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row>
    <row r="482" customFormat="false" ht="15.75" hidden="false" customHeight="false" outlineLevel="0" collapsed="false">
      <c r="A482" s="290"/>
      <c r="B482" s="290"/>
      <c r="C482" s="290"/>
      <c r="D482" s="290"/>
      <c r="E482" s="290"/>
      <c r="F482" s="290"/>
      <c r="G482" s="290"/>
      <c r="H482" s="290"/>
      <c r="I482" s="290"/>
      <c r="J482" s="3"/>
      <c r="K482" s="290"/>
      <c r="L482" s="290"/>
      <c r="M482" s="290"/>
      <c r="N482" s="290"/>
      <c r="O482" s="290"/>
      <c r="P482" s="290"/>
      <c r="Q482" s="290"/>
      <c r="R482" s="290"/>
      <c r="S482" s="290"/>
      <c r="T482" s="290"/>
      <c r="U482" s="290"/>
      <c r="V482" s="290"/>
      <c r="W482" s="290"/>
      <c r="X482" s="290"/>
      <c r="Y482" s="290"/>
      <c r="Z482" s="290"/>
      <c r="AA482" s="290"/>
      <c r="AB482" s="290"/>
      <c r="AC482" s="290"/>
      <c r="AD482" s="290"/>
      <c r="AE482" s="290"/>
      <c r="AF482" s="290"/>
      <c r="AG482" s="290"/>
      <c r="AH482" s="290"/>
      <c r="AI482" s="290"/>
      <c r="AJ482" s="290"/>
      <c r="AK482" s="290"/>
      <c r="AL482" s="290"/>
      <c r="AM482" s="290"/>
      <c r="AN482" s="290"/>
      <c r="AO482" s="290"/>
      <c r="AP482" s="290"/>
      <c r="AQ482" s="290"/>
      <c r="AR482" s="290"/>
      <c r="AS482" s="290"/>
      <c r="AT482" s="290"/>
      <c r="AU482" s="290"/>
      <c r="AV482" s="290"/>
      <c r="AW482" s="290"/>
      <c r="AX482" s="290"/>
      <c r="AY482" s="290"/>
      <c r="AZ482" s="290"/>
      <c r="BA482" s="290"/>
      <c r="BB482" s="290"/>
      <c r="BC482" s="290"/>
      <c r="BD482" s="290"/>
      <c r="BE482" s="290"/>
      <c r="BF482" s="290"/>
      <c r="BG482" s="290"/>
      <c r="BH482" s="290"/>
      <c r="BI482" s="290"/>
      <c r="BJ482" s="290"/>
      <c r="BK482" s="290"/>
      <c r="BL482" s="290"/>
      <c r="BM482" s="290"/>
      <c r="BN482" s="290"/>
      <c r="BO482" s="290"/>
      <c r="BP482" s="290"/>
      <c r="BQ482" s="290"/>
      <c r="BR482" s="290"/>
      <c r="BS482" s="290"/>
      <c r="BT482" s="290"/>
      <c r="BU482" s="290"/>
      <c r="BV482" s="290"/>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row>
    <row r="483" customFormat="false" ht="15.75" hidden="false" customHeight="false" outlineLevel="0" collapsed="false">
      <c r="A483" s="290"/>
      <c r="B483" s="290"/>
      <c r="C483" s="290"/>
      <c r="D483" s="290"/>
      <c r="E483" s="290"/>
      <c r="F483" s="290"/>
      <c r="G483" s="290"/>
      <c r="H483" s="290"/>
      <c r="I483" s="290"/>
      <c r="J483" s="3"/>
      <c r="K483" s="290"/>
      <c r="L483" s="290"/>
      <c r="M483" s="290"/>
      <c r="N483" s="290"/>
      <c r="O483" s="290"/>
      <c r="P483" s="290"/>
      <c r="Q483" s="290"/>
      <c r="R483" s="290"/>
      <c r="S483" s="290"/>
      <c r="T483" s="290"/>
      <c r="U483" s="290"/>
      <c r="V483" s="290"/>
      <c r="W483" s="290"/>
      <c r="X483" s="290"/>
      <c r="Y483" s="290"/>
      <c r="Z483" s="290"/>
      <c r="AA483" s="290"/>
      <c r="AB483" s="290"/>
      <c r="AC483" s="290"/>
      <c r="AD483" s="290"/>
      <c r="AE483" s="290"/>
      <c r="AF483" s="290"/>
      <c r="AG483" s="290"/>
      <c r="AH483" s="290"/>
      <c r="AI483" s="290"/>
      <c r="AJ483" s="290"/>
      <c r="AK483" s="290"/>
      <c r="AL483" s="290"/>
      <c r="AM483" s="290"/>
      <c r="AN483" s="290"/>
      <c r="AO483" s="290"/>
      <c r="AP483" s="290"/>
      <c r="AQ483" s="290"/>
      <c r="AR483" s="290"/>
      <c r="AS483" s="290"/>
      <c r="AT483" s="290"/>
      <c r="AU483" s="290"/>
      <c r="AV483" s="290"/>
      <c r="AW483" s="290"/>
      <c r="AX483" s="290"/>
      <c r="AY483" s="290"/>
      <c r="AZ483" s="290"/>
      <c r="BA483" s="290"/>
      <c r="BB483" s="290"/>
      <c r="BC483" s="290"/>
      <c r="BD483" s="290"/>
      <c r="BE483" s="290"/>
      <c r="BF483" s="290"/>
      <c r="BG483" s="290"/>
      <c r="BH483" s="290"/>
      <c r="BI483" s="290"/>
      <c r="BJ483" s="290"/>
      <c r="BK483" s="290"/>
      <c r="BL483" s="290"/>
      <c r="BM483" s="290"/>
      <c r="BN483" s="290"/>
      <c r="BO483" s="290"/>
      <c r="BP483" s="290"/>
      <c r="BQ483" s="290"/>
      <c r="BR483" s="290"/>
      <c r="BS483" s="290"/>
      <c r="BT483" s="290"/>
      <c r="BU483" s="290"/>
      <c r="BV483" s="290"/>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row>
    <row r="484" customFormat="false" ht="15.75" hidden="false" customHeight="false" outlineLevel="0" collapsed="false">
      <c r="A484" s="290"/>
      <c r="B484" s="290"/>
      <c r="C484" s="290"/>
      <c r="D484" s="290"/>
      <c r="E484" s="290"/>
      <c r="F484" s="290"/>
      <c r="G484" s="290"/>
      <c r="H484" s="290"/>
      <c r="I484" s="290"/>
      <c r="J484" s="3"/>
      <c r="K484" s="290"/>
      <c r="L484" s="290"/>
      <c r="M484" s="290"/>
      <c r="N484" s="290"/>
      <c r="O484" s="290"/>
      <c r="P484" s="290"/>
      <c r="Q484" s="290"/>
      <c r="R484" s="290"/>
      <c r="S484" s="290"/>
      <c r="T484" s="290"/>
      <c r="U484" s="290"/>
      <c r="V484" s="290"/>
      <c r="W484" s="290"/>
      <c r="X484" s="290"/>
      <c r="Y484" s="290"/>
      <c r="Z484" s="290"/>
      <c r="AA484" s="290"/>
      <c r="AB484" s="290"/>
      <c r="AC484" s="290"/>
      <c r="AD484" s="290"/>
      <c r="AE484" s="290"/>
      <c r="AF484" s="290"/>
      <c r="AG484" s="290"/>
      <c r="AH484" s="290"/>
      <c r="AI484" s="290"/>
      <c r="AJ484" s="290"/>
      <c r="AK484" s="290"/>
      <c r="AL484" s="290"/>
      <c r="AM484" s="290"/>
      <c r="AN484" s="290"/>
      <c r="AO484" s="290"/>
      <c r="AP484" s="290"/>
      <c r="AQ484" s="290"/>
      <c r="AR484" s="290"/>
      <c r="AS484" s="290"/>
      <c r="AT484" s="290"/>
      <c r="AU484" s="290"/>
      <c r="AV484" s="290"/>
      <c r="AW484" s="290"/>
      <c r="AX484" s="290"/>
      <c r="AY484" s="290"/>
      <c r="AZ484" s="290"/>
      <c r="BA484" s="290"/>
      <c r="BB484" s="290"/>
      <c r="BC484" s="290"/>
      <c r="BD484" s="290"/>
      <c r="BE484" s="290"/>
      <c r="BF484" s="290"/>
      <c r="BG484" s="290"/>
      <c r="BH484" s="290"/>
      <c r="BI484" s="290"/>
      <c r="BJ484" s="290"/>
      <c r="BK484" s="290"/>
      <c r="BL484" s="290"/>
      <c r="BM484" s="290"/>
      <c r="BN484" s="290"/>
      <c r="BO484" s="290"/>
      <c r="BP484" s="290"/>
      <c r="BQ484" s="290"/>
      <c r="BR484" s="290"/>
      <c r="BS484" s="290"/>
      <c r="BT484" s="290"/>
      <c r="BU484" s="290"/>
      <c r="BV484" s="290"/>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row>
    <row r="485" customFormat="false" ht="15.75" hidden="false" customHeight="false" outlineLevel="0" collapsed="false">
      <c r="A485" s="290"/>
      <c r="B485" s="290"/>
      <c r="C485" s="290"/>
      <c r="D485" s="290"/>
      <c r="E485" s="290"/>
      <c r="F485" s="290"/>
      <c r="G485" s="290"/>
      <c r="H485" s="290"/>
      <c r="I485" s="290"/>
      <c r="J485" s="3"/>
      <c r="K485" s="290"/>
      <c r="L485" s="290"/>
      <c r="M485" s="290"/>
      <c r="N485" s="290"/>
      <c r="O485" s="290"/>
      <c r="P485" s="290"/>
      <c r="Q485" s="290"/>
      <c r="R485" s="290"/>
      <c r="S485" s="290"/>
      <c r="T485" s="290"/>
      <c r="U485" s="290"/>
      <c r="V485" s="290"/>
      <c r="W485" s="290"/>
      <c r="X485" s="290"/>
      <c r="Y485" s="290"/>
      <c r="Z485" s="290"/>
      <c r="AA485" s="290"/>
      <c r="AB485" s="290"/>
      <c r="AC485" s="290"/>
      <c r="AD485" s="290"/>
      <c r="AE485" s="290"/>
      <c r="AF485" s="290"/>
      <c r="AG485" s="290"/>
      <c r="AH485" s="290"/>
      <c r="AI485" s="290"/>
      <c r="AJ485" s="290"/>
      <c r="AK485" s="290"/>
      <c r="AL485" s="290"/>
      <c r="AM485" s="290"/>
      <c r="AN485" s="290"/>
      <c r="AO485" s="290"/>
      <c r="AP485" s="290"/>
      <c r="AQ485" s="290"/>
      <c r="AR485" s="290"/>
      <c r="AS485" s="290"/>
      <c r="AT485" s="290"/>
      <c r="AU485" s="290"/>
      <c r="AV485" s="290"/>
      <c r="AW485" s="290"/>
      <c r="AX485" s="290"/>
      <c r="AY485" s="290"/>
      <c r="AZ485" s="290"/>
      <c r="BA485" s="290"/>
      <c r="BB485" s="290"/>
      <c r="BC485" s="290"/>
      <c r="BD485" s="290"/>
      <c r="BE485" s="290"/>
      <c r="BF485" s="290"/>
      <c r="BG485" s="290"/>
      <c r="BH485" s="290"/>
      <c r="BI485" s="290"/>
      <c r="BJ485" s="290"/>
      <c r="BK485" s="290"/>
      <c r="BL485" s="290"/>
      <c r="BM485" s="290"/>
      <c r="BN485" s="290"/>
      <c r="BO485" s="290"/>
      <c r="BP485" s="290"/>
      <c r="BQ485" s="290"/>
      <c r="BR485" s="290"/>
      <c r="BS485" s="290"/>
      <c r="BT485" s="290"/>
      <c r="BU485" s="290"/>
      <c r="BV485" s="290"/>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row>
    <row r="486" customFormat="false" ht="15.75" hidden="false" customHeight="false" outlineLevel="0" collapsed="false">
      <c r="A486" s="290"/>
      <c r="B486" s="290"/>
      <c r="C486" s="290"/>
      <c r="D486" s="290"/>
      <c r="E486" s="290"/>
      <c r="F486" s="290"/>
      <c r="G486" s="290"/>
      <c r="H486" s="290"/>
      <c r="I486" s="290"/>
      <c r="J486" s="3"/>
      <c r="K486" s="290"/>
      <c r="L486" s="290"/>
      <c r="M486" s="290"/>
      <c r="N486" s="290"/>
      <c r="O486" s="290"/>
      <c r="P486" s="290"/>
      <c r="Q486" s="290"/>
      <c r="R486" s="290"/>
      <c r="S486" s="290"/>
      <c r="T486" s="290"/>
      <c r="U486" s="290"/>
      <c r="V486" s="290"/>
      <c r="W486" s="290"/>
      <c r="X486" s="290"/>
      <c r="Y486" s="290"/>
      <c r="Z486" s="290"/>
      <c r="AA486" s="290"/>
      <c r="AB486" s="290"/>
      <c r="AC486" s="290"/>
      <c r="AD486" s="290"/>
      <c r="AE486" s="290"/>
      <c r="AF486" s="290"/>
      <c r="AG486" s="290"/>
      <c r="AH486" s="290"/>
      <c r="AI486" s="290"/>
      <c r="AJ486" s="290"/>
      <c r="AK486" s="290"/>
      <c r="AL486" s="290"/>
      <c r="AM486" s="290"/>
      <c r="AN486" s="290"/>
      <c r="AO486" s="290"/>
      <c r="AP486" s="290"/>
      <c r="AQ486" s="290"/>
      <c r="AR486" s="290"/>
      <c r="AS486" s="290"/>
      <c r="AT486" s="290"/>
      <c r="AU486" s="290"/>
      <c r="AV486" s="290"/>
      <c r="AW486" s="290"/>
      <c r="AX486" s="290"/>
      <c r="AY486" s="290"/>
      <c r="AZ486" s="290"/>
      <c r="BA486" s="290"/>
      <c r="BB486" s="290"/>
      <c r="BC486" s="290"/>
      <c r="BD486" s="290"/>
      <c r="BE486" s="290"/>
      <c r="BF486" s="290"/>
      <c r="BG486" s="290"/>
      <c r="BH486" s="290"/>
      <c r="BI486" s="290"/>
      <c r="BJ486" s="290"/>
      <c r="BK486" s="290"/>
      <c r="BL486" s="290"/>
      <c r="BM486" s="290"/>
      <c r="BN486" s="290"/>
      <c r="BO486" s="290"/>
      <c r="BP486" s="290"/>
      <c r="BQ486" s="290"/>
      <c r="BR486" s="290"/>
      <c r="BS486" s="290"/>
      <c r="BT486" s="290"/>
      <c r="BU486" s="290"/>
      <c r="BV486" s="290"/>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row>
    <row r="487" customFormat="false" ht="15.75" hidden="false" customHeight="false" outlineLevel="0" collapsed="false">
      <c r="A487" s="290"/>
      <c r="B487" s="290"/>
      <c r="C487" s="290"/>
      <c r="D487" s="290"/>
      <c r="E487" s="290"/>
      <c r="F487" s="290"/>
      <c r="G487" s="290"/>
      <c r="H487" s="290"/>
      <c r="I487" s="290"/>
      <c r="J487" s="3"/>
      <c r="K487" s="290"/>
      <c r="L487" s="290"/>
      <c r="M487" s="290"/>
      <c r="N487" s="290"/>
      <c r="O487" s="290"/>
      <c r="P487" s="290"/>
      <c r="Q487" s="290"/>
      <c r="R487" s="290"/>
      <c r="S487" s="290"/>
      <c r="T487" s="290"/>
      <c r="U487" s="290"/>
      <c r="V487" s="290"/>
      <c r="W487" s="290"/>
      <c r="X487" s="290"/>
      <c r="Y487" s="290"/>
      <c r="Z487" s="290"/>
      <c r="AA487" s="290"/>
      <c r="AB487" s="290"/>
      <c r="AC487" s="290"/>
      <c r="AD487" s="290"/>
      <c r="AE487" s="290"/>
      <c r="AF487" s="290"/>
      <c r="AG487" s="290"/>
      <c r="AH487" s="290"/>
      <c r="AI487" s="290"/>
      <c r="AJ487" s="290"/>
      <c r="AK487" s="290"/>
      <c r="AL487" s="290"/>
      <c r="AM487" s="290"/>
      <c r="AN487" s="290"/>
      <c r="AO487" s="290"/>
      <c r="AP487" s="290"/>
      <c r="AQ487" s="290"/>
      <c r="AR487" s="290"/>
      <c r="AS487" s="290"/>
      <c r="AT487" s="290"/>
      <c r="AU487" s="290"/>
      <c r="AV487" s="290"/>
      <c r="AW487" s="290"/>
      <c r="AX487" s="290"/>
      <c r="AY487" s="290"/>
      <c r="AZ487" s="290"/>
      <c r="BA487" s="290"/>
      <c r="BB487" s="290"/>
      <c r="BC487" s="290"/>
      <c r="BD487" s="290"/>
      <c r="BE487" s="290"/>
      <c r="BF487" s="290"/>
      <c r="BG487" s="290"/>
      <c r="BH487" s="290"/>
      <c r="BI487" s="290"/>
      <c r="BJ487" s="290"/>
      <c r="BK487" s="290"/>
      <c r="BL487" s="290"/>
      <c r="BM487" s="290"/>
      <c r="BN487" s="290"/>
      <c r="BO487" s="290"/>
      <c r="BP487" s="290"/>
      <c r="BQ487" s="290"/>
      <c r="BR487" s="290"/>
      <c r="BS487" s="290"/>
      <c r="BT487" s="290"/>
      <c r="BU487" s="290"/>
      <c r="BV487" s="290"/>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row>
    <row r="488" customFormat="false" ht="15.75" hidden="false" customHeight="false" outlineLevel="0" collapsed="false">
      <c r="A488" s="290"/>
      <c r="B488" s="290"/>
      <c r="C488" s="290"/>
      <c r="D488" s="290"/>
      <c r="E488" s="290"/>
      <c r="F488" s="290"/>
      <c r="G488" s="290"/>
      <c r="H488" s="290"/>
      <c r="I488" s="290"/>
      <c r="J488" s="3"/>
      <c r="K488" s="290"/>
      <c r="L488" s="290"/>
      <c r="M488" s="290"/>
      <c r="N488" s="290"/>
      <c r="O488" s="290"/>
      <c r="P488" s="290"/>
      <c r="Q488" s="290"/>
      <c r="R488" s="290"/>
      <c r="S488" s="290"/>
      <c r="T488" s="290"/>
      <c r="U488" s="290"/>
      <c r="V488" s="290"/>
      <c r="W488" s="290"/>
      <c r="X488" s="290"/>
      <c r="Y488" s="290"/>
      <c r="Z488" s="290"/>
      <c r="AA488" s="290"/>
      <c r="AB488" s="290"/>
      <c r="AC488" s="290"/>
      <c r="AD488" s="290"/>
      <c r="AE488" s="290"/>
      <c r="AF488" s="290"/>
      <c r="AG488" s="290"/>
      <c r="AH488" s="290"/>
      <c r="AI488" s="290"/>
      <c r="AJ488" s="290"/>
      <c r="AK488" s="290"/>
      <c r="AL488" s="290"/>
      <c r="AM488" s="290"/>
      <c r="AN488" s="290"/>
      <c r="AO488" s="290"/>
      <c r="AP488" s="290"/>
      <c r="AQ488" s="290"/>
      <c r="AR488" s="290"/>
      <c r="AS488" s="290"/>
      <c r="AT488" s="290"/>
      <c r="AU488" s="290"/>
      <c r="AV488" s="290"/>
      <c r="AW488" s="290"/>
      <c r="AX488" s="290"/>
      <c r="AY488" s="290"/>
      <c r="AZ488" s="290"/>
      <c r="BA488" s="290"/>
      <c r="BB488" s="290"/>
      <c r="BC488" s="290"/>
      <c r="BD488" s="290"/>
      <c r="BE488" s="290"/>
      <c r="BF488" s="290"/>
      <c r="BG488" s="290"/>
      <c r="BH488" s="290"/>
      <c r="BI488" s="290"/>
      <c r="BJ488" s="290"/>
      <c r="BK488" s="290"/>
      <c r="BL488" s="290"/>
      <c r="BM488" s="290"/>
      <c r="BN488" s="290"/>
      <c r="BO488" s="290"/>
      <c r="BP488" s="290"/>
      <c r="BQ488" s="290"/>
      <c r="BR488" s="290"/>
      <c r="BS488" s="290"/>
      <c r="BT488" s="290"/>
      <c r="BU488" s="290"/>
      <c r="BV488" s="290"/>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row>
    <row r="489" customFormat="false" ht="15.75" hidden="false" customHeight="false" outlineLevel="0" collapsed="false">
      <c r="A489" s="290"/>
      <c r="B489" s="290"/>
      <c r="C489" s="290"/>
      <c r="D489" s="290"/>
      <c r="E489" s="290"/>
      <c r="F489" s="290"/>
      <c r="G489" s="290"/>
      <c r="H489" s="290"/>
      <c r="I489" s="290"/>
      <c r="J489" s="3"/>
      <c r="K489" s="290"/>
      <c r="L489" s="290"/>
      <c r="M489" s="290"/>
      <c r="N489" s="290"/>
      <c r="O489" s="290"/>
      <c r="P489" s="290"/>
      <c r="Q489" s="290"/>
      <c r="R489" s="290"/>
      <c r="S489" s="290"/>
      <c r="T489" s="290"/>
      <c r="U489" s="290"/>
      <c r="V489" s="290"/>
      <c r="W489" s="290"/>
      <c r="X489" s="290"/>
      <c r="Y489" s="290"/>
      <c r="Z489" s="290"/>
      <c r="AA489" s="290"/>
      <c r="AB489" s="290"/>
      <c r="AC489" s="290"/>
      <c r="AD489" s="290"/>
      <c r="AE489" s="290"/>
      <c r="AF489" s="290"/>
      <c r="AG489" s="290"/>
      <c r="AH489" s="290"/>
      <c r="AI489" s="290"/>
      <c r="AJ489" s="290"/>
      <c r="AK489" s="290"/>
      <c r="AL489" s="290"/>
      <c r="AM489" s="290"/>
      <c r="AN489" s="290"/>
      <c r="AO489" s="290"/>
      <c r="AP489" s="290"/>
      <c r="AQ489" s="290"/>
      <c r="AR489" s="290"/>
      <c r="AS489" s="290"/>
      <c r="AT489" s="290"/>
      <c r="AU489" s="290"/>
      <c r="AV489" s="290"/>
      <c r="AW489" s="290"/>
      <c r="AX489" s="290"/>
      <c r="AY489" s="290"/>
      <c r="AZ489" s="290"/>
      <c r="BA489" s="290"/>
      <c r="BB489" s="290"/>
      <c r="BC489" s="290"/>
      <c r="BD489" s="290"/>
      <c r="BE489" s="290"/>
      <c r="BF489" s="290"/>
      <c r="BG489" s="290"/>
      <c r="BH489" s="290"/>
      <c r="BI489" s="290"/>
      <c r="BJ489" s="290"/>
      <c r="BK489" s="290"/>
      <c r="BL489" s="290"/>
      <c r="BM489" s="290"/>
      <c r="BN489" s="290"/>
      <c r="BO489" s="290"/>
      <c r="BP489" s="290"/>
      <c r="BQ489" s="290"/>
      <c r="BR489" s="290"/>
      <c r="BS489" s="290"/>
      <c r="BT489" s="290"/>
      <c r="BU489" s="290"/>
      <c r="BV489" s="290"/>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row>
    <row r="490" customFormat="false" ht="15.75" hidden="false" customHeight="false" outlineLevel="0" collapsed="false">
      <c r="A490" s="290"/>
      <c r="B490" s="290"/>
      <c r="C490" s="290"/>
      <c r="D490" s="290"/>
      <c r="E490" s="290"/>
      <c r="F490" s="290"/>
      <c r="G490" s="290"/>
      <c r="H490" s="290"/>
      <c r="I490" s="290"/>
      <c r="J490" s="3"/>
      <c r="K490" s="290"/>
      <c r="L490" s="290"/>
      <c r="M490" s="290"/>
      <c r="N490" s="290"/>
      <c r="O490" s="290"/>
      <c r="P490" s="290"/>
      <c r="Q490" s="290"/>
      <c r="R490" s="290"/>
      <c r="S490" s="290"/>
      <c r="T490" s="290"/>
      <c r="U490" s="290"/>
      <c r="V490" s="290"/>
      <c r="W490" s="290"/>
      <c r="X490" s="290"/>
      <c r="Y490" s="290"/>
      <c r="Z490" s="290"/>
      <c r="AA490" s="290"/>
      <c r="AB490" s="290"/>
      <c r="AC490" s="290"/>
      <c r="AD490" s="290"/>
      <c r="AE490" s="290"/>
      <c r="AF490" s="290"/>
      <c r="AG490" s="290"/>
      <c r="AH490" s="290"/>
      <c r="AI490" s="290"/>
      <c r="AJ490" s="290"/>
      <c r="AK490" s="290"/>
      <c r="AL490" s="290"/>
      <c r="AM490" s="290"/>
      <c r="AN490" s="290"/>
      <c r="AO490" s="290"/>
      <c r="AP490" s="290"/>
      <c r="AQ490" s="290"/>
      <c r="AR490" s="290"/>
      <c r="AS490" s="290"/>
      <c r="AT490" s="290"/>
      <c r="AU490" s="290"/>
      <c r="AV490" s="290"/>
      <c r="AW490" s="290"/>
      <c r="AX490" s="290"/>
      <c r="AY490" s="290"/>
      <c r="AZ490" s="290"/>
      <c r="BA490" s="290"/>
      <c r="BB490" s="290"/>
      <c r="BC490" s="290"/>
      <c r="BD490" s="290"/>
      <c r="BE490" s="290"/>
      <c r="BF490" s="290"/>
      <c r="BG490" s="290"/>
      <c r="BH490" s="290"/>
      <c r="BI490" s="290"/>
      <c r="BJ490" s="290"/>
      <c r="BK490" s="290"/>
      <c r="BL490" s="290"/>
      <c r="BM490" s="290"/>
      <c r="BN490" s="290"/>
      <c r="BO490" s="290"/>
      <c r="BP490" s="290"/>
      <c r="BQ490" s="290"/>
      <c r="BR490" s="290"/>
      <c r="BS490" s="290"/>
      <c r="BT490" s="290"/>
      <c r="BU490" s="290"/>
      <c r="BV490" s="290"/>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row>
    <row r="491" customFormat="false" ht="15.75" hidden="false" customHeight="false" outlineLevel="0" collapsed="false">
      <c r="A491" s="290"/>
      <c r="B491" s="290"/>
      <c r="C491" s="290"/>
      <c r="D491" s="290"/>
      <c r="E491" s="290"/>
      <c r="F491" s="290"/>
      <c r="G491" s="290"/>
      <c r="H491" s="290"/>
      <c r="I491" s="290"/>
      <c r="J491" s="3"/>
      <c r="K491" s="290"/>
      <c r="L491" s="290"/>
      <c r="M491" s="290"/>
      <c r="N491" s="290"/>
      <c r="O491" s="290"/>
      <c r="P491" s="290"/>
      <c r="Q491" s="290"/>
      <c r="R491" s="290"/>
      <c r="S491" s="290"/>
      <c r="T491" s="290"/>
      <c r="U491" s="290"/>
      <c r="V491" s="290"/>
      <c r="W491" s="290"/>
      <c r="X491" s="290"/>
      <c r="Y491" s="290"/>
      <c r="Z491" s="290"/>
      <c r="AA491" s="290"/>
      <c r="AB491" s="290"/>
      <c r="AC491" s="290"/>
      <c r="AD491" s="290"/>
      <c r="AE491" s="290"/>
      <c r="AF491" s="290"/>
      <c r="AG491" s="290"/>
      <c r="AH491" s="290"/>
      <c r="AI491" s="290"/>
      <c r="AJ491" s="290"/>
      <c r="AK491" s="290"/>
      <c r="AL491" s="290"/>
      <c r="AM491" s="290"/>
      <c r="AN491" s="290"/>
      <c r="AO491" s="290"/>
      <c r="AP491" s="290"/>
      <c r="AQ491" s="290"/>
      <c r="AR491" s="290"/>
      <c r="AS491" s="290"/>
      <c r="AT491" s="290"/>
      <c r="AU491" s="290"/>
      <c r="AV491" s="290"/>
      <c r="AW491" s="290"/>
      <c r="AX491" s="290"/>
      <c r="AY491" s="290"/>
      <c r="AZ491" s="290"/>
      <c r="BA491" s="290"/>
      <c r="BB491" s="290"/>
      <c r="BC491" s="290"/>
      <c r="BD491" s="290"/>
      <c r="BE491" s="290"/>
      <c r="BF491" s="290"/>
      <c r="BG491" s="290"/>
      <c r="BH491" s="290"/>
      <c r="BI491" s="290"/>
      <c r="BJ491" s="290"/>
      <c r="BK491" s="290"/>
      <c r="BL491" s="290"/>
      <c r="BM491" s="290"/>
      <c r="BN491" s="290"/>
      <c r="BO491" s="290"/>
      <c r="BP491" s="290"/>
      <c r="BQ491" s="290"/>
      <c r="BR491" s="290"/>
      <c r="BS491" s="290"/>
      <c r="BT491" s="290"/>
      <c r="BU491" s="290"/>
      <c r="BV491" s="290"/>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row>
    <row r="492" customFormat="false" ht="15.75" hidden="false" customHeight="false" outlineLevel="0" collapsed="false">
      <c r="A492" s="290"/>
      <c r="B492" s="290"/>
      <c r="C492" s="290"/>
      <c r="D492" s="290"/>
      <c r="E492" s="290"/>
      <c r="F492" s="290"/>
      <c r="G492" s="290"/>
      <c r="H492" s="290"/>
      <c r="I492" s="290"/>
      <c r="J492" s="3"/>
      <c r="K492" s="290"/>
      <c r="L492" s="290"/>
      <c r="M492" s="290"/>
      <c r="N492" s="290"/>
      <c r="O492" s="290"/>
      <c r="P492" s="290"/>
      <c r="Q492" s="290"/>
      <c r="R492" s="290"/>
      <c r="S492" s="290"/>
      <c r="T492" s="290"/>
      <c r="U492" s="290"/>
      <c r="V492" s="290"/>
      <c r="W492" s="290"/>
      <c r="X492" s="290"/>
      <c r="Y492" s="290"/>
      <c r="Z492" s="290"/>
      <c r="AA492" s="290"/>
      <c r="AB492" s="290"/>
      <c r="AC492" s="290"/>
      <c r="AD492" s="290"/>
      <c r="AE492" s="290"/>
      <c r="AF492" s="290"/>
      <c r="AG492" s="290"/>
      <c r="AH492" s="290"/>
      <c r="AI492" s="290"/>
      <c r="AJ492" s="290"/>
      <c r="AK492" s="290"/>
      <c r="AL492" s="290"/>
      <c r="AM492" s="290"/>
      <c r="AN492" s="290"/>
      <c r="AO492" s="290"/>
      <c r="AP492" s="290"/>
      <c r="AQ492" s="290"/>
      <c r="AR492" s="290"/>
      <c r="AS492" s="290"/>
      <c r="AT492" s="290"/>
      <c r="AU492" s="290"/>
      <c r="AV492" s="290"/>
      <c r="AW492" s="290"/>
      <c r="AX492" s="290"/>
      <c r="AY492" s="290"/>
      <c r="AZ492" s="290"/>
      <c r="BA492" s="290"/>
      <c r="BB492" s="290"/>
      <c r="BC492" s="290"/>
      <c r="BD492" s="290"/>
      <c r="BE492" s="290"/>
      <c r="BF492" s="290"/>
      <c r="BG492" s="290"/>
      <c r="BH492" s="290"/>
      <c r="BI492" s="290"/>
      <c r="BJ492" s="290"/>
      <c r="BK492" s="290"/>
      <c r="BL492" s="290"/>
      <c r="BM492" s="290"/>
      <c r="BN492" s="290"/>
      <c r="BO492" s="290"/>
      <c r="BP492" s="290"/>
      <c r="BQ492" s="290"/>
      <c r="BR492" s="290"/>
      <c r="BS492" s="290"/>
      <c r="BT492" s="290"/>
      <c r="BU492" s="290"/>
      <c r="BV492" s="290"/>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row>
    <row r="493" customFormat="false" ht="15.75" hidden="false" customHeight="false" outlineLevel="0" collapsed="false">
      <c r="A493" s="290"/>
      <c r="B493" s="290"/>
      <c r="C493" s="290"/>
      <c r="D493" s="290"/>
      <c r="E493" s="290"/>
      <c r="F493" s="290"/>
      <c r="G493" s="290"/>
      <c r="H493" s="290"/>
      <c r="I493" s="290"/>
      <c r="J493" s="3"/>
      <c r="K493" s="290"/>
      <c r="L493" s="290"/>
      <c r="M493" s="290"/>
      <c r="N493" s="290"/>
      <c r="O493" s="290"/>
      <c r="P493" s="290"/>
      <c r="Q493" s="290"/>
      <c r="R493" s="290"/>
      <c r="S493" s="290"/>
      <c r="T493" s="290"/>
      <c r="U493" s="290"/>
      <c r="V493" s="290"/>
      <c r="W493" s="290"/>
      <c r="X493" s="290"/>
      <c r="Y493" s="290"/>
      <c r="Z493" s="290"/>
      <c r="AA493" s="290"/>
      <c r="AB493" s="290"/>
      <c r="AC493" s="290"/>
      <c r="AD493" s="290"/>
      <c r="AE493" s="290"/>
      <c r="AF493" s="290"/>
      <c r="AG493" s="290"/>
      <c r="AH493" s="290"/>
      <c r="AI493" s="290"/>
      <c r="AJ493" s="290"/>
      <c r="AK493" s="290"/>
      <c r="AL493" s="290"/>
      <c r="AM493" s="290"/>
      <c r="AN493" s="290"/>
      <c r="AO493" s="290"/>
      <c r="AP493" s="290"/>
      <c r="AQ493" s="290"/>
      <c r="AR493" s="290"/>
      <c r="AS493" s="290"/>
      <c r="AT493" s="290"/>
      <c r="AU493" s="290"/>
      <c r="AV493" s="290"/>
      <c r="AW493" s="290"/>
      <c r="AX493" s="290"/>
      <c r="AY493" s="290"/>
      <c r="AZ493" s="290"/>
      <c r="BA493" s="290"/>
      <c r="BB493" s="290"/>
      <c r="BC493" s="290"/>
      <c r="BD493" s="290"/>
      <c r="BE493" s="290"/>
      <c r="BF493" s="290"/>
      <c r="BG493" s="290"/>
      <c r="BH493" s="290"/>
      <c r="BI493" s="290"/>
      <c r="BJ493" s="290"/>
      <c r="BK493" s="290"/>
      <c r="BL493" s="290"/>
      <c r="BM493" s="290"/>
      <c r="BN493" s="290"/>
      <c r="BO493" s="290"/>
      <c r="BP493" s="290"/>
      <c r="BQ493" s="290"/>
      <c r="BR493" s="290"/>
      <c r="BS493" s="290"/>
      <c r="BT493" s="290"/>
      <c r="BU493" s="290"/>
      <c r="BV493" s="290"/>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row>
    <row r="494" customFormat="false" ht="15.75" hidden="false" customHeight="false" outlineLevel="0" collapsed="false">
      <c r="A494" s="290"/>
      <c r="B494" s="290"/>
      <c r="C494" s="290"/>
      <c r="D494" s="290"/>
      <c r="E494" s="290"/>
      <c r="F494" s="290"/>
      <c r="G494" s="290"/>
      <c r="H494" s="290"/>
      <c r="I494" s="290"/>
      <c r="J494" s="3"/>
      <c r="K494" s="290"/>
      <c r="L494" s="290"/>
      <c r="M494" s="290"/>
      <c r="N494" s="290"/>
      <c r="O494" s="290"/>
      <c r="P494" s="290"/>
      <c r="Q494" s="290"/>
      <c r="R494" s="290"/>
      <c r="S494" s="290"/>
      <c r="T494" s="290"/>
      <c r="U494" s="290"/>
      <c r="V494" s="290"/>
      <c r="W494" s="290"/>
      <c r="X494" s="290"/>
      <c r="Y494" s="290"/>
      <c r="Z494" s="290"/>
      <c r="AA494" s="290"/>
      <c r="AB494" s="290"/>
      <c r="AC494" s="290"/>
      <c r="AD494" s="290"/>
      <c r="AE494" s="290"/>
      <c r="AF494" s="290"/>
      <c r="AG494" s="290"/>
      <c r="AH494" s="290"/>
      <c r="AI494" s="290"/>
      <c r="AJ494" s="290"/>
      <c r="AK494" s="290"/>
      <c r="AL494" s="290"/>
      <c r="AM494" s="290"/>
      <c r="AN494" s="290"/>
      <c r="AO494" s="290"/>
      <c r="AP494" s="290"/>
      <c r="AQ494" s="290"/>
      <c r="AR494" s="290"/>
      <c r="AS494" s="290"/>
      <c r="AT494" s="290"/>
      <c r="AU494" s="290"/>
      <c r="AV494" s="290"/>
      <c r="AW494" s="290"/>
      <c r="AX494" s="290"/>
      <c r="AY494" s="290"/>
      <c r="AZ494" s="290"/>
      <c r="BA494" s="290"/>
      <c r="BB494" s="290"/>
      <c r="BC494" s="290"/>
      <c r="BD494" s="290"/>
      <c r="BE494" s="290"/>
      <c r="BF494" s="290"/>
      <c r="BG494" s="290"/>
      <c r="BH494" s="290"/>
      <c r="BI494" s="290"/>
      <c r="BJ494" s="290"/>
      <c r="BK494" s="290"/>
      <c r="BL494" s="290"/>
      <c r="BM494" s="290"/>
      <c r="BN494" s="290"/>
      <c r="BO494" s="290"/>
      <c r="BP494" s="290"/>
      <c r="BQ494" s="290"/>
      <c r="BR494" s="290"/>
      <c r="BS494" s="290"/>
      <c r="BT494" s="290"/>
      <c r="BU494" s="290"/>
      <c r="BV494" s="290"/>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row>
    <row r="495" customFormat="false" ht="15.75" hidden="false" customHeight="false" outlineLevel="0" collapsed="false">
      <c r="A495" s="290"/>
      <c r="B495" s="290"/>
      <c r="C495" s="290"/>
      <c r="D495" s="290"/>
      <c r="E495" s="290"/>
      <c r="F495" s="290"/>
      <c r="G495" s="290"/>
      <c r="H495" s="290"/>
      <c r="I495" s="290"/>
      <c r="J495" s="3"/>
      <c r="K495" s="290"/>
      <c r="L495" s="290"/>
      <c r="M495" s="290"/>
      <c r="N495" s="290"/>
      <c r="O495" s="290"/>
      <c r="P495" s="290"/>
      <c r="Q495" s="290"/>
      <c r="R495" s="290"/>
      <c r="S495" s="290"/>
      <c r="T495" s="290"/>
      <c r="U495" s="290"/>
      <c r="V495" s="290"/>
      <c r="W495" s="290"/>
      <c r="X495" s="290"/>
      <c r="Y495" s="290"/>
      <c r="Z495" s="290"/>
      <c r="AA495" s="290"/>
      <c r="AB495" s="290"/>
      <c r="AC495" s="290"/>
      <c r="AD495" s="290"/>
      <c r="AE495" s="290"/>
      <c r="AF495" s="290"/>
      <c r="AG495" s="290"/>
      <c r="AH495" s="290"/>
      <c r="AI495" s="290"/>
      <c r="AJ495" s="290"/>
      <c r="AK495" s="290"/>
      <c r="AL495" s="290"/>
      <c r="AM495" s="290"/>
      <c r="AN495" s="290"/>
      <c r="AO495" s="290"/>
      <c r="AP495" s="290"/>
      <c r="AQ495" s="290"/>
      <c r="AR495" s="290"/>
      <c r="AS495" s="290"/>
      <c r="AT495" s="290"/>
      <c r="AU495" s="290"/>
      <c r="AV495" s="290"/>
      <c r="AW495" s="290"/>
      <c r="AX495" s="290"/>
      <c r="AY495" s="290"/>
      <c r="AZ495" s="290"/>
      <c r="BA495" s="290"/>
      <c r="BB495" s="290"/>
      <c r="BC495" s="290"/>
      <c r="BD495" s="290"/>
      <c r="BE495" s="290"/>
      <c r="BF495" s="290"/>
      <c r="BG495" s="290"/>
      <c r="BH495" s="290"/>
      <c r="BI495" s="290"/>
      <c r="BJ495" s="290"/>
      <c r="BK495" s="290"/>
      <c r="BL495" s="290"/>
      <c r="BM495" s="290"/>
      <c r="BN495" s="290"/>
      <c r="BO495" s="290"/>
      <c r="BP495" s="290"/>
      <c r="BQ495" s="290"/>
      <c r="BR495" s="290"/>
      <c r="BS495" s="290"/>
      <c r="BT495" s="290"/>
      <c r="BU495" s="290"/>
      <c r="BV495" s="290"/>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row>
    <row r="496" customFormat="false" ht="15.75" hidden="false" customHeight="false" outlineLevel="0" collapsed="false">
      <c r="A496" s="290"/>
      <c r="B496" s="290"/>
      <c r="C496" s="290"/>
      <c r="D496" s="290"/>
      <c r="E496" s="290"/>
      <c r="F496" s="290"/>
      <c r="G496" s="290"/>
      <c r="H496" s="290"/>
      <c r="I496" s="290"/>
      <c r="J496" s="3"/>
      <c r="K496" s="290"/>
      <c r="L496" s="290"/>
      <c r="M496" s="290"/>
      <c r="N496" s="290"/>
      <c r="O496" s="290"/>
      <c r="P496" s="290"/>
      <c r="Q496" s="290"/>
      <c r="R496" s="290"/>
      <c r="S496" s="290"/>
      <c r="T496" s="290"/>
      <c r="U496" s="290"/>
      <c r="V496" s="290"/>
      <c r="W496" s="290"/>
      <c r="X496" s="290"/>
      <c r="Y496" s="290"/>
      <c r="Z496" s="290"/>
      <c r="AA496" s="290"/>
      <c r="AB496" s="290"/>
      <c r="AC496" s="290"/>
      <c r="AD496" s="290"/>
      <c r="AE496" s="290"/>
      <c r="AF496" s="290"/>
      <c r="AG496" s="290"/>
      <c r="AH496" s="290"/>
      <c r="AI496" s="290"/>
      <c r="AJ496" s="290"/>
      <c r="AK496" s="290"/>
      <c r="AL496" s="290"/>
      <c r="AM496" s="290"/>
      <c r="AN496" s="290"/>
      <c r="AO496" s="290"/>
      <c r="AP496" s="290"/>
      <c r="AQ496" s="290"/>
      <c r="AR496" s="290"/>
      <c r="AS496" s="290"/>
      <c r="AT496" s="290"/>
      <c r="AU496" s="290"/>
      <c r="AV496" s="290"/>
      <c r="AW496" s="290"/>
      <c r="AX496" s="290"/>
      <c r="AY496" s="290"/>
      <c r="AZ496" s="290"/>
      <c r="BA496" s="290"/>
      <c r="BB496" s="290"/>
      <c r="BC496" s="290"/>
      <c r="BD496" s="290"/>
      <c r="BE496" s="290"/>
      <c r="BF496" s="290"/>
      <c r="BG496" s="290"/>
      <c r="BH496" s="290"/>
      <c r="BI496" s="290"/>
      <c r="BJ496" s="290"/>
      <c r="BK496" s="290"/>
      <c r="BL496" s="290"/>
      <c r="BM496" s="290"/>
      <c r="BN496" s="290"/>
      <c r="BO496" s="290"/>
      <c r="BP496" s="290"/>
      <c r="BQ496" s="290"/>
      <c r="BR496" s="290"/>
      <c r="BS496" s="290"/>
      <c r="BT496" s="290"/>
      <c r="BU496" s="290"/>
      <c r="BV496" s="290"/>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row>
    <row r="497" customFormat="false" ht="15.75" hidden="false" customHeight="false" outlineLevel="0" collapsed="false">
      <c r="A497" s="290"/>
      <c r="B497" s="290"/>
      <c r="C497" s="290"/>
      <c r="D497" s="290"/>
      <c r="E497" s="290"/>
      <c r="F497" s="290"/>
      <c r="G497" s="290"/>
      <c r="H497" s="290"/>
      <c r="I497" s="290"/>
      <c r="J497" s="3"/>
      <c r="K497" s="290"/>
      <c r="L497" s="290"/>
      <c r="M497" s="290"/>
      <c r="N497" s="290"/>
      <c r="O497" s="290"/>
      <c r="P497" s="290"/>
      <c r="Q497" s="290"/>
      <c r="R497" s="290"/>
      <c r="S497" s="290"/>
      <c r="T497" s="290"/>
      <c r="U497" s="290"/>
      <c r="V497" s="290"/>
      <c r="W497" s="290"/>
      <c r="X497" s="290"/>
      <c r="Y497" s="290"/>
      <c r="Z497" s="290"/>
      <c r="AA497" s="290"/>
      <c r="AB497" s="290"/>
      <c r="AC497" s="290"/>
      <c r="AD497" s="290"/>
      <c r="AE497" s="290"/>
      <c r="AF497" s="290"/>
      <c r="AG497" s="290"/>
      <c r="AH497" s="290"/>
      <c r="AI497" s="290"/>
      <c r="AJ497" s="290"/>
      <c r="AK497" s="290"/>
      <c r="AL497" s="290"/>
      <c r="AM497" s="290"/>
      <c r="AN497" s="290"/>
      <c r="AO497" s="290"/>
      <c r="AP497" s="290"/>
      <c r="AQ497" s="290"/>
      <c r="AR497" s="290"/>
      <c r="AS497" s="290"/>
      <c r="AT497" s="290"/>
      <c r="AU497" s="290"/>
      <c r="AV497" s="290"/>
      <c r="AW497" s="290"/>
      <c r="AX497" s="290"/>
      <c r="AY497" s="290"/>
      <c r="AZ497" s="290"/>
      <c r="BA497" s="290"/>
      <c r="BB497" s="290"/>
      <c r="BC497" s="290"/>
      <c r="BD497" s="290"/>
      <c r="BE497" s="290"/>
      <c r="BF497" s="290"/>
      <c r="BG497" s="290"/>
      <c r="BH497" s="290"/>
      <c r="BI497" s="290"/>
      <c r="BJ497" s="290"/>
      <c r="BK497" s="290"/>
      <c r="BL497" s="290"/>
      <c r="BM497" s="290"/>
      <c r="BN497" s="290"/>
      <c r="BO497" s="290"/>
      <c r="BP497" s="290"/>
      <c r="BQ497" s="290"/>
      <c r="BR497" s="290"/>
      <c r="BS497" s="290"/>
      <c r="BT497" s="290"/>
      <c r="BU497" s="290"/>
      <c r="BV497" s="290"/>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row>
    <row r="498" customFormat="false" ht="15.75" hidden="false" customHeight="false" outlineLevel="0" collapsed="false">
      <c r="A498" s="290"/>
      <c r="B498" s="290"/>
      <c r="C498" s="290"/>
      <c r="D498" s="290"/>
      <c r="E498" s="290"/>
      <c r="F498" s="290"/>
      <c r="G498" s="290"/>
      <c r="H498" s="290"/>
      <c r="I498" s="290"/>
      <c r="J498" s="3"/>
      <c r="K498" s="290"/>
      <c r="L498" s="290"/>
      <c r="M498" s="290"/>
      <c r="N498" s="290"/>
      <c r="O498" s="290"/>
      <c r="P498" s="290"/>
      <c r="Q498" s="290"/>
      <c r="R498" s="290"/>
      <c r="S498" s="290"/>
      <c r="T498" s="290"/>
      <c r="U498" s="290"/>
      <c r="V498" s="290"/>
      <c r="W498" s="290"/>
      <c r="X498" s="290"/>
      <c r="Y498" s="290"/>
      <c r="Z498" s="290"/>
      <c r="AA498" s="290"/>
      <c r="AB498" s="290"/>
      <c r="AC498" s="290"/>
      <c r="AD498" s="290"/>
      <c r="AE498" s="290"/>
      <c r="AF498" s="290"/>
      <c r="AG498" s="290"/>
      <c r="AH498" s="290"/>
      <c r="AI498" s="290"/>
      <c r="AJ498" s="290"/>
      <c r="AK498" s="290"/>
      <c r="AL498" s="290"/>
      <c r="AM498" s="290"/>
      <c r="AN498" s="290"/>
      <c r="AO498" s="290"/>
      <c r="AP498" s="290"/>
      <c r="AQ498" s="290"/>
      <c r="AR498" s="290"/>
      <c r="AS498" s="290"/>
      <c r="AT498" s="290"/>
      <c r="AU498" s="290"/>
      <c r="AV498" s="290"/>
      <c r="AW498" s="290"/>
      <c r="AX498" s="290"/>
      <c r="AY498" s="290"/>
      <c r="AZ498" s="290"/>
      <c r="BA498" s="290"/>
      <c r="BB498" s="290"/>
      <c r="BC498" s="290"/>
      <c r="BD498" s="290"/>
      <c r="BE498" s="290"/>
      <c r="BF498" s="290"/>
      <c r="BG498" s="290"/>
      <c r="BH498" s="290"/>
      <c r="BI498" s="290"/>
      <c r="BJ498" s="290"/>
      <c r="BK498" s="290"/>
      <c r="BL498" s="290"/>
      <c r="BM498" s="290"/>
      <c r="BN498" s="290"/>
      <c r="BO498" s="290"/>
      <c r="BP498" s="290"/>
      <c r="BQ498" s="290"/>
      <c r="BR498" s="290"/>
      <c r="BS498" s="290"/>
      <c r="BT498" s="290"/>
      <c r="BU498" s="290"/>
      <c r="BV498" s="290"/>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row>
    <row r="499" customFormat="false" ht="15.75" hidden="false" customHeight="false" outlineLevel="0" collapsed="false">
      <c r="A499" s="290"/>
      <c r="B499" s="290"/>
      <c r="C499" s="290"/>
      <c r="D499" s="290"/>
      <c r="E499" s="290"/>
      <c r="F499" s="290"/>
      <c r="G499" s="290"/>
      <c r="H499" s="290"/>
      <c r="I499" s="290"/>
      <c r="J499" s="3"/>
      <c r="K499" s="290"/>
      <c r="L499" s="290"/>
      <c r="M499" s="290"/>
      <c r="N499" s="290"/>
      <c r="O499" s="290"/>
      <c r="P499" s="290"/>
      <c r="Q499" s="290"/>
      <c r="R499" s="290"/>
      <c r="S499" s="290"/>
      <c r="T499" s="290"/>
      <c r="U499" s="290"/>
      <c r="V499" s="290"/>
      <c r="W499" s="290"/>
      <c r="X499" s="290"/>
      <c r="Y499" s="290"/>
      <c r="Z499" s="290"/>
      <c r="AA499" s="290"/>
      <c r="AB499" s="290"/>
      <c r="AC499" s="290"/>
      <c r="AD499" s="290"/>
      <c r="AE499" s="290"/>
      <c r="AF499" s="290"/>
      <c r="AG499" s="290"/>
      <c r="AH499" s="290"/>
      <c r="AI499" s="290"/>
      <c r="AJ499" s="290"/>
      <c r="AK499" s="290"/>
      <c r="AL499" s="290"/>
      <c r="AM499" s="290"/>
      <c r="AN499" s="290"/>
      <c r="AO499" s="290"/>
      <c r="AP499" s="290"/>
      <c r="AQ499" s="290"/>
      <c r="AR499" s="290"/>
      <c r="AS499" s="290"/>
      <c r="AT499" s="290"/>
      <c r="AU499" s="290"/>
      <c r="AV499" s="290"/>
      <c r="AW499" s="290"/>
      <c r="AX499" s="290"/>
      <c r="AY499" s="290"/>
      <c r="AZ499" s="290"/>
      <c r="BA499" s="290"/>
      <c r="BB499" s="290"/>
      <c r="BC499" s="290"/>
      <c r="BD499" s="290"/>
      <c r="BE499" s="290"/>
      <c r="BF499" s="290"/>
      <c r="BG499" s="290"/>
      <c r="BH499" s="290"/>
      <c r="BI499" s="290"/>
      <c r="BJ499" s="290"/>
      <c r="BK499" s="290"/>
      <c r="BL499" s="290"/>
      <c r="BM499" s="290"/>
      <c r="BN499" s="290"/>
      <c r="BO499" s="290"/>
      <c r="BP499" s="290"/>
      <c r="BQ499" s="290"/>
      <c r="BR499" s="290"/>
      <c r="BS499" s="290"/>
      <c r="BT499" s="290"/>
      <c r="BU499" s="290"/>
      <c r="BV499" s="290"/>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row>
    <row r="500" customFormat="false" ht="15.75" hidden="false" customHeight="false" outlineLevel="0" collapsed="false">
      <c r="A500" s="290"/>
      <c r="B500" s="290"/>
      <c r="C500" s="290"/>
      <c r="D500" s="290"/>
      <c r="E500" s="290"/>
      <c r="F500" s="290"/>
      <c r="G500" s="290"/>
      <c r="H500" s="290"/>
      <c r="I500" s="290"/>
      <c r="J500" s="3"/>
      <c r="K500" s="290"/>
      <c r="L500" s="290"/>
      <c r="M500" s="290"/>
      <c r="N500" s="290"/>
      <c r="O500" s="290"/>
      <c r="P500" s="290"/>
      <c r="Q500" s="290"/>
      <c r="R500" s="290"/>
      <c r="S500" s="290"/>
      <c r="T500" s="290"/>
      <c r="U500" s="290"/>
      <c r="V500" s="290"/>
      <c r="W500" s="290"/>
      <c r="X500" s="290"/>
      <c r="Y500" s="290"/>
      <c r="Z500" s="290"/>
      <c r="AA500" s="290"/>
      <c r="AB500" s="290"/>
      <c r="AC500" s="290"/>
      <c r="AD500" s="290"/>
      <c r="AE500" s="290"/>
      <c r="AF500" s="290"/>
      <c r="AG500" s="290"/>
      <c r="AH500" s="290"/>
      <c r="AI500" s="290"/>
      <c r="AJ500" s="290"/>
      <c r="AK500" s="290"/>
      <c r="AL500" s="290"/>
      <c r="AM500" s="290"/>
      <c r="AN500" s="290"/>
      <c r="AO500" s="290"/>
      <c r="AP500" s="290"/>
      <c r="AQ500" s="290"/>
      <c r="AR500" s="290"/>
      <c r="AS500" s="290"/>
      <c r="AT500" s="290"/>
      <c r="AU500" s="290"/>
      <c r="AV500" s="290"/>
      <c r="AW500" s="290"/>
      <c r="AX500" s="290"/>
      <c r="AY500" s="290"/>
      <c r="AZ500" s="290"/>
      <c r="BA500" s="290"/>
      <c r="BB500" s="290"/>
      <c r="BC500" s="290"/>
      <c r="BD500" s="290"/>
      <c r="BE500" s="290"/>
      <c r="BF500" s="290"/>
      <c r="BG500" s="290"/>
      <c r="BH500" s="290"/>
      <c r="BI500" s="290"/>
      <c r="BJ500" s="290"/>
      <c r="BK500" s="290"/>
      <c r="BL500" s="290"/>
      <c r="BM500" s="290"/>
      <c r="BN500" s="290"/>
      <c r="BO500" s="290"/>
      <c r="BP500" s="290"/>
      <c r="BQ500" s="290"/>
      <c r="BR500" s="290"/>
      <c r="BS500" s="290"/>
      <c r="BT500" s="290"/>
      <c r="BU500" s="290"/>
      <c r="BV500" s="290"/>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row>
    <row r="501" customFormat="false" ht="15.75" hidden="false" customHeight="false" outlineLevel="0" collapsed="false">
      <c r="A501" s="290"/>
      <c r="B501" s="290"/>
      <c r="C501" s="290"/>
      <c r="D501" s="290"/>
      <c r="E501" s="290"/>
      <c r="F501" s="290"/>
      <c r="G501" s="290"/>
      <c r="H501" s="290"/>
      <c r="I501" s="290"/>
      <c r="J501" s="3"/>
      <c r="K501" s="290"/>
      <c r="L501" s="290"/>
      <c r="M501" s="290"/>
      <c r="N501" s="290"/>
      <c r="O501" s="290"/>
      <c r="P501" s="290"/>
      <c r="Q501" s="290"/>
      <c r="R501" s="290"/>
      <c r="S501" s="290"/>
      <c r="T501" s="290"/>
      <c r="U501" s="290"/>
      <c r="V501" s="290"/>
      <c r="W501" s="290"/>
      <c r="X501" s="290"/>
      <c r="Y501" s="290"/>
      <c r="Z501" s="290"/>
      <c r="AA501" s="290"/>
      <c r="AB501" s="290"/>
      <c r="AC501" s="290"/>
      <c r="AD501" s="290"/>
      <c r="AE501" s="290"/>
      <c r="AF501" s="290"/>
      <c r="AG501" s="290"/>
      <c r="AH501" s="290"/>
      <c r="AI501" s="290"/>
      <c r="AJ501" s="290"/>
      <c r="AK501" s="290"/>
      <c r="AL501" s="290"/>
      <c r="AM501" s="290"/>
      <c r="AN501" s="290"/>
      <c r="AO501" s="290"/>
      <c r="AP501" s="290"/>
      <c r="AQ501" s="290"/>
      <c r="AR501" s="290"/>
      <c r="AS501" s="290"/>
      <c r="AT501" s="290"/>
      <c r="AU501" s="290"/>
      <c r="AV501" s="290"/>
      <c r="AW501" s="290"/>
      <c r="AX501" s="290"/>
      <c r="AY501" s="290"/>
      <c r="AZ501" s="290"/>
      <c r="BA501" s="290"/>
      <c r="BB501" s="290"/>
      <c r="BC501" s="290"/>
      <c r="BD501" s="290"/>
      <c r="BE501" s="290"/>
      <c r="BF501" s="290"/>
      <c r="BG501" s="290"/>
      <c r="BH501" s="290"/>
      <c r="BI501" s="290"/>
      <c r="BJ501" s="290"/>
      <c r="BK501" s="290"/>
      <c r="BL501" s="290"/>
      <c r="BM501" s="290"/>
      <c r="BN501" s="290"/>
      <c r="BO501" s="290"/>
      <c r="BP501" s="290"/>
      <c r="BQ501" s="290"/>
      <c r="BR501" s="290"/>
      <c r="BS501" s="290"/>
      <c r="BT501" s="290"/>
      <c r="BU501" s="290"/>
      <c r="BV501" s="290"/>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row>
    <row r="502" customFormat="false" ht="15.75" hidden="false" customHeight="false" outlineLevel="0" collapsed="false">
      <c r="A502" s="290"/>
      <c r="B502" s="290"/>
      <c r="C502" s="290"/>
      <c r="D502" s="290"/>
      <c r="E502" s="290"/>
      <c r="F502" s="290"/>
      <c r="G502" s="290"/>
      <c r="H502" s="290"/>
      <c r="I502" s="290"/>
      <c r="J502" s="3"/>
      <c r="K502" s="290"/>
      <c r="L502" s="290"/>
      <c r="M502" s="290"/>
      <c r="N502" s="290"/>
      <c r="O502" s="290"/>
      <c r="P502" s="290"/>
      <c r="Q502" s="290"/>
      <c r="R502" s="290"/>
      <c r="S502" s="290"/>
      <c r="T502" s="290"/>
      <c r="U502" s="290"/>
      <c r="V502" s="290"/>
      <c r="W502" s="290"/>
      <c r="X502" s="290"/>
      <c r="Y502" s="290"/>
      <c r="Z502" s="290"/>
      <c r="AA502" s="290"/>
      <c r="AB502" s="290"/>
      <c r="AC502" s="290"/>
      <c r="AD502" s="290"/>
      <c r="AE502" s="290"/>
      <c r="AF502" s="290"/>
      <c r="AG502" s="290"/>
      <c r="AH502" s="290"/>
      <c r="AI502" s="290"/>
      <c r="AJ502" s="290"/>
      <c r="AK502" s="290"/>
      <c r="AL502" s="290"/>
      <c r="AM502" s="290"/>
      <c r="AN502" s="290"/>
      <c r="AO502" s="290"/>
      <c r="AP502" s="290"/>
      <c r="AQ502" s="290"/>
      <c r="AR502" s="290"/>
      <c r="AS502" s="290"/>
      <c r="AT502" s="290"/>
      <c r="AU502" s="290"/>
      <c r="AV502" s="290"/>
      <c r="AW502" s="290"/>
      <c r="AX502" s="290"/>
      <c r="AY502" s="290"/>
      <c r="AZ502" s="290"/>
      <c r="BA502" s="290"/>
      <c r="BB502" s="290"/>
      <c r="BC502" s="290"/>
      <c r="BD502" s="290"/>
      <c r="BE502" s="290"/>
      <c r="BF502" s="290"/>
      <c r="BG502" s="290"/>
      <c r="BH502" s="290"/>
      <c r="BI502" s="290"/>
      <c r="BJ502" s="290"/>
      <c r="BK502" s="290"/>
      <c r="BL502" s="290"/>
      <c r="BM502" s="290"/>
      <c r="BN502" s="290"/>
      <c r="BO502" s="290"/>
      <c r="BP502" s="290"/>
      <c r="BQ502" s="290"/>
      <c r="BR502" s="290"/>
      <c r="BS502" s="290"/>
      <c r="BT502" s="290"/>
      <c r="BU502" s="290"/>
      <c r="BV502" s="290"/>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row>
    <row r="503" customFormat="false" ht="15.75" hidden="false" customHeight="false" outlineLevel="0" collapsed="false">
      <c r="A503" s="290"/>
      <c r="B503" s="290"/>
      <c r="C503" s="290"/>
      <c r="D503" s="290"/>
      <c r="E503" s="290"/>
      <c r="F503" s="290"/>
      <c r="G503" s="290"/>
      <c r="H503" s="290"/>
      <c r="I503" s="290"/>
      <c r="J503" s="3"/>
      <c r="K503" s="290"/>
      <c r="L503" s="290"/>
      <c r="M503" s="290"/>
      <c r="N503" s="290"/>
      <c r="O503" s="290"/>
      <c r="P503" s="290"/>
      <c r="Q503" s="290"/>
      <c r="R503" s="290"/>
      <c r="S503" s="290"/>
      <c r="T503" s="290"/>
      <c r="U503" s="290"/>
      <c r="V503" s="290"/>
      <c r="W503" s="290"/>
      <c r="X503" s="290"/>
      <c r="Y503" s="290"/>
      <c r="Z503" s="290"/>
      <c r="AA503" s="290"/>
      <c r="AB503" s="290"/>
      <c r="AC503" s="290"/>
      <c r="AD503" s="290"/>
      <c r="AE503" s="290"/>
      <c r="AF503" s="290"/>
      <c r="AG503" s="290"/>
      <c r="AH503" s="290"/>
      <c r="AI503" s="290"/>
      <c r="AJ503" s="290"/>
      <c r="AK503" s="290"/>
      <c r="AL503" s="290"/>
      <c r="AM503" s="290"/>
      <c r="AN503" s="290"/>
      <c r="AO503" s="290"/>
      <c r="AP503" s="290"/>
      <c r="AQ503" s="290"/>
      <c r="AR503" s="290"/>
      <c r="AS503" s="290"/>
      <c r="AT503" s="290"/>
      <c r="AU503" s="290"/>
      <c r="AV503" s="290"/>
      <c r="AW503" s="290"/>
      <c r="AX503" s="290"/>
      <c r="AY503" s="290"/>
      <c r="AZ503" s="290"/>
      <c r="BA503" s="290"/>
      <c r="BB503" s="290"/>
      <c r="BC503" s="290"/>
      <c r="BD503" s="290"/>
      <c r="BE503" s="290"/>
      <c r="BF503" s="290"/>
      <c r="BG503" s="290"/>
      <c r="BH503" s="290"/>
      <c r="BI503" s="290"/>
      <c r="BJ503" s="290"/>
      <c r="BK503" s="290"/>
      <c r="BL503" s="290"/>
      <c r="BM503" s="290"/>
      <c r="BN503" s="290"/>
      <c r="BO503" s="290"/>
      <c r="BP503" s="290"/>
      <c r="BQ503" s="290"/>
      <c r="BR503" s="290"/>
      <c r="BS503" s="290"/>
      <c r="BT503" s="290"/>
      <c r="BU503" s="290"/>
      <c r="BV503" s="290"/>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row>
    <row r="504" customFormat="false" ht="15.75" hidden="false" customHeight="false" outlineLevel="0" collapsed="false">
      <c r="A504" s="290"/>
      <c r="B504" s="290"/>
      <c r="C504" s="290"/>
      <c r="D504" s="290"/>
      <c r="E504" s="290"/>
      <c r="F504" s="290"/>
      <c r="G504" s="290"/>
      <c r="H504" s="290"/>
      <c r="I504" s="290"/>
      <c r="J504" s="3"/>
      <c r="K504" s="290"/>
      <c r="L504" s="290"/>
      <c r="M504" s="290"/>
      <c r="N504" s="290"/>
      <c r="O504" s="290"/>
      <c r="P504" s="290"/>
      <c r="Q504" s="290"/>
      <c r="R504" s="290"/>
      <c r="S504" s="290"/>
      <c r="T504" s="290"/>
      <c r="U504" s="290"/>
      <c r="V504" s="290"/>
      <c r="W504" s="290"/>
      <c r="X504" s="290"/>
      <c r="Y504" s="290"/>
      <c r="Z504" s="290"/>
      <c r="AA504" s="290"/>
      <c r="AB504" s="290"/>
      <c r="AC504" s="290"/>
      <c r="AD504" s="290"/>
      <c r="AE504" s="290"/>
      <c r="AF504" s="290"/>
      <c r="AG504" s="290"/>
      <c r="AH504" s="290"/>
      <c r="AI504" s="290"/>
      <c r="AJ504" s="290"/>
      <c r="AK504" s="290"/>
      <c r="AL504" s="290"/>
      <c r="AM504" s="290"/>
      <c r="AN504" s="290"/>
      <c r="AO504" s="290"/>
      <c r="AP504" s="290"/>
      <c r="AQ504" s="290"/>
      <c r="AR504" s="290"/>
      <c r="AS504" s="290"/>
      <c r="AT504" s="290"/>
      <c r="AU504" s="290"/>
      <c r="AV504" s="290"/>
      <c r="AW504" s="290"/>
      <c r="AX504" s="290"/>
      <c r="AY504" s="290"/>
      <c r="AZ504" s="290"/>
      <c r="BA504" s="290"/>
      <c r="BB504" s="290"/>
      <c r="BC504" s="290"/>
      <c r="BD504" s="290"/>
      <c r="BE504" s="290"/>
      <c r="BF504" s="290"/>
      <c r="BG504" s="290"/>
      <c r="BH504" s="290"/>
      <c r="BI504" s="290"/>
      <c r="BJ504" s="290"/>
      <c r="BK504" s="290"/>
      <c r="BL504" s="290"/>
      <c r="BM504" s="290"/>
      <c r="BN504" s="290"/>
      <c r="BO504" s="290"/>
      <c r="BP504" s="290"/>
      <c r="BQ504" s="290"/>
      <c r="BR504" s="290"/>
      <c r="BS504" s="290"/>
      <c r="BT504" s="290"/>
      <c r="BU504" s="290"/>
      <c r="BV504" s="290"/>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row>
    <row r="505" customFormat="false" ht="15.75" hidden="false" customHeight="false" outlineLevel="0" collapsed="false">
      <c r="A505" s="290"/>
      <c r="B505" s="290"/>
      <c r="C505" s="290"/>
      <c r="D505" s="290"/>
      <c r="E505" s="290"/>
      <c r="F505" s="290"/>
      <c r="G505" s="290"/>
      <c r="H505" s="290"/>
      <c r="I505" s="290"/>
      <c r="J505" s="3"/>
      <c r="K505" s="290"/>
      <c r="L505" s="290"/>
      <c r="M505" s="290"/>
      <c r="N505" s="290"/>
      <c r="O505" s="290"/>
      <c r="P505" s="290"/>
      <c r="Q505" s="290"/>
      <c r="R505" s="290"/>
      <c r="S505" s="290"/>
      <c r="T505" s="290"/>
      <c r="U505" s="290"/>
      <c r="V505" s="290"/>
      <c r="W505" s="290"/>
      <c r="X505" s="290"/>
      <c r="Y505" s="290"/>
      <c r="Z505" s="290"/>
      <c r="AA505" s="290"/>
      <c r="AB505" s="290"/>
      <c r="AC505" s="290"/>
      <c r="AD505" s="290"/>
      <c r="AE505" s="290"/>
      <c r="AF505" s="290"/>
      <c r="AG505" s="290"/>
      <c r="AH505" s="290"/>
      <c r="AI505" s="290"/>
      <c r="AJ505" s="290"/>
      <c r="AK505" s="290"/>
      <c r="AL505" s="290"/>
      <c r="AM505" s="290"/>
      <c r="AN505" s="290"/>
      <c r="AO505" s="290"/>
      <c r="AP505" s="290"/>
      <c r="AQ505" s="290"/>
      <c r="AR505" s="290"/>
      <c r="AS505" s="290"/>
      <c r="AT505" s="290"/>
      <c r="AU505" s="290"/>
      <c r="AV505" s="290"/>
      <c r="AW505" s="290"/>
      <c r="AX505" s="290"/>
      <c r="AY505" s="290"/>
      <c r="AZ505" s="290"/>
      <c r="BA505" s="290"/>
      <c r="BB505" s="290"/>
      <c r="BC505" s="290"/>
      <c r="BD505" s="290"/>
      <c r="BE505" s="290"/>
      <c r="BF505" s="290"/>
      <c r="BG505" s="290"/>
      <c r="BH505" s="290"/>
      <c r="BI505" s="290"/>
      <c r="BJ505" s="290"/>
      <c r="BK505" s="290"/>
      <c r="BL505" s="290"/>
      <c r="BM505" s="290"/>
      <c r="BN505" s="290"/>
      <c r="BO505" s="290"/>
      <c r="BP505" s="290"/>
      <c r="BQ505" s="290"/>
      <c r="BR505" s="290"/>
      <c r="BS505" s="290"/>
      <c r="BT505" s="290"/>
      <c r="BU505" s="290"/>
      <c r="BV505" s="290"/>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row>
    <row r="506" customFormat="false" ht="15.75" hidden="false" customHeight="false" outlineLevel="0" collapsed="false">
      <c r="A506" s="290"/>
      <c r="B506" s="290"/>
      <c r="C506" s="290"/>
      <c r="D506" s="290"/>
      <c r="E506" s="290"/>
      <c r="F506" s="290"/>
      <c r="G506" s="290"/>
      <c r="H506" s="290"/>
      <c r="I506" s="290"/>
      <c r="J506" s="3"/>
      <c r="K506" s="290"/>
      <c r="L506" s="290"/>
      <c r="M506" s="290"/>
      <c r="N506" s="290"/>
      <c r="O506" s="290"/>
      <c r="P506" s="290"/>
      <c r="Q506" s="290"/>
      <c r="R506" s="290"/>
      <c r="S506" s="290"/>
      <c r="T506" s="290"/>
      <c r="U506" s="290"/>
      <c r="V506" s="290"/>
      <c r="W506" s="290"/>
      <c r="X506" s="290"/>
      <c r="Y506" s="290"/>
      <c r="Z506" s="290"/>
      <c r="AA506" s="290"/>
      <c r="AB506" s="290"/>
      <c r="AC506" s="290"/>
      <c r="AD506" s="290"/>
      <c r="AE506" s="290"/>
      <c r="AF506" s="290"/>
      <c r="AG506" s="290"/>
      <c r="AH506" s="290"/>
      <c r="AI506" s="290"/>
      <c r="AJ506" s="290"/>
      <c r="AK506" s="290"/>
      <c r="AL506" s="290"/>
      <c r="AM506" s="290"/>
      <c r="AN506" s="290"/>
      <c r="AO506" s="290"/>
      <c r="AP506" s="290"/>
      <c r="AQ506" s="290"/>
      <c r="AR506" s="290"/>
      <c r="AS506" s="290"/>
      <c r="AT506" s="290"/>
      <c r="AU506" s="290"/>
      <c r="AV506" s="290"/>
      <c r="AW506" s="290"/>
      <c r="AX506" s="290"/>
      <c r="AY506" s="290"/>
      <c r="AZ506" s="290"/>
      <c r="BA506" s="290"/>
      <c r="BB506" s="290"/>
      <c r="BC506" s="290"/>
      <c r="BD506" s="290"/>
      <c r="BE506" s="290"/>
      <c r="BF506" s="290"/>
      <c r="BG506" s="290"/>
      <c r="BH506" s="290"/>
      <c r="BI506" s="290"/>
      <c r="BJ506" s="290"/>
      <c r="BK506" s="290"/>
      <c r="BL506" s="290"/>
      <c r="BM506" s="290"/>
      <c r="BN506" s="290"/>
      <c r="BO506" s="290"/>
      <c r="BP506" s="290"/>
      <c r="BQ506" s="290"/>
      <c r="BR506" s="290"/>
      <c r="BS506" s="290"/>
      <c r="BT506" s="290"/>
      <c r="BU506" s="290"/>
      <c r="BV506" s="290"/>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row>
    <row r="507" customFormat="false" ht="15.75" hidden="false" customHeight="false" outlineLevel="0" collapsed="false">
      <c r="A507" s="290"/>
      <c r="B507" s="290"/>
      <c r="C507" s="290"/>
      <c r="D507" s="290"/>
      <c r="E507" s="290"/>
      <c r="F507" s="290"/>
      <c r="G507" s="290"/>
      <c r="H507" s="290"/>
      <c r="I507" s="290"/>
      <c r="J507" s="3"/>
      <c r="K507" s="290"/>
      <c r="L507" s="290"/>
      <c r="M507" s="290"/>
      <c r="N507" s="290"/>
      <c r="O507" s="290"/>
      <c r="P507" s="290"/>
      <c r="Q507" s="290"/>
      <c r="R507" s="290"/>
      <c r="S507" s="290"/>
      <c r="T507" s="290"/>
      <c r="U507" s="290"/>
      <c r="V507" s="290"/>
      <c r="W507" s="290"/>
      <c r="X507" s="290"/>
      <c r="Y507" s="290"/>
      <c r="Z507" s="290"/>
      <c r="AA507" s="290"/>
      <c r="AB507" s="290"/>
      <c r="AC507" s="290"/>
      <c r="AD507" s="290"/>
      <c r="AE507" s="290"/>
      <c r="AF507" s="290"/>
      <c r="AG507" s="290"/>
      <c r="AH507" s="290"/>
      <c r="AI507" s="290"/>
      <c r="AJ507" s="290"/>
      <c r="AK507" s="290"/>
      <c r="AL507" s="290"/>
      <c r="AM507" s="290"/>
      <c r="AN507" s="290"/>
      <c r="AO507" s="290"/>
      <c r="AP507" s="290"/>
      <c r="AQ507" s="290"/>
      <c r="AR507" s="290"/>
      <c r="AS507" s="290"/>
      <c r="AT507" s="290"/>
      <c r="AU507" s="290"/>
      <c r="AV507" s="290"/>
      <c r="AW507" s="290"/>
      <c r="AX507" s="290"/>
      <c r="AY507" s="290"/>
      <c r="AZ507" s="290"/>
      <c r="BA507" s="290"/>
      <c r="BB507" s="290"/>
      <c r="BC507" s="290"/>
      <c r="BD507" s="290"/>
      <c r="BE507" s="290"/>
      <c r="BF507" s="290"/>
      <c r="BG507" s="290"/>
      <c r="BH507" s="290"/>
      <c r="BI507" s="290"/>
      <c r="BJ507" s="290"/>
      <c r="BK507" s="290"/>
      <c r="BL507" s="290"/>
      <c r="BM507" s="290"/>
      <c r="BN507" s="290"/>
      <c r="BO507" s="290"/>
      <c r="BP507" s="290"/>
      <c r="BQ507" s="290"/>
      <c r="BR507" s="290"/>
      <c r="BS507" s="290"/>
      <c r="BT507" s="290"/>
      <c r="BU507" s="290"/>
      <c r="BV507" s="290"/>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row>
    <row r="508" customFormat="false" ht="15.75" hidden="false" customHeight="false" outlineLevel="0" collapsed="false">
      <c r="A508" s="290"/>
      <c r="B508" s="290"/>
      <c r="C508" s="290"/>
      <c r="D508" s="290"/>
      <c r="E508" s="290"/>
      <c r="F508" s="290"/>
      <c r="G508" s="290"/>
      <c r="H508" s="290"/>
      <c r="I508" s="290"/>
      <c r="J508" s="3"/>
      <c r="K508" s="290"/>
      <c r="L508" s="290"/>
      <c r="M508" s="290"/>
      <c r="N508" s="290"/>
      <c r="O508" s="290"/>
      <c r="P508" s="290"/>
      <c r="Q508" s="290"/>
      <c r="R508" s="290"/>
      <c r="S508" s="290"/>
      <c r="T508" s="290"/>
      <c r="U508" s="290"/>
      <c r="V508" s="290"/>
      <c r="W508" s="290"/>
      <c r="X508" s="290"/>
      <c r="Y508" s="290"/>
      <c r="Z508" s="290"/>
      <c r="AA508" s="290"/>
      <c r="AB508" s="290"/>
      <c r="AC508" s="290"/>
      <c r="AD508" s="290"/>
      <c r="AE508" s="290"/>
      <c r="AF508" s="290"/>
      <c r="AG508" s="290"/>
      <c r="AH508" s="290"/>
      <c r="AI508" s="290"/>
      <c r="AJ508" s="290"/>
      <c r="AK508" s="290"/>
      <c r="AL508" s="290"/>
      <c r="AM508" s="290"/>
      <c r="AN508" s="290"/>
      <c r="AO508" s="290"/>
      <c r="AP508" s="290"/>
      <c r="AQ508" s="290"/>
      <c r="AR508" s="290"/>
      <c r="AS508" s="290"/>
      <c r="AT508" s="290"/>
      <c r="AU508" s="290"/>
      <c r="AV508" s="290"/>
      <c r="AW508" s="290"/>
      <c r="AX508" s="290"/>
      <c r="AY508" s="290"/>
      <c r="AZ508" s="290"/>
      <c r="BA508" s="290"/>
      <c r="BB508" s="290"/>
      <c r="BC508" s="290"/>
      <c r="BD508" s="290"/>
      <c r="BE508" s="290"/>
      <c r="BF508" s="290"/>
      <c r="BG508" s="290"/>
      <c r="BH508" s="290"/>
      <c r="BI508" s="290"/>
      <c r="BJ508" s="290"/>
      <c r="BK508" s="290"/>
      <c r="BL508" s="290"/>
      <c r="BM508" s="290"/>
      <c r="BN508" s="290"/>
      <c r="BO508" s="290"/>
      <c r="BP508" s="290"/>
      <c r="BQ508" s="290"/>
      <c r="BR508" s="290"/>
      <c r="BS508" s="290"/>
      <c r="BT508" s="290"/>
      <c r="BU508" s="290"/>
      <c r="BV508" s="290"/>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row>
    <row r="509" customFormat="false" ht="15.75" hidden="false" customHeight="false" outlineLevel="0" collapsed="false">
      <c r="A509" s="290"/>
      <c r="B509" s="290"/>
      <c r="C509" s="290"/>
      <c r="D509" s="290"/>
      <c r="E509" s="290"/>
      <c r="F509" s="290"/>
      <c r="G509" s="290"/>
      <c r="H509" s="290"/>
      <c r="I509" s="290"/>
      <c r="J509" s="3"/>
      <c r="K509" s="290"/>
      <c r="L509" s="290"/>
      <c r="M509" s="290"/>
      <c r="N509" s="290"/>
      <c r="O509" s="290"/>
      <c r="P509" s="290"/>
      <c r="Q509" s="290"/>
      <c r="R509" s="290"/>
      <c r="S509" s="290"/>
      <c r="T509" s="290"/>
      <c r="U509" s="290"/>
      <c r="V509" s="290"/>
      <c r="W509" s="290"/>
      <c r="X509" s="290"/>
      <c r="Y509" s="290"/>
      <c r="Z509" s="290"/>
      <c r="AA509" s="290"/>
      <c r="AB509" s="290"/>
      <c r="AC509" s="290"/>
      <c r="AD509" s="290"/>
      <c r="AE509" s="290"/>
      <c r="AF509" s="290"/>
      <c r="AG509" s="290"/>
      <c r="AH509" s="290"/>
      <c r="AI509" s="290"/>
      <c r="AJ509" s="290"/>
      <c r="AK509" s="290"/>
      <c r="AL509" s="290"/>
      <c r="AM509" s="290"/>
      <c r="AN509" s="290"/>
      <c r="AO509" s="290"/>
      <c r="AP509" s="290"/>
      <c r="AQ509" s="290"/>
      <c r="AR509" s="290"/>
      <c r="AS509" s="290"/>
      <c r="AT509" s="290"/>
      <c r="AU509" s="290"/>
      <c r="AV509" s="290"/>
      <c r="AW509" s="290"/>
      <c r="AX509" s="290"/>
      <c r="AY509" s="290"/>
      <c r="AZ509" s="290"/>
      <c r="BA509" s="290"/>
      <c r="BB509" s="290"/>
      <c r="BC509" s="290"/>
      <c r="BD509" s="290"/>
      <c r="BE509" s="290"/>
      <c r="BF509" s="290"/>
      <c r="BG509" s="290"/>
      <c r="BH509" s="290"/>
      <c r="BI509" s="290"/>
      <c r="BJ509" s="290"/>
      <c r="BK509" s="290"/>
      <c r="BL509" s="290"/>
      <c r="BM509" s="290"/>
      <c r="BN509" s="290"/>
      <c r="BO509" s="290"/>
      <c r="BP509" s="290"/>
      <c r="BQ509" s="290"/>
      <c r="BR509" s="290"/>
      <c r="BS509" s="290"/>
      <c r="BT509" s="290"/>
      <c r="BU509" s="290"/>
      <c r="BV509" s="290"/>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row>
    <row r="510" customFormat="false" ht="15.75" hidden="false" customHeight="false" outlineLevel="0" collapsed="false">
      <c r="A510" s="290"/>
      <c r="B510" s="290"/>
      <c r="C510" s="290"/>
      <c r="D510" s="290"/>
      <c r="E510" s="290"/>
      <c r="F510" s="290"/>
      <c r="G510" s="290"/>
      <c r="H510" s="290"/>
      <c r="I510" s="290"/>
      <c r="J510" s="3"/>
      <c r="K510" s="290"/>
      <c r="L510" s="290"/>
      <c r="M510" s="290"/>
      <c r="N510" s="290"/>
      <c r="O510" s="290"/>
      <c r="P510" s="290"/>
      <c r="Q510" s="290"/>
      <c r="R510" s="290"/>
      <c r="S510" s="290"/>
      <c r="T510" s="290"/>
      <c r="U510" s="290"/>
      <c r="V510" s="290"/>
      <c r="W510" s="290"/>
      <c r="X510" s="290"/>
      <c r="Y510" s="290"/>
      <c r="Z510" s="290"/>
      <c r="AA510" s="290"/>
      <c r="AB510" s="290"/>
      <c r="AC510" s="290"/>
      <c r="AD510" s="290"/>
      <c r="AE510" s="290"/>
      <c r="AF510" s="290"/>
      <c r="AG510" s="290"/>
      <c r="AH510" s="290"/>
      <c r="AI510" s="290"/>
      <c r="AJ510" s="290"/>
      <c r="AK510" s="290"/>
      <c r="AL510" s="290"/>
      <c r="AM510" s="290"/>
      <c r="AN510" s="290"/>
      <c r="AO510" s="290"/>
      <c r="AP510" s="290"/>
      <c r="AQ510" s="290"/>
      <c r="AR510" s="290"/>
      <c r="AS510" s="290"/>
      <c r="AT510" s="290"/>
      <c r="AU510" s="290"/>
      <c r="AV510" s="290"/>
      <c r="AW510" s="290"/>
      <c r="AX510" s="290"/>
      <c r="AY510" s="290"/>
      <c r="AZ510" s="290"/>
      <c r="BA510" s="290"/>
      <c r="BB510" s="290"/>
      <c r="BC510" s="290"/>
      <c r="BD510" s="290"/>
      <c r="BE510" s="290"/>
      <c r="BF510" s="290"/>
      <c r="BG510" s="290"/>
      <c r="BH510" s="290"/>
      <c r="BI510" s="290"/>
      <c r="BJ510" s="290"/>
      <c r="BK510" s="290"/>
      <c r="BL510" s="290"/>
      <c r="BM510" s="290"/>
      <c r="BN510" s="290"/>
      <c r="BO510" s="290"/>
      <c r="BP510" s="290"/>
      <c r="BQ510" s="290"/>
      <c r="BR510" s="290"/>
      <c r="BS510" s="290"/>
      <c r="BT510" s="290"/>
      <c r="BU510" s="290"/>
      <c r="BV510" s="290"/>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row>
    <row r="511" customFormat="false" ht="15.75" hidden="false" customHeight="false" outlineLevel="0" collapsed="false">
      <c r="A511" s="290"/>
      <c r="B511" s="290"/>
      <c r="C511" s="290"/>
      <c r="D511" s="290"/>
      <c r="E511" s="290"/>
      <c r="F511" s="290"/>
      <c r="G511" s="290"/>
      <c r="H511" s="290"/>
      <c r="I511" s="290"/>
      <c r="J511" s="3"/>
      <c r="K511" s="290"/>
      <c r="L511" s="290"/>
      <c r="M511" s="290"/>
      <c r="N511" s="290"/>
      <c r="O511" s="290"/>
      <c r="P511" s="290"/>
      <c r="Q511" s="290"/>
      <c r="R511" s="290"/>
      <c r="S511" s="290"/>
      <c r="T511" s="290"/>
      <c r="U511" s="290"/>
      <c r="V511" s="290"/>
      <c r="W511" s="290"/>
      <c r="X511" s="290"/>
      <c r="Y511" s="290"/>
      <c r="Z511" s="290"/>
      <c r="AA511" s="290"/>
      <c r="AB511" s="290"/>
      <c r="AC511" s="290"/>
      <c r="AD511" s="290"/>
      <c r="AE511" s="290"/>
      <c r="AF511" s="290"/>
      <c r="AG511" s="290"/>
      <c r="AH511" s="290"/>
      <c r="AI511" s="290"/>
      <c r="AJ511" s="290"/>
      <c r="AK511" s="290"/>
      <c r="AL511" s="290"/>
      <c r="AM511" s="290"/>
      <c r="AN511" s="290"/>
      <c r="AO511" s="290"/>
      <c r="AP511" s="290"/>
      <c r="AQ511" s="290"/>
      <c r="AR511" s="290"/>
      <c r="AS511" s="290"/>
      <c r="AT511" s="290"/>
      <c r="AU511" s="290"/>
      <c r="AV511" s="290"/>
      <c r="AW511" s="290"/>
      <c r="AX511" s="290"/>
      <c r="AY511" s="290"/>
      <c r="AZ511" s="290"/>
      <c r="BA511" s="290"/>
      <c r="BB511" s="290"/>
      <c r="BC511" s="290"/>
      <c r="BD511" s="290"/>
      <c r="BE511" s="290"/>
      <c r="BF511" s="290"/>
      <c r="BG511" s="290"/>
      <c r="BH511" s="290"/>
      <c r="BI511" s="290"/>
      <c r="BJ511" s="290"/>
      <c r="BK511" s="290"/>
      <c r="BL511" s="290"/>
      <c r="BM511" s="290"/>
      <c r="BN511" s="290"/>
      <c r="BO511" s="290"/>
      <c r="BP511" s="290"/>
      <c r="BQ511" s="290"/>
      <c r="BR511" s="290"/>
      <c r="BS511" s="290"/>
      <c r="BT511" s="290"/>
      <c r="BU511" s="290"/>
      <c r="BV511" s="290"/>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row>
    <row r="512" customFormat="false" ht="15.75" hidden="false" customHeight="false" outlineLevel="0" collapsed="false">
      <c r="A512" s="290"/>
      <c r="B512" s="290"/>
      <c r="C512" s="290"/>
      <c r="D512" s="290"/>
      <c r="E512" s="290"/>
      <c r="F512" s="290"/>
      <c r="G512" s="290"/>
      <c r="H512" s="290"/>
      <c r="I512" s="290"/>
      <c r="J512" s="3"/>
      <c r="K512" s="290"/>
      <c r="L512" s="290"/>
      <c r="M512" s="290"/>
      <c r="N512" s="290"/>
      <c r="O512" s="290"/>
      <c r="P512" s="290"/>
      <c r="Q512" s="290"/>
      <c r="R512" s="290"/>
      <c r="S512" s="290"/>
      <c r="T512" s="290"/>
      <c r="U512" s="290"/>
      <c r="V512" s="290"/>
      <c r="W512" s="290"/>
      <c r="X512" s="290"/>
      <c r="Y512" s="290"/>
      <c r="Z512" s="290"/>
      <c r="AA512" s="290"/>
      <c r="AB512" s="290"/>
      <c r="AC512" s="290"/>
      <c r="AD512" s="290"/>
      <c r="AE512" s="290"/>
      <c r="AF512" s="290"/>
      <c r="AG512" s="290"/>
      <c r="AH512" s="290"/>
      <c r="AI512" s="290"/>
      <c r="AJ512" s="290"/>
      <c r="AK512" s="290"/>
      <c r="AL512" s="290"/>
      <c r="AM512" s="290"/>
      <c r="AN512" s="290"/>
      <c r="AO512" s="290"/>
      <c r="AP512" s="290"/>
      <c r="AQ512" s="290"/>
      <c r="AR512" s="290"/>
      <c r="AS512" s="290"/>
      <c r="AT512" s="290"/>
      <c r="AU512" s="290"/>
      <c r="AV512" s="290"/>
      <c r="AW512" s="290"/>
      <c r="AX512" s="290"/>
      <c r="AY512" s="290"/>
      <c r="AZ512" s="290"/>
      <c r="BA512" s="290"/>
      <c r="BB512" s="290"/>
      <c r="BC512" s="290"/>
      <c r="BD512" s="290"/>
      <c r="BE512" s="290"/>
      <c r="BF512" s="290"/>
      <c r="BG512" s="290"/>
      <c r="BH512" s="290"/>
      <c r="BI512" s="290"/>
      <c r="BJ512" s="290"/>
      <c r="BK512" s="290"/>
      <c r="BL512" s="290"/>
      <c r="BM512" s="290"/>
      <c r="BN512" s="290"/>
      <c r="BO512" s="290"/>
      <c r="BP512" s="290"/>
      <c r="BQ512" s="290"/>
      <c r="BR512" s="290"/>
      <c r="BS512" s="290"/>
      <c r="BT512" s="290"/>
      <c r="BU512" s="290"/>
      <c r="BV512" s="290"/>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row>
    <row r="513" customFormat="false" ht="15.75" hidden="false" customHeight="false" outlineLevel="0" collapsed="false">
      <c r="A513" s="290"/>
      <c r="B513" s="290"/>
      <c r="C513" s="290"/>
      <c r="D513" s="290"/>
      <c r="E513" s="290"/>
      <c r="F513" s="290"/>
      <c r="G513" s="290"/>
      <c r="H513" s="290"/>
      <c r="I513" s="290"/>
      <c r="J513" s="3"/>
      <c r="K513" s="290"/>
      <c r="L513" s="290"/>
      <c r="M513" s="290"/>
      <c r="N513" s="290"/>
      <c r="O513" s="290"/>
      <c r="P513" s="290"/>
      <c r="Q513" s="290"/>
      <c r="R513" s="290"/>
      <c r="S513" s="290"/>
      <c r="T513" s="290"/>
      <c r="U513" s="290"/>
      <c r="V513" s="290"/>
      <c r="W513" s="290"/>
      <c r="X513" s="290"/>
      <c r="Y513" s="290"/>
      <c r="Z513" s="290"/>
      <c r="AA513" s="290"/>
      <c r="AB513" s="290"/>
      <c r="AC513" s="290"/>
      <c r="AD513" s="290"/>
      <c r="AE513" s="290"/>
      <c r="AF513" s="290"/>
      <c r="AG513" s="290"/>
      <c r="AH513" s="290"/>
      <c r="AI513" s="290"/>
      <c r="AJ513" s="290"/>
      <c r="AK513" s="290"/>
      <c r="AL513" s="290"/>
      <c r="AM513" s="290"/>
      <c r="AN513" s="290"/>
      <c r="AO513" s="290"/>
      <c r="AP513" s="290"/>
      <c r="AQ513" s="290"/>
      <c r="AR513" s="290"/>
      <c r="AS513" s="290"/>
      <c r="AT513" s="290"/>
      <c r="AU513" s="290"/>
      <c r="AV513" s="290"/>
      <c r="AW513" s="290"/>
      <c r="AX513" s="290"/>
      <c r="AY513" s="290"/>
      <c r="AZ513" s="290"/>
      <c r="BA513" s="290"/>
      <c r="BB513" s="290"/>
      <c r="BC513" s="290"/>
      <c r="BD513" s="290"/>
      <c r="BE513" s="290"/>
      <c r="BF513" s="290"/>
      <c r="BG513" s="290"/>
      <c r="BH513" s="290"/>
      <c r="BI513" s="290"/>
      <c r="BJ513" s="290"/>
      <c r="BK513" s="290"/>
      <c r="BL513" s="290"/>
      <c r="BM513" s="290"/>
      <c r="BN513" s="290"/>
      <c r="BO513" s="290"/>
      <c r="BP513" s="290"/>
      <c r="BQ513" s="290"/>
      <c r="BR513" s="290"/>
      <c r="BS513" s="290"/>
      <c r="BT513" s="290"/>
      <c r="BU513" s="290"/>
      <c r="BV513" s="290"/>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row>
    <row r="514" customFormat="false" ht="15.75" hidden="false" customHeight="false" outlineLevel="0" collapsed="false">
      <c r="A514" s="290"/>
      <c r="B514" s="290"/>
      <c r="C514" s="290"/>
      <c r="D514" s="290"/>
      <c r="E514" s="290"/>
      <c r="F514" s="290"/>
      <c r="G514" s="290"/>
      <c r="H514" s="290"/>
      <c r="I514" s="290"/>
      <c r="J514" s="3"/>
      <c r="K514" s="290"/>
      <c r="L514" s="290"/>
      <c r="M514" s="290"/>
      <c r="N514" s="290"/>
      <c r="O514" s="290"/>
      <c r="P514" s="290"/>
      <c r="Q514" s="290"/>
      <c r="R514" s="290"/>
      <c r="S514" s="290"/>
      <c r="T514" s="290"/>
      <c r="U514" s="290"/>
      <c r="V514" s="290"/>
      <c r="W514" s="290"/>
      <c r="X514" s="290"/>
      <c r="Y514" s="290"/>
      <c r="Z514" s="290"/>
      <c r="AA514" s="290"/>
      <c r="AB514" s="290"/>
      <c r="AC514" s="290"/>
      <c r="AD514" s="290"/>
      <c r="AE514" s="290"/>
      <c r="AF514" s="290"/>
      <c r="AG514" s="290"/>
      <c r="AH514" s="290"/>
      <c r="AI514" s="290"/>
      <c r="AJ514" s="290"/>
      <c r="AK514" s="290"/>
      <c r="AL514" s="290"/>
      <c r="AM514" s="290"/>
      <c r="AN514" s="290"/>
      <c r="AO514" s="290"/>
      <c r="AP514" s="290"/>
      <c r="AQ514" s="290"/>
      <c r="AR514" s="290"/>
      <c r="AS514" s="290"/>
      <c r="AT514" s="290"/>
      <c r="AU514" s="290"/>
      <c r="AV514" s="290"/>
      <c r="AW514" s="290"/>
      <c r="AX514" s="290"/>
      <c r="AY514" s="290"/>
      <c r="AZ514" s="290"/>
      <c r="BA514" s="290"/>
      <c r="BB514" s="290"/>
      <c r="BC514" s="290"/>
      <c r="BD514" s="290"/>
      <c r="BE514" s="290"/>
      <c r="BF514" s="290"/>
      <c r="BG514" s="290"/>
      <c r="BH514" s="290"/>
      <c r="BI514" s="290"/>
      <c r="BJ514" s="290"/>
      <c r="BK514" s="290"/>
      <c r="BL514" s="290"/>
      <c r="BM514" s="290"/>
      <c r="BN514" s="290"/>
      <c r="BO514" s="290"/>
      <c r="BP514" s="290"/>
      <c r="BQ514" s="290"/>
      <c r="BR514" s="290"/>
      <c r="BS514" s="290"/>
      <c r="BT514" s="290"/>
      <c r="BU514" s="290"/>
      <c r="BV514" s="290"/>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row>
    <row r="515" customFormat="false" ht="15.75" hidden="false" customHeight="false" outlineLevel="0" collapsed="false">
      <c r="A515" s="290"/>
      <c r="B515" s="290"/>
      <c r="C515" s="290"/>
      <c r="D515" s="290"/>
      <c r="E515" s="290"/>
      <c r="F515" s="290"/>
      <c r="G515" s="290"/>
      <c r="H515" s="290"/>
      <c r="I515" s="290"/>
      <c r="J515" s="3"/>
      <c r="K515" s="290"/>
      <c r="L515" s="290"/>
      <c r="M515" s="290"/>
      <c r="N515" s="290"/>
      <c r="O515" s="290"/>
      <c r="P515" s="290"/>
      <c r="Q515" s="290"/>
      <c r="R515" s="290"/>
      <c r="S515" s="290"/>
      <c r="T515" s="290"/>
      <c r="U515" s="290"/>
      <c r="V515" s="290"/>
      <c r="W515" s="290"/>
      <c r="X515" s="290"/>
      <c r="Y515" s="290"/>
      <c r="Z515" s="290"/>
      <c r="AA515" s="290"/>
      <c r="AB515" s="290"/>
      <c r="AC515" s="290"/>
      <c r="AD515" s="290"/>
      <c r="AE515" s="290"/>
      <c r="AF515" s="290"/>
      <c r="AG515" s="290"/>
      <c r="AH515" s="290"/>
      <c r="AI515" s="290"/>
      <c r="AJ515" s="290"/>
      <c r="AK515" s="290"/>
      <c r="AL515" s="290"/>
      <c r="AM515" s="290"/>
      <c r="AN515" s="290"/>
      <c r="AO515" s="290"/>
      <c r="AP515" s="290"/>
      <c r="AQ515" s="290"/>
      <c r="AR515" s="290"/>
      <c r="AS515" s="290"/>
      <c r="AT515" s="290"/>
      <c r="AU515" s="290"/>
      <c r="AV515" s="290"/>
      <c r="AW515" s="290"/>
      <c r="AX515" s="290"/>
      <c r="AY515" s="290"/>
      <c r="AZ515" s="290"/>
      <c r="BA515" s="290"/>
      <c r="BB515" s="290"/>
      <c r="BC515" s="290"/>
      <c r="BD515" s="290"/>
      <c r="BE515" s="290"/>
      <c r="BF515" s="290"/>
      <c r="BG515" s="290"/>
      <c r="BH515" s="290"/>
      <c r="BI515" s="290"/>
      <c r="BJ515" s="290"/>
      <c r="BK515" s="290"/>
      <c r="BL515" s="290"/>
      <c r="BM515" s="290"/>
      <c r="BN515" s="290"/>
      <c r="BO515" s="290"/>
      <c r="BP515" s="290"/>
      <c r="BQ515" s="290"/>
      <c r="BR515" s="290"/>
      <c r="BS515" s="290"/>
      <c r="BT515" s="290"/>
      <c r="BU515" s="290"/>
      <c r="BV515" s="290"/>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row>
    <row r="516" customFormat="false" ht="15.75" hidden="false" customHeight="false" outlineLevel="0" collapsed="false">
      <c r="A516" s="290"/>
      <c r="B516" s="290"/>
      <c r="C516" s="290"/>
      <c r="D516" s="290"/>
      <c r="E516" s="290"/>
      <c r="F516" s="290"/>
      <c r="G516" s="290"/>
      <c r="H516" s="290"/>
      <c r="I516" s="290"/>
      <c r="J516" s="3"/>
      <c r="K516" s="290"/>
      <c r="L516" s="290"/>
      <c r="M516" s="290"/>
      <c r="N516" s="290"/>
      <c r="O516" s="290"/>
      <c r="P516" s="290"/>
      <c r="Q516" s="290"/>
      <c r="R516" s="290"/>
      <c r="S516" s="290"/>
      <c r="T516" s="290"/>
      <c r="U516" s="290"/>
      <c r="V516" s="290"/>
      <c r="W516" s="290"/>
      <c r="X516" s="290"/>
      <c r="Y516" s="290"/>
      <c r="Z516" s="290"/>
      <c r="AA516" s="290"/>
      <c r="AB516" s="290"/>
      <c r="AC516" s="290"/>
      <c r="AD516" s="290"/>
      <c r="AE516" s="290"/>
      <c r="AF516" s="290"/>
      <c r="AG516" s="290"/>
      <c r="AH516" s="290"/>
      <c r="AI516" s="290"/>
      <c r="AJ516" s="290"/>
      <c r="AK516" s="290"/>
      <c r="AL516" s="290"/>
      <c r="AM516" s="290"/>
      <c r="AN516" s="290"/>
      <c r="AO516" s="290"/>
      <c r="AP516" s="290"/>
      <c r="AQ516" s="290"/>
      <c r="AR516" s="290"/>
      <c r="AS516" s="290"/>
      <c r="AT516" s="290"/>
      <c r="AU516" s="290"/>
      <c r="AV516" s="290"/>
      <c r="AW516" s="290"/>
      <c r="AX516" s="290"/>
      <c r="AY516" s="290"/>
      <c r="AZ516" s="290"/>
      <c r="BA516" s="290"/>
      <c r="BB516" s="290"/>
      <c r="BC516" s="290"/>
      <c r="BD516" s="290"/>
      <c r="BE516" s="290"/>
      <c r="BF516" s="290"/>
      <c r="BG516" s="290"/>
      <c r="BH516" s="290"/>
      <c r="BI516" s="290"/>
      <c r="BJ516" s="290"/>
      <c r="BK516" s="290"/>
      <c r="BL516" s="290"/>
      <c r="BM516" s="290"/>
      <c r="BN516" s="290"/>
      <c r="BO516" s="290"/>
      <c r="BP516" s="290"/>
      <c r="BQ516" s="290"/>
      <c r="BR516" s="290"/>
      <c r="BS516" s="290"/>
      <c r="BT516" s="290"/>
      <c r="BU516" s="290"/>
      <c r="BV516" s="290"/>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row>
    <row r="517" customFormat="false" ht="15.75" hidden="false" customHeight="false" outlineLevel="0" collapsed="false">
      <c r="A517" s="290"/>
      <c r="B517" s="290"/>
      <c r="C517" s="290"/>
      <c r="D517" s="290"/>
      <c r="E517" s="290"/>
      <c r="F517" s="290"/>
      <c r="G517" s="290"/>
      <c r="H517" s="290"/>
      <c r="I517" s="290"/>
      <c r="J517" s="3"/>
      <c r="K517" s="290"/>
      <c r="L517" s="290"/>
      <c r="M517" s="290"/>
      <c r="N517" s="290"/>
      <c r="O517" s="290"/>
      <c r="P517" s="290"/>
      <c r="Q517" s="290"/>
      <c r="R517" s="290"/>
      <c r="S517" s="290"/>
      <c r="T517" s="290"/>
      <c r="U517" s="290"/>
      <c r="V517" s="290"/>
      <c r="W517" s="290"/>
      <c r="X517" s="290"/>
      <c r="Y517" s="290"/>
      <c r="Z517" s="290"/>
      <c r="AA517" s="290"/>
      <c r="AB517" s="290"/>
      <c r="AC517" s="290"/>
      <c r="AD517" s="290"/>
      <c r="AE517" s="290"/>
      <c r="AF517" s="290"/>
      <c r="AG517" s="290"/>
      <c r="AH517" s="290"/>
      <c r="AI517" s="290"/>
      <c r="AJ517" s="290"/>
      <c r="AK517" s="290"/>
      <c r="AL517" s="290"/>
      <c r="AM517" s="290"/>
      <c r="AN517" s="290"/>
      <c r="AO517" s="290"/>
      <c r="AP517" s="290"/>
      <c r="AQ517" s="290"/>
      <c r="AR517" s="290"/>
      <c r="AS517" s="290"/>
      <c r="AT517" s="290"/>
      <c r="AU517" s="290"/>
      <c r="AV517" s="290"/>
      <c r="AW517" s="290"/>
      <c r="AX517" s="290"/>
      <c r="AY517" s="290"/>
      <c r="AZ517" s="290"/>
      <c r="BA517" s="290"/>
      <c r="BB517" s="290"/>
      <c r="BC517" s="290"/>
      <c r="BD517" s="290"/>
      <c r="BE517" s="290"/>
      <c r="BF517" s="290"/>
      <c r="BG517" s="290"/>
      <c r="BH517" s="290"/>
      <c r="BI517" s="290"/>
      <c r="BJ517" s="290"/>
      <c r="BK517" s="290"/>
      <c r="BL517" s="290"/>
      <c r="BM517" s="290"/>
      <c r="BN517" s="290"/>
      <c r="BO517" s="290"/>
      <c r="BP517" s="290"/>
      <c r="BQ517" s="290"/>
      <c r="BR517" s="290"/>
      <c r="BS517" s="290"/>
      <c r="BT517" s="290"/>
      <c r="BU517" s="290"/>
      <c r="BV517" s="290"/>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row>
    <row r="518" customFormat="false" ht="15.75" hidden="false" customHeight="false" outlineLevel="0" collapsed="false">
      <c r="A518" s="290"/>
      <c r="B518" s="290"/>
      <c r="C518" s="290"/>
      <c r="D518" s="290"/>
      <c r="E518" s="290"/>
      <c r="F518" s="290"/>
      <c r="G518" s="290"/>
      <c r="H518" s="290"/>
      <c r="I518" s="290"/>
      <c r="J518" s="3"/>
      <c r="K518" s="290"/>
      <c r="L518" s="290"/>
      <c r="M518" s="290"/>
      <c r="N518" s="290"/>
      <c r="O518" s="290"/>
      <c r="P518" s="290"/>
      <c r="Q518" s="290"/>
      <c r="R518" s="290"/>
      <c r="S518" s="290"/>
      <c r="T518" s="290"/>
      <c r="U518" s="290"/>
      <c r="V518" s="290"/>
      <c r="W518" s="290"/>
      <c r="X518" s="290"/>
      <c r="Y518" s="290"/>
      <c r="Z518" s="290"/>
      <c r="AA518" s="290"/>
      <c r="AB518" s="290"/>
      <c r="AC518" s="290"/>
      <c r="AD518" s="290"/>
      <c r="AE518" s="290"/>
      <c r="AF518" s="290"/>
      <c r="AG518" s="290"/>
      <c r="AH518" s="290"/>
      <c r="AI518" s="290"/>
      <c r="AJ518" s="290"/>
      <c r="AK518" s="290"/>
      <c r="AL518" s="290"/>
      <c r="AM518" s="290"/>
      <c r="AN518" s="290"/>
      <c r="AO518" s="290"/>
      <c r="AP518" s="290"/>
      <c r="AQ518" s="290"/>
      <c r="AR518" s="290"/>
      <c r="AS518" s="290"/>
      <c r="AT518" s="290"/>
      <c r="AU518" s="290"/>
      <c r="AV518" s="290"/>
      <c r="AW518" s="290"/>
      <c r="AX518" s="290"/>
      <c r="AY518" s="290"/>
      <c r="AZ518" s="290"/>
      <c r="BA518" s="290"/>
      <c r="BB518" s="290"/>
      <c r="BC518" s="290"/>
      <c r="BD518" s="290"/>
      <c r="BE518" s="290"/>
      <c r="BF518" s="290"/>
      <c r="BG518" s="290"/>
      <c r="BH518" s="290"/>
      <c r="BI518" s="290"/>
      <c r="BJ518" s="290"/>
      <c r="BK518" s="290"/>
      <c r="BL518" s="290"/>
      <c r="BM518" s="290"/>
      <c r="BN518" s="290"/>
      <c r="BO518" s="290"/>
      <c r="BP518" s="290"/>
      <c r="BQ518" s="290"/>
      <c r="BR518" s="290"/>
      <c r="BS518" s="290"/>
      <c r="BT518" s="290"/>
      <c r="BU518" s="290"/>
      <c r="BV518" s="290"/>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row>
    <row r="519" customFormat="false" ht="15.75" hidden="false" customHeight="false" outlineLevel="0" collapsed="false">
      <c r="A519" s="290"/>
      <c r="B519" s="290"/>
      <c r="C519" s="290"/>
      <c r="D519" s="290"/>
      <c r="E519" s="290"/>
      <c r="F519" s="290"/>
      <c r="G519" s="290"/>
      <c r="H519" s="290"/>
      <c r="I519" s="290"/>
      <c r="J519" s="3"/>
      <c r="K519" s="290"/>
      <c r="L519" s="290"/>
      <c r="M519" s="290"/>
      <c r="N519" s="290"/>
      <c r="O519" s="290"/>
      <c r="P519" s="290"/>
      <c r="Q519" s="290"/>
      <c r="R519" s="290"/>
      <c r="S519" s="290"/>
      <c r="T519" s="290"/>
      <c r="U519" s="290"/>
      <c r="V519" s="290"/>
      <c r="W519" s="290"/>
      <c r="X519" s="290"/>
      <c r="Y519" s="290"/>
      <c r="Z519" s="290"/>
      <c r="AA519" s="290"/>
      <c r="AB519" s="290"/>
      <c r="AC519" s="290"/>
      <c r="AD519" s="290"/>
      <c r="AE519" s="290"/>
      <c r="AF519" s="290"/>
      <c r="AG519" s="290"/>
      <c r="AH519" s="290"/>
      <c r="AI519" s="290"/>
      <c r="AJ519" s="290"/>
      <c r="AK519" s="290"/>
      <c r="AL519" s="290"/>
      <c r="AM519" s="290"/>
      <c r="AN519" s="290"/>
      <c r="AO519" s="290"/>
      <c r="AP519" s="290"/>
      <c r="AQ519" s="290"/>
      <c r="AR519" s="290"/>
      <c r="AS519" s="290"/>
      <c r="AT519" s="290"/>
      <c r="AU519" s="290"/>
      <c r="AV519" s="290"/>
      <c r="AW519" s="290"/>
      <c r="AX519" s="290"/>
      <c r="AY519" s="290"/>
      <c r="AZ519" s="290"/>
      <c r="BA519" s="290"/>
      <c r="BB519" s="290"/>
      <c r="BC519" s="290"/>
      <c r="BD519" s="290"/>
      <c r="BE519" s="290"/>
      <c r="BF519" s="290"/>
      <c r="BG519" s="290"/>
      <c r="BH519" s="290"/>
      <c r="BI519" s="290"/>
      <c r="BJ519" s="290"/>
      <c r="BK519" s="290"/>
      <c r="BL519" s="290"/>
      <c r="BM519" s="290"/>
      <c r="BN519" s="290"/>
      <c r="BO519" s="290"/>
      <c r="BP519" s="290"/>
      <c r="BQ519" s="290"/>
      <c r="BR519" s="290"/>
      <c r="BS519" s="290"/>
      <c r="BT519" s="290"/>
      <c r="BU519" s="290"/>
      <c r="BV519" s="290"/>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row>
    <row r="520" customFormat="false" ht="15.75" hidden="false" customHeight="false" outlineLevel="0" collapsed="false">
      <c r="A520" s="290"/>
      <c r="B520" s="290"/>
      <c r="C520" s="290"/>
      <c r="D520" s="290"/>
      <c r="E520" s="290"/>
      <c r="F520" s="290"/>
      <c r="G520" s="290"/>
      <c r="H520" s="290"/>
      <c r="I520" s="290"/>
      <c r="J520" s="3"/>
      <c r="K520" s="290"/>
      <c r="L520" s="290"/>
      <c r="M520" s="290"/>
      <c r="N520" s="290"/>
      <c r="O520" s="290"/>
      <c r="P520" s="290"/>
      <c r="Q520" s="290"/>
      <c r="R520" s="290"/>
      <c r="S520" s="290"/>
      <c r="T520" s="290"/>
      <c r="U520" s="290"/>
      <c r="V520" s="290"/>
      <c r="W520" s="290"/>
      <c r="X520" s="290"/>
      <c r="Y520" s="290"/>
      <c r="Z520" s="290"/>
      <c r="AA520" s="290"/>
      <c r="AB520" s="290"/>
      <c r="AC520" s="290"/>
      <c r="AD520" s="290"/>
      <c r="AE520" s="290"/>
      <c r="AF520" s="290"/>
      <c r="AG520" s="290"/>
      <c r="AH520" s="290"/>
      <c r="AI520" s="290"/>
      <c r="AJ520" s="290"/>
      <c r="AK520" s="290"/>
      <c r="AL520" s="290"/>
      <c r="AM520" s="290"/>
      <c r="AN520" s="290"/>
      <c r="AO520" s="290"/>
      <c r="AP520" s="290"/>
      <c r="AQ520" s="290"/>
      <c r="AR520" s="290"/>
      <c r="AS520" s="290"/>
      <c r="AT520" s="290"/>
      <c r="AU520" s="290"/>
      <c r="AV520" s="290"/>
      <c r="AW520" s="290"/>
      <c r="AX520" s="290"/>
      <c r="AY520" s="290"/>
      <c r="AZ520" s="290"/>
      <c r="BA520" s="290"/>
      <c r="BB520" s="290"/>
      <c r="BC520" s="290"/>
      <c r="BD520" s="290"/>
      <c r="BE520" s="290"/>
      <c r="BF520" s="290"/>
      <c r="BG520" s="290"/>
      <c r="BH520" s="290"/>
      <c r="BI520" s="290"/>
      <c r="BJ520" s="290"/>
      <c r="BK520" s="290"/>
      <c r="BL520" s="290"/>
      <c r="BM520" s="290"/>
      <c r="BN520" s="290"/>
      <c r="BO520" s="290"/>
      <c r="BP520" s="290"/>
      <c r="BQ520" s="290"/>
      <c r="BR520" s="290"/>
      <c r="BS520" s="290"/>
      <c r="BT520" s="290"/>
      <c r="BU520" s="290"/>
      <c r="BV520" s="290"/>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row>
    <row r="521" customFormat="false" ht="15.75" hidden="false" customHeight="false" outlineLevel="0" collapsed="false">
      <c r="A521" s="290"/>
      <c r="B521" s="290"/>
      <c r="C521" s="290"/>
      <c r="D521" s="290"/>
      <c r="E521" s="290"/>
      <c r="F521" s="290"/>
      <c r="G521" s="290"/>
      <c r="H521" s="290"/>
      <c r="I521" s="290"/>
      <c r="J521" s="3"/>
      <c r="K521" s="290"/>
      <c r="L521" s="290"/>
      <c r="M521" s="290"/>
      <c r="N521" s="290"/>
      <c r="O521" s="290"/>
      <c r="P521" s="290"/>
      <c r="Q521" s="290"/>
      <c r="R521" s="290"/>
      <c r="S521" s="290"/>
      <c r="T521" s="290"/>
      <c r="U521" s="290"/>
      <c r="V521" s="290"/>
      <c r="W521" s="290"/>
      <c r="X521" s="290"/>
      <c r="Y521" s="290"/>
      <c r="Z521" s="290"/>
      <c r="AA521" s="290"/>
      <c r="AB521" s="290"/>
      <c r="AC521" s="290"/>
      <c r="AD521" s="290"/>
      <c r="AE521" s="290"/>
      <c r="AF521" s="290"/>
      <c r="AG521" s="290"/>
      <c r="AH521" s="290"/>
      <c r="AI521" s="290"/>
      <c r="AJ521" s="290"/>
      <c r="AK521" s="290"/>
      <c r="AL521" s="290"/>
      <c r="AM521" s="290"/>
      <c r="AN521" s="290"/>
      <c r="AO521" s="290"/>
      <c r="AP521" s="290"/>
      <c r="AQ521" s="290"/>
      <c r="AR521" s="290"/>
      <c r="AS521" s="290"/>
      <c r="AT521" s="290"/>
      <c r="AU521" s="290"/>
      <c r="AV521" s="290"/>
      <c r="AW521" s="290"/>
      <c r="AX521" s="290"/>
      <c r="AY521" s="290"/>
      <c r="AZ521" s="290"/>
      <c r="BA521" s="290"/>
      <c r="BB521" s="290"/>
      <c r="BC521" s="290"/>
      <c r="BD521" s="290"/>
      <c r="BE521" s="290"/>
      <c r="BF521" s="290"/>
      <c r="BG521" s="290"/>
      <c r="BH521" s="290"/>
      <c r="BI521" s="290"/>
      <c r="BJ521" s="290"/>
      <c r="BK521" s="290"/>
      <c r="BL521" s="290"/>
      <c r="BM521" s="290"/>
      <c r="BN521" s="290"/>
      <c r="BO521" s="290"/>
      <c r="BP521" s="290"/>
      <c r="BQ521" s="290"/>
      <c r="BR521" s="290"/>
      <c r="BS521" s="290"/>
      <c r="BT521" s="290"/>
      <c r="BU521" s="290"/>
      <c r="BV521" s="290"/>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row>
    <row r="522" customFormat="false" ht="15.75" hidden="false" customHeight="false" outlineLevel="0" collapsed="false">
      <c r="A522" s="290"/>
      <c r="B522" s="290"/>
      <c r="C522" s="290"/>
      <c r="D522" s="290"/>
      <c r="E522" s="290"/>
      <c r="F522" s="290"/>
      <c r="G522" s="290"/>
      <c r="H522" s="290"/>
      <c r="I522" s="290"/>
      <c r="J522" s="3"/>
      <c r="K522" s="290"/>
      <c r="L522" s="290"/>
      <c r="M522" s="290"/>
      <c r="N522" s="290"/>
      <c r="O522" s="290"/>
      <c r="P522" s="290"/>
      <c r="Q522" s="290"/>
      <c r="R522" s="290"/>
      <c r="S522" s="290"/>
      <c r="T522" s="290"/>
      <c r="U522" s="290"/>
      <c r="V522" s="290"/>
      <c r="W522" s="290"/>
      <c r="X522" s="290"/>
      <c r="Y522" s="290"/>
      <c r="Z522" s="290"/>
      <c r="AA522" s="290"/>
      <c r="AB522" s="290"/>
      <c r="AC522" s="290"/>
      <c r="AD522" s="290"/>
      <c r="AE522" s="290"/>
      <c r="AF522" s="290"/>
      <c r="AG522" s="290"/>
      <c r="AH522" s="290"/>
      <c r="AI522" s="290"/>
      <c r="AJ522" s="290"/>
      <c r="AK522" s="290"/>
      <c r="AL522" s="290"/>
      <c r="AM522" s="290"/>
      <c r="AN522" s="290"/>
      <c r="AO522" s="290"/>
      <c r="AP522" s="290"/>
      <c r="AQ522" s="290"/>
      <c r="AR522" s="290"/>
      <c r="AS522" s="290"/>
      <c r="AT522" s="290"/>
      <c r="AU522" s="290"/>
      <c r="AV522" s="290"/>
      <c r="AW522" s="290"/>
      <c r="AX522" s="290"/>
      <c r="AY522" s="290"/>
      <c r="AZ522" s="290"/>
      <c r="BA522" s="290"/>
      <c r="BB522" s="290"/>
      <c r="BC522" s="290"/>
      <c r="BD522" s="290"/>
      <c r="BE522" s="290"/>
      <c r="BF522" s="290"/>
      <c r="BG522" s="290"/>
      <c r="BH522" s="290"/>
      <c r="BI522" s="290"/>
      <c r="BJ522" s="290"/>
      <c r="BK522" s="290"/>
      <c r="BL522" s="290"/>
      <c r="BM522" s="290"/>
      <c r="BN522" s="290"/>
      <c r="BO522" s="290"/>
      <c r="BP522" s="290"/>
      <c r="BQ522" s="290"/>
      <c r="BR522" s="290"/>
      <c r="BS522" s="290"/>
      <c r="BT522" s="290"/>
      <c r="BU522" s="290"/>
      <c r="BV522" s="290"/>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row>
    <row r="523" customFormat="false" ht="15.75" hidden="false" customHeight="false" outlineLevel="0" collapsed="false">
      <c r="A523" s="290"/>
      <c r="B523" s="290"/>
      <c r="C523" s="290"/>
      <c r="D523" s="290"/>
      <c r="E523" s="290"/>
      <c r="F523" s="290"/>
      <c r="G523" s="290"/>
      <c r="H523" s="290"/>
      <c r="I523" s="290"/>
      <c r="J523" s="3"/>
      <c r="K523" s="290"/>
      <c r="L523" s="290"/>
      <c r="M523" s="290"/>
      <c r="N523" s="290"/>
      <c r="O523" s="290"/>
      <c r="P523" s="290"/>
      <c r="Q523" s="290"/>
      <c r="R523" s="290"/>
      <c r="S523" s="290"/>
      <c r="T523" s="290"/>
      <c r="U523" s="290"/>
      <c r="V523" s="290"/>
      <c r="W523" s="290"/>
      <c r="X523" s="290"/>
      <c r="Y523" s="290"/>
      <c r="Z523" s="290"/>
      <c r="AA523" s="290"/>
      <c r="AB523" s="290"/>
      <c r="AC523" s="290"/>
      <c r="AD523" s="290"/>
      <c r="AE523" s="290"/>
      <c r="AF523" s="290"/>
      <c r="AG523" s="290"/>
      <c r="AH523" s="290"/>
      <c r="AI523" s="290"/>
      <c r="AJ523" s="290"/>
      <c r="AK523" s="290"/>
      <c r="AL523" s="290"/>
      <c r="AM523" s="290"/>
      <c r="AN523" s="290"/>
      <c r="AO523" s="290"/>
      <c r="AP523" s="290"/>
      <c r="AQ523" s="290"/>
      <c r="AR523" s="290"/>
      <c r="AS523" s="290"/>
      <c r="AT523" s="290"/>
      <c r="AU523" s="290"/>
      <c r="AV523" s="290"/>
      <c r="AW523" s="290"/>
      <c r="AX523" s="290"/>
      <c r="AY523" s="290"/>
      <c r="AZ523" s="290"/>
      <c r="BA523" s="290"/>
      <c r="BB523" s="290"/>
      <c r="BC523" s="290"/>
      <c r="BD523" s="290"/>
      <c r="BE523" s="290"/>
      <c r="BF523" s="290"/>
      <c r="BG523" s="290"/>
      <c r="BH523" s="290"/>
      <c r="BI523" s="290"/>
      <c r="BJ523" s="290"/>
      <c r="BK523" s="290"/>
      <c r="BL523" s="290"/>
      <c r="BM523" s="290"/>
      <c r="BN523" s="290"/>
      <c r="BO523" s="290"/>
      <c r="BP523" s="290"/>
      <c r="BQ523" s="290"/>
      <c r="BR523" s="290"/>
      <c r="BS523" s="290"/>
      <c r="BT523" s="290"/>
      <c r="BU523" s="290"/>
      <c r="BV523" s="290"/>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row>
    <row r="524" customFormat="false" ht="15.75" hidden="false" customHeight="false" outlineLevel="0" collapsed="false">
      <c r="A524" s="290"/>
      <c r="B524" s="290"/>
      <c r="C524" s="290"/>
      <c r="D524" s="290"/>
      <c r="E524" s="290"/>
      <c r="F524" s="290"/>
      <c r="G524" s="290"/>
      <c r="H524" s="290"/>
      <c r="I524" s="290"/>
      <c r="J524" s="3"/>
      <c r="K524" s="290"/>
      <c r="L524" s="290"/>
      <c r="M524" s="290"/>
      <c r="N524" s="290"/>
      <c r="O524" s="290"/>
      <c r="P524" s="290"/>
      <c r="Q524" s="290"/>
      <c r="R524" s="290"/>
      <c r="S524" s="290"/>
      <c r="T524" s="290"/>
      <c r="U524" s="290"/>
      <c r="V524" s="290"/>
      <c r="W524" s="290"/>
      <c r="X524" s="290"/>
      <c r="Y524" s="290"/>
      <c r="Z524" s="290"/>
      <c r="AA524" s="290"/>
      <c r="AB524" s="290"/>
      <c r="AC524" s="290"/>
      <c r="AD524" s="290"/>
      <c r="AE524" s="290"/>
      <c r="AF524" s="290"/>
      <c r="AG524" s="290"/>
      <c r="AH524" s="290"/>
      <c r="AI524" s="290"/>
      <c r="AJ524" s="290"/>
      <c r="AK524" s="290"/>
      <c r="AL524" s="290"/>
      <c r="AM524" s="290"/>
      <c r="AN524" s="290"/>
      <c r="AO524" s="290"/>
      <c r="AP524" s="290"/>
      <c r="AQ524" s="290"/>
      <c r="AR524" s="290"/>
      <c r="AS524" s="290"/>
      <c r="AT524" s="290"/>
      <c r="AU524" s="290"/>
      <c r="AV524" s="290"/>
      <c r="AW524" s="290"/>
      <c r="AX524" s="290"/>
      <c r="AY524" s="290"/>
      <c r="AZ524" s="290"/>
      <c r="BA524" s="290"/>
      <c r="BB524" s="290"/>
      <c r="BC524" s="290"/>
      <c r="BD524" s="290"/>
      <c r="BE524" s="290"/>
      <c r="BF524" s="290"/>
      <c r="BG524" s="290"/>
      <c r="BH524" s="290"/>
      <c r="BI524" s="290"/>
      <c r="BJ524" s="290"/>
      <c r="BK524" s="290"/>
      <c r="BL524" s="290"/>
      <c r="BM524" s="290"/>
      <c r="BN524" s="290"/>
      <c r="BO524" s="290"/>
      <c r="BP524" s="290"/>
      <c r="BQ524" s="290"/>
      <c r="BR524" s="290"/>
      <c r="BS524" s="290"/>
      <c r="BT524" s="290"/>
      <c r="BU524" s="290"/>
      <c r="BV524" s="290"/>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row>
    <row r="525" customFormat="false" ht="15.75" hidden="false" customHeight="false" outlineLevel="0" collapsed="false">
      <c r="A525" s="290"/>
      <c r="B525" s="290"/>
      <c r="C525" s="290"/>
      <c r="D525" s="290"/>
      <c r="E525" s="290"/>
      <c r="F525" s="290"/>
      <c r="G525" s="290"/>
      <c r="H525" s="290"/>
      <c r="I525" s="290"/>
      <c r="J525" s="3"/>
      <c r="K525" s="290"/>
      <c r="L525" s="290"/>
      <c r="M525" s="290"/>
      <c r="N525" s="290"/>
      <c r="O525" s="290"/>
      <c r="P525" s="290"/>
      <c r="Q525" s="290"/>
      <c r="R525" s="290"/>
      <c r="S525" s="290"/>
      <c r="T525" s="290"/>
      <c r="U525" s="290"/>
      <c r="V525" s="290"/>
      <c r="W525" s="290"/>
      <c r="X525" s="290"/>
      <c r="Y525" s="290"/>
      <c r="Z525" s="290"/>
      <c r="AA525" s="290"/>
      <c r="AB525" s="290"/>
      <c r="AC525" s="290"/>
      <c r="AD525" s="290"/>
      <c r="AE525" s="290"/>
      <c r="AF525" s="290"/>
      <c r="AG525" s="290"/>
      <c r="AH525" s="290"/>
      <c r="AI525" s="290"/>
      <c r="AJ525" s="290"/>
      <c r="AK525" s="290"/>
      <c r="AL525" s="290"/>
      <c r="AM525" s="290"/>
      <c r="AN525" s="290"/>
      <c r="AO525" s="290"/>
      <c r="AP525" s="290"/>
      <c r="AQ525" s="290"/>
      <c r="AR525" s="290"/>
      <c r="AS525" s="290"/>
      <c r="AT525" s="290"/>
      <c r="AU525" s="290"/>
      <c r="AV525" s="290"/>
      <c r="AW525" s="290"/>
      <c r="AX525" s="290"/>
      <c r="AY525" s="290"/>
      <c r="AZ525" s="290"/>
      <c r="BA525" s="290"/>
      <c r="BB525" s="290"/>
      <c r="BC525" s="290"/>
      <c r="BD525" s="290"/>
      <c r="BE525" s="290"/>
      <c r="BF525" s="290"/>
      <c r="BG525" s="290"/>
      <c r="BH525" s="290"/>
      <c r="BI525" s="290"/>
      <c r="BJ525" s="290"/>
      <c r="BK525" s="290"/>
      <c r="BL525" s="290"/>
      <c r="BM525" s="290"/>
      <c r="BN525" s="290"/>
      <c r="BO525" s="290"/>
      <c r="BP525" s="290"/>
      <c r="BQ525" s="290"/>
      <c r="BR525" s="290"/>
      <c r="BS525" s="290"/>
      <c r="BT525" s="290"/>
      <c r="BU525" s="290"/>
      <c r="BV525" s="290"/>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row>
    <row r="526" customFormat="false" ht="15.75" hidden="false" customHeight="false" outlineLevel="0" collapsed="false">
      <c r="A526" s="290"/>
      <c r="B526" s="290"/>
      <c r="C526" s="290"/>
      <c r="D526" s="290"/>
      <c r="E526" s="290"/>
      <c r="F526" s="290"/>
      <c r="G526" s="290"/>
      <c r="H526" s="290"/>
      <c r="I526" s="290"/>
      <c r="J526" s="3"/>
      <c r="K526" s="290"/>
      <c r="L526" s="290"/>
      <c r="M526" s="290"/>
      <c r="N526" s="290"/>
      <c r="O526" s="290"/>
      <c r="P526" s="290"/>
      <c r="Q526" s="290"/>
      <c r="R526" s="290"/>
      <c r="S526" s="290"/>
      <c r="T526" s="290"/>
      <c r="U526" s="290"/>
      <c r="V526" s="290"/>
      <c r="W526" s="290"/>
      <c r="X526" s="290"/>
      <c r="Y526" s="290"/>
      <c r="Z526" s="290"/>
      <c r="AA526" s="290"/>
      <c r="AB526" s="290"/>
      <c r="AC526" s="290"/>
      <c r="AD526" s="290"/>
      <c r="AE526" s="290"/>
      <c r="AF526" s="290"/>
      <c r="AG526" s="290"/>
      <c r="AH526" s="290"/>
      <c r="AI526" s="290"/>
      <c r="AJ526" s="290"/>
      <c r="AK526" s="290"/>
      <c r="AL526" s="290"/>
      <c r="AM526" s="290"/>
      <c r="AN526" s="290"/>
      <c r="AO526" s="290"/>
      <c r="AP526" s="290"/>
      <c r="AQ526" s="290"/>
      <c r="AR526" s="290"/>
      <c r="AS526" s="290"/>
      <c r="AT526" s="290"/>
      <c r="AU526" s="290"/>
      <c r="AV526" s="290"/>
      <c r="AW526" s="290"/>
      <c r="AX526" s="290"/>
      <c r="AY526" s="290"/>
      <c r="AZ526" s="290"/>
      <c r="BA526" s="290"/>
      <c r="BB526" s="290"/>
      <c r="BC526" s="290"/>
      <c r="BD526" s="290"/>
      <c r="BE526" s="290"/>
      <c r="BF526" s="290"/>
      <c r="BG526" s="290"/>
      <c r="BH526" s="290"/>
      <c r="BI526" s="290"/>
      <c r="BJ526" s="290"/>
      <c r="BK526" s="290"/>
      <c r="BL526" s="290"/>
      <c r="BM526" s="290"/>
      <c r="BN526" s="290"/>
      <c r="BO526" s="290"/>
      <c r="BP526" s="290"/>
      <c r="BQ526" s="290"/>
      <c r="BR526" s="290"/>
      <c r="BS526" s="290"/>
      <c r="BT526" s="290"/>
      <c r="BU526" s="290"/>
      <c r="BV526" s="290"/>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row>
    <row r="527" customFormat="false" ht="15.75" hidden="false" customHeight="false" outlineLevel="0" collapsed="false">
      <c r="A527" s="290"/>
      <c r="B527" s="290"/>
      <c r="C527" s="290"/>
      <c r="D527" s="290"/>
      <c r="E527" s="290"/>
      <c r="F527" s="290"/>
      <c r="G527" s="290"/>
      <c r="H527" s="290"/>
      <c r="I527" s="290"/>
      <c r="J527" s="3"/>
      <c r="K527" s="290"/>
      <c r="L527" s="290"/>
      <c r="M527" s="290"/>
      <c r="N527" s="290"/>
      <c r="O527" s="290"/>
      <c r="P527" s="290"/>
      <c r="Q527" s="290"/>
      <c r="R527" s="290"/>
      <c r="S527" s="290"/>
      <c r="T527" s="290"/>
      <c r="U527" s="290"/>
      <c r="V527" s="290"/>
      <c r="W527" s="290"/>
      <c r="X527" s="290"/>
      <c r="Y527" s="290"/>
      <c r="Z527" s="290"/>
      <c r="AA527" s="290"/>
      <c r="AB527" s="290"/>
      <c r="AC527" s="290"/>
      <c r="AD527" s="290"/>
      <c r="AE527" s="290"/>
      <c r="AF527" s="290"/>
      <c r="AG527" s="290"/>
      <c r="AH527" s="290"/>
      <c r="AI527" s="290"/>
      <c r="AJ527" s="290"/>
      <c r="AK527" s="290"/>
      <c r="AL527" s="290"/>
      <c r="AM527" s="290"/>
      <c r="AN527" s="290"/>
      <c r="AO527" s="290"/>
      <c r="AP527" s="290"/>
      <c r="AQ527" s="290"/>
      <c r="AR527" s="290"/>
      <c r="AS527" s="290"/>
      <c r="AT527" s="290"/>
      <c r="AU527" s="290"/>
      <c r="AV527" s="290"/>
      <c r="AW527" s="290"/>
      <c r="AX527" s="290"/>
      <c r="AY527" s="290"/>
      <c r="AZ527" s="290"/>
      <c r="BA527" s="290"/>
      <c r="BB527" s="290"/>
      <c r="BC527" s="290"/>
      <c r="BD527" s="290"/>
      <c r="BE527" s="290"/>
      <c r="BF527" s="290"/>
      <c r="BG527" s="290"/>
      <c r="BH527" s="290"/>
      <c r="BI527" s="290"/>
      <c r="BJ527" s="290"/>
      <c r="BK527" s="290"/>
      <c r="BL527" s="290"/>
      <c r="BM527" s="290"/>
      <c r="BN527" s="290"/>
      <c r="BO527" s="290"/>
      <c r="BP527" s="290"/>
      <c r="BQ527" s="290"/>
      <c r="BR527" s="290"/>
      <c r="BS527" s="290"/>
      <c r="BT527" s="290"/>
      <c r="BU527" s="290"/>
      <c r="BV527" s="290"/>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row>
    <row r="528" customFormat="false" ht="15.75" hidden="false" customHeight="false" outlineLevel="0" collapsed="false">
      <c r="A528" s="290"/>
      <c r="B528" s="290"/>
      <c r="C528" s="290"/>
      <c r="D528" s="290"/>
      <c r="E528" s="290"/>
      <c r="F528" s="290"/>
      <c r="G528" s="290"/>
      <c r="H528" s="290"/>
      <c r="I528" s="290"/>
      <c r="J528" s="3"/>
      <c r="K528" s="290"/>
      <c r="L528" s="290"/>
      <c r="M528" s="290"/>
      <c r="N528" s="290"/>
      <c r="O528" s="290"/>
      <c r="P528" s="290"/>
      <c r="Q528" s="290"/>
      <c r="R528" s="290"/>
      <c r="S528" s="290"/>
      <c r="T528" s="290"/>
      <c r="U528" s="290"/>
      <c r="V528" s="290"/>
      <c r="W528" s="290"/>
      <c r="X528" s="290"/>
      <c r="Y528" s="290"/>
      <c r="Z528" s="290"/>
      <c r="AA528" s="290"/>
      <c r="AB528" s="290"/>
      <c r="AC528" s="290"/>
      <c r="AD528" s="290"/>
      <c r="AE528" s="290"/>
      <c r="AF528" s="290"/>
      <c r="AG528" s="290"/>
      <c r="AH528" s="290"/>
      <c r="AI528" s="290"/>
      <c r="AJ528" s="290"/>
      <c r="AK528" s="290"/>
      <c r="AL528" s="290"/>
      <c r="AM528" s="290"/>
      <c r="AN528" s="290"/>
      <c r="AO528" s="290"/>
      <c r="AP528" s="290"/>
      <c r="AQ528" s="290"/>
      <c r="AR528" s="290"/>
      <c r="AS528" s="290"/>
      <c r="AT528" s="290"/>
      <c r="AU528" s="290"/>
      <c r="AV528" s="290"/>
      <c r="AW528" s="290"/>
      <c r="AX528" s="290"/>
      <c r="AY528" s="290"/>
      <c r="AZ528" s="290"/>
      <c r="BA528" s="290"/>
      <c r="BB528" s="290"/>
      <c r="BC528" s="290"/>
      <c r="BD528" s="290"/>
      <c r="BE528" s="290"/>
      <c r="BF528" s="290"/>
      <c r="BG528" s="290"/>
      <c r="BH528" s="290"/>
      <c r="BI528" s="290"/>
      <c r="BJ528" s="290"/>
      <c r="BK528" s="290"/>
      <c r="BL528" s="290"/>
      <c r="BM528" s="290"/>
      <c r="BN528" s="290"/>
      <c r="BO528" s="290"/>
      <c r="BP528" s="290"/>
      <c r="BQ528" s="290"/>
      <c r="BR528" s="290"/>
      <c r="BS528" s="290"/>
      <c r="BT528" s="290"/>
      <c r="BU528" s="290"/>
      <c r="BV528" s="290"/>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row>
    <row r="529" customFormat="false" ht="15.75" hidden="false" customHeight="false" outlineLevel="0" collapsed="false">
      <c r="A529" s="290"/>
      <c r="B529" s="290"/>
      <c r="C529" s="290"/>
      <c r="D529" s="290"/>
      <c r="E529" s="290"/>
      <c r="F529" s="290"/>
      <c r="G529" s="290"/>
      <c r="H529" s="290"/>
      <c r="I529" s="290"/>
      <c r="J529" s="3"/>
      <c r="K529" s="290"/>
      <c r="L529" s="290"/>
      <c r="M529" s="290"/>
      <c r="N529" s="290"/>
      <c r="O529" s="290"/>
      <c r="P529" s="290"/>
      <c r="Q529" s="290"/>
      <c r="R529" s="290"/>
      <c r="S529" s="290"/>
      <c r="T529" s="290"/>
      <c r="U529" s="290"/>
      <c r="V529" s="290"/>
      <c r="W529" s="290"/>
      <c r="X529" s="290"/>
      <c r="Y529" s="290"/>
      <c r="Z529" s="290"/>
      <c r="AA529" s="290"/>
      <c r="AB529" s="290"/>
      <c r="AC529" s="290"/>
      <c r="AD529" s="290"/>
      <c r="AE529" s="290"/>
      <c r="AF529" s="290"/>
      <c r="AG529" s="290"/>
      <c r="AH529" s="290"/>
      <c r="AI529" s="290"/>
      <c r="AJ529" s="290"/>
      <c r="AK529" s="290"/>
      <c r="AL529" s="290"/>
      <c r="AM529" s="290"/>
      <c r="AN529" s="290"/>
      <c r="AO529" s="290"/>
      <c r="AP529" s="290"/>
      <c r="AQ529" s="290"/>
      <c r="AR529" s="290"/>
      <c r="AS529" s="290"/>
      <c r="AT529" s="290"/>
      <c r="AU529" s="290"/>
      <c r="AV529" s="290"/>
      <c r="AW529" s="290"/>
      <c r="AX529" s="290"/>
      <c r="AY529" s="290"/>
      <c r="AZ529" s="290"/>
      <c r="BA529" s="290"/>
      <c r="BB529" s="290"/>
      <c r="BC529" s="290"/>
      <c r="BD529" s="290"/>
      <c r="BE529" s="290"/>
      <c r="BF529" s="290"/>
      <c r="BG529" s="290"/>
      <c r="BH529" s="290"/>
      <c r="BI529" s="290"/>
      <c r="BJ529" s="290"/>
      <c r="BK529" s="290"/>
      <c r="BL529" s="290"/>
      <c r="BM529" s="290"/>
      <c r="BN529" s="290"/>
      <c r="BO529" s="290"/>
      <c r="BP529" s="290"/>
      <c r="BQ529" s="290"/>
      <c r="BR529" s="290"/>
      <c r="BS529" s="290"/>
      <c r="BT529" s="290"/>
      <c r="BU529" s="290"/>
      <c r="BV529" s="290"/>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row>
    <row r="530" customFormat="false" ht="15.75" hidden="false" customHeight="false" outlineLevel="0" collapsed="false">
      <c r="A530" s="290"/>
      <c r="B530" s="290"/>
      <c r="C530" s="290"/>
      <c r="D530" s="290"/>
      <c r="E530" s="290"/>
      <c r="F530" s="290"/>
      <c r="G530" s="290"/>
      <c r="H530" s="290"/>
      <c r="I530" s="290"/>
      <c r="J530" s="3"/>
      <c r="K530" s="290"/>
      <c r="L530" s="290"/>
      <c r="M530" s="290"/>
      <c r="N530" s="290"/>
      <c r="O530" s="290"/>
      <c r="P530" s="290"/>
      <c r="Q530" s="290"/>
      <c r="R530" s="290"/>
      <c r="S530" s="290"/>
      <c r="T530" s="290"/>
      <c r="U530" s="290"/>
      <c r="V530" s="290"/>
      <c r="W530" s="290"/>
      <c r="X530" s="290"/>
      <c r="Y530" s="290"/>
      <c r="Z530" s="290"/>
      <c r="AA530" s="290"/>
      <c r="AB530" s="290"/>
      <c r="AC530" s="290"/>
      <c r="AD530" s="290"/>
      <c r="AE530" s="290"/>
      <c r="AF530" s="290"/>
      <c r="AG530" s="290"/>
      <c r="AH530" s="290"/>
      <c r="AI530" s="290"/>
      <c r="AJ530" s="290"/>
      <c r="AK530" s="290"/>
      <c r="AL530" s="290"/>
      <c r="AM530" s="290"/>
      <c r="AN530" s="290"/>
      <c r="AO530" s="290"/>
      <c r="AP530" s="290"/>
      <c r="AQ530" s="290"/>
      <c r="AR530" s="290"/>
      <c r="AS530" s="290"/>
      <c r="AT530" s="290"/>
      <c r="AU530" s="290"/>
      <c r="AV530" s="290"/>
      <c r="AW530" s="290"/>
      <c r="AX530" s="290"/>
      <c r="AY530" s="290"/>
      <c r="AZ530" s="290"/>
      <c r="BA530" s="290"/>
      <c r="BB530" s="290"/>
      <c r="BC530" s="290"/>
      <c r="BD530" s="290"/>
      <c r="BE530" s="290"/>
      <c r="BF530" s="290"/>
      <c r="BG530" s="290"/>
      <c r="BH530" s="290"/>
      <c r="BI530" s="290"/>
      <c r="BJ530" s="290"/>
      <c r="BK530" s="290"/>
      <c r="BL530" s="290"/>
      <c r="BM530" s="290"/>
      <c r="BN530" s="290"/>
      <c r="BO530" s="290"/>
      <c r="BP530" s="290"/>
      <c r="BQ530" s="290"/>
      <c r="BR530" s="290"/>
      <c r="BS530" s="290"/>
      <c r="BT530" s="290"/>
      <c r="BU530" s="290"/>
      <c r="BV530" s="290"/>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row>
    <row r="531" customFormat="false" ht="15.75" hidden="false" customHeight="false" outlineLevel="0" collapsed="false">
      <c r="A531" s="290"/>
      <c r="B531" s="290"/>
      <c r="C531" s="290"/>
      <c r="D531" s="290"/>
      <c r="E531" s="290"/>
      <c r="F531" s="290"/>
      <c r="G531" s="290"/>
      <c r="H531" s="290"/>
      <c r="I531" s="290"/>
      <c r="J531" s="3"/>
      <c r="K531" s="290"/>
      <c r="L531" s="290"/>
      <c r="M531" s="290"/>
      <c r="N531" s="290"/>
      <c r="O531" s="290"/>
      <c r="P531" s="290"/>
      <c r="Q531" s="290"/>
      <c r="R531" s="290"/>
      <c r="S531" s="290"/>
      <c r="T531" s="290"/>
      <c r="U531" s="290"/>
      <c r="V531" s="290"/>
      <c r="W531" s="290"/>
      <c r="X531" s="290"/>
      <c r="Y531" s="290"/>
      <c r="Z531" s="290"/>
      <c r="AA531" s="290"/>
      <c r="AB531" s="290"/>
      <c r="AC531" s="290"/>
      <c r="AD531" s="290"/>
      <c r="AE531" s="290"/>
      <c r="AF531" s="290"/>
      <c r="AG531" s="290"/>
      <c r="AH531" s="290"/>
      <c r="AI531" s="290"/>
      <c r="AJ531" s="290"/>
      <c r="AK531" s="290"/>
      <c r="AL531" s="290"/>
      <c r="AM531" s="290"/>
      <c r="AN531" s="290"/>
      <c r="AO531" s="290"/>
      <c r="AP531" s="290"/>
      <c r="AQ531" s="290"/>
      <c r="AR531" s="290"/>
      <c r="AS531" s="290"/>
      <c r="AT531" s="290"/>
      <c r="AU531" s="290"/>
      <c r="AV531" s="290"/>
      <c r="AW531" s="290"/>
      <c r="AX531" s="290"/>
      <c r="AY531" s="290"/>
      <c r="AZ531" s="290"/>
      <c r="BA531" s="290"/>
      <c r="BB531" s="290"/>
      <c r="BC531" s="290"/>
      <c r="BD531" s="290"/>
      <c r="BE531" s="290"/>
      <c r="BF531" s="290"/>
      <c r="BG531" s="290"/>
      <c r="BH531" s="290"/>
      <c r="BI531" s="290"/>
      <c r="BJ531" s="290"/>
      <c r="BK531" s="290"/>
      <c r="BL531" s="290"/>
      <c r="BM531" s="290"/>
      <c r="BN531" s="290"/>
      <c r="BO531" s="290"/>
      <c r="BP531" s="290"/>
      <c r="BQ531" s="290"/>
      <c r="BR531" s="290"/>
      <c r="BS531" s="290"/>
      <c r="BT531" s="290"/>
      <c r="BU531" s="290"/>
      <c r="BV531" s="290"/>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row>
    <row r="532" customFormat="false" ht="15.75" hidden="false" customHeight="false" outlineLevel="0" collapsed="false">
      <c r="A532" s="290"/>
      <c r="B532" s="290"/>
      <c r="C532" s="290"/>
      <c r="D532" s="290"/>
      <c r="E532" s="290"/>
      <c r="F532" s="290"/>
      <c r="G532" s="290"/>
      <c r="H532" s="290"/>
      <c r="I532" s="290"/>
      <c r="J532" s="3"/>
      <c r="K532" s="290"/>
      <c r="L532" s="290"/>
      <c r="M532" s="290"/>
      <c r="N532" s="290"/>
      <c r="O532" s="290"/>
      <c r="P532" s="290"/>
      <c r="Q532" s="290"/>
      <c r="R532" s="290"/>
      <c r="S532" s="290"/>
      <c r="T532" s="290"/>
      <c r="U532" s="290"/>
      <c r="V532" s="290"/>
      <c r="W532" s="290"/>
      <c r="X532" s="290"/>
      <c r="Y532" s="290"/>
      <c r="Z532" s="290"/>
      <c r="AA532" s="290"/>
      <c r="AB532" s="290"/>
      <c r="AC532" s="290"/>
      <c r="AD532" s="290"/>
      <c r="AE532" s="290"/>
      <c r="AF532" s="290"/>
      <c r="AG532" s="290"/>
      <c r="AH532" s="290"/>
      <c r="AI532" s="290"/>
      <c r="AJ532" s="290"/>
      <c r="AK532" s="290"/>
      <c r="AL532" s="290"/>
      <c r="AM532" s="290"/>
      <c r="AN532" s="290"/>
      <c r="AO532" s="290"/>
      <c r="AP532" s="290"/>
      <c r="AQ532" s="290"/>
      <c r="AR532" s="290"/>
      <c r="AS532" s="290"/>
      <c r="AT532" s="290"/>
      <c r="AU532" s="290"/>
      <c r="AV532" s="290"/>
      <c r="AW532" s="290"/>
      <c r="AX532" s="290"/>
      <c r="AY532" s="290"/>
      <c r="AZ532" s="290"/>
      <c r="BA532" s="290"/>
      <c r="BB532" s="290"/>
      <c r="BC532" s="290"/>
      <c r="BD532" s="290"/>
      <c r="BE532" s="290"/>
      <c r="BF532" s="290"/>
      <c r="BG532" s="290"/>
      <c r="BH532" s="290"/>
      <c r="BI532" s="290"/>
      <c r="BJ532" s="290"/>
      <c r="BK532" s="290"/>
      <c r="BL532" s="290"/>
      <c r="BM532" s="290"/>
      <c r="BN532" s="290"/>
      <c r="BO532" s="290"/>
      <c r="BP532" s="290"/>
      <c r="BQ532" s="290"/>
      <c r="BR532" s="290"/>
      <c r="BS532" s="290"/>
      <c r="BT532" s="290"/>
      <c r="BU532" s="290"/>
      <c r="BV532" s="290"/>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row>
    <row r="533" customFormat="false" ht="15.75" hidden="false" customHeight="false" outlineLevel="0" collapsed="false">
      <c r="A533" s="290"/>
      <c r="B533" s="290"/>
      <c r="C533" s="290"/>
      <c r="D533" s="290"/>
      <c r="E533" s="290"/>
      <c r="F533" s="290"/>
      <c r="G533" s="290"/>
      <c r="H533" s="290"/>
      <c r="I533" s="290"/>
      <c r="J533" s="3"/>
      <c r="K533" s="290"/>
      <c r="L533" s="290"/>
      <c r="M533" s="290"/>
      <c r="N533" s="290"/>
      <c r="O533" s="290"/>
      <c r="P533" s="290"/>
      <c r="Q533" s="290"/>
      <c r="R533" s="290"/>
      <c r="S533" s="290"/>
      <c r="T533" s="290"/>
      <c r="U533" s="290"/>
      <c r="V533" s="290"/>
      <c r="W533" s="290"/>
      <c r="X533" s="290"/>
      <c r="Y533" s="290"/>
      <c r="Z533" s="290"/>
      <c r="AA533" s="290"/>
      <c r="AB533" s="290"/>
      <c r="AC533" s="290"/>
      <c r="AD533" s="290"/>
      <c r="AE533" s="290"/>
      <c r="AF533" s="290"/>
      <c r="AG533" s="290"/>
      <c r="AH533" s="290"/>
      <c r="AI533" s="290"/>
      <c r="AJ533" s="290"/>
      <c r="AK533" s="290"/>
      <c r="AL533" s="290"/>
      <c r="AM533" s="290"/>
      <c r="AN533" s="290"/>
      <c r="AO533" s="290"/>
      <c r="AP533" s="290"/>
      <c r="AQ533" s="290"/>
      <c r="AR533" s="290"/>
      <c r="AS533" s="290"/>
      <c r="AT533" s="290"/>
      <c r="AU533" s="290"/>
      <c r="AV533" s="290"/>
      <c r="AW533" s="290"/>
      <c r="AX533" s="290"/>
      <c r="AY533" s="290"/>
      <c r="AZ533" s="290"/>
      <c r="BA533" s="290"/>
      <c r="BB533" s="290"/>
      <c r="BC533" s="290"/>
      <c r="BD533" s="290"/>
      <c r="BE533" s="290"/>
      <c r="BF533" s="290"/>
      <c r="BG533" s="290"/>
      <c r="BH533" s="290"/>
      <c r="BI533" s="290"/>
      <c r="BJ533" s="290"/>
      <c r="BK533" s="290"/>
      <c r="BL533" s="290"/>
      <c r="BM533" s="290"/>
      <c r="BN533" s="290"/>
      <c r="BO533" s="290"/>
      <c r="BP533" s="290"/>
      <c r="BQ533" s="290"/>
      <c r="BR533" s="290"/>
      <c r="BS533" s="290"/>
      <c r="BT533" s="290"/>
      <c r="BU533" s="290"/>
      <c r="BV533" s="290"/>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row>
    <row r="534" customFormat="false" ht="15.75" hidden="false" customHeight="false" outlineLevel="0" collapsed="false">
      <c r="A534" s="290"/>
      <c r="B534" s="290"/>
      <c r="C534" s="290"/>
      <c r="D534" s="290"/>
      <c r="E534" s="290"/>
      <c r="F534" s="290"/>
      <c r="G534" s="290"/>
      <c r="H534" s="290"/>
      <c r="I534" s="290"/>
      <c r="J534" s="3"/>
      <c r="K534" s="290"/>
      <c r="L534" s="290"/>
      <c r="M534" s="290"/>
      <c r="N534" s="290"/>
      <c r="O534" s="290"/>
      <c r="P534" s="290"/>
      <c r="Q534" s="290"/>
      <c r="R534" s="290"/>
      <c r="S534" s="290"/>
      <c r="T534" s="290"/>
      <c r="U534" s="290"/>
      <c r="V534" s="290"/>
      <c r="W534" s="290"/>
      <c r="X534" s="290"/>
      <c r="Y534" s="290"/>
      <c r="Z534" s="290"/>
      <c r="AA534" s="290"/>
      <c r="AB534" s="290"/>
      <c r="AC534" s="290"/>
      <c r="AD534" s="290"/>
      <c r="AE534" s="290"/>
      <c r="AF534" s="290"/>
      <c r="AG534" s="290"/>
      <c r="AH534" s="290"/>
      <c r="AI534" s="290"/>
      <c r="AJ534" s="290"/>
      <c r="AK534" s="290"/>
      <c r="AL534" s="290"/>
      <c r="AM534" s="290"/>
      <c r="AN534" s="290"/>
      <c r="AO534" s="290"/>
      <c r="AP534" s="290"/>
      <c r="AQ534" s="290"/>
      <c r="AR534" s="290"/>
      <c r="AS534" s="290"/>
      <c r="AT534" s="290"/>
      <c r="AU534" s="290"/>
      <c r="AV534" s="290"/>
      <c r="AW534" s="290"/>
      <c r="AX534" s="290"/>
      <c r="AY534" s="290"/>
      <c r="AZ534" s="290"/>
      <c r="BA534" s="290"/>
      <c r="BB534" s="290"/>
      <c r="BC534" s="290"/>
      <c r="BD534" s="290"/>
      <c r="BE534" s="290"/>
      <c r="BF534" s="290"/>
      <c r="BG534" s="290"/>
      <c r="BH534" s="290"/>
      <c r="BI534" s="290"/>
      <c r="BJ534" s="290"/>
      <c r="BK534" s="290"/>
      <c r="BL534" s="290"/>
      <c r="BM534" s="290"/>
      <c r="BN534" s="290"/>
      <c r="BO534" s="290"/>
      <c r="BP534" s="290"/>
      <c r="BQ534" s="290"/>
      <c r="BR534" s="290"/>
      <c r="BS534" s="290"/>
      <c r="BT534" s="290"/>
      <c r="BU534" s="290"/>
      <c r="BV534" s="290"/>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row>
    <row r="535" customFormat="false" ht="15.75" hidden="false" customHeight="false" outlineLevel="0" collapsed="false">
      <c r="A535" s="290"/>
      <c r="B535" s="290"/>
      <c r="C535" s="290"/>
      <c r="D535" s="290"/>
      <c r="E535" s="290"/>
      <c r="F535" s="290"/>
      <c r="G535" s="290"/>
      <c r="H535" s="290"/>
      <c r="I535" s="290"/>
      <c r="J535" s="3"/>
      <c r="K535" s="290"/>
      <c r="L535" s="290"/>
      <c r="M535" s="290"/>
      <c r="N535" s="290"/>
      <c r="O535" s="290"/>
      <c r="P535" s="290"/>
      <c r="Q535" s="290"/>
      <c r="R535" s="290"/>
      <c r="S535" s="290"/>
      <c r="T535" s="290"/>
      <c r="U535" s="290"/>
      <c r="V535" s="290"/>
      <c r="W535" s="290"/>
      <c r="X535" s="290"/>
      <c r="Y535" s="290"/>
      <c r="Z535" s="290"/>
      <c r="AA535" s="290"/>
      <c r="AB535" s="290"/>
      <c r="AC535" s="290"/>
      <c r="AD535" s="290"/>
      <c r="AE535" s="290"/>
      <c r="AF535" s="290"/>
      <c r="AG535" s="290"/>
      <c r="AH535" s="290"/>
      <c r="AI535" s="290"/>
      <c r="AJ535" s="290"/>
      <c r="AK535" s="290"/>
      <c r="AL535" s="290"/>
      <c r="AM535" s="290"/>
      <c r="AN535" s="290"/>
      <c r="AO535" s="290"/>
      <c r="AP535" s="290"/>
      <c r="AQ535" s="290"/>
      <c r="AR535" s="290"/>
      <c r="AS535" s="290"/>
      <c r="AT535" s="290"/>
      <c r="AU535" s="290"/>
      <c r="AV535" s="290"/>
      <c r="AW535" s="290"/>
      <c r="AX535" s="290"/>
      <c r="AY535" s="290"/>
      <c r="AZ535" s="290"/>
      <c r="BA535" s="290"/>
      <c r="BB535" s="290"/>
      <c r="BC535" s="290"/>
      <c r="BD535" s="290"/>
      <c r="BE535" s="290"/>
      <c r="BF535" s="290"/>
      <c r="BG535" s="290"/>
      <c r="BH535" s="290"/>
      <c r="BI535" s="290"/>
      <c r="BJ535" s="290"/>
      <c r="BK535" s="290"/>
      <c r="BL535" s="290"/>
      <c r="BM535" s="290"/>
      <c r="BN535" s="290"/>
      <c r="BO535" s="290"/>
      <c r="BP535" s="290"/>
      <c r="BQ535" s="290"/>
      <c r="BR535" s="290"/>
      <c r="BS535" s="290"/>
      <c r="BT535" s="290"/>
      <c r="BU535" s="290"/>
      <c r="BV535" s="290"/>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row>
    <row r="536" customFormat="false" ht="15.75" hidden="false" customHeight="false" outlineLevel="0" collapsed="false">
      <c r="A536" s="290"/>
      <c r="B536" s="290"/>
      <c r="C536" s="290"/>
      <c r="D536" s="290"/>
      <c r="E536" s="290"/>
      <c r="F536" s="290"/>
      <c r="G536" s="290"/>
      <c r="H536" s="290"/>
      <c r="I536" s="290"/>
      <c r="J536" s="3"/>
      <c r="K536" s="290"/>
      <c r="L536" s="290"/>
      <c r="M536" s="290"/>
      <c r="N536" s="290"/>
      <c r="O536" s="290"/>
      <c r="P536" s="290"/>
      <c r="Q536" s="290"/>
      <c r="R536" s="290"/>
      <c r="S536" s="290"/>
      <c r="T536" s="290"/>
      <c r="U536" s="290"/>
      <c r="V536" s="290"/>
      <c r="W536" s="290"/>
      <c r="X536" s="290"/>
      <c r="Y536" s="290"/>
      <c r="Z536" s="290"/>
      <c r="AA536" s="290"/>
      <c r="AB536" s="290"/>
      <c r="AC536" s="290"/>
      <c r="AD536" s="290"/>
      <c r="AE536" s="290"/>
      <c r="AF536" s="290"/>
      <c r="AG536" s="290"/>
      <c r="AH536" s="290"/>
      <c r="AI536" s="290"/>
      <c r="AJ536" s="290"/>
      <c r="AK536" s="290"/>
      <c r="AL536" s="290"/>
      <c r="AM536" s="290"/>
      <c r="AN536" s="290"/>
      <c r="AO536" s="290"/>
      <c r="AP536" s="290"/>
      <c r="AQ536" s="290"/>
      <c r="AR536" s="290"/>
      <c r="AS536" s="290"/>
      <c r="AT536" s="290"/>
      <c r="AU536" s="290"/>
      <c r="AV536" s="290"/>
      <c r="AW536" s="290"/>
      <c r="AX536" s="290"/>
      <c r="AY536" s="290"/>
      <c r="AZ536" s="290"/>
      <c r="BA536" s="290"/>
      <c r="BB536" s="290"/>
      <c r="BC536" s="290"/>
      <c r="BD536" s="290"/>
      <c r="BE536" s="290"/>
      <c r="BF536" s="290"/>
      <c r="BG536" s="290"/>
      <c r="BH536" s="290"/>
      <c r="BI536" s="290"/>
      <c r="BJ536" s="290"/>
      <c r="BK536" s="290"/>
      <c r="BL536" s="290"/>
      <c r="BM536" s="290"/>
      <c r="BN536" s="290"/>
      <c r="BO536" s="290"/>
      <c r="BP536" s="290"/>
      <c r="BQ536" s="290"/>
      <c r="BR536" s="290"/>
      <c r="BS536" s="290"/>
      <c r="BT536" s="290"/>
      <c r="BU536" s="290"/>
      <c r="BV536" s="290"/>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row>
    <row r="537" customFormat="false" ht="15.75" hidden="false" customHeight="false" outlineLevel="0" collapsed="false">
      <c r="A537" s="290"/>
      <c r="B537" s="290"/>
      <c r="C537" s="290"/>
      <c r="D537" s="290"/>
      <c r="E537" s="290"/>
      <c r="F537" s="290"/>
      <c r="G537" s="290"/>
      <c r="H537" s="290"/>
      <c r="I537" s="290"/>
      <c r="J537" s="3"/>
      <c r="K537" s="290"/>
      <c r="L537" s="290"/>
      <c r="M537" s="290"/>
      <c r="N537" s="290"/>
      <c r="O537" s="290"/>
      <c r="P537" s="290"/>
      <c r="Q537" s="290"/>
      <c r="R537" s="290"/>
      <c r="S537" s="290"/>
      <c r="T537" s="290"/>
      <c r="U537" s="290"/>
      <c r="V537" s="290"/>
      <c r="W537" s="290"/>
      <c r="X537" s="290"/>
      <c r="Y537" s="290"/>
      <c r="Z537" s="290"/>
      <c r="AA537" s="290"/>
      <c r="AB537" s="290"/>
      <c r="AC537" s="290"/>
      <c r="AD537" s="290"/>
      <c r="AE537" s="290"/>
      <c r="AF537" s="290"/>
      <c r="AG537" s="290"/>
      <c r="AH537" s="290"/>
      <c r="AI537" s="290"/>
      <c r="AJ537" s="290"/>
      <c r="AK537" s="290"/>
      <c r="AL537" s="290"/>
      <c r="AM537" s="290"/>
      <c r="AN537" s="290"/>
      <c r="AO537" s="290"/>
      <c r="AP537" s="290"/>
      <c r="AQ537" s="290"/>
      <c r="AR537" s="290"/>
      <c r="AS537" s="290"/>
      <c r="AT537" s="290"/>
      <c r="AU537" s="290"/>
      <c r="AV537" s="290"/>
      <c r="AW537" s="290"/>
      <c r="AX537" s="290"/>
      <c r="AY537" s="290"/>
      <c r="AZ537" s="290"/>
      <c r="BA537" s="290"/>
      <c r="BB537" s="290"/>
      <c r="BC537" s="290"/>
      <c r="BD537" s="290"/>
      <c r="BE537" s="290"/>
      <c r="BF537" s="290"/>
      <c r="BG537" s="290"/>
      <c r="BH537" s="290"/>
      <c r="BI537" s="290"/>
      <c r="BJ537" s="290"/>
      <c r="BK537" s="290"/>
      <c r="BL537" s="290"/>
      <c r="BM537" s="290"/>
      <c r="BN537" s="290"/>
      <c r="BO537" s="290"/>
      <c r="BP537" s="290"/>
      <c r="BQ537" s="290"/>
      <c r="BR537" s="290"/>
      <c r="BS537" s="290"/>
      <c r="BT537" s="290"/>
      <c r="BU537" s="290"/>
      <c r="BV537" s="290"/>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row>
    <row r="538" customFormat="false" ht="15.75" hidden="false" customHeight="false" outlineLevel="0" collapsed="false">
      <c r="A538" s="290"/>
      <c r="B538" s="290"/>
      <c r="C538" s="290"/>
      <c r="D538" s="290"/>
      <c r="E538" s="290"/>
      <c r="F538" s="290"/>
      <c r="G538" s="290"/>
      <c r="H538" s="290"/>
      <c r="I538" s="290"/>
      <c r="J538" s="3"/>
      <c r="K538" s="290"/>
      <c r="L538" s="290"/>
      <c r="M538" s="290"/>
      <c r="N538" s="290"/>
      <c r="O538" s="290"/>
      <c r="P538" s="290"/>
      <c r="Q538" s="290"/>
      <c r="R538" s="290"/>
      <c r="S538" s="290"/>
      <c r="T538" s="290"/>
      <c r="U538" s="290"/>
      <c r="V538" s="290"/>
      <c r="W538" s="290"/>
      <c r="X538" s="290"/>
      <c r="Y538" s="290"/>
      <c r="Z538" s="290"/>
      <c r="AA538" s="290"/>
      <c r="AB538" s="290"/>
      <c r="AC538" s="290"/>
      <c r="AD538" s="290"/>
      <c r="AE538" s="290"/>
      <c r="AF538" s="290"/>
      <c r="AG538" s="290"/>
      <c r="AH538" s="290"/>
      <c r="AI538" s="290"/>
      <c r="AJ538" s="290"/>
      <c r="AK538" s="290"/>
      <c r="AL538" s="290"/>
      <c r="AM538" s="290"/>
      <c r="AN538" s="290"/>
      <c r="AO538" s="290"/>
      <c r="AP538" s="290"/>
      <c r="AQ538" s="290"/>
      <c r="AR538" s="290"/>
      <c r="AS538" s="290"/>
      <c r="AT538" s="290"/>
      <c r="AU538" s="290"/>
      <c r="AV538" s="290"/>
      <c r="AW538" s="290"/>
      <c r="AX538" s="290"/>
      <c r="AY538" s="290"/>
      <c r="AZ538" s="290"/>
      <c r="BA538" s="290"/>
      <c r="BB538" s="290"/>
      <c r="BC538" s="290"/>
      <c r="BD538" s="290"/>
      <c r="BE538" s="290"/>
      <c r="BF538" s="290"/>
      <c r="BG538" s="290"/>
      <c r="BH538" s="290"/>
      <c r="BI538" s="290"/>
      <c r="BJ538" s="290"/>
      <c r="BK538" s="290"/>
      <c r="BL538" s="290"/>
      <c r="BM538" s="290"/>
      <c r="BN538" s="290"/>
      <c r="BO538" s="290"/>
      <c r="BP538" s="290"/>
      <c r="BQ538" s="290"/>
      <c r="BR538" s="290"/>
      <c r="BS538" s="290"/>
      <c r="BT538" s="290"/>
      <c r="BU538" s="290"/>
      <c r="BV538" s="290"/>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row>
    <row r="539" customFormat="false" ht="15.75" hidden="false" customHeight="false" outlineLevel="0" collapsed="false">
      <c r="A539" s="290"/>
      <c r="B539" s="290"/>
      <c r="C539" s="290"/>
      <c r="D539" s="290"/>
      <c r="E539" s="290"/>
      <c r="F539" s="290"/>
      <c r="G539" s="290"/>
      <c r="H539" s="290"/>
      <c r="I539" s="290"/>
      <c r="J539" s="3"/>
      <c r="K539" s="290"/>
      <c r="L539" s="290"/>
      <c r="M539" s="290"/>
      <c r="N539" s="290"/>
      <c r="O539" s="290"/>
      <c r="P539" s="290"/>
      <c r="Q539" s="290"/>
      <c r="R539" s="290"/>
      <c r="S539" s="290"/>
      <c r="T539" s="290"/>
      <c r="U539" s="290"/>
      <c r="V539" s="290"/>
      <c r="W539" s="290"/>
      <c r="X539" s="290"/>
      <c r="Y539" s="290"/>
      <c r="Z539" s="290"/>
      <c r="AA539" s="290"/>
      <c r="AB539" s="290"/>
      <c r="AC539" s="290"/>
      <c r="AD539" s="290"/>
      <c r="AE539" s="290"/>
      <c r="AF539" s="290"/>
      <c r="AG539" s="290"/>
      <c r="AH539" s="290"/>
      <c r="AI539" s="290"/>
      <c r="AJ539" s="290"/>
      <c r="AK539" s="290"/>
      <c r="AL539" s="290"/>
      <c r="AM539" s="290"/>
      <c r="AN539" s="290"/>
      <c r="AO539" s="290"/>
      <c r="AP539" s="290"/>
      <c r="AQ539" s="290"/>
      <c r="AR539" s="290"/>
      <c r="AS539" s="290"/>
      <c r="AT539" s="290"/>
      <c r="AU539" s="290"/>
      <c r="AV539" s="290"/>
      <c r="AW539" s="290"/>
      <c r="AX539" s="290"/>
      <c r="AY539" s="290"/>
      <c r="AZ539" s="290"/>
      <c r="BA539" s="290"/>
      <c r="BB539" s="290"/>
      <c r="BC539" s="290"/>
      <c r="BD539" s="290"/>
      <c r="BE539" s="290"/>
      <c r="BF539" s="290"/>
      <c r="BG539" s="290"/>
      <c r="BH539" s="290"/>
      <c r="BI539" s="290"/>
      <c r="BJ539" s="290"/>
      <c r="BK539" s="290"/>
      <c r="BL539" s="290"/>
      <c r="BM539" s="290"/>
      <c r="BN539" s="290"/>
      <c r="BO539" s="290"/>
      <c r="BP539" s="290"/>
      <c r="BQ539" s="290"/>
      <c r="BR539" s="290"/>
      <c r="BS539" s="290"/>
      <c r="BT539" s="290"/>
      <c r="BU539" s="290"/>
      <c r="BV539" s="290"/>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row>
    <row r="540" customFormat="false" ht="15.75" hidden="false" customHeight="false" outlineLevel="0" collapsed="false">
      <c r="A540" s="290"/>
      <c r="B540" s="290"/>
      <c r="C540" s="290"/>
      <c r="D540" s="290"/>
      <c r="E540" s="290"/>
      <c r="F540" s="290"/>
      <c r="G540" s="290"/>
      <c r="H540" s="290"/>
      <c r="I540" s="290"/>
      <c r="J540" s="3"/>
      <c r="K540" s="290"/>
      <c r="L540" s="290"/>
      <c r="M540" s="290"/>
      <c r="N540" s="290"/>
      <c r="O540" s="290"/>
      <c r="P540" s="290"/>
      <c r="Q540" s="290"/>
      <c r="R540" s="290"/>
      <c r="S540" s="290"/>
      <c r="T540" s="290"/>
      <c r="U540" s="290"/>
      <c r="V540" s="290"/>
      <c r="W540" s="290"/>
      <c r="X540" s="290"/>
      <c r="Y540" s="290"/>
      <c r="Z540" s="290"/>
      <c r="AA540" s="290"/>
      <c r="AB540" s="290"/>
      <c r="AC540" s="290"/>
      <c r="AD540" s="290"/>
      <c r="AE540" s="290"/>
      <c r="AF540" s="290"/>
      <c r="AG540" s="290"/>
      <c r="AH540" s="290"/>
      <c r="AI540" s="290"/>
      <c r="AJ540" s="290"/>
      <c r="AK540" s="290"/>
      <c r="AL540" s="290"/>
      <c r="AM540" s="290"/>
      <c r="AN540" s="290"/>
      <c r="AO540" s="290"/>
      <c r="AP540" s="290"/>
      <c r="AQ540" s="290"/>
      <c r="AR540" s="290"/>
      <c r="AS540" s="290"/>
      <c r="AT540" s="290"/>
      <c r="AU540" s="290"/>
      <c r="AV540" s="290"/>
      <c r="AW540" s="290"/>
      <c r="AX540" s="290"/>
      <c r="AY540" s="290"/>
      <c r="AZ540" s="290"/>
      <c r="BA540" s="290"/>
      <c r="BB540" s="290"/>
      <c r="BC540" s="290"/>
      <c r="BD540" s="290"/>
      <c r="BE540" s="290"/>
      <c r="BF540" s="290"/>
      <c r="BG540" s="290"/>
      <c r="BH540" s="290"/>
      <c r="BI540" s="290"/>
      <c r="BJ540" s="290"/>
      <c r="BK540" s="290"/>
      <c r="BL540" s="290"/>
      <c r="BM540" s="290"/>
      <c r="BN540" s="290"/>
      <c r="BO540" s="290"/>
      <c r="BP540" s="290"/>
      <c r="BQ540" s="290"/>
      <c r="BR540" s="290"/>
      <c r="BS540" s="290"/>
      <c r="BT540" s="290"/>
      <c r="BU540" s="290"/>
      <c r="BV540" s="290"/>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row>
    <row r="541" customFormat="false" ht="15.75" hidden="false" customHeight="false" outlineLevel="0" collapsed="false">
      <c r="A541" s="290"/>
      <c r="B541" s="290"/>
      <c r="C541" s="290"/>
      <c r="D541" s="290"/>
      <c r="E541" s="290"/>
      <c r="F541" s="290"/>
      <c r="G541" s="290"/>
      <c r="H541" s="290"/>
      <c r="I541" s="290"/>
      <c r="J541" s="3"/>
      <c r="K541" s="290"/>
      <c r="L541" s="290"/>
      <c r="M541" s="290"/>
      <c r="N541" s="290"/>
      <c r="O541" s="290"/>
      <c r="P541" s="290"/>
      <c r="Q541" s="290"/>
      <c r="R541" s="290"/>
      <c r="S541" s="290"/>
      <c r="T541" s="290"/>
      <c r="U541" s="290"/>
      <c r="V541" s="290"/>
      <c r="W541" s="290"/>
      <c r="X541" s="290"/>
      <c r="Y541" s="290"/>
      <c r="Z541" s="290"/>
      <c r="AA541" s="290"/>
      <c r="AB541" s="290"/>
      <c r="AC541" s="290"/>
      <c r="AD541" s="290"/>
      <c r="AE541" s="290"/>
      <c r="AF541" s="290"/>
      <c r="AG541" s="290"/>
      <c r="AH541" s="290"/>
      <c r="AI541" s="290"/>
      <c r="AJ541" s="290"/>
      <c r="AK541" s="290"/>
      <c r="AL541" s="290"/>
      <c r="AM541" s="290"/>
      <c r="AN541" s="290"/>
      <c r="AO541" s="290"/>
      <c r="AP541" s="290"/>
      <c r="AQ541" s="290"/>
      <c r="AR541" s="290"/>
      <c r="AS541" s="290"/>
      <c r="AT541" s="290"/>
      <c r="AU541" s="290"/>
      <c r="AV541" s="290"/>
      <c r="AW541" s="290"/>
      <c r="AX541" s="290"/>
      <c r="AY541" s="290"/>
      <c r="AZ541" s="290"/>
      <c r="BA541" s="290"/>
      <c r="BB541" s="290"/>
      <c r="BC541" s="290"/>
      <c r="BD541" s="290"/>
      <c r="BE541" s="290"/>
      <c r="BF541" s="290"/>
      <c r="BG541" s="290"/>
      <c r="BH541" s="290"/>
      <c r="BI541" s="290"/>
      <c r="BJ541" s="290"/>
      <c r="BK541" s="290"/>
      <c r="BL541" s="290"/>
      <c r="BM541" s="290"/>
      <c r="BN541" s="290"/>
      <c r="BO541" s="290"/>
      <c r="BP541" s="290"/>
      <c r="BQ541" s="290"/>
      <c r="BR541" s="290"/>
      <c r="BS541" s="290"/>
      <c r="BT541" s="290"/>
      <c r="BU541" s="290"/>
      <c r="BV541" s="290"/>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row>
    <row r="542" customFormat="false" ht="15.75" hidden="false" customHeight="false" outlineLevel="0" collapsed="false">
      <c r="A542" s="290"/>
      <c r="B542" s="290"/>
      <c r="C542" s="290"/>
      <c r="D542" s="290"/>
      <c r="E542" s="290"/>
      <c r="F542" s="290"/>
      <c r="G542" s="290"/>
      <c r="H542" s="290"/>
      <c r="I542" s="290"/>
      <c r="J542" s="3"/>
      <c r="K542" s="290"/>
      <c r="L542" s="290"/>
      <c r="M542" s="290"/>
      <c r="N542" s="290"/>
      <c r="O542" s="290"/>
      <c r="P542" s="290"/>
      <c r="Q542" s="290"/>
      <c r="R542" s="290"/>
      <c r="S542" s="290"/>
      <c r="T542" s="290"/>
      <c r="U542" s="290"/>
      <c r="V542" s="290"/>
      <c r="W542" s="290"/>
      <c r="X542" s="290"/>
      <c r="Y542" s="290"/>
      <c r="Z542" s="290"/>
      <c r="AA542" s="290"/>
      <c r="AB542" s="290"/>
      <c r="AC542" s="290"/>
      <c r="AD542" s="290"/>
      <c r="AE542" s="290"/>
      <c r="AF542" s="290"/>
      <c r="AG542" s="290"/>
      <c r="AH542" s="290"/>
      <c r="AI542" s="290"/>
      <c r="AJ542" s="290"/>
      <c r="AK542" s="290"/>
      <c r="AL542" s="290"/>
      <c r="AM542" s="290"/>
      <c r="AN542" s="290"/>
      <c r="AO542" s="290"/>
      <c r="AP542" s="290"/>
      <c r="AQ542" s="290"/>
      <c r="AR542" s="290"/>
      <c r="AS542" s="290"/>
      <c r="AT542" s="290"/>
      <c r="AU542" s="290"/>
      <c r="AV542" s="290"/>
      <c r="AW542" s="290"/>
      <c r="AX542" s="290"/>
      <c r="AY542" s="290"/>
      <c r="AZ542" s="290"/>
      <c r="BA542" s="290"/>
      <c r="BB542" s="290"/>
      <c r="BC542" s="290"/>
      <c r="BD542" s="290"/>
      <c r="BE542" s="290"/>
      <c r="BF542" s="290"/>
      <c r="BG542" s="290"/>
      <c r="BH542" s="290"/>
      <c r="BI542" s="290"/>
      <c r="BJ542" s="290"/>
      <c r="BK542" s="290"/>
      <c r="BL542" s="290"/>
      <c r="BM542" s="290"/>
      <c r="BN542" s="290"/>
      <c r="BO542" s="290"/>
      <c r="BP542" s="290"/>
      <c r="BQ542" s="290"/>
      <c r="BR542" s="290"/>
      <c r="BS542" s="290"/>
      <c r="BT542" s="290"/>
      <c r="BU542" s="290"/>
      <c r="BV542" s="290"/>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row>
    <row r="543" customFormat="false" ht="15.75" hidden="false" customHeight="false" outlineLevel="0" collapsed="false">
      <c r="A543" s="290"/>
      <c r="B543" s="290"/>
      <c r="C543" s="290"/>
      <c r="D543" s="290"/>
      <c r="E543" s="290"/>
      <c r="F543" s="290"/>
      <c r="G543" s="290"/>
      <c r="H543" s="290"/>
      <c r="I543" s="290"/>
      <c r="J543" s="3"/>
      <c r="K543" s="290"/>
      <c r="L543" s="290"/>
      <c r="M543" s="290"/>
      <c r="N543" s="290"/>
      <c r="O543" s="290"/>
      <c r="P543" s="290"/>
      <c r="Q543" s="290"/>
      <c r="R543" s="290"/>
      <c r="S543" s="290"/>
      <c r="T543" s="290"/>
      <c r="U543" s="290"/>
      <c r="V543" s="290"/>
      <c r="W543" s="290"/>
      <c r="X543" s="290"/>
      <c r="Y543" s="290"/>
      <c r="Z543" s="290"/>
      <c r="AA543" s="290"/>
      <c r="AB543" s="290"/>
      <c r="AC543" s="290"/>
      <c r="AD543" s="290"/>
      <c r="AE543" s="290"/>
      <c r="AF543" s="290"/>
      <c r="AG543" s="290"/>
      <c r="AH543" s="290"/>
      <c r="AI543" s="290"/>
      <c r="AJ543" s="290"/>
      <c r="AK543" s="290"/>
      <c r="AL543" s="290"/>
      <c r="AM543" s="290"/>
      <c r="AN543" s="290"/>
      <c r="AO543" s="290"/>
      <c r="AP543" s="290"/>
      <c r="AQ543" s="290"/>
      <c r="AR543" s="290"/>
      <c r="AS543" s="290"/>
      <c r="AT543" s="290"/>
      <c r="AU543" s="290"/>
      <c r="AV543" s="290"/>
      <c r="AW543" s="290"/>
      <c r="AX543" s="290"/>
      <c r="AY543" s="290"/>
      <c r="AZ543" s="290"/>
      <c r="BA543" s="290"/>
      <c r="BB543" s="290"/>
      <c r="BC543" s="290"/>
      <c r="BD543" s="290"/>
      <c r="BE543" s="290"/>
      <c r="BF543" s="290"/>
      <c r="BG543" s="290"/>
      <c r="BH543" s="290"/>
      <c r="BI543" s="290"/>
      <c r="BJ543" s="290"/>
      <c r="BK543" s="290"/>
      <c r="BL543" s="290"/>
      <c r="BM543" s="290"/>
      <c r="BN543" s="290"/>
      <c r="BO543" s="290"/>
      <c r="BP543" s="290"/>
      <c r="BQ543" s="290"/>
      <c r="BR543" s="290"/>
      <c r="BS543" s="290"/>
      <c r="BT543" s="290"/>
      <c r="BU543" s="290"/>
      <c r="BV543" s="290"/>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row>
    <row r="544" customFormat="false" ht="15.75" hidden="false" customHeight="false" outlineLevel="0" collapsed="false">
      <c r="A544" s="290"/>
      <c r="B544" s="290"/>
      <c r="C544" s="290"/>
      <c r="D544" s="290"/>
      <c r="E544" s="290"/>
      <c r="F544" s="290"/>
      <c r="G544" s="290"/>
      <c r="H544" s="290"/>
      <c r="I544" s="290"/>
      <c r="J544" s="3"/>
      <c r="K544" s="290"/>
      <c r="L544" s="290"/>
      <c r="M544" s="290"/>
      <c r="N544" s="290"/>
      <c r="O544" s="290"/>
      <c r="P544" s="290"/>
      <c r="Q544" s="290"/>
      <c r="R544" s="290"/>
      <c r="S544" s="290"/>
      <c r="T544" s="290"/>
      <c r="U544" s="290"/>
      <c r="V544" s="290"/>
      <c r="W544" s="290"/>
      <c r="X544" s="290"/>
      <c r="Y544" s="290"/>
      <c r="Z544" s="290"/>
      <c r="AA544" s="290"/>
      <c r="AB544" s="290"/>
      <c r="AC544" s="290"/>
      <c r="AD544" s="290"/>
      <c r="AE544" s="290"/>
      <c r="AF544" s="290"/>
      <c r="AG544" s="290"/>
      <c r="AH544" s="290"/>
      <c r="AI544" s="290"/>
      <c r="AJ544" s="290"/>
      <c r="AK544" s="290"/>
      <c r="AL544" s="290"/>
      <c r="AM544" s="290"/>
      <c r="AN544" s="290"/>
      <c r="AO544" s="290"/>
      <c r="AP544" s="290"/>
      <c r="AQ544" s="290"/>
      <c r="AR544" s="290"/>
      <c r="AS544" s="290"/>
      <c r="AT544" s="290"/>
      <c r="AU544" s="290"/>
      <c r="AV544" s="290"/>
      <c r="AW544" s="290"/>
      <c r="AX544" s="290"/>
      <c r="AY544" s="290"/>
      <c r="AZ544" s="290"/>
      <c r="BA544" s="290"/>
      <c r="BB544" s="290"/>
      <c r="BC544" s="290"/>
      <c r="BD544" s="290"/>
      <c r="BE544" s="290"/>
      <c r="BF544" s="290"/>
      <c r="BG544" s="290"/>
      <c r="BH544" s="290"/>
      <c r="BI544" s="290"/>
      <c r="BJ544" s="290"/>
      <c r="BK544" s="290"/>
      <c r="BL544" s="290"/>
      <c r="BM544" s="290"/>
      <c r="BN544" s="290"/>
      <c r="BO544" s="290"/>
      <c r="BP544" s="290"/>
      <c r="BQ544" s="290"/>
      <c r="BR544" s="290"/>
      <c r="BS544" s="290"/>
      <c r="BT544" s="290"/>
      <c r="BU544" s="290"/>
      <c r="BV544" s="290"/>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row>
    <row r="545" customFormat="false" ht="15.75" hidden="false" customHeight="false" outlineLevel="0" collapsed="false">
      <c r="A545" s="290"/>
      <c r="B545" s="290"/>
      <c r="C545" s="290"/>
      <c r="D545" s="290"/>
      <c r="E545" s="290"/>
      <c r="F545" s="290"/>
      <c r="G545" s="290"/>
      <c r="H545" s="290"/>
      <c r="I545" s="290"/>
      <c r="J545" s="3"/>
      <c r="K545" s="290"/>
      <c r="L545" s="290"/>
      <c r="M545" s="290"/>
      <c r="N545" s="290"/>
      <c r="O545" s="290"/>
      <c r="P545" s="290"/>
      <c r="Q545" s="290"/>
      <c r="R545" s="290"/>
      <c r="S545" s="290"/>
      <c r="T545" s="290"/>
      <c r="U545" s="290"/>
      <c r="V545" s="290"/>
      <c r="W545" s="290"/>
      <c r="X545" s="290"/>
      <c r="Y545" s="290"/>
      <c r="Z545" s="290"/>
      <c r="AA545" s="290"/>
      <c r="AB545" s="290"/>
      <c r="AC545" s="290"/>
      <c r="AD545" s="290"/>
      <c r="AE545" s="290"/>
      <c r="AF545" s="290"/>
      <c r="AG545" s="290"/>
      <c r="AH545" s="290"/>
      <c r="AI545" s="290"/>
      <c r="AJ545" s="290"/>
      <c r="AK545" s="290"/>
      <c r="AL545" s="290"/>
      <c r="AM545" s="290"/>
      <c r="AN545" s="290"/>
      <c r="AO545" s="290"/>
      <c r="AP545" s="290"/>
      <c r="AQ545" s="290"/>
      <c r="AR545" s="290"/>
      <c r="AS545" s="290"/>
      <c r="AT545" s="290"/>
      <c r="AU545" s="290"/>
      <c r="AV545" s="290"/>
      <c r="AW545" s="290"/>
      <c r="AX545" s="290"/>
      <c r="AY545" s="290"/>
      <c r="AZ545" s="290"/>
      <c r="BA545" s="290"/>
      <c r="BB545" s="290"/>
      <c r="BC545" s="290"/>
      <c r="BD545" s="290"/>
      <c r="BE545" s="290"/>
      <c r="BF545" s="290"/>
      <c r="BG545" s="290"/>
      <c r="BH545" s="290"/>
      <c r="BI545" s="290"/>
      <c r="BJ545" s="290"/>
      <c r="BK545" s="290"/>
      <c r="BL545" s="290"/>
      <c r="BM545" s="290"/>
      <c r="BN545" s="290"/>
      <c r="BO545" s="290"/>
      <c r="BP545" s="290"/>
      <c r="BQ545" s="290"/>
      <c r="BR545" s="290"/>
      <c r="BS545" s="290"/>
      <c r="BT545" s="290"/>
      <c r="BU545" s="290"/>
      <c r="BV545" s="290"/>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row>
    <row r="546" customFormat="false" ht="15.75" hidden="false" customHeight="false" outlineLevel="0" collapsed="false">
      <c r="A546" s="290"/>
      <c r="B546" s="290"/>
      <c r="C546" s="290"/>
      <c r="D546" s="290"/>
      <c r="E546" s="290"/>
      <c r="F546" s="290"/>
      <c r="G546" s="290"/>
      <c r="H546" s="290"/>
      <c r="I546" s="290"/>
      <c r="J546" s="3"/>
      <c r="K546" s="290"/>
      <c r="L546" s="290"/>
      <c r="M546" s="290"/>
      <c r="N546" s="290"/>
      <c r="O546" s="290"/>
      <c r="P546" s="290"/>
      <c r="Q546" s="290"/>
      <c r="R546" s="290"/>
      <c r="S546" s="290"/>
      <c r="T546" s="290"/>
      <c r="U546" s="290"/>
      <c r="V546" s="290"/>
      <c r="W546" s="290"/>
      <c r="X546" s="290"/>
      <c r="Y546" s="290"/>
      <c r="Z546" s="290"/>
      <c r="AA546" s="290"/>
      <c r="AB546" s="290"/>
      <c r="AC546" s="290"/>
      <c r="AD546" s="290"/>
      <c r="AE546" s="290"/>
      <c r="AF546" s="290"/>
      <c r="AG546" s="290"/>
      <c r="AH546" s="290"/>
      <c r="AI546" s="290"/>
      <c r="AJ546" s="290"/>
      <c r="AK546" s="290"/>
      <c r="AL546" s="290"/>
      <c r="AM546" s="290"/>
      <c r="AN546" s="290"/>
      <c r="AO546" s="290"/>
      <c r="AP546" s="290"/>
      <c r="AQ546" s="290"/>
      <c r="AR546" s="290"/>
      <c r="AS546" s="290"/>
      <c r="AT546" s="290"/>
      <c r="AU546" s="290"/>
      <c r="AV546" s="290"/>
      <c r="AW546" s="290"/>
      <c r="AX546" s="290"/>
      <c r="AY546" s="290"/>
      <c r="AZ546" s="290"/>
      <c r="BA546" s="290"/>
      <c r="BB546" s="290"/>
      <c r="BC546" s="290"/>
      <c r="BD546" s="290"/>
      <c r="BE546" s="290"/>
      <c r="BF546" s="290"/>
      <c r="BG546" s="290"/>
      <c r="BH546" s="290"/>
      <c r="BI546" s="290"/>
      <c r="BJ546" s="290"/>
      <c r="BK546" s="290"/>
      <c r="BL546" s="290"/>
      <c r="BM546" s="290"/>
      <c r="BN546" s="290"/>
      <c r="BO546" s="290"/>
      <c r="BP546" s="290"/>
      <c r="BQ546" s="290"/>
      <c r="BR546" s="290"/>
      <c r="BS546" s="290"/>
      <c r="BT546" s="290"/>
      <c r="BU546" s="290"/>
      <c r="BV546" s="290"/>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row>
    <row r="547" customFormat="false" ht="15.75" hidden="false" customHeight="false" outlineLevel="0" collapsed="false">
      <c r="A547" s="290"/>
      <c r="B547" s="290"/>
      <c r="C547" s="290"/>
      <c r="D547" s="290"/>
      <c r="E547" s="290"/>
      <c r="F547" s="290"/>
      <c r="G547" s="290"/>
      <c r="H547" s="290"/>
      <c r="I547" s="290"/>
      <c r="J547" s="3"/>
      <c r="K547" s="290"/>
      <c r="L547" s="290"/>
      <c r="M547" s="290"/>
      <c r="N547" s="290"/>
      <c r="O547" s="290"/>
      <c r="P547" s="290"/>
      <c r="Q547" s="290"/>
      <c r="R547" s="290"/>
      <c r="S547" s="290"/>
      <c r="T547" s="290"/>
      <c r="U547" s="290"/>
      <c r="V547" s="290"/>
      <c r="W547" s="290"/>
      <c r="X547" s="290"/>
      <c r="Y547" s="290"/>
      <c r="Z547" s="290"/>
      <c r="AA547" s="290"/>
      <c r="AB547" s="290"/>
      <c r="AC547" s="290"/>
      <c r="AD547" s="290"/>
      <c r="AE547" s="290"/>
      <c r="AF547" s="290"/>
      <c r="AG547" s="290"/>
      <c r="AH547" s="290"/>
      <c r="AI547" s="290"/>
      <c r="AJ547" s="290"/>
      <c r="AK547" s="290"/>
      <c r="AL547" s="290"/>
      <c r="AM547" s="290"/>
      <c r="AN547" s="290"/>
      <c r="AO547" s="290"/>
      <c r="AP547" s="290"/>
      <c r="AQ547" s="290"/>
      <c r="AR547" s="290"/>
      <c r="AS547" s="290"/>
      <c r="AT547" s="290"/>
      <c r="AU547" s="290"/>
      <c r="AV547" s="290"/>
      <c r="AW547" s="290"/>
      <c r="AX547" s="290"/>
      <c r="AY547" s="290"/>
      <c r="AZ547" s="290"/>
      <c r="BA547" s="290"/>
      <c r="BB547" s="290"/>
      <c r="BC547" s="290"/>
      <c r="BD547" s="290"/>
      <c r="BE547" s="290"/>
      <c r="BF547" s="290"/>
      <c r="BG547" s="290"/>
      <c r="BH547" s="290"/>
      <c r="BI547" s="290"/>
      <c r="BJ547" s="290"/>
      <c r="BK547" s="290"/>
      <c r="BL547" s="290"/>
      <c r="BM547" s="290"/>
      <c r="BN547" s="290"/>
      <c r="BO547" s="290"/>
      <c r="BP547" s="290"/>
      <c r="BQ547" s="290"/>
      <c r="BR547" s="290"/>
      <c r="BS547" s="290"/>
      <c r="BT547" s="290"/>
      <c r="BU547" s="290"/>
      <c r="BV547" s="290"/>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row>
    <row r="548" customFormat="false" ht="15.75" hidden="false" customHeight="false" outlineLevel="0" collapsed="false">
      <c r="A548" s="290"/>
      <c r="B548" s="290"/>
      <c r="C548" s="290"/>
      <c r="D548" s="290"/>
      <c r="E548" s="290"/>
      <c r="F548" s="290"/>
      <c r="G548" s="290"/>
      <c r="H548" s="290"/>
      <c r="I548" s="290"/>
      <c r="J548" s="3"/>
      <c r="K548" s="290"/>
      <c r="L548" s="290"/>
      <c r="M548" s="290"/>
      <c r="N548" s="290"/>
      <c r="O548" s="290"/>
      <c r="P548" s="290"/>
      <c r="Q548" s="290"/>
      <c r="R548" s="290"/>
      <c r="S548" s="290"/>
      <c r="T548" s="290"/>
      <c r="U548" s="290"/>
      <c r="V548" s="290"/>
      <c r="W548" s="290"/>
      <c r="X548" s="290"/>
      <c r="Y548" s="290"/>
      <c r="Z548" s="290"/>
      <c r="AA548" s="290"/>
      <c r="AB548" s="290"/>
      <c r="AC548" s="290"/>
      <c r="AD548" s="290"/>
      <c r="AE548" s="290"/>
      <c r="AF548" s="290"/>
      <c r="AG548" s="290"/>
      <c r="AH548" s="290"/>
      <c r="AI548" s="290"/>
      <c r="AJ548" s="290"/>
      <c r="AK548" s="290"/>
      <c r="AL548" s="290"/>
      <c r="AM548" s="290"/>
      <c r="AN548" s="290"/>
      <c r="AO548" s="290"/>
      <c r="AP548" s="290"/>
      <c r="AQ548" s="290"/>
      <c r="AR548" s="290"/>
      <c r="AS548" s="290"/>
      <c r="AT548" s="290"/>
      <c r="AU548" s="290"/>
      <c r="AV548" s="290"/>
      <c r="AW548" s="290"/>
      <c r="AX548" s="290"/>
      <c r="AY548" s="290"/>
      <c r="AZ548" s="290"/>
      <c r="BA548" s="290"/>
      <c r="BB548" s="290"/>
      <c r="BC548" s="290"/>
      <c r="BD548" s="290"/>
      <c r="BE548" s="290"/>
      <c r="BF548" s="290"/>
      <c r="BG548" s="290"/>
      <c r="BH548" s="290"/>
      <c r="BI548" s="290"/>
      <c r="BJ548" s="290"/>
      <c r="BK548" s="290"/>
      <c r="BL548" s="290"/>
      <c r="BM548" s="290"/>
      <c r="BN548" s="290"/>
      <c r="BO548" s="290"/>
      <c r="BP548" s="290"/>
      <c r="BQ548" s="290"/>
      <c r="BR548" s="290"/>
      <c r="BS548" s="290"/>
      <c r="BT548" s="290"/>
      <c r="BU548" s="290"/>
      <c r="BV548" s="290"/>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row>
    <row r="549" customFormat="false" ht="15.75" hidden="false" customHeight="false" outlineLevel="0" collapsed="false">
      <c r="A549" s="290"/>
      <c r="B549" s="290"/>
      <c r="C549" s="290"/>
      <c r="D549" s="290"/>
      <c r="E549" s="290"/>
      <c r="F549" s="290"/>
      <c r="G549" s="290"/>
      <c r="H549" s="290"/>
      <c r="I549" s="290"/>
      <c r="J549" s="3"/>
      <c r="K549" s="290"/>
      <c r="L549" s="290"/>
      <c r="M549" s="290"/>
      <c r="N549" s="290"/>
      <c r="O549" s="290"/>
      <c r="P549" s="290"/>
      <c r="Q549" s="290"/>
      <c r="R549" s="290"/>
      <c r="S549" s="290"/>
      <c r="T549" s="290"/>
      <c r="U549" s="290"/>
      <c r="V549" s="290"/>
      <c r="W549" s="290"/>
      <c r="X549" s="290"/>
      <c r="Y549" s="290"/>
      <c r="Z549" s="290"/>
      <c r="AA549" s="290"/>
      <c r="AB549" s="290"/>
      <c r="AC549" s="290"/>
      <c r="AD549" s="290"/>
      <c r="AE549" s="290"/>
      <c r="AF549" s="290"/>
      <c r="AG549" s="290"/>
      <c r="AH549" s="290"/>
      <c r="AI549" s="290"/>
      <c r="AJ549" s="290"/>
      <c r="AK549" s="290"/>
      <c r="AL549" s="290"/>
      <c r="AM549" s="290"/>
      <c r="AN549" s="290"/>
      <c r="AO549" s="290"/>
      <c r="AP549" s="290"/>
      <c r="AQ549" s="290"/>
      <c r="AR549" s="290"/>
      <c r="AS549" s="290"/>
      <c r="AT549" s="290"/>
      <c r="AU549" s="290"/>
      <c r="AV549" s="290"/>
      <c r="AW549" s="290"/>
      <c r="AX549" s="290"/>
      <c r="AY549" s="290"/>
      <c r="AZ549" s="290"/>
      <c r="BA549" s="290"/>
      <c r="BB549" s="290"/>
      <c r="BC549" s="290"/>
      <c r="BD549" s="290"/>
      <c r="BE549" s="290"/>
      <c r="BF549" s="290"/>
      <c r="BG549" s="290"/>
      <c r="BH549" s="290"/>
      <c r="BI549" s="290"/>
      <c r="BJ549" s="290"/>
      <c r="BK549" s="290"/>
      <c r="BL549" s="290"/>
      <c r="BM549" s="290"/>
      <c r="BN549" s="290"/>
      <c r="BO549" s="290"/>
      <c r="BP549" s="290"/>
      <c r="BQ549" s="290"/>
      <c r="BR549" s="290"/>
      <c r="BS549" s="290"/>
      <c r="BT549" s="290"/>
      <c r="BU549" s="290"/>
      <c r="BV549" s="290"/>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row>
    <row r="550" customFormat="false" ht="15.75" hidden="false" customHeight="false" outlineLevel="0" collapsed="false">
      <c r="A550" s="290"/>
      <c r="B550" s="290"/>
      <c r="C550" s="290"/>
      <c r="D550" s="290"/>
      <c r="E550" s="290"/>
      <c r="F550" s="290"/>
      <c r="G550" s="290"/>
      <c r="H550" s="290"/>
      <c r="I550" s="290"/>
      <c r="J550" s="3"/>
      <c r="K550" s="290"/>
      <c r="L550" s="290"/>
      <c r="M550" s="290"/>
      <c r="N550" s="290"/>
      <c r="O550" s="290"/>
      <c r="P550" s="290"/>
      <c r="Q550" s="290"/>
      <c r="R550" s="290"/>
      <c r="S550" s="290"/>
      <c r="T550" s="290"/>
      <c r="U550" s="290"/>
      <c r="V550" s="290"/>
      <c r="W550" s="290"/>
      <c r="X550" s="290"/>
      <c r="Y550" s="290"/>
      <c r="Z550" s="290"/>
      <c r="AA550" s="290"/>
      <c r="AB550" s="290"/>
      <c r="AC550" s="290"/>
      <c r="AD550" s="290"/>
      <c r="AE550" s="290"/>
      <c r="AF550" s="290"/>
      <c r="AG550" s="290"/>
      <c r="AH550" s="290"/>
      <c r="AI550" s="290"/>
      <c r="AJ550" s="290"/>
      <c r="AK550" s="290"/>
      <c r="AL550" s="290"/>
      <c r="AM550" s="290"/>
      <c r="AN550" s="290"/>
      <c r="AO550" s="290"/>
      <c r="AP550" s="290"/>
      <c r="AQ550" s="290"/>
      <c r="AR550" s="290"/>
      <c r="AS550" s="290"/>
      <c r="AT550" s="290"/>
      <c r="AU550" s="290"/>
      <c r="AV550" s="290"/>
      <c r="AW550" s="290"/>
      <c r="AX550" s="290"/>
      <c r="AY550" s="290"/>
      <c r="AZ550" s="290"/>
      <c r="BA550" s="290"/>
      <c r="BB550" s="290"/>
      <c r="BC550" s="290"/>
      <c r="BD550" s="290"/>
      <c r="BE550" s="290"/>
      <c r="BF550" s="290"/>
      <c r="BG550" s="290"/>
      <c r="BH550" s="290"/>
      <c r="BI550" s="290"/>
      <c r="BJ550" s="290"/>
      <c r="BK550" s="290"/>
      <c r="BL550" s="290"/>
      <c r="BM550" s="290"/>
      <c r="BN550" s="290"/>
      <c r="BO550" s="290"/>
      <c r="BP550" s="290"/>
      <c r="BQ550" s="290"/>
      <c r="BR550" s="290"/>
      <c r="BS550" s="290"/>
      <c r="BT550" s="290"/>
      <c r="BU550" s="290"/>
      <c r="BV550" s="290"/>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row>
    <row r="551" customFormat="false" ht="15.75" hidden="false" customHeight="false" outlineLevel="0" collapsed="false">
      <c r="A551" s="290"/>
      <c r="B551" s="290"/>
      <c r="C551" s="290"/>
      <c r="D551" s="290"/>
      <c r="E551" s="290"/>
      <c r="F551" s="290"/>
      <c r="G551" s="290"/>
      <c r="H551" s="290"/>
      <c r="I551" s="290"/>
      <c r="J551" s="3"/>
      <c r="K551" s="290"/>
      <c r="L551" s="290"/>
      <c r="M551" s="290"/>
      <c r="N551" s="290"/>
      <c r="O551" s="290"/>
      <c r="P551" s="290"/>
      <c r="Q551" s="290"/>
      <c r="R551" s="290"/>
      <c r="S551" s="290"/>
      <c r="T551" s="290"/>
      <c r="U551" s="290"/>
      <c r="V551" s="290"/>
      <c r="W551" s="290"/>
      <c r="X551" s="290"/>
      <c r="Y551" s="290"/>
      <c r="Z551" s="290"/>
      <c r="AA551" s="290"/>
      <c r="AB551" s="290"/>
      <c r="AC551" s="290"/>
      <c r="AD551" s="290"/>
      <c r="AE551" s="290"/>
      <c r="AF551" s="290"/>
      <c r="AG551" s="290"/>
      <c r="AH551" s="290"/>
      <c r="AI551" s="290"/>
      <c r="AJ551" s="290"/>
      <c r="AK551" s="290"/>
      <c r="AL551" s="290"/>
      <c r="AM551" s="290"/>
      <c r="AN551" s="290"/>
      <c r="AO551" s="290"/>
      <c r="AP551" s="290"/>
      <c r="AQ551" s="290"/>
      <c r="AR551" s="290"/>
      <c r="AS551" s="290"/>
      <c r="AT551" s="290"/>
      <c r="AU551" s="290"/>
      <c r="AV551" s="290"/>
      <c r="AW551" s="290"/>
      <c r="AX551" s="290"/>
      <c r="AY551" s="290"/>
      <c r="AZ551" s="290"/>
      <c r="BA551" s="290"/>
      <c r="BB551" s="290"/>
      <c r="BC551" s="290"/>
      <c r="BD551" s="290"/>
      <c r="BE551" s="290"/>
      <c r="BF551" s="290"/>
      <c r="BG551" s="290"/>
      <c r="BH551" s="290"/>
      <c r="BI551" s="290"/>
      <c r="BJ551" s="290"/>
      <c r="BK551" s="290"/>
      <c r="BL551" s="290"/>
      <c r="BM551" s="290"/>
      <c r="BN551" s="290"/>
      <c r="BO551" s="290"/>
      <c r="BP551" s="290"/>
      <c r="BQ551" s="290"/>
      <c r="BR551" s="290"/>
      <c r="BS551" s="290"/>
      <c r="BT551" s="290"/>
      <c r="BU551" s="290"/>
      <c r="BV551" s="290"/>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row>
    <row r="552" customFormat="false" ht="15.75" hidden="false" customHeight="false" outlineLevel="0" collapsed="false">
      <c r="A552" s="290"/>
      <c r="B552" s="290"/>
      <c r="C552" s="290"/>
      <c r="D552" s="290"/>
      <c r="E552" s="290"/>
      <c r="F552" s="290"/>
      <c r="G552" s="290"/>
      <c r="H552" s="290"/>
      <c r="I552" s="290"/>
      <c r="J552" s="3"/>
      <c r="K552" s="290"/>
      <c r="L552" s="290"/>
      <c r="M552" s="290"/>
      <c r="N552" s="290"/>
      <c r="O552" s="290"/>
      <c r="P552" s="290"/>
      <c r="Q552" s="290"/>
      <c r="R552" s="290"/>
      <c r="S552" s="290"/>
      <c r="T552" s="290"/>
      <c r="U552" s="290"/>
      <c r="V552" s="290"/>
      <c r="W552" s="290"/>
      <c r="X552" s="290"/>
      <c r="Y552" s="290"/>
      <c r="Z552" s="290"/>
      <c r="AA552" s="290"/>
      <c r="AB552" s="290"/>
      <c r="AC552" s="290"/>
      <c r="AD552" s="290"/>
      <c r="AE552" s="290"/>
      <c r="AF552" s="290"/>
      <c r="AG552" s="290"/>
      <c r="AH552" s="290"/>
      <c r="AI552" s="290"/>
      <c r="AJ552" s="290"/>
      <c r="AK552" s="290"/>
      <c r="AL552" s="290"/>
      <c r="AM552" s="290"/>
      <c r="AN552" s="290"/>
      <c r="AO552" s="290"/>
      <c r="AP552" s="290"/>
      <c r="AQ552" s="290"/>
      <c r="AR552" s="290"/>
      <c r="AS552" s="290"/>
      <c r="AT552" s="290"/>
      <c r="AU552" s="290"/>
      <c r="AV552" s="290"/>
      <c r="AW552" s="290"/>
      <c r="AX552" s="290"/>
      <c r="AY552" s="290"/>
      <c r="AZ552" s="290"/>
      <c r="BA552" s="290"/>
      <c r="BB552" s="290"/>
      <c r="BC552" s="290"/>
      <c r="BD552" s="290"/>
      <c r="BE552" s="290"/>
      <c r="BF552" s="290"/>
      <c r="BG552" s="290"/>
      <c r="BH552" s="290"/>
      <c r="BI552" s="290"/>
      <c r="BJ552" s="290"/>
      <c r="BK552" s="290"/>
      <c r="BL552" s="290"/>
      <c r="BM552" s="290"/>
      <c r="BN552" s="290"/>
      <c r="BO552" s="290"/>
      <c r="BP552" s="290"/>
      <c r="BQ552" s="290"/>
      <c r="BR552" s="290"/>
      <c r="BS552" s="290"/>
      <c r="BT552" s="290"/>
      <c r="BU552" s="290"/>
      <c r="BV552" s="290"/>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row>
    <row r="553" customFormat="false" ht="15.75" hidden="false" customHeight="false" outlineLevel="0" collapsed="false">
      <c r="A553" s="290"/>
      <c r="B553" s="290"/>
      <c r="C553" s="290"/>
      <c r="D553" s="290"/>
      <c r="E553" s="290"/>
      <c r="F553" s="290"/>
      <c r="G553" s="290"/>
      <c r="H553" s="290"/>
      <c r="I553" s="290"/>
      <c r="J553" s="3"/>
      <c r="K553" s="290"/>
      <c r="L553" s="290"/>
      <c r="M553" s="290"/>
      <c r="N553" s="290"/>
      <c r="O553" s="290"/>
      <c r="P553" s="290"/>
      <c r="Q553" s="290"/>
      <c r="R553" s="290"/>
      <c r="S553" s="290"/>
      <c r="T553" s="290"/>
      <c r="U553" s="290"/>
      <c r="V553" s="290"/>
      <c r="W553" s="290"/>
      <c r="X553" s="290"/>
      <c r="Y553" s="290"/>
      <c r="Z553" s="290"/>
      <c r="AA553" s="290"/>
      <c r="AB553" s="290"/>
      <c r="AC553" s="290"/>
      <c r="AD553" s="290"/>
      <c r="AE553" s="290"/>
      <c r="AF553" s="290"/>
      <c r="AG553" s="290"/>
      <c r="AH553" s="290"/>
      <c r="AI553" s="290"/>
      <c r="AJ553" s="290"/>
      <c r="AK553" s="290"/>
      <c r="AL553" s="290"/>
      <c r="AM553" s="290"/>
      <c r="AN553" s="290"/>
      <c r="AO553" s="290"/>
      <c r="AP553" s="290"/>
      <c r="AQ553" s="290"/>
      <c r="AR553" s="290"/>
      <c r="AS553" s="290"/>
      <c r="AT553" s="290"/>
      <c r="AU553" s="290"/>
      <c r="AV553" s="290"/>
      <c r="AW553" s="290"/>
      <c r="AX553" s="290"/>
      <c r="AY553" s="290"/>
      <c r="AZ553" s="290"/>
      <c r="BA553" s="290"/>
      <c r="BB553" s="290"/>
      <c r="BC553" s="290"/>
      <c r="BD553" s="290"/>
      <c r="BE553" s="290"/>
      <c r="BF553" s="290"/>
      <c r="BG553" s="290"/>
      <c r="BH553" s="290"/>
      <c r="BI553" s="290"/>
      <c r="BJ553" s="290"/>
      <c r="BK553" s="290"/>
      <c r="BL553" s="290"/>
      <c r="BM553" s="290"/>
      <c r="BN553" s="290"/>
      <c r="BO553" s="290"/>
      <c r="BP553" s="290"/>
      <c r="BQ553" s="290"/>
      <c r="BR553" s="290"/>
      <c r="BS553" s="290"/>
      <c r="BT553" s="290"/>
      <c r="BU553" s="290"/>
      <c r="BV553" s="290"/>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row>
    <row r="554" customFormat="false" ht="15.75" hidden="false" customHeight="false" outlineLevel="0" collapsed="false">
      <c r="A554" s="290"/>
      <c r="B554" s="290"/>
      <c r="C554" s="290"/>
      <c r="D554" s="290"/>
      <c r="E554" s="290"/>
      <c r="F554" s="290"/>
      <c r="G554" s="290"/>
      <c r="H554" s="290"/>
      <c r="I554" s="290"/>
      <c r="J554" s="3"/>
      <c r="K554" s="290"/>
      <c r="L554" s="290"/>
      <c r="M554" s="290"/>
      <c r="N554" s="290"/>
      <c r="O554" s="290"/>
      <c r="P554" s="290"/>
      <c r="Q554" s="290"/>
      <c r="R554" s="290"/>
      <c r="S554" s="290"/>
      <c r="T554" s="290"/>
      <c r="U554" s="290"/>
      <c r="V554" s="290"/>
      <c r="W554" s="290"/>
      <c r="X554" s="290"/>
      <c r="Y554" s="290"/>
      <c r="Z554" s="290"/>
      <c r="AA554" s="290"/>
      <c r="AB554" s="290"/>
      <c r="AC554" s="290"/>
      <c r="AD554" s="290"/>
      <c r="AE554" s="290"/>
      <c r="AF554" s="290"/>
      <c r="AG554" s="290"/>
      <c r="AH554" s="290"/>
      <c r="AI554" s="290"/>
      <c r="AJ554" s="290"/>
      <c r="AK554" s="290"/>
      <c r="AL554" s="290"/>
      <c r="AM554" s="290"/>
      <c r="AN554" s="290"/>
      <c r="AO554" s="290"/>
      <c r="AP554" s="290"/>
      <c r="AQ554" s="290"/>
      <c r="AR554" s="290"/>
      <c r="AS554" s="290"/>
      <c r="AT554" s="290"/>
      <c r="AU554" s="290"/>
      <c r="AV554" s="290"/>
      <c r="AW554" s="290"/>
      <c r="AX554" s="290"/>
      <c r="AY554" s="290"/>
      <c r="AZ554" s="290"/>
      <c r="BA554" s="290"/>
      <c r="BB554" s="290"/>
      <c r="BC554" s="290"/>
      <c r="BD554" s="290"/>
      <c r="BE554" s="290"/>
      <c r="BF554" s="290"/>
      <c r="BG554" s="290"/>
      <c r="BH554" s="290"/>
      <c r="BI554" s="290"/>
      <c r="BJ554" s="290"/>
      <c r="BK554" s="290"/>
      <c r="BL554" s="290"/>
      <c r="BM554" s="290"/>
      <c r="BN554" s="290"/>
      <c r="BO554" s="290"/>
      <c r="BP554" s="290"/>
      <c r="BQ554" s="290"/>
      <c r="BR554" s="290"/>
      <c r="BS554" s="290"/>
      <c r="BT554" s="290"/>
      <c r="BU554" s="290"/>
      <c r="BV554" s="290"/>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row>
    <row r="555" customFormat="false" ht="15.75" hidden="false" customHeight="false" outlineLevel="0" collapsed="false">
      <c r="A555" s="290"/>
      <c r="B555" s="290"/>
      <c r="C555" s="290"/>
      <c r="D555" s="290"/>
      <c r="E555" s="290"/>
      <c r="F555" s="290"/>
      <c r="G555" s="290"/>
      <c r="H555" s="290"/>
      <c r="I555" s="290"/>
      <c r="J555" s="3"/>
      <c r="K555" s="290"/>
      <c r="L555" s="290"/>
      <c r="M555" s="290"/>
      <c r="N555" s="290"/>
      <c r="O555" s="290"/>
      <c r="P555" s="290"/>
      <c r="Q555" s="290"/>
      <c r="R555" s="290"/>
      <c r="S555" s="290"/>
      <c r="T555" s="290"/>
      <c r="U555" s="290"/>
      <c r="V555" s="290"/>
      <c r="W555" s="290"/>
      <c r="X555" s="290"/>
      <c r="Y555" s="290"/>
      <c r="Z555" s="290"/>
      <c r="AA555" s="290"/>
      <c r="AB555" s="290"/>
      <c r="AC555" s="290"/>
      <c r="AD555" s="290"/>
      <c r="AE555" s="290"/>
      <c r="AF555" s="290"/>
      <c r="AG555" s="290"/>
      <c r="AH555" s="290"/>
      <c r="AI555" s="290"/>
      <c r="AJ555" s="290"/>
      <c r="AK555" s="290"/>
      <c r="AL555" s="290"/>
      <c r="AM555" s="290"/>
      <c r="AN555" s="290"/>
      <c r="AO555" s="290"/>
      <c r="AP555" s="290"/>
      <c r="AQ555" s="290"/>
      <c r="AR555" s="290"/>
      <c r="AS555" s="290"/>
      <c r="AT555" s="290"/>
      <c r="AU555" s="290"/>
      <c r="AV555" s="290"/>
      <c r="AW555" s="290"/>
      <c r="AX555" s="290"/>
      <c r="AY555" s="290"/>
      <c r="AZ555" s="290"/>
      <c r="BA555" s="290"/>
      <c r="BB555" s="290"/>
      <c r="BC555" s="290"/>
      <c r="BD555" s="290"/>
      <c r="BE555" s="290"/>
      <c r="BF555" s="290"/>
      <c r="BG555" s="290"/>
      <c r="BH555" s="290"/>
      <c r="BI555" s="290"/>
      <c r="BJ555" s="290"/>
      <c r="BK555" s="290"/>
      <c r="BL555" s="290"/>
      <c r="BM555" s="290"/>
      <c r="BN555" s="290"/>
      <c r="BO555" s="290"/>
      <c r="BP555" s="290"/>
      <c r="BQ555" s="290"/>
      <c r="BR555" s="290"/>
      <c r="BS555" s="290"/>
      <c r="BT555" s="290"/>
      <c r="BU555" s="290"/>
      <c r="BV555" s="290"/>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row>
    <row r="556" customFormat="false" ht="15.75" hidden="false" customHeight="false" outlineLevel="0" collapsed="false">
      <c r="A556" s="290"/>
      <c r="B556" s="290"/>
      <c r="C556" s="290"/>
      <c r="D556" s="290"/>
      <c r="E556" s="290"/>
      <c r="F556" s="290"/>
      <c r="G556" s="290"/>
      <c r="H556" s="290"/>
      <c r="I556" s="290"/>
      <c r="J556" s="3"/>
      <c r="K556" s="290"/>
      <c r="L556" s="290"/>
      <c r="M556" s="290"/>
      <c r="N556" s="290"/>
      <c r="O556" s="290"/>
      <c r="P556" s="290"/>
      <c r="Q556" s="290"/>
      <c r="R556" s="290"/>
      <c r="S556" s="290"/>
      <c r="T556" s="290"/>
      <c r="U556" s="290"/>
      <c r="V556" s="290"/>
      <c r="W556" s="290"/>
      <c r="X556" s="290"/>
      <c r="Y556" s="290"/>
      <c r="Z556" s="290"/>
      <c r="AA556" s="290"/>
      <c r="AB556" s="290"/>
      <c r="AC556" s="290"/>
      <c r="AD556" s="290"/>
      <c r="AE556" s="290"/>
      <c r="AF556" s="290"/>
      <c r="AG556" s="290"/>
      <c r="AH556" s="290"/>
      <c r="AI556" s="290"/>
      <c r="AJ556" s="290"/>
      <c r="AK556" s="290"/>
      <c r="AL556" s="290"/>
      <c r="AM556" s="290"/>
      <c r="AN556" s="290"/>
      <c r="AO556" s="290"/>
      <c r="AP556" s="290"/>
      <c r="AQ556" s="290"/>
      <c r="AR556" s="290"/>
      <c r="AS556" s="290"/>
      <c r="AT556" s="290"/>
      <c r="AU556" s="290"/>
      <c r="AV556" s="290"/>
      <c r="AW556" s="290"/>
      <c r="AX556" s="290"/>
      <c r="AY556" s="290"/>
      <c r="AZ556" s="290"/>
      <c r="BA556" s="290"/>
      <c r="BB556" s="290"/>
      <c r="BC556" s="290"/>
      <c r="BD556" s="290"/>
      <c r="BE556" s="290"/>
      <c r="BF556" s="290"/>
      <c r="BG556" s="290"/>
      <c r="BH556" s="290"/>
      <c r="BI556" s="290"/>
      <c r="BJ556" s="290"/>
      <c r="BK556" s="290"/>
      <c r="BL556" s="290"/>
      <c r="BM556" s="290"/>
      <c r="BN556" s="290"/>
      <c r="BO556" s="290"/>
      <c r="BP556" s="290"/>
      <c r="BQ556" s="290"/>
      <c r="BR556" s="290"/>
      <c r="BS556" s="290"/>
      <c r="BT556" s="290"/>
      <c r="BU556" s="290"/>
      <c r="BV556" s="290"/>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row>
    <row r="557" customFormat="false" ht="15.75" hidden="false" customHeight="false" outlineLevel="0" collapsed="false">
      <c r="A557" s="290"/>
      <c r="B557" s="290"/>
      <c r="C557" s="290"/>
      <c r="D557" s="290"/>
      <c r="E557" s="290"/>
      <c r="F557" s="290"/>
      <c r="G557" s="290"/>
      <c r="H557" s="290"/>
      <c r="I557" s="290"/>
      <c r="J557" s="3"/>
      <c r="K557" s="290"/>
      <c r="L557" s="290"/>
      <c r="M557" s="290"/>
      <c r="N557" s="290"/>
      <c r="O557" s="290"/>
      <c r="P557" s="290"/>
      <c r="Q557" s="290"/>
      <c r="R557" s="290"/>
      <c r="S557" s="290"/>
      <c r="T557" s="290"/>
      <c r="U557" s="290"/>
      <c r="V557" s="290"/>
      <c r="W557" s="290"/>
      <c r="X557" s="290"/>
      <c r="Y557" s="290"/>
      <c r="Z557" s="290"/>
      <c r="AA557" s="290"/>
      <c r="AB557" s="290"/>
      <c r="AC557" s="290"/>
      <c r="AD557" s="290"/>
      <c r="AE557" s="290"/>
      <c r="AF557" s="290"/>
      <c r="AG557" s="290"/>
      <c r="AH557" s="290"/>
      <c r="AI557" s="290"/>
      <c r="AJ557" s="290"/>
      <c r="AK557" s="290"/>
      <c r="AL557" s="290"/>
      <c r="AM557" s="290"/>
      <c r="AN557" s="290"/>
      <c r="AO557" s="290"/>
      <c r="AP557" s="290"/>
      <c r="AQ557" s="290"/>
      <c r="AR557" s="290"/>
      <c r="AS557" s="290"/>
      <c r="AT557" s="290"/>
      <c r="AU557" s="290"/>
      <c r="AV557" s="290"/>
      <c r="AW557" s="290"/>
      <c r="AX557" s="290"/>
      <c r="AY557" s="290"/>
      <c r="AZ557" s="290"/>
      <c r="BA557" s="290"/>
      <c r="BB557" s="290"/>
      <c r="BC557" s="290"/>
      <c r="BD557" s="290"/>
      <c r="BE557" s="290"/>
      <c r="BF557" s="290"/>
      <c r="BG557" s="290"/>
      <c r="BH557" s="290"/>
      <c r="BI557" s="290"/>
      <c r="BJ557" s="290"/>
      <c r="BK557" s="290"/>
      <c r="BL557" s="290"/>
      <c r="BM557" s="290"/>
      <c r="BN557" s="290"/>
      <c r="BO557" s="290"/>
      <c r="BP557" s="290"/>
      <c r="BQ557" s="290"/>
      <c r="BR557" s="290"/>
      <c r="BS557" s="290"/>
      <c r="BT557" s="290"/>
      <c r="BU557" s="290"/>
      <c r="BV557" s="290"/>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row>
    <row r="558" customFormat="false" ht="15.75" hidden="false" customHeight="false" outlineLevel="0" collapsed="false">
      <c r="A558" s="290"/>
      <c r="B558" s="290"/>
      <c r="C558" s="290"/>
      <c r="D558" s="290"/>
      <c r="E558" s="290"/>
      <c r="F558" s="290"/>
      <c r="G558" s="290"/>
      <c r="H558" s="290"/>
      <c r="I558" s="290"/>
      <c r="J558" s="3"/>
      <c r="K558" s="290"/>
      <c r="L558" s="290"/>
      <c r="M558" s="290"/>
      <c r="N558" s="290"/>
      <c r="O558" s="290"/>
      <c r="P558" s="290"/>
      <c r="Q558" s="290"/>
      <c r="R558" s="290"/>
      <c r="S558" s="290"/>
      <c r="T558" s="290"/>
      <c r="U558" s="290"/>
      <c r="V558" s="290"/>
      <c r="W558" s="290"/>
      <c r="X558" s="290"/>
      <c r="Y558" s="290"/>
      <c r="Z558" s="290"/>
      <c r="AA558" s="290"/>
      <c r="AB558" s="290"/>
      <c r="AC558" s="290"/>
      <c r="AD558" s="290"/>
      <c r="AE558" s="290"/>
      <c r="AF558" s="290"/>
      <c r="AG558" s="290"/>
      <c r="AH558" s="290"/>
      <c r="AI558" s="290"/>
      <c r="AJ558" s="290"/>
      <c r="AK558" s="290"/>
      <c r="AL558" s="290"/>
      <c r="AM558" s="290"/>
      <c r="AN558" s="290"/>
      <c r="AO558" s="290"/>
      <c r="AP558" s="290"/>
      <c r="AQ558" s="290"/>
      <c r="AR558" s="290"/>
      <c r="AS558" s="290"/>
      <c r="AT558" s="290"/>
      <c r="AU558" s="290"/>
      <c r="AV558" s="290"/>
      <c r="AW558" s="290"/>
      <c r="AX558" s="290"/>
      <c r="AY558" s="290"/>
      <c r="AZ558" s="290"/>
      <c r="BA558" s="290"/>
      <c r="BB558" s="290"/>
      <c r="BC558" s="290"/>
      <c r="BD558" s="290"/>
      <c r="BE558" s="290"/>
      <c r="BF558" s="290"/>
      <c r="BG558" s="290"/>
      <c r="BH558" s="290"/>
      <c r="BI558" s="290"/>
      <c r="BJ558" s="290"/>
      <c r="BK558" s="290"/>
      <c r="BL558" s="290"/>
      <c r="BM558" s="290"/>
      <c r="BN558" s="290"/>
      <c r="BO558" s="290"/>
      <c r="BP558" s="290"/>
      <c r="BQ558" s="290"/>
      <c r="BR558" s="290"/>
      <c r="BS558" s="290"/>
      <c r="BT558" s="290"/>
      <c r="BU558" s="290"/>
      <c r="BV558" s="290"/>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row>
    <row r="559" customFormat="false" ht="15.75" hidden="false" customHeight="false" outlineLevel="0" collapsed="false">
      <c r="A559" s="290"/>
      <c r="B559" s="290"/>
      <c r="C559" s="290"/>
      <c r="D559" s="290"/>
      <c r="E559" s="290"/>
      <c r="F559" s="290"/>
      <c r="G559" s="290"/>
      <c r="H559" s="290"/>
      <c r="I559" s="290"/>
      <c r="J559" s="3"/>
      <c r="K559" s="290"/>
      <c r="L559" s="290"/>
      <c r="M559" s="290"/>
      <c r="N559" s="290"/>
      <c r="O559" s="290"/>
      <c r="P559" s="290"/>
      <c r="Q559" s="290"/>
      <c r="R559" s="290"/>
      <c r="S559" s="290"/>
      <c r="T559" s="290"/>
      <c r="U559" s="290"/>
      <c r="V559" s="290"/>
      <c r="W559" s="290"/>
      <c r="X559" s="290"/>
      <c r="Y559" s="290"/>
      <c r="Z559" s="290"/>
      <c r="AA559" s="290"/>
      <c r="AB559" s="290"/>
      <c r="AC559" s="290"/>
      <c r="AD559" s="290"/>
      <c r="AE559" s="290"/>
      <c r="AF559" s="290"/>
      <c r="AG559" s="290"/>
      <c r="AH559" s="290"/>
      <c r="AI559" s="290"/>
      <c r="AJ559" s="290"/>
      <c r="AK559" s="290"/>
      <c r="AL559" s="290"/>
      <c r="AM559" s="290"/>
      <c r="AN559" s="290"/>
      <c r="AO559" s="290"/>
      <c r="AP559" s="290"/>
      <c r="AQ559" s="290"/>
      <c r="AR559" s="290"/>
      <c r="AS559" s="290"/>
      <c r="AT559" s="290"/>
      <c r="AU559" s="290"/>
      <c r="AV559" s="290"/>
      <c r="AW559" s="290"/>
      <c r="AX559" s="290"/>
      <c r="AY559" s="290"/>
      <c r="AZ559" s="290"/>
      <c r="BA559" s="290"/>
      <c r="BB559" s="290"/>
      <c r="BC559" s="290"/>
      <c r="BD559" s="290"/>
      <c r="BE559" s="290"/>
      <c r="BF559" s="290"/>
      <c r="BG559" s="290"/>
      <c r="BH559" s="290"/>
      <c r="BI559" s="290"/>
      <c r="BJ559" s="290"/>
      <c r="BK559" s="290"/>
      <c r="BL559" s="290"/>
      <c r="BM559" s="290"/>
      <c r="BN559" s="290"/>
      <c r="BO559" s="290"/>
      <c r="BP559" s="290"/>
      <c r="BQ559" s="290"/>
      <c r="BR559" s="290"/>
      <c r="BS559" s="290"/>
      <c r="BT559" s="290"/>
      <c r="BU559" s="290"/>
      <c r="BV559" s="290"/>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row>
    <row r="560" customFormat="false" ht="15.75" hidden="false" customHeight="false" outlineLevel="0" collapsed="false">
      <c r="A560" s="290"/>
      <c r="B560" s="290"/>
      <c r="C560" s="290"/>
      <c r="D560" s="290"/>
      <c r="E560" s="290"/>
      <c r="F560" s="290"/>
      <c r="G560" s="290"/>
      <c r="H560" s="290"/>
      <c r="I560" s="290"/>
      <c r="J560" s="3"/>
      <c r="K560" s="290"/>
      <c r="L560" s="290"/>
      <c r="M560" s="290"/>
      <c r="N560" s="290"/>
      <c r="O560" s="290"/>
      <c r="P560" s="290"/>
      <c r="Q560" s="290"/>
      <c r="R560" s="290"/>
      <c r="S560" s="290"/>
      <c r="T560" s="290"/>
      <c r="U560" s="290"/>
      <c r="V560" s="290"/>
      <c r="W560" s="290"/>
      <c r="X560" s="290"/>
      <c r="Y560" s="290"/>
      <c r="Z560" s="290"/>
      <c r="AA560" s="290"/>
      <c r="AB560" s="290"/>
      <c r="AC560" s="290"/>
      <c r="AD560" s="290"/>
      <c r="AE560" s="290"/>
      <c r="AF560" s="290"/>
      <c r="AG560" s="290"/>
      <c r="AH560" s="290"/>
      <c r="AI560" s="290"/>
      <c r="AJ560" s="290"/>
      <c r="AK560" s="290"/>
      <c r="AL560" s="290"/>
      <c r="AM560" s="290"/>
      <c r="AN560" s="290"/>
      <c r="AO560" s="290"/>
      <c r="AP560" s="290"/>
      <c r="AQ560" s="290"/>
      <c r="AR560" s="290"/>
      <c r="AS560" s="290"/>
      <c r="AT560" s="290"/>
      <c r="AU560" s="290"/>
      <c r="AV560" s="290"/>
      <c r="AW560" s="290"/>
      <c r="AX560" s="290"/>
      <c r="AY560" s="290"/>
      <c r="AZ560" s="290"/>
      <c r="BA560" s="290"/>
      <c r="BB560" s="290"/>
      <c r="BC560" s="290"/>
      <c r="BD560" s="290"/>
      <c r="BE560" s="290"/>
      <c r="BF560" s="290"/>
      <c r="BG560" s="290"/>
      <c r="BH560" s="290"/>
      <c r="BI560" s="290"/>
      <c r="BJ560" s="290"/>
      <c r="BK560" s="290"/>
      <c r="BL560" s="290"/>
      <c r="BM560" s="290"/>
      <c r="BN560" s="290"/>
      <c r="BO560" s="290"/>
      <c r="BP560" s="290"/>
      <c r="BQ560" s="290"/>
      <c r="BR560" s="290"/>
      <c r="BS560" s="290"/>
      <c r="BT560" s="290"/>
      <c r="BU560" s="290"/>
      <c r="BV560" s="290"/>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row>
    <row r="561" customFormat="false" ht="15.75" hidden="false" customHeight="false" outlineLevel="0" collapsed="false">
      <c r="A561" s="290"/>
      <c r="B561" s="290"/>
      <c r="C561" s="290"/>
      <c r="D561" s="290"/>
      <c r="E561" s="290"/>
      <c r="F561" s="290"/>
      <c r="G561" s="290"/>
      <c r="H561" s="290"/>
      <c r="I561" s="290"/>
      <c r="J561" s="3"/>
      <c r="K561" s="290"/>
      <c r="L561" s="290"/>
      <c r="M561" s="290"/>
      <c r="N561" s="290"/>
      <c r="O561" s="290"/>
      <c r="P561" s="290"/>
      <c r="Q561" s="290"/>
      <c r="R561" s="290"/>
      <c r="S561" s="290"/>
      <c r="T561" s="290"/>
      <c r="U561" s="290"/>
      <c r="V561" s="290"/>
      <c r="W561" s="290"/>
      <c r="X561" s="290"/>
      <c r="Y561" s="290"/>
      <c r="Z561" s="290"/>
      <c r="AA561" s="290"/>
      <c r="AB561" s="290"/>
      <c r="AC561" s="290"/>
      <c r="AD561" s="290"/>
      <c r="AE561" s="290"/>
      <c r="AF561" s="290"/>
      <c r="AG561" s="290"/>
      <c r="AH561" s="290"/>
      <c r="AI561" s="290"/>
      <c r="AJ561" s="290"/>
      <c r="AK561" s="290"/>
      <c r="AL561" s="290"/>
      <c r="AM561" s="290"/>
      <c r="AN561" s="290"/>
      <c r="AO561" s="290"/>
      <c r="AP561" s="290"/>
      <c r="AQ561" s="290"/>
      <c r="AR561" s="290"/>
      <c r="AS561" s="290"/>
      <c r="AT561" s="290"/>
      <c r="AU561" s="290"/>
      <c r="AV561" s="290"/>
      <c r="AW561" s="290"/>
      <c r="AX561" s="290"/>
      <c r="AY561" s="290"/>
      <c r="AZ561" s="290"/>
      <c r="BA561" s="290"/>
      <c r="BB561" s="290"/>
      <c r="BC561" s="290"/>
      <c r="BD561" s="290"/>
      <c r="BE561" s="290"/>
      <c r="BF561" s="290"/>
      <c r="BG561" s="290"/>
      <c r="BH561" s="290"/>
      <c r="BI561" s="290"/>
      <c r="BJ561" s="290"/>
      <c r="BK561" s="290"/>
      <c r="BL561" s="290"/>
      <c r="BM561" s="290"/>
      <c r="BN561" s="290"/>
      <c r="BO561" s="290"/>
      <c r="BP561" s="290"/>
      <c r="BQ561" s="290"/>
      <c r="BR561" s="290"/>
      <c r="BS561" s="290"/>
      <c r="BT561" s="290"/>
      <c r="BU561" s="290"/>
      <c r="BV561" s="290"/>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row>
    <row r="562" customFormat="false" ht="15.75" hidden="false" customHeight="false" outlineLevel="0" collapsed="false">
      <c r="A562" s="290"/>
      <c r="B562" s="290"/>
      <c r="C562" s="290"/>
      <c r="D562" s="290"/>
      <c r="E562" s="290"/>
      <c r="F562" s="290"/>
      <c r="G562" s="290"/>
      <c r="H562" s="290"/>
      <c r="I562" s="290"/>
      <c r="J562" s="3"/>
      <c r="K562" s="290"/>
      <c r="L562" s="290"/>
      <c r="M562" s="290"/>
      <c r="N562" s="290"/>
      <c r="O562" s="290"/>
      <c r="P562" s="290"/>
      <c r="Q562" s="290"/>
      <c r="R562" s="290"/>
      <c r="S562" s="290"/>
      <c r="T562" s="290"/>
      <c r="U562" s="290"/>
      <c r="V562" s="290"/>
      <c r="W562" s="290"/>
      <c r="X562" s="290"/>
      <c r="Y562" s="290"/>
      <c r="Z562" s="290"/>
      <c r="AA562" s="290"/>
      <c r="AB562" s="290"/>
      <c r="AC562" s="290"/>
      <c r="AD562" s="290"/>
      <c r="AE562" s="290"/>
      <c r="AF562" s="290"/>
      <c r="AG562" s="290"/>
      <c r="AH562" s="290"/>
      <c r="AI562" s="290"/>
      <c r="AJ562" s="290"/>
      <c r="AK562" s="290"/>
      <c r="AL562" s="290"/>
      <c r="AM562" s="290"/>
      <c r="AN562" s="290"/>
      <c r="AO562" s="290"/>
      <c r="AP562" s="290"/>
      <c r="AQ562" s="290"/>
      <c r="AR562" s="290"/>
      <c r="AS562" s="290"/>
      <c r="AT562" s="290"/>
      <c r="AU562" s="290"/>
      <c r="AV562" s="290"/>
      <c r="AW562" s="290"/>
      <c r="AX562" s="290"/>
      <c r="AY562" s="290"/>
      <c r="AZ562" s="290"/>
      <c r="BA562" s="290"/>
      <c r="BB562" s="290"/>
      <c r="BC562" s="290"/>
      <c r="BD562" s="290"/>
      <c r="BE562" s="290"/>
      <c r="BF562" s="290"/>
      <c r="BG562" s="290"/>
      <c r="BH562" s="290"/>
      <c r="BI562" s="290"/>
      <c r="BJ562" s="290"/>
      <c r="BK562" s="290"/>
      <c r="BL562" s="290"/>
      <c r="BM562" s="290"/>
      <c r="BN562" s="290"/>
      <c r="BO562" s="290"/>
      <c r="BP562" s="290"/>
      <c r="BQ562" s="290"/>
      <c r="BR562" s="290"/>
      <c r="BS562" s="290"/>
      <c r="BT562" s="290"/>
      <c r="BU562" s="290"/>
      <c r="BV562" s="290"/>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row>
    <row r="563" customFormat="false" ht="15.75" hidden="false" customHeight="false" outlineLevel="0" collapsed="false">
      <c r="A563" s="290"/>
      <c r="B563" s="290"/>
      <c r="C563" s="290"/>
      <c r="D563" s="290"/>
      <c r="E563" s="290"/>
      <c r="F563" s="290"/>
      <c r="G563" s="290"/>
      <c r="H563" s="290"/>
      <c r="I563" s="290"/>
      <c r="J563" s="3"/>
      <c r="K563" s="290"/>
      <c r="L563" s="290"/>
      <c r="M563" s="290"/>
      <c r="N563" s="290"/>
      <c r="O563" s="290"/>
      <c r="P563" s="290"/>
      <c r="Q563" s="290"/>
      <c r="R563" s="290"/>
      <c r="S563" s="290"/>
      <c r="T563" s="290"/>
      <c r="U563" s="290"/>
      <c r="V563" s="290"/>
      <c r="W563" s="290"/>
      <c r="X563" s="290"/>
      <c r="Y563" s="290"/>
      <c r="Z563" s="290"/>
      <c r="AA563" s="290"/>
      <c r="AB563" s="290"/>
      <c r="AC563" s="290"/>
      <c r="AD563" s="290"/>
      <c r="AE563" s="290"/>
      <c r="AF563" s="290"/>
      <c r="AG563" s="290"/>
      <c r="AH563" s="290"/>
      <c r="AI563" s="290"/>
      <c r="AJ563" s="290"/>
      <c r="AK563" s="290"/>
      <c r="AL563" s="290"/>
      <c r="AM563" s="290"/>
      <c r="AN563" s="290"/>
      <c r="AO563" s="290"/>
      <c r="AP563" s="290"/>
      <c r="AQ563" s="290"/>
      <c r="AR563" s="290"/>
      <c r="AS563" s="290"/>
      <c r="AT563" s="290"/>
      <c r="AU563" s="290"/>
      <c r="AV563" s="290"/>
      <c r="AW563" s="290"/>
      <c r="AX563" s="290"/>
      <c r="AY563" s="290"/>
      <c r="AZ563" s="290"/>
      <c r="BA563" s="290"/>
      <c r="BB563" s="290"/>
      <c r="BC563" s="290"/>
      <c r="BD563" s="290"/>
      <c r="BE563" s="290"/>
      <c r="BF563" s="290"/>
      <c r="BG563" s="290"/>
      <c r="BH563" s="290"/>
      <c r="BI563" s="290"/>
      <c r="BJ563" s="290"/>
      <c r="BK563" s="290"/>
      <c r="BL563" s="290"/>
      <c r="BM563" s="290"/>
      <c r="BN563" s="290"/>
      <c r="BO563" s="290"/>
      <c r="BP563" s="290"/>
      <c r="BQ563" s="290"/>
      <c r="BR563" s="290"/>
      <c r="BS563" s="290"/>
      <c r="BT563" s="290"/>
      <c r="BU563" s="290"/>
      <c r="BV563" s="290"/>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row>
    <row r="564" customFormat="false" ht="15.75" hidden="false" customHeight="false" outlineLevel="0" collapsed="false">
      <c r="A564" s="290"/>
      <c r="B564" s="290"/>
      <c r="C564" s="290"/>
      <c r="D564" s="290"/>
      <c r="E564" s="290"/>
      <c r="F564" s="290"/>
      <c r="G564" s="290"/>
      <c r="H564" s="290"/>
      <c r="I564" s="290"/>
      <c r="J564" s="3"/>
      <c r="K564" s="290"/>
      <c r="L564" s="290"/>
      <c r="M564" s="290"/>
      <c r="N564" s="290"/>
      <c r="O564" s="290"/>
      <c r="P564" s="290"/>
      <c r="Q564" s="290"/>
      <c r="R564" s="290"/>
      <c r="S564" s="290"/>
      <c r="T564" s="290"/>
      <c r="U564" s="290"/>
      <c r="V564" s="290"/>
      <c r="W564" s="290"/>
      <c r="X564" s="290"/>
      <c r="Y564" s="290"/>
      <c r="Z564" s="290"/>
      <c r="AA564" s="290"/>
      <c r="AB564" s="290"/>
      <c r="AC564" s="290"/>
      <c r="AD564" s="290"/>
      <c r="AE564" s="290"/>
      <c r="AF564" s="290"/>
      <c r="AG564" s="290"/>
      <c r="AH564" s="290"/>
      <c r="AI564" s="290"/>
      <c r="AJ564" s="290"/>
      <c r="AK564" s="290"/>
      <c r="AL564" s="290"/>
      <c r="AM564" s="290"/>
      <c r="AN564" s="290"/>
      <c r="AO564" s="290"/>
      <c r="AP564" s="290"/>
      <c r="AQ564" s="290"/>
      <c r="AR564" s="290"/>
      <c r="AS564" s="290"/>
      <c r="AT564" s="290"/>
      <c r="AU564" s="290"/>
      <c r="AV564" s="290"/>
      <c r="AW564" s="290"/>
      <c r="AX564" s="290"/>
      <c r="AY564" s="290"/>
      <c r="AZ564" s="290"/>
      <c r="BA564" s="290"/>
      <c r="BB564" s="290"/>
      <c r="BC564" s="290"/>
      <c r="BD564" s="290"/>
      <c r="BE564" s="290"/>
      <c r="BF564" s="290"/>
      <c r="BG564" s="290"/>
      <c r="BH564" s="290"/>
      <c r="BI564" s="290"/>
      <c r="BJ564" s="290"/>
      <c r="BK564" s="290"/>
      <c r="BL564" s="290"/>
      <c r="BM564" s="290"/>
      <c r="BN564" s="290"/>
      <c r="BO564" s="290"/>
      <c r="BP564" s="290"/>
      <c r="BQ564" s="290"/>
      <c r="BR564" s="290"/>
      <c r="BS564" s="290"/>
      <c r="BT564" s="290"/>
      <c r="BU564" s="290"/>
      <c r="BV564" s="290"/>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row>
    <row r="565" customFormat="false" ht="15.75" hidden="false" customHeight="false" outlineLevel="0" collapsed="false">
      <c r="A565" s="290"/>
      <c r="B565" s="290"/>
      <c r="C565" s="290"/>
      <c r="D565" s="290"/>
      <c r="E565" s="290"/>
      <c r="F565" s="290"/>
      <c r="G565" s="290"/>
      <c r="H565" s="290"/>
      <c r="I565" s="290"/>
      <c r="J565" s="3"/>
      <c r="K565" s="290"/>
      <c r="L565" s="290"/>
      <c r="M565" s="290"/>
      <c r="N565" s="290"/>
      <c r="O565" s="290"/>
      <c r="P565" s="290"/>
      <c r="Q565" s="290"/>
      <c r="R565" s="290"/>
      <c r="S565" s="290"/>
      <c r="T565" s="290"/>
      <c r="U565" s="290"/>
      <c r="V565" s="290"/>
      <c r="W565" s="290"/>
      <c r="X565" s="290"/>
      <c r="Y565" s="290"/>
      <c r="Z565" s="290"/>
      <c r="AA565" s="290"/>
      <c r="AB565" s="290"/>
      <c r="AC565" s="290"/>
      <c r="AD565" s="290"/>
      <c r="AE565" s="290"/>
      <c r="AF565" s="290"/>
      <c r="AG565" s="290"/>
      <c r="AH565" s="290"/>
      <c r="AI565" s="290"/>
      <c r="AJ565" s="290"/>
      <c r="AK565" s="290"/>
      <c r="AL565" s="290"/>
      <c r="AM565" s="290"/>
      <c r="AN565" s="290"/>
      <c r="AO565" s="290"/>
      <c r="AP565" s="290"/>
      <c r="AQ565" s="290"/>
      <c r="AR565" s="290"/>
      <c r="AS565" s="290"/>
      <c r="AT565" s="290"/>
      <c r="AU565" s="290"/>
      <c r="AV565" s="290"/>
      <c r="AW565" s="290"/>
      <c r="AX565" s="290"/>
      <c r="AY565" s="290"/>
      <c r="AZ565" s="290"/>
      <c r="BA565" s="290"/>
      <c r="BB565" s="290"/>
      <c r="BC565" s="290"/>
      <c r="BD565" s="290"/>
      <c r="BE565" s="290"/>
      <c r="BF565" s="290"/>
      <c r="BG565" s="290"/>
      <c r="BH565" s="290"/>
      <c r="BI565" s="290"/>
      <c r="BJ565" s="290"/>
      <c r="BK565" s="290"/>
      <c r="BL565" s="290"/>
      <c r="BM565" s="290"/>
      <c r="BN565" s="290"/>
      <c r="BO565" s="290"/>
      <c r="BP565" s="290"/>
      <c r="BQ565" s="290"/>
      <c r="BR565" s="290"/>
      <c r="BS565" s="290"/>
      <c r="BT565" s="290"/>
      <c r="BU565" s="290"/>
      <c r="BV565" s="290"/>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row>
    <row r="566" customFormat="false" ht="15.75" hidden="false" customHeight="false" outlineLevel="0" collapsed="false">
      <c r="A566" s="290"/>
      <c r="B566" s="290"/>
      <c r="C566" s="290"/>
      <c r="D566" s="290"/>
      <c r="E566" s="290"/>
      <c r="F566" s="290"/>
      <c r="G566" s="290"/>
      <c r="H566" s="290"/>
      <c r="I566" s="290"/>
      <c r="J566" s="3"/>
      <c r="K566" s="290"/>
      <c r="L566" s="290"/>
      <c r="M566" s="290"/>
      <c r="N566" s="290"/>
      <c r="O566" s="290"/>
      <c r="P566" s="290"/>
      <c r="Q566" s="290"/>
      <c r="R566" s="290"/>
      <c r="S566" s="290"/>
      <c r="T566" s="290"/>
      <c r="U566" s="290"/>
      <c r="V566" s="290"/>
      <c r="W566" s="290"/>
      <c r="X566" s="290"/>
      <c r="Y566" s="290"/>
      <c r="Z566" s="290"/>
      <c r="AA566" s="290"/>
      <c r="AB566" s="290"/>
      <c r="AC566" s="290"/>
      <c r="AD566" s="290"/>
      <c r="AE566" s="290"/>
      <c r="AF566" s="290"/>
      <c r="AG566" s="290"/>
      <c r="AH566" s="290"/>
      <c r="AI566" s="290"/>
      <c r="AJ566" s="290"/>
      <c r="AK566" s="290"/>
      <c r="AL566" s="290"/>
      <c r="AM566" s="290"/>
      <c r="AN566" s="290"/>
      <c r="AO566" s="290"/>
      <c r="AP566" s="290"/>
      <c r="AQ566" s="290"/>
      <c r="AR566" s="290"/>
      <c r="AS566" s="290"/>
      <c r="AT566" s="290"/>
      <c r="AU566" s="290"/>
      <c r="AV566" s="290"/>
      <c r="AW566" s="290"/>
      <c r="AX566" s="290"/>
      <c r="AY566" s="290"/>
      <c r="AZ566" s="290"/>
      <c r="BA566" s="290"/>
      <c r="BB566" s="290"/>
      <c r="BC566" s="290"/>
      <c r="BD566" s="290"/>
      <c r="BE566" s="290"/>
      <c r="BF566" s="290"/>
      <c r="BG566" s="290"/>
      <c r="BH566" s="290"/>
      <c r="BI566" s="290"/>
      <c r="BJ566" s="290"/>
      <c r="BK566" s="290"/>
      <c r="BL566" s="290"/>
      <c r="BM566" s="290"/>
      <c r="BN566" s="290"/>
      <c r="BO566" s="290"/>
      <c r="BP566" s="290"/>
      <c r="BQ566" s="290"/>
      <c r="BR566" s="290"/>
      <c r="BS566" s="290"/>
      <c r="BT566" s="290"/>
      <c r="BU566" s="290"/>
      <c r="BV566" s="290"/>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row>
    <row r="567" customFormat="false" ht="15.75" hidden="false" customHeight="false" outlineLevel="0" collapsed="false">
      <c r="A567" s="290"/>
      <c r="B567" s="290"/>
      <c r="C567" s="290"/>
      <c r="D567" s="290"/>
      <c r="E567" s="290"/>
      <c r="F567" s="290"/>
      <c r="G567" s="290"/>
      <c r="H567" s="290"/>
      <c r="I567" s="290"/>
      <c r="J567" s="3"/>
      <c r="K567" s="290"/>
      <c r="L567" s="290"/>
      <c r="M567" s="290"/>
      <c r="N567" s="290"/>
      <c r="O567" s="290"/>
      <c r="P567" s="290"/>
      <c r="Q567" s="290"/>
      <c r="R567" s="290"/>
      <c r="S567" s="290"/>
      <c r="T567" s="290"/>
      <c r="U567" s="290"/>
      <c r="V567" s="290"/>
      <c r="W567" s="290"/>
      <c r="X567" s="290"/>
      <c r="Y567" s="290"/>
      <c r="Z567" s="290"/>
      <c r="AA567" s="290"/>
      <c r="AB567" s="290"/>
      <c r="AC567" s="290"/>
      <c r="AD567" s="290"/>
      <c r="AE567" s="290"/>
      <c r="AF567" s="290"/>
      <c r="AG567" s="290"/>
      <c r="AH567" s="290"/>
      <c r="AI567" s="290"/>
      <c r="AJ567" s="290"/>
      <c r="AK567" s="290"/>
      <c r="AL567" s="290"/>
      <c r="AM567" s="290"/>
      <c r="AN567" s="290"/>
      <c r="AO567" s="290"/>
      <c r="AP567" s="290"/>
      <c r="AQ567" s="290"/>
      <c r="AR567" s="290"/>
      <c r="AS567" s="290"/>
      <c r="AT567" s="290"/>
      <c r="AU567" s="290"/>
      <c r="AV567" s="290"/>
      <c r="AW567" s="290"/>
      <c r="AX567" s="290"/>
      <c r="AY567" s="290"/>
      <c r="AZ567" s="290"/>
      <c r="BA567" s="290"/>
      <c r="BB567" s="290"/>
      <c r="BC567" s="290"/>
      <c r="BD567" s="290"/>
      <c r="BE567" s="290"/>
      <c r="BF567" s="290"/>
      <c r="BG567" s="290"/>
      <c r="BH567" s="290"/>
      <c r="BI567" s="290"/>
      <c r="BJ567" s="290"/>
      <c r="BK567" s="290"/>
      <c r="BL567" s="290"/>
      <c r="BM567" s="290"/>
      <c r="BN567" s="290"/>
      <c r="BO567" s="290"/>
      <c r="BP567" s="290"/>
      <c r="BQ567" s="290"/>
      <c r="BR567" s="290"/>
      <c r="BS567" s="290"/>
      <c r="BT567" s="290"/>
      <c r="BU567" s="290"/>
      <c r="BV567" s="290"/>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row>
    <row r="568" customFormat="false" ht="15.75" hidden="false" customHeight="false" outlineLevel="0" collapsed="false">
      <c r="A568" s="290"/>
      <c r="B568" s="290"/>
      <c r="C568" s="290"/>
      <c r="D568" s="290"/>
      <c r="E568" s="290"/>
      <c r="F568" s="290"/>
      <c r="G568" s="290"/>
      <c r="H568" s="290"/>
      <c r="I568" s="290"/>
      <c r="J568" s="3"/>
      <c r="K568" s="290"/>
      <c r="L568" s="290"/>
      <c r="M568" s="290"/>
      <c r="N568" s="290"/>
      <c r="O568" s="290"/>
      <c r="P568" s="290"/>
      <c r="Q568" s="290"/>
      <c r="R568" s="290"/>
      <c r="S568" s="290"/>
      <c r="T568" s="290"/>
      <c r="U568" s="290"/>
      <c r="V568" s="290"/>
      <c r="W568" s="290"/>
      <c r="X568" s="290"/>
      <c r="Y568" s="290"/>
      <c r="Z568" s="290"/>
      <c r="AA568" s="290"/>
      <c r="AB568" s="290"/>
      <c r="AC568" s="290"/>
      <c r="AD568" s="290"/>
      <c r="AE568" s="290"/>
      <c r="AF568" s="290"/>
      <c r="AG568" s="290"/>
      <c r="AH568" s="290"/>
      <c r="AI568" s="290"/>
      <c r="AJ568" s="290"/>
      <c r="AK568" s="290"/>
      <c r="AL568" s="290"/>
      <c r="AM568" s="290"/>
      <c r="AN568" s="290"/>
      <c r="AO568" s="290"/>
      <c r="AP568" s="290"/>
      <c r="AQ568" s="290"/>
      <c r="AR568" s="290"/>
      <c r="AS568" s="290"/>
      <c r="AT568" s="290"/>
      <c r="AU568" s="290"/>
      <c r="AV568" s="290"/>
      <c r="AW568" s="290"/>
      <c r="AX568" s="290"/>
      <c r="AY568" s="290"/>
      <c r="AZ568" s="290"/>
      <c r="BA568" s="290"/>
      <c r="BB568" s="290"/>
      <c r="BC568" s="290"/>
      <c r="BD568" s="290"/>
      <c r="BE568" s="290"/>
      <c r="BF568" s="290"/>
      <c r="BG568" s="290"/>
      <c r="BH568" s="290"/>
      <c r="BI568" s="290"/>
      <c r="BJ568" s="290"/>
      <c r="BK568" s="290"/>
      <c r="BL568" s="290"/>
      <c r="BM568" s="290"/>
      <c r="BN568" s="290"/>
      <c r="BO568" s="290"/>
      <c r="BP568" s="290"/>
      <c r="BQ568" s="290"/>
      <c r="BR568" s="290"/>
      <c r="BS568" s="290"/>
      <c r="BT568" s="290"/>
      <c r="BU568" s="290"/>
      <c r="BV568" s="290"/>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row>
    <row r="569" customFormat="false" ht="15.75" hidden="false" customHeight="false" outlineLevel="0" collapsed="false">
      <c r="A569" s="290"/>
      <c r="B569" s="290"/>
      <c r="C569" s="290"/>
      <c r="D569" s="290"/>
      <c r="E569" s="290"/>
      <c r="F569" s="290"/>
      <c r="G569" s="290"/>
      <c r="H569" s="290"/>
      <c r="I569" s="290"/>
      <c r="J569" s="3"/>
      <c r="K569" s="290"/>
      <c r="L569" s="290"/>
      <c r="M569" s="290"/>
      <c r="N569" s="290"/>
      <c r="O569" s="290"/>
      <c r="P569" s="290"/>
      <c r="Q569" s="290"/>
      <c r="R569" s="290"/>
      <c r="S569" s="290"/>
      <c r="T569" s="290"/>
      <c r="U569" s="290"/>
      <c r="V569" s="290"/>
      <c r="W569" s="290"/>
      <c r="X569" s="290"/>
      <c r="Y569" s="290"/>
      <c r="Z569" s="290"/>
      <c r="AA569" s="290"/>
      <c r="AB569" s="290"/>
      <c r="AC569" s="290"/>
      <c r="AD569" s="290"/>
      <c r="AE569" s="290"/>
      <c r="AF569" s="290"/>
      <c r="AG569" s="290"/>
      <c r="AH569" s="290"/>
      <c r="AI569" s="290"/>
      <c r="AJ569" s="290"/>
      <c r="AK569" s="290"/>
      <c r="AL569" s="290"/>
      <c r="AM569" s="290"/>
      <c r="AN569" s="290"/>
      <c r="AO569" s="290"/>
      <c r="AP569" s="290"/>
      <c r="AQ569" s="290"/>
      <c r="AR569" s="290"/>
      <c r="AS569" s="290"/>
      <c r="AT569" s="290"/>
      <c r="AU569" s="290"/>
      <c r="AV569" s="290"/>
      <c r="AW569" s="290"/>
      <c r="AX569" s="290"/>
      <c r="AY569" s="290"/>
      <c r="AZ569" s="290"/>
      <c r="BA569" s="290"/>
      <c r="BB569" s="290"/>
      <c r="BC569" s="290"/>
      <c r="BD569" s="290"/>
      <c r="BE569" s="290"/>
      <c r="BF569" s="290"/>
      <c r="BG569" s="290"/>
      <c r="BH569" s="290"/>
      <c r="BI569" s="290"/>
      <c r="BJ569" s="290"/>
      <c r="BK569" s="290"/>
      <c r="BL569" s="290"/>
      <c r="BM569" s="290"/>
      <c r="BN569" s="290"/>
      <c r="BO569" s="290"/>
      <c r="BP569" s="290"/>
      <c r="BQ569" s="290"/>
      <c r="BR569" s="290"/>
      <c r="BS569" s="290"/>
      <c r="BT569" s="290"/>
      <c r="BU569" s="290"/>
      <c r="BV569" s="290"/>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row>
    <row r="570" customFormat="false" ht="15.75" hidden="false" customHeight="false" outlineLevel="0" collapsed="false">
      <c r="A570" s="290"/>
      <c r="B570" s="290"/>
      <c r="C570" s="290"/>
      <c r="D570" s="290"/>
      <c r="E570" s="290"/>
      <c r="F570" s="290"/>
      <c r="G570" s="290"/>
      <c r="H570" s="290"/>
      <c r="I570" s="290"/>
      <c r="J570" s="3"/>
      <c r="K570" s="290"/>
      <c r="L570" s="290"/>
      <c r="M570" s="290"/>
      <c r="N570" s="290"/>
      <c r="O570" s="290"/>
      <c r="P570" s="290"/>
      <c r="Q570" s="290"/>
      <c r="R570" s="290"/>
      <c r="S570" s="290"/>
      <c r="T570" s="290"/>
      <c r="U570" s="290"/>
      <c r="V570" s="290"/>
      <c r="W570" s="290"/>
      <c r="X570" s="290"/>
      <c r="Y570" s="290"/>
      <c r="Z570" s="290"/>
      <c r="AA570" s="290"/>
      <c r="AB570" s="290"/>
      <c r="AC570" s="290"/>
      <c r="AD570" s="290"/>
      <c r="AE570" s="290"/>
      <c r="AF570" s="290"/>
      <c r="AG570" s="290"/>
      <c r="AH570" s="290"/>
      <c r="AI570" s="290"/>
      <c r="AJ570" s="290"/>
      <c r="AK570" s="290"/>
      <c r="AL570" s="290"/>
      <c r="AM570" s="290"/>
      <c r="AN570" s="290"/>
      <c r="AO570" s="290"/>
      <c r="AP570" s="290"/>
      <c r="AQ570" s="290"/>
      <c r="AR570" s="290"/>
      <c r="AS570" s="290"/>
      <c r="AT570" s="290"/>
      <c r="AU570" s="290"/>
      <c r="AV570" s="290"/>
      <c r="AW570" s="290"/>
      <c r="AX570" s="290"/>
      <c r="AY570" s="290"/>
      <c r="AZ570" s="290"/>
      <c r="BA570" s="290"/>
      <c r="BB570" s="290"/>
      <c r="BC570" s="290"/>
      <c r="BD570" s="290"/>
      <c r="BE570" s="290"/>
      <c r="BF570" s="290"/>
      <c r="BG570" s="290"/>
      <c r="BH570" s="290"/>
      <c r="BI570" s="290"/>
      <c r="BJ570" s="290"/>
      <c r="BK570" s="290"/>
      <c r="BL570" s="290"/>
      <c r="BM570" s="290"/>
      <c r="BN570" s="290"/>
      <c r="BO570" s="290"/>
      <c r="BP570" s="290"/>
      <c r="BQ570" s="290"/>
      <c r="BR570" s="290"/>
      <c r="BS570" s="290"/>
      <c r="BT570" s="290"/>
      <c r="BU570" s="290"/>
      <c r="BV570" s="290"/>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row>
    <row r="571" customFormat="false" ht="15.75" hidden="false" customHeight="false" outlineLevel="0" collapsed="false">
      <c r="A571" s="290"/>
      <c r="B571" s="290"/>
      <c r="C571" s="290"/>
      <c r="D571" s="290"/>
      <c r="E571" s="290"/>
      <c r="F571" s="290"/>
      <c r="G571" s="290"/>
      <c r="H571" s="290"/>
      <c r="I571" s="290"/>
      <c r="J571" s="3"/>
      <c r="K571" s="290"/>
      <c r="L571" s="290"/>
      <c r="M571" s="290"/>
      <c r="N571" s="290"/>
      <c r="O571" s="290"/>
      <c r="P571" s="290"/>
      <c r="Q571" s="290"/>
      <c r="R571" s="290"/>
      <c r="S571" s="290"/>
      <c r="T571" s="290"/>
      <c r="U571" s="290"/>
      <c r="V571" s="290"/>
      <c r="W571" s="290"/>
      <c r="X571" s="290"/>
      <c r="Y571" s="290"/>
      <c r="Z571" s="290"/>
      <c r="AA571" s="290"/>
      <c r="AB571" s="290"/>
      <c r="AC571" s="290"/>
      <c r="AD571" s="290"/>
      <c r="AE571" s="290"/>
      <c r="AF571" s="290"/>
      <c r="AG571" s="290"/>
      <c r="AH571" s="290"/>
      <c r="AI571" s="290"/>
      <c r="AJ571" s="290"/>
      <c r="AK571" s="290"/>
      <c r="AL571" s="290"/>
      <c r="AM571" s="290"/>
      <c r="AN571" s="290"/>
      <c r="AO571" s="290"/>
      <c r="AP571" s="290"/>
      <c r="AQ571" s="290"/>
      <c r="AR571" s="290"/>
      <c r="AS571" s="290"/>
      <c r="AT571" s="290"/>
      <c r="AU571" s="290"/>
      <c r="AV571" s="290"/>
      <c r="AW571" s="290"/>
      <c r="AX571" s="290"/>
      <c r="AY571" s="290"/>
      <c r="AZ571" s="290"/>
      <c r="BA571" s="290"/>
      <c r="BB571" s="290"/>
      <c r="BC571" s="290"/>
      <c r="BD571" s="290"/>
      <c r="BE571" s="290"/>
      <c r="BF571" s="290"/>
      <c r="BG571" s="290"/>
      <c r="BH571" s="290"/>
      <c r="BI571" s="290"/>
      <c r="BJ571" s="290"/>
      <c r="BK571" s="290"/>
      <c r="BL571" s="290"/>
      <c r="BM571" s="290"/>
      <c r="BN571" s="290"/>
      <c r="BO571" s="290"/>
      <c r="BP571" s="290"/>
      <c r="BQ571" s="290"/>
      <c r="BR571" s="290"/>
      <c r="BS571" s="290"/>
      <c r="BT571" s="290"/>
      <c r="BU571" s="290"/>
      <c r="BV571" s="290"/>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row>
    <row r="572" customFormat="false" ht="15.75" hidden="false" customHeight="false" outlineLevel="0" collapsed="false">
      <c r="A572" s="290"/>
      <c r="B572" s="290"/>
      <c r="C572" s="290"/>
      <c r="D572" s="290"/>
      <c r="E572" s="290"/>
      <c r="F572" s="290"/>
      <c r="G572" s="290"/>
      <c r="H572" s="290"/>
      <c r="I572" s="290"/>
      <c r="J572" s="3"/>
      <c r="K572" s="290"/>
      <c r="L572" s="290"/>
      <c r="M572" s="290"/>
      <c r="N572" s="290"/>
      <c r="O572" s="290"/>
      <c r="P572" s="290"/>
      <c r="Q572" s="290"/>
      <c r="R572" s="290"/>
      <c r="S572" s="290"/>
      <c r="T572" s="290"/>
      <c r="U572" s="290"/>
      <c r="V572" s="290"/>
      <c r="W572" s="290"/>
      <c r="X572" s="290"/>
      <c r="Y572" s="290"/>
      <c r="Z572" s="290"/>
      <c r="AA572" s="290"/>
      <c r="AB572" s="290"/>
      <c r="AC572" s="290"/>
      <c r="AD572" s="290"/>
      <c r="AE572" s="290"/>
      <c r="AF572" s="290"/>
      <c r="AG572" s="290"/>
      <c r="AH572" s="290"/>
      <c r="AI572" s="290"/>
      <c r="AJ572" s="290"/>
      <c r="AK572" s="290"/>
      <c r="AL572" s="290"/>
      <c r="AM572" s="290"/>
      <c r="AN572" s="290"/>
      <c r="AO572" s="290"/>
      <c r="AP572" s="290"/>
      <c r="AQ572" s="290"/>
      <c r="AR572" s="290"/>
      <c r="AS572" s="290"/>
      <c r="AT572" s="290"/>
      <c r="AU572" s="290"/>
      <c r="AV572" s="290"/>
      <c r="AW572" s="290"/>
      <c r="AX572" s="290"/>
      <c r="AY572" s="290"/>
      <c r="AZ572" s="290"/>
      <c r="BA572" s="290"/>
      <c r="BB572" s="290"/>
      <c r="BC572" s="290"/>
      <c r="BD572" s="290"/>
      <c r="BE572" s="290"/>
      <c r="BF572" s="290"/>
      <c r="BG572" s="290"/>
      <c r="BH572" s="290"/>
      <c r="BI572" s="290"/>
      <c r="BJ572" s="290"/>
      <c r="BK572" s="290"/>
      <c r="BL572" s="290"/>
      <c r="BM572" s="290"/>
      <c r="BN572" s="290"/>
      <c r="BO572" s="290"/>
      <c r="BP572" s="290"/>
      <c r="BQ572" s="290"/>
      <c r="BR572" s="290"/>
      <c r="BS572" s="290"/>
      <c r="BT572" s="290"/>
      <c r="BU572" s="290"/>
      <c r="BV572" s="290"/>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row>
    <row r="573" customFormat="false" ht="15.75" hidden="false" customHeight="false" outlineLevel="0" collapsed="false">
      <c r="A573" s="290"/>
      <c r="B573" s="290"/>
      <c r="C573" s="290"/>
      <c r="D573" s="290"/>
      <c r="E573" s="290"/>
      <c r="F573" s="290"/>
      <c r="G573" s="290"/>
      <c r="H573" s="290"/>
      <c r="I573" s="290"/>
      <c r="J573" s="3"/>
      <c r="K573" s="290"/>
      <c r="L573" s="290"/>
      <c r="M573" s="290"/>
      <c r="N573" s="290"/>
      <c r="O573" s="290"/>
      <c r="P573" s="290"/>
      <c r="Q573" s="290"/>
      <c r="R573" s="290"/>
      <c r="S573" s="290"/>
      <c r="T573" s="290"/>
      <c r="U573" s="290"/>
      <c r="V573" s="290"/>
      <c r="W573" s="290"/>
      <c r="X573" s="290"/>
      <c r="Y573" s="290"/>
      <c r="Z573" s="290"/>
      <c r="AA573" s="290"/>
      <c r="AB573" s="290"/>
      <c r="AC573" s="290"/>
      <c r="AD573" s="290"/>
      <c r="AE573" s="290"/>
      <c r="AF573" s="290"/>
      <c r="AG573" s="290"/>
      <c r="AH573" s="290"/>
      <c r="AI573" s="290"/>
      <c r="AJ573" s="290"/>
      <c r="AK573" s="290"/>
      <c r="AL573" s="290"/>
      <c r="AM573" s="290"/>
      <c r="AN573" s="290"/>
      <c r="AO573" s="290"/>
      <c r="AP573" s="290"/>
      <c r="AQ573" s="290"/>
      <c r="AR573" s="290"/>
      <c r="AS573" s="290"/>
      <c r="AT573" s="290"/>
      <c r="AU573" s="290"/>
      <c r="AV573" s="290"/>
      <c r="AW573" s="290"/>
      <c r="AX573" s="290"/>
      <c r="AY573" s="290"/>
      <c r="AZ573" s="290"/>
      <c r="BA573" s="290"/>
      <c r="BB573" s="290"/>
      <c r="BC573" s="290"/>
      <c r="BD573" s="290"/>
      <c r="BE573" s="290"/>
      <c r="BF573" s="290"/>
      <c r="BG573" s="290"/>
      <c r="BH573" s="290"/>
      <c r="BI573" s="290"/>
      <c r="BJ573" s="290"/>
      <c r="BK573" s="290"/>
      <c r="BL573" s="290"/>
      <c r="BM573" s="290"/>
      <c r="BN573" s="290"/>
      <c r="BO573" s="290"/>
      <c r="BP573" s="290"/>
      <c r="BQ573" s="290"/>
      <c r="BR573" s="290"/>
      <c r="BS573" s="290"/>
      <c r="BT573" s="290"/>
      <c r="BU573" s="290"/>
      <c r="BV573" s="290"/>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row>
    <row r="574" customFormat="false" ht="15.75" hidden="false" customHeight="false" outlineLevel="0" collapsed="false">
      <c r="A574" s="290"/>
      <c r="B574" s="290"/>
      <c r="C574" s="290"/>
      <c r="D574" s="290"/>
      <c r="E574" s="290"/>
      <c r="F574" s="290"/>
      <c r="G574" s="290"/>
      <c r="H574" s="290"/>
      <c r="I574" s="290"/>
      <c r="J574" s="3"/>
      <c r="K574" s="290"/>
      <c r="L574" s="290"/>
      <c r="M574" s="290"/>
      <c r="N574" s="290"/>
      <c r="O574" s="290"/>
      <c r="P574" s="290"/>
      <c r="Q574" s="290"/>
      <c r="R574" s="290"/>
      <c r="S574" s="290"/>
      <c r="T574" s="290"/>
      <c r="U574" s="290"/>
      <c r="V574" s="290"/>
      <c r="W574" s="290"/>
      <c r="X574" s="290"/>
      <c r="Y574" s="290"/>
      <c r="Z574" s="290"/>
      <c r="AA574" s="290"/>
      <c r="AB574" s="290"/>
      <c r="AC574" s="290"/>
      <c r="AD574" s="290"/>
      <c r="AE574" s="290"/>
      <c r="AF574" s="290"/>
      <c r="AG574" s="290"/>
      <c r="AH574" s="290"/>
      <c r="AI574" s="290"/>
      <c r="AJ574" s="290"/>
      <c r="AK574" s="290"/>
      <c r="AL574" s="290"/>
      <c r="AM574" s="290"/>
      <c r="AN574" s="290"/>
      <c r="AO574" s="290"/>
      <c r="AP574" s="290"/>
      <c r="AQ574" s="290"/>
      <c r="AR574" s="290"/>
      <c r="AS574" s="290"/>
      <c r="AT574" s="290"/>
      <c r="AU574" s="290"/>
      <c r="AV574" s="290"/>
      <c r="AW574" s="290"/>
      <c r="AX574" s="290"/>
      <c r="AY574" s="290"/>
      <c r="AZ574" s="290"/>
      <c r="BA574" s="290"/>
      <c r="BB574" s="290"/>
      <c r="BC574" s="290"/>
      <c r="BD574" s="290"/>
      <c r="BE574" s="290"/>
      <c r="BF574" s="290"/>
      <c r="BG574" s="290"/>
      <c r="BH574" s="290"/>
      <c r="BI574" s="290"/>
      <c r="BJ574" s="290"/>
      <c r="BK574" s="290"/>
      <c r="BL574" s="290"/>
      <c r="BM574" s="290"/>
      <c r="BN574" s="290"/>
      <c r="BO574" s="290"/>
      <c r="BP574" s="290"/>
      <c r="BQ574" s="290"/>
      <c r="BR574" s="290"/>
      <c r="BS574" s="290"/>
      <c r="BT574" s="290"/>
      <c r="BU574" s="290"/>
      <c r="BV574" s="290"/>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row>
    <row r="575" customFormat="false" ht="15.75" hidden="false" customHeight="false" outlineLevel="0" collapsed="false">
      <c r="A575" s="290"/>
      <c r="B575" s="290"/>
      <c r="C575" s="290"/>
      <c r="D575" s="290"/>
      <c r="E575" s="290"/>
      <c r="F575" s="290"/>
      <c r="G575" s="290"/>
      <c r="H575" s="290"/>
      <c r="I575" s="290"/>
      <c r="J575" s="3"/>
      <c r="K575" s="290"/>
      <c r="L575" s="290"/>
      <c r="M575" s="290"/>
      <c r="N575" s="290"/>
      <c r="O575" s="290"/>
      <c r="P575" s="290"/>
      <c r="Q575" s="290"/>
      <c r="R575" s="290"/>
      <c r="S575" s="290"/>
      <c r="T575" s="290"/>
      <c r="U575" s="290"/>
      <c r="V575" s="290"/>
      <c r="W575" s="290"/>
      <c r="X575" s="290"/>
      <c r="Y575" s="290"/>
      <c r="Z575" s="290"/>
      <c r="AA575" s="290"/>
      <c r="AB575" s="290"/>
      <c r="AC575" s="290"/>
      <c r="AD575" s="290"/>
      <c r="AE575" s="290"/>
      <c r="AF575" s="290"/>
      <c r="AG575" s="290"/>
      <c r="AH575" s="290"/>
      <c r="AI575" s="290"/>
      <c r="AJ575" s="290"/>
      <c r="AK575" s="290"/>
      <c r="AL575" s="290"/>
      <c r="AM575" s="290"/>
      <c r="AN575" s="290"/>
      <c r="AO575" s="290"/>
      <c r="AP575" s="290"/>
      <c r="AQ575" s="290"/>
      <c r="AR575" s="290"/>
      <c r="AS575" s="290"/>
      <c r="AT575" s="290"/>
      <c r="AU575" s="290"/>
      <c r="AV575" s="290"/>
      <c r="AW575" s="290"/>
      <c r="AX575" s="290"/>
      <c r="AY575" s="290"/>
      <c r="AZ575" s="290"/>
      <c r="BA575" s="290"/>
      <c r="BB575" s="290"/>
      <c r="BC575" s="290"/>
      <c r="BD575" s="290"/>
      <c r="BE575" s="290"/>
      <c r="BF575" s="290"/>
      <c r="BG575" s="290"/>
      <c r="BH575" s="290"/>
      <c r="BI575" s="290"/>
      <c r="BJ575" s="290"/>
      <c r="BK575" s="290"/>
      <c r="BL575" s="290"/>
      <c r="BM575" s="290"/>
      <c r="BN575" s="290"/>
      <c r="BO575" s="290"/>
      <c r="BP575" s="290"/>
      <c r="BQ575" s="290"/>
      <c r="BR575" s="290"/>
      <c r="BS575" s="290"/>
      <c r="BT575" s="290"/>
      <c r="BU575" s="290"/>
      <c r="BV575" s="290"/>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row>
    <row r="576" customFormat="false" ht="15.75" hidden="false" customHeight="false" outlineLevel="0" collapsed="false">
      <c r="A576" s="290"/>
      <c r="B576" s="290"/>
      <c r="C576" s="290"/>
      <c r="D576" s="290"/>
      <c r="E576" s="290"/>
      <c r="F576" s="290"/>
      <c r="G576" s="290"/>
      <c r="H576" s="290"/>
      <c r="I576" s="290"/>
      <c r="J576" s="3"/>
      <c r="K576" s="290"/>
      <c r="L576" s="290"/>
      <c r="M576" s="290"/>
      <c r="N576" s="290"/>
      <c r="O576" s="290"/>
      <c r="P576" s="290"/>
      <c r="Q576" s="290"/>
      <c r="R576" s="290"/>
      <c r="S576" s="290"/>
      <c r="T576" s="290"/>
      <c r="U576" s="290"/>
      <c r="V576" s="290"/>
      <c r="W576" s="290"/>
      <c r="X576" s="290"/>
      <c r="Y576" s="290"/>
      <c r="Z576" s="290"/>
      <c r="AA576" s="290"/>
      <c r="AB576" s="290"/>
      <c r="AC576" s="290"/>
      <c r="AD576" s="290"/>
      <c r="AE576" s="290"/>
      <c r="AF576" s="290"/>
      <c r="AG576" s="290"/>
      <c r="AH576" s="290"/>
      <c r="AI576" s="290"/>
      <c r="AJ576" s="290"/>
      <c r="AK576" s="290"/>
      <c r="AL576" s="290"/>
      <c r="AM576" s="290"/>
      <c r="AN576" s="290"/>
      <c r="AO576" s="290"/>
      <c r="AP576" s="290"/>
      <c r="AQ576" s="290"/>
      <c r="AR576" s="290"/>
      <c r="AS576" s="290"/>
      <c r="AT576" s="290"/>
      <c r="AU576" s="290"/>
      <c r="AV576" s="290"/>
      <c r="AW576" s="290"/>
      <c r="AX576" s="290"/>
      <c r="AY576" s="290"/>
      <c r="AZ576" s="290"/>
      <c r="BA576" s="290"/>
      <c r="BB576" s="290"/>
      <c r="BC576" s="290"/>
      <c r="BD576" s="290"/>
      <c r="BE576" s="290"/>
      <c r="BF576" s="290"/>
      <c r="BG576" s="290"/>
      <c r="BH576" s="290"/>
      <c r="BI576" s="290"/>
      <c r="BJ576" s="290"/>
      <c r="BK576" s="290"/>
      <c r="BL576" s="290"/>
      <c r="BM576" s="290"/>
      <c r="BN576" s="290"/>
      <c r="BO576" s="290"/>
      <c r="BP576" s="290"/>
      <c r="BQ576" s="290"/>
      <c r="BR576" s="290"/>
      <c r="BS576" s="290"/>
      <c r="BT576" s="290"/>
      <c r="BU576" s="290"/>
      <c r="BV576" s="290"/>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row>
    <row r="577" customFormat="false" ht="15.75" hidden="false" customHeight="false" outlineLevel="0" collapsed="false">
      <c r="A577" s="290"/>
      <c r="B577" s="290"/>
      <c r="C577" s="290"/>
      <c r="D577" s="290"/>
      <c r="E577" s="290"/>
      <c r="F577" s="290"/>
      <c r="G577" s="290"/>
      <c r="H577" s="290"/>
      <c r="I577" s="290"/>
      <c r="J577" s="3"/>
      <c r="K577" s="290"/>
      <c r="L577" s="290"/>
      <c r="M577" s="290"/>
      <c r="N577" s="290"/>
      <c r="O577" s="290"/>
      <c r="P577" s="290"/>
      <c r="Q577" s="290"/>
      <c r="R577" s="290"/>
      <c r="S577" s="290"/>
      <c r="T577" s="290"/>
      <c r="U577" s="290"/>
      <c r="V577" s="290"/>
      <c r="W577" s="290"/>
      <c r="X577" s="290"/>
      <c r="Y577" s="290"/>
      <c r="Z577" s="290"/>
      <c r="AA577" s="290"/>
      <c r="AB577" s="290"/>
      <c r="AC577" s="290"/>
      <c r="AD577" s="290"/>
      <c r="AE577" s="290"/>
      <c r="AF577" s="290"/>
      <c r="AG577" s="290"/>
      <c r="AH577" s="290"/>
      <c r="AI577" s="290"/>
      <c r="AJ577" s="290"/>
      <c r="AK577" s="290"/>
      <c r="AL577" s="290"/>
      <c r="AM577" s="290"/>
      <c r="AN577" s="290"/>
      <c r="AO577" s="290"/>
      <c r="AP577" s="290"/>
      <c r="AQ577" s="290"/>
      <c r="AR577" s="290"/>
      <c r="AS577" s="290"/>
      <c r="AT577" s="290"/>
      <c r="AU577" s="290"/>
      <c r="AV577" s="290"/>
      <c r="AW577" s="290"/>
      <c r="AX577" s="290"/>
      <c r="AY577" s="290"/>
      <c r="AZ577" s="290"/>
      <c r="BA577" s="290"/>
      <c r="BB577" s="290"/>
      <c r="BC577" s="290"/>
      <c r="BD577" s="290"/>
      <c r="BE577" s="290"/>
      <c r="BF577" s="290"/>
      <c r="BG577" s="290"/>
      <c r="BH577" s="290"/>
      <c r="BI577" s="290"/>
      <c r="BJ577" s="290"/>
      <c r="BK577" s="290"/>
      <c r="BL577" s="290"/>
      <c r="BM577" s="290"/>
      <c r="BN577" s="290"/>
      <c r="BO577" s="290"/>
      <c r="BP577" s="290"/>
      <c r="BQ577" s="290"/>
      <c r="BR577" s="290"/>
      <c r="BS577" s="290"/>
      <c r="BT577" s="290"/>
      <c r="BU577" s="290"/>
      <c r="BV577" s="290"/>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row>
    <row r="578" customFormat="false" ht="15.75" hidden="false" customHeight="false" outlineLevel="0" collapsed="false">
      <c r="A578" s="290"/>
      <c r="B578" s="290"/>
      <c r="C578" s="290"/>
      <c r="D578" s="290"/>
      <c r="E578" s="290"/>
      <c r="F578" s="290"/>
      <c r="G578" s="290"/>
      <c r="H578" s="290"/>
      <c r="I578" s="290"/>
      <c r="J578" s="3"/>
      <c r="K578" s="290"/>
      <c r="L578" s="290"/>
      <c r="M578" s="290"/>
      <c r="N578" s="290"/>
      <c r="O578" s="290"/>
      <c r="P578" s="290"/>
      <c r="Q578" s="290"/>
      <c r="R578" s="290"/>
      <c r="S578" s="290"/>
      <c r="T578" s="290"/>
      <c r="U578" s="290"/>
      <c r="V578" s="290"/>
      <c r="W578" s="290"/>
      <c r="X578" s="290"/>
      <c r="Y578" s="290"/>
      <c r="Z578" s="290"/>
      <c r="AA578" s="290"/>
      <c r="AB578" s="290"/>
      <c r="AC578" s="290"/>
      <c r="AD578" s="290"/>
      <c r="AE578" s="290"/>
      <c r="AF578" s="290"/>
      <c r="AG578" s="290"/>
      <c r="AH578" s="290"/>
      <c r="AI578" s="290"/>
      <c r="AJ578" s="290"/>
      <c r="AK578" s="290"/>
      <c r="AL578" s="290"/>
      <c r="AM578" s="290"/>
      <c r="AN578" s="290"/>
      <c r="AO578" s="290"/>
      <c r="AP578" s="290"/>
      <c r="AQ578" s="290"/>
      <c r="AR578" s="290"/>
      <c r="AS578" s="290"/>
      <c r="AT578" s="290"/>
      <c r="AU578" s="290"/>
      <c r="AV578" s="290"/>
      <c r="AW578" s="290"/>
      <c r="AX578" s="290"/>
      <c r="AY578" s="290"/>
      <c r="AZ578" s="290"/>
      <c r="BA578" s="290"/>
      <c r="BB578" s="290"/>
      <c r="BC578" s="290"/>
      <c r="BD578" s="290"/>
      <c r="BE578" s="290"/>
      <c r="BF578" s="290"/>
      <c r="BG578" s="290"/>
      <c r="BH578" s="290"/>
      <c r="BI578" s="290"/>
      <c r="BJ578" s="290"/>
      <c r="BK578" s="290"/>
      <c r="BL578" s="290"/>
      <c r="BM578" s="290"/>
      <c r="BN578" s="290"/>
      <c r="BO578" s="290"/>
      <c r="BP578" s="290"/>
      <c r="BQ578" s="290"/>
      <c r="BR578" s="290"/>
      <c r="BS578" s="290"/>
      <c r="BT578" s="290"/>
      <c r="BU578" s="290"/>
      <c r="BV578" s="290"/>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row>
    <row r="579" customFormat="false" ht="15.75" hidden="false" customHeight="false" outlineLevel="0" collapsed="false">
      <c r="A579" s="290"/>
      <c r="B579" s="290"/>
      <c r="C579" s="290"/>
      <c r="D579" s="290"/>
      <c r="E579" s="290"/>
      <c r="F579" s="290"/>
      <c r="G579" s="290"/>
      <c r="H579" s="290"/>
      <c r="I579" s="290"/>
      <c r="J579" s="3"/>
      <c r="K579" s="290"/>
      <c r="L579" s="290"/>
      <c r="M579" s="290"/>
      <c r="N579" s="290"/>
      <c r="O579" s="290"/>
      <c r="P579" s="290"/>
      <c r="Q579" s="290"/>
      <c r="R579" s="290"/>
      <c r="S579" s="290"/>
      <c r="T579" s="290"/>
      <c r="U579" s="290"/>
      <c r="V579" s="290"/>
      <c r="W579" s="290"/>
      <c r="X579" s="290"/>
      <c r="Y579" s="290"/>
      <c r="Z579" s="290"/>
      <c r="AA579" s="290"/>
      <c r="AB579" s="290"/>
      <c r="AC579" s="290"/>
      <c r="AD579" s="290"/>
      <c r="AE579" s="290"/>
      <c r="AF579" s="290"/>
      <c r="AG579" s="290"/>
      <c r="AH579" s="290"/>
      <c r="AI579" s="290"/>
      <c r="AJ579" s="290"/>
      <c r="AK579" s="290"/>
      <c r="AL579" s="290"/>
      <c r="AM579" s="290"/>
      <c r="AN579" s="290"/>
      <c r="AO579" s="290"/>
      <c r="AP579" s="290"/>
      <c r="AQ579" s="290"/>
      <c r="AR579" s="290"/>
      <c r="AS579" s="290"/>
      <c r="AT579" s="290"/>
      <c r="AU579" s="290"/>
      <c r="AV579" s="290"/>
      <c r="AW579" s="290"/>
      <c r="AX579" s="290"/>
      <c r="AY579" s="290"/>
      <c r="AZ579" s="290"/>
      <c r="BA579" s="290"/>
      <c r="BB579" s="290"/>
      <c r="BC579" s="290"/>
      <c r="BD579" s="290"/>
      <c r="BE579" s="290"/>
      <c r="BF579" s="290"/>
      <c r="BG579" s="290"/>
      <c r="BH579" s="290"/>
      <c r="BI579" s="290"/>
      <c r="BJ579" s="290"/>
      <c r="BK579" s="290"/>
      <c r="BL579" s="290"/>
      <c r="BM579" s="290"/>
      <c r="BN579" s="290"/>
      <c r="BO579" s="290"/>
      <c r="BP579" s="290"/>
      <c r="BQ579" s="290"/>
      <c r="BR579" s="290"/>
      <c r="BS579" s="290"/>
      <c r="BT579" s="290"/>
      <c r="BU579" s="290"/>
      <c r="BV579" s="290"/>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row>
    <row r="580" customFormat="false" ht="15.75" hidden="false" customHeight="false" outlineLevel="0" collapsed="false">
      <c r="A580" s="290"/>
      <c r="B580" s="290"/>
      <c r="C580" s="290"/>
      <c r="D580" s="290"/>
      <c r="E580" s="290"/>
      <c r="F580" s="290"/>
      <c r="G580" s="290"/>
      <c r="H580" s="290"/>
      <c r="I580" s="290"/>
      <c r="J580" s="3"/>
      <c r="K580" s="290"/>
      <c r="L580" s="290"/>
      <c r="M580" s="290"/>
      <c r="N580" s="290"/>
      <c r="O580" s="290"/>
      <c r="P580" s="290"/>
      <c r="Q580" s="290"/>
      <c r="R580" s="290"/>
      <c r="S580" s="290"/>
      <c r="T580" s="290"/>
      <c r="U580" s="290"/>
      <c r="V580" s="290"/>
      <c r="W580" s="290"/>
      <c r="X580" s="290"/>
      <c r="Y580" s="290"/>
      <c r="Z580" s="290"/>
      <c r="AA580" s="290"/>
      <c r="AB580" s="290"/>
      <c r="AC580" s="290"/>
      <c r="AD580" s="290"/>
      <c r="AE580" s="290"/>
      <c r="AF580" s="290"/>
      <c r="AG580" s="290"/>
      <c r="AH580" s="290"/>
      <c r="AI580" s="290"/>
      <c r="AJ580" s="290"/>
      <c r="AK580" s="290"/>
      <c r="AL580" s="290"/>
      <c r="AM580" s="290"/>
      <c r="AN580" s="290"/>
      <c r="AO580" s="290"/>
      <c r="AP580" s="290"/>
      <c r="AQ580" s="290"/>
      <c r="AR580" s="290"/>
      <c r="AS580" s="290"/>
      <c r="AT580" s="290"/>
      <c r="AU580" s="290"/>
      <c r="AV580" s="290"/>
      <c r="AW580" s="290"/>
      <c r="AX580" s="290"/>
      <c r="AY580" s="290"/>
      <c r="AZ580" s="290"/>
      <c r="BA580" s="290"/>
      <c r="BB580" s="290"/>
      <c r="BC580" s="290"/>
      <c r="BD580" s="290"/>
      <c r="BE580" s="290"/>
      <c r="BF580" s="290"/>
      <c r="BG580" s="290"/>
      <c r="BH580" s="290"/>
      <c r="BI580" s="290"/>
      <c r="BJ580" s="290"/>
      <c r="BK580" s="290"/>
      <c r="BL580" s="290"/>
      <c r="BM580" s="290"/>
      <c r="BN580" s="290"/>
      <c r="BO580" s="290"/>
      <c r="BP580" s="290"/>
      <c r="BQ580" s="290"/>
      <c r="BR580" s="290"/>
      <c r="BS580" s="290"/>
      <c r="BT580" s="290"/>
      <c r="BU580" s="290"/>
      <c r="BV580" s="290"/>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row>
    <row r="581" customFormat="false" ht="15.75" hidden="false" customHeight="false" outlineLevel="0" collapsed="false">
      <c r="A581" s="290"/>
      <c r="B581" s="290"/>
      <c r="C581" s="290"/>
      <c r="D581" s="290"/>
      <c r="E581" s="290"/>
      <c r="F581" s="290"/>
      <c r="G581" s="290"/>
      <c r="H581" s="290"/>
      <c r="I581" s="290"/>
      <c r="J581" s="3"/>
      <c r="K581" s="290"/>
      <c r="L581" s="290"/>
      <c r="M581" s="290"/>
      <c r="N581" s="290"/>
      <c r="O581" s="290"/>
      <c r="P581" s="290"/>
      <c r="Q581" s="290"/>
      <c r="R581" s="290"/>
      <c r="S581" s="290"/>
      <c r="T581" s="290"/>
      <c r="U581" s="290"/>
      <c r="V581" s="290"/>
      <c r="W581" s="290"/>
      <c r="X581" s="290"/>
      <c r="Y581" s="290"/>
      <c r="Z581" s="290"/>
      <c r="AA581" s="290"/>
      <c r="AB581" s="290"/>
      <c r="AC581" s="290"/>
      <c r="AD581" s="290"/>
      <c r="AE581" s="290"/>
      <c r="AF581" s="290"/>
      <c r="AG581" s="290"/>
      <c r="AH581" s="290"/>
      <c r="AI581" s="290"/>
      <c r="AJ581" s="290"/>
      <c r="AK581" s="290"/>
      <c r="AL581" s="290"/>
      <c r="AM581" s="290"/>
      <c r="AN581" s="290"/>
      <c r="AO581" s="290"/>
      <c r="AP581" s="290"/>
      <c r="AQ581" s="290"/>
      <c r="AR581" s="290"/>
      <c r="AS581" s="290"/>
      <c r="AT581" s="290"/>
      <c r="AU581" s="290"/>
      <c r="AV581" s="290"/>
      <c r="AW581" s="290"/>
      <c r="AX581" s="290"/>
      <c r="AY581" s="290"/>
      <c r="AZ581" s="290"/>
      <c r="BA581" s="290"/>
      <c r="BB581" s="290"/>
      <c r="BC581" s="290"/>
      <c r="BD581" s="290"/>
      <c r="BE581" s="290"/>
      <c r="BF581" s="290"/>
      <c r="BG581" s="290"/>
      <c r="BH581" s="290"/>
      <c r="BI581" s="290"/>
      <c r="BJ581" s="290"/>
      <c r="BK581" s="290"/>
      <c r="BL581" s="290"/>
      <c r="BM581" s="290"/>
      <c r="BN581" s="290"/>
      <c r="BO581" s="290"/>
      <c r="BP581" s="290"/>
      <c r="BQ581" s="290"/>
      <c r="BR581" s="290"/>
      <c r="BS581" s="290"/>
      <c r="BT581" s="290"/>
      <c r="BU581" s="290"/>
      <c r="BV581" s="290"/>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row>
    <row r="582" customFormat="false" ht="15.75" hidden="false" customHeight="false" outlineLevel="0" collapsed="false">
      <c r="A582" s="290"/>
      <c r="B582" s="290"/>
      <c r="C582" s="290"/>
      <c r="D582" s="290"/>
      <c r="E582" s="290"/>
      <c r="F582" s="290"/>
      <c r="G582" s="290"/>
      <c r="H582" s="290"/>
      <c r="I582" s="290"/>
      <c r="J582" s="3"/>
      <c r="K582" s="290"/>
      <c r="L582" s="290"/>
      <c r="M582" s="290"/>
      <c r="N582" s="290"/>
      <c r="O582" s="290"/>
      <c r="P582" s="290"/>
      <c r="Q582" s="290"/>
      <c r="R582" s="290"/>
      <c r="S582" s="290"/>
      <c r="T582" s="290"/>
      <c r="U582" s="290"/>
      <c r="V582" s="290"/>
      <c r="W582" s="290"/>
      <c r="X582" s="290"/>
      <c r="Y582" s="290"/>
      <c r="Z582" s="290"/>
      <c r="AA582" s="290"/>
      <c r="AB582" s="290"/>
      <c r="AC582" s="290"/>
      <c r="AD582" s="290"/>
      <c r="AE582" s="290"/>
      <c r="AF582" s="290"/>
      <c r="AG582" s="290"/>
      <c r="AH582" s="290"/>
      <c r="AI582" s="290"/>
      <c r="AJ582" s="290"/>
      <c r="AK582" s="290"/>
      <c r="AL582" s="290"/>
      <c r="AM582" s="290"/>
      <c r="AN582" s="290"/>
      <c r="AO582" s="290"/>
      <c r="AP582" s="290"/>
      <c r="AQ582" s="290"/>
      <c r="AR582" s="290"/>
      <c r="AS582" s="290"/>
      <c r="AT582" s="290"/>
      <c r="AU582" s="290"/>
      <c r="AV582" s="290"/>
      <c r="AW582" s="290"/>
      <c r="AX582" s="290"/>
      <c r="AY582" s="290"/>
      <c r="AZ582" s="290"/>
      <c r="BA582" s="290"/>
      <c r="BB582" s="290"/>
      <c r="BC582" s="290"/>
      <c r="BD582" s="290"/>
      <c r="BE582" s="290"/>
      <c r="BF582" s="290"/>
      <c r="BG582" s="290"/>
      <c r="BH582" s="290"/>
      <c r="BI582" s="290"/>
      <c r="BJ582" s="290"/>
      <c r="BK582" s="290"/>
      <c r="BL582" s="290"/>
      <c r="BM582" s="290"/>
      <c r="BN582" s="290"/>
      <c r="BO582" s="290"/>
      <c r="BP582" s="290"/>
      <c r="BQ582" s="290"/>
      <c r="BR582" s="290"/>
      <c r="BS582" s="290"/>
      <c r="BT582" s="290"/>
      <c r="BU582" s="290"/>
      <c r="BV582" s="290"/>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row>
    <row r="583" customFormat="false" ht="15.75" hidden="false" customHeight="false" outlineLevel="0" collapsed="false">
      <c r="A583" s="290"/>
      <c r="B583" s="290"/>
      <c r="C583" s="290"/>
      <c r="D583" s="290"/>
      <c r="E583" s="290"/>
      <c r="F583" s="290"/>
      <c r="G583" s="290"/>
      <c r="H583" s="290"/>
      <c r="I583" s="290"/>
      <c r="J583" s="3"/>
      <c r="K583" s="290"/>
      <c r="L583" s="290"/>
      <c r="M583" s="290"/>
      <c r="N583" s="290"/>
      <c r="O583" s="290"/>
      <c r="P583" s="290"/>
      <c r="Q583" s="290"/>
      <c r="R583" s="290"/>
      <c r="S583" s="290"/>
      <c r="T583" s="290"/>
      <c r="U583" s="290"/>
      <c r="V583" s="290"/>
      <c r="W583" s="290"/>
      <c r="X583" s="290"/>
      <c r="Y583" s="290"/>
      <c r="Z583" s="290"/>
      <c r="AA583" s="290"/>
      <c r="AB583" s="290"/>
      <c r="AC583" s="290"/>
      <c r="AD583" s="290"/>
      <c r="AE583" s="290"/>
      <c r="AF583" s="290"/>
      <c r="AG583" s="290"/>
      <c r="AH583" s="290"/>
      <c r="AI583" s="290"/>
      <c r="AJ583" s="290"/>
      <c r="AK583" s="290"/>
      <c r="AL583" s="290"/>
      <c r="AM583" s="290"/>
      <c r="AN583" s="290"/>
      <c r="AO583" s="290"/>
      <c r="AP583" s="290"/>
      <c r="AQ583" s="290"/>
      <c r="AR583" s="290"/>
      <c r="AS583" s="290"/>
      <c r="AT583" s="290"/>
      <c r="AU583" s="290"/>
      <c r="AV583" s="290"/>
      <c r="AW583" s="290"/>
      <c r="AX583" s="290"/>
      <c r="AY583" s="290"/>
      <c r="AZ583" s="290"/>
      <c r="BA583" s="290"/>
      <c r="BB583" s="290"/>
      <c r="BC583" s="290"/>
      <c r="BD583" s="290"/>
      <c r="BE583" s="290"/>
      <c r="BF583" s="290"/>
      <c r="BG583" s="290"/>
      <c r="BH583" s="290"/>
      <c r="BI583" s="290"/>
      <c r="BJ583" s="290"/>
      <c r="BK583" s="290"/>
      <c r="BL583" s="290"/>
      <c r="BM583" s="290"/>
      <c r="BN583" s="290"/>
      <c r="BO583" s="290"/>
      <c r="BP583" s="290"/>
      <c r="BQ583" s="290"/>
      <c r="BR583" s="290"/>
      <c r="BS583" s="290"/>
      <c r="BT583" s="290"/>
      <c r="BU583" s="290"/>
      <c r="BV583" s="290"/>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row>
    <row r="584" customFormat="false" ht="15.75" hidden="false" customHeight="false" outlineLevel="0" collapsed="false">
      <c r="A584" s="290"/>
      <c r="B584" s="290"/>
      <c r="C584" s="290"/>
      <c r="D584" s="290"/>
      <c r="E584" s="290"/>
      <c r="F584" s="290"/>
      <c r="G584" s="290"/>
      <c r="H584" s="290"/>
      <c r="I584" s="290"/>
      <c r="J584" s="3"/>
      <c r="K584" s="290"/>
      <c r="L584" s="290"/>
      <c r="M584" s="290"/>
      <c r="N584" s="290"/>
      <c r="O584" s="290"/>
      <c r="P584" s="290"/>
      <c r="Q584" s="290"/>
      <c r="R584" s="290"/>
      <c r="S584" s="290"/>
      <c r="T584" s="290"/>
      <c r="U584" s="290"/>
      <c r="V584" s="290"/>
      <c r="W584" s="290"/>
      <c r="X584" s="290"/>
      <c r="Y584" s="290"/>
      <c r="Z584" s="290"/>
      <c r="AA584" s="290"/>
      <c r="AB584" s="290"/>
      <c r="AC584" s="290"/>
      <c r="AD584" s="290"/>
      <c r="AE584" s="290"/>
      <c r="AF584" s="290"/>
      <c r="AG584" s="290"/>
      <c r="AH584" s="290"/>
      <c r="AI584" s="290"/>
      <c r="AJ584" s="290"/>
      <c r="AK584" s="290"/>
      <c r="AL584" s="290"/>
      <c r="AM584" s="290"/>
      <c r="AN584" s="290"/>
      <c r="AO584" s="290"/>
      <c r="AP584" s="290"/>
      <c r="AQ584" s="290"/>
      <c r="AR584" s="290"/>
      <c r="AS584" s="290"/>
      <c r="AT584" s="290"/>
      <c r="AU584" s="290"/>
      <c r="AV584" s="290"/>
      <c r="AW584" s="290"/>
      <c r="AX584" s="290"/>
      <c r="AY584" s="290"/>
      <c r="AZ584" s="290"/>
      <c r="BA584" s="290"/>
      <c r="BB584" s="290"/>
      <c r="BC584" s="290"/>
      <c r="BD584" s="290"/>
      <c r="BE584" s="290"/>
      <c r="BF584" s="290"/>
      <c r="BG584" s="290"/>
      <c r="BH584" s="290"/>
      <c r="BI584" s="290"/>
      <c r="BJ584" s="290"/>
      <c r="BK584" s="290"/>
      <c r="BL584" s="290"/>
      <c r="BM584" s="290"/>
      <c r="BN584" s="290"/>
      <c r="BO584" s="290"/>
      <c r="BP584" s="290"/>
      <c r="BQ584" s="290"/>
      <c r="BR584" s="290"/>
      <c r="BS584" s="290"/>
      <c r="BT584" s="290"/>
      <c r="BU584" s="290"/>
      <c r="BV584" s="290"/>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row>
    <row r="585" customFormat="false" ht="15.75" hidden="false" customHeight="false" outlineLevel="0" collapsed="false">
      <c r="A585" s="290"/>
      <c r="B585" s="290"/>
      <c r="C585" s="290"/>
      <c r="D585" s="290"/>
      <c r="E585" s="290"/>
      <c r="F585" s="290"/>
      <c r="G585" s="290"/>
      <c r="H585" s="290"/>
      <c r="I585" s="290"/>
      <c r="J585" s="3"/>
      <c r="K585" s="290"/>
      <c r="L585" s="290"/>
      <c r="M585" s="290"/>
      <c r="N585" s="290"/>
      <c r="O585" s="290"/>
      <c r="P585" s="290"/>
      <c r="Q585" s="290"/>
      <c r="R585" s="290"/>
      <c r="S585" s="290"/>
      <c r="T585" s="290"/>
      <c r="U585" s="290"/>
      <c r="V585" s="290"/>
      <c r="W585" s="290"/>
      <c r="X585" s="290"/>
      <c r="Y585" s="290"/>
      <c r="Z585" s="290"/>
      <c r="AA585" s="290"/>
      <c r="AB585" s="290"/>
      <c r="AC585" s="290"/>
      <c r="AD585" s="290"/>
      <c r="AE585" s="290"/>
      <c r="AF585" s="290"/>
      <c r="AG585" s="290"/>
      <c r="AH585" s="290"/>
      <c r="AI585" s="290"/>
      <c r="AJ585" s="290"/>
      <c r="AK585" s="290"/>
      <c r="AL585" s="290"/>
      <c r="AM585" s="290"/>
      <c r="AN585" s="290"/>
      <c r="AO585" s="290"/>
      <c r="AP585" s="290"/>
      <c r="AQ585" s="290"/>
      <c r="AR585" s="290"/>
      <c r="AS585" s="290"/>
      <c r="AT585" s="290"/>
      <c r="AU585" s="290"/>
      <c r="AV585" s="290"/>
      <c r="AW585" s="290"/>
      <c r="AX585" s="290"/>
      <c r="AY585" s="290"/>
      <c r="AZ585" s="290"/>
      <c r="BA585" s="290"/>
      <c r="BB585" s="290"/>
      <c r="BC585" s="290"/>
      <c r="BD585" s="290"/>
      <c r="BE585" s="290"/>
      <c r="BF585" s="290"/>
      <c r="BG585" s="290"/>
      <c r="BH585" s="290"/>
      <c r="BI585" s="290"/>
      <c r="BJ585" s="290"/>
      <c r="BK585" s="290"/>
      <c r="BL585" s="290"/>
      <c r="BM585" s="290"/>
      <c r="BN585" s="290"/>
      <c r="BO585" s="290"/>
      <c r="BP585" s="290"/>
      <c r="BQ585" s="290"/>
      <c r="BR585" s="290"/>
      <c r="BS585" s="290"/>
      <c r="BT585" s="290"/>
      <c r="BU585" s="290"/>
      <c r="BV585" s="290"/>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row>
    <row r="586" customFormat="false" ht="15.75" hidden="false" customHeight="false" outlineLevel="0" collapsed="false">
      <c r="A586" s="290"/>
      <c r="B586" s="290"/>
      <c r="C586" s="290"/>
      <c r="D586" s="290"/>
      <c r="E586" s="290"/>
      <c r="F586" s="290"/>
      <c r="G586" s="290"/>
      <c r="H586" s="290"/>
      <c r="I586" s="290"/>
      <c r="J586" s="3"/>
      <c r="K586" s="290"/>
      <c r="L586" s="290"/>
      <c r="M586" s="290"/>
      <c r="N586" s="290"/>
      <c r="O586" s="290"/>
      <c r="P586" s="290"/>
      <c r="Q586" s="290"/>
      <c r="R586" s="290"/>
      <c r="S586" s="290"/>
      <c r="T586" s="290"/>
      <c r="U586" s="290"/>
      <c r="V586" s="290"/>
      <c r="W586" s="290"/>
      <c r="X586" s="290"/>
      <c r="Y586" s="290"/>
      <c r="Z586" s="290"/>
      <c r="AA586" s="290"/>
      <c r="AB586" s="290"/>
      <c r="AC586" s="290"/>
      <c r="AD586" s="290"/>
      <c r="AE586" s="290"/>
      <c r="AF586" s="290"/>
      <c r="AG586" s="290"/>
      <c r="AH586" s="290"/>
      <c r="AI586" s="290"/>
      <c r="AJ586" s="290"/>
      <c r="AK586" s="290"/>
      <c r="AL586" s="290"/>
      <c r="AM586" s="290"/>
      <c r="AN586" s="290"/>
      <c r="AO586" s="290"/>
      <c r="AP586" s="290"/>
      <c r="AQ586" s="290"/>
      <c r="AR586" s="290"/>
      <c r="AS586" s="290"/>
      <c r="AT586" s="290"/>
      <c r="AU586" s="290"/>
      <c r="AV586" s="290"/>
      <c r="AW586" s="290"/>
      <c r="AX586" s="290"/>
      <c r="AY586" s="290"/>
      <c r="AZ586" s="290"/>
      <c r="BA586" s="290"/>
      <c r="BB586" s="290"/>
      <c r="BC586" s="290"/>
      <c r="BD586" s="290"/>
      <c r="BE586" s="290"/>
      <c r="BF586" s="290"/>
      <c r="BG586" s="290"/>
      <c r="BH586" s="290"/>
      <c r="BI586" s="290"/>
      <c r="BJ586" s="290"/>
      <c r="BK586" s="290"/>
      <c r="BL586" s="290"/>
      <c r="BM586" s="290"/>
      <c r="BN586" s="290"/>
      <c r="BO586" s="290"/>
      <c r="BP586" s="290"/>
      <c r="BQ586" s="290"/>
      <c r="BR586" s="290"/>
      <c r="BS586" s="290"/>
      <c r="BT586" s="290"/>
      <c r="BU586" s="290"/>
      <c r="BV586" s="290"/>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row>
    <row r="587" customFormat="false" ht="15.75" hidden="false" customHeight="false" outlineLevel="0" collapsed="false">
      <c r="A587" s="290"/>
      <c r="B587" s="290"/>
      <c r="C587" s="290"/>
      <c r="D587" s="290"/>
      <c r="E587" s="290"/>
      <c r="F587" s="290"/>
      <c r="G587" s="290"/>
      <c r="H587" s="290"/>
      <c r="I587" s="290"/>
      <c r="J587" s="3"/>
      <c r="K587" s="290"/>
      <c r="L587" s="290"/>
      <c r="M587" s="290"/>
      <c r="N587" s="290"/>
      <c r="O587" s="290"/>
      <c r="P587" s="290"/>
      <c r="Q587" s="290"/>
      <c r="R587" s="290"/>
      <c r="S587" s="290"/>
      <c r="T587" s="290"/>
      <c r="U587" s="290"/>
      <c r="V587" s="290"/>
      <c r="W587" s="290"/>
      <c r="X587" s="290"/>
      <c r="Y587" s="290"/>
      <c r="Z587" s="290"/>
      <c r="AA587" s="290"/>
      <c r="AB587" s="290"/>
      <c r="AC587" s="290"/>
      <c r="AD587" s="290"/>
      <c r="AE587" s="290"/>
      <c r="AF587" s="290"/>
      <c r="AG587" s="290"/>
      <c r="AH587" s="290"/>
      <c r="AI587" s="290"/>
      <c r="AJ587" s="290"/>
      <c r="AK587" s="290"/>
      <c r="AL587" s="290"/>
      <c r="AM587" s="290"/>
      <c r="AN587" s="290"/>
      <c r="AO587" s="290"/>
      <c r="AP587" s="290"/>
      <c r="AQ587" s="290"/>
      <c r="AR587" s="290"/>
      <c r="AS587" s="290"/>
      <c r="AT587" s="290"/>
      <c r="AU587" s="290"/>
      <c r="AV587" s="290"/>
      <c r="AW587" s="290"/>
      <c r="AX587" s="290"/>
      <c r="AY587" s="290"/>
      <c r="AZ587" s="290"/>
      <c r="BA587" s="290"/>
      <c r="BB587" s="290"/>
      <c r="BC587" s="290"/>
      <c r="BD587" s="290"/>
      <c r="BE587" s="290"/>
      <c r="BF587" s="290"/>
      <c r="BG587" s="290"/>
      <c r="BH587" s="290"/>
      <c r="BI587" s="290"/>
      <c r="BJ587" s="290"/>
      <c r="BK587" s="290"/>
      <c r="BL587" s="290"/>
      <c r="BM587" s="290"/>
      <c r="BN587" s="290"/>
      <c r="BO587" s="290"/>
      <c r="BP587" s="290"/>
      <c r="BQ587" s="290"/>
      <c r="BR587" s="290"/>
      <c r="BS587" s="290"/>
      <c r="BT587" s="290"/>
      <c r="BU587" s="290"/>
      <c r="BV587" s="290"/>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row>
    <row r="588" customFormat="false" ht="15.75" hidden="false" customHeight="false" outlineLevel="0" collapsed="false">
      <c r="A588" s="290"/>
      <c r="B588" s="290"/>
      <c r="C588" s="290"/>
      <c r="D588" s="290"/>
      <c r="E588" s="290"/>
      <c r="F588" s="290"/>
      <c r="G588" s="290"/>
      <c r="H588" s="290"/>
      <c r="I588" s="290"/>
      <c r="J588" s="3"/>
      <c r="K588" s="290"/>
      <c r="L588" s="290"/>
      <c r="M588" s="290"/>
      <c r="N588" s="290"/>
      <c r="O588" s="290"/>
      <c r="P588" s="290"/>
      <c r="Q588" s="290"/>
      <c r="R588" s="290"/>
      <c r="S588" s="290"/>
      <c r="T588" s="290"/>
      <c r="U588" s="290"/>
      <c r="V588" s="290"/>
      <c r="W588" s="290"/>
      <c r="X588" s="290"/>
      <c r="Y588" s="290"/>
      <c r="Z588" s="290"/>
      <c r="AA588" s="290"/>
      <c r="AB588" s="290"/>
      <c r="AC588" s="290"/>
      <c r="AD588" s="290"/>
      <c r="AE588" s="290"/>
      <c r="AF588" s="290"/>
      <c r="AG588" s="290"/>
      <c r="AH588" s="290"/>
      <c r="AI588" s="290"/>
      <c r="AJ588" s="290"/>
      <c r="AK588" s="290"/>
      <c r="AL588" s="290"/>
      <c r="AM588" s="290"/>
      <c r="AN588" s="290"/>
      <c r="AO588" s="290"/>
      <c r="AP588" s="290"/>
      <c r="AQ588" s="290"/>
      <c r="AR588" s="290"/>
      <c r="AS588" s="290"/>
      <c r="AT588" s="290"/>
      <c r="AU588" s="290"/>
      <c r="AV588" s="290"/>
      <c r="AW588" s="290"/>
      <c r="AX588" s="290"/>
      <c r="AY588" s="290"/>
      <c r="AZ588" s="290"/>
      <c r="BA588" s="290"/>
      <c r="BB588" s="290"/>
      <c r="BC588" s="290"/>
      <c r="BD588" s="290"/>
      <c r="BE588" s="290"/>
      <c r="BF588" s="290"/>
      <c r="BG588" s="290"/>
      <c r="BH588" s="290"/>
      <c r="BI588" s="290"/>
      <c r="BJ588" s="290"/>
      <c r="BK588" s="290"/>
      <c r="BL588" s="290"/>
      <c r="BM588" s="290"/>
      <c r="BN588" s="290"/>
      <c r="BO588" s="290"/>
      <c r="BP588" s="290"/>
      <c r="BQ588" s="290"/>
      <c r="BR588" s="290"/>
      <c r="BS588" s="290"/>
      <c r="BT588" s="290"/>
      <c r="BU588" s="290"/>
      <c r="BV588" s="290"/>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row>
    <row r="589" customFormat="false" ht="15.75" hidden="false" customHeight="false" outlineLevel="0" collapsed="false">
      <c r="A589" s="290"/>
      <c r="B589" s="290"/>
      <c r="C589" s="290"/>
      <c r="D589" s="290"/>
      <c r="E589" s="290"/>
      <c r="F589" s="290"/>
      <c r="G589" s="290"/>
      <c r="H589" s="290"/>
      <c r="I589" s="290"/>
      <c r="J589" s="3"/>
      <c r="K589" s="290"/>
      <c r="L589" s="290"/>
      <c r="M589" s="290"/>
      <c r="N589" s="290"/>
      <c r="O589" s="290"/>
      <c r="P589" s="290"/>
      <c r="Q589" s="290"/>
      <c r="R589" s="290"/>
      <c r="S589" s="290"/>
      <c r="T589" s="290"/>
      <c r="U589" s="290"/>
      <c r="V589" s="290"/>
      <c r="W589" s="290"/>
      <c r="X589" s="290"/>
      <c r="Y589" s="290"/>
      <c r="Z589" s="290"/>
      <c r="AA589" s="290"/>
      <c r="AB589" s="290"/>
      <c r="AC589" s="290"/>
      <c r="AD589" s="290"/>
      <c r="AE589" s="290"/>
      <c r="AF589" s="290"/>
      <c r="AG589" s="290"/>
      <c r="AH589" s="290"/>
      <c r="AI589" s="290"/>
      <c r="AJ589" s="290"/>
      <c r="AK589" s="290"/>
      <c r="AL589" s="290"/>
      <c r="AM589" s="290"/>
      <c r="AN589" s="290"/>
      <c r="AO589" s="290"/>
      <c r="AP589" s="290"/>
      <c r="AQ589" s="290"/>
      <c r="AR589" s="290"/>
      <c r="AS589" s="290"/>
      <c r="AT589" s="290"/>
      <c r="AU589" s="290"/>
      <c r="AV589" s="290"/>
      <c r="AW589" s="290"/>
      <c r="AX589" s="290"/>
      <c r="AY589" s="290"/>
      <c r="AZ589" s="290"/>
      <c r="BA589" s="290"/>
      <c r="BB589" s="290"/>
      <c r="BC589" s="290"/>
      <c r="BD589" s="290"/>
      <c r="BE589" s="290"/>
      <c r="BF589" s="290"/>
      <c r="BG589" s="290"/>
      <c r="BH589" s="290"/>
      <c r="BI589" s="290"/>
      <c r="BJ589" s="290"/>
      <c r="BK589" s="290"/>
      <c r="BL589" s="290"/>
      <c r="BM589" s="290"/>
      <c r="BN589" s="290"/>
      <c r="BO589" s="290"/>
      <c r="BP589" s="290"/>
      <c r="BQ589" s="290"/>
      <c r="BR589" s="290"/>
      <c r="BS589" s="290"/>
      <c r="BT589" s="290"/>
      <c r="BU589" s="290"/>
      <c r="BV589" s="290"/>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row>
    <row r="590" customFormat="false" ht="15.75" hidden="false" customHeight="false" outlineLevel="0" collapsed="false">
      <c r="A590" s="290"/>
      <c r="B590" s="290"/>
      <c r="C590" s="290"/>
      <c r="D590" s="290"/>
      <c r="E590" s="290"/>
      <c r="F590" s="290"/>
      <c r="G590" s="290"/>
      <c r="H590" s="290"/>
      <c r="I590" s="290"/>
      <c r="J590" s="3"/>
      <c r="K590" s="290"/>
      <c r="L590" s="290"/>
      <c r="M590" s="290"/>
      <c r="N590" s="290"/>
      <c r="O590" s="290"/>
      <c r="P590" s="290"/>
      <c r="Q590" s="290"/>
      <c r="R590" s="290"/>
      <c r="S590" s="290"/>
      <c r="T590" s="290"/>
      <c r="U590" s="290"/>
      <c r="V590" s="290"/>
      <c r="W590" s="290"/>
      <c r="X590" s="290"/>
      <c r="Y590" s="290"/>
      <c r="Z590" s="290"/>
      <c r="AA590" s="290"/>
      <c r="AB590" s="290"/>
      <c r="AC590" s="290"/>
      <c r="AD590" s="290"/>
      <c r="AE590" s="290"/>
      <c r="AF590" s="290"/>
      <c r="AG590" s="290"/>
      <c r="AH590" s="290"/>
      <c r="AI590" s="290"/>
      <c r="AJ590" s="290"/>
      <c r="AK590" s="290"/>
      <c r="AL590" s="290"/>
      <c r="AM590" s="290"/>
      <c r="AN590" s="290"/>
      <c r="AO590" s="290"/>
      <c r="AP590" s="290"/>
      <c r="AQ590" s="290"/>
      <c r="AR590" s="290"/>
      <c r="AS590" s="290"/>
      <c r="AT590" s="290"/>
      <c r="AU590" s="290"/>
      <c r="AV590" s="290"/>
      <c r="AW590" s="290"/>
      <c r="AX590" s="290"/>
      <c r="AY590" s="290"/>
      <c r="AZ590" s="290"/>
      <c r="BA590" s="290"/>
      <c r="BB590" s="290"/>
      <c r="BC590" s="290"/>
      <c r="BD590" s="290"/>
      <c r="BE590" s="290"/>
      <c r="BF590" s="290"/>
      <c r="BG590" s="290"/>
      <c r="BH590" s="290"/>
      <c r="BI590" s="290"/>
      <c r="BJ590" s="290"/>
      <c r="BK590" s="290"/>
      <c r="BL590" s="290"/>
      <c r="BM590" s="290"/>
      <c r="BN590" s="290"/>
      <c r="BO590" s="290"/>
      <c r="BP590" s="290"/>
      <c r="BQ590" s="290"/>
      <c r="BR590" s="290"/>
      <c r="BS590" s="290"/>
      <c r="BT590" s="290"/>
      <c r="BU590" s="290"/>
      <c r="BV590" s="290"/>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row>
    <row r="591" customFormat="false" ht="15.75" hidden="false" customHeight="false" outlineLevel="0" collapsed="false">
      <c r="A591" s="290"/>
      <c r="B591" s="290"/>
      <c r="C591" s="290"/>
      <c r="D591" s="290"/>
      <c r="E591" s="290"/>
      <c r="F591" s="290"/>
      <c r="G591" s="290"/>
      <c r="H591" s="290"/>
      <c r="I591" s="290"/>
      <c r="J591" s="3"/>
      <c r="K591" s="290"/>
      <c r="L591" s="290"/>
      <c r="M591" s="290"/>
      <c r="N591" s="290"/>
      <c r="O591" s="290"/>
      <c r="P591" s="290"/>
      <c r="Q591" s="290"/>
      <c r="R591" s="290"/>
      <c r="S591" s="290"/>
      <c r="T591" s="290"/>
      <c r="U591" s="290"/>
      <c r="V591" s="290"/>
      <c r="W591" s="290"/>
      <c r="X591" s="290"/>
      <c r="Y591" s="290"/>
      <c r="Z591" s="290"/>
      <c r="AA591" s="290"/>
      <c r="AB591" s="290"/>
      <c r="AC591" s="290"/>
      <c r="AD591" s="290"/>
      <c r="AE591" s="290"/>
      <c r="AF591" s="290"/>
      <c r="AG591" s="290"/>
      <c r="AH591" s="290"/>
      <c r="AI591" s="290"/>
      <c r="AJ591" s="290"/>
      <c r="AK591" s="290"/>
      <c r="AL591" s="290"/>
      <c r="AM591" s="290"/>
      <c r="AN591" s="290"/>
      <c r="AO591" s="290"/>
      <c r="AP591" s="290"/>
      <c r="AQ591" s="290"/>
      <c r="AR591" s="290"/>
      <c r="AS591" s="290"/>
      <c r="AT591" s="290"/>
      <c r="AU591" s="290"/>
      <c r="AV591" s="290"/>
      <c r="AW591" s="290"/>
      <c r="AX591" s="290"/>
      <c r="AY591" s="290"/>
      <c r="AZ591" s="290"/>
      <c r="BA591" s="290"/>
      <c r="BB591" s="290"/>
      <c r="BC591" s="290"/>
      <c r="BD591" s="290"/>
      <c r="BE591" s="290"/>
      <c r="BF591" s="290"/>
      <c r="BG591" s="290"/>
      <c r="BH591" s="290"/>
      <c r="BI591" s="290"/>
      <c r="BJ591" s="290"/>
      <c r="BK591" s="290"/>
      <c r="BL591" s="290"/>
      <c r="BM591" s="290"/>
      <c r="BN591" s="290"/>
      <c r="BO591" s="290"/>
      <c r="BP591" s="290"/>
      <c r="BQ591" s="290"/>
      <c r="BR591" s="290"/>
      <c r="BS591" s="290"/>
      <c r="BT591" s="290"/>
      <c r="BU591" s="290"/>
      <c r="BV591" s="290"/>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row>
    <row r="592" customFormat="false" ht="15.75" hidden="false" customHeight="false" outlineLevel="0" collapsed="false">
      <c r="A592" s="290"/>
      <c r="B592" s="290"/>
      <c r="C592" s="290"/>
      <c r="D592" s="290"/>
      <c r="E592" s="290"/>
      <c r="F592" s="290"/>
      <c r="G592" s="290"/>
      <c r="H592" s="290"/>
      <c r="I592" s="290"/>
      <c r="J592" s="3"/>
      <c r="K592" s="290"/>
      <c r="L592" s="290"/>
      <c r="M592" s="290"/>
      <c r="N592" s="290"/>
      <c r="O592" s="290"/>
      <c r="P592" s="290"/>
      <c r="Q592" s="290"/>
      <c r="R592" s="290"/>
      <c r="S592" s="290"/>
      <c r="T592" s="290"/>
      <c r="U592" s="290"/>
      <c r="V592" s="290"/>
      <c r="W592" s="290"/>
      <c r="X592" s="290"/>
      <c r="Y592" s="290"/>
      <c r="Z592" s="290"/>
      <c r="AA592" s="290"/>
      <c r="AB592" s="290"/>
      <c r="AC592" s="290"/>
      <c r="AD592" s="290"/>
      <c r="AE592" s="290"/>
      <c r="AF592" s="290"/>
      <c r="AG592" s="290"/>
      <c r="AH592" s="290"/>
      <c r="AI592" s="290"/>
      <c r="AJ592" s="290"/>
      <c r="AK592" s="290"/>
      <c r="AL592" s="290"/>
      <c r="AM592" s="290"/>
      <c r="AN592" s="290"/>
      <c r="AO592" s="290"/>
      <c r="AP592" s="290"/>
      <c r="AQ592" s="290"/>
      <c r="AR592" s="290"/>
      <c r="AS592" s="290"/>
      <c r="AT592" s="290"/>
      <c r="AU592" s="290"/>
      <c r="AV592" s="290"/>
      <c r="AW592" s="290"/>
      <c r="AX592" s="290"/>
      <c r="AY592" s="290"/>
      <c r="AZ592" s="290"/>
      <c r="BA592" s="290"/>
      <c r="BB592" s="290"/>
      <c r="BC592" s="290"/>
      <c r="BD592" s="290"/>
      <c r="BE592" s="290"/>
      <c r="BF592" s="290"/>
      <c r="BG592" s="290"/>
      <c r="BH592" s="290"/>
      <c r="BI592" s="290"/>
      <c r="BJ592" s="290"/>
      <c r="BK592" s="290"/>
      <c r="BL592" s="290"/>
      <c r="BM592" s="290"/>
      <c r="BN592" s="290"/>
      <c r="BO592" s="290"/>
      <c r="BP592" s="290"/>
      <c r="BQ592" s="290"/>
      <c r="BR592" s="290"/>
      <c r="BS592" s="290"/>
      <c r="BT592" s="290"/>
      <c r="BU592" s="290"/>
      <c r="BV592" s="290"/>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row>
    <row r="593" customFormat="false" ht="15.75" hidden="false" customHeight="false" outlineLevel="0" collapsed="false">
      <c r="A593" s="290"/>
      <c r="B593" s="290"/>
      <c r="C593" s="290"/>
      <c r="D593" s="290"/>
      <c r="E593" s="290"/>
      <c r="F593" s="290"/>
      <c r="G593" s="290"/>
      <c r="H593" s="290"/>
      <c r="I593" s="290"/>
      <c r="J593" s="3"/>
      <c r="K593" s="290"/>
      <c r="L593" s="290"/>
      <c r="M593" s="290"/>
      <c r="N593" s="290"/>
      <c r="O593" s="290"/>
      <c r="P593" s="290"/>
      <c r="Q593" s="290"/>
      <c r="R593" s="290"/>
      <c r="S593" s="290"/>
      <c r="T593" s="290"/>
      <c r="U593" s="290"/>
      <c r="V593" s="290"/>
      <c r="W593" s="290"/>
      <c r="X593" s="290"/>
      <c r="Y593" s="290"/>
      <c r="Z593" s="290"/>
      <c r="AA593" s="290"/>
      <c r="AB593" s="290"/>
      <c r="AC593" s="290"/>
      <c r="AD593" s="290"/>
      <c r="AE593" s="290"/>
      <c r="AF593" s="290"/>
      <c r="AG593" s="290"/>
      <c r="AH593" s="290"/>
      <c r="AI593" s="290"/>
      <c r="AJ593" s="290"/>
      <c r="AK593" s="290"/>
      <c r="AL593" s="290"/>
      <c r="AM593" s="290"/>
      <c r="AN593" s="290"/>
      <c r="AO593" s="290"/>
      <c r="AP593" s="290"/>
      <c r="AQ593" s="290"/>
      <c r="AR593" s="290"/>
      <c r="AS593" s="290"/>
      <c r="AT593" s="290"/>
      <c r="AU593" s="290"/>
      <c r="AV593" s="290"/>
      <c r="AW593" s="290"/>
      <c r="AX593" s="290"/>
      <c r="AY593" s="290"/>
      <c r="AZ593" s="290"/>
      <c r="BA593" s="290"/>
      <c r="BB593" s="290"/>
      <c r="BC593" s="290"/>
      <c r="BD593" s="290"/>
      <c r="BE593" s="290"/>
      <c r="BF593" s="290"/>
      <c r="BG593" s="290"/>
      <c r="BH593" s="290"/>
      <c r="BI593" s="290"/>
      <c r="BJ593" s="290"/>
      <c r="BK593" s="290"/>
      <c r="BL593" s="290"/>
      <c r="BM593" s="290"/>
      <c r="BN593" s="290"/>
      <c r="BO593" s="290"/>
      <c r="BP593" s="290"/>
      <c r="BQ593" s="290"/>
      <c r="BR593" s="290"/>
      <c r="BS593" s="290"/>
      <c r="BT593" s="290"/>
      <c r="BU593" s="290"/>
      <c r="BV593" s="290"/>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row>
    <row r="594" customFormat="false" ht="15.75" hidden="false" customHeight="false" outlineLevel="0" collapsed="false">
      <c r="A594" s="290"/>
      <c r="B594" s="290"/>
      <c r="C594" s="290"/>
      <c r="D594" s="290"/>
      <c r="E594" s="290"/>
      <c r="F594" s="290"/>
      <c r="G594" s="290"/>
      <c r="H594" s="290"/>
      <c r="I594" s="290"/>
      <c r="J594" s="3"/>
      <c r="K594" s="290"/>
      <c r="L594" s="290"/>
      <c r="M594" s="290"/>
      <c r="N594" s="290"/>
      <c r="O594" s="290"/>
      <c r="P594" s="290"/>
      <c r="Q594" s="290"/>
      <c r="R594" s="290"/>
      <c r="S594" s="290"/>
      <c r="T594" s="290"/>
      <c r="U594" s="290"/>
      <c r="V594" s="290"/>
      <c r="W594" s="290"/>
      <c r="X594" s="290"/>
      <c r="Y594" s="290"/>
      <c r="Z594" s="290"/>
      <c r="AA594" s="290"/>
      <c r="AB594" s="290"/>
      <c r="AC594" s="290"/>
      <c r="AD594" s="290"/>
      <c r="AE594" s="290"/>
      <c r="AF594" s="290"/>
      <c r="AG594" s="290"/>
      <c r="AH594" s="290"/>
      <c r="AI594" s="290"/>
      <c r="AJ594" s="290"/>
      <c r="AK594" s="290"/>
      <c r="AL594" s="290"/>
      <c r="AM594" s="290"/>
      <c r="AN594" s="290"/>
      <c r="AO594" s="290"/>
      <c r="AP594" s="290"/>
      <c r="AQ594" s="290"/>
      <c r="AR594" s="290"/>
      <c r="AS594" s="290"/>
      <c r="AT594" s="290"/>
      <c r="AU594" s="290"/>
      <c r="AV594" s="290"/>
      <c r="AW594" s="290"/>
      <c r="AX594" s="290"/>
      <c r="AY594" s="290"/>
      <c r="AZ594" s="290"/>
      <c r="BA594" s="290"/>
      <c r="BB594" s="290"/>
      <c r="BC594" s="290"/>
      <c r="BD594" s="290"/>
      <c r="BE594" s="290"/>
      <c r="BF594" s="290"/>
      <c r="BG594" s="290"/>
      <c r="BH594" s="290"/>
      <c r="BI594" s="290"/>
      <c r="BJ594" s="290"/>
      <c r="BK594" s="290"/>
      <c r="BL594" s="290"/>
      <c r="BM594" s="290"/>
      <c r="BN594" s="290"/>
      <c r="BO594" s="290"/>
      <c r="BP594" s="290"/>
      <c r="BQ594" s="290"/>
      <c r="BR594" s="290"/>
      <c r="BS594" s="290"/>
      <c r="BT594" s="290"/>
      <c r="BU594" s="290"/>
      <c r="BV594" s="290"/>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row>
    <row r="595" customFormat="false" ht="15.75" hidden="false" customHeight="false" outlineLevel="0" collapsed="false">
      <c r="A595" s="290"/>
      <c r="B595" s="290"/>
      <c r="C595" s="290"/>
      <c r="D595" s="290"/>
      <c r="E595" s="290"/>
      <c r="F595" s="290"/>
      <c r="G595" s="290"/>
      <c r="H595" s="290"/>
      <c r="I595" s="290"/>
      <c r="J595" s="3"/>
      <c r="K595" s="290"/>
      <c r="L595" s="290"/>
      <c r="M595" s="290"/>
      <c r="N595" s="290"/>
      <c r="O595" s="290"/>
      <c r="P595" s="290"/>
      <c r="Q595" s="290"/>
      <c r="R595" s="290"/>
      <c r="S595" s="290"/>
      <c r="T595" s="290"/>
      <c r="U595" s="290"/>
      <c r="V595" s="290"/>
      <c r="W595" s="290"/>
      <c r="X595" s="290"/>
      <c r="Y595" s="290"/>
      <c r="Z595" s="290"/>
      <c r="AA595" s="290"/>
      <c r="AB595" s="290"/>
      <c r="AC595" s="290"/>
      <c r="AD595" s="290"/>
      <c r="AE595" s="290"/>
      <c r="AF595" s="290"/>
      <c r="AG595" s="290"/>
      <c r="AH595" s="290"/>
      <c r="AI595" s="290"/>
      <c r="AJ595" s="290"/>
      <c r="AK595" s="290"/>
      <c r="AL595" s="290"/>
      <c r="AM595" s="290"/>
      <c r="AN595" s="290"/>
      <c r="AO595" s="290"/>
      <c r="AP595" s="290"/>
      <c r="AQ595" s="290"/>
      <c r="AR595" s="290"/>
      <c r="AS595" s="290"/>
      <c r="AT595" s="290"/>
      <c r="AU595" s="290"/>
      <c r="AV595" s="290"/>
      <c r="AW595" s="290"/>
      <c r="AX595" s="290"/>
      <c r="AY595" s="290"/>
      <c r="AZ595" s="290"/>
      <c r="BA595" s="290"/>
      <c r="BB595" s="290"/>
      <c r="BC595" s="290"/>
      <c r="BD595" s="290"/>
      <c r="BE595" s="290"/>
      <c r="BF595" s="290"/>
      <c r="BG595" s="290"/>
      <c r="BH595" s="290"/>
      <c r="BI595" s="290"/>
      <c r="BJ595" s="290"/>
      <c r="BK595" s="290"/>
      <c r="BL595" s="290"/>
      <c r="BM595" s="290"/>
      <c r="BN595" s="290"/>
      <c r="BO595" s="290"/>
      <c r="BP595" s="290"/>
      <c r="BQ595" s="290"/>
      <c r="BR595" s="290"/>
      <c r="BS595" s="290"/>
      <c r="BT595" s="290"/>
      <c r="BU595" s="290"/>
      <c r="BV595" s="290"/>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row>
    <row r="596" customFormat="false" ht="15.75" hidden="false" customHeight="false" outlineLevel="0" collapsed="false">
      <c r="A596" s="290"/>
      <c r="B596" s="290"/>
      <c r="C596" s="290"/>
      <c r="D596" s="290"/>
      <c r="E596" s="290"/>
      <c r="F596" s="290"/>
      <c r="G596" s="290"/>
      <c r="H596" s="290"/>
      <c r="I596" s="290"/>
      <c r="J596" s="3"/>
      <c r="K596" s="290"/>
      <c r="L596" s="290"/>
      <c r="M596" s="290"/>
      <c r="N596" s="290"/>
      <c r="O596" s="290"/>
      <c r="P596" s="290"/>
      <c r="Q596" s="290"/>
      <c r="R596" s="290"/>
      <c r="S596" s="290"/>
      <c r="T596" s="290"/>
      <c r="U596" s="290"/>
      <c r="V596" s="290"/>
      <c r="W596" s="290"/>
      <c r="X596" s="290"/>
      <c r="Y596" s="290"/>
      <c r="Z596" s="290"/>
      <c r="AA596" s="290"/>
      <c r="AB596" s="290"/>
      <c r="AC596" s="290"/>
      <c r="AD596" s="290"/>
      <c r="AE596" s="290"/>
      <c r="AF596" s="290"/>
      <c r="AG596" s="290"/>
      <c r="AH596" s="290"/>
      <c r="AI596" s="290"/>
      <c r="AJ596" s="290"/>
      <c r="AK596" s="290"/>
      <c r="AL596" s="290"/>
      <c r="AM596" s="290"/>
      <c r="AN596" s="290"/>
      <c r="AO596" s="290"/>
      <c r="AP596" s="290"/>
      <c r="AQ596" s="290"/>
      <c r="AR596" s="290"/>
      <c r="AS596" s="290"/>
      <c r="AT596" s="290"/>
      <c r="AU596" s="290"/>
      <c r="AV596" s="290"/>
      <c r="AW596" s="290"/>
      <c r="AX596" s="290"/>
      <c r="AY596" s="290"/>
      <c r="AZ596" s="290"/>
      <c r="BA596" s="290"/>
      <c r="BB596" s="290"/>
      <c r="BC596" s="290"/>
      <c r="BD596" s="290"/>
      <c r="BE596" s="290"/>
      <c r="BF596" s="290"/>
      <c r="BG596" s="290"/>
      <c r="BH596" s="290"/>
      <c r="BI596" s="290"/>
      <c r="BJ596" s="290"/>
      <c r="BK596" s="290"/>
      <c r="BL596" s="290"/>
      <c r="BM596" s="290"/>
      <c r="BN596" s="290"/>
      <c r="BO596" s="290"/>
      <c r="BP596" s="290"/>
      <c r="BQ596" s="290"/>
      <c r="BR596" s="290"/>
      <c r="BS596" s="290"/>
      <c r="BT596" s="290"/>
      <c r="BU596" s="290"/>
      <c r="BV596" s="290"/>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row>
    <row r="597" customFormat="false" ht="15.75" hidden="false" customHeight="false" outlineLevel="0" collapsed="false">
      <c r="A597" s="290"/>
      <c r="B597" s="290"/>
      <c r="C597" s="290"/>
      <c r="D597" s="290"/>
      <c r="E597" s="290"/>
      <c r="F597" s="290"/>
      <c r="G597" s="290"/>
      <c r="H597" s="290"/>
      <c r="I597" s="290"/>
      <c r="J597" s="3"/>
      <c r="K597" s="290"/>
      <c r="L597" s="290"/>
      <c r="M597" s="290"/>
      <c r="N597" s="290"/>
      <c r="O597" s="290"/>
      <c r="P597" s="290"/>
      <c r="Q597" s="290"/>
      <c r="R597" s="290"/>
      <c r="S597" s="290"/>
      <c r="T597" s="290"/>
      <c r="U597" s="290"/>
      <c r="V597" s="290"/>
      <c r="W597" s="290"/>
      <c r="X597" s="290"/>
      <c r="Y597" s="290"/>
      <c r="Z597" s="290"/>
      <c r="AA597" s="290"/>
      <c r="AB597" s="290"/>
      <c r="AC597" s="290"/>
      <c r="AD597" s="290"/>
      <c r="AE597" s="290"/>
      <c r="AF597" s="290"/>
      <c r="AG597" s="290"/>
      <c r="AH597" s="290"/>
      <c r="AI597" s="290"/>
      <c r="AJ597" s="290"/>
      <c r="AK597" s="290"/>
      <c r="AL597" s="290"/>
      <c r="AM597" s="290"/>
      <c r="AN597" s="290"/>
      <c r="AO597" s="290"/>
      <c r="AP597" s="290"/>
      <c r="AQ597" s="290"/>
      <c r="AR597" s="290"/>
      <c r="AS597" s="290"/>
      <c r="AT597" s="290"/>
      <c r="AU597" s="290"/>
      <c r="AV597" s="290"/>
      <c r="AW597" s="290"/>
      <c r="AX597" s="290"/>
      <c r="AY597" s="290"/>
      <c r="AZ597" s="290"/>
      <c r="BA597" s="290"/>
      <c r="BB597" s="290"/>
      <c r="BC597" s="290"/>
      <c r="BD597" s="290"/>
      <c r="BE597" s="290"/>
      <c r="BF597" s="290"/>
      <c r="BG597" s="290"/>
      <c r="BH597" s="290"/>
      <c r="BI597" s="290"/>
      <c r="BJ597" s="290"/>
      <c r="BK597" s="290"/>
      <c r="BL597" s="290"/>
      <c r="BM597" s="290"/>
      <c r="BN597" s="290"/>
      <c r="BO597" s="290"/>
      <c r="BP597" s="290"/>
      <c r="BQ597" s="290"/>
      <c r="BR597" s="290"/>
      <c r="BS597" s="290"/>
      <c r="BT597" s="290"/>
      <c r="BU597" s="290"/>
      <c r="BV597" s="290"/>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row>
    <row r="598" customFormat="false" ht="15.75" hidden="false" customHeight="false" outlineLevel="0" collapsed="false">
      <c r="A598" s="290"/>
      <c r="B598" s="290"/>
      <c r="C598" s="290"/>
      <c r="D598" s="290"/>
      <c r="E598" s="290"/>
      <c r="F598" s="290"/>
      <c r="G598" s="290"/>
      <c r="H598" s="290"/>
      <c r="I598" s="290"/>
      <c r="J598" s="3"/>
      <c r="K598" s="290"/>
      <c r="L598" s="290"/>
      <c r="M598" s="290"/>
      <c r="N598" s="290"/>
      <c r="O598" s="290"/>
      <c r="P598" s="290"/>
      <c r="Q598" s="290"/>
      <c r="R598" s="290"/>
      <c r="S598" s="290"/>
      <c r="T598" s="290"/>
      <c r="U598" s="290"/>
      <c r="V598" s="290"/>
      <c r="W598" s="290"/>
      <c r="X598" s="290"/>
      <c r="Y598" s="290"/>
      <c r="Z598" s="290"/>
      <c r="AA598" s="290"/>
      <c r="AB598" s="290"/>
      <c r="AC598" s="290"/>
      <c r="AD598" s="290"/>
      <c r="AE598" s="290"/>
      <c r="AF598" s="290"/>
      <c r="AG598" s="290"/>
      <c r="AH598" s="290"/>
      <c r="AI598" s="290"/>
      <c r="AJ598" s="290"/>
      <c r="AK598" s="290"/>
      <c r="AL598" s="290"/>
      <c r="AM598" s="290"/>
      <c r="AN598" s="290"/>
      <c r="AO598" s="290"/>
      <c r="AP598" s="290"/>
      <c r="AQ598" s="290"/>
      <c r="AR598" s="290"/>
      <c r="AS598" s="290"/>
      <c r="AT598" s="290"/>
      <c r="AU598" s="290"/>
      <c r="AV598" s="290"/>
      <c r="AW598" s="290"/>
      <c r="AX598" s="290"/>
      <c r="AY598" s="290"/>
      <c r="AZ598" s="290"/>
      <c r="BA598" s="290"/>
      <c r="BB598" s="290"/>
      <c r="BC598" s="290"/>
      <c r="BD598" s="290"/>
      <c r="BE598" s="290"/>
      <c r="BF598" s="290"/>
      <c r="BG598" s="290"/>
      <c r="BH598" s="290"/>
      <c r="BI598" s="290"/>
      <c r="BJ598" s="290"/>
      <c r="BK598" s="290"/>
      <c r="BL598" s="290"/>
      <c r="BM598" s="290"/>
      <c r="BN598" s="290"/>
      <c r="BO598" s="290"/>
      <c r="BP598" s="290"/>
      <c r="BQ598" s="290"/>
      <c r="BR598" s="290"/>
      <c r="BS598" s="290"/>
      <c r="BT598" s="290"/>
      <c r="BU598" s="290"/>
      <c r="BV598" s="290"/>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row>
    <row r="599" customFormat="false" ht="15.75" hidden="false" customHeight="false" outlineLevel="0" collapsed="false">
      <c r="A599" s="290"/>
      <c r="B599" s="290"/>
      <c r="C599" s="290"/>
      <c r="D599" s="290"/>
      <c r="E599" s="290"/>
      <c r="F599" s="290"/>
      <c r="G599" s="290"/>
      <c r="H599" s="290"/>
      <c r="I599" s="290"/>
      <c r="J599" s="3"/>
      <c r="K599" s="290"/>
      <c r="L599" s="290"/>
      <c r="M599" s="290"/>
      <c r="N599" s="290"/>
      <c r="O599" s="290"/>
      <c r="P599" s="290"/>
      <c r="Q599" s="290"/>
      <c r="R599" s="290"/>
      <c r="S599" s="290"/>
      <c r="T599" s="290"/>
      <c r="U599" s="290"/>
      <c r="V599" s="290"/>
      <c r="W599" s="290"/>
      <c r="X599" s="290"/>
      <c r="Y599" s="290"/>
      <c r="Z599" s="290"/>
      <c r="AA599" s="290"/>
      <c r="AB599" s="290"/>
      <c r="AC599" s="290"/>
      <c r="AD599" s="290"/>
      <c r="AE599" s="290"/>
      <c r="AF599" s="290"/>
      <c r="AG599" s="290"/>
      <c r="AH599" s="290"/>
      <c r="AI599" s="290"/>
      <c r="AJ599" s="290"/>
      <c r="AK599" s="290"/>
      <c r="AL599" s="290"/>
      <c r="AM599" s="290"/>
      <c r="AN599" s="290"/>
      <c r="AO599" s="290"/>
      <c r="AP599" s="290"/>
      <c r="AQ599" s="290"/>
      <c r="AR599" s="290"/>
      <c r="AS599" s="290"/>
      <c r="AT599" s="290"/>
      <c r="AU599" s="290"/>
      <c r="AV599" s="290"/>
      <c r="AW599" s="290"/>
      <c r="AX599" s="290"/>
      <c r="AY599" s="290"/>
      <c r="AZ599" s="290"/>
      <c r="BA599" s="290"/>
      <c r="BB599" s="290"/>
      <c r="BC599" s="290"/>
      <c r="BD599" s="290"/>
      <c r="BE599" s="290"/>
      <c r="BF599" s="290"/>
      <c r="BG599" s="290"/>
      <c r="BH599" s="290"/>
      <c r="BI599" s="290"/>
      <c r="BJ599" s="290"/>
      <c r="BK599" s="290"/>
      <c r="BL599" s="290"/>
      <c r="BM599" s="290"/>
      <c r="BN599" s="290"/>
      <c r="BO599" s="290"/>
      <c r="BP599" s="290"/>
      <c r="BQ599" s="290"/>
      <c r="BR599" s="290"/>
      <c r="BS599" s="290"/>
      <c r="BT599" s="290"/>
      <c r="BU599" s="290"/>
      <c r="BV599" s="290"/>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row>
    <row r="600" customFormat="false" ht="15.75" hidden="false" customHeight="false" outlineLevel="0" collapsed="false">
      <c r="A600" s="290"/>
      <c r="B600" s="290"/>
      <c r="C600" s="290"/>
      <c r="D600" s="290"/>
      <c r="E600" s="290"/>
      <c r="F600" s="290"/>
      <c r="G600" s="290"/>
      <c r="H600" s="290"/>
      <c r="I600" s="290"/>
      <c r="J600" s="3"/>
      <c r="K600" s="290"/>
      <c r="L600" s="290"/>
      <c r="M600" s="290"/>
      <c r="N600" s="290"/>
      <c r="O600" s="290"/>
      <c r="P600" s="290"/>
      <c r="Q600" s="290"/>
      <c r="R600" s="290"/>
      <c r="S600" s="290"/>
      <c r="T600" s="290"/>
      <c r="U600" s="290"/>
      <c r="V600" s="290"/>
      <c r="W600" s="290"/>
      <c r="X600" s="290"/>
      <c r="Y600" s="290"/>
      <c r="Z600" s="290"/>
      <c r="AA600" s="290"/>
      <c r="AB600" s="290"/>
      <c r="AC600" s="290"/>
      <c r="AD600" s="290"/>
      <c r="AE600" s="290"/>
      <c r="AF600" s="290"/>
      <c r="AG600" s="290"/>
      <c r="AH600" s="290"/>
      <c r="AI600" s="290"/>
      <c r="AJ600" s="290"/>
      <c r="AK600" s="290"/>
      <c r="AL600" s="290"/>
      <c r="AM600" s="290"/>
      <c r="AN600" s="290"/>
      <c r="AO600" s="290"/>
      <c r="AP600" s="290"/>
      <c r="AQ600" s="290"/>
      <c r="AR600" s="290"/>
      <c r="AS600" s="290"/>
      <c r="AT600" s="290"/>
      <c r="AU600" s="290"/>
      <c r="AV600" s="290"/>
      <c r="AW600" s="290"/>
      <c r="AX600" s="290"/>
      <c r="AY600" s="290"/>
      <c r="AZ600" s="290"/>
      <c r="BA600" s="290"/>
      <c r="BB600" s="290"/>
      <c r="BC600" s="290"/>
      <c r="BD600" s="290"/>
      <c r="BE600" s="290"/>
      <c r="BF600" s="290"/>
      <c r="BG600" s="290"/>
      <c r="BH600" s="290"/>
      <c r="BI600" s="290"/>
      <c r="BJ600" s="290"/>
      <c r="BK600" s="290"/>
      <c r="BL600" s="290"/>
      <c r="BM600" s="290"/>
      <c r="BN600" s="290"/>
      <c r="BO600" s="290"/>
      <c r="BP600" s="290"/>
      <c r="BQ600" s="290"/>
      <c r="BR600" s="290"/>
      <c r="BS600" s="290"/>
      <c r="BT600" s="290"/>
      <c r="BU600" s="290"/>
      <c r="BV600" s="290"/>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row>
    <row r="601" customFormat="false" ht="15.75" hidden="false" customHeight="false" outlineLevel="0" collapsed="false">
      <c r="A601" s="290"/>
      <c r="B601" s="290"/>
      <c r="C601" s="290"/>
      <c r="D601" s="290"/>
      <c r="E601" s="290"/>
      <c r="F601" s="290"/>
      <c r="G601" s="290"/>
      <c r="H601" s="290"/>
      <c r="I601" s="290"/>
      <c r="J601" s="3"/>
      <c r="K601" s="290"/>
      <c r="L601" s="290"/>
      <c r="M601" s="290"/>
      <c r="N601" s="290"/>
      <c r="O601" s="290"/>
      <c r="P601" s="290"/>
      <c r="Q601" s="290"/>
      <c r="R601" s="290"/>
      <c r="S601" s="290"/>
      <c r="T601" s="290"/>
      <c r="U601" s="290"/>
      <c r="V601" s="290"/>
      <c r="W601" s="290"/>
      <c r="X601" s="290"/>
      <c r="Y601" s="290"/>
      <c r="Z601" s="290"/>
      <c r="AA601" s="290"/>
      <c r="AB601" s="290"/>
      <c r="AC601" s="290"/>
      <c r="AD601" s="290"/>
      <c r="AE601" s="290"/>
      <c r="AF601" s="290"/>
      <c r="AG601" s="290"/>
      <c r="AH601" s="290"/>
      <c r="AI601" s="290"/>
      <c r="AJ601" s="290"/>
      <c r="AK601" s="290"/>
      <c r="AL601" s="290"/>
      <c r="AM601" s="290"/>
      <c r="AN601" s="290"/>
      <c r="AO601" s="290"/>
      <c r="AP601" s="290"/>
      <c r="AQ601" s="290"/>
      <c r="AR601" s="290"/>
      <c r="AS601" s="290"/>
      <c r="AT601" s="290"/>
      <c r="AU601" s="290"/>
      <c r="AV601" s="290"/>
      <c r="AW601" s="290"/>
      <c r="AX601" s="290"/>
      <c r="AY601" s="290"/>
      <c r="AZ601" s="290"/>
      <c r="BA601" s="290"/>
      <c r="BB601" s="290"/>
      <c r="BC601" s="290"/>
      <c r="BD601" s="290"/>
      <c r="BE601" s="290"/>
      <c r="BF601" s="290"/>
      <c r="BG601" s="290"/>
      <c r="BH601" s="290"/>
      <c r="BI601" s="290"/>
      <c r="BJ601" s="290"/>
      <c r="BK601" s="290"/>
      <c r="BL601" s="290"/>
      <c r="BM601" s="290"/>
      <c r="BN601" s="290"/>
      <c r="BO601" s="290"/>
      <c r="BP601" s="290"/>
      <c r="BQ601" s="290"/>
      <c r="BR601" s="290"/>
      <c r="BS601" s="290"/>
      <c r="BT601" s="290"/>
      <c r="BU601" s="290"/>
      <c r="BV601" s="290"/>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row>
    <row r="602" customFormat="false" ht="15.75" hidden="false" customHeight="false" outlineLevel="0" collapsed="false">
      <c r="A602" s="290"/>
      <c r="B602" s="290"/>
      <c r="C602" s="290"/>
      <c r="D602" s="290"/>
      <c r="E602" s="290"/>
      <c r="F602" s="290"/>
      <c r="G602" s="290"/>
      <c r="H602" s="290"/>
      <c r="I602" s="290"/>
      <c r="J602" s="3"/>
      <c r="K602" s="290"/>
      <c r="L602" s="290"/>
      <c r="M602" s="290"/>
      <c r="N602" s="290"/>
      <c r="O602" s="290"/>
      <c r="P602" s="290"/>
      <c r="Q602" s="290"/>
      <c r="R602" s="290"/>
      <c r="S602" s="290"/>
      <c r="T602" s="290"/>
      <c r="U602" s="290"/>
      <c r="V602" s="290"/>
      <c r="W602" s="290"/>
      <c r="X602" s="290"/>
      <c r="Y602" s="290"/>
      <c r="Z602" s="290"/>
      <c r="AA602" s="290"/>
      <c r="AB602" s="290"/>
      <c r="AC602" s="290"/>
      <c r="AD602" s="290"/>
      <c r="AE602" s="290"/>
      <c r="AF602" s="290"/>
      <c r="AG602" s="290"/>
      <c r="AH602" s="290"/>
      <c r="AI602" s="290"/>
      <c r="AJ602" s="290"/>
      <c r="AK602" s="290"/>
      <c r="AL602" s="290"/>
      <c r="AM602" s="290"/>
      <c r="AN602" s="290"/>
      <c r="AO602" s="290"/>
      <c r="AP602" s="290"/>
      <c r="AQ602" s="290"/>
      <c r="AR602" s="290"/>
      <c r="AS602" s="290"/>
      <c r="AT602" s="290"/>
      <c r="AU602" s="290"/>
      <c r="AV602" s="290"/>
      <c r="AW602" s="290"/>
      <c r="AX602" s="290"/>
      <c r="AY602" s="290"/>
      <c r="AZ602" s="290"/>
      <c r="BA602" s="290"/>
      <c r="BB602" s="290"/>
      <c r="BC602" s="290"/>
      <c r="BD602" s="290"/>
      <c r="BE602" s="290"/>
      <c r="BF602" s="290"/>
      <c r="BG602" s="290"/>
      <c r="BH602" s="290"/>
      <c r="BI602" s="290"/>
      <c r="BJ602" s="290"/>
      <c r="BK602" s="290"/>
      <c r="BL602" s="290"/>
      <c r="BM602" s="290"/>
      <c r="BN602" s="290"/>
      <c r="BO602" s="290"/>
      <c r="BP602" s="290"/>
      <c r="BQ602" s="290"/>
      <c r="BR602" s="290"/>
      <c r="BS602" s="290"/>
      <c r="BT602" s="290"/>
      <c r="BU602" s="290"/>
      <c r="BV602" s="290"/>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row>
    <row r="603" customFormat="false" ht="15.75" hidden="false" customHeight="false" outlineLevel="0" collapsed="false">
      <c r="A603" s="290"/>
      <c r="B603" s="290"/>
      <c r="C603" s="290"/>
      <c r="D603" s="290"/>
      <c r="E603" s="290"/>
      <c r="F603" s="290"/>
      <c r="G603" s="290"/>
      <c r="H603" s="290"/>
      <c r="I603" s="290"/>
      <c r="J603" s="3"/>
      <c r="K603" s="290"/>
      <c r="L603" s="290"/>
      <c r="M603" s="290"/>
      <c r="N603" s="290"/>
      <c r="O603" s="290"/>
      <c r="P603" s="290"/>
      <c r="Q603" s="290"/>
      <c r="R603" s="290"/>
      <c r="S603" s="290"/>
      <c r="T603" s="290"/>
      <c r="U603" s="290"/>
      <c r="V603" s="290"/>
      <c r="W603" s="290"/>
      <c r="X603" s="290"/>
      <c r="Y603" s="290"/>
      <c r="Z603" s="290"/>
      <c r="AA603" s="290"/>
      <c r="AB603" s="290"/>
      <c r="AC603" s="290"/>
      <c r="AD603" s="290"/>
      <c r="AE603" s="290"/>
      <c r="AF603" s="290"/>
      <c r="AG603" s="290"/>
      <c r="AH603" s="290"/>
      <c r="AI603" s="290"/>
      <c r="AJ603" s="290"/>
      <c r="AK603" s="290"/>
      <c r="AL603" s="290"/>
      <c r="AM603" s="290"/>
      <c r="AN603" s="290"/>
      <c r="AO603" s="290"/>
      <c r="AP603" s="290"/>
      <c r="AQ603" s="290"/>
      <c r="AR603" s="290"/>
      <c r="AS603" s="290"/>
      <c r="AT603" s="290"/>
      <c r="AU603" s="290"/>
      <c r="AV603" s="290"/>
      <c r="AW603" s="290"/>
      <c r="AX603" s="290"/>
      <c r="AY603" s="290"/>
      <c r="AZ603" s="290"/>
      <c r="BA603" s="290"/>
      <c r="BB603" s="290"/>
      <c r="BC603" s="290"/>
      <c r="BD603" s="290"/>
      <c r="BE603" s="290"/>
      <c r="BF603" s="290"/>
      <c r="BG603" s="290"/>
      <c r="BH603" s="290"/>
      <c r="BI603" s="290"/>
      <c r="BJ603" s="290"/>
      <c r="BK603" s="290"/>
      <c r="BL603" s="290"/>
      <c r="BM603" s="290"/>
      <c r="BN603" s="290"/>
      <c r="BO603" s="290"/>
      <c r="BP603" s="290"/>
      <c r="BQ603" s="290"/>
      <c r="BR603" s="290"/>
      <c r="BS603" s="290"/>
      <c r="BT603" s="290"/>
      <c r="BU603" s="290"/>
      <c r="BV603" s="290"/>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row>
    <row r="604" customFormat="false" ht="15.75" hidden="false" customHeight="false" outlineLevel="0" collapsed="false">
      <c r="A604" s="290"/>
      <c r="B604" s="290"/>
      <c r="C604" s="290"/>
      <c r="D604" s="290"/>
      <c r="E604" s="290"/>
      <c r="F604" s="290"/>
      <c r="G604" s="290"/>
      <c r="H604" s="290"/>
      <c r="I604" s="290"/>
      <c r="J604" s="3"/>
      <c r="K604" s="290"/>
      <c r="L604" s="290"/>
      <c r="M604" s="290"/>
      <c r="N604" s="290"/>
      <c r="O604" s="290"/>
      <c r="P604" s="290"/>
      <c r="Q604" s="290"/>
      <c r="R604" s="290"/>
      <c r="S604" s="290"/>
      <c r="T604" s="290"/>
      <c r="U604" s="290"/>
      <c r="V604" s="290"/>
      <c r="W604" s="290"/>
      <c r="X604" s="290"/>
      <c r="Y604" s="290"/>
      <c r="Z604" s="290"/>
      <c r="AA604" s="290"/>
      <c r="AB604" s="290"/>
      <c r="AC604" s="290"/>
      <c r="AD604" s="290"/>
      <c r="AE604" s="290"/>
      <c r="AF604" s="290"/>
      <c r="AG604" s="290"/>
      <c r="AH604" s="290"/>
      <c r="AI604" s="290"/>
      <c r="AJ604" s="290"/>
      <c r="AK604" s="290"/>
      <c r="AL604" s="290"/>
      <c r="AM604" s="290"/>
      <c r="AN604" s="290"/>
      <c r="AO604" s="290"/>
      <c r="AP604" s="290"/>
      <c r="AQ604" s="290"/>
      <c r="AR604" s="290"/>
      <c r="AS604" s="290"/>
      <c r="AT604" s="290"/>
      <c r="AU604" s="290"/>
      <c r="AV604" s="290"/>
      <c r="AW604" s="290"/>
      <c r="AX604" s="290"/>
      <c r="AY604" s="290"/>
      <c r="AZ604" s="290"/>
      <c r="BA604" s="290"/>
      <c r="BB604" s="290"/>
      <c r="BC604" s="290"/>
      <c r="BD604" s="290"/>
      <c r="BE604" s="290"/>
      <c r="BF604" s="290"/>
      <c r="BG604" s="290"/>
      <c r="BH604" s="290"/>
      <c r="BI604" s="290"/>
      <c r="BJ604" s="290"/>
      <c r="BK604" s="290"/>
      <c r="BL604" s="290"/>
      <c r="BM604" s="290"/>
      <c r="BN604" s="290"/>
      <c r="BO604" s="290"/>
      <c r="BP604" s="290"/>
      <c r="BQ604" s="290"/>
      <c r="BR604" s="290"/>
      <c r="BS604" s="290"/>
      <c r="BT604" s="290"/>
      <c r="BU604" s="290"/>
      <c r="BV604" s="290"/>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row>
    <row r="605" customFormat="false" ht="15.75" hidden="false" customHeight="false" outlineLevel="0" collapsed="false">
      <c r="A605" s="290"/>
      <c r="B605" s="290"/>
      <c r="C605" s="290"/>
      <c r="D605" s="290"/>
      <c r="E605" s="290"/>
      <c r="F605" s="290"/>
      <c r="G605" s="290"/>
      <c r="H605" s="290"/>
      <c r="I605" s="290"/>
      <c r="J605" s="3"/>
      <c r="K605" s="290"/>
      <c r="L605" s="290"/>
      <c r="M605" s="290"/>
      <c r="N605" s="290"/>
      <c r="O605" s="290"/>
      <c r="P605" s="290"/>
      <c r="Q605" s="290"/>
      <c r="R605" s="290"/>
      <c r="S605" s="290"/>
      <c r="T605" s="290"/>
      <c r="U605" s="290"/>
      <c r="V605" s="290"/>
      <c r="W605" s="290"/>
      <c r="X605" s="290"/>
      <c r="Y605" s="290"/>
      <c r="Z605" s="290"/>
      <c r="AA605" s="290"/>
      <c r="AB605" s="290"/>
      <c r="AC605" s="290"/>
      <c r="AD605" s="290"/>
      <c r="AE605" s="290"/>
      <c r="AF605" s="290"/>
      <c r="AG605" s="290"/>
      <c r="AH605" s="290"/>
      <c r="AI605" s="290"/>
      <c r="AJ605" s="290"/>
      <c r="AK605" s="290"/>
      <c r="AL605" s="290"/>
      <c r="AM605" s="290"/>
      <c r="AN605" s="290"/>
      <c r="AO605" s="290"/>
      <c r="AP605" s="290"/>
      <c r="AQ605" s="290"/>
      <c r="AR605" s="290"/>
      <c r="AS605" s="290"/>
      <c r="AT605" s="290"/>
      <c r="AU605" s="290"/>
      <c r="AV605" s="290"/>
      <c r="AW605" s="290"/>
      <c r="AX605" s="290"/>
      <c r="AY605" s="290"/>
      <c r="AZ605" s="290"/>
      <c r="BA605" s="290"/>
      <c r="BB605" s="290"/>
      <c r="BC605" s="290"/>
      <c r="BD605" s="290"/>
      <c r="BE605" s="290"/>
      <c r="BF605" s="290"/>
      <c r="BG605" s="290"/>
      <c r="BH605" s="290"/>
      <c r="BI605" s="290"/>
      <c r="BJ605" s="290"/>
      <c r="BK605" s="290"/>
      <c r="BL605" s="290"/>
      <c r="BM605" s="290"/>
      <c r="BN605" s="290"/>
      <c r="BO605" s="290"/>
      <c r="BP605" s="290"/>
      <c r="BQ605" s="290"/>
      <c r="BR605" s="290"/>
      <c r="BS605" s="290"/>
      <c r="BT605" s="290"/>
      <c r="BU605" s="290"/>
      <c r="BV605" s="290"/>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row>
    <row r="606" customFormat="false" ht="15.75" hidden="false" customHeight="false" outlineLevel="0" collapsed="false">
      <c r="A606" s="290"/>
      <c r="B606" s="290"/>
      <c r="C606" s="290"/>
      <c r="D606" s="290"/>
      <c r="E606" s="290"/>
      <c r="F606" s="290"/>
      <c r="G606" s="290"/>
      <c r="H606" s="290"/>
      <c r="I606" s="290"/>
      <c r="J606" s="3"/>
      <c r="K606" s="290"/>
      <c r="L606" s="290"/>
      <c r="M606" s="290"/>
      <c r="N606" s="290"/>
      <c r="O606" s="290"/>
      <c r="P606" s="290"/>
      <c r="Q606" s="290"/>
      <c r="R606" s="290"/>
      <c r="S606" s="290"/>
      <c r="T606" s="290"/>
      <c r="U606" s="290"/>
      <c r="V606" s="290"/>
      <c r="W606" s="290"/>
      <c r="X606" s="290"/>
      <c r="Y606" s="290"/>
      <c r="Z606" s="290"/>
      <c r="AA606" s="290"/>
      <c r="AB606" s="290"/>
      <c r="AC606" s="290"/>
      <c r="AD606" s="290"/>
      <c r="AE606" s="290"/>
      <c r="AF606" s="290"/>
      <c r="AG606" s="290"/>
      <c r="AH606" s="290"/>
      <c r="AI606" s="290"/>
      <c r="AJ606" s="290"/>
      <c r="AK606" s="290"/>
      <c r="AL606" s="290"/>
      <c r="AM606" s="290"/>
      <c r="AN606" s="290"/>
      <c r="AO606" s="290"/>
      <c r="AP606" s="290"/>
      <c r="AQ606" s="290"/>
      <c r="AR606" s="290"/>
      <c r="AS606" s="290"/>
      <c r="AT606" s="290"/>
      <c r="AU606" s="290"/>
      <c r="AV606" s="290"/>
      <c r="AW606" s="290"/>
      <c r="AX606" s="290"/>
      <c r="AY606" s="290"/>
      <c r="AZ606" s="290"/>
      <c r="BA606" s="290"/>
      <c r="BB606" s="290"/>
      <c r="BC606" s="290"/>
      <c r="BD606" s="290"/>
      <c r="BE606" s="290"/>
      <c r="BF606" s="290"/>
      <c r="BG606" s="290"/>
      <c r="BH606" s="290"/>
      <c r="BI606" s="290"/>
      <c r="BJ606" s="290"/>
      <c r="BK606" s="290"/>
      <c r="BL606" s="290"/>
      <c r="BM606" s="290"/>
      <c r="BN606" s="290"/>
      <c r="BO606" s="290"/>
      <c r="BP606" s="290"/>
      <c r="BQ606" s="290"/>
      <c r="BR606" s="290"/>
      <c r="BS606" s="290"/>
      <c r="BT606" s="290"/>
      <c r="BU606" s="290"/>
      <c r="BV606" s="290"/>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row>
    <row r="607" customFormat="false" ht="15.75" hidden="false" customHeight="false" outlineLevel="0" collapsed="false">
      <c r="A607" s="290"/>
      <c r="B607" s="290"/>
      <c r="C607" s="290"/>
      <c r="D607" s="290"/>
      <c r="E607" s="290"/>
      <c r="F607" s="290"/>
      <c r="G607" s="290"/>
      <c r="H607" s="290"/>
      <c r="I607" s="290"/>
      <c r="J607" s="3"/>
      <c r="K607" s="290"/>
      <c r="L607" s="290"/>
      <c r="M607" s="290"/>
      <c r="N607" s="290"/>
      <c r="O607" s="290"/>
      <c r="P607" s="290"/>
      <c r="Q607" s="290"/>
      <c r="R607" s="290"/>
      <c r="S607" s="290"/>
      <c r="T607" s="290"/>
      <c r="U607" s="290"/>
      <c r="V607" s="290"/>
      <c r="W607" s="290"/>
      <c r="X607" s="290"/>
      <c r="Y607" s="290"/>
      <c r="Z607" s="290"/>
      <c r="AA607" s="290"/>
      <c r="AB607" s="290"/>
      <c r="AC607" s="290"/>
      <c r="AD607" s="290"/>
      <c r="AE607" s="290"/>
      <c r="AF607" s="290"/>
      <c r="AG607" s="290"/>
      <c r="AH607" s="290"/>
      <c r="AI607" s="290"/>
      <c r="AJ607" s="290"/>
      <c r="AK607" s="290"/>
      <c r="AL607" s="290"/>
      <c r="AM607" s="290"/>
      <c r="AN607" s="290"/>
      <c r="AO607" s="290"/>
      <c r="AP607" s="290"/>
      <c r="AQ607" s="290"/>
      <c r="AR607" s="290"/>
      <c r="AS607" s="290"/>
      <c r="AT607" s="290"/>
      <c r="AU607" s="290"/>
      <c r="AV607" s="290"/>
      <c r="AW607" s="290"/>
      <c r="AX607" s="290"/>
      <c r="AY607" s="290"/>
      <c r="AZ607" s="290"/>
      <c r="BA607" s="290"/>
      <c r="BB607" s="290"/>
      <c r="BC607" s="290"/>
      <c r="BD607" s="290"/>
      <c r="BE607" s="290"/>
      <c r="BF607" s="290"/>
      <c r="BG607" s="290"/>
      <c r="BH607" s="290"/>
      <c r="BI607" s="290"/>
      <c r="BJ607" s="290"/>
      <c r="BK607" s="290"/>
      <c r="BL607" s="290"/>
      <c r="BM607" s="290"/>
      <c r="BN607" s="290"/>
      <c r="BO607" s="290"/>
      <c r="BP607" s="290"/>
      <c r="BQ607" s="290"/>
      <c r="BR607" s="290"/>
      <c r="BS607" s="290"/>
      <c r="BT607" s="290"/>
      <c r="BU607" s="290"/>
      <c r="BV607" s="290"/>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row>
    <row r="608" customFormat="false" ht="15.75" hidden="false" customHeight="false" outlineLevel="0" collapsed="false">
      <c r="A608" s="290"/>
      <c r="B608" s="290"/>
      <c r="C608" s="290"/>
      <c r="D608" s="290"/>
      <c r="E608" s="290"/>
      <c r="F608" s="290"/>
      <c r="G608" s="290"/>
      <c r="H608" s="290"/>
      <c r="I608" s="290"/>
      <c r="J608" s="3"/>
      <c r="K608" s="290"/>
      <c r="L608" s="290"/>
      <c r="M608" s="290"/>
      <c r="N608" s="290"/>
      <c r="O608" s="290"/>
      <c r="P608" s="290"/>
      <c r="Q608" s="290"/>
      <c r="R608" s="290"/>
      <c r="S608" s="290"/>
      <c r="T608" s="290"/>
      <c r="U608" s="290"/>
      <c r="V608" s="290"/>
      <c r="W608" s="290"/>
      <c r="X608" s="290"/>
      <c r="Y608" s="290"/>
      <c r="Z608" s="290"/>
      <c r="AA608" s="290"/>
      <c r="AB608" s="290"/>
      <c r="AC608" s="290"/>
      <c r="AD608" s="290"/>
      <c r="AE608" s="290"/>
      <c r="AF608" s="290"/>
      <c r="AG608" s="290"/>
      <c r="AH608" s="290"/>
      <c r="AI608" s="290"/>
      <c r="AJ608" s="290"/>
      <c r="AK608" s="290"/>
      <c r="AL608" s="290"/>
      <c r="AM608" s="290"/>
      <c r="AN608" s="290"/>
      <c r="AO608" s="290"/>
      <c r="AP608" s="290"/>
      <c r="AQ608" s="290"/>
      <c r="AR608" s="290"/>
      <c r="AS608" s="290"/>
      <c r="AT608" s="290"/>
      <c r="AU608" s="290"/>
      <c r="AV608" s="290"/>
      <c r="AW608" s="290"/>
      <c r="AX608" s="290"/>
      <c r="AY608" s="290"/>
      <c r="AZ608" s="290"/>
      <c r="BA608" s="290"/>
      <c r="BB608" s="290"/>
      <c r="BC608" s="290"/>
      <c r="BD608" s="290"/>
      <c r="BE608" s="290"/>
      <c r="BF608" s="290"/>
      <c r="BG608" s="290"/>
      <c r="BH608" s="290"/>
      <c r="BI608" s="290"/>
      <c r="BJ608" s="290"/>
      <c r="BK608" s="290"/>
      <c r="BL608" s="290"/>
      <c r="BM608" s="290"/>
      <c r="BN608" s="290"/>
      <c r="BO608" s="290"/>
      <c r="BP608" s="290"/>
      <c r="BQ608" s="290"/>
      <c r="BR608" s="290"/>
      <c r="BS608" s="290"/>
      <c r="BT608" s="290"/>
      <c r="BU608" s="290"/>
      <c r="BV608" s="290"/>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row>
    <row r="609" customFormat="false" ht="15.75" hidden="false" customHeight="false" outlineLevel="0" collapsed="false">
      <c r="A609" s="290"/>
      <c r="B609" s="290"/>
      <c r="C609" s="290"/>
      <c r="D609" s="290"/>
      <c r="E609" s="290"/>
      <c r="F609" s="290"/>
      <c r="G609" s="290"/>
      <c r="H609" s="290"/>
      <c r="I609" s="290"/>
      <c r="J609" s="3"/>
      <c r="K609" s="290"/>
      <c r="L609" s="290"/>
      <c r="M609" s="290"/>
      <c r="N609" s="290"/>
      <c r="O609" s="290"/>
      <c r="P609" s="290"/>
      <c r="Q609" s="290"/>
      <c r="R609" s="290"/>
      <c r="S609" s="290"/>
      <c r="T609" s="290"/>
      <c r="U609" s="290"/>
      <c r="V609" s="290"/>
      <c r="W609" s="290"/>
      <c r="X609" s="290"/>
      <c r="Y609" s="290"/>
      <c r="Z609" s="290"/>
      <c r="AA609" s="290"/>
      <c r="AB609" s="290"/>
      <c r="AC609" s="290"/>
      <c r="AD609" s="290"/>
      <c r="AE609" s="290"/>
      <c r="AF609" s="290"/>
      <c r="AG609" s="290"/>
      <c r="AH609" s="290"/>
      <c r="AI609" s="290"/>
      <c r="AJ609" s="290"/>
      <c r="AK609" s="290"/>
      <c r="AL609" s="290"/>
      <c r="AM609" s="290"/>
      <c r="AN609" s="290"/>
      <c r="AO609" s="290"/>
      <c r="AP609" s="290"/>
      <c r="AQ609" s="290"/>
      <c r="AR609" s="290"/>
      <c r="AS609" s="290"/>
      <c r="AT609" s="290"/>
      <c r="AU609" s="290"/>
      <c r="AV609" s="290"/>
      <c r="AW609" s="290"/>
      <c r="AX609" s="290"/>
      <c r="AY609" s="290"/>
      <c r="AZ609" s="290"/>
      <c r="BA609" s="290"/>
      <c r="BB609" s="290"/>
      <c r="BC609" s="290"/>
      <c r="BD609" s="290"/>
      <c r="BE609" s="290"/>
      <c r="BF609" s="290"/>
      <c r="BG609" s="290"/>
      <c r="BH609" s="290"/>
      <c r="BI609" s="290"/>
      <c r="BJ609" s="290"/>
      <c r="BK609" s="290"/>
      <c r="BL609" s="290"/>
      <c r="BM609" s="290"/>
      <c r="BN609" s="290"/>
      <c r="BO609" s="290"/>
      <c r="BP609" s="290"/>
      <c r="BQ609" s="290"/>
      <c r="BR609" s="290"/>
      <c r="BS609" s="290"/>
      <c r="BT609" s="290"/>
      <c r="BU609" s="290"/>
      <c r="BV609" s="290"/>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row>
    <row r="610" customFormat="false" ht="15.75" hidden="false" customHeight="false" outlineLevel="0" collapsed="false">
      <c r="A610" s="290"/>
      <c r="B610" s="290"/>
      <c r="C610" s="290"/>
      <c r="D610" s="290"/>
      <c r="E610" s="290"/>
      <c r="F610" s="290"/>
      <c r="G610" s="290"/>
      <c r="H610" s="290"/>
      <c r="I610" s="290"/>
      <c r="J610" s="3"/>
      <c r="K610" s="290"/>
      <c r="L610" s="290"/>
      <c r="M610" s="290"/>
      <c r="N610" s="290"/>
      <c r="O610" s="290"/>
      <c r="P610" s="290"/>
      <c r="Q610" s="290"/>
      <c r="R610" s="290"/>
      <c r="S610" s="290"/>
      <c r="T610" s="290"/>
      <c r="U610" s="290"/>
      <c r="V610" s="290"/>
      <c r="W610" s="290"/>
      <c r="X610" s="290"/>
      <c r="Y610" s="290"/>
      <c r="Z610" s="290"/>
      <c r="AA610" s="290"/>
      <c r="AB610" s="290"/>
      <c r="AC610" s="290"/>
      <c r="AD610" s="290"/>
      <c r="AE610" s="290"/>
      <c r="AF610" s="290"/>
      <c r="AG610" s="290"/>
      <c r="AH610" s="290"/>
      <c r="AI610" s="290"/>
      <c r="AJ610" s="290"/>
      <c r="AK610" s="290"/>
      <c r="AL610" s="290"/>
      <c r="AM610" s="290"/>
      <c r="AN610" s="290"/>
      <c r="AO610" s="290"/>
      <c r="AP610" s="290"/>
      <c r="AQ610" s="290"/>
      <c r="AR610" s="290"/>
      <c r="AS610" s="290"/>
      <c r="AT610" s="290"/>
      <c r="AU610" s="290"/>
      <c r="AV610" s="290"/>
      <c r="AW610" s="290"/>
      <c r="AX610" s="290"/>
      <c r="AY610" s="290"/>
      <c r="AZ610" s="290"/>
      <c r="BA610" s="290"/>
      <c r="BB610" s="290"/>
      <c r="BC610" s="290"/>
      <c r="BD610" s="290"/>
      <c r="BE610" s="290"/>
      <c r="BF610" s="290"/>
      <c r="BG610" s="290"/>
      <c r="BH610" s="290"/>
      <c r="BI610" s="290"/>
      <c r="BJ610" s="290"/>
      <c r="BK610" s="290"/>
      <c r="BL610" s="290"/>
      <c r="BM610" s="290"/>
      <c r="BN610" s="290"/>
      <c r="BO610" s="290"/>
      <c r="BP610" s="290"/>
      <c r="BQ610" s="290"/>
      <c r="BR610" s="290"/>
      <c r="BS610" s="290"/>
      <c r="BT610" s="290"/>
      <c r="BU610" s="290"/>
      <c r="BV610" s="290"/>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row>
    <row r="611" customFormat="false" ht="15.75" hidden="false" customHeight="false" outlineLevel="0" collapsed="false">
      <c r="A611" s="290"/>
      <c r="B611" s="290"/>
      <c r="C611" s="290"/>
      <c r="D611" s="290"/>
      <c r="E611" s="290"/>
      <c r="F611" s="290"/>
      <c r="G611" s="290"/>
      <c r="H611" s="290"/>
      <c r="I611" s="290"/>
      <c r="J611" s="3"/>
      <c r="K611" s="290"/>
      <c r="L611" s="290"/>
      <c r="M611" s="290"/>
      <c r="N611" s="290"/>
      <c r="O611" s="290"/>
      <c r="P611" s="290"/>
      <c r="Q611" s="290"/>
      <c r="R611" s="290"/>
      <c r="S611" s="290"/>
      <c r="T611" s="290"/>
      <c r="U611" s="290"/>
      <c r="V611" s="290"/>
      <c r="W611" s="290"/>
      <c r="X611" s="290"/>
      <c r="Y611" s="290"/>
      <c r="Z611" s="290"/>
      <c r="AA611" s="290"/>
      <c r="AB611" s="290"/>
      <c r="AC611" s="290"/>
      <c r="AD611" s="290"/>
      <c r="AE611" s="290"/>
      <c r="AF611" s="290"/>
      <c r="AG611" s="290"/>
      <c r="AH611" s="290"/>
      <c r="AI611" s="290"/>
      <c r="AJ611" s="290"/>
      <c r="AK611" s="290"/>
      <c r="AL611" s="290"/>
      <c r="AM611" s="290"/>
      <c r="AN611" s="290"/>
      <c r="AO611" s="290"/>
      <c r="AP611" s="290"/>
      <c r="AQ611" s="290"/>
      <c r="AR611" s="290"/>
      <c r="AS611" s="290"/>
      <c r="AT611" s="290"/>
      <c r="AU611" s="290"/>
      <c r="AV611" s="290"/>
      <c r="AW611" s="290"/>
      <c r="AX611" s="290"/>
      <c r="AY611" s="290"/>
      <c r="AZ611" s="290"/>
      <c r="BA611" s="290"/>
      <c r="BB611" s="290"/>
      <c r="BC611" s="290"/>
      <c r="BD611" s="290"/>
      <c r="BE611" s="290"/>
      <c r="BF611" s="290"/>
      <c r="BG611" s="290"/>
      <c r="BH611" s="290"/>
      <c r="BI611" s="290"/>
      <c r="BJ611" s="290"/>
      <c r="BK611" s="290"/>
      <c r="BL611" s="290"/>
      <c r="BM611" s="290"/>
      <c r="BN611" s="290"/>
      <c r="BO611" s="290"/>
      <c r="BP611" s="290"/>
      <c r="BQ611" s="290"/>
      <c r="BR611" s="290"/>
      <c r="BS611" s="290"/>
      <c r="BT611" s="290"/>
      <c r="BU611" s="290"/>
      <c r="BV611" s="290"/>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row>
    <row r="612" customFormat="false" ht="15.75" hidden="false" customHeight="false" outlineLevel="0" collapsed="false">
      <c r="A612" s="290"/>
      <c r="B612" s="290"/>
      <c r="C612" s="290"/>
      <c r="D612" s="290"/>
      <c r="E612" s="290"/>
      <c r="F612" s="290"/>
      <c r="G612" s="290"/>
      <c r="H612" s="290"/>
      <c r="I612" s="290"/>
      <c r="J612" s="3"/>
      <c r="K612" s="290"/>
      <c r="L612" s="290"/>
      <c r="M612" s="290"/>
      <c r="N612" s="290"/>
      <c r="O612" s="290"/>
      <c r="P612" s="290"/>
      <c r="Q612" s="290"/>
      <c r="R612" s="290"/>
      <c r="S612" s="290"/>
      <c r="T612" s="290"/>
      <c r="U612" s="290"/>
      <c r="V612" s="290"/>
      <c r="W612" s="290"/>
      <c r="X612" s="290"/>
      <c r="Y612" s="290"/>
      <c r="Z612" s="290"/>
      <c r="AA612" s="290"/>
      <c r="AB612" s="290"/>
      <c r="AC612" s="290"/>
      <c r="AD612" s="290"/>
      <c r="AE612" s="290"/>
      <c r="AF612" s="290"/>
      <c r="AG612" s="290"/>
      <c r="AH612" s="290"/>
      <c r="AI612" s="290"/>
      <c r="AJ612" s="290"/>
      <c r="AK612" s="290"/>
      <c r="AL612" s="290"/>
      <c r="AM612" s="290"/>
      <c r="AN612" s="290"/>
      <c r="AO612" s="290"/>
      <c r="AP612" s="290"/>
      <c r="AQ612" s="290"/>
      <c r="AR612" s="290"/>
      <c r="AS612" s="290"/>
      <c r="AT612" s="290"/>
      <c r="AU612" s="290"/>
      <c r="AV612" s="290"/>
      <c r="AW612" s="290"/>
      <c r="AX612" s="290"/>
      <c r="AY612" s="290"/>
      <c r="AZ612" s="290"/>
      <c r="BA612" s="290"/>
      <c r="BB612" s="290"/>
      <c r="BC612" s="290"/>
      <c r="BD612" s="290"/>
      <c r="BE612" s="290"/>
      <c r="BF612" s="290"/>
      <c r="BG612" s="290"/>
      <c r="BH612" s="290"/>
      <c r="BI612" s="290"/>
      <c r="BJ612" s="290"/>
      <c r="BK612" s="290"/>
      <c r="BL612" s="290"/>
      <c r="BM612" s="290"/>
      <c r="BN612" s="290"/>
      <c r="BO612" s="290"/>
      <c r="BP612" s="290"/>
      <c r="BQ612" s="290"/>
      <c r="BR612" s="290"/>
      <c r="BS612" s="290"/>
      <c r="BT612" s="290"/>
      <c r="BU612" s="290"/>
      <c r="BV612" s="290"/>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row>
    <row r="613" customFormat="false" ht="15.75" hidden="false" customHeight="false" outlineLevel="0" collapsed="false">
      <c r="A613" s="290"/>
      <c r="B613" s="290"/>
      <c r="C613" s="290"/>
      <c r="D613" s="290"/>
      <c r="E613" s="290"/>
      <c r="F613" s="290"/>
      <c r="G613" s="290"/>
      <c r="H613" s="290"/>
      <c r="I613" s="290"/>
      <c r="J613" s="3"/>
      <c r="K613" s="290"/>
      <c r="L613" s="290"/>
      <c r="M613" s="290"/>
      <c r="N613" s="290"/>
      <c r="O613" s="290"/>
      <c r="P613" s="290"/>
      <c r="Q613" s="290"/>
      <c r="R613" s="290"/>
      <c r="S613" s="290"/>
      <c r="T613" s="290"/>
      <c r="U613" s="290"/>
      <c r="V613" s="290"/>
      <c r="W613" s="290"/>
      <c r="X613" s="290"/>
      <c r="Y613" s="290"/>
      <c r="Z613" s="290"/>
      <c r="AA613" s="290"/>
      <c r="AB613" s="290"/>
      <c r="AC613" s="290"/>
      <c r="AD613" s="290"/>
      <c r="AE613" s="290"/>
      <c r="AF613" s="290"/>
      <c r="AG613" s="290"/>
      <c r="AH613" s="290"/>
      <c r="AI613" s="290"/>
      <c r="AJ613" s="290"/>
      <c r="AK613" s="290"/>
      <c r="AL613" s="290"/>
      <c r="AM613" s="290"/>
      <c r="AN613" s="290"/>
      <c r="AO613" s="290"/>
      <c r="AP613" s="290"/>
      <c r="AQ613" s="290"/>
      <c r="AR613" s="290"/>
      <c r="AS613" s="290"/>
      <c r="AT613" s="290"/>
      <c r="AU613" s="290"/>
      <c r="AV613" s="290"/>
      <c r="AW613" s="290"/>
      <c r="AX613" s="290"/>
      <c r="AY613" s="290"/>
      <c r="AZ613" s="290"/>
      <c r="BA613" s="290"/>
      <c r="BB613" s="290"/>
      <c r="BC613" s="290"/>
      <c r="BD613" s="290"/>
      <c r="BE613" s="290"/>
      <c r="BF613" s="290"/>
      <c r="BG613" s="290"/>
      <c r="BH613" s="290"/>
      <c r="BI613" s="290"/>
      <c r="BJ613" s="290"/>
      <c r="BK613" s="290"/>
      <c r="BL613" s="290"/>
      <c r="BM613" s="290"/>
      <c r="BN613" s="290"/>
      <c r="BO613" s="290"/>
      <c r="BP613" s="290"/>
      <c r="BQ613" s="290"/>
      <c r="BR613" s="290"/>
      <c r="BS613" s="290"/>
      <c r="BT613" s="290"/>
      <c r="BU613" s="290"/>
      <c r="BV613" s="290"/>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row>
    <row r="614" customFormat="false" ht="15.75" hidden="false" customHeight="false" outlineLevel="0" collapsed="false">
      <c r="A614" s="290"/>
      <c r="B614" s="290"/>
      <c r="C614" s="290"/>
      <c r="D614" s="290"/>
      <c r="E614" s="290"/>
      <c r="F614" s="290"/>
      <c r="G614" s="290"/>
      <c r="H614" s="290"/>
      <c r="I614" s="290"/>
      <c r="J614" s="3"/>
      <c r="K614" s="290"/>
      <c r="L614" s="290"/>
      <c r="M614" s="290"/>
      <c r="N614" s="290"/>
      <c r="O614" s="290"/>
      <c r="P614" s="290"/>
      <c r="Q614" s="290"/>
      <c r="R614" s="290"/>
      <c r="S614" s="290"/>
      <c r="T614" s="290"/>
      <c r="U614" s="290"/>
      <c r="V614" s="290"/>
      <c r="W614" s="290"/>
      <c r="X614" s="290"/>
      <c r="Y614" s="290"/>
      <c r="Z614" s="290"/>
      <c r="AA614" s="290"/>
      <c r="AB614" s="290"/>
      <c r="AC614" s="290"/>
      <c r="AD614" s="290"/>
      <c r="AE614" s="290"/>
      <c r="AF614" s="290"/>
      <c r="AG614" s="290"/>
      <c r="AH614" s="290"/>
      <c r="AI614" s="290"/>
      <c r="AJ614" s="290"/>
      <c r="AK614" s="290"/>
      <c r="AL614" s="290"/>
      <c r="AM614" s="290"/>
      <c r="AN614" s="290"/>
      <c r="AO614" s="290"/>
      <c r="AP614" s="290"/>
      <c r="AQ614" s="290"/>
      <c r="AR614" s="290"/>
      <c r="AS614" s="290"/>
      <c r="AT614" s="290"/>
      <c r="AU614" s="290"/>
      <c r="AV614" s="290"/>
      <c r="AW614" s="290"/>
      <c r="AX614" s="290"/>
      <c r="AY614" s="290"/>
      <c r="AZ614" s="290"/>
      <c r="BA614" s="290"/>
      <c r="BB614" s="290"/>
      <c r="BC614" s="290"/>
      <c r="BD614" s="290"/>
      <c r="BE614" s="290"/>
      <c r="BF614" s="290"/>
      <c r="BG614" s="290"/>
      <c r="BH614" s="290"/>
      <c r="BI614" s="290"/>
      <c r="BJ614" s="290"/>
      <c r="BK614" s="290"/>
      <c r="BL614" s="290"/>
      <c r="BM614" s="290"/>
      <c r="BN614" s="290"/>
      <c r="BO614" s="290"/>
      <c r="BP614" s="290"/>
      <c r="BQ614" s="290"/>
      <c r="BR614" s="290"/>
      <c r="BS614" s="290"/>
      <c r="BT614" s="290"/>
      <c r="BU614" s="290"/>
      <c r="BV614" s="290"/>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row>
    <row r="615" customFormat="false" ht="15.75" hidden="false" customHeight="false" outlineLevel="0" collapsed="false">
      <c r="A615" s="290"/>
      <c r="B615" s="290"/>
      <c r="C615" s="290"/>
      <c r="D615" s="290"/>
      <c r="E615" s="290"/>
      <c r="F615" s="290"/>
      <c r="G615" s="290"/>
      <c r="H615" s="290"/>
      <c r="I615" s="290"/>
      <c r="J615" s="3"/>
      <c r="K615" s="290"/>
      <c r="L615" s="290"/>
      <c r="M615" s="290"/>
      <c r="N615" s="290"/>
      <c r="O615" s="290"/>
      <c r="P615" s="290"/>
      <c r="Q615" s="290"/>
      <c r="R615" s="290"/>
      <c r="S615" s="290"/>
      <c r="T615" s="290"/>
      <c r="U615" s="290"/>
      <c r="V615" s="290"/>
      <c r="W615" s="290"/>
      <c r="X615" s="290"/>
      <c r="Y615" s="290"/>
      <c r="Z615" s="290"/>
      <c r="AA615" s="290"/>
      <c r="AB615" s="290"/>
      <c r="AC615" s="290"/>
      <c r="AD615" s="290"/>
      <c r="AE615" s="290"/>
      <c r="AF615" s="290"/>
      <c r="AG615" s="290"/>
      <c r="AH615" s="290"/>
      <c r="AI615" s="290"/>
      <c r="AJ615" s="290"/>
      <c r="AK615" s="290"/>
      <c r="AL615" s="290"/>
      <c r="AM615" s="290"/>
      <c r="AN615" s="290"/>
      <c r="AO615" s="290"/>
      <c r="AP615" s="290"/>
      <c r="AQ615" s="290"/>
      <c r="AR615" s="290"/>
      <c r="AS615" s="290"/>
      <c r="AT615" s="290"/>
      <c r="AU615" s="290"/>
      <c r="AV615" s="290"/>
      <c r="AW615" s="290"/>
      <c r="AX615" s="290"/>
      <c r="AY615" s="290"/>
      <c r="AZ615" s="290"/>
      <c r="BA615" s="290"/>
      <c r="BB615" s="290"/>
      <c r="BC615" s="290"/>
      <c r="BD615" s="290"/>
      <c r="BE615" s="290"/>
      <c r="BF615" s="290"/>
      <c r="BG615" s="290"/>
      <c r="BH615" s="290"/>
      <c r="BI615" s="290"/>
      <c r="BJ615" s="290"/>
      <c r="BK615" s="290"/>
      <c r="BL615" s="290"/>
      <c r="BM615" s="290"/>
      <c r="BN615" s="290"/>
      <c r="BO615" s="290"/>
      <c r="BP615" s="290"/>
      <c r="BQ615" s="290"/>
      <c r="BR615" s="290"/>
      <c r="BS615" s="290"/>
      <c r="BT615" s="290"/>
      <c r="BU615" s="290"/>
      <c r="BV615" s="290"/>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row>
    <row r="616" customFormat="false" ht="15.75" hidden="false" customHeight="false" outlineLevel="0" collapsed="false">
      <c r="A616" s="290"/>
      <c r="B616" s="290"/>
      <c r="C616" s="290"/>
      <c r="D616" s="290"/>
      <c r="E616" s="290"/>
      <c r="F616" s="290"/>
      <c r="G616" s="290"/>
      <c r="H616" s="290"/>
      <c r="I616" s="290"/>
      <c r="J616" s="3"/>
      <c r="K616" s="290"/>
      <c r="L616" s="290"/>
      <c r="M616" s="290"/>
      <c r="N616" s="290"/>
      <c r="O616" s="290"/>
      <c r="P616" s="290"/>
      <c r="Q616" s="290"/>
      <c r="R616" s="290"/>
      <c r="S616" s="290"/>
      <c r="T616" s="290"/>
      <c r="U616" s="290"/>
      <c r="V616" s="290"/>
      <c r="W616" s="290"/>
      <c r="X616" s="290"/>
      <c r="Y616" s="290"/>
      <c r="Z616" s="290"/>
      <c r="AA616" s="290"/>
      <c r="AB616" s="290"/>
      <c r="AC616" s="290"/>
      <c r="AD616" s="290"/>
      <c r="AE616" s="290"/>
      <c r="AF616" s="290"/>
      <c r="AG616" s="290"/>
      <c r="AH616" s="290"/>
      <c r="AI616" s="290"/>
      <c r="AJ616" s="290"/>
      <c r="AK616" s="290"/>
      <c r="AL616" s="290"/>
      <c r="AM616" s="290"/>
      <c r="AN616" s="290"/>
      <c r="AO616" s="290"/>
      <c r="AP616" s="290"/>
      <c r="AQ616" s="290"/>
      <c r="AR616" s="290"/>
      <c r="AS616" s="290"/>
      <c r="AT616" s="290"/>
      <c r="AU616" s="290"/>
      <c r="AV616" s="290"/>
      <c r="AW616" s="290"/>
      <c r="AX616" s="290"/>
      <c r="AY616" s="290"/>
      <c r="AZ616" s="290"/>
      <c r="BA616" s="290"/>
      <c r="BB616" s="290"/>
      <c r="BC616" s="290"/>
      <c r="BD616" s="290"/>
      <c r="BE616" s="290"/>
      <c r="BF616" s="290"/>
      <c r="BG616" s="290"/>
      <c r="BH616" s="290"/>
      <c r="BI616" s="290"/>
      <c r="BJ616" s="290"/>
      <c r="BK616" s="290"/>
      <c r="BL616" s="290"/>
      <c r="BM616" s="290"/>
      <c r="BN616" s="290"/>
      <c r="BO616" s="290"/>
      <c r="BP616" s="290"/>
      <c r="BQ616" s="290"/>
      <c r="BR616" s="290"/>
      <c r="BS616" s="290"/>
      <c r="BT616" s="290"/>
      <c r="BU616" s="290"/>
      <c r="BV616" s="290"/>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row>
    <row r="617" customFormat="false" ht="15.75" hidden="false" customHeight="false" outlineLevel="0" collapsed="false">
      <c r="A617" s="290"/>
      <c r="B617" s="290"/>
      <c r="C617" s="290"/>
      <c r="D617" s="290"/>
      <c r="E617" s="290"/>
      <c r="F617" s="290"/>
      <c r="G617" s="290"/>
      <c r="H617" s="290"/>
      <c r="I617" s="290"/>
      <c r="J617" s="3"/>
      <c r="K617" s="290"/>
      <c r="L617" s="290"/>
      <c r="M617" s="290"/>
      <c r="N617" s="290"/>
      <c r="O617" s="290"/>
      <c r="P617" s="290"/>
      <c r="Q617" s="290"/>
      <c r="R617" s="290"/>
      <c r="S617" s="290"/>
      <c r="T617" s="290"/>
      <c r="U617" s="290"/>
      <c r="V617" s="290"/>
      <c r="W617" s="290"/>
      <c r="X617" s="290"/>
      <c r="Y617" s="290"/>
      <c r="Z617" s="290"/>
      <c r="AA617" s="290"/>
      <c r="AB617" s="290"/>
      <c r="AC617" s="290"/>
      <c r="AD617" s="290"/>
      <c r="AE617" s="290"/>
      <c r="AF617" s="290"/>
      <c r="AG617" s="290"/>
      <c r="AH617" s="290"/>
      <c r="AI617" s="290"/>
      <c r="AJ617" s="290"/>
      <c r="AK617" s="290"/>
      <c r="AL617" s="290"/>
      <c r="AM617" s="290"/>
      <c r="AN617" s="290"/>
      <c r="AO617" s="290"/>
      <c r="AP617" s="290"/>
      <c r="AQ617" s="290"/>
      <c r="AR617" s="290"/>
      <c r="AS617" s="290"/>
      <c r="AT617" s="290"/>
      <c r="AU617" s="290"/>
      <c r="AV617" s="290"/>
      <c r="AW617" s="290"/>
      <c r="AX617" s="290"/>
      <c r="AY617" s="290"/>
      <c r="AZ617" s="290"/>
      <c r="BA617" s="290"/>
      <c r="BB617" s="290"/>
      <c r="BC617" s="290"/>
      <c r="BD617" s="290"/>
      <c r="BE617" s="290"/>
      <c r="BF617" s="290"/>
      <c r="BG617" s="290"/>
      <c r="BH617" s="290"/>
      <c r="BI617" s="290"/>
      <c r="BJ617" s="290"/>
      <c r="BK617" s="290"/>
      <c r="BL617" s="290"/>
      <c r="BM617" s="290"/>
      <c r="BN617" s="290"/>
      <c r="BO617" s="290"/>
      <c r="BP617" s="290"/>
      <c r="BQ617" s="290"/>
      <c r="BR617" s="290"/>
      <c r="BS617" s="290"/>
      <c r="BT617" s="290"/>
      <c r="BU617" s="290"/>
      <c r="BV617" s="290"/>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row>
    <row r="618" customFormat="false" ht="15.75" hidden="false" customHeight="false" outlineLevel="0" collapsed="false">
      <c r="A618" s="290"/>
      <c r="B618" s="290"/>
      <c r="C618" s="290"/>
      <c r="D618" s="290"/>
      <c r="E618" s="290"/>
      <c r="F618" s="290"/>
      <c r="G618" s="290"/>
      <c r="H618" s="290"/>
      <c r="I618" s="290"/>
      <c r="J618" s="3"/>
      <c r="K618" s="290"/>
      <c r="L618" s="290"/>
      <c r="M618" s="290"/>
      <c r="N618" s="290"/>
      <c r="O618" s="290"/>
      <c r="P618" s="290"/>
      <c r="Q618" s="290"/>
      <c r="R618" s="290"/>
      <c r="S618" s="290"/>
      <c r="T618" s="290"/>
      <c r="U618" s="290"/>
      <c r="V618" s="290"/>
      <c r="W618" s="290"/>
      <c r="X618" s="290"/>
      <c r="Y618" s="290"/>
      <c r="Z618" s="290"/>
      <c r="AA618" s="290"/>
      <c r="AB618" s="290"/>
      <c r="AC618" s="290"/>
      <c r="AD618" s="290"/>
      <c r="AE618" s="290"/>
      <c r="AF618" s="290"/>
      <c r="AG618" s="290"/>
      <c r="AH618" s="290"/>
      <c r="AI618" s="290"/>
      <c r="AJ618" s="290"/>
      <c r="AK618" s="290"/>
      <c r="AL618" s="290"/>
      <c r="AM618" s="290"/>
      <c r="AN618" s="290"/>
      <c r="AO618" s="290"/>
      <c r="AP618" s="290"/>
      <c r="AQ618" s="290"/>
      <c r="AR618" s="290"/>
      <c r="AS618" s="290"/>
      <c r="AT618" s="290"/>
      <c r="AU618" s="290"/>
      <c r="AV618" s="290"/>
      <c r="AW618" s="290"/>
      <c r="AX618" s="290"/>
      <c r="AY618" s="290"/>
      <c r="AZ618" s="290"/>
      <c r="BA618" s="290"/>
      <c r="BB618" s="290"/>
      <c r="BC618" s="290"/>
      <c r="BD618" s="290"/>
      <c r="BE618" s="290"/>
      <c r="BF618" s="290"/>
      <c r="BG618" s="290"/>
      <c r="BH618" s="290"/>
      <c r="BI618" s="290"/>
      <c r="BJ618" s="290"/>
      <c r="BK618" s="290"/>
      <c r="BL618" s="290"/>
      <c r="BM618" s="290"/>
      <c r="BN618" s="290"/>
      <c r="BO618" s="290"/>
      <c r="BP618" s="290"/>
      <c r="BQ618" s="290"/>
      <c r="BR618" s="290"/>
      <c r="BS618" s="290"/>
      <c r="BT618" s="290"/>
      <c r="BU618" s="290"/>
      <c r="BV618" s="290"/>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row>
    <row r="619" customFormat="false" ht="15.75" hidden="false" customHeight="false" outlineLevel="0" collapsed="false">
      <c r="A619" s="290"/>
      <c r="B619" s="290"/>
      <c r="C619" s="290"/>
      <c r="D619" s="290"/>
      <c r="E619" s="290"/>
      <c r="F619" s="290"/>
      <c r="G619" s="290"/>
      <c r="H619" s="290"/>
      <c r="I619" s="290"/>
      <c r="J619" s="3"/>
      <c r="K619" s="290"/>
      <c r="L619" s="290"/>
      <c r="M619" s="290"/>
      <c r="N619" s="290"/>
      <c r="O619" s="290"/>
      <c r="P619" s="290"/>
      <c r="Q619" s="290"/>
      <c r="R619" s="290"/>
      <c r="S619" s="290"/>
      <c r="T619" s="290"/>
      <c r="U619" s="290"/>
      <c r="V619" s="290"/>
      <c r="W619" s="290"/>
      <c r="X619" s="290"/>
      <c r="Y619" s="290"/>
      <c r="Z619" s="290"/>
      <c r="AA619" s="290"/>
      <c r="AB619" s="290"/>
      <c r="AC619" s="290"/>
      <c r="AD619" s="290"/>
      <c r="AE619" s="290"/>
      <c r="AF619" s="290"/>
      <c r="AG619" s="290"/>
      <c r="AH619" s="290"/>
      <c r="AI619" s="290"/>
      <c r="AJ619" s="290"/>
      <c r="AK619" s="290"/>
      <c r="AL619" s="290"/>
      <c r="AM619" s="290"/>
      <c r="AN619" s="290"/>
      <c r="AO619" s="290"/>
      <c r="AP619" s="290"/>
      <c r="AQ619" s="290"/>
      <c r="AR619" s="290"/>
      <c r="AS619" s="290"/>
      <c r="AT619" s="290"/>
      <c r="AU619" s="290"/>
      <c r="AV619" s="290"/>
      <c r="AW619" s="290"/>
      <c r="AX619" s="290"/>
      <c r="AY619" s="290"/>
      <c r="AZ619" s="290"/>
      <c r="BA619" s="290"/>
      <c r="BB619" s="290"/>
      <c r="BC619" s="290"/>
      <c r="BD619" s="290"/>
      <c r="BE619" s="290"/>
      <c r="BF619" s="290"/>
      <c r="BG619" s="290"/>
      <c r="BH619" s="290"/>
      <c r="BI619" s="290"/>
      <c r="BJ619" s="290"/>
      <c r="BK619" s="290"/>
      <c r="BL619" s="290"/>
      <c r="BM619" s="290"/>
      <c r="BN619" s="290"/>
      <c r="BO619" s="290"/>
      <c r="BP619" s="290"/>
      <c r="BQ619" s="290"/>
      <c r="BR619" s="290"/>
      <c r="BS619" s="290"/>
      <c r="BT619" s="290"/>
      <c r="BU619" s="290"/>
      <c r="BV619" s="290"/>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row>
    <row r="620" customFormat="false" ht="15.75" hidden="false" customHeight="false" outlineLevel="0" collapsed="false">
      <c r="A620" s="290"/>
      <c r="B620" s="290"/>
      <c r="C620" s="290"/>
      <c r="D620" s="290"/>
      <c r="E620" s="290"/>
      <c r="F620" s="290"/>
      <c r="G620" s="290"/>
      <c r="H620" s="290"/>
      <c r="I620" s="290"/>
      <c r="J620" s="3"/>
      <c r="K620" s="290"/>
      <c r="L620" s="290"/>
      <c r="M620" s="290"/>
      <c r="N620" s="290"/>
      <c r="O620" s="290"/>
      <c r="P620" s="290"/>
      <c r="Q620" s="290"/>
      <c r="R620" s="290"/>
      <c r="S620" s="290"/>
      <c r="T620" s="290"/>
      <c r="U620" s="290"/>
      <c r="V620" s="290"/>
      <c r="W620" s="290"/>
      <c r="X620" s="290"/>
      <c r="Y620" s="290"/>
      <c r="Z620" s="290"/>
      <c r="AA620" s="290"/>
      <c r="AB620" s="290"/>
      <c r="AC620" s="290"/>
      <c r="AD620" s="290"/>
      <c r="AE620" s="290"/>
      <c r="AF620" s="290"/>
      <c r="AG620" s="290"/>
      <c r="AH620" s="290"/>
      <c r="AI620" s="290"/>
      <c r="AJ620" s="290"/>
      <c r="AK620" s="290"/>
      <c r="AL620" s="290"/>
      <c r="AM620" s="290"/>
      <c r="AN620" s="290"/>
      <c r="AO620" s="290"/>
      <c r="AP620" s="290"/>
      <c r="AQ620" s="290"/>
      <c r="AR620" s="290"/>
      <c r="AS620" s="290"/>
      <c r="AT620" s="290"/>
      <c r="AU620" s="290"/>
      <c r="AV620" s="290"/>
      <c r="AW620" s="290"/>
      <c r="AX620" s="290"/>
      <c r="AY620" s="290"/>
      <c r="AZ620" s="290"/>
      <c r="BA620" s="290"/>
      <c r="BB620" s="290"/>
      <c r="BC620" s="290"/>
      <c r="BD620" s="290"/>
      <c r="BE620" s="290"/>
      <c r="BF620" s="290"/>
      <c r="BG620" s="290"/>
      <c r="BH620" s="290"/>
      <c r="BI620" s="290"/>
      <c r="BJ620" s="290"/>
      <c r="BK620" s="290"/>
      <c r="BL620" s="290"/>
      <c r="BM620" s="290"/>
      <c r="BN620" s="290"/>
      <c r="BO620" s="290"/>
      <c r="BP620" s="290"/>
      <c r="BQ620" s="290"/>
      <c r="BR620" s="290"/>
      <c r="BS620" s="290"/>
      <c r="BT620" s="290"/>
      <c r="BU620" s="290"/>
      <c r="BV620" s="290"/>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row>
    <row r="621" customFormat="false" ht="15.75" hidden="false" customHeight="false" outlineLevel="0" collapsed="false">
      <c r="A621" s="290"/>
      <c r="B621" s="290"/>
      <c r="C621" s="290"/>
      <c r="D621" s="290"/>
      <c r="E621" s="290"/>
      <c r="F621" s="290"/>
      <c r="G621" s="290"/>
      <c r="H621" s="290"/>
      <c r="I621" s="290"/>
      <c r="J621" s="3"/>
      <c r="K621" s="290"/>
      <c r="L621" s="290"/>
      <c r="M621" s="290"/>
      <c r="N621" s="290"/>
      <c r="O621" s="290"/>
      <c r="P621" s="290"/>
      <c r="Q621" s="290"/>
      <c r="R621" s="290"/>
      <c r="S621" s="290"/>
      <c r="T621" s="290"/>
      <c r="U621" s="290"/>
      <c r="V621" s="290"/>
      <c r="W621" s="290"/>
      <c r="X621" s="290"/>
      <c r="Y621" s="290"/>
      <c r="Z621" s="290"/>
      <c r="AA621" s="290"/>
      <c r="AB621" s="290"/>
      <c r="AC621" s="290"/>
      <c r="AD621" s="290"/>
      <c r="AE621" s="290"/>
      <c r="AF621" s="290"/>
      <c r="AG621" s="290"/>
      <c r="AH621" s="290"/>
      <c r="AI621" s="290"/>
      <c r="AJ621" s="290"/>
      <c r="AK621" s="290"/>
      <c r="AL621" s="290"/>
      <c r="AM621" s="290"/>
      <c r="AN621" s="290"/>
      <c r="AO621" s="290"/>
      <c r="AP621" s="290"/>
      <c r="AQ621" s="290"/>
      <c r="AR621" s="290"/>
      <c r="AS621" s="290"/>
      <c r="AT621" s="290"/>
      <c r="AU621" s="290"/>
      <c r="AV621" s="290"/>
      <c r="AW621" s="290"/>
      <c r="AX621" s="290"/>
      <c r="AY621" s="290"/>
      <c r="AZ621" s="290"/>
      <c r="BA621" s="290"/>
      <c r="BB621" s="290"/>
      <c r="BC621" s="290"/>
      <c r="BD621" s="290"/>
      <c r="BE621" s="290"/>
      <c r="BF621" s="290"/>
      <c r="BG621" s="290"/>
      <c r="BH621" s="290"/>
      <c r="BI621" s="290"/>
      <c r="BJ621" s="290"/>
      <c r="BK621" s="290"/>
      <c r="BL621" s="290"/>
      <c r="BM621" s="290"/>
      <c r="BN621" s="290"/>
      <c r="BO621" s="290"/>
      <c r="BP621" s="290"/>
      <c r="BQ621" s="290"/>
      <c r="BR621" s="290"/>
      <c r="BS621" s="290"/>
      <c r="BT621" s="290"/>
      <c r="BU621" s="290"/>
      <c r="BV621" s="290"/>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row>
    <row r="622" customFormat="false" ht="15.75" hidden="false" customHeight="false" outlineLevel="0" collapsed="false">
      <c r="A622" s="290"/>
      <c r="B622" s="290"/>
      <c r="C622" s="290"/>
      <c r="D622" s="290"/>
      <c r="E622" s="290"/>
      <c r="F622" s="290"/>
      <c r="G622" s="290"/>
      <c r="H622" s="290"/>
      <c r="I622" s="290"/>
      <c r="J622" s="3"/>
      <c r="K622" s="290"/>
      <c r="L622" s="290"/>
      <c r="M622" s="290"/>
      <c r="N622" s="290"/>
      <c r="O622" s="290"/>
      <c r="P622" s="290"/>
      <c r="Q622" s="290"/>
      <c r="R622" s="290"/>
      <c r="S622" s="290"/>
      <c r="T622" s="290"/>
      <c r="U622" s="290"/>
      <c r="V622" s="290"/>
      <c r="W622" s="290"/>
      <c r="X622" s="290"/>
      <c r="Y622" s="290"/>
      <c r="Z622" s="290"/>
      <c r="AA622" s="290"/>
      <c r="AB622" s="290"/>
      <c r="AC622" s="290"/>
      <c r="AD622" s="290"/>
      <c r="AE622" s="290"/>
      <c r="AF622" s="290"/>
      <c r="AG622" s="290"/>
      <c r="AH622" s="290"/>
      <c r="AI622" s="290"/>
      <c r="AJ622" s="290"/>
      <c r="AK622" s="290"/>
      <c r="AL622" s="290"/>
      <c r="AM622" s="290"/>
      <c r="AN622" s="290"/>
      <c r="AO622" s="290"/>
      <c r="AP622" s="290"/>
      <c r="AQ622" s="290"/>
      <c r="AR622" s="290"/>
      <c r="AS622" s="290"/>
      <c r="AT622" s="290"/>
      <c r="AU622" s="290"/>
      <c r="AV622" s="290"/>
      <c r="AW622" s="290"/>
      <c r="AX622" s="290"/>
      <c r="AY622" s="290"/>
      <c r="AZ622" s="290"/>
      <c r="BA622" s="290"/>
      <c r="BB622" s="290"/>
      <c r="BC622" s="290"/>
      <c r="BD622" s="290"/>
      <c r="BE622" s="290"/>
      <c r="BF622" s="290"/>
      <c r="BG622" s="290"/>
      <c r="BH622" s="290"/>
      <c r="BI622" s="290"/>
      <c r="BJ622" s="290"/>
      <c r="BK622" s="290"/>
      <c r="BL622" s="290"/>
      <c r="BM622" s="290"/>
      <c r="BN622" s="290"/>
      <c r="BO622" s="290"/>
      <c r="BP622" s="290"/>
      <c r="BQ622" s="290"/>
      <c r="BR622" s="290"/>
      <c r="BS622" s="290"/>
      <c r="BT622" s="290"/>
      <c r="BU622" s="290"/>
      <c r="BV622" s="290"/>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row>
    <row r="623" customFormat="false" ht="15.75" hidden="false" customHeight="false" outlineLevel="0" collapsed="false">
      <c r="A623" s="290"/>
      <c r="B623" s="290"/>
      <c r="C623" s="290"/>
      <c r="D623" s="290"/>
      <c r="E623" s="290"/>
      <c r="F623" s="290"/>
      <c r="G623" s="290"/>
      <c r="H623" s="290"/>
      <c r="I623" s="290"/>
      <c r="J623" s="3"/>
      <c r="K623" s="290"/>
      <c r="L623" s="290"/>
      <c r="M623" s="290"/>
      <c r="N623" s="290"/>
      <c r="O623" s="290"/>
      <c r="P623" s="290"/>
      <c r="Q623" s="290"/>
      <c r="R623" s="290"/>
      <c r="S623" s="290"/>
      <c r="T623" s="290"/>
      <c r="U623" s="290"/>
      <c r="V623" s="290"/>
      <c r="W623" s="290"/>
      <c r="X623" s="290"/>
      <c r="Y623" s="290"/>
      <c r="Z623" s="290"/>
      <c r="AA623" s="290"/>
      <c r="AB623" s="290"/>
      <c r="AC623" s="290"/>
      <c r="AD623" s="290"/>
      <c r="AE623" s="290"/>
      <c r="AF623" s="290"/>
      <c r="AG623" s="290"/>
      <c r="AH623" s="290"/>
      <c r="AI623" s="290"/>
      <c r="AJ623" s="290"/>
      <c r="AK623" s="290"/>
      <c r="AL623" s="290"/>
      <c r="AM623" s="290"/>
      <c r="AN623" s="290"/>
      <c r="AO623" s="290"/>
      <c r="AP623" s="290"/>
      <c r="AQ623" s="290"/>
      <c r="AR623" s="290"/>
      <c r="AS623" s="290"/>
      <c r="AT623" s="290"/>
      <c r="AU623" s="290"/>
      <c r="AV623" s="290"/>
      <c r="AW623" s="290"/>
      <c r="AX623" s="290"/>
      <c r="AY623" s="290"/>
      <c r="AZ623" s="290"/>
      <c r="BA623" s="290"/>
      <c r="BB623" s="290"/>
      <c r="BC623" s="290"/>
      <c r="BD623" s="290"/>
      <c r="BE623" s="290"/>
      <c r="BF623" s="290"/>
      <c r="BG623" s="290"/>
      <c r="BH623" s="290"/>
      <c r="BI623" s="290"/>
      <c r="BJ623" s="290"/>
      <c r="BK623" s="290"/>
      <c r="BL623" s="290"/>
      <c r="BM623" s="290"/>
      <c r="BN623" s="290"/>
      <c r="BO623" s="290"/>
      <c r="BP623" s="290"/>
      <c r="BQ623" s="290"/>
      <c r="BR623" s="290"/>
      <c r="BS623" s="290"/>
      <c r="BT623" s="290"/>
      <c r="BU623" s="290"/>
      <c r="BV623" s="290"/>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row>
    <row r="624" customFormat="false" ht="15.75" hidden="false" customHeight="false" outlineLevel="0" collapsed="false">
      <c r="A624" s="290"/>
      <c r="B624" s="290"/>
      <c r="C624" s="290"/>
      <c r="D624" s="290"/>
      <c r="E624" s="290"/>
      <c r="F624" s="290"/>
      <c r="G624" s="290"/>
      <c r="H624" s="290"/>
      <c r="I624" s="290"/>
      <c r="J624" s="3"/>
      <c r="K624" s="290"/>
      <c r="L624" s="290"/>
      <c r="M624" s="290"/>
      <c r="N624" s="290"/>
      <c r="O624" s="290"/>
      <c r="P624" s="290"/>
      <c r="Q624" s="290"/>
      <c r="R624" s="290"/>
      <c r="S624" s="290"/>
      <c r="T624" s="290"/>
      <c r="U624" s="290"/>
      <c r="V624" s="290"/>
      <c r="W624" s="290"/>
      <c r="X624" s="290"/>
      <c r="Y624" s="290"/>
      <c r="Z624" s="290"/>
      <c r="AA624" s="290"/>
      <c r="AB624" s="290"/>
      <c r="AC624" s="290"/>
      <c r="AD624" s="290"/>
      <c r="AE624" s="290"/>
      <c r="AF624" s="290"/>
      <c r="AG624" s="290"/>
      <c r="AH624" s="290"/>
      <c r="AI624" s="290"/>
      <c r="AJ624" s="290"/>
      <c r="AK624" s="290"/>
      <c r="AL624" s="290"/>
      <c r="AM624" s="290"/>
      <c r="AN624" s="290"/>
      <c r="AO624" s="290"/>
      <c r="AP624" s="290"/>
      <c r="AQ624" s="290"/>
      <c r="AR624" s="290"/>
      <c r="AS624" s="290"/>
      <c r="AT624" s="290"/>
      <c r="AU624" s="290"/>
      <c r="AV624" s="290"/>
      <c r="AW624" s="290"/>
      <c r="AX624" s="290"/>
      <c r="AY624" s="290"/>
      <c r="AZ624" s="290"/>
      <c r="BA624" s="290"/>
      <c r="BB624" s="290"/>
      <c r="BC624" s="290"/>
      <c r="BD624" s="290"/>
      <c r="BE624" s="290"/>
      <c r="BF624" s="290"/>
      <c r="BG624" s="290"/>
      <c r="BH624" s="290"/>
      <c r="BI624" s="290"/>
      <c r="BJ624" s="290"/>
      <c r="BK624" s="290"/>
      <c r="BL624" s="290"/>
      <c r="BM624" s="290"/>
      <c r="BN624" s="290"/>
      <c r="BO624" s="290"/>
      <c r="BP624" s="290"/>
      <c r="BQ624" s="290"/>
      <c r="BR624" s="290"/>
      <c r="BS624" s="290"/>
      <c r="BT624" s="290"/>
      <c r="BU624" s="290"/>
      <c r="BV624" s="290"/>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row>
    <row r="625" customFormat="false" ht="15.75" hidden="false" customHeight="false" outlineLevel="0" collapsed="false">
      <c r="A625" s="290"/>
      <c r="B625" s="290"/>
      <c r="C625" s="290"/>
      <c r="D625" s="290"/>
      <c r="E625" s="290"/>
      <c r="F625" s="290"/>
      <c r="G625" s="290"/>
      <c r="H625" s="290"/>
      <c r="I625" s="290"/>
      <c r="J625" s="3"/>
      <c r="K625" s="290"/>
      <c r="L625" s="290"/>
      <c r="M625" s="290"/>
      <c r="N625" s="290"/>
      <c r="O625" s="290"/>
      <c r="P625" s="290"/>
      <c r="Q625" s="290"/>
      <c r="R625" s="290"/>
      <c r="S625" s="290"/>
      <c r="T625" s="290"/>
      <c r="U625" s="290"/>
      <c r="V625" s="290"/>
      <c r="W625" s="290"/>
      <c r="X625" s="290"/>
      <c r="Y625" s="290"/>
      <c r="Z625" s="290"/>
      <c r="AA625" s="290"/>
      <c r="AB625" s="290"/>
      <c r="AC625" s="290"/>
      <c r="AD625" s="290"/>
      <c r="AE625" s="290"/>
      <c r="AF625" s="290"/>
      <c r="AG625" s="290"/>
      <c r="AH625" s="290"/>
      <c r="AI625" s="290"/>
      <c r="AJ625" s="290"/>
      <c r="AK625" s="290"/>
      <c r="AL625" s="290"/>
      <c r="AM625" s="290"/>
      <c r="AN625" s="290"/>
      <c r="AO625" s="290"/>
      <c r="AP625" s="290"/>
      <c r="AQ625" s="290"/>
      <c r="AR625" s="290"/>
      <c r="AS625" s="290"/>
      <c r="AT625" s="290"/>
      <c r="AU625" s="290"/>
      <c r="AV625" s="290"/>
      <c r="AW625" s="290"/>
      <c r="AX625" s="290"/>
      <c r="AY625" s="290"/>
      <c r="AZ625" s="290"/>
      <c r="BA625" s="290"/>
      <c r="BB625" s="290"/>
      <c r="BC625" s="290"/>
      <c r="BD625" s="290"/>
      <c r="BE625" s="290"/>
      <c r="BF625" s="290"/>
      <c r="BG625" s="290"/>
      <c r="BH625" s="290"/>
      <c r="BI625" s="290"/>
      <c r="BJ625" s="290"/>
      <c r="BK625" s="290"/>
      <c r="BL625" s="290"/>
      <c r="BM625" s="290"/>
      <c r="BN625" s="290"/>
      <c r="BO625" s="290"/>
      <c r="BP625" s="290"/>
      <c r="BQ625" s="290"/>
      <c r="BR625" s="290"/>
      <c r="BS625" s="290"/>
      <c r="BT625" s="290"/>
      <c r="BU625" s="290"/>
      <c r="BV625" s="290"/>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row>
    <row r="626" customFormat="false" ht="15.75" hidden="false" customHeight="false" outlineLevel="0" collapsed="false">
      <c r="A626" s="290"/>
      <c r="B626" s="290"/>
      <c r="C626" s="290"/>
      <c r="D626" s="290"/>
      <c r="E626" s="290"/>
      <c r="F626" s="290"/>
      <c r="G626" s="290"/>
      <c r="H626" s="290"/>
      <c r="I626" s="290"/>
      <c r="J626" s="3"/>
      <c r="K626" s="290"/>
      <c r="L626" s="290"/>
      <c r="M626" s="290"/>
      <c r="N626" s="290"/>
      <c r="O626" s="290"/>
      <c r="P626" s="290"/>
      <c r="Q626" s="290"/>
      <c r="R626" s="290"/>
      <c r="S626" s="290"/>
      <c r="T626" s="290"/>
      <c r="U626" s="290"/>
      <c r="V626" s="290"/>
      <c r="W626" s="290"/>
      <c r="X626" s="290"/>
      <c r="Y626" s="290"/>
      <c r="Z626" s="290"/>
      <c r="AA626" s="290"/>
      <c r="AB626" s="290"/>
      <c r="AC626" s="290"/>
      <c r="AD626" s="290"/>
      <c r="AE626" s="290"/>
      <c r="AF626" s="290"/>
      <c r="AG626" s="290"/>
      <c r="AH626" s="290"/>
      <c r="AI626" s="290"/>
      <c r="AJ626" s="290"/>
      <c r="AK626" s="290"/>
      <c r="AL626" s="290"/>
      <c r="AM626" s="290"/>
      <c r="AN626" s="290"/>
      <c r="AO626" s="290"/>
      <c r="AP626" s="290"/>
      <c r="AQ626" s="290"/>
      <c r="AR626" s="290"/>
      <c r="AS626" s="290"/>
      <c r="AT626" s="290"/>
      <c r="AU626" s="290"/>
      <c r="AV626" s="290"/>
      <c r="AW626" s="290"/>
      <c r="AX626" s="290"/>
      <c r="AY626" s="290"/>
      <c r="AZ626" s="290"/>
      <c r="BA626" s="290"/>
      <c r="BB626" s="290"/>
      <c r="BC626" s="290"/>
      <c r="BD626" s="290"/>
      <c r="BE626" s="290"/>
      <c r="BF626" s="290"/>
      <c r="BG626" s="290"/>
      <c r="BH626" s="290"/>
      <c r="BI626" s="290"/>
      <c r="BJ626" s="290"/>
      <c r="BK626" s="290"/>
      <c r="BL626" s="290"/>
      <c r="BM626" s="290"/>
      <c r="BN626" s="290"/>
      <c r="BO626" s="290"/>
      <c r="BP626" s="290"/>
      <c r="BQ626" s="290"/>
      <c r="BR626" s="290"/>
      <c r="BS626" s="290"/>
      <c r="BT626" s="290"/>
      <c r="BU626" s="290"/>
      <c r="BV626" s="290"/>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row>
    <row r="627" customFormat="false" ht="15.75" hidden="false" customHeight="false" outlineLevel="0" collapsed="false">
      <c r="A627" s="290"/>
      <c r="B627" s="290"/>
      <c r="C627" s="290"/>
      <c r="D627" s="290"/>
      <c r="E627" s="290"/>
      <c r="F627" s="290"/>
      <c r="G627" s="290"/>
      <c r="H627" s="290"/>
      <c r="I627" s="290"/>
      <c r="J627" s="3"/>
      <c r="K627" s="290"/>
      <c r="L627" s="290"/>
      <c r="M627" s="290"/>
      <c r="N627" s="290"/>
      <c r="O627" s="290"/>
      <c r="P627" s="290"/>
      <c r="Q627" s="290"/>
      <c r="R627" s="290"/>
      <c r="S627" s="290"/>
      <c r="T627" s="290"/>
      <c r="U627" s="290"/>
      <c r="V627" s="290"/>
      <c r="W627" s="290"/>
      <c r="X627" s="290"/>
      <c r="Y627" s="290"/>
      <c r="Z627" s="290"/>
      <c r="AA627" s="290"/>
      <c r="AB627" s="290"/>
      <c r="AC627" s="290"/>
      <c r="AD627" s="290"/>
      <c r="AE627" s="290"/>
      <c r="AF627" s="290"/>
      <c r="AG627" s="290"/>
      <c r="AH627" s="290"/>
      <c r="AI627" s="290"/>
      <c r="AJ627" s="290"/>
      <c r="AK627" s="290"/>
      <c r="AL627" s="290"/>
      <c r="AM627" s="290"/>
      <c r="AN627" s="290"/>
      <c r="AO627" s="290"/>
      <c r="AP627" s="290"/>
      <c r="AQ627" s="290"/>
      <c r="AR627" s="290"/>
      <c r="AS627" s="290"/>
      <c r="AT627" s="290"/>
      <c r="AU627" s="290"/>
      <c r="AV627" s="290"/>
      <c r="AW627" s="290"/>
      <c r="AX627" s="290"/>
      <c r="AY627" s="290"/>
      <c r="AZ627" s="290"/>
      <c r="BA627" s="290"/>
      <c r="BB627" s="290"/>
      <c r="BC627" s="290"/>
      <c r="BD627" s="290"/>
      <c r="BE627" s="290"/>
      <c r="BF627" s="290"/>
      <c r="BG627" s="290"/>
      <c r="BH627" s="290"/>
      <c r="BI627" s="290"/>
      <c r="BJ627" s="290"/>
      <c r="BK627" s="290"/>
      <c r="BL627" s="290"/>
      <c r="BM627" s="290"/>
      <c r="BN627" s="290"/>
      <c r="BO627" s="290"/>
      <c r="BP627" s="290"/>
      <c r="BQ627" s="290"/>
      <c r="BR627" s="290"/>
      <c r="BS627" s="290"/>
      <c r="BT627" s="290"/>
      <c r="BU627" s="290"/>
      <c r="BV627" s="290"/>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row>
    <row r="628" customFormat="false" ht="15.75" hidden="false" customHeight="false" outlineLevel="0" collapsed="false">
      <c r="A628" s="290"/>
      <c r="B628" s="290"/>
      <c r="C628" s="290"/>
      <c r="D628" s="290"/>
      <c r="E628" s="290"/>
      <c r="F628" s="290"/>
      <c r="G628" s="290"/>
      <c r="H628" s="290"/>
      <c r="I628" s="290"/>
      <c r="J628" s="3"/>
      <c r="K628" s="290"/>
      <c r="L628" s="290"/>
      <c r="M628" s="290"/>
      <c r="N628" s="290"/>
      <c r="O628" s="290"/>
      <c r="P628" s="290"/>
      <c r="Q628" s="290"/>
      <c r="R628" s="290"/>
      <c r="S628" s="290"/>
      <c r="T628" s="290"/>
      <c r="U628" s="290"/>
      <c r="V628" s="290"/>
      <c r="W628" s="290"/>
      <c r="X628" s="290"/>
      <c r="Y628" s="290"/>
      <c r="Z628" s="290"/>
      <c r="AA628" s="290"/>
      <c r="AB628" s="290"/>
      <c r="AC628" s="290"/>
      <c r="AD628" s="290"/>
      <c r="AE628" s="290"/>
      <c r="AF628" s="290"/>
      <c r="AG628" s="290"/>
      <c r="AH628" s="290"/>
      <c r="AI628" s="290"/>
      <c r="AJ628" s="290"/>
      <c r="AK628" s="290"/>
      <c r="AL628" s="290"/>
      <c r="AM628" s="290"/>
      <c r="AN628" s="290"/>
      <c r="AO628" s="290"/>
      <c r="AP628" s="290"/>
      <c r="AQ628" s="290"/>
      <c r="AR628" s="290"/>
      <c r="AS628" s="290"/>
      <c r="AT628" s="290"/>
      <c r="AU628" s="290"/>
      <c r="AV628" s="290"/>
      <c r="AW628" s="290"/>
      <c r="AX628" s="290"/>
      <c r="AY628" s="290"/>
      <c r="AZ628" s="290"/>
      <c r="BA628" s="290"/>
      <c r="BB628" s="290"/>
      <c r="BC628" s="290"/>
      <c r="BD628" s="290"/>
      <c r="BE628" s="290"/>
      <c r="BF628" s="290"/>
      <c r="BG628" s="290"/>
      <c r="BH628" s="290"/>
      <c r="BI628" s="290"/>
      <c r="BJ628" s="290"/>
      <c r="BK628" s="290"/>
      <c r="BL628" s="290"/>
      <c r="BM628" s="290"/>
      <c r="BN628" s="290"/>
      <c r="BO628" s="290"/>
      <c r="BP628" s="290"/>
      <c r="BQ628" s="290"/>
      <c r="BR628" s="290"/>
      <c r="BS628" s="290"/>
      <c r="BT628" s="290"/>
      <c r="BU628" s="290"/>
      <c r="BV628" s="290"/>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row>
    <row r="629" customFormat="false" ht="15.75" hidden="false" customHeight="false" outlineLevel="0" collapsed="false">
      <c r="A629" s="290"/>
      <c r="B629" s="290"/>
      <c r="C629" s="290"/>
      <c r="D629" s="290"/>
      <c r="E629" s="290"/>
      <c r="F629" s="290"/>
      <c r="G629" s="290"/>
      <c r="H629" s="290"/>
      <c r="I629" s="290"/>
      <c r="J629" s="3"/>
      <c r="K629" s="290"/>
      <c r="L629" s="290"/>
      <c r="M629" s="290"/>
      <c r="N629" s="290"/>
      <c r="O629" s="290"/>
      <c r="P629" s="290"/>
      <c r="Q629" s="290"/>
      <c r="R629" s="290"/>
      <c r="S629" s="290"/>
      <c r="T629" s="290"/>
      <c r="U629" s="290"/>
      <c r="V629" s="290"/>
      <c r="W629" s="290"/>
      <c r="X629" s="290"/>
      <c r="Y629" s="290"/>
      <c r="Z629" s="290"/>
      <c r="AA629" s="290"/>
      <c r="AB629" s="290"/>
      <c r="AC629" s="290"/>
      <c r="AD629" s="290"/>
      <c r="AE629" s="290"/>
      <c r="AF629" s="290"/>
      <c r="AG629" s="290"/>
      <c r="AH629" s="290"/>
      <c r="AI629" s="290"/>
      <c r="AJ629" s="290"/>
      <c r="AK629" s="290"/>
      <c r="AL629" s="290"/>
      <c r="AM629" s="290"/>
      <c r="AN629" s="290"/>
      <c r="AO629" s="290"/>
      <c r="AP629" s="290"/>
      <c r="AQ629" s="290"/>
      <c r="AR629" s="290"/>
      <c r="AS629" s="290"/>
      <c r="AT629" s="290"/>
      <c r="AU629" s="290"/>
      <c r="AV629" s="290"/>
      <c r="AW629" s="290"/>
      <c r="AX629" s="290"/>
      <c r="AY629" s="290"/>
      <c r="AZ629" s="290"/>
      <c r="BA629" s="290"/>
      <c r="BB629" s="290"/>
      <c r="BC629" s="290"/>
      <c r="BD629" s="290"/>
      <c r="BE629" s="290"/>
      <c r="BF629" s="290"/>
      <c r="BG629" s="290"/>
      <c r="BH629" s="290"/>
      <c r="BI629" s="290"/>
      <c r="BJ629" s="290"/>
      <c r="BK629" s="290"/>
      <c r="BL629" s="290"/>
      <c r="BM629" s="290"/>
      <c r="BN629" s="290"/>
      <c r="BO629" s="290"/>
      <c r="BP629" s="290"/>
      <c r="BQ629" s="290"/>
      <c r="BR629" s="290"/>
      <c r="BS629" s="290"/>
      <c r="BT629" s="290"/>
      <c r="BU629" s="290"/>
      <c r="BV629" s="290"/>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row>
    <row r="630" customFormat="false" ht="15.75" hidden="false" customHeight="false" outlineLevel="0" collapsed="false">
      <c r="A630" s="290"/>
      <c r="B630" s="290"/>
      <c r="C630" s="290"/>
      <c r="D630" s="290"/>
      <c r="E630" s="290"/>
      <c r="F630" s="290"/>
      <c r="G630" s="290"/>
      <c r="H630" s="290"/>
      <c r="I630" s="290"/>
      <c r="J630" s="3"/>
      <c r="K630" s="290"/>
      <c r="L630" s="290"/>
      <c r="M630" s="290"/>
      <c r="N630" s="290"/>
      <c r="O630" s="290"/>
      <c r="P630" s="290"/>
      <c r="Q630" s="290"/>
      <c r="R630" s="290"/>
      <c r="S630" s="290"/>
      <c r="T630" s="290"/>
      <c r="U630" s="290"/>
      <c r="V630" s="290"/>
      <c r="W630" s="290"/>
      <c r="X630" s="290"/>
      <c r="Y630" s="290"/>
      <c r="Z630" s="290"/>
      <c r="AA630" s="290"/>
      <c r="AB630" s="290"/>
      <c r="AC630" s="290"/>
      <c r="AD630" s="290"/>
      <c r="AE630" s="290"/>
      <c r="AF630" s="290"/>
      <c r="AG630" s="290"/>
      <c r="AH630" s="290"/>
      <c r="AI630" s="290"/>
      <c r="AJ630" s="290"/>
      <c r="AK630" s="290"/>
      <c r="AL630" s="290"/>
      <c r="AM630" s="290"/>
      <c r="AN630" s="290"/>
      <c r="AO630" s="290"/>
      <c r="AP630" s="290"/>
      <c r="AQ630" s="290"/>
      <c r="AR630" s="290"/>
      <c r="AS630" s="290"/>
      <c r="AT630" s="290"/>
      <c r="AU630" s="290"/>
      <c r="AV630" s="290"/>
      <c r="AW630" s="290"/>
      <c r="AX630" s="290"/>
      <c r="AY630" s="290"/>
      <c r="AZ630" s="290"/>
      <c r="BA630" s="290"/>
      <c r="BB630" s="290"/>
      <c r="BC630" s="290"/>
      <c r="BD630" s="290"/>
      <c r="BE630" s="290"/>
      <c r="BF630" s="290"/>
      <c r="BG630" s="290"/>
      <c r="BH630" s="290"/>
      <c r="BI630" s="290"/>
      <c r="BJ630" s="290"/>
      <c r="BK630" s="290"/>
      <c r="BL630" s="290"/>
      <c r="BM630" s="290"/>
      <c r="BN630" s="290"/>
      <c r="BO630" s="290"/>
      <c r="BP630" s="290"/>
      <c r="BQ630" s="290"/>
      <c r="BR630" s="290"/>
      <c r="BS630" s="290"/>
      <c r="BT630" s="290"/>
      <c r="BU630" s="290"/>
      <c r="BV630" s="290"/>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row>
    <row r="631" customFormat="false" ht="15.75" hidden="false" customHeight="false" outlineLevel="0" collapsed="false">
      <c r="A631" s="290"/>
      <c r="B631" s="290"/>
      <c r="C631" s="290"/>
      <c r="D631" s="290"/>
      <c r="E631" s="290"/>
      <c r="F631" s="290"/>
      <c r="G631" s="290"/>
      <c r="H631" s="290"/>
      <c r="I631" s="290"/>
      <c r="J631" s="3"/>
      <c r="K631" s="290"/>
      <c r="L631" s="290"/>
      <c r="M631" s="290"/>
      <c r="N631" s="290"/>
      <c r="O631" s="290"/>
      <c r="P631" s="290"/>
      <c r="Q631" s="290"/>
      <c r="R631" s="290"/>
      <c r="S631" s="290"/>
      <c r="T631" s="290"/>
      <c r="U631" s="290"/>
      <c r="V631" s="290"/>
      <c r="W631" s="290"/>
      <c r="X631" s="290"/>
      <c r="Y631" s="290"/>
      <c r="Z631" s="290"/>
      <c r="AA631" s="290"/>
      <c r="AB631" s="290"/>
      <c r="AC631" s="290"/>
      <c r="AD631" s="290"/>
      <c r="AE631" s="290"/>
      <c r="AF631" s="290"/>
      <c r="AG631" s="290"/>
      <c r="AH631" s="290"/>
      <c r="AI631" s="290"/>
      <c r="AJ631" s="290"/>
      <c r="AK631" s="290"/>
      <c r="AL631" s="290"/>
      <c r="AM631" s="290"/>
      <c r="AN631" s="290"/>
      <c r="AO631" s="290"/>
      <c r="AP631" s="290"/>
      <c r="AQ631" s="290"/>
      <c r="AR631" s="290"/>
      <c r="AS631" s="290"/>
      <c r="AT631" s="290"/>
      <c r="AU631" s="290"/>
      <c r="AV631" s="290"/>
      <c r="AW631" s="290"/>
      <c r="AX631" s="290"/>
      <c r="AY631" s="290"/>
      <c r="AZ631" s="290"/>
      <c r="BA631" s="290"/>
      <c r="BB631" s="290"/>
      <c r="BC631" s="290"/>
      <c r="BD631" s="290"/>
      <c r="BE631" s="290"/>
      <c r="BF631" s="290"/>
      <c r="BG631" s="290"/>
      <c r="BH631" s="290"/>
      <c r="BI631" s="290"/>
      <c r="BJ631" s="290"/>
      <c r="BK631" s="290"/>
      <c r="BL631" s="290"/>
      <c r="BM631" s="290"/>
      <c r="BN631" s="290"/>
      <c r="BO631" s="290"/>
      <c r="BP631" s="290"/>
      <c r="BQ631" s="290"/>
      <c r="BR631" s="290"/>
      <c r="BS631" s="290"/>
      <c r="BT631" s="290"/>
      <c r="BU631" s="290"/>
      <c r="BV631" s="290"/>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row>
    <row r="632" customFormat="false" ht="15.75" hidden="false" customHeight="false" outlineLevel="0" collapsed="false">
      <c r="A632" s="290"/>
      <c r="B632" s="290"/>
      <c r="C632" s="290"/>
      <c r="D632" s="290"/>
      <c r="E632" s="290"/>
      <c r="F632" s="290"/>
      <c r="G632" s="290"/>
      <c r="H632" s="290"/>
      <c r="I632" s="290"/>
      <c r="J632" s="3"/>
      <c r="K632" s="290"/>
      <c r="L632" s="290"/>
      <c r="M632" s="290"/>
      <c r="N632" s="290"/>
      <c r="O632" s="290"/>
      <c r="P632" s="290"/>
      <c r="Q632" s="290"/>
      <c r="R632" s="290"/>
      <c r="S632" s="290"/>
      <c r="T632" s="290"/>
      <c r="U632" s="290"/>
      <c r="V632" s="290"/>
      <c r="W632" s="290"/>
      <c r="X632" s="290"/>
      <c r="Y632" s="290"/>
      <c r="Z632" s="290"/>
      <c r="AA632" s="290"/>
      <c r="AB632" s="290"/>
      <c r="AC632" s="290"/>
      <c r="AD632" s="290"/>
      <c r="AE632" s="290"/>
      <c r="AF632" s="290"/>
      <c r="AG632" s="290"/>
      <c r="AH632" s="290"/>
      <c r="AI632" s="290"/>
      <c r="AJ632" s="290"/>
      <c r="AK632" s="290"/>
      <c r="AL632" s="290"/>
      <c r="AM632" s="290"/>
      <c r="AN632" s="290"/>
      <c r="AO632" s="290"/>
      <c r="AP632" s="290"/>
      <c r="AQ632" s="290"/>
      <c r="AR632" s="290"/>
      <c r="AS632" s="290"/>
      <c r="AT632" s="290"/>
      <c r="AU632" s="290"/>
      <c r="AV632" s="290"/>
      <c r="AW632" s="290"/>
      <c r="AX632" s="290"/>
      <c r="AY632" s="290"/>
      <c r="AZ632" s="290"/>
      <c r="BA632" s="290"/>
      <c r="BB632" s="290"/>
      <c r="BC632" s="290"/>
      <c r="BD632" s="290"/>
      <c r="BE632" s="290"/>
      <c r="BF632" s="290"/>
      <c r="BG632" s="290"/>
      <c r="BH632" s="290"/>
      <c r="BI632" s="290"/>
      <c r="BJ632" s="290"/>
      <c r="BK632" s="290"/>
      <c r="BL632" s="290"/>
      <c r="BM632" s="290"/>
      <c r="BN632" s="290"/>
      <c r="BO632" s="290"/>
      <c r="BP632" s="290"/>
      <c r="BQ632" s="290"/>
      <c r="BR632" s="290"/>
      <c r="BS632" s="290"/>
      <c r="BT632" s="290"/>
      <c r="BU632" s="290"/>
      <c r="BV632" s="290"/>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row>
    <row r="633" customFormat="false" ht="15.75" hidden="false" customHeight="false" outlineLevel="0" collapsed="false">
      <c r="A633" s="290"/>
      <c r="B633" s="290"/>
      <c r="C633" s="290"/>
      <c r="D633" s="290"/>
      <c r="E633" s="290"/>
      <c r="F633" s="290"/>
      <c r="G633" s="290"/>
      <c r="H633" s="290"/>
      <c r="I633" s="290"/>
      <c r="J633" s="3"/>
      <c r="K633" s="290"/>
      <c r="L633" s="290"/>
      <c r="M633" s="290"/>
      <c r="N633" s="290"/>
      <c r="O633" s="290"/>
      <c r="P633" s="290"/>
      <c r="Q633" s="290"/>
      <c r="R633" s="290"/>
      <c r="S633" s="290"/>
      <c r="T633" s="290"/>
      <c r="U633" s="290"/>
      <c r="V633" s="290"/>
      <c r="W633" s="290"/>
      <c r="X633" s="290"/>
      <c r="Y633" s="290"/>
      <c r="Z633" s="290"/>
      <c r="AA633" s="290"/>
      <c r="AB633" s="290"/>
      <c r="AC633" s="290"/>
      <c r="AD633" s="290"/>
      <c r="AE633" s="290"/>
      <c r="AF633" s="290"/>
      <c r="AG633" s="290"/>
      <c r="AH633" s="290"/>
      <c r="AI633" s="290"/>
      <c r="AJ633" s="290"/>
      <c r="AK633" s="290"/>
      <c r="AL633" s="290"/>
      <c r="AM633" s="290"/>
      <c r="AN633" s="290"/>
      <c r="AO633" s="290"/>
      <c r="AP633" s="290"/>
      <c r="AQ633" s="290"/>
      <c r="AR633" s="290"/>
      <c r="AS633" s="290"/>
      <c r="AT633" s="290"/>
      <c r="AU633" s="290"/>
      <c r="AV633" s="290"/>
      <c r="AW633" s="290"/>
      <c r="AX633" s="290"/>
      <c r="AY633" s="290"/>
      <c r="AZ633" s="290"/>
      <c r="BA633" s="290"/>
      <c r="BB633" s="290"/>
      <c r="BC633" s="290"/>
      <c r="BD633" s="290"/>
      <c r="BE633" s="290"/>
      <c r="BF633" s="290"/>
      <c r="BG633" s="290"/>
      <c r="BH633" s="290"/>
      <c r="BI633" s="290"/>
      <c r="BJ633" s="290"/>
      <c r="BK633" s="290"/>
      <c r="BL633" s="290"/>
      <c r="BM633" s="290"/>
      <c r="BN633" s="290"/>
      <c r="BO633" s="290"/>
      <c r="BP633" s="290"/>
      <c r="BQ633" s="290"/>
      <c r="BR633" s="290"/>
      <c r="BS633" s="290"/>
      <c r="BT633" s="290"/>
      <c r="BU633" s="290"/>
      <c r="BV633" s="290"/>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row>
    <row r="634" customFormat="false" ht="15.75" hidden="false" customHeight="false" outlineLevel="0" collapsed="false">
      <c r="A634" s="290"/>
      <c r="B634" s="290"/>
      <c r="C634" s="290"/>
      <c r="D634" s="290"/>
      <c r="E634" s="290"/>
      <c r="F634" s="290"/>
      <c r="G634" s="290"/>
      <c r="H634" s="290"/>
      <c r="I634" s="290"/>
      <c r="J634" s="3"/>
      <c r="K634" s="290"/>
      <c r="L634" s="290"/>
      <c r="M634" s="290"/>
      <c r="N634" s="290"/>
      <c r="O634" s="290"/>
      <c r="P634" s="290"/>
      <c r="Q634" s="290"/>
      <c r="R634" s="290"/>
      <c r="S634" s="290"/>
      <c r="T634" s="290"/>
      <c r="U634" s="290"/>
      <c r="V634" s="290"/>
      <c r="W634" s="290"/>
      <c r="X634" s="290"/>
      <c r="Y634" s="290"/>
      <c r="Z634" s="290"/>
      <c r="AA634" s="290"/>
      <c r="AB634" s="290"/>
      <c r="AC634" s="290"/>
      <c r="AD634" s="290"/>
      <c r="AE634" s="290"/>
      <c r="AF634" s="290"/>
      <c r="AG634" s="290"/>
      <c r="AH634" s="290"/>
      <c r="AI634" s="290"/>
      <c r="AJ634" s="290"/>
      <c r="AK634" s="290"/>
      <c r="AL634" s="290"/>
      <c r="AM634" s="290"/>
      <c r="AN634" s="290"/>
      <c r="AO634" s="290"/>
      <c r="AP634" s="290"/>
      <c r="AQ634" s="290"/>
      <c r="AR634" s="290"/>
      <c r="AS634" s="290"/>
      <c r="AT634" s="290"/>
      <c r="AU634" s="290"/>
      <c r="AV634" s="290"/>
      <c r="AW634" s="290"/>
      <c r="AX634" s="290"/>
      <c r="AY634" s="290"/>
      <c r="AZ634" s="290"/>
      <c r="BA634" s="290"/>
      <c r="BB634" s="290"/>
      <c r="BC634" s="290"/>
      <c r="BD634" s="290"/>
      <c r="BE634" s="290"/>
      <c r="BF634" s="290"/>
      <c r="BG634" s="290"/>
      <c r="BH634" s="290"/>
      <c r="BI634" s="290"/>
      <c r="BJ634" s="290"/>
      <c r="BK634" s="290"/>
      <c r="BL634" s="290"/>
      <c r="BM634" s="290"/>
      <c r="BN634" s="290"/>
      <c r="BO634" s="290"/>
      <c r="BP634" s="290"/>
      <c r="BQ634" s="290"/>
      <c r="BR634" s="290"/>
      <c r="BS634" s="290"/>
      <c r="BT634" s="290"/>
      <c r="BU634" s="290"/>
      <c r="BV634" s="290"/>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row>
    <row r="635" customFormat="false" ht="15.75" hidden="false" customHeight="false" outlineLevel="0" collapsed="false">
      <c r="A635" s="290"/>
      <c r="B635" s="290"/>
      <c r="C635" s="290"/>
      <c r="D635" s="290"/>
      <c r="E635" s="290"/>
      <c r="F635" s="290"/>
      <c r="G635" s="290"/>
      <c r="H635" s="290"/>
      <c r="I635" s="290"/>
      <c r="J635" s="3"/>
      <c r="K635" s="290"/>
      <c r="L635" s="290"/>
      <c r="M635" s="290"/>
      <c r="N635" s="290"/>
      <c r="O635" s="290"/>
      <c r="P635" s="290"/>
      <c r="Q635" s="290"/>
      <c r="R635" s="290"/>
      <c r="S635" s="290"/>
      <c r="T635" s="290"/>
      <c r="U635" s="290"/>
      <c r="V635" s="290"/>
      <c r="W635" s="290"/>
      <c r="X635" s="290"/>
      <c r="Y635" s="290"/>
      <c r="Z635" s="290"/>
      <c r="AA635" s="290"/>
      <c r="AB635" s="290"/>
      <c r="AC635" s="290"/>
      <c r="AD635" s="290"/>
      <c r="AE635" s="290"/>
      <c r="AF635" s="290"/>
      <c r="AG635" s="290"/>
      <c r="AH635" s="290"/>
      <c r="AI635" s="290"/>
      <c r="AJ635" s="290"/>
      <c r="AK635" s="290"/>
      <c r="AL635" s="290"/>
      <c r="AM635" s="290"/>
      <c r="AN635" s="290"/>
      <c r="AO635" s="290"/>
      <c r="AP635" s="290"/>
      <c r="AQ635" s="290"/>
      <c r="AR635" s="290"/>
      <c r="AS635" s="290"/>
      <c r="AT635" s="290"/>
      <c r="AU635" s="290"/>
      <c r="AV635" s="290"/>
      <c r="AW635" s="290"/>
      <c r="AX635" s="290"/>
      <c r="AY635" s="290"/>
      <c r="AZ635" s="290"/>
      <c r="BA635" s="290"/>
      <c r="BB635" s="290"/>
      <c r="BC635" s="290"/>
      <c r="BD635" s="290"/>
      <c r="BE635" s="290"/>
      <c r="BF635" s="290"/>
      <c r="BG635" s="290"/>
      <c r="BH635" s="290"/>
      <c r="BI635" s="290"/>
      <c r="BJ635" s="290"/>
      <c r="BK635" s="290"/>
      <c r="BL635" s="290"/>
      <c r="BM635" s="290"/>
      <c r="BN635" s="290"/>
      <c r="BO635" s="290"/>
      <c r="BP635" s="290"/>
      <c r="BQ635" s="290"/>
      <c r="BR635" s="290"/>
      <c r="BS635" s="290"/>
      <c r="BT635" s="290"/>
      <c r="BU635" s="290"/>
      <c r="BV635" s="290"/>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row>
    <row r="636" customFormat="false" ht="15.75" hidden="false" customHeight="false" outlineLevel="0" collapsed="false">
      <c r="A636" s="290"/>
      <c r="B636" s="290"/>
      <c r="C636" s="290"/>
      <c r="D636" s="290"/>
      <c r="E636" s="290"/>
      <c r="F636" s="290"/>
      <c r="G636" s="290"/>
      <c r="H636" s="290"/>
      <c r="I636" s="290"/>
      <c r="J636" s="3"/>
      <c r="K636" s="290"/>
      <c r="L636" s="290"/>
      <c r="M636" s="290"/>
      <c r="N636" s="290"/>
      <c r="O636" s="290"/>
      <c r="P636" s="290"/>
      <c r="Q636" s="290"/>
      <c r="R636" s="290"/>
      <c r="S636" s="290"/>
      <c r="T636" s="290"/>
      <c r="U636" s="290"/>
      <c r="V636" s="290"/>
      <c r="W636" s="290"/>
      <c r="X636" s="290"/>
      <c r="Y636" s="290"/>
      <c r="Z636" s="290"/>
      <c r="AA636" s="290"/>
      <c r="AB636" s="290"/>
      <c r="AC636" s="290"/>
      <c r="AD636" s="290"/>
      <c r="AE636" s="290"/>
      <c r="AF636" s="290"/>
      <c r="AG636" s="290"/>
      <c r="AH636" s="290"/>
      <c r="AI636" s="290"/>
      <c r="AJ636" s="290"/>
      <c r="AK636" s="290"/>
      <c r="AL636" s="290"/>
      <c r="AM636" s="290"/>
      <c r="AN636" s="290"/>
      <c r="AO636" s="290"/>
      <c r="AP636" s="290"/>
      <c r="AQ636" s="290"/>
      <c r="AR636" s="290"/>
      <c r="AS636" s="290"/>
      <c r="AT636" s="290"/>
      <c r="AU636" s="290"/>
      <c r="AV636" s="290"/>
      <c r="AW636" s="290"/>
      <c r="AX636" s="290"/>
      <c r="AY636" s="290"/>
      <c r="AZ636" s="290"/>
      <c r="BA636" s="290"/>
      <c r="BB636" s="290"/>
      <c r="BC636" s="290"/>
      <c r="BD636" s="290"/>
      <c r="BE636" s="290"/>
      <c r="BF636" s="290"/>
      <c r="BG636" s="290"/>
      <c r="BH636" s="290"/>
      <c r="BI636" s="290"/>
      <c r="BJ636" s="290"/>
      <c r="BK636" s="290"/>
      <c r="BL636" s="290"/>
      <c r="BM636" s="290"/>
      <c r="BN636" s="290"/>
      <c r="BO636" s="290"/>
      <c r="BP636" s="290"/>
      <c r="BQ636" s="290"/>
      <c r="BR636" s="290"/>
      <c r="BS636" s="290"/>
      <c r="BT636" s="290"/>
      <c r="BU636" s="290"/>
      <c r="BV636" s="290"/>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row>
    <row r="637" customFormat="false" ht="15.75" hidden="false" customHeight="false" outlineLevel="0" collapsed="false">
      <c r="A637" s="290"/>
      <c r="B637" s="290"/>
      <c r="C637" s="290"/>
      <c r="D637" s="290"/>
      <c r="E637" s="290"/>
      <c r="F637" s="290"/>
      <c r="G637" s="290"/>
      <c r="H637" s="290"/>
      <c r="I637" s="290"/>
      <c r="J637" s="3"/>
      <c r="K637" s="290"/>
      <c r="L637" s="290"/>
      <c r="M637" s="290"/>
      <c r="N637" s="290"/>
      <c r="O637" s="290"/>
      <c r="P637" s="290"/>
      <c r="Q637" s="290"/>
      <c r="R637" s="290"/>
      <c r="S637" s="290"/>
      <c r="T637" s="290"/>
      <c r="U637" s="290"/>
      <c r="V637" s="290"/>
      <c r="W637" s="290"/>
      <c r="X637" s="290"/>
      <c r="Y637" s="290"/>
      <c r="Z637" s="290"/>
      <c r="AA637" s="290"/>
      <c r="AB637" s="290"/>
      <c r="AC637" s="290"/>
      <c r="AD637" s="290"/>
      <c r="AE637" s="290"/>
      <c r="AF637" s="290"/>
      <c r="AG637" s="290"/>
      <c r="AH637" s="290"/>
      <c r="AI637" s="290"/>
      <c r="AJ637" s="290"/>
      <c r="AK637" s="290"/>
      <c r="AL637" s="290"/>
      <c r="AM637" s="290"/>
      <c r="AN637" s="290"/>
      <c r="AO637" s="290"/>
      <c r="AP637" s="290"/>
      <c r="AQ637" s="290"/>
      <c r="AR637" s="290"/>
      <c r="AS637" s="290"/>
      <c r="AT637" s="290"/>
      <c r="AU637" s="290"/>
      <c r="AV637" s="290"/>
      <c r="AW637" s="290"/>
      <c r="AX637" s="290"/>
      <c r="AY637" s="290"/>
      <c r="AZ637" s="290"/>
      <c r="BA637" s="290"/>
      <c r="BB637" s="290"/>
      <c r="BC637" s="290"/>
      <c r="BD637" s="290"/>
      <c r="BE637" s="290"/>
      <c r="BF637" s="290"/>
      <c r="BG637" s="290"/>
      <c r="BH637" s="290"/>
      <c r="BI637" s="290"/>
      <c r="BJ637" s="290"/>
      <c r="BK637" s="290"/>
      <c r="BL637" s="290"/>
      <c r="BM637" s="290"/>
      <c r="BN637" s="290"/>
      <c r="BO637" s="290"/>
      <c r="BP637" s="290"/>
      <c r="BQ637" s="290"/>
      <c r="BR637" s="290"/>
      <c r="BS637" s="290"/>
      <c r="BT637" s="290"/>
      <c r="BU637" s="290"/>
      <c r="BV637" s="290"/>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row>
    <row r="638" customFormat="false" ht="15.75" hidden="false" customHeight="false" outlineLevel="0" collapsed="false">
      <c r="A638" s="290"/>
      <c r="B638" s="290"/>
      <c r="C638" s="290"/>
      <c r="D638" s="290"/>
      <c r="E638" s="290"/>
      <c r="F638" s="290"/>
      <c r="G638" s="290"/>
      <c r="H638" s="290"/>
      <c r="I638" s="290"/>
      <c r="J638" s="3"/>
      <c r="K638" s="290"/>
      <c r="L638" s="290"/>
      <c r="M638" s="290"/>
      <c r="N638" s="290"/>
      <c r="O638" s="290"/>
      <c r="P638" s="290"/>
      <c r="Q638" s="290"/>
      <c r="R638" s="290"/>
      <c r="S638" s="290"/>
      <c r="T638" s="290"/>
      <c r="U638" s="290"/>
      <c r="V638" s="290"/>
      <c r="W638" s="290"/>
      <c r="X638" s="290"/>
      <c r="Y638" s="290"/>
      <c r="Z638" s="290"/>
      <c r="AA638" s="290"/>
      <c r="AB638" s="290"/>
      <c r="AC638" s="290"/>
      <c r="AD638" s="290"/>
      <c r="AE638" s="290"/>
      <c r="AF638" s="290"/>
      <c r="AG638" s="290"/>
      <c r="AH638" s="290"/>
      <c r="AI638" s="290"/>
      <c r="AJ638" s="290"/>
      <c r="AK638" s="290"/>
      <c r="AL638" s="290"/>
      <c r="AM638" s="290"/>
      <c r="AN638" s="290"/>
      <c r="AO638" s="290"/>
      <c r="AP638" s="290"/>
      <c r="AQ638" s="290"/>
      <c r="AR638" s="290"/>
      <c r="AS638" s="290"/>
      <c r="AT638" s="290"/>
      <c r="AU638" s="290"/>
      <c r="AV638" s="290"/>
      <c r="AW638" s="290"/>
      <c r="AX638" s="290"/>
      <c r="AY638" s="290"/>
      <c r="AZ638" s="290"/>
      <c r="BA638" s="290"/>
      <c r="BB638" s="290"/>
      <c r="BC638" s="290"/>
      <c r="BD638" s="290"/>
      <c r="BE638" s="290"/>
      <c r="BF638" s="290"/>
      <c r="BG638" s="290"/>
      <c r="BH638" s="290"/>
      <c r="BI638" s="290"/>
      <c r="BJ638" s="290"/>
      <c r="BK638" s="290"/>
      <c r="BL638" s="290"/>
      <c r="BM638" s="290"/>
      <c r="BN638" s="290"/>
      <c r="BO638" s="290"/>
      <c r="BP638" s="290"/>
      <c r="BQ638" s="290"/>
      <c r="BR638" s="290"/>
      <c r="BS638" s="290"/>
      <c r="BT638" s="290"/>
      <c r="BU638" s="290"/>
      <c r="BV638" s="290"/>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row>
    <row r="639" customFormat="false" ht="15.75" hidden="false" customHeight="false" outlineLevel="0" collapsed="false">
      <c r="A639" s="290"/>
      <c r="B639" s="290"/>
      <c r="C639" s="290"/>
      <c r="D639" s="290"/>
      <c r="E639" s="290"/>
      <c r="F639" s="290"/>
      <c r="G639" s="290"/>
      <c r="H639" s="290"/>
      <c r="I639" s="290"/>
      <c r="J639" s="3"/>
      <c r="K639" s="290"/>
      <c r="L639" s="290"/>
      <c r="M639" s="290"/>
      <c r="N639" s="290"/>
      <c r="O639" s="290"/>
      <c r="P639" s="290"/>
      <c r="Q639" s="290"/>
      <c r="R639" s="290"/>
      <c r="S639" s="290"/>
      <c r="T639" s="290"/>
      <c r="U639" s="290"/>
      <c r="V639" s="290"/>
      <c r="W639" s="290"/>
      <c r="X639" s="290"/>
      <c r="Y639" s="290"/>
      <c r="Z639" s="290"/>
      <c r="AA639" s="290"/>
      <c r="AB639" s="290"/>
      <c r="AC639" s="290"/>
      <c r="AD639" s="290"/>
      <c r="AE639" s="290"/>
      <c r="AF639" s="290"/>
      <c r="AG639" s="290"/>
      <c r="AH639" s="290"/>
      <c r="AI639" s="290"/>
      <c r="AJ639" s="290"/>
      <c r="AK639" s="290"/>
      <c r="AL639" s="290"/>
      <c r="AM639" s="290"/>
      <c r="AN639" s="290"/>
      <c r="AO639" s="290"/>
      <c r="AP639" s="290"/>
      <c r="AQ639" s="290"/>
      <c r="AR639" s="290"/>
      <c r="AS639" s="290"/>
      <c r="AT639" s="290"/>
      <c r="AU639" s="290"/>
      <c r="AV639" s="290"/>
      <c r="AW639" s="290"/>
      <c r="AX639" s="290"/>
      <c r="AY639" s="290"/>
      <c r="AZ639" s="290"/>
      <c r="BA639" s="290"/>
      <c r="BB639" s="290"/>
      <c r="BC639" s="290"/>
      <c r="BD639" s="290"/>
      <c r="BE639" s="290"/>
      <c r="BF639" s="290"/>
      <c r="BG639" s="290"/>
      <c r="BH639" s="290"/>
      <c r="BI639" s="290"/>
      <c r="BJ639" s="290"/>
      <c r="BK639" s="290"/>
      <c r="BL639" s="290"/>
      <c r="BM639" s="290"/>
      <c r="BN639" s="290"/>
      <c r="BO639" s="290"/>
      <c r="BP639" s="290"/>
      <c r="BQ639" s="290"/>
      <c r="BR639" s="290"/>
      <c r="BS639" s="290"/>
      <c r="BT639" s="290"/>
      <c r="BU639" s="290"/>
      <c r="BV639" s="290"/>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row>
    <row r="640" customFormat="false" ht="15.75" hidden="false" customHeight="false" outlineLevel="0" collapsed="false">
      <c r="A640" s="290"/>
      <c r="B640" s="290"/>
      <c r="C640" s="290"/>
      <c r="D640" s="290"/>
      <c r="E640" s="290"/>
      <c r="F640" s="290"/>
      <c r="G640" s="290"/>
      <c r="H640" s="290"/>
      <c r="I640" s="290"/>
      <c r="J640" s="3"/>
      <c r="K640" s="290"/>
      <c r="L640" s="290"/>
      <c r="M640" s="290"/>
      <c r="N640" s="290"/>
      <c r="O640" s="290"/>
      <c r="P640" s="290"/>
      <c r="Q640" s="290"/>
      <c r="R640" s="290"/>
      <c r="S640" s="290"/>
      <c r="T640" s="290"/>
      <c r="U640" s="290"/>
      <c r="V640" s="290"/>
      <c r="W640" s="290"/>
      <c r="X640" s="290"/>
      <c r="Y640" s="290"/>
      <c r="Z640" s="290"/>
      <c r="AA640" s="290"/>
      <c r="AB640" s="290"/>
      <c r="AC640" s="290"/>
      <c r="AD640" s="290"/>
      <c r="AE640" s="290"/>
      <c r="AF640" s="290"/>
      <c r="AG640" s="290"/>
      <c r="AH640" s="290"/>
      <c r="AI640" s="290"/>
      <c r="AJ640" s="290"/>
      <c r="AK640" s="290"/>
      <c r="AL640" s="290"/>
      <c r="AM640" s="290"/>
      <c r="AN640" s="290"/>
      <c r="AO640" s="290"/>
      <c r="AP640" s="290"/>
      <c r="AQ640" s="290"/>
      <c r="AR640" s="290"/>
      <c r="AS640" s="290"/>
      <c r="AT640" s="290"/>
      <c r="AU640" s="290"/>
      <c r="AV640" s="290"/>
      <c r="AW640" s="290"/>
      <c r="AX640" s="290"/>
      <c r="AY640" s="290"/>
      <c r="AZ640" s="290"/>
      <c r="BA640" s="290"/>
      <c r="BB640" s="290"/>
      <c r="BC640" s="290"/>
      <c r="BD640" s="290"/>
      <c r="BE640" s="290"/>
      <c r="BF640" s="290"/>
      <c r="BG640" s="290"/>
      <c r="BH640" s="290"/>
      <c r="BI640" s="290"/>
      <c r="BJ640" s="290"/>
      <c r="BK640" s="290"/>
      <c r="BL640" s="290"/>
      <c r="BM640" s="290"/>
      <c r="BN640" s="290"/>
      <c r="BO640" s="290"/>
      <c r="BP640" s="290"/>
      <c r="BQ640" s="290"/>
      <c r="BR640" s="290"/>
      <c r="BS640" s="290"/>
      <c r="BT640" s="290"/>
      <c r="BU640" s="290"/>
      <c r="BV640" s="290"/>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row>
    <row r="641" customFormat="false" ht="15.75" hidden="false" customHeight="false" outlineLevel="0" collapsed="false">
      <c r="A641" s="290"/>
      <c r="B641" s="290"/>
      <c r="C641" s="290"/>
      <c r="D641" s="290"/>
      <c r="E641" s="290"/>
      <c r="F641" s="290"/>
      <c r="G641" s="290"/>
      <c r="H641" s="290"/>
      <c r="I641" s="290"/>
      <c r="J641" s="3"/>
      <c r="K641" s="290"/>
      <c r="L641" s="290"/>
      <c r="M641" s="290"/>
      <c r="N641" s="290"/>
      <c r="O641" s="290"/>
      <c r="P641" s="290"/>
      <c r="Q641" s="290"/>
      <c r="R641" s="290"/>
      <c r="S641" s="290"/>
      <c r="T641" s="290"/>
      <c r="U641" s="290"/>
      <c r="V641" s="290"/>
      <c r="W641" s="290"/>
      <c r="X641" s="290"/>
      <c r="Y641" s="290"/>
      <c r="Z641" s="290"/>
      <c r="AA641" s="290"/>
      <c r="AB641" s="290"/>
      <c r="AC641" s="290"/>
      <c r="AD641" s="290"/>
      <c r="AE641" s="290"/>
      <c r="AF641" s="290"/>
      <c r="AG641" s="290"/>
      <c r="AH641" s="290"/>
      <c r="AI641" s="290"/>
      <c r="AJ641" s="290"/>
      <c r="AK641" s="290"/>
      <c r="AL641" s="290"/>
      <c r="AM641" s="290"/>
      <c r="AN641" s="290"/>
      <c r="AO641" s="290"/>
      <c r="AP641" s="290"/>
      <c r="AQ641" s="290"/>
      <c r="AR641" s="290"/>
      <c r="AS641" s="290"/>
      <c r="AT641" s="290"/>
      <c r="AU641" s="290"/>
      <c r="AV641" s="290"/>
      <c r="AW641" s="290"/>
      <c r="AX641" s="290"/>
      <c r="AY641" s="290"/>
      <c r="AZ641" s="290"/>
      <c r="BA641" s="290"/>
      <c r="BB641" s="290"/>
      <c r="BC641" s="290"/>
      <c r="BD641" s="290"/>
      <c r="BE641" s="290"/>
      <c r="BF641" s="290"/>
      <c r="BG641" s="290"/>
      <c r="BH641" s="290"/>
      <c r="BI641" s="290"/>
      <c r="BJ641" s="290"/>
      <c r="BK641" s="290"/>
      <c r="BL641" s="290"/>
      <c r="BM641" s="290"/>
      <c r="BN641" s="290"/>
      <c r="BO641" s="290"/>
      <c r="BP641" s="290"/>
      <c r="BQ641" s="290"/>
      <c r="BR641" s="290"/>
      <c r="BS641" s="290"/>
      <c r="BT641" s="290"/>
      <c r="BU641" s="290"/>
      <c r="BV641" s="290"/>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row>
    <row r="642" customFormat="false" ht="15.75" hidden="false" customHeight="false" outlineLevel="0" collapsed="false">
      <c r="A642" s="290"/>
      <c r="B642" s="290"/>
      <c r="C642" s="290"/>
      <c r="D642" s="290"/>
      <c r="E642" s="290"/>
      <c r="F642" s="290"/>
      <c r="G642" s="290"/>
      <c r="H642" s="290"/>
      <c r="I642" s="290"/>
      <c r="J642" s="3"/>
      <c r="K642" s="290"/>
      <c r="L642" s="290"/>
      <c r="M642" s="290"/>
      <c r="N642" s="290"/>
      <c r="O642" s="290"/>
      <c r="P642" s="290"/>
      <c r="Q642" s="290"/>
      <c r="R642" s="290"/>
      <c r="S642" s="290"/>
      <c r="T642" s="290"/>
      <c r="U642" s="290"/>
      <c r="V642" s="290"/>
      <c r="W642" s="290"/>
      <c r="X642" s="290"/>
      <c r="Y642" s="290"/>
      <c r="Z642" s="290"/>
      <c r="AA642" s="290"/>
      <c r="AB642" s="290"/>
      <c r="AC642" s="290"/>
      <c r="AD642" s="290"/>
      <c r="AE642" s="290"/>
      <c r="AF642" s="290"/>
      <c r="AG642" s="290"/>
      <c r="AH642" s="290"/>
      <c r="AI642" s="290"/>
      <c r="AJ642" s="290"/>
      <c r="AK642" s="290"/>
      <c r="AL642" s="290"/>
      <c r="AM642" s="290"/>
      <c r="AN642" s="290"/>
      <c r="AO642" s="290"/>
      <c r="AP642" s="290"/>
      <c r="AQ642" s="290"/>
      <c r="AR642" s="290"/>
      <c r="AS642" s="290"/>
      <c r="AT642" s="290"/>
      <c r="AU642" s="290"/>
      <c r="AV642" s="290"/>
      <c r="AW642" s="290"/>
      <c r="AX642" s="290"/>
      <c r="AY642" s="290"/>
      <c r="AZ642" s="290"/>
      <c r="BA642" s="290"/>
      <c r="BB642" s="290"/>
      <c r="BC642" s="290"/>
      <c r="BD642" s="290"/>
      <c r="BE642" s="290"/>
      <c r="BF642" s="290"/>
      <c r="BG642" s="290"/>
      <c r="BH642" s="290"/>
      <c r="BI642" s="290"/>
      <c r="BJ642" s="290"/>
      <c r="BK642" s="290"/>
      <c r="BL642" s="290"/>
      <c r="BM642" s="290"/>
      <c r="BN642" s="290"/>
      <c r="BO642" s="290"/>
      <c r="BP642" s="290"/>
      <c r="BQ642" s="290"/>
      <c r="BR642" s="290"/>
      <c r="BS642" s="290"/>
      <c r="BT642" s="290"/>
      <c r="BU642" s="290"/>
      <c r="BV642" s="290"/>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row>
    <row r="643" customFormat="false" ht="15.75" hidden="false" customHeight="false" outlineLevel="0" collapsed="false">
      <c r="A643" s="290"/>
      <c r="B643" s="290"/>
      <c r="C643" s="290"/>
      <c r="D643" s="290"/>
      <c r="E643" s="290"/>
      <c r="F643" s="290"/>
      <c r="G643" s="290"/>
      <c r="H643" s="290"/>
      <c r="I643" s="290"/>
      <c r="J643" s="3"/>
      <c r="K643" s="290"/>
      <c r="L643" s="290"/>
      <c r="M643" s="290"/>
      <c r="N643" s="290"/>
      <c r="O643" s="290"/>
      <c r="P643" s="290"/>
      <c r="Q643" s="290"/>
      <c r="R643" s="290"/>
      <c r="S643" s="290"/>
      <c r="T643" s="290"/>
      <c r="U643" s="290"/>
      <c r="V643" s="290"/>
      <c r="W643" s="290"/>
      <c r="X643" s="290"/>
      <c r="Y643" s="290"/>
      <c r="Z643" s="290"/>
      <c r="AA643" s="290"/>
      <c r="AB643" s="290"/>
      <c r="AC643" s="290"/>
      <c r="AD643" s="290"/>
      <c r="AE643" s="290"/>
      <c r="AF643" s="290"/>
      <c r="AG643" s="290"/>
      <c r="AH643" s="290"/>
      <c r="AI643" s="290"/>
      <c r="AJ643" s="290"/>
      <c r="AK643" s="290"/>
      <c r="AL643" s="290"/>
      <c r="AM643" s="290"/>
      <c r="AN643" s="290"/>
      <c r="AO643" s="290"/>
      <c r="AP643" s="290"/>
      <c r="AQ643" s="290"/>
      <c r="AR643" s="290"/>
      <c r="AS643" s="290"/>
      <c r="AT643" s="290"/>
      <c r="AU643" s="290"/>
      <c r="AV643" s="290"/>
      <c r="AW643" s="290"/>
      <c r="AX643" s="290"/>
      <c r="AY643" s="290"/>
      <c r="AZ643" s="290"/>
      <c r="BA643" s="290"/>
      <c r="BB643" s="290"/>
      <c r="BC643" s="290"/>
      <c r="BD643" s="290"/>
      <c r="BE643" s="290"/>
      <c r="BF643" s="290"/>
      <c r="BG643" s="290"/>
      <c r="BH643" s="290"/>
      <c r="BI643" s="290"/>
      <c r="BJ643" s="290"/>
      <c r="BK643" s="290"/>
      <c r="BL643" s="290"/>
      <c r="BM643" s="290"/>
      <c r="BN643" s="290"/>
      <c r="BO643" s="290"/>
      <c r="BP643" s="290"/>
      <c r="BQ643" s="290"/>
      <c r="BR643" s="290"/>
      <c r="BS643" s="290"/>
      <c r="BT643" s="290"/>
      <c r="BU643" s="290"/>
      <c r="BV643" s="290"/>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row>
    <row r="644" customFormat="false" ht="15.75" hidden="false" customHeight="false" outlineLevel="0" collapsed="false">
      <c r="A644" s="290"/>
      <c r="B644" s="290"/>
      <c r="C644" s="290"/>
      <c r="D644" s="290"/>
      <c r="E644" s="290"/>
      <c r="F644" s="290"/>
      <c r="G644" s="290"/>
      <c r="H644" s="290"/>
      <c r="I644" s="290"/>
      <c r="J644" s="3"/>
      <c r="K644" s="290"/>
      <c r="L644" s="290"/>
      <c r="M644" s="290"/>
      <c r="N644" s="290"/>
      <c r="O644" s="290"/>
      <c r="P644" s="290"/>
      <c r="Q644" s="290"/>
      <c r="R644" s="290"/>
      <c r="S644" s="290"/>
      <c r="T644" s="290"/>
      <c r="U644" s="290"/>
      <c r="V644" s="290"/>
      <c r="W644" s="290"/>
      <c r="X644" s="290"/>
      <c r="Y644" s="290"/>
      <c r="Z644" s="290"/>
      <c r="AA644" s="290"/>
      <c r="AB644" s="290"/>
      <c r="AC644" s="290"/>
      <c r="AD644" s="290"/>
      <c r="AE644" s="290"/>
      <c r="AF644" s="290"/>
      <c r="AG644" s="290"/>
      <c r="AH644" s="290"/>
      <c r="AI644" s="290"/>
      <c r="AJ644" s="290"/>
      <c r="AK644" s="290"/>
      <c r="AL644" s="290"/>
      <c r="AM644" s="290"/>
      <c r="AN644" s="290"/>
      <c r="AO644" s="290"/>
      <c r="AP644" s="290"/>
      <c r="AQ644" s="290"/>
      <c r="AR644" s="290"/>
      <c r="AS644" s="290"/>
      <c r="AT644" s="290"/>
      <c r="AU644" s="290"/>
      <c r="AV644" s="290"/>
      <c r="AW644" s="290"/>
      <c r="AX644" s="290"/>
      <c r="AY644" s="290"/>
      <c r="AZ644" s="290"/>
      <c r="BA644" s="290"/>
      <c r="BB644" s="290"/>
      <c r="BC644" s="290"/>
      <c r="BD644" s="290"/>
      <c r="BE644" s="290"/>
      <c r="BF644" s="290"/>
      <c r="BG644" s="290"/>
      <c r="BH644" s="290"/>
      <c r="BI644" s="290"/>
      <c r="BJ644" s="290"/>
      <c r="BK644" s="290"/>
      <c r="BL644" s="290"/>
      <c r="BM644" s="290"/>
      <c r="BN644" s="290"/>
      <c r="BO644" s="290"/>
      <c r="BP644" s="290"/>
      <c r="BQ644" s="290"/>
      <c r="BR644" s="290"/>
      <c r="BS644" s="290"/>
      <c r="BT644" s="290"/>
      <c r="BU644" s="290"/>
      <c r="BV644" s="290"/>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row>
    <row r="645" customFormat="false" ht="15.75" hidden="false" customHeight="false" outlineLevel="0" collapsed="false">
      <c r="A645" s="290"/>
      <c r="B645" s="290"/>
      <c r="C645" s="290"/>
      <c r="D645" s="290"/>
      <c r="E645" s="290"/>
      <c r="F645" s="290"/>
      <c r="G645" s="290"/>
      <c r="H645" s="290"/>
      <c r="I645" s="290"/>
      <c r="J645" s="3"/>
      <c r="K645" s="290"/>
      <c r="L645" s="290"/>
      <c r="M645" s="290"/>
      <c r="N645" s="290"/>
      <c r="O645" s="290"/>
      <c r="P645" s="290"/>
      <c r="Q645" s="290"/>
      <c r="R645" s="290"/>
      <c r="S645" s="290"/>
      <c r="T645" s="290"/>
      <c r="U645" s="290"/>
      <c r="V645" s="290"/>
      <c r="W645" s="290"/>
      <c r="X645" s="290"/>
      <c r="Y645" s="290"/>
      <c r="Z645" s="290"/>
      <c r="AA645" s="290"/>
      <c r="AB645" s="290"/>
      <c r="AC645" s="290"/>
      <c r="AD645" s="290"/>
      <c r="AE645" s="290"/>
      <c r="AF645" s="290"/>
      <c r="AG645" s="290"/>
      <c r="AH645" s="290"/>
      <c r="AI645" s="290"/>
      <c r="AJ645" s="290"/>
      <c r="AK645" s="290"/>
      <c r="AL645" s="290"/>
      <c r="AM645" s="290"/>
      <c r="AN645" s="290"/>
      <c r="AO645" s="290"/>
      <c r="AP645" s="290"/>
      <c r="AQ645" s="290"/>
      <c r="AR645" s="290"/>
      <c r="AS645" s="290"/>
      <c r="AT645" s="290"/>
      <c r="AU645" s="290"/>
      <c r="AV645" s="290"/>
      <c r="AW645" s="290"/>
      <c r="AX645" s="290"/>
      <c r="AY645" s="290"/>
      <c r="AZ645" s="290"/>
      <c r="BA645" s="290"/>
      <c r="BB645" s="290"/>
      <c r="BC645" s="290"/>
      <c r="BD645" s="290"/>
      <c r="BE645" s="290"/>
      <c r="BF645" s="290"/>
      <c r="BG645" s="290"/>
      <c r="BH645" s="290"/>
      <c r="BI645" s="290"/>
      <c r="BJ645" s="290"/>
      <c r="BK645" s="290"/>
      <c r="BL645" s="290"/>
      <c r="BM645" s="290"/>
      <c r="BN645" s="290"/>
      <c r="BO645" s="290"/>
      <c r="BP645" s="290"/>
      <c r="BQ645" s="290"/>
      <c r="BR645" s="290"/>
      <c r="BS645" s="290"/>
      <c r="BT645" s="290"/>
      <c r="BU645" s="290"/>
      <c r="BV645" s="290"/>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row>
    <row r="646" customFormat="false" ht="15.75" hidden="false" customHeight="false" outlineLevel="0" collapsed="false">
      <c r="A646" s="290"/>
      <c r="B646" s="290"/>
      <c r="C646" s="290"/>
      <c r="D646" s="290"/>
      <c r="E646" s="290"/>
      <c r="F646" s="290"/>
      <c r="G646" s="290"/>
      <c r="H646" s="290"/>
      <c r="I646" s="290"/>
      <c r="J646" s="3"/>
      <c r="K646" s="290"/>
      <c r="L646" s="290"/>
      <c r="M646" s="290"/>
      <c r="N646" s="290"/>
      <c r="O646" s="290"/>
      <c r="P646" s="290"/>
      <c r="Q646" s="290"/>
      <c r="R646" s="290"/>
      <c r="S646" s="290"/>
      <c r="T646" s="290"/>
      <c r="U646" s="290"/>
      <c r="V646" s="290"/>
      <c r="W646" s="290"/>
      <c r="X646" s="290"/>
      <c r="Y646" s="290"/>
      <c r="Z646" s="290"/>
      <c r="AA646" s="290"/>
      <c r="AB646" s="290"/>
      <c r="AC646" s="290"/>
      <c r="AD646" s="290"/>
      <c r="AE646" s="290"/>
      <c r="AF646" s="290"/>
      <c r="AG646" s="290"/>
      <c r="AH646" s="290"/>
      <c r="AI646" s="290"/>
      <c r="AJ646" s="290"/>
      <c r="AK646" s="290"/>
      <c r="AL646" s="290"/>
      <c r="AM646" s="290"/>
      <c r="AN646" s="290"/>
      <c r="AO646" s="290"/>
      <c r="AP646" s="290"/>
      <c r="AQ646" s="290"/>
      <c r="AR646" s="290"/>
      <c r="AS646" s="290"/>
      <c r="AT646" s="290"/>
      <c r="AU646" s="290"/>
      <c r="AV646" s="290"/>
      <c r="AW646" s="290"/>
      <c r="AX646" s="290"/>
      <c r="AY646" s="290"/>
      <c r="AZ646" s="290"/>
      <c r="BA646" s="290"/>
      <c r="BB646" s="290"/>
      <c r="BC646" s="290"/>
      <c r="BD646" s="290"/>
      <c r="BE646" s="290"/>
      <c r="BF646" s="290"/>
      <c r="BG646" s="290"/>
      <c r="BH646" s="290"/>
      <c r="BI646" s="290"/>
      <c r="BJ646" s="290"/>
      <c r="BK646" s="290"/>
      <c r="BL646" s="290"/>
      <c r="BM646" s="290"/>
      <c r="BN646" s="290"/>
      <c r="BO646" s="290"/>
      <c r="BP646" s="290"/>
      <c r="BQ646" s="290"/>
      <c r="BR646" s="290"/>
      <c r="BS646" s="290"/>
      <c r="BT646" s="290"/>
      <c r="BU646" s="290"/>
      <c r="BV646" s="290"/>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row>
    <row r="647" customFormat="false" ht="15.75" hidden="false" customHeight="false" outlineLevel="0" collapsed="false">
      <c r="A647" s="290"/>
      <c r="B647" s="290"/>
      <c r="C647" s="290"/>
      <c r="D647" s="290"/>
      <c r="E647" s="290"/>
      <c r="F647" s="290"/>
      <c r="G647" s="290"/>
      <c r="H647" s="290"/>
      <c r="I647" s="290"/>
      <c r="J647" s="3"/>
      <c r="K647" s="290"/>
      <c r="L647" s="290"/>
      <c r="M647" s="290"/>
      <c r="N647" s="290"/>
      <c r="O647" s="290"/>
      <c r="P647" s="290"/>
      <c r="Q647" s="290"/>
      <c r="R647" s="290"/>
      <c r="S647" s="290"/>
      <c r="T647" s="290"/>
      <c r="U647" s="290"/>
      <c r="V647" s="290"/>
      <c r="W647" s="290"/>
      <c r="X647" s="290"/>
      <c r="Y647" s="290"/>
      <c r="Z647" s="290"/>
      <c r="AA647" s="290"/>
      <c r="AB647" s="290"/>
      <c r="AC647" s="290"/>
      <c r="AD647" s="290"/>
      <c r="AE647" s="290"/>
      <c r="AF647" s="290"/>
      <c r="AG647" s="290"/>
      <c r="AH647" s="290"/>
      <c r="AI647" s="290"/>
      <c r="AJ647" s="290"/>
      <c r="AK647" s="290"/>
      <c r="AL647" s="290"/>
      <c r="AM647" s="290"/>
      <c r="AN647" s="290"/>
      <c r="AO647" s="290"/>
      <c r="AP647" s="290"/>
      <c r="AQ647" s="290"/>
      <c r="AR647" s="290"/>
      <c r="AS647" s="290"/>
      <c r="AT647" s="290"/>
      <c r="AU647" s="290"/>
      <c r="AV647" s="290"/>
      <c r="AW647" s="290"/>
      <c r="AX647" s="290"/>
      <c r="AY647" s="290"/>
      <c r="AZ647" s="290"/>
      <c r="BA647" s="290"/>
      <c r="BB647" s="290"/>
      <c r="BC647" s="290"/>
      <c r="BD647" s="290"/>
      <c r="BE647" s="290"/>
      <c r="BF647" s="290"/>
      <c r="BG647" s="290"/>
      <c r="BH647" s="290"/>
      <c r="BI647" s="290"/>
      <c r="BJ647" s="290"/>
      <c r="BK647" s="290"/>
      <c r="BL647" s="290"/>
      <c r="BM647" s="290"/>
      <c r="BN647" s="290"/>
      <c r="BO647" s="290"/>
      <c r="BP647" s="290"/>
      <c r="BQ647" s="290"/>
      <c r="BR647" s="290"/>
      <c r="BS647" s="290"/>
      <c r="BT647" s="290"/>
      <c r="BU647" s="290"/>
      <c r="BV647" s="290"/>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row>
    <row r="648" customFormat="false" ht="15.75" hidden="false" customHeight="false" outlineLevel="0" collapsed="false">
      <c r="A648" s="290"/>
      <c r="B648" s="290"/>
      <c r="C648" s="290"/>
      <c r="D648" s="290"/>
      <c r="E648" s="290"/>
      <c r="F648" s="290"/>
      <c r="G648" s="290"/>
      <c r="H648" s="290"/>
      <c r="I648" s="290"/>
      <c r="J648" s="3"/>
      <c r="K648" s="290"/>
      <c r="L648" s="290"/>
      <c r="M648" s="290"/>
      <c r="N648" s="290"/>
      <c r="O648" s="290"/>
      <c r="P648" s="290"/>
      <c r="Q648" s="290"/>
      <c r="R648" s="290"/>
      <c r="S648" s="290"/>
      <c r="T648" s="290"/>
      <c r="U648" s="290"/>
      <c r="V648" s="290"/>
      <c r="W648" s="290"/>
      <c r="X648" s="290"/>
      <c r="Y648" s="290"/>
      <c r="Z648" s="290"/>
      <c r="AA648" s="290"/>
      <c r="AB648" s="290"/>
      <c r="AC648" s="290"/>
      <c r="AD648" s="290"/>
      <c r="AE648" s="290"/>
      <c r="AF648" s="290"/>
      <c r="AG648" s="290"/>
      <c r="AH648" s="290"/>
      <c r="AI648" s="290"/>
      <c r="AJ648" s="290"/>
      <c r="AK648" s="290"/>
      <c r="AL648" s="290"/>
      <c r="AM648" s="290"/>
      <c r="AN648" s="290"/>
      <c r="AO648" s="290"/>
      <c r="AP648" s="290"/>
      <c r="AQ648" s="290"/>
      <c r="AR648" s="290"/>
      <c r="AS648" s="290"/>
      <c r="AT648" s="290"/>
      <c r="AU648" s="290"/>
      <c r="AV648" s="290"/>
      <c r="AW648" s="290"/>
      <c r="AX648" s="290"/>
      <c r="AY648" s="290"/>
      <c r="AZ648" s="290"/>
      <c r="BA648" s="290"/>
      <c r="BB648" s="290"/>
      <c r="BC648" s="290"/>
      <c r="BD648" s="290"/>
      <c r="BE648" s="290"/>
      <c r="BF648" s="290"/>
      <c r="BG648" s="290"/>
      <c r="BH648" s="290"/>
      <c r="BI648" s="290"/>
      <c r="BJ648" s="290"/>
      <c r="BK648" s="290"/>
      <c r="BL648" s="290"/>
      <c r="BM648" s="290"/>
      <c r="BN648" s="290"/>
      <c r="BO648" s="290"/>
      <c r="BP648" s="290"/>
      <c r="BQ648" s="290"/>
      <c r="BR648" s="290"/>
      <c r="BS648" s="290"/>
      <c r="BT648" s="290"/>
      <c r="BU648" s="290"/>
      <c r="BV648" s="290"/>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row>
    <row r="649" customFormat="false" ht="15.75" hidden="false" customHeight="false" outlineLevel="0" collapsed="false">
      <c r="A649" s="290"/>
      <c r="B649" s="290"/>
      <c r="C649" s="290"/>
      <c r="D649" s="290"/>
      <c r="E649" s="290"/>
      <c r="F649" s="290"/>
      <c r="G649" s="290"/>
      <c r="H649" s="290"/>
      <c r="I649" s="290"/>
      <c r="J649" s="3"/>
      <c r="K649" s="290"/>
      <c r="L649" s="290"/>
      <c r="M649" s="290"/>
      <c r="N649" s="290"/>
      <c r="O649" s="290"/>
      <c r="P649" s="290"/>
      <c r="Q649" s="290"/>
      <c r="R649" s="290"/>
      <c r="S649" s="290"/>
      <c r="T649" s="290"/>
      <c r="U649" s="290"/>
      <c r="V649" s="290"/>
      <c r="W649" s="290"/>
      <c r="X649" s="290"/>
      <c r="Y649" s="290"/>
      <c r="Z649" s="290"/>
      <c r="AA649" s="290"/>
      <c r="AB649" s="290"/>
      <c r="AC649" s="290"/>
      <c r="AD649" s="290"/>
      <c r="AE649" s="290"/>
      <c r="AF649" s="290"/>
      <c r="AG649" s="290"/>
      <c r="AH649" s="290"/>
      <c r="AI649" s="290"/>
      <c r="AJ649" s="290"/>
      <c r="AK649" s="290"/>
      <c r="AL649" s="290"/>
      <c r="AM649" s="290"/>
      <c r="AN649" s="290"/>
      <c r="AO649" s="290"/>
      <c r="AP649" s="290"/>
      <c r="AQ649" s="290"/>
      <c r="AR649" s="290"/>
      <c r="AS649" s="290"/>
      <c r="AT649" s="290"/>
      <c r="AU649" s="290"/>
      <c r="AV649" s="290"/>
      <c r="AW649" s="290"/>
      <c r="AX649" s="290"/>
      <c r="AY649" s="290"/>
      <c r="AZ649" s="290"/>
      <c r="BA649" s="290"/>
      <c r="BB649" s="290"/>
      <c r="BC649" s="290"/>
      <c r="BD649" s="290"/>
      <c r="BE649" s="290"/>
      <c r="BF649" s="290"/>
      <c r="BG649" s="290"/>
      <c r="BH649" s="290"/>
      <c r="BI649" s="290"/>
      <c r="BJ649" s="290"/>
      <c r="BK649" s="290"/>
      <c r="BL649" s="290"/>
      <c r="BM649" s="290"/>
      <c r="BN649" s="290"/>
      <c r="BO649" s="290"/>
      <c r="BP649" s="290"/>
      <c r="BQ649" s="290"/>
      <c r="BR649" s="290"/>
      <c r="BS649" s="290"/>
      <c r="BT649" s="290"/>
      <c r="BU649" s="290"/>
      <c r="BV649" s="290"/>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row>
    <row r="650" customFormat="false" ht="15.75" hidden="false" customHeight="false" outlineLevel="0" collapsed="false">
      <c r="A650" s="290"/>
      <c r="B650" s="290"/>
      <c r="C650" s="290"/>
      <c r="D650" s="290"/>
      <c r="E650" s="290"/>
      <c r="F650" s="290"/>
      <c r="G650" s="290"/>
      <c r="H650" s="290"/>
      <c r="I650" s="290"/>
      <c r="J650" s="3"/>
      <c r="K650" s="290"/>
      <c r="L650" s="290"/>
      <c r="M650" s="290"/>
      <c r="N650" s="290"/>
      <c r="O650" s="290"/>
      <c r="P650" s="290"/>
      <c r="Q650" s="290"/>
      <c r="R650" s="290"/>
      <c r="S650" s="290"/>
      <c r="T650" s="290"/>
      <c r="U650" s="290"/>
      <c r="V650" s="290"/>
      <c r="W650" s="290"/>
      <c r="X650" s="290"/>
      <c r="Y650" s="290"/>
      <c r="Z650" s="290"/>
      <c r="AA650" s="290"/>
      <c r="AB650" s="290"/>
      <c r="AC650" s="290"/>
      <c r="AD650" s="290"/>
      <c r="AE650" s="290"/>
      <c r="AF650" s="290"/>
      <c r="AG650" s="290"/>
      <c r="AH650" s="290"/>
      <c r="AI650" s="290"/>
      <c r="AJ650" s="290"/>
      <c r="AK650" s="290"/>
      <c r="AL650" s="290"/>
      <c r="AM650" s="290"/>
      <c r="AN650" s="290"/>
      <c r="AO650" s="290"/>
      <c r="AP650" s="290"/>
      <c r="AQ650" s="290"/>
      <c r="AR650" s="290"/>
      <c r="AS650" s="290"/>
      <c r="AT650" s="290"/>
      <c r="AU650" s="290"/>
      <c r="AV650" s="290"/>
      <c r="AW650" s="290"/>
      <c r="AX650" s="290"/>
      <c r="AY650" s="290"/>
      <c r="AZ650" s="290"/>
      <c r="BA650" s="290"/>
      <c r="BB650" s="290"/>
      <c r="BC650" s="290"/>
      <c r="BD650" s="290"/>
      <c r="BE650" s="290"/>
      <c r="BF650" s="290"/>
      <c r="BG650" s="290"/>
      <c r="BH650" s="290"/>
      <c r="BI650" s="290"/>
      <c r="BJ650" s="290"/>
      <c r="BK650" s="290"/>
      <c r="BL650" s="290"/>
      <c r="BM650" s="290"/>
      <c r="BN650" s="290"/>
      <c r="BO650" s="290"/>
      <c r="BP650" s="290"/>
      <c r="BQ650" s="290"/>
      <c r="BR650" s="290"/>
      <c r="BS650" s="290"/>
      <c r="BT650" s="290"/>
      <c r="BU650" s="290"/>
      <c r="BV650" s="290"/>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row>
    <row r="651" customFormat="false" ht="15.75" hidden="false" customHeight="false" outlineLevel="0" collapsed="false">
      <c r="A651" s="290"/>
      <c r="B651" s="290"/>
      <c r="C651" s="290"/>
      <c r="D651" s="290"/>
      <c r="E651" s="290"/>
      <c r="F651" s="290"/>
      <c r="G651" s="290"/>
      <c r="H651" s="290"/>
      <c r="I651" s="290"/>
      <c r="J651" s="3"/>
      <c r="K651" s="290"/>
      <c r="L651" s="290"/>
      <c r="M651" s="290"/>
      <c r="N651" s="290"/>
      <c r="O651" s="290"/>
      <c r="P651" s="290"/>
      <c r="Q651" s="290"/>
      <c r="R651" s="290"/>
      <c r="S651" s="290"/>
      <c r="T651" s="290"/>
      <c r="U651" s="290"/>
      <c r="V651" s="290"/>
      <c r="W651" s="290"/>
      <c r="X651" s="290"/>
      <c r="Y651" s="290"/>
      <c r="Z651" s="290"/>
      <c r="AA651" s="290"/>
      <c r="AB651" s="290"/>
      <c r="AC651" s="290"/>
      <c r="AD651" s="290"/>
      <c r="AE651" s="290"/>
      <c r="AF651" s="290"/>
      <c r="AG651" s="290"/>
      <c r="AH651" s="290"/>
      <c r="AI651" s="290"/>
      <c r="AJ651" s="290"/>
      <c r="AK651" s="290"/>
      <c r="AL651" s="290"/>
      <c r="AM651" s="290"/>
      <c r="AN651" s="290"/>
      <c r="AO651" s="290"/>
      <c r="AP651" s="290"/>
      <c r="AQ651" s="290"/>
      <c r="AR651" s="290"/>
      <c r="AS651" s="290"/>
      <c r="AT651" s="290"/>
      <c r="AU651" s="290"/>
      <c r="AV651" s="290"/>
      <c r="AW651" s="290"/>
      <c r="AX651" s="290"/>
      <c r="AY651" s="290"/>
      <c r="AZ651" s="290"/>
      <c r="BA651" s="290"/>
      <c r="BB651" s="290"/>
      <c r="BC651" s="290"/>
      <c r="BD651" s="290"/>
      <c r="BE651" s="290"/>
      <c r="BF651" s="290"/>
      <c r="BG651" s="290"/>
      <c r="BH651" s="290"/>
      <c r="BI651" s="290"/>
      <c r="BJ651" s="290"/>
      <c r="BK651" s="290"/>
      <c r="BL651" s="290"/>
      <c r="BM651" s="290"/>
      <c r="BN651" s="290"/>
      <c r="BO651" s="290"/>
      <c r="BP651" s="290"/>
      <c r="BQ651" s="290"/>
      <c r="BR651" s="290"/>
      <c r="BS651" s="290"/>
      <c r="BT651" s="290"/>
      <c r="BU651" s="290"/>
      <c r="BV651" s="290"/>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row>
    <row r="652" customFormat="false" ht="15.75" hidden="false" customHeight="false" outlineLevel="0" collapsed="false">
      <c r="A652" s="290"/>
      <c r="B652" s="290"/>
      <c r="C652" s="290"/>
      <c r="D652" s="290"/>
      <c r="E652" s="290"/>
      <c r="F652" s="290"/>
      <c r="G652" s="290"/>
      <c r="H652" s="290"/>
      <c r="I652" s="290"/>
      <c r="J652" s="3"/>
      <c r="K652" s="290"/>
      <c r="L652" s="290"/>
      <c r="M652" s="290"/>
      <c r="N652" s="290"/>
      <c r="O652" s="290"/>
      <c r="P652" s="290"/>
      <c r="Q652" s="290"/>
      <c r="R652" s="290"/>
      <c r="S652" s="290"/>
      <c r="T652" s="290"/>
      <c r="U652" s="290"/>
      <c r="V652" s="290"/>
      <c r="W652" s="290"/>
      <c r="X652" s="290"/>
      <c r="Y652" s="290"/>
      <c r="Z652" s="290"/>
      <c r="AA652" s="290"/>
      <c r="AB652" s="290"/>
      <c r="AC652" s="290"/>
      <c r="AD652" s="290"/>
      <c r="AE652" s="290"/>
      <c r="AF652" s="290"/>
      <c r="AG652" s="290"/>
      <c r="AH652" s="290"/>
      <c r="AI652" s="290"/>
      <c r="AJ652" s="290"/>
      <c r="AK652" s="290"/>
      <c r="AL652" s="290"/>
      <c r="AM652" s="290"/>
      <c r="AN652" s="290"/>
      <c r="AO652" s="290"/>
      <c r="AP652" s="290"/>
      <c r="AQ652" s="290"/>
      <c r="AR652" s="290"/>
      <c r="AS652" s="290"/>
      <c r="AT652" s="290"/>
      <c r="AU652" s="290"/>
      <c r="AV652" s="290"/>
      <c r="AW652" s="290"/>
      <c r="AX652" s="290"/>
      <c r="AY652" s="290"/>
      <c r="AZ652" s="290"/>
      <c r="BA652" s="290"/>
      <c r="BB652" s="290"/>
      <c r="BC652" s="290"/>
      <c r="BD652" s="290"/>
      <c r="BE652" s="290"/>
      <c r="BF652" s="290"/>
      <c r="BG652" s="290"/>
      <c r="BH652" s="290"/>
      <c r="BI652" s="290"/>
      <c r="BJ652" s="290"/>
      <c r="BK652" s="290"/>
      <c r="BL652" s="290"/>
      <c r="BM652" s="290"/>
      <c r="BN652" s="290"/>
      <c r="BO652" s="290"/>
      <c r="BP652" s="290"/>
      <c r="BQ652" s="290"/>
      <c r="BR652" s="290"/>
      <c r="BS652" s="290"/>
      <c r="BT652" s="290"/>
      <c r="BU652" s="290"/>
      <c r="BV652" s="290"/>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row>
    <row r="653" customFormat="false" ht="15.75" hidden="false" customHeight="false" outlineLevel="0" collapsed="false">
      <c r="A653" s="290"/>
      <c r="B653" s="290"/>
      <c r="C653" s="290"/>
      <c r="D653" s="290"/>
      <c r="E653" s="290"/>
      <c r="F653" s="290"/>
      <c r="G653" s="290"/>
      <c r="H653" s="290"/>
      <c r="I653" s="290"/>
      <c r="J653" s="3"/>
      <c r="K653" s="290"/>
      <c r="L653" s="290"/>
      <c r="M653" s="290"/>
      <c r="N653" s="290"/>
      <c r="O653" s="290"/>
      <c r="P653" s="290"/>
      <c r="Q653" s="290"/>
      <c r="R653" s="290"/>
      <c r="S653" s="290"/>
      <c r="T653" s="290"/>
      <c r="U653" s="290"/>
      <c r="V653" s="290"/>
      <c r="W653" s="290"/>
      <c r="X653" s="290"/>
      <c r="Y653" s="290"/>
      <c r="Z653" s="290"/>
      <c r="AA653" s="290"/>
      <c r="AB653" s="290"/>
      <c r="AC653" s="290"/>
      <c r="AD653" s="290"/>
      <c r="AE653" s="290"/>
      <c r="AF653" s="290"/>
      <c r="AG653" s="290"/>
      <c r="AH653" s="290"/>
      <c r="AI653" s="290"/>
      <c r="AJ653" s="290"/>
      <c r="AK653" s="290"/>
      <c r="AL653" s="290"/>
      <c r="AM653" s="290"/>
      <c r="AN653" s="290"/>
      <c r="AO653" s="290"/>
      <c r="AP653" s="290"/>
      <c r="AQ653" s="290"/>
      <c r="AR653" s="290"/>
      <c r="AS653" s="290"/>
      <c r="AT653" s="290"/>
      <c r="AU653" s="290"/>
      <c r="AV653" s="290"/>
      <c r="AW653" s="290"/>
      <c r="AX653" s="290"/>
      <c r="AY653" s="290"/>
      <c r="AZ653" s="290"/>
      <c r="BA653" s="290"/>
      <c r="BB653" s="290"/>
      <c r="BC653" s="290"/>
      <c r="BD653" s="290"/>
      <c r="BE653" s="290"/>
      <c r="BF653" s="290"/>
      <c r="BG653" s="290"/>
      <c r="BH653" s="290"/>
      <c r="BI653" s="290"/>
      <c r="BJ653" s="290"/>
      <c r="BK653" s="290"/>
      <c r="BL653" s="290"/>
      <c r="BM653" s="290"/>
      <c r="BN653" s="290"/>
      <c r="BO653" s="290"/>
      <c r="BP653" s="290"/>
      <c r="BQ653" s="290"/>
      <c r="BR653" s="290"/>
      <c r="BS653" s="290"/>
      <c r="BT653" s="290"/>
      <c r="BU653" s="290"/>
      <c r="BV653" s="290"/>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row>
    <row r="654" customFormat="false" ht="15.75" hidden="false" customHeight="false" outlineLevel="0" collapsed="false">
      <c r="A654" s="290"/>
      <c r="B654" s="290"/>
      <c r="C654" s="290"/>
      <c r="D654" s="290"/>
      <c r="E654" s="290"/>
      <c r="F654" s="290"/>
      <c r="G654" s="290"/>
      <c r="H654" s="290"/>
      <c r="I654" s="290"/>
      <c r="J654" s="3"/>
      <c r="K654" s="290"/>
      <c r="L654" s="290"/>
      <c r="M654" s="290"/>
      <c r="N654" s="290"/>
      <c r="O654" s="290"/>
      <c r="P654" s="290"/>
      <c r="Q654" s="290"/>
      <c r="R654" s="290"/>
      <c r="S654" s="290"/>
      <c r="T654" s="290"/>
      <c r="U654" s="290"/>
      <c r="V654" s="290"/>
      <c r="W654" s="290"/>
      <c r="X654" s="290"/>
      <c r="Y654" s="290"/>
      <c r="Z654" s="290"/>
      <c r="AA654" s="290"/>
      <c r="AB654" s="290"/>
      <c r="AC654" s="290"/>
      <c r="AD654" s="290"/>
      <c r="AE654" s="290"/>
      <c r="AF654" s="290"/>
      <c r="AG654" s="290"/>
      <c r="AH654" s="290"/>
      <c r="AI654" s="290"/>
      <c r="AJ654" s="290"/>
      <c r="AK654" s="290"/>
      <c r="AL654" s="290"/>
      <c r="AM654" s="290"/>
      <c r="AN654" s="290"/>
      <c r="AO654" s="290"/>
      <c r="AP654" s="290"/>
      <c r="AQ654" s="290"/>
      <c r="AR654" s="290"/>
      <c r="AS654" s="290"/>
      <c r="AT654" s="290"/>
      <c r="AU654" s="290"/>
      <c r="AV654" s="290"/>
      <c r="AW654" s="290"/>
      <c r="AX654" s="290"/>
      <c r="AY654" s="290"/>
      <c r="AZ654" s="290"/>
      <c r="BA654" s="290"/>
      <c r="BB654" s="290"/>
      <c r="BC654" s="290"/>
      <c r="BD654" s="290"/>
      <c r="BE654" s="290"/>
      <c r="BF654" s="290"/>
      <c r="BG654" s="290"/>
      <c r="BH654" s="290"/>
      <c r="BI654" s="290"/>
      <c r="BJ654" s="290"/>
      <c r="BK654" s="290"/>
      <c r="BL654" s="290"/>
      <c r="BM654" s="290"/>
      <c r="BN654" s="290"/>
      <c r="BO654" s="290"/>
      <c r="BP654" s="290"/>
      <c r="BQ654" s="290"/>
      <c r="BR654" s="290"/>
      <c r="BS654" s="290"/>
      <c r="BT654" s="290"/>
      <c r="BU654" s="290"/>
      <c r="BV654" s="290"/>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row>
    <row r="655" customFormat="false" ht="15.75" hidden="false" customHeight="false" outlineLevel="0" collapsed="false">
      <c r="A655" s="290"/>
      <c r="B655" s="290"/>
      <c r="C655" s="290"/>
      <c r="D655" s="290"/>
      <c r="E655" s="290"/>
      <c r="F655" s="290"/>
      <c r="G655" s="290"/>
      <c r="H655" s="290"/>
      <c r="I655" s="290"/>
      <c r="J655" s="3"/>
      <c r="K655" s="290"/>
      <c r="L655" s="290"/>
      <c r="M655" s="290"/>
      <c r="N655" s="290"/>
      <c r="O655" s="290"/>
      <c r="P655" s="290"/>
      <c r="Q655" s="290"/>
      <c r="R655" s="290"/>
      <c r="S655" s="290"/>
      <c r="T655" s="290"/>
      <c r="U655" s="290"/>
      <c r="V655" s="290"/>
      <c r="W655" s="290"/>
      <c r="X655" s="290"/>
      <c r="Y655" s="290"/>
      <c r="Z655" s="290"/>
      <c r="AA655" s="290"/>
      <c r="AB655" s="290"/>
      <c r="AC655" s="290"/>
      <c r="AD655" s="290"/>
      <c r="AE655" s="290"/>
      <c r="AF655" s="290"/>
      <c r="AG655" s="290"/>
      <c r="AH655" s="290"/>
      <c r="AI655" s="290"/>
      <c r="AJ655" s="290"/>
      <c r="AK655" s="290"/>
      <c r="AL655" s="290"/>
      <c r="AM655" s="290"/>
      <c r="AN655" s="290"/>
      <c r="AO655" s="290"/>
      <c r="AP655" s="290"/>
      <c r="AQ655" s="290"/>
      <c r="AR655" s="290"/>
      <c r="AS655" s="290"/>
      <c r="AT655" s="290"/>
      <c r="AU655" s="290"/>
      <c r="AV655" s="290"/>
      <c r="AW655" s="290"/>
      <c r="AX655" s="290"/>
      <c r="AY655" s="290"/>
      <c r="AZ655" s="290"/>
      <c r="BA655" s="290"/>
      <c r="BB655" s="290"/>
      <c r="BC655" s="290"/>
      <c r="BD655" s="290"/>
      <c r="BE655" s="290"/>
      <c r="BF655" s="290"/>
      <c r="BG655" s="290"/>
      <c r="BH655" s="290"/>
      <c r="BI655" s="290"/>
      <c r="BJ655" s="290"/>
      <c r="BK655" s="290"/>
      <c r="BL655" s="290"/>
      <c r="BM655" s="290"/>
      <c r="BN655" s="290"/>
      <c r="BO655" s="290"/>
      <c r="BP655" s="290"/>
      <c r="BQ655" s="290"/>
      <c r="BR655" s="290"/>
      <c r="BS655" s="290"/>
      <c r="BT655" s="290"/>
      <c r="BU655" s="290"/>
      <c r="BV655" s="290"/>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row>
    <row r="656" customFormat="false" ht="15.75" hidden="false" customHeight="false" outlineLevel="0" collapsed="false">
      <c r="A656" s="290"/>
      <c r="B656" s="290"/>
      <c r="C656" s="290"/>
      <c r="D656" s="290"/>
      <c r="E656" s="290"/>
      <c r="F656" s="290"/>
      <c r="G656" s="290"/>
      <c r="H656" s="290"/>
      <c r="I656" s="290"/>
      <c r="J656" s="3"/>
      <c r="K656" s="290"/>
      <c r="L656" s="290"/>
      <c r="M656" s="290"/>
      <c r="N656" s="290"/>
      <c r="O656" s="290"/>
      <c r="P656" s="290"/>
      <c r="Q656" s="290"/>
      <c r="R656" s="290"/>
      <c r="S656" s="290"/>
      <c r="T656" s="290"/>
      <c r="U656" s="290"/>
      <c r="V656" s="290"/>
      <c r="W656" s="290"/>
      <c r="X656" s="290"/>
      <c r="Y656" s="290"/>
      <c r="Z656" s="290"/>
      <c r="AA656" s="290"/>
      <c r="AB656" s="290"/>
      <c r="AC656" s="290"/>
      <c r="AD656" s="290"/>
      <c r="AE656" s="290"/>
      <c r="AF656" s="290"/>
      <c r="AG656" s="290"/>
      <c r="AH656" s="290"/>
      <c r="AI656" s="290"/>
      <c r="AJ656" s="290"/>
      <c r="AK656" s="290"/>
      <c r="AL656" s="290"/>
      <c r="AM656" s="290"/>
      <c r="AN656" s="290"/>
      <c r="AO656" s="290"/>
      <c r="AP656" s="290"/>
      <c r="AQ656" s="290"/>
      <c r="AR656" s="290"/>
      <c r="AS656" s="290"/>
      <c r="AT656" s="290"/>
      <c r="AU656" s="290"/>
      <c r="AV656" s="290"/>
      <c r="AW656" s="290"/>
      <c r="AX656" s="290"/>
      <c r="AY656" s="290"/>
      <c r="AZ656" s="290"/>
      <c r="BA656" s="290"/>
      <c r="BB656" s="290"/>
      <c r="BC656" s="290"/>
      <c r="BD656" s="290"/>
      <c r="BE656" s="290"/>
      <c r="BF656" s="290"/>
      <c r="BG656" s="290"/>
      <c r="BH656" s="290"/>
      <c r="BI656" s="290"/>
      <c r="BJ656" s="290"/>
      <c r="BK656" s="290"/>
      <c r="BL656" s="290"/>
      <c r="BM656" s="290"/>
      <c r="BN656" s="290"/>
      <c r="BO656" s="290"/>
      <c r="BP656" s="290"/>
      <c r="BQ656" s="290"/>
      <c r="BR656" s="290"/>
      <c r="BS656" s="290"/>
      <c r="BT656" s="290"/>
      <c r="BU656" s="290"/>
      <c r="BV656" s="290"/>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row>
    <row r="657" customFormat="false" ht="15.75" hidden="false" customHeight="false" outlineLevel="0" collapsed="false">
      <c r="A657" s="290"/>
      <c r="B657" s="290"/>
      <c r="C657" s="290"/>
      <c r="D657" s="290"/>
      <c r="E657" s="290"/>
      <c r="F657" s="290"/>
      <c r="G657" s="290"/>
      <c r="H657" s="290"/>
      <c r="I657" s="290"/>
      <c r="J657" s="3"/>
      <c r="K657" s="290"/>
      <c r="L657" s="290"/>
      <c r="M657" s="290"/>
      <c r="N657" s="290"/>
      <c r="O657" s="290"/>
      <c r="P657" s="290"/>
      <c r="Q657" s="290"/>
      <c r="R657" s="290"/>
      <c r="S657" s="290"/>
      <c r="T657" s="290"/>
      <c r="U657" s="290"/>
      <c r="V657" s="290"/>
      <c r="W657" s="290"/>
      <c r="X657" s="290"/>
      <c r="Y657" s="290"/>
      <c r="Z657" s="290"/>
      <c r="AA657" s="290"/>
      <c r="AB657" s="290"/>
      <c r="AC657" s="290"/>
      <c r="AD657" s="290"/>
      <c r="AE657" s="290"/>
      <c r="AF657" s="290"/>
      <c r="AG657" s="290"/>
      <c r="AH657" s="290"/>
      <c r="AI657" s="290"/>
      <c r="AJ657" s="290"/>
      <c r="AK657" s="290"/>
      <c r="AL657" s="290"/>
      <c r="AM657" s="290"/>
      <c r="AN657" s="290"/>
      <c r="AO657" s="290"/>
      <c r="AP657" s="290"/>
      <c r="AQ657" s="290"/>
      <c r="AR657" s="290"/>
      <c r="AS657" s="290"/>
      <c r="AT657" s="290"/>
      <c r="AU657" s="290"/>
      <c r="AV657" s="290"/>
      <c r="AW657" s="290"/>
      <c r="AX657" s="290"/>
      <c r="AY657" s="290"/>
      <c r="AZ657" s="290"/>
      <c r="BA657" s="290"/>
      <c r="BB657" s="290"/>
      <c r="BC657" s="290"/>
      <c r="BD657" s="290"/>
      <c r="BE657" s="290"/>
      <c r="BF657" s="290"/>
      <c r="BG657" s="290"/>
      <c r="BH657" s="290"/>
      <c r="BI657" s="290"/>
      <c r="BJ657" s="290"/>
      <c r="BK657" s="290"/>
      <c r="BL657" s="290"/>
      <c r="BM657" s="290"/>
      <c r="BN657" s="290"/>
      <c r="BO657" s="290"/>
      <c r="BP657" s="290"/>
      <c r="BQ657" s="290"/>
      <c r="BR657" s="290"/>
      <c r="BS657" s="290"/>
      <c r="BT657" s="290"/>
      <c r="BU657" s="290"/>
      <c r="BV657" s="290"/>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row>
    <row r="658" customFormat="false" ht="15.75" hidden="false" customHeight="false" outlineLevel="0" collapsed="false">
      <c r="A658" s="290"/>
      <c r="B658" s="290"/>
      <c r="C658" s="290"/>
      <c r="D658" s="290"/>
      <c r="E658" s="290"/>
      <c r="F658" s="290"/>
      <c r="G658" s="290"/>
      <c r="H658" s="290"/>
      <c r="I658" s="290"/>
      <c r="J658" s="3"/>
      <c r="K658" s="290"/>
      <c r="L658" s="290"/>
      <c r="M658" s="290"/>
      <c r="N658" s="290"/>
      <c r="O658" s="290"/>
      <c r="P658" s="290"/>
      <c r="Q658" s="290"/>
      <c r="R658" s="290"/>
      <c r="S658" s="290"/>
      <c r="T658" s="290"/>
      <c r="U658" s="290"/>
      <c r="V658" s="290"/>
      <c r="W658" s="290"/>
      <c r="X658" s="290"/>
      <c r="Y658" s="290"/>
      <c r="Z658" s="290"/>
      <c r="AA658" s="290"/>
      <c r="AB658" s="290"/>
      <c r="AC658" s="290"/>
      <c r="AD658" s="290"/>
      <c r="AE658" s="290"/>
      <c r="AF658" s="290"/>
      <c r="AG658" s="290"/>
      <c r="AH658" s="290"/>
      <c r="AI658" s="290"/>
      <c r="AJ658" s="290"/>
      <c r="AK658" s="290"/>
      <c r="AL658" s="290"/>
      <c r="AM658" s="290"/>
      <c r="AN658" s="290"/>
      <c r="AO658" s="290"/>
      <c r="AP658" s="290"/>
      <c r="AQ658" s="290"/>
      <c r="AR658" s="290"/>
      <c r="AS658" s="290"/>
      <c r="AT658" s="290"/>
      <c r="AU658" s="290"/>
      <c r="AV658" s="290"/>
      <c r="AW658" s="290"/>
      <c r="AX658" s="290"/>
      <c r="AY658" s="290"/>
      <c r="AZ658" s="290"/>
      <c r="BA658" s="290"/>
      <c r="BB658" s="290"/>
      <c r="BC658" s="290"/>
      <c r="BD658" s="290"/>
      <c r="BE658" s="290"/>
      <c r="BF658" s="290"/>
      <c r="BG658" s="290"/>
      <c r="BH658" s="290"/>
      <c r="BI658" s="290"/>
      <c r="BJ658" s="290"/>
      <c r="BK658" s="290"/>
      <c r="BL658" s="290"/>
      <c r="BM658" s="290"/>
      <c r="BN658" s="290"/>
      <c r="BO658" s="290"/>
      <c r="BP658" s="290"/>
      <c r="BQ658" s="290"/>
      <c r="BR658" s="290"/>
      <c r="BS658" s="290"/>
      <c r="BT658" s="290"/>
      <c r="BU658" s="290"/>
      <c r="BV658" s="290"/>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row>
    <row r="659" customFormat="false" ht="15.75" hidden="false" customHeight="false" outlineLevel="0" collapsed="false">
      <c r="A659" s="290"/>
      <c r="B659" s="290"/>
      <c r="C659" s="290"/>
      <c r="D659" s="290"/>
      <c r="E659" s="290"/>
      <c r="F659" s="290"/>
      <c r="G659" s="290"/>
      <c r="H659" s="290"/>
      <c r="I659" s="290"/>
      <c r="J659" s="3"/>
      <c r="K659" s="290"/>
      <c r="L659" s="290"/>
      <c r="M659" s="290"/>
      <c r="N659" s="290"/>
      <c r="O659" s="290"/>
      <c r="P659" s="290"/>
      <c r="Q659" s="290"/>
      <c r="R659" s="290"/>
      <c r="S659" s="290"/>
      <c r="T659" s="290"/>
      <c r="U659" s="290"/>
      <c r="V659" s="290"/>
      <c r="W659" s="290"/>
      <c r="X659" s="290"/>
      <c r="Y659" s="290"/>
      <c r="Z659" s="290"/>
      <c r="AA659" s="290"/>
      <c r="AB659" s="290"/>
      <c r="AC659" s="290"/>
      <c r="AD659" s="290"/>
      <c r="AE659" s="290"/>
      <c r="AF659" s="290"/>
      <c r="AG659" s="290"/>
      <c r="AH659" s="290"/>
      <c r="AI659" s="290"/>
      <c r="AJ659" s="290"/>
      <c r="AK659" s="290"/>
      <c r="AL659" s="290"/>
      <c r="AM659" s="290"/>
      <c r="AN659" s="290"/>
      <c r="AO659" s="290"/>
      <c r="AP659" s="290"/>
      <c r="AQ659" s="290"/>
      <c r="AR659" s="290"/>
      <c r="AS659" s="290"/>
      <c r="AT659" s="290"/>
      <c r="AU659" s="290"/>
      <c r="AV659" s="290"/>
      <c r="AW659" s="290"/>
      <c r="AX659" s="290"/>
      <c r="AY659" s="290"/>
      <c r="AZ659" s="290"/>
      <c r="BA659" s="290"/>
      <c r="BB659" s="290"/>
      <c r="BC659" s="290"/>
      <c r="BD659" s="290"/>
      <c r="BE659" s="290"/>
      <c r="BF659" s="290"/>
      <c r="BG659" s="290"/>
      <c r="BH659" s="290"/>
      <c r="BI659" s="290"/>
      <c r="BJ659" s="290"/>
      <c r="BK659" s="290"/>
      <c r="BL659" s="290"/>
      <c r="BM659" s="290"/>
      <c r="BN659" s="290"/>
      <c r="BO659" s="290"/>
      <c r="BP659" s="290"/>
      <c r="BQ659" s="290"/>
      <c r="BR659" s="290"/>
      <c r="BS659" s="290"/>
      <c r="BT659" s="290"/>
      <c r="BU659" s="290"/>
      <c r="BV659" s="290"/>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row>
    <row r="660" customFormat="false" ht="15.75" hidden="false" customHeight="false" outlineLevel="0" collapsed="false">
      <c r="A660" s="290"/>
      <c r="B660" s="290"/>
      <c r="C660" s="290"/>
      <c r="D660" s="290"/>
      <c r="E660" s="290"/>
      <c r="F660" s="290"/>
      <c r="G660" s="290"/>
      <c r="H660" s="290"/>
      <c r="I660" s="290"/>
      <c r="J660" s="3"/>
      <c r="K660" s="290"/>
      <c r="L660" s="290"/>
      <c r="M660" s="290"/>
      <c r="N660" s="290"/>
      <c r="O660" s="290"/>
      <c r="P660" s="290"/>
      <c r="Q660" s="290"/>
      <c r="R660" s="290"/>
      <c r="S660" s="290"/>
      <c r="T660" s="290"/>
      <c r="U660" s="290"/>
      <c r="V660" s="290"/>
      <c r="W660" s="290"/>
      <c r="X660" s="290"/>
      <c r="Y660" s="290"/>
      <c r="Z660" s="290"/>
      <c r="AA660" s="290"/>
      <c r="AB660" s="290"/>
      <c r="AC660" s="290"/>
      <c r="AD660" s="290"/>
      <c r="AE660" s="290"/>
      <c r="AF660" s="290"/>
      <c r="AG660" s="290"/>
      <c r="AH660" s="290"/>
      <c r="AI660" s="290"/>
      <c r="AJ660" s="290"/>
      <c r="AK660" s="290"/>
      <c r="AL660" s="290"/>
      <c r="AM660" s="290"/>
      <c r="AN660" s="290"/>
      <c r="AO660" s="290"/>
      <c r="AP660" s="290"/>
      <c r="AQ660" s="290"/>
      <c r="AR660" s="290"/>
      <c r="AS660" s="290"/>
      <c r="AT660" s="290"/>
      <c r="AU660" s="290"/>
      <c r="AV660" s="290"/>
      <c r="AW660" s="290"/>
      <c r="AX660" s="290"/>
      <c r="AY660" s="290"/>
      <c r="AZ660" s="290"/>
      <c r="BA660" s="290"/>
      <c r="BB660" s="290"/>
      <c r="BC660" s="290"/>
      <c r="BD660" s="290"/>
      <c r="BE660" s="290"/>
      <c r="BF660" s="290"/>
      <c r="BG660" s="290"/>
      <c r="BH660" s="290"/>
      <c r="BI660" s="290"/>
      <c r="BJ660" s="290"/>
      <c r="BK660" s="290"/>
      <c r="BL660" s="290"/>
      <c r="BM660" s="290"/>
      <c r="BN660" s="290"/>
      <c r="BO660" s="290"/>
      <c r="BP660" s="290"/>
      <c r="BQ660" s="290"/>
      <c r="BR660" s="290"/>
      <c r="BS660" s="290"/>
      <c r="BT660" s="290"/>
      <c r="BU660" s="290"/>
      <c r="BV660" s="290"/>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row>
    <row r="661" customFormat="false" ht="15.75" hidden="false" customHeight="false" outlineLevel="0" collapsed="false">
      <c r="A661" s="290"/>
      <c r="B661" s="290"/>
      <c r="C661" s="290"/>
      <c r="D661" s="290"/>
      <c r="E661" s="290"/>
      <c r="F661" s="290"/>
      <c r="G661" s="290"/>
      <c r="H661" s="290"/>
      <c r="I661" s="290"/>
      <c r="J661" s="3"/>
      <c r="K661" s="290"/>
      <c r="L661" s="290"/>
      <c r="M661" s="290"/>
      <c r="N661" s="290"/>
      <c r="O661" s="290"/>
      <c r="P661" s="290"/>
      <c r="Q661" s="290"/>
      <c r="R661" s="290"/>
      <c r="S661" s="290"/>
      <c r="T661" s="290"/>
      <c r="U661" s="290"/>
      <c r="V661" s="290"/>
      <c r="W661" s="290"/>
      <c r="X661" s="290"/>
      <c r="Y661" s="290"/>
      <c r="Z661" s="290"/>
      <c r="AA661" s="290"/>
      <c r="AB661" s="290"/>
      <c r="AC661" s="290"/>
      <c r="AD661" s="290"/>
      <c r="AE661" s="290"/>
      <c r="AF661" s="290"/>
      <c r="AG661" s="290"/>
      <c r="AH661" s="290"/>
      <c r="AI661" s="290"/>
      <c r="AJ661" s="290"/>
      <c r="AK661" s="290"/>
      <c r="AL661" s="290"/>
      <c r="AM661" s="290"/>
      <c r="AN661" s="290"/>
      <c r="AO661" s="290"/>
      <c r="AP661" s="290"/>
      <c r="AQ661" s="290"/>
      <c r="AR661" s="290"/>
      <c r="AS661" s="290"/>
      <c r="AT661" s="290"/>
      <c r="AU661" s="290"/>
      <c r="AV661" s="290"/>
      <c r="AW661" s="290"/>
      <c r="AX661" s="290"/>
      <c r="AY661" s="290"/>
      <c r="AZ661" s="290"/>
      <c r="BA661" s="290"/>
      <c r="BB661" s="290"/>
      <c r="BC661" s="290"/>
      <c r="BD661" s="290"/>
      <c r="BE661" s="290"/>
      <c r="BF661" s="290"/>
      <c r="BG661" s="290"/>
      <c r="BH661" s="290"/>
      <c r="BI661" s="290"/>
      <c r="BJ661" s="290"/>
      <c r="BK661" s="290"/>
      <c r="BL661" s="290"/>
      <c r="BM661" s="290"/>
      <c r="BN661" s="290"/>
      <c r="BO661" s="290"/>
      <c r="BP661" s="290"/>
      <c r="BQ661" s="290"/>
      <c r="BR661" s="290"/>
      <c r="BS661" s="290"/>
      <c r="BT661" s="290"/>
      <c r="BU661" s="290"/>
      <c r="BV661" s="290"/>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row>
    <row r="662" customFormat="false" ht="15.75" hidden="false" customHeight="false" outlineLevel="0" collapsed="false">
      <c r="A662" s="290"/>
      <c r="B662" s="290"/>
      <c r="C662" s="290"/>
      <c r="D662" s="290"/>
      <c r="E662" s="290"/>
      <c r="F662" s="290"/>
      <c r="G662" s="290"/>
      <c r="H662" s="290"/>
      <c r="I662" s="290"/>
      <c r="J662" s="3"/>
      <c r="K662" s="290"/>
      <c r="L662" s="290"/>
      <c r="M662" s="290"/>
      <c r="N662" s="290"/>
      <c r="O662" s="290"/>
      <c r="P662" s="290"/>
      <c r="Q662" s="290"/>
      <c r="R662" s="290"/>
      <c r="S662" s="290"/>
      <c r="T662" s="290"/>
      <c r="U662" s="290"/>
      <c r="V662" s="290"/>
      <c r="W662" s="290"/>
      <c r="X662" s="290"/>
      <c r="Y662" s="290"/>
      <c r="Z662" s="290"/>
      <c r="AA662" s="290"/>
      <c r="AB662" s="290"/>
      <c r="AC662" s="290"/>
      <c r="AD662" s="290"/>
      <c r="AE662" s="290"/>
      <c r="AF662" s="290"/>
      <c r="AG662" s="290"/>
      <c r="AH662" s="290"/>
      <c r="AI662" s="290"/>
      <c r="AJ662" s="290"/>
      <c r="AK662" s="290"/>
      <c r="AL662" s="290"/>
      <c r="AM662" s="290"/>
      <c r="AN662" s="290"/>
      <c r="AO662" s="290"/>
      <c r="AP662" s="290"/>
      <c r="AQ662" s="290"/>
      <c r="AR662" s="290"/>
      <c r="AS662" s="290"/>
      <c r="AT662" s="290"/>
      <c r="AU662" s="290"/>
      <c r="AV662" s="290"/>
      <c r="AW662" s="290"/>
      <c r="AX662" s="290"/>
      <c r="AY662" s="290"/>
      <c r="AZ662" s="290"/>
      <c r="BA662" s="290"/>
      <c r="BB662" s="290"/>
      <c r="BC662" s="290"/>
      <c r="BD662" s="290"/>
      <c r="BE662" s="290"/>
      <c r="BF662" s="290"/>
      <c r="BG662" s="290"/>
      <c r="BH662" s="290"/>
      <c r="BI662" s="290"/>
      <c r="BJ662" s="290"/>
      <c r="BK662" s="290"/>
      <c r="BL662" s="290"/>
      <c r="BM662" s="290"/>
      <c r="BN662" s="290"/>
      <c r="BO662" s="290"/>
      <c r="BP662" s="290"/>
      <c r="BQ662" s="290"/>
      <c r="BR662" s="290"/>
      <c r="BS662" s="290"/>
      <c r="BT662" s="290"/>
      <c r="BU662" s="290"/>
      <c r="BV662" s="290"/>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row>
    <row r="663" customFormat="false" ht="15.75" hidden="false" customHeight="false" outlineLevel="0" collapsed="false">
      <c r="A663" s="290"/>
      <c r="B663" s="290"/>
      <c r="C663" s="290"/>
      <c r="D663" s="290"/>
      <c r="E663" s="290"/>
      <c r="F663" s="290"/>
      <c r="G663" s="290"/>
      <c r="H663" s="290"/>
      <c r="I663" s="290"/>
      <c r="J663" s="3"/>
      <c r="K663" s="290"/>
      <c r="L663" s="290"/>
      <c r="M663" s="290"/>
      <c r="N663" s="290"/>
      <c r="O663" s="290"/>
      <c r="P663" s="290"/>
      <c r="Q663" s="290"/>
      <c r="R663" s="290"/>
      <c r="S663" s="290"/>
      <c r="T663" s="290"/>
      <c r="U663" s="290"/>
      <c r="V663" s="290"/>
      <c r="W663" s="290"/>
      <c r="X663" s="290"/>
      <c r="Y663" s="290"/>
      <c r="Z663" s="290"/>
      <c r="AA663" s="290"/>
      <c r="AB663" s="290"/>
      <c r="AC663" s="290"/>
      <c r="AD663" s="290"/>
      <c r="AE663" s="290"/>
      <c r="AF663" s="290"/>
      <c r="AG663" s="290"/>
      <c r="AH663" s="290"/>
      <c r="AI663" s="290"/>
      <c r="AJ663" s="290"/>
      <c r="AK663" s="290"/>
      <c r="AL663" s="290"/>
      <c r="AM663" s="290"/>
      <c r="AN663" s="290"/>
      <c r="AO663" s="290"/>
      <c r="AP663" s="290"/>
      <c r="AQ663" s="290"/>
      <c r="AR663" s="290"/>
      <c r="AS663" s="290"/>
      <c r="AT663" s="290"/>
      <c r="AU663" s="290"/>
      <c r="AV663" s="290"/>
      <c r="AW663" s="290"/>
      <c r="AX663" s="290"/>
      <c r="AY663" s="290"/>
      <c r="AZ663" s="290"/>
      <c r="BA663" s="290"/>
      <c r="BB663" s="290"/>
      <c r="BC663" s="290"/>
      <c r="BD663" s="290"/>
      <c r="BE663" s="290"/>
      <c r="BF663" s="290"/>
      <c r="BG663" s="290"/>
      <c r="BH663" s="290"/>
      <c r="BI663" s="290"/>
      <c r="BJ663" s="290"/>
      <c r="BK663" s="290"/>
      <c r="BL663" s="290"/>
      <c r="BM663" s="290"/>
      <c r="BN663" s="290"/>
      <c r="BO663" s="290"/>
      <c r="BP663" s="290"/>
      <c r="BQ663" s="290"/>
      <c r="BR663" s="290"/>
      <c r="BS663" s="290"/>
      <c r="BT663" s="290"/>
      <c r="BU663" s="290"/>
      <c r="BV663" s="290"/>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row>
    <row r="664" customFormat="false" ht="15.75" hidden="false" customHeight="false" outlineLevel="0" collapsed="false">
      <c r="A664" s="290"/>
      <c r="B664" s="290"/>
      <c r="C664" s="290"/>
      <c r="D664" s="290"/>
      <c r="E664" s="290"/>
      <c r="F664" s="290"/>
      <c r="G664" s="290"/>
      <c r="H664" s="290"/>
      <c r="I664" s="290"/>
      <c r="J664" s="3"/>
      <c r="K664" s="290"/>
      <c r="L664" s="290"/>
      <c r="M664" s="290"/>
      <c r="N664" s="290"/>
      <c r="O664" s="290"/>
      <c r="P664" s="290"/>
      <c r="Q664" s="290"/>
      <c r="R664" s="290"/>
      <c r="S664" s="290"/>
      <c r="T664" s="290"/>
      <c r="U664" s="290"/>
      <c r="V664" s="290"/>
      <c r="W664" s="290"/>
      <c r="X664" s="290"/>
      <c r="Y664" s="290"/>
      <c r="Z664" s="290"/>
      <c r="AA664" s="290"/>
      <c r="AB664" s="290"/>
      <c r="AC664" s="290"/>
      <c r="AD664" s="290"/>
      <c r="AE664" s="290"/>
      <c r="AF664" s="290"/>
      <c r="AG664" s="290"/>
      <c r="AH664" s="290"/>
      <c r="AI664" s="290"/>
      <c r="AJ664" s="290"/>
      <c r="AK664" s="290"/>
      <c r="AL664" s="290"/>
      <c r="AM664" s="290"/>
      <c r="AN664" s="290"/>
      <c r="AO664" s="290"/>
      <c r="AP664" s="290"/>
      <c r="AQ664" s="290"/>
      <c r="AR664" s="290"/>
      <c r="AS664" s="290"/>
      <c r="AT664" s="290"/>
      <c r="AU664" s="290"/>
      <c r="AV664" s="290"/>
      <c r="AW664" s="290"/>
      <c r="AX664" s="290"/>
      <c r="AY664" s="290"/>
      <c r="AZ664" s="290"/>
      <c r="BA664" s="290"/>
      <c r="BB664" s="290"/>
      <c r="BC664" s="290"/>
      <c r="BD664" s="290"/>
      <c r="BE664" s="290"/>
      <c r="BF664" s="290"/>
      <c r="BG664" s="290"/>
      <c r="BH664" s="290"/>
      <c r="BI664" s="290"/>
      <c r="BJ664" s="290"/>
      <c r="BK664" s="290"/>
      <c r="BL664" s="290"/>
      <c r="BM664" s="290"/>
      <c r="BN664" s="290"/>
      <c r="BO664" s="290"/>
      <c r="BP664" s="290"/>
      <c r="BQ664" s="290"/>
      <c r="BR664" s="290"/>
      <c r="BS664" s="290"/>
      <c r="BT664" s="290"/>
      <c r="BU664" s="290"/>
      <c r="BV664" s="290"/>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row>
    <row r="665" customFormat="false" ht="15.75" hidden="false" customHeight="false" outlineLevel="0" collapsed="false">
      <c r="A665" s="290"/>
      <c r="B665" s="290"/>
      <c r="C665" s="290"/>
      <c r="D665" s="290"/>
      <c r="E665" s="290"/>
      <c r="F665" s="290"/>
      <c r="G665" s="290"/>
      <c r="H665" s="290"/>
      <c r="I665" s="290"/>
      <c r="J665" s="3"/>
      <c r="K665" s="290"/>
      <c r="L665" s="290"/>
      <c r="M665" s="290"/>
      <c r="N665" s="290"/>
      <c r="O665" s="290"/>
      <c r="P665" s="290"/>
      <c r="Q665" s="290"/>
      <c r="R665" s="290"/>
      <c r="S665" s="290"/>
      <c r="T665" s="290"/>
      <c r="U665" s="290"/>
      <c r="V665" s="290"/>
      <c r="W665" s="290"/>
      <c r="X665" s="290"/>
      <c r="Y665" s="290"/>
      <c r="Z665" s="290"/>
      <c r="AA665" s="290"/>
      <c r="AB665" s="290"/>
      <c r="AC665" s="290"/>
      <c r="AD665" s="290"/>
      <c r="AE665" s="290"/>
      <c r="AF665" s="290"/>
      <c r="AG665" s="290"/>
      <c r="AH665" s="290"/>
      <c r="AI665" s="290"/>
      <c r="AJ665" s="290"/>
      <c r="AK665" s="290"/>
      <c r="AL665" s="290"/>
      <c r="AM665" s="290"/>
      <c r="AN665" s="290"/>
      <c r="AO665" s="290"/>
      <c r="AP665" s="290"/>
      <c r="AQ665" s="290"/>
      <c r="AR665" s="290"/>
      <c r="AS665" s="290"/>
      <c r="AT665" s="290"/>
      <c r="AU665" s="290"/>
      <c r="AV665" s="290"/>
      <c r="AW665" s="290"/>
      <c r="AX665" s="290"/>
      <c r="AY665" s="290"/>
      <c r="AZ665" s="290"/>
      <c r="BA665" s="290"/>
      <c r="BB665" s="290"/>
      <c r="BC665" s="290"/>
      <c r="BD665" s="290"/>
      <c r="BE665" s="290"/>
      <c r="BF665" s="290"/>
      <c r="BG665" s="290"/>
      <c r="BH665" s="290"/>
      <c r="BI665" s="290"/>
      <c r="BJ665" s="290"/>
      <c r="BK665" s="290"/>
      <c r="BL665" s="290"/>
      <c r="BM665" s="290"/>
      <c r="BN665" s="290"/>
      <c r="BO665" s="290"/>
      <c r="BP665" s="290"/>
      <c r="BQ665" s="290"/>
      <c r="BR665" s="290"/>
      <c r="BS665" s="290"/>
      <c r="BT665" s="290"/>
      <c r="BU665" s="290"/>
      <c r="BV665" s="290"/>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row>
    <row r="666" customFormat="false" ht="15.75" hidden="false" customHeight="false" outlineLevel="0" collapsed="false">
      <c r="A666" s="290"/>
      <c r="B666" s="290"/>
      <c r="C666" s="290"/>
      <c r="D666" s="290"/>
      <c r="E666" s="290"/>
      <c r="F666" s="290"/>
      <c r="G666" s="290"/>
      <c r="H666" s="290"/>
      <c r="I666" s="290"/>
      <c r="J666" s="3"/>
      <c r="K666" s="290"/>
      <c r="L666" s="290"/>
      <c r="M666" s="290"/>
      <c r="N666" s="290"/>
      <c r="O666" s="290"/>
      <c r="P666" s="290"/>
      <c r="Q666" s="290"/>
      <c r="R666" s="290"/>
      <c r="S666" s="290"/>
      <c r="T666" s="290"/>
      <c r="U666" s="290"/>
      <c r="V666" s="290"/>
      <c r="W666" s="290"/>
      <c r="X666" s="290"/>
      <c r="Y666" s="290"/>
      <c r="Z666" s="290"/>
      <c r="AA666" s="290"/>
      <c r="AB666" s="290"/>
      <c r="AC666" s="290"/>
      <c r="AD666" s="290"/>
      <c r="AE666" s="290"/>
      <c r="AF666" s="290"/>
      <c r="AG666" s="290"/>
      <c r="AH666" s="290"/>
      <c r="AI666" s="290"/>
      <c r="AJ666" s="290"/>
      <c r="AK666" s="290"/>
      <c r="AL666" s="290"/>
      <c r="AM666" s="290"/>
      <c r="AN666" s="290"/>
      <c r="AO666" s="290"/>
      <c r="AP666" s="290"/>
      <c r="AQ666" s="290"/>
      <c r="AR666" s="290"/>
      <c r="AS666" s="290"/>
      <c r="AT666" s="290"/>
      <c r="AU666" s="290"/>
      <c r="AV666" s="290"/>
      <c r="AW666" s="290"/>
      <c r="AX666" s="290"/>
      <c r="AY666" s="290"/>
      <c r="AZ666" s="290"/>
      <c r="BA666" s="290"/>
      <c r="BB666" s="290"/>
      <c r="BC666" s="290"/>
      <c r="BD666" s="290"/>
      <c r="BE666" s="290"/>
      <c r="BF666" s="290"/>
      <c r="BG666" s="290"/>
      <c r="BH666" s="290"/>
      <c r="BI666" s="290"/>
      <c r="BJ666" s="290"/>
      <c r="BK666" s="290"/>
      <c r="BL666" s="290"/>
      <c r="BM666" s="290"/>
      <c r="BN666" s="290"/>
      <c r="BO666" s="290"/>
      <c r="BP666" s="290"/>
      <c r="BQ666" s="290"/>
      <c r="BR666" s="290"/>
      <c r="BS666" s="290"/>
      <c r="BT666" s="290"/>
      <c r="BU666" s="290"/>
      <c r="BV666" s="290"/>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row>
    <row r="667" customFormat="false" ht="15.75" hidden="false" customHeight="false" outlineLevel="0" collapsed="false">
      <c r="A667" s="290"/>
      <c r="B667" s="290"/>
      <c r="C667" s="290"/>
      <c r="D667" s="290"/>
      <c r="E667" s="290"/>
      <c r="F667" s="290"/>
      <c r="G667" s="290"/>
      <c r="H667" s="290"/>
      <c r="I667" s="290"/>
      <c r="J667" s="3"/>
      <c r="K667" s="290"/>
      <c r="L667" s="290"/>
      <c r="M667" s="290"/>
      <c r="N667" s="290"/>
      <c r="O667" s="290"/>
      <c r="P667" s="290"/>
      <c r="Q667" s="290"/>
      <c r="R667" s="290"/>
      <c r="S667" s="290"/>
      <c r="T667" s="290"/>
      <c r="U667" s="290"/>
      <c r="V667" s="290"/>
      <c r="W667" s="290"/>
      <c r="X667" s="290"/>
      <c r="Y667" s="290"/>
      <c r="Z667" s="290"/>
      <c r="AA667" s="290"/>
      <c r="AB667" s="290"/>
      <c r="AC667" s="290"/>
      <c r="AD667" s="290"/>
      <c r="AE667" s="290"/>
      <c r="AF667" s="290"/>
      <c r="AG667" s="290"/>
      <c r="AH667" s="290"/>
      <c r="AI667" s="290"/>
      <c r="AJ667" s="290"/>
      <c r="AK667" s="290"/>
      <c r="AL667" s="290"/>
      <c r="AM667" s="290"/>
      <c r="AN667" s="290"/>
      <c r="AO667" s="290"/>
      <c r="AP667" s="290"/>
      <c r="AQ667" s="290"/>
      <c r="AR667" s="290"/>
      <c r="AS667" s="290"/>
      <c r="AT667" s="290"/>
      <c r="AU667" s="290"/>
      <c r="AV667" s="290"/>
      <c r="AW667" s="290"/>
      <c r="AX667" s="290"/>
      <c r="AY667" s="290"/>
      <c r="AZ667" s="290"/>
      <c r="BA667" s="290"/>
      <c r="BB667" s="290"/>
      <c r="BC667" s="290"/>
      <c r="BD667" s="290"/>
      <c r="BE667" s="290"/>
      <c r="BF667" s="290"/>
      <c r="BG667" s="290"/>
      <c r="BH667" s="290"/>
      <c r="BI667" s="290"/>
      <c r="BJ667" s="290"/>
      <c r="BK667" s="290"/>
      <c r="BL667" s="290"/>
      <c r="BM667" s="290"/>
      <c r="BN667" s="290"/>
      <c r="BO667" s="290"/>
      <c r="BP667" s="290"/>
      <c r="BQ667" s="290"/>
      <c r="BR667" s="290"/>
      <c r="BS667" s="290"/>
      <c r="BT667" s="290"/>
      <c r="BU667" s="290"/>
      <c r="BV667" s="290"/>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row>
    <row r="668" customFormat="false" ht="15.75" hidden="false" customHeight="false" outlineLevel="0" collapsed="false">
      <c r="A668" s="290"/>
      <c r="B668" s="290"/>
      <c r="C668" s="290"/>
      <c r="D668" s="290"/>
      <c r="E668" s="290"/>
      <c r="F668" s="290"/>
      <c r="G668" s="290"/>
      <c r="H668" s="290"/>
      <c r="I668" s="290"/>
      <c r="J668" s="3"/>
      <c r="K668" s="290"/>
      <c r="L668" s="290"/>
      <c r="M668" s="290"/>
      <c r="N668" s="290"/>
      <c r="O668" s="290"/>
      <c r="P668" s="290"/>
      <c r="Q668" s="290"/>
      <c r="R668" s="290"/>
      <c r="S668" s="290"/>
      <c r="T668" s="290"/>
      <c r="U668" s="290"/>
      <c r="V668" s="290"/>
      <c r="W668" s="290"/>
      <c r="X668" s="290"/>
      <c r="Y668" s="290"/>
      <c r="Z668" s="290"/>
      <c r="AA668" s="290"/>
      <c r="AB668" s="290"/>
      <c r="AC668" s="290"/>
      <c r="AD668" s="290"/>
      <c r="AE668" s="290"/>
      <c r="AF668" s="290"/>
      <c r="AG668" s="290"/>
      <c r="AH668" s="290"/>
      <c r="AI668" s="290"/>
      <c r="AJ668" s="290"/>
      <c r="AK668" s="290"/>
      <c r="AL668" s="290"/>
      <c r="AM668" s="290"/>
      <c r="AN668" s="290"/>
      <c r="AO668" s="290"/>
      <c r="AP668" s="290"/>
      <c r="AQ668" s="290"/>
      <c r="AR668" s="290"/>
      <c r="AS668" s="290"/>
      <c r="AT668" s="290"/>
      <c r="AU668" s="290"/>
      <c r="AV668" s="290"/>
      <c r="AW668" s="290"/>
      <c r="AX668" s="290"/>
      <c r="AY668" s="290"/>
      <c r="AZ668" s="290"/>
      <c r="BA668" s="290"/>
      <c r="BB668" s="290"/>
      <c r="BC668" s="290"/>
      <c r="BD668" s="290"/>
      <c r="BE668" s="290"/>
      <c r="BF668" s="290"/>
      <c r="BG668" s="290"/>
      <c r="BH668" s="290"/>
      <c r="BI668" s="290"/>
      <c r="BJ668" s="290"/>
      <c r="BK668" s="290"/>
      <c r="BL668" s="290"/>
      <c r="BM668" s="290"/>
      <c r="BN668" s="290"/>
      <c r="BO668" s="290"/>
      <c r="BP668" s="290"/>
      <c r="BQ668" s="290"/>
      <c r="BR668" s="290"/>
      <c r="BS668" s="290"/>
      <c r="BT668" s="290"/>
      <c r="BU668" s="290"/>
      <c r="BV668" s="290"/>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row>
    <row r="669" customFormat="false" ht="15.75" hidden="false" customHeight="false" outlineLevel="0" collapsed="false">
      <c r="A669" s="290"/>
      <c r="B669" s="290"/>
      <c r="C669" s="290"/>
      <c r="D669" s="290"/>
      <c r="E669" s="290"/>
      <c r="F669" s="290"/>
      <c r="G669" s="290"/>
      <c r="H669" s="290"/>
      <c r="I669" s="290"/>
      <c r="J669" s="3"/>
      <c r="K669" s="290"/>
      <c r="L669" s="290"/>
      <c r="M669" s="290"/>
      <c r="N669" s="290"/>
      <c r="O669" s="290"/>
      <c r="P669" s="290"/>
      <c r="Q669" s="290"/>
      <c r="R669" s="290"/>
      <c r="S669" s="290"/>
      <c r="T669" s="290"/>
      <c r="U669" s="290"/>
      <c r="V669" s="290"/>
      <c r="W669" s="290"/>
      <c r="X669" s="290"/>
      <c r="Y669" s="290"/>
      <c r="Z669" s="290"/>
      <c r="AA669" s="290"/>
      <c r="AB669" s="290"/>
      <c r="AC669" s="290"/>
      <c r="AD669" s="290"/>
      <c r="AE669" s="290"/>
      <c r="AF669" s="290"/>
      <c r="AG669" s="290"/>
      <c r="AH669" s="290"/>
      <c r="AI669" s="290"/>
      <c r="AJ669" s="290"/>
      <c r="AK669" s="290"/>
      <c r="AL669" s="290"/>
      <c r="AM669" s="290"/>
      <c r="AN669" s="290"/>
      <c r="AO669" s="290"/>
      <c r="AP669" s="290"/>
      <c r="AQ669" s="290"/>
      <c r="AR669" s="290"/>
      <c r="AS669" s="290"/>
      <c r="AT669" s="290"/>
      <c r="AU669" s="290"/>
      <c r="AV669" s="290"/>
      <c r="AW669" s="290"/>
      <c r="AX669" s="290"/>
      <c r="AY669" s="290"/>
      <c r="AZ669" s="290"/>
      <c r="BA669" s="290"/>
      <c r="BB669" s="290"/>
      <c r="BC669" s="290"/>
      <c r="BD669" s="290"/>
      <c r="BE669" s="290"/>
      <c r="BF669" s="290"/>
      <c r="BG669" s="290"/>
      <c r="BH669" s="290"/>
      <c r="BI669" s="290"/>
      <c r="BJ669" s="290"/>
      <c r="BK669" s="290"/>
      <c r="BL669" s="290"/>
      <c r="BM669" s="290"/>
      <c r="BN669" s="290"/>
      <c r="BO669" s="290"/>
      <c r="BP669" s="290"/>
      <c r="BQ669" s="290"/>
      <c r="BR669" s="290"/>
      <c r="BS669" s="290"/>
      <c r="BT669" s="290"/>
      <c r="BU669" s="290"/>
      <c r="BV669" s="290"/>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row>
    <row r="670" customFormat="false" ht="15.75" hidden="false" customHeight="false" outlineLevel="0" collapsed="false">
      <c r="A670" s="290"/>
      <c r="B670" s="290"/>
      <c r="C670" s="290"/>
      <c r="D670" s="290"/>
      <c r="E670" s="290"/>
      <c r="F670" s="290"/>
      <c r="G670" s="290"/>
      <c r="H670" s="290"/>
      <c r="I670" s="290"/>
      <c r="J670" s="3"/>
      <c r="K670" s="290"/>
      <c r="L670" s="290"/>
      <c r="M670" s="290"/>
      <c r="N670" s="290"/>
      <c r="O670" s="290"/>
      <c r="P670" s="290"/>
      <c r="Q670" s="290"/>
      <c r="R670" s="290"/>
      <c r="S670" s="290"/>
      <c r="T670" s="290"/>
      <c r="U670" s="290"/>
      <c r="V670" s="290"/>
      <c r="W670" s="290"/>
      <c r="X670" s="290"/>
      <c r="Y670" s="290"/>
      <c r="Z670" s="290"/>
      <c r="AA670" s="290"/>
      <c r="AB670" s="290"/>
      <c r="AC670" s="290"/>
      <c r="AD670" s="290"/>
      <c r="AE670" s="290"/>
      <c r="AF670" s="290"/>
      <c r="AG670" s="290"/>
      <c r="AH670" s="290"/>
      <c r="AI670" s="290"/>
      <c r="AJ670" s="290"/>
      <c r="AK670" s="290"/>
      <c r="AL670" s="290"/>
      <c r="AM670" s="290"/>
      <c r="AN670" s="290"/>
      <c r="AO670" s="290"/>
      <c r="AP670" s="290"/>
      <c r="AQ670" s="290"/>
      <c r="AR670" s="290"/>
      <c r="AS670" s="290"/>
      <c r="AT670" s="290"/>
      <c r="AU670" s="290"/>
      <c r="AV670" s="290"/>
      <c r="AW670" s="290"/>
      <c r="AX670" s="290"/>
      <c r="AY670" s="290"/>
      <c r="AZ670" s="290"/>
      <c r="BA670" s="290"/>
      <c r="BB670" s="290"/>
      <c r="BC670" s="290"/>
      <c r="BD670" s="290"/>
      <c r="BE670" s="290"/>
      <c r="BF670" s="290"/>
      <c r="BG670" s="290"/>
      <c r="BH670" s="290"/>
      <c r="BI670" s="290"/>
      <c r="BJ670" s="290"/>
      <c r="BK670" s="290"/>
      <c r="BL670" s="290"/>
      <c r="BM670" s="290"/>
      <c r="BN670" s="290"/>
      <c r="BO670" s="290"/>
      <c r="BP670" s="290"/>
      <c r="BQ670" s="290"/>
      <c r="BR670" s="290"/>
      <c r="BS670" s="290"/>
      <c r="BT670" s="290"/>
      <c r="BU670" s="290"/>
      <c r="BV670" s="290"/>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row>
    <row r="671" customFormat="false" ht="15.75" hidden="false" customHeight="false" outlineLevel="0" collapsed="false">
      <c r="A671" s="290"/>
      <c r="B671" s="290"/>
      <c r="C671" s="290"/>
      <c r="D671" s="290"/>
      <c r="E671" s="290"/>
      <c r="F671" s="290"/>
      <c r="G671" s="290"/>
      <c r="H671" s="290"/>
      <c r="I671" s="290"/>
      <c r="J671" s="3"/>
      <c r="K671" s="290"/>
      <c r="L671" s="290"/>
      <c r="M671" s="290"/>
      <c r="N671" s="290"/>
      <c r="O671" s="290"/>
      <c r="P671" s="290"/>
      <c r="Q671" s="290"/>
      <c r="R671" s="290"/>
      <c r="S671" s="290"/>
      <c r="T671" s="290"/>
      <c r="U671" s="290"/>
      <c r="V671" s="290"/>
      <c r="W671" s="290"/>
      <c r="X671" s="290"/>
      <c r="Y671" s="290"/>
      <c r="Z671" s="290"/>
      <c r="AA671" s="290"/>
      <c r="AB671" s="290"/>
      <c r="AC671" s="290"/>
      <c r="AD671" s="290"/>
      <c r="AE671" s="290"/>
      <c r="AF671" s="290"/>
      <c r="AG671" s="290"/>
      <c r="AH671" s="290"/>
      <c r="AI671" s="290"/>
      <c r="AJ671" s="290"/>
      <c r="AK671" s="290"/>
      <c r="AL671" s="290"/>
      <c r="AM671" s="290"/>
      <c r="AN671" s="290"/>
      <c r="AO671" s="290"/>
      <c r="AP671" s="290"/>
      <c r="AQ671" s="290"/>
      <c r="AR671" s="290"/>
      <c r="AS671" s="290"/>
      <c r="AT671" s="290"/>
      <c r="AU671" s="290"/>
      <c r="AV671" s="290"/>
      <c r="AW671" s="290"/>
      <c r="AX671" s="290"/>
      <c r="AY671" s="290"/>
      <c r="AZ671" s="290"/>
      <c r="BA671" s="290"/>
      <c r="BB671" s="290"/>
      <c r="BC671" s="290"/>
      <c r="BD671" s="290"/>
      <c r="BE671" s="290"/>
      <c r="BF671" s="290"/>
      <c r="BG671" s="290"/>
      <c r="BH671" s="290"/>
      <c r="BI671" s="290"/>
      <c r="BJ671" s="290"/>
      <c r="BK671" s="290"/>
      <c r="BL671" s="290"/>
      <c r="BM671" s="290"/>
      <c r="BN671" s="290"/>
      <c r="BO671" s="290"/>
      <c r="BP671" s="290"/>
      <c r="BQ671" s="290"/>
      <c r="BR671" s="290"/>
      <c r="BS671" s="290"/>
      <c r="BT671" s="290"/>
      <c r="BU671" s="290"/>
      <c r="BV671" s="290"/>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row>
    <row r="672" customFormat="false" ht="15.75" hidden="false" customHeight="false" outlineLevel="0" collapsed="false">
      <c r="A672" s="290"/>
      <c r="B672" s="290"/>
      <c r="C672" s="290"/>
      <c r="D672" s="290"/>
      <c r="E672" s="290"/>
      <c r="F672" s="290"/>
      <c r="G672" s="290"/>
      <c r="H672" s="290"/>
      <c r="I672" s="290"/>
      <c r="J672" s="3"/>
      <c r="K672" s="290"/>
      <c r="L672" s="290"/>
      <c r="M672" s="290"/>
      <c r="N672" s="290"/>
      <c r="O672" s="290"/>
      <c r="P672" s="290"/>
      <c r="Q672" s="290"/>
      <c r="R672" s="290"/>
      <c r="S672" s="290"/>
      <c r="T672" s="290"/>
      <c r="U672" s="290"/>
      <c r="V672" s="290"/>
      <c r="W672" s="290"/>
      <c r="X672" s="290"/>
      <c r="Y672" s="290"/>
      <c r="Z672" s="290"/>
      <c r="AA672" s="290"/>
      <c r="AB672" s="290"/>
      <c r="AC672" s="290"/>
      <c r="AD672" s="290"/>
      <c r="AE672" s="290"/>
      <c r="AF672" s="290"/>
      <c r="AG672" s="290"/>
      <c r="AH672" s="290"/>
      <c r="AI672" s="290"/>
      <c r="AJ672" s="290"/>
      <c r="AK672" s="290"/>
      <c r="AL672" s="290"/>
      <c r="AM672" s="290"/>
      <c r="AN672" s="290"/>
      <c r="AO672" s="290"/>
      <c r="AP672" s="290"/>
      <c r="AQ672" s="290"/>
      <c r="AR672" s="290"/>
      <c r="AS672" s="290"/>
      <c r="AT672" s="290"/>
      <c r="AU672" s="290"/>
      <c r="AV672" s="290"/>
      <c r="AW672" s="290"/>
      <c r="AX672" s="290"/>
      <c r="AY672" s="290"/>
      <c r="AZ672" s="290"/>
      <c r="BA672" s="290"/>
      <c r="BB672" s="290"/>
      <c r="BC672" s="290"/>
      <c r="BD672" s="290"/>
      <c r="BE672" s="290"/>
      <c r="BF672" s="290"/>
      <c r="BG672" s="290"/>
      <c r="BH672" s="290"/>
      <c r="BI672" s="290"/>
      <c r="BJ672" s="290"/>
      <c r="BK672" s="290"/>
      <c r="BL672" s="290"/>
      <c r="BM672" s="290"/>
      <c r="BN672" s="290"/>
      <c r="BO672" s="290"/>
      <c r="BP672" s="290"/>
      <c r="BQ672" s="290"/>
      <c r="BR672" s="290"/>
      <c r="BS672" s="290"/>
      <c r="BT672" s="290"/>
      <c r="BU672" s="290"/>
      <c r="BV672" s="290"/>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row>
    <row r="673" customFormat="false" ht="15.75" hidden="false" customHeight="false" outlineLevel="0" collapsed="false">
      <c r="A673" s="290"/>
      <c r="B673" s="290"/>
      <c r="C673" s="290"/>
      <c r="D673" s="290"/>
      <c r="E673" s="290"/>
      <c r="F673" s="290"/>
      <c r="G673" s="290"/>
      <c r="H673" s="290"/>
      <c r="I673" s="290"/>
      <c r="J673" s="3"/>
      <c r="K673" s="290"/>
      <c r="L673" s="290"/>
      <c r="M673" s="290"/>
      <c r="N673" s="290"/>
      <c r="O673" s="290"/>
      <c r="P673" s="290"/>
      <c r="Q673" s="290"/>
      <c r="R673" s="290"/>
      <c r="S673" s="290"/>
      <c r="T673" s="290"/>
      <c r="U673" s="290"/>
      <c r="V673" s="290"/>
      <c r="W673" s="290"/>
      <c r="X673" s="290"/>
      <c r="Y673" s="290"/>
      <c r="Z673" s="290"/>
      <c r="AA673" s="290"/>
      <c r="AB673" s="290"/>
      <c r="AC673" s="290"/>
      <c r="AD673" s="290"/>
      <c r="AE673" s="290"/>
      <c r="AF673" s="290"/>
      <c r="AG673" s="290"/>
      <c r="AH673" s="290"/>
      <c r="AI673" s="290"/>
      <c r="AJ673" s="290"/>
      <c r="AK673" s="290"/>
      <c r="AL673" s="290"/>
      <c r="AM673" s="290"/>
      <c r="AN673" s="290"/>
      <c r="AO673" s="290"/>
      <c r="AP673" s="290"/>
      <c r="AQ673" s="290"/>
      <c r="AR673" s="290"/>
      <c r="AS673" s="290"/>
      <c r="AT673" s="290"/>
      <c r="AU673" s="290"/>
      <c r="AV673" s="290"/>
      <c r="AW673" s="290"/>
      <c r="AX673" s="290"/>
      <c r="AY673" s="290"/>
      <c r="AZ673" s="290"/>
      <c r="BA673" s="290"/>
      <c r="BB673" s="290"/>
      <c r="BC673" s="290"/>
      <c r="BD673" s="290"/>
      <c r="BE673" s="290"/>
      <c r="BF673" s="290"/>
      <c r="BG673" s="290"/>
      <c r="BH673" s="290"/>
      <c r="BI673" s="290"/>
      <c r="BJ673" s="290"/>
      <c r="BK673" s="290"/>
      <c r="BL673" s="290"/>
      <c r="BM673" s="290"/>
      <c r="BN673" s="290"/>
      <c r="BO673" s="290"/>
      <c r="BP673" s="290"/>
      <c r="BQ673" s="290"/>
      <c r="BR673" s="290"/>
      <c r="BS673" s="290"/>
      <c r="BT673" s="290"/>
      <c r="BU673" s="290"/>
      <c r="BV673" s="290"/>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row>
    <row r="674" customFormat="false" ht="15.75" hidden="false" customHeight="false" outlineLevel="0" collapsed="false">
      <c r="A674" s="290"/>
      <c r="B674" s="290"/>
      <c r="C674" s="290"/>
      <c r="D674" s="290"/>
      <c r="E674" s="290"/>
      <c r="F674" s="290"/>
      <c r="G674" s="290"/>
      <c r="H674" s="290"/>
      <c r="I674" s="290"/>
      <c r="J674" s="3"/>
      <c r="K674" s="290"/>
      <c r="L674" s="290"/>
      <c r="M674" s="290"/>
      <c r="N674" s="290"/>
      <c r="O674" s="290"/>
      <c r="P674" s="290"/>
      <c r="Q674" s="290"/>
      <c r="R674" s="290"/>
      <c r="S674" s="290"/>
      <c r="T674" s="290"/>
      <c r="U674" s="290"/>
      <c r="V674" s="290"/>
      <c r="W674" s="290"/>
      <c r="X674" s="290"/>
      <c r="Y674" s="290"/>
      <c r="Z674" s="290"/>
      <c r="AA674" s="290"/>
      <c r="AB674" s="290"/>
      <c r="AC674" s="290"/>
      <c r="AD674" s="290"/>
      <c r="AE674" s="290"/>
      <c r="AF674" s="290"/>
      <c r="AG674" s="290"/>
      <c r="AH674" s="290"/>
      <c r="AI674" s="290"/>
      <c r="AJ674" s="290"/>
      <c r="AK674" s="290"/>
      <c r="AL674" s="290"/>
      <c r="AM674" s="290"/>
      <c r="AN674" s="290"/>
      <c r="AO674" s="290"/>
      <c r="AP674" s="290"/>
      <c r="AQ674" s="290"/>
      <c r="AR674" s="290"/>
      <c r="AS674" s="290"/>
      <c r="AT674" s="290"/>
      <c r="AU674" s="290"/>
      <c r="AV674" s="290"/>
      <c r="AW674" s="290"/>
      <c r="AX674" s="290"/>
      <c r="AY674" s="290"/>
      <c r="AZ674" s="290"/>
      <c r="BA674" s="290"/>
      <c r="BB674" s="290"/>
      <c r="BC674" s="290"/>
      <c r="BD674" s="290"/>
      <c r="BE674" s="290"/>
      <c r="BF674" s="290"/>
      <c r="BG674" s="290"/>
      <c r="BH674" s="290"/>
      <c r="BI674" s="290"/>
      <c r="BJ674" s="290"/>
      <c r="BK674" s="290"/>
      <c r="BL674" s="290"/>
      <c r="BM674" s="290"/>
      <c r="BN674" s="290"/>
      <c r="BO674" s="290"/>
      <c r="BP674" s="290"/>
      <c r="BQ674" s="290"/>
      <c r="BR674" s="290"/>
      <c r="BS674" s="290"/>
      <c r="BT674" s="290"/>
      <c r="BU674" s="290"/>
      <c r="BV674" s="290"/>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row>
    <row r="675" customFormat="false" ht="15.75" hidden="false" customHeight="false" outlineLevel="0" collapsed="false">
      <c r="A675" s="290"/>
      <c r="B675" s="290"/>
      <c r="C675" s="290"/>
      <c r="D675" s="290"/>
      <c r="E675" s="290"/>
      <c r="F675" s="290"/>
      <c r="G675" s="290"/>
      <c r="H675" s="290"/>
      <c r="I675" s="290"/>
      <c r="J675" s="3"/>
      <c r="K675" s="290"/>
      <c r="L675" s="290"/>
      <c r="M675" s="290"/>
      <c r="N675" s="290"/>
      <c r="O675" s="290"/>
      <c r="P675" s="290"/>
      <c r="Q675" s="290"/>
      <c r="R675" s="290"/>
      <c r="S675" s="290"/>
      <c r="T675" s="290"/>
      <c r="U675" s="290"/>
      <c r="V675" s="290"/>
      <c r="W675" s="290"/>
      <c r="X675" s="290"/>
      <c r="Y675" s="290"/>
      <c r="Z675" s="290"/>
      <c r="AA675" s="290"/>
      <c r="AB675" s="290"/>
      <c r="AC675" s="290"/>
      <c r="AD675" s="290"/>
      <c r="AE675" s="290"/>
      <c r="AF675" s="290"/>
      <c r="AG675" s="290"/>
      <c r="AH675" s="290"/>
      <c r="AI675" s="290"/>
      <c r="AJ675" s="290"/>
      <c r="AK675" s="290"/>
      <c r="AL675" s="290"/>
      <c r="AM675" s="290"/>
      <c r="AN675" s="290"/>
      <c r="AO675" s="290"/>
      <c r="AP675" s="290"/>
      <c r="AQ675" s="290"/>
      <c r="AR675" s="290"/>
      <c r="AS675" s="290"/>
      <c r="AT675" s="290"/>
      <c r="AU675" s="290"/>
      <c r="AV675" s="290"/>
      <c r="AW675" s="290"/>
      <c r="AX675" s="290"/>
      <c r="AY675" s="290"/>
      <c r="AZ675" s="290"/>
      <c r="BA675" s="290"/>
      <c r="BB675" s="290"/>
      <c r="BC675" s="290"/>
      <c r="BD675" s="290"/>
      <c r="BE675" s="290"/>
      <c r="BF675" s="290"/>
      <c r="BG675" s="290"/>
      <c r="BH675" s="290"/>
      <c r="BI675" s="290"/>
      <c r="BJ675" s="290"/>
      <c r="BK675" s="290"/>
      <c r="BL675" s="290"/>
      <c r="BM675" s="290"/>
      <c r="BN675" s="290"/>
      <c r="BO675" s="290"/>
      <c r="BP675" s="290"/>
      <c r="BQ675" s="290"/>
      <c r="BR675" s="290"/>
      <c r="BS675" s="290"/>
      <c r="BT675" s="290"/>
      <c r="BU675" s="290"/>
      <c r="BV675" s="290"/>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row>
    <row r="676" customFormat="false" ht="15.75" hidden="false" customHeight="false" outlineLevel="0" collapsed="false">
      <c r="A676" s="290"/>
      <c r="B676" s="290"/>
      <c r="C676" s="290"/>
      <c r="D676" s="290"/>
      <c r="E676" s="290"/>
      <c r="F676" s="290"/>
      <c r="G676" s="290"/>
      <c r="H676" s="290"/>
      <c r="I676" s="290"/>
      <c r="J676" s="3"/>
      <c r="K676" s="290"/>
      <c r="L676" s="290"/>
      <c r="M676" s="290"/>
      <c r="N676" s="290"/>
      <c r="O676" s="290"/>
      <c r="P676" s="290"/>
      <c r="Q676" s="290"/>
      <c r="R676" s="290"/>
      <c r="S676" s="290"/>
      <c r="T676" s="290"/>
      <c r="U676" s="290"/>
      <c r="V676" s="290"/>
      <c r="W676" s="290"/>
      <c r="X676" s="290"/>
      <c r="Y676" s="290"/>
      <c r="Z676" s="290"/>
      <c r="AA676" s="290"/>
      <c r="AB676" s="290"/>
      <c r="AC676" s="290"/>
      <c r="AD676" s="290"/>
      <c r="AE676" s="290"/>
      <c r="AF676" s="290"/>
      <c r="AG676" s="290"/>
      <c r="AH676" s="290"/>
      <c r="AI676" s="290"/>
      <c r="AJ676" s="290"/>
      <c r="AK676" s="290"/>
      <c r="AL676" s="290"/>
      <c r="AM676" s="290"/>
      <c r="AN676" s="290"/>
      <c r="AO676" s="290"/>
      <c r="AP676" s="290"/>
      <c r="AQ676" s="290"/>
      <c r="AR676" s="290"/>
      <c r="AS676" s="290"/>
      <c r="AT676" s="290"/>
      <c r="AU676" s="290"/>
      <c r="AV676" s="290"/>
      <c r="AW676" s="290"/>
      <c r="AX676" s="290"/>
      <c r="AY676" s="290"/>
      <c r="AZ676" s="290"/>
      <c r="BA676" s="290"/>
      <c r="BB676" s="290"/>
      <c r="BC676" s="290"/>
      <c r="BD676" s="290"/>
      <c r="BE676" s="290"/>
      <c r="BF676" s="290"/>
      <c r="BG676" s="290"/>
      <c r="BH676" s="290"/>
      <c r="BI676" s="290"/>
      <c r="BJ676" s="290"/>
      <c r="BK676" s="290"/>
      <c r="BL676" s="290"/>
      <c r="BM676" s="290"/>
      <c r="BN676" s="290"/>
      <c r="BO676" s="290"/>
      <c r="BP676" s="290"/>
      <c r="BQ676" s="290"/>
      <c r="BR676" s="290"/>
      <c r="BS676" s="290"/>
      <c r="BT676" s="290"/>
      <c r="BU676" s="290"/>
      <c r="BV676" s="290"/>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row>
    <row r="677" customFormat="false" ht="15.75" hidden="false" customHeight="false" outlineLevel="0" collapsed="false">
      <c r="A677" s="290"/>
      <c r="B677" s="290"/>
      <c r="C677" s="290"/>
      <c r="D677" s="290"/>
      <c r="E677" s="290"/>
      <c r="F677" s="290"/>
      <c r="G677" s="290"/>
      <c r="H677" s="290"/>
      <c r="I677" s="290"/>
      <c r="J677" s="3"/>
      <c r="K677" s="290"/>
      <c r="L677" s="290"/>
      <c r="M677" s="290"/>
      <c r="N677" s="290"/>
      <c r="O677" s="290"/>
      <c r="P677" s="290"/>
      <c r="Q677" s="290"/>
      <c r="R677" s="290"/>
      <c r="S677" s="290"/>
      <c r="T677" s="290"/>
      <c r="U677" s="290"/>
      <c r="V677" s="290"/>
      <c r="W677" s="290"/>
      <c r="X677" s="290"/>
      <c r="Y677" s="290"/>
      <c r="Z677" s="290"/>
      <c r="AA677" s="290"/>
      <c r="AB677" s="290"/>
      <c r="AC677" s="290"/>
      <c r="AD677" s="290"/>
      <c r="AE677" s="290"/>
      <c r="AF677" s="290"/>
      <c r="AG677" s="290"/>
      <c r="AH677" s="290"/>
      <c r="AI677" s="290"/>
      <c r="AJ677" s="290"/>
      <c r="AK677" s="290"/>
      <c r="AL677" s="290"/>
      <c r="AM677" s="290"/>
      <c r="AN677" s="290"/>
      <c r="AO677" s="290"/>
      <c r="AP677" s="290"/>
      <c r="AQ677" s="290"/>
      <c r="AR677" s="290"/>
      <c r="AS677" s="290"/>
      <c r="AT677" s="290"/>
      <c r="AU677" s="290"/>
      <c r="AV677" s="290"/>
      <c r="AW677" s="290"/>
      <c r="AX677" s="290"/>
      <c r="AY677" s="290"/>
      <c r="AZ677" s="290"/>
      <c r="BA677" s="290"/>
      <c r="BB677" s="290"/>
      <c r="BC677" s="290"/>
      <c r="BD677" s="290"/>
      <c r="BE677" s="290"/>
      <c r="BF677" s="290"/>
      <c r="BG677" s="290"/>
      <c r="BH677" s="290"/>
      <c r="BI677" s="290"/>
      <c r="BJ677" s="290"/>
      <c r="BK677" s="290"/>
      <c r="BL677" s="290"/>
      <c r="BM677" s="290"/>
      <c r="BN677" s="290"/>
      <c r="BO677" s="290"/>
      <c r="BP677" s="290"/>
      <c r="BQ677" s="290"/>
      <c r="BR677" s="290"/>
      <c r="BS677" s="290"/>
      <c r="BT677" s="290"/>
      <c r="BU677" s="290"/>
      <c r="BV677" s="290"/>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row>
    <row r="678" customFormat="false" ht="15.75" hidden="false" customHeight="false" outlineLevel="0" collapsed="false">
      <c r="A678" s="290"/>
      <c r="B678" s="290"/>
      <c r="C678" s="290"/>
      <c r="D678" s="290"/>
      <c r="E678" s="290"/>
      <c r="F678" s="290"/>
      <c r="G678" s="290"/>
      <c r="H678" s="290"/>
      <c r="I678" s="290"/>
      <c r="J678" s="3"/>
      <c r="K678" s="290"/>
      <c r="L678" s="290"/>
      <c r="M678" s="290"/>
      <c r="N678" s="290"/>
      <c r="O678" s="290"/>
      <c r="P678" s="290"/>
      <c r="Q678" s="290"/>
      <c r="R678" s="290"/>
      <c r="S678" s="290"/>
      <c r="T678" s="290"/>
      <c r="U678" s="290"/>
      <c r="V678" s="290"/>
      <c r="W678" s="290"/>
      <c r="X678" s="290"/>
      <c r="Y678" s="290"/>
      <c r="Z678" s="290"/>
      <c r="AA678" s="290"/>
      <c r="AB678" s="290"/>
      <c r="AC678" s="290"/>
      <c r="AD678" s="290"/>
      <c r="AE678" s="290"/>
      <c r="AF678" s="290"/>
      <c r="AG678" s="290"/>
      <c r="AH678" s="290"/>
      <c r="AI678" s="290"/>
      <c r="AJ678" s="290"/>
      <c r="AK678" s="290"/>
      <c r="AL678" s="290"/>
      <c r="AM678" s="290"/>
      <c r="AN678" s="290"/>
      <c r="AO678" s="290"/>
      <c r="AP678" s="290"/>
      <c r="AQ678" s="290"/>
      <c r="AR678" s="290"/>
      <c r="AS678" s="290"/>
      <c r="AT678" s="290"/>
      <c r="AU678" s="290"/>
      <c r="AV678" s="290"/>
      <c r="AW678" s="290"/>
      <c r="AX678" s="290"/>
      <c r="AY678" s="290"/>
      <c r="AZ678" s="290"/>
      <c r="BA678" s="290"/>
      <c r="BB678" s="290"/>
      <c r="BC678" s="290"/>
      <c r="BD678" s="290"/>
      <c r="BE678" s="290"/>
      <c r="BF678" s="290"/>
      <c r="BG678" s="290"/>
      <c r="BH678" s="290"/>
      <c r="BI678" s="290"/>
      <c r="BJ678" s="290"/>
      <c r="BK678" s="290"/>
      <c r="BL678" s="290"/>
      <c r="BM678" s="290"/>
      <c r="BN678" s="290"/>
      <c r="BO678" s="290"/>
      <c r="BP678" s="290"/>
      <c r="BQ678" s="290"/>
      <c r="BR678" s="290"/>
      <c r="BS678" s="290"/>
      <c r="BT678" s="290"/>
      <c r="BU678" s="290"/>
      <c r="BV678" s="290"/>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row>
    <row r="679" customFormat="false" ht="15.75" hidden="false" customHeight="false" outlineLevel="0" collapsed="false">
      <c r="A679" s="290"/>
      <c r="B679" s="290"/>
      <c r="C679" s="290"/>
      <c r="D679" s="290"/>
      <c r="E679" s="290"/>
      <c r="F679" s="290"/>
      <c r="G679" s="290"/>
      <c r="H679" s="290"/>
      <c r="I679" s="290"/>
      <c r="J679" s="3"/>
      <c r="K679" s="290"/>
      <c r="L679" s="290"/>
      <c r="M679" s="290"/>
      <c r="N679" s="290"/>
      <c r="O679" s="290"/>
      <c r="P679" s="290"/>
      <c r="Q679" s="290"/>
      <c r="R679" s="290"/>
      <c r="S679" s="290"/>
      <c r="T679" s="290"/>
      <c r="U679" s="290"/>
      <c r="V679" s="290"/>
      <c r="W679" s="290"/>
      <c r="X679" s="290"/>
      <c r="Y679" s="290"/>
      <c r="Z679" s="290"/>
      <c r="AA679" s="290"/>
      <c r="AB679" s="290"/>
      <c r="AC679" s="290"/>
      <c r="AD679" s="290"/>
      <c r="AE679" s="290"/>
      <c r="AF679" s="290"/>
      <c r="AG679" s="290"/>
      <c r="AH679" s="290"/>
      <c r="AI679" s="290"/>
      <c r="AJ679" s="290"/>
      <c r="AK679" s="290"/>
      <c r="AL679" s="290"/>
      <c r="AM679" s="290"/>
      <c r="AN679" s="290"/>
      <c r="AO679" s="290"/>
      <c r="AP679" s="290"/>
      <c r="AQ679" s="290"/>
      <c r="AR679" s="290"/>
      <c r="AS679" s="290"/>
      <c r="AT679" s="290"/>
      <c r="AU679" s="290"/>
      <c r="AV679" s="290"/>
      <c r="AW679" s="290"/>
      <c r="AX679" s="290"/>
      <c r="AY679" s="290"/>
      <c r="AZ679" s="290"/>
      <c r="BA679" s="290"/>
      <c r="BB679" s="290"/>
      <c r="BC679" s="290"/>
      <c r="BD679" s="290"/>
      <c r="BE679" s="290"/>
      <c r="BF679" s="290"/>
      <c r="BG679" s="290"/>
      <c r="BH679" s="290"/>
      <c r="BI679" s="290"/>
      <c r="BJ679" s="290"/>
      <c r="BK679" s="290"/>
      <c r="BL679" s="290"/>
      <c r="BM679" s="290"/>
      <c r="BN679" s="290"/>
      <c r="BO679" s="290"/>
      <c r="BP679" s="290"/>
      <c r="BQ679" s="290"/>
      <c r="BR679" s="290"/>
      <c r="BS679" s="290"/>
      <c r="BT679" s="290"/>
      <c r="BU679" s="290"/>
      <c r="BV679" s="290"/>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row>
    <row r="680" customFormat="false" ht="15.75" hidden="false" customHeight="false" outlineLevel="0" collapsed="false">
      <c r="A680" s="290"/>
      <c r="B680" s="290"/>
      <c r="C680" s="290"/>
      <c r="D680" s="290"/>
      <c r="E680" s="290"/>
      <c r="F680" s="290"/>
      <c r="G680" s="290"/>
      <c r="H680" s="290"/>
      <c r="I680" s="290"/>
      <c r="J680" s="3"/>
      <c r="K680" s="290"/>
      <c r="L680" s="290"/>
      <c r="M680" s="290"/>
      <c r="N680" s="290"/>
      <c r="O680" s="290"/>
      <c r="P680" s="290"/>
      <c r="Q680" s="290"/>
      <c r="R680" s="290"/>
      <c r="S680" s="290"/>
      <c r="T680" s="290"/>
      <c r="U680" s="290"/>
      <c r="V680" s="290"/>
      <c r="W680" s="290"/>
      <c r="X680" s="290"/>
      <c r="Y680" s="290"/>
      <c r="Z680" s="290"/>
      <c r="AA680" s="290"/>
      <c r="AB680" s="290"/>
      <c r="AC680" s="290"/>
      <c r="AD680" s="290"/>
      <c r="AE680" s="290"/>
      <c r="AF680" s="290"/>
      <c r="AG680" s="290"/>
      <c r="AH680" s="290"/>
      <c r="AI680" s="290"/>
      <c r="AJ680" s="290"/>
      <c r="AK680" s="290"/>
      <c r="AL680" s="290"/>
      <c r="AM680" s="290"/>
      <c r="AN680" s="290"/>
      <c r="AO680" s="290"/>
      <c r="AP680" s="290"/>
      <c r="AQ680" s="290"/>
      <c r="AR680" s="290"/>
      <c r="AS680" s="290"/>
      <c r="AT680" s="290"/>
      <c r="AU680" s="290"/>
      <c r="AV680" s="290"/>
      <c r="AW680" s="290"/>
      <c r="AX680" s="290"/>
      <c r="AY680" s="290"/>
      <c r="AZ680" s="290"/>
      <c r="BA680" s="290"/>
      <c r="BB680" s="290"/>
      <c r="BC680" s="290"/>
      <c r="BD680" s="290"/>
      <c r="BE680" s="290"/>
      <c r="BF680" s="290"/>
      <c r="BG680" s="290"/>
      <c r="BH680" s="290"/>
      <c r="BI680" s="290"/>
      <c r="BJ680" s="290"/>
      <c r="BK680" s="290"/>
      <c r="BL680" s="290"/>
      <c r="BM680" s="290"/>
      <c r="BN680" s="290"/>
      <c r="BO680" s="290"/>
      <c r="BP680" s="290"/>
      <c r="BQ680" s="290"/>
      <c r="BR680" s="290"/>
      <c r="BS680" s="290"/>
      <c r="BT680" s="290"/>
      <c r="BU680" s="290"/>
      <c r="BV680" s="290"/>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row>
    <row r="681" customFormat="false" ht="15.75" hidden="false" customHeight="false" outlineLevel="0" collapsed="false">
      <c r="A681" s="290"/>
      <c r="B681" s="290"/>
      <c r="C681" s="290"/>
      <c r="D681" s="290"/>
      <c r="E681" s="290"/>
      <c r="F681" s="290"/>
      <c r="G681" s="290"/>
      <c r="H681" s="290"/>
      <c r="I681" s="290"/>
      <c r="J681" s="3"/>
      <c r="K681" s="290"/>
      <c r="L681" s="290"/>
      <c r="M681" s="290"/>
      <c r="N681" s="290"/>
      <c r="O681" s="290"/>
      <c r="P681" s="290"/>
      <c r="Q681" s="290"/>
      <c r="R681" s="290"/>
      <c r="S681" s="290"/>
      <c r="T681" s="290"/>
      <c r="U681" s="290"/>
      <c r="V681" s="290"/>
      <c r="W681" s="290"/>
      <c r="X681" s="290"/>
      <c r="Y681" s="290"/>
      <c r="Z681" s="290"/>
      <c r="AA681" s="290"/>
      <c r="AB681" s="290"/>
      <c r="AC681" s="290"/>
      <c r="AD681" s="290"/>
      <c r="AE681" s="290"/>
      <c r="AF681" s="290"/>
      <c r="AG681" s="290"/>
      <c r="AH681" s="290"/>
      <c r="AI681" s="290"/>
      <c r="AJ681" s="290"/>
      <c r="AK681" s="290"/>
      <c r="AL681" s="290"/>
      <c r="AM681" s="290"/>
      <c r="AN681" s="290"/>
      <c r="AO681" s="290"/>
      <c r="AP681" s="290"/>
      <c r="AQ681" s="290"/>
      <c r="AR681" s="290"/>
      <c r="AS681" s="290"/>
      <c r="AT681" s="290"/>
      <c r="AU681" s="290"/>
      <c r="AV681" s="290"/>
      <c r="AW681" s="290"/>
      <c r="AX681" s="290"/>
      <c r="AY681" s="290"/>
      <c r="AZ681" s="290"/>
      <c r="BA681" s="290"/>
      <c r="BB681" s="290"/>
      <c r="BC681" s="290"/>
      <c r="BD681" s="290"/>
      <c r="BE681" s="290"/>
      <c r="BF681" s="290"/>
      <c r="BG681" s="290"/>
      <c r="BH681" s="290"/>
      <c r="BI681" s="290"/>
      <c r="BJ681" s="290"/>
      <c r="BK681" s="290"/>
      <c r="BL681" s="290"/>
      <c r="BM681" s="290"/>
      <c r="BN681" s="290"/>
      <c r="BO681" s="290"/>
      <c r="BP681" s="290"/>
      <c r="BQ681" s="290"/>
      <c r="BR681" s="290"/>
      <c r="BS681" s="290"/>
      <c r="BT681" s="290"/>
      <c r="BU681" s="290"/>
      <c r="BV681" s="290"/>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row>
    <row r="682" customFormat="false" ht="15.75" hidden="false" customHeight="false" outlineLevel="0" collapsed="false">
      <c r="A682" s="290"/>
      <c r="B682" s="290"/>
      <c r="C682" s="290"/>
      <c r="D682" s="290"/>
      <c r="E682" s="290"/>
      <c r="F682" s="290"/>
      <c r="G682" s="290"/>
      <c r="H682" s="290"/>
      <c r="I682" s="290"/>
      <c r="J682" s="3"/>
      <c r="K682" s="290"/>
      <c r="L682" s="290"/>
      <c r="M682" s="290"/>
      <c r="N682" s="290"/>
      <c r="O682" s="290"/>
      <c r="P682" s="290"/>
      <c r="Q682" s="290"/>
      <c r="R682" s="290"/>
      <c r="S682" s="290"/>
      <c r="T682" s="290"/>
      <c r="U682" s="290"/>
      <c r="V682" s="290"/>
      <c r="W682" s="290"/>
      <c r="X682" s="290"/>
      <c r="Y682" s="290"/>
      <c r="Z682" s="290"/>
      <c r="AA682" s="290"/>
      <c r="AB682" s="290"/>
      <c r="AC682" s="290"/>
      <c r="AD682" s="290"/>
      <c r="AE682" s="290"/>
      <c r="AF682" s="290"/>
      <c r="AG682" s="290"/>
      <c r="AH682" s="290"/>
      <c r="AI682" s="290"/>
      <c r="AJ682" s="290"/>
      <c r="AK682" s="290"/>
      <c r="AL682" s="290"/>
      <c r="AM682" s="290"/>
      <c r="AN682" s="290"/>
      <c r="AO682" s="290"/>
      <c r="AP682" s="290"/>
      <c r="AQ682" s="290"/>
      <c r="AR682" s="290"/>
      <c r="AS682" s="290"/>
      <c r="AT682" s="290"/>
      <c r="AU682" s="290"/>
      <c r="AV682" s="290"/>
      <c r="AW682" s="290"/>
      <c r="AX682" s="290"/>
      <c r="AY682" s="290"/>
      <c r="AZ682" s="290"/>
      <c r="BA682" s="290"/>
      <c r="BB682" s="290"/>
      <c r="BC682" s="290"/>
      <c r="BD682" s="290"/>
      <c r="BE682" s="290"/>
      <c r="BF682" s="290"/>
      <c r="BG682" s="290"/>
      <c r="BH682" s="290"/>
      <c r="BI682" s="290"/>
      <c r="BJ682" s="290"/>
      <c r="BK682" s="290"/>
      <c r="BL682" s="290"/>
      <c r="BM682" s="290"/>
      <c r="BN682" s="290"/>
      <c r="BO682" s="290"/>
      <c r="BP682" s="290"/>
      <c r="BQ682" s="290"/>
      <c r="BR682" s="290"/>
      <c r="BS682" s="290"/>
      <c r="BT682" s="290"/>
      <c r="BU682" s="290"/>
      <c r="BV682" s="290"/>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row>
    <row r="683" customFormat="false" ht="15.75" hidden="false" customHeight="false" outlineLevel="0" collapsed="false">
      <c r="A683" s="290"/>
      <c r="B683" s="290"/>
      <c r="C683" s="290"/>
      <c r="D683" s="290"/>
      <c r="E683" s="290"/>
      <c r="F683" s="290"/>
      <c r="G683" s="290"/>
      <c r="H683" s="290"/>
      <c r="I683" s="290"/>
      <c r="J683" s="3"/>
      <c r="K683" s="290"/>
      <c r="L683" s="290"/>
      <c r="M683" s="290"/>
      <c r="N683" s="290"/>
      <c r="O683" s="290"/>
      <c r="P683" s="290"/>
      <c r="Q683" s="290"/>
      <c r="R683" s="290"/>
      <c r="S683" s="290"/>
      <c r="T683" s="290"/>
      <c r="U683" s="290"/>
      <c r="V683" s="290"/>
      <c r="W683" s="290"/>
      <c r="X683" s="290"/>
      <c r="Y683" s="290"/>
      <c r="Z683" s="290"/>
      <c r="AA683" s="290"/>
      <c r="AB683" s="290"/>
      <c r="AC683" s="290"/>
      <c r="AD683" s="290"/>
      <c r="AE683" s="290"/>
      <c r="AF683" s="290"/>
      <c r="AG683" s="290"/>
      <c r="AH683" s="290"/>
      <c r="AI683" s="290"/>
      <c r="AJ683" s="290"/>
      <c r="AK683" s="290"/>
      <c r="AL683" s="290"/>
      <c r="AM683" s="290"/>
      <c r="AN683" s="290"/>
      <c r="AO683" s="290"/>
      <c r="AP683" s="290"/>
      <c r="AQ683" s="290"/>
      <c r="AR683" s="290"/>
      <c r="AS683" s="290"/>
      <c r="AT683" s="290"/>
      <c r="AU683" s="290"/>
      <c r="AV683" s="290"/>
      <c r="AW683" s="290"/>
      <c r="AX683" s="290"/>
      <c r="AY683" s="290"/>
      <c r="AZ683" s="290"/>
      <c r="BA683" s="290"/>
      <c r="BB683" s="290"/>
      <c r="BC683" s="290"/>
      <c r="BD683" s="290"/>
      <c r="BE683" s="290"/>
      <c r="BF683" s="290"/>
      <c r="BG683" s="290"/>
      <c r="BH683" s="290"/>
      <c r="BI683" s="290"/>
      <c r="BJ683" s="290"/>
      <c r="BK683" s="290"/>
      <c r="BL683" s="290"/>
      <c r="BM683" s="290"/>
      <c r="BN683" s="290"/>
      <c r="BO683" s="290"/>
      <c r="BP683" s="290"/>
      <c r="BQ683" s="290"/>
      <c r="BR683" s="290"/>
      <c r="BS683" s="290"/>
      <c r="BT683" s="290"/>
      <c r="BU683" s="290"/>
      <c r="BV683" s="290"/>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row>
    <row r="684" customFormat="false" ht="15.75" hidden="false" customHeight="false" outlineLevel="0" collapsed="false">
      <c r="A684" s="290"/>
      <c r="B684" s="290"/>
      <c r="C684" s="290"/>
      <c r="D684" s="290"/>
      <c r="E684" s="290"/>
      <c r="F684" s="290"/>
      <c r="G684" s="290"/>
      <c r="H684" s="290"/>
      <c r="I684" s="290"/>
      <c r="J684" s="3"/>
      <c r="K684" s="290"/>
      <c r="L684" s="290"/>
      <c r="M684" s="290"/>
      <c r="N684" s="290"/>
      <c r="O684" s="290"/>
      <c r="P684" s="290"/>
      <c r="Q684" s="290"/>
      <c r="R684" s="290"/>
      <c r="S684" s="290"/>
      <c r="T684" s="290"/>
      <c r="U684" s="290"/>
      <c r="V684" s="290"/>
      <c r="W684" s="290"/>
      <c r="X684" s="290"/>
      <c r="Y684" s="290"/>
      <c r="Z684" s="290"/>
      <c r="AA684" s="290"/>
      <c r="AB684" s="290"/>
      <c r="AC684" s="290"/>
      <c r="AD684" s="290"/>
      <c r="AE684" s="290"/>
      <c r="AF684" s="290"/>
      <c r="AG684" s="290"/>
      <c r="AH684" s="290"/>
      <c r="AI684" s="290"/>
      <c r="AJ684" s="290"/>
      <c r="AK684" s="290"/>
      <c r="AL684" s="290"/>
      <c r="AM684" s="290"/>
      <c r="AN684" s="290"/>
      <c r="AO684" s="290"/>
      <c r="AP684" s="290"/>
      <c r="AQ684" s="290"/>
      <c r="AR684" s="290"/>
      <c r="AS684" s="290"/>
      <c r="AT684" s="290"/>
      <c r="AU684" s="290"/>
      <c r="AV684" s="290"/>
      <c r="AW684" s="290"/>
      <c r="AX684" s="290"/>
      <c r="AY684" s="290"/>
      <c r="AZ684" s="290"/>
      <c r="BA684" s="290"/>
      <c r="BB684" s="290"/>
      <c r="BC684" s="290"/>
      <c r="BD684" s="290"/>
      <c r="BE684" s="290"/>
      <c r="BF684" s="290"/>
      <c r="BG684" s="290"/>
      <c r="BH684" s="290"/>
      <c r="BI684" s="290"/>
      <c r="BJ684" s="290"/>
      <c r="BK684" s="290"/>
      <c r="BL684" s="290"/>
      <c r="BM684" s="290"/>
      <c r="BN684" s="290"/>
      <c r="BO684" s="290"/>
      <c r="BP684" s="290"/>
      <c r="BQ684" s="290"/>
      <c r="BR684" s="290"/>
      <c r="BS684" s="290"/>
      <c r="BT684" s="290"/>
      <c r="BU684" s="290"/>
      <c r="BV684" s="290"/>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row>
    <row r="685" customFormat="false" ht="15.75" hidden="false" customHeight="false" outlineLevel="0" collapsed="false">
      <c r="A685" s="290"/>
      <c r="B685" s="290"/>
      <c r="C685" s="290"/>
      <c r="D685" s="290"/>
      <c r="E685" s="290"/>
      <c r="F685" s="290"/>
      <c r="G685" s="290"/>
      <c r="H685" s="290"/>
      <c r="I685" s="290"/>
      <c r="J685" s="3"/>
      <c r="K685" s="290"/>
      <c r="L685" s="290"/>
      <c r="M685" s="290"/>
      <c r="N685" s="290"/>
      <c r="O685" s="290"/>
      <c r="P685" s="290"/>
      <c r="Q685" s="290"/>
      <c r="R685" s="290"/>
      <c r="S685" s="290"/>
      <c r="T685" s="290"/>
      <c r="U685" s="290"/>
      <c r="V685" s="290"/>
      <c r="W685" s="290"/>
      <c r="X685" s="290"/>
      <c r="Y685" s="290"/>
      <c r="Z685" s="290"/>
      <c r="AA685" s="290"/>
      <c r="AB685" s="290"/>
      <c r="AC685" s="290"/>
      <c r="AD685" s="290"/>
      <c r="AE685" s="290"/>
      <c r="AF685" s="290"/>
      <c r="AG685" s="290"/>
      <c r="AH685" s="290"/>
      <c r="AI685" s="290"/>
      <c r="AJ685" s="290"/>
      <c r="AK685" s="290"/>
      <c r="AL685" s="290"/>
      <c r="AM685" s="290"/>
      <c r="AN685" s="290"/>
      <c r="AO685" s="290"/>
      <c r="AP685" s="290"/>
      <c r="AQ685" s="290"/>
      <c r="AR685" s="290"/>
      <c r="AS685" s="290"/>
      <c r="AT685" s="290"/>
      <c r="AU685" s="290"/>
      <c r="AV685" s="290"/>
      <c r="AW685" s="290"/>
      <c r="AX685" s="290"/>
      <c r="AY685" s="290"/>
      <c r="AZ685" s="290"/>
      <c r="BA685" s="290"/>
      <c r="BB685" s="290"/>
      <c r="BC685" s="290"/>
      <c r="BD685" s="290"/>
      <c r="BE685" s="290"/>
      <c r="BF685" s="290"/>
      <c r="BG685" s="290"/>
      <c r="BH685" s="290"/>
      <c r="BI685" s="290"/>
      <c r="BJ685" s="290"/>
      <c r="BK685" s="290"/>
      <c r="BL685" s="290"/>
      <c r="BM685" s="290"/>
      <c r="BN685" s="290"/>
      <c r="BO685" s="290"/>
      <c r="BP685" s="290"/>
      <c r="BQ685" s="290"/>
      <c r="BR685" s="290"/>
      <c r="BS685" s="290"/>
      <c r="BT685" s="290"/>
      <c r="BU685" s="290"/>
      <c r="BV685" s="290"/>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row>
    <row r="686" customFormat="false" ht="15.75" hidden="false" customHeight="false" outlineLevel="0" collapsed="false">
      <c r="A686" s="290"/>
      <c r="B686" s="290"/>
      <c r="C686" s="290"/>
      <c r="D686" s="290"/>
      <c r="E686" s="290"/>
      <c r="F686" s="290"/>
      <c r="G686" s="290"/>
      <c r="H686" s="290"/>
      <c r="I686" s="290"/>
      <c r="J686" s="3"/>
      <c r="K686" s="290"/>
      <c r="L686" s="290"/>
      <c r="M686" s="290"/>
      <c r="N686" s="290"/>
      <c r="O686" s="290"/>
      <c r="P686" s="290"/>
      <c r="Q686" s="290"/>
      <c r="R686" s="290"/>
      <c r="S686" s="290"/>
      <c r="T686" s="290"/>
      <c r="U686" s="290"/>
      <c r="V686" s="290"/>
      <c r="W686" s="290"/>
      <c r="X686" s="290"/>
      <c r="Y686" s="290"/>
      <c r="Z686" s="290"/>
      <c r="AA686" s="290"/>
      <c r="AB686" s="290"/>
      <c r="AC686" s="290"/>
      <c r="AD686" s="290"/>
      <c r="AE686" s="290"/>
      <c r="AF686" s="290"/>
      <c r="AG686" s="290"/>
      <c r="AH686" s="290"/>
      <c r="AI686" s="290"/>
      <c r="AJ686" s="290"/>
      <c r="AK686" s="290"/>
      <c r="AL686" s="290"/>
      <c r="AM686" s="290"/>
      <c r="AN686" s="290"/>
      <c r="AO686" s="290"/>
      <c r="AP686" s="290"/>
      <c r="AQ686" s="290"/>
      <c r="AR686" s="290"/>
      <c r="AS686" s="290"/>
      <c r="AT686" s="290"/>
      <c r="AU686" s="290"/>
      <c r="AV686" s="290"/>
      <c r="AW686" s="290"/>
      <c r="AX686" s="290"/>
      <c r="AY686" s="290"/>
      <c r="AZ686" s="290"/>
      <c r="BA686" s="290"/>
      <c r="BB686" s="290"/>
      <c r="BC686" s="290"/>
      <c r="BD686" s="290"/>
      <c r="BE686" s="290"/>
      <c r="BF686" s="290"/>
      <c r="BG686" s="290"/>
      <c r="BH686" s="290"/>
      <c r="BI686" s="290"/>
      <c r="BJ686" s="290"/>
      <c r="BK686" s="290"/>
      <c r="BL686" s="290"/>
      <c r="BM686" s="290"/>
      <c r="BN686" s="290"/>
      <c r="BO686" s="290"/>
      <c r="BP686" s="290"/>
      <c r="BQ686" s="290"/>
      <c r="BR686" s="290"/>
      <c r="BS686" s="290"/>
      <c r="BT686" s="290"/>
      <c r="BU686" s="290"/>
      <c r="BV686" s="290"/>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row>
    <row r="687" customFormat="false" ht="15.75" hidden="false" customHeight="false" outlineLevel="0" collapsed="false">
      <c r="A687" s="290"/>
      <c r="B687" s="290"/>
      <c r="C687" s="290"/>
      <c r="D687" s="290"/>
      <c r="E687" s="290"/>
      <c r="F687" s="290"/>
      <c r="G687" s="290"/>
      <c r="H687" s="290"/>
      <c r="I687" s="290"/>
      <c r="J687" s="3"/>
      <c r="K687" s="290"/>
      <c r="L687" s="290"/>
      <c r="M687" s="290"/>
      <c r="N687" s="290"/>
      <c r="O687" s="290"/>
      <c r="P687" s="290"/>
      <c r="Q687" s="290"/>
      <c r="R687" s="290"/>
      <c r="S687" s="290"/>
      <c r="T687" s="290"/>
      <c r="U687" s="290"/>
      <c r="V687" s="290"/>
      <c r="W687" s="290"/>
      <c r="X687" s="290"/>
      <c r="Y687" s="290"/>
      <c r="Z687" s="290"/>
      <c r="AA687" s="290"/>
      <c r="AB687" s="290"/>
      <c r="AC687" s="290"/>
      <c r="AD687" s="290"/>
      <c r="AE687" s="290"/>
      <c r="AF687" s="290"/>
      <c r="AG687" s="290"/>
      <c r="AH687" s="290"/>
      <c r="AI687" s="290"/>
      <c r="AJ687" s="290"/>
      <c r="AK687" s="290"/>
      <c r="AL687" s="290"/>
      <c r="AM687" s="290"/>
      <c r="AN687" s="290"/>
      <c r="AO687" s="290"/>
      <c r="AP687" s="290"/>
      <c r="AQ687" s="290"/>
      <c r="AR687" s="290"/>
      <c r="AS687" s="290"/>
      <c r="AT687" s="290"/>
      <c r="AU687" s="290"/>
      <c r="AV687" s="290"/>
      <c r="AW687" s="290"/>
      <c r="AX687" s="290"/>
      <c r="AY687" s="290"/>
      <c r="AZ687" s="290"/>
      <c r="BA687" s="290"/>
      <c r="BB687" s="290"/>
      <c r="BC687" s="290"/>
      <c r="BD687" s="290"/>
      <c r="BE687" s="290"/>
      <c r="BF687" s="290"/>
      <c r="BG687" s="290"/>
      <c r="BH687" s="290"/>
      <c r="BI687" s="290"/>
      <c r="BJ687" s="290"/>
      <c r="BK687" s="290"/>
      <c r="BL687" s="290"/>
      <c r="BM687" s="290"/>
      <c r="BN687" s="290"/>
      <c r="BO687" s="290"/>
      <c r="BP687" s="290"/>
      <c r="BQ687" s="290"/>
      <c r="BR687" s="290"/>
      <c r="BS687" s="290"/>
      <c r="BT687" s="290"/>
      <c r="BU687" s="290"/>
      <c r="BV687" s="290"/>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row>
    <row r="688" customFormat="false" ht="15.75" hidden="false" customHeight="false" outlineLevel="0" collapsed="false">
      <c r="A688" s="290"/>
      <c r="B688" s="290"/>
      <c r="C688" s="290"/>
      <c r="D688" s="290"/>
      <c r="E688" s="290"/>
      <c r="F688" s="290"/>
      <c r="G688" s="290"/>
      <c r="H688" s="290"/>
      <c r="I688" s="290"/>
      <c r="J688" s="3"/>
      <c r="K688" s="290"/>
      <c r="L688" s="290"/>
      <c r="M688" s="290"/>
      <c r="N688" s="290"/>
      <c r="O688" s="290"/>
      <c r="P688" s="290"/>
      <c r="Q688" s="290"/>
      <c r="R688" s="290"/>
      <c r="S688" s="290"/>
      <c r="T688" s="290"/>
      <c r="U688" s="290"/>
      <c r="V688" s="290"/>
      <c r="W688" s="290"/>
      <c r="X688" s="290"/>
      <c r="Y688" s="290"/>
      <c r="Z688" s="290"/>
      <c r="AA688" s="290"/>
      <c r="AB688" s="290"/>
      <c r="AC688" s="290"/>
      <c r="AD688" s="290"/>
      <c r="AE688" s="290"/>
      <c r="AF688" s="290"/>
      <c r="AG688" s="290"/>
      <c r="AH688" s="290"/>
      <c r="AI688" s="290"/>
      <c r="AJ688" s="290"/>
      <c r="AK688" s="290"/>
      <c r="AL688" s="290"/>
      <c r="AM688" s="290"/>
      <c r="AN688" s="290"/>
      <c r="AO688" s="290"/>
      <c r="AP688" s="290"/>
      <c r="AQ688" s="290"/>
      <c r="AR688" s="290"/>
      <c r="AS688" s="290"/>
      <c r="AT688" s="290"/>
      <c r="AU688" s="290"/>
      <c r="AV688" s="290"/>
      <c r="AW688" s="290"/>
      <c r="AX688" s="290"/>
      <c r="AY688" s="290"/>
      <c r="AZ688" s="290"/>
      <c r="BA688" s="290"/>
      <c r="BB688" s="290"/>
      <c r="BC688" s="290"/>
      <c r="BD688" s="290"/>
      <c r="BE688" s="290"/>
      <c r="BF688" s="290"/>
      <c r="BG688" s="290"/>
      <c r="BH688" s="290"/>
      <c r="BI688" s="290"/>
      <c r="BJ688" s="290"/>
      <c r="BK688" s="290"/>
      <c r="BL688" s="290"/>
      <c r="BM688" s="290"/>
      <c r="BN688" s="290"/>
      <c r="BO688" s="290"/>
      <c r="BP688" s="290"/>
      <c r="BQ688" s="290"/>
      <c r="BR688" s="290"/>
      <c r="BS688" s="290"/>
      <c r="BT688" s="290"/>
      <c r="BU688" s="290"/>
      <c r="BV688" s="290"/>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row>
    <row r="689" customFormat="false" ht="15.75" hidden="false" customHeight="false" outlineLevel="0" collapsed="false">
      <c r="A689" s="290"/>
      <c r="B689" s="290"/>
      <c r="C689" s="290"/>
      <c r="D689" s="290"/>
      <c r="E689" s="290"/>
      <c r="F689" s="290"/>
      <c r="G689" s="290"/>
      <c r="H689" s="290"/>
      <c r="I689" s="290"/>
      <c r="J689" s="3"/>
      <c r="K689" s="290"/>
      <c r="L689" s="290"/>
      <c r="M689" s="290"/>
      <c r="N689" s="290"/>
      <c r="O689" s="290"/>
      <c r="P689" s="290"/>
      <c r="Q689" s="290"/>
      <c r="R689" s="290"/>
      <c r="S689" s="290"/>
      <c r="T689" s="290"/>
      <c r="U689" s="290"/>
      <c r="V689" s="290"/>
      <c r="W689" s="290"/>
      <c r="X689" s="290"/>
      <c r="Y689" s="290"/>
      <c r="Z689" s="290"/>
      <c r="AA689" s="290"/>
      <c r="AB689" s="290"/>
      <c r="AC689" s="290"/>
      <c r="AD689" s="290"/>
      <c r="AE689" s="290"/>
      <c r="AF689" s="290"/>
      <c r="AG689" s="290"/>
      <c r="AH689" s="290"/>
      <c r="AI689" s="290"/>
      <c r="AJ689" s="290"/>
      <c r="AK689" s="290"/>
      <c r="AL689" s="290"/>
      <c r="AM689" s="290"/>
      <c r="AN689" s="290"/>
      <c r="AO689" s="290"/>
      <c r="AP689" s="290"/>
      <c r="AQ689" s="290"/>
      <c r="AR689" s="290"/>
      <c r="AS689" s="290"/>
      <c r="AT689" s="290"/>
      <c r="AU689" s="290"/>
      <c r="AV689" s="290"/>
      <c r="AW689" s="290"/>
      <c r="AX689" s="290"/>
      <c r="AY689" s="290"/>
      <c r="AZ689" s="290"/>
      <c r="BA689" s="290"/>
      <c r="BB689" s="290"/>
      <c r="BC689" s="290"/>
      <c r="BD689" s="290"/>
      <c r="BE689" s="290"/>
      <c r="BF689" s="290"/>
      <c r="BG689" s="290"/>
      <c r="BH689" s="290"/>
      <c r="BI689" s="290"/>
      <c r="BJ689" s="290"/>
      <c r="BK689" s="290"/>
      <c r="BL689" s="290"/>
      <c r="BM689" s="290"/>
      <c r="BN689" s="290"/>
      <c r="BO689" s="290"/>
      <c r="BP689" s="290"/>
      <c r="BQ689" s="290"/>
      <c r="BR689" s="290"/>
      <c r="BS689" s="290"/>
      <c r="BT689" s="290"/>
      <c r="BU689" s="290"/>
      <c r="BV689" s="290"/>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row>
    <row r="690" customFormat="false" ht="15.75" hidden="false" customHeight="false" outlineLevel="0" collapsed="false">
      <c r="A690" s="290"/>
      <c r="B690" s="290"/>
      <c r="C690" s="290"/>
      <c r="D690" s="290"/>
      <c r="E690" s="290"/>
      <c r="F690" s="290"/>
      <c r="G690" s="290"/>
      <c r="H690" s="290"/>
      <c r="I690" s="290"/>
      <c r="J690" s="3"/>
      <c r="K690" s="290"/>
      <c r="L690" s="290"/>
      <c r="M690" s="290"/>
      <c r="N690" s="290"/>
      <c r="O690" s="290"/>
      <c r="P690" s="290"/>
      <c r="Q690" s="290"/>
      <c r="R690" s="290"/>
      <c r="S690" s="290"/>
      <c r="T690" s="290"/>
      <c r="U690" s="290"/>
      <c r="V690" s="290"/>
      <c r="W690" s="290"/>
      <c r="X690" s="290"/>
      <c r="Y690" s="290"/>
      <c r="Z690" s="290"/>
      <c r="AA690" s="290"/>
      <c r="AB690" s="290"/>
      <c r="AC690" s="290"/>
      <c r="AD690" s="290"/>
      <c r="AE690" s="290"/>
      <c r="AF690" s="290"/>
      <c r="AG690" s="290"/>
      <c r="AH690" s="290"/>
      <c r="AI690" s="290"/>
      <c r="AJ690" s="290"/>
      <c r="AK690" s="290"/>
      <c r="AL690" s="290"/>
      <c r="AM690" s="290"/>
      <c r="AN690" s="290"/>
      <c r="AO690" s="290"/>
      <c r="AP690" s="290"/>
      <c r="AQ690" s="290"/>
      <c r="AR690" s="290"/>
      <c r="AS690" s="290"/>
      <c r="AT690" s="290"/>
      <c r="AU690" s="290"/>
      <c r="AV690" s="290"/>
      <c r="AW690" s="290"/>
      <c r="AX690" s="290"/>
      <c r="AY690" s="290"/>
      <c r="AZ690" s="290"/>
      <c r="BA690" s="290"/>
      <c r="BB690" s="290"/>
      <c r="BC690" s="290"/>
      <c r="BD690" s="290"/>
      <c r="BE690" s="290"/>
      <c r="BF690" s="290"/>
      <c r="BG690" s="290"/>
      <c r="BH690" s="290"/>
      <c r="BI690" s="290"/>
      <c r="BJ690" s="290"/>
      <c r="BK690" s="290"/>
      <c r="BL690" s="290"/>
      <c r="BM690" s="290"/>
      <c r="BN690" s="290"/>
      <c r="BO690" s="290"/>
      <c r="BP690" s="290"/>
      <c r="BQ690" s="290"/>
      <c r="BR690" s="290"/>
      <c r="BS690" s="290"/>
      <c r="BT690" s="290"/>
      <c r="BU690" s="290"/>
      <c r="BV690" s="290"/>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row>
    <row r="691" customFormat="false" ht="15.75" hidden="false" customHeight="false" outlineLevel="0" collapsed="false">
      <c r="A691" s="290"/>
      <c r="B691" s="290"/>
      <c r="C691" s="290"/>
      <c r="D691" s="290"/>
      <c r="E691" s="290"/>
      <c r="F691" s="290"/>
      <c r="G691" s="290"/>
      <c r="H691" s="290"/>
      <c r="I691" s="290"/>
      <c r="J691" s="3"/>
      <c r="K691" s="290"/>
      <c r="L691" s="290"/>
      <c r="M691" s="290"/>
      <c r="N691" s="290"/>
      <c r="O691" s="290"/>
      <c r="P691" s="290"/>
      <c r="Q691" s="290"/>
      <c r="R691" s="290"/>
      <c r="S691" s="290"/>
      <c r="T691" s="290"/>
      <c r="U691" s="290"/>
      <c r="V691" s="290"/>
      <c r="W691" s="290"/>
      <c r="X691" s="290"/>
      <c r="Y691" s="290"/>
      <c r="Z691" s="290"/>
      <c r="AA691" s="290"/>
      <c r="AB691" s="290"/>
      <c r="AC691" s="290"/>
      <c r="AD691" s="290"/>
      <c r="AE691" s="290"/>
      <c r="AF691" s="290"/>
      <c r="AG691" s="290"/>
      <c r="AH691" s="290"/>
      <c r="AI691" s="290"/>
      <c r="AJ691" s="290"/>
      <c r="AK691" s="290"/>
      <c r="AL691" s="290"/>
      <c r="AM691" s="290"/>
      <c r="AN691" s="290"/>
      <c r="AO691" s="290"/>
      <c r="AP691" s="290"/>
      <c r="AQ691" s="290"/>
      <c r="AR691" s="290"/>
      <c r="AS691" s="290"/>
      <c r="AT691" s="290"/>
      <c r="AU691" s="290"/>
      <c r="AV691" s="290"/>
      <c r="AW691" s="290"/>
      <c r="AX691" s="290"/>
      <c r="AY691" s="290"/>
      <c r="AZ691" s="290"/>
      <c r="BA691" s="290"/>
      <c r="BB691" s="290"/>
      <c r="BC691" s="290"/>
      <c r="BD691" s="290"/>
      <c r="BE691" s="290"/>
      <c r="BF691" s="290"/>
      <c r="BG691" s="290"/>
      <c r="BH691" s="290"/>
      <c r="BI691" s="290"/>
      <c r="BJ691" s="290"/>
      <c r="BK691" s="290"/>
      <c r="BL691" s="290"/>
      <c r="BM691" s="290"/>
      <c r="BN691" s="290"/>
      <c r="BO691" s="290"/>
      <c r="BP691" s="290"/>
      <c r="BQ691" s="290"/>
      <c r="BR691" s="290"/>
      <c r="BS691" s="290"/>
      <c r="BT691" s="290"/>
      <c r="BU691" s="290"/>
      <c r="BV691" s="290"/>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row>
    <row r="692" customFormat="false" ht="15.75" hidden="false" customHeight="false" outlineLevel="0" collapsed="false">
      <c r="A692" s="290"/>
      <c r="B692" s="290"/>
      <c r="C692" s="290"/>
      <c r="D692" s="290"/>
      <c r="E692" s="290"/>
      <c r="F692" s="290"/>
      <c r="G692" s="290"/>
      <c r="H692" s="290"/>
      <c r="I692" s="290"/>
      <c r="J692" s="3"/>
      <c r="K692" s="290"/>
      <c r="L692" s="290"/>
      <c r="M692" s="290"/>
      <c r="N692" s="290"/>
      <c r="O692" s="290"/>
      <c r="P692" s="290"/>
      <c r="Q692" s="290"/>
      <c r="R692" s="290"/>
      <c r="S692" s="290"/>
      <c r="T692" s="290"/>
      <c r="U692" s="290"/>
      <c r="V692" s="290"/>
      <c r="W692" s="290"/>
      <c r="X692" s="290"/>
      <c r="Y692" s="290"/>
      <c r="Z692" s="290"/>
      <c r="AA692" s="290"/>
      <c r="AB692" s="290"/>
      <c r="AC692" s="290"/>
      <c r="AD692" s="290"/>
      <c r="AE692" s="290"/>
      <c r="AF692" s="290"/>
      <c r="AG692" s="290"/>
      <c r="AH692" s="290"/>
      <c r="AI692" s="290"/>
      <c r="AJ692" s="290"/>
      <c r="AK692" s="290"/>
      <c r="AL692" s="290"/>
      <c r="AM692" s="290"/>
      <c r="AN692" s="290"/>
      <c r="AO692" s="290"/>
      <c r="AP692" s="290"/>
      <c r="AQ692" s="290"/>
      <c r="AR692" s="290"/>
      <c r="AS692" s="290"/>
      <c r="AT692" s="290"/>
      <c r="AU692" s="290"/>
      <c r="AV692" s="290"/>
      <c r="AW692" s="290"/>
      <c r="AX692" s="290"/>
      <c r="AY692" s="290"/>
      <c r="AZ692" s="290"/>
      <c r="BA692" s="290"/>
      <c r="BB692" s="290"/>
      <c r="BC692" s="290"/>
      <c r="BD692" s="290"/>
      <c r="BE692" s="290"/>
      <c r="BF692" s="290"/>
      <c r="BG692" s="290"/>
      <c r="BH692" s="290"/>
      <c r="BI692" s="290"/>
      <c r="BJ692" s="290"/>
      <c r="BK692" s="290"/>
      <c r="BL692" s="290"/>
      <c r="BM692" s="290"/>
      <c r="BN692" s="290"/>
      <c r="BO692" s="290"/>
      <c r="BP692" s="290"/>
      <c r="BQ692" s="290"/>
      <c r="BR692" s="290"/>
      <c r="BS692" s="290"/>
      <c r="BT692" s="290"/>
      <c r="BU692" s="290"/>
      <c r="BV692" s="290"/>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row>
    <row r="693" customFormat="false" ht="15.75" hidden="false" customHeight="false" outlineLevel="0" collapsed="false">
      <c r="A693" s="290"/>
      <c r="B693" s="290"/>
      <c r="C693" s="290"/>
      <c r="D693" s="290"/>
      <c r="E693" s="290"/>
      <c r="F693" s="290"/>
      <c r="G693" s="290"/>
      <c r="H693" s="290"/>
      <c r="I693" s="290"/>
      <c r="J693" s="3"/>
      <c r="K693" s="290"/>
      <c r="L693" s="290"/>
      <c r="M693" s="290"/>
      <c r="N693" s="290"/>
      <c r="O693" s="290"/>
      <c r="P693" s="290"/>
      <c r="Q693" s="290"/>
      <c r="R693" s="290"/>
      <c r="S693" s="290"/>
      <c r="T693" s="290"/>
      <c r="U693" s="290"/>
      <c r="V693" s="290"/>
      <c r="W693" s="290"/>
      <c r="X693" s="290"/>
      <c r="Y693" s="290"/>
      <c r="Z693" s="290"/>
      <c r="AA693" s="290"/>
      <c r="AB693" s="290"/>
      <c r="AC693" s="290"/>
      <c r="AD693" s="290"/>
      <c r="AE693" s="290"/>
      <c r="AF693" s="290"/>
      <c r="AG693" s="290"/>
      <c r="AH693" s="290"/>
      <c r="AI693" s="290"/>
      <c r="AJ693" s="290"/>
      <c r="AK693" s="290"/>
      <c r="AL693" s="290"/>
      <c r="AM693" s="290"/>
      <c r="AN693" s="290"/>
      <c r="AO693" s="290"/>
      <c r="AP693" s="290"/>
      <c r="AQ693" s="290"/>
      <c r="AR693" s="290"/>
      <c r="AS693" s="290"/>
      <c r="AT693" s="290"/>
      <c r="AU693" s="290"/>
      <c r="AV693" s="290"/>
      <c r="AW693" s="290"/>
      <c r="AX693" s="290"/>
      <c r="AY693" s="290"/>
      <c r="AZ693" s="290"/>
      <c r="BA693" s="290"/>
      <c r="BB693" s="290"/>
      <c r="BC693" s="290"/>
      <c r="BD693" s="290"/>
      <c r="BE693" s="290"/>
      <c r="BF693" s="290"/>
      <c r="BG693" s="290"/>
      <c r="BH693" s="290"/>
      <c r="BI693" s="290"/>
      <c r="BJ693" s="290"/>
      <c r="BK693" s="290"/>
      <c r="BL693" s="290"/>
      <c r="BM693" s="290"/>
      <c r="BN693" s="290"/>
      <c r="BO693" s="290"/>
      <c r="BP693" s="290"/>
      <c r="BQ693" s="290"/>
      <c r="BR693" s="290"/>
      <c r="BS693" s="290"/>
      <c r="BT693" s="290"/>
      <c r="BU693" s="290"/>
      <c r="BV693" s="290"/>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row>
    <row r="694" customFormat="false" ht="15.75" hidden="false" customHeight="false" outlineLevel="0" collapsed="false">
      <c r="A694" s="290"/>
      <c r="B694" s="290"/>
      <c r="C694" s="290"/>
      <c r="D694" s="290"/>
      <c r="E694" s="290"/>
      <c r="F694" s="290"/>
      <c r="G694" s="290"/>
      <c r="H694" s="290"/>
      <c r="I694" s="290"/>
      <c r="J694" s="3"/>
      <c r="K694" s="290"/>
      <c r="L694" s="290"/>
      <c r="M694" s="290"/>
      <c r="N694" s="290"/>
      <c r="O694" s="290"/>
      <c r="P694" s="290"/>
      <c r="Q694" s="290"/>
      <c r="R694" s="290"/>
      <c r="S694" s="290"/>
      <c r="T694" s="290"/>
      <c r="U694" s="290"/>
      <c r="V694" s="290"/>
      <c r="W694" s="290"/>
      <c r="X694" s="290"/>
      <c r="Y694" s="290"/>
      <c r="Z694" s="290"/>
      <c r="AA694" s="290"/>
      <c r="AB694" s="290"/>
      <c r="AC694" s="290"/>
      <c r="AD694" s="290"/>
      <c r="AE694" s="290"/>
      <c r="AF694" s="290"/>
      <c r="AG694" s="290"/>
      <c r="AH694" s="290"/>
      <c r="AI694" s="290"/>
      <c r="AJ694" s="290"/>
      <c r="AK694" s="290"/>
      <c r="AL694" s="290"/>
      <c r="AM694" s="290"/>
      <c r="AN694" s="290"/>
      <c r="AO694" s="290"/>
      <c r="AP694" s="290"/>
      <c r="AQ694" s="290"/>
      <c r="AR694" s="290"/>
      <c r="AS694" s="290"/>
      <c r="AT694" s="290"/>
      <c r="AU694" s="290"/>
      <c r="AV694" s="290"/>
      <c r="AW694" s="290"/>
      <c r="AX694" s="290"/>
      <c r="AY694" s="290"/>
      <c r="AZ694" s="290"/>
      <c r="BA694" s="290"/>
      <c r="BB694" s="290"/>
      <c r="BC694" s="290"/>
      <c r="BD694" s="290"/>
      <c r="BE694" s="290"/>
      <c r="BF694" s="290"/>
      <c r="BG694" s="290"/>
      <c r="BH694" s="290"/>
      <c r="BI694" s="290"/>
      <c r="BJ694" s="290"/>
      <c r="BK694" s="290"/>
      <c r="BL694" s="290"/>
      <c r="BM694" s="290"/>
      <c r="BN694" s="290"/>
      <c r="BO694" s="290"/>
      <c r="BP694" s="290"/>
      <c r="BQ694" s="290"/>
      <c r="BR694" s="290"/>
      <c r="BS694" s="290"/>
      <c r="BT694" s="290"/>
      <c r="BU694" s="290"/>
      <c r="BV694" s="290"/>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row>
    <row r="695" customFormat="false" ht="15.75" hidden="false" customHeight="false" outlineLevel="0" collapsed="false">
      <c r="A695" s="290"/>
      <c r="B695" s="290"/>
      <c r="C695" s="290"/>
      <c r="D695" s="290"/>
      <c r="E695" s="290"/>
      <c r="F695" s="290"/>
      <c r="G695" s="290"/>
      <c r="H695" s="290"/>
      <c r="I695" s="290"/>
      <c r="J695" s="3"/>
      <c r="K695" s="290"/>
      <c r="L695" s="290"/>
      <c r="M695" s="290"/>
      <c r="N695" s="290"/>
      <c r="O695" s="290"/>
      <c r="P695" s="290"/>
      <c r="Q695" s="290"/>
      <c r="R695" s="290"/>
      <c r="S695" s="290"/>
      <c r="T695" s="290"/>
      <c r="U695" s="290"/>
      <c r="V695" s="290"/>
      <c r="W695" s="290"/>
      <c r="X695" s="290"/>
      <c r="Y695" s="290"/>
      <c r="Z695" s="290"/>
      <c r="AA695" s="290"/>
      <c r="AB695" s="290"/>
      <c r="AC695" s="290"/>
      <c r="AD695" s="290"/>
      <c r="AE695" s="290"/>
      <c r="AF695" s="290"/>
      <c r="AG695" s="290"/>
      <c r="AH695" s="290"/>
      <c r="AI695" s="290"/>
      <c r="AJ695" s="290"/>
      <c r="AK695" s="290"/>
      <c r="AL695" s="290"/>
      <c r="AM695" s="290"/>
      <c r="AN695" s="290"/>
      <c r="AO695" s="290"/>
      <c r="AP695" s="290"/>
      <c r="AQ695" s="290"/>
      <c r="AR695" s="290"/>
      <c r="AS695" s="290"/>
      <c r="AT695" s="290"/>
      <c r="AU695" s="290"/>
      <c r="AV695" s="290"/>
      <c r="AW695" s="290"/>
      <c r="AX695" s="290"/>
      <c r="AY695" s="290"/>
      <c r="AZ695" s="290"/>
      <c r="BA695" s="290"/>
      <c r="BB695" s="290"/>
      <c r="BC695" s="290"/>
      <c r="BD695" s="290"/>
      <c r="BE695" s="290"/>
      <c r="BF695" s="290"/>
      <c r="BG695" s="290"/>
      <c r="BH695" s="290"/>
      <c r="BI695" s="290"/>
      <c r="BJ695" s="290"/>
      <c r="BK695" s="290"/>
      <c r="BL695" s="290"/>
      <c r="BM695" s="290"/>
      <c r="BN695" s="290"/>
      <c r="BO695" s="290"/>
      <c r="BP695" s="290"/>
      <c r="BQ695" s="290"/>
      <c r="BR695" s="290"/>
      <c r="BS695" s="290"/>
      <c r="BT695" s="290"/>
      <c r="BU695" s="290"/>
      <c r="BV695" s="290"/>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row>
    <row r="696" customFormat="false" ht="15.75" hidden="false" customHeight="false" outlineLevel="0" collapsed="false">
      <c r="A696" s="290"/>
      <c r="B696" s="290"/>
      <c r="C696" s="290"/>
      <c r="D696" s="290"/>
      <c r="E696" s="290"/>
      <c r="F696" s="290"/>
      <c r="G696" s="290"/>
      <c r="H696" s="290"/>
      <c r="I696" s="290"/>
      <c r="J696" s="3"/>
      <c r="K696" s="290"/>
      <c r="L696" s="290"/>
      <c r="M696" s="290"/>
      <c r="N696" s="290"/>
      <c r="O696" s="290"/>
      <c r="P696" s="290"/>
      <c r="Q696" s="290"/>
      <c r="R696" s="290"/>
      <c r="S696" s="290"/>
      <c r="T696" s="290"/>
      <c r="U696" s="290"/>
      <c r="V696" s="290"/>
      <c r="W696" s="290"/>
      <c r="X696" s="290"/>
      <c r="Y696" s="290"/>
      <c r="Z696" s="290"/>
      <c r="AA696" s="290"/>
      <c r="AB696" s="290"/>
      <c r="AC696" s="290"/>
      <c r="AD696" s="290"/>
      <c r="AE696" s="290"/>
      <c r="AF696" s="290"/>
      <c r="AG696" s="290"/>
      <c r="AH696" s="290"/>
      <c r="AI696" s="290"/>
      <c r="AJ696" s="290"/>
      <c r="AK696" s="290"/>
      <c r="AL696" s="290"/>
      <c r="AM696" s="290"/>
      <c r="AN696" s="290"/>
      <c r="AO696" s="290"/>
      <c r="AP696" s="290"/>
      <c r="AQ696" s="290"/>
      <c r="AR696" s="290"/>
      <c r="AS696" s="290"/>
      <c r="AT696" s="290"/>
      <c r="AU696" s="290"/>
      <c r="AV696" s="290"/>
      <c r="AW696" s="290"/>
      <c r="AX696" s="290"/>
      <c r="AY696" s="290"/>
      <c r="AZ696" s="290"/>
      <c r="BA696" s="290"/>
      <c r="BB696" s="290"/>
      <c r="BC696" s="290"/>
      <c r="BD696" s="290"/>
      <c r="BE696" s="290"/>
      <c r="BF696" s="290"/>
      <c r="BG696" s="290"/>
      <c r="BH696" s="290"/>
      <c r="BI696" s="290"/>
      <c r="BJ696" s="290"/>
      <c r="BK696" s="290"/>
      <c r="BL696" s="290"/>
      <c r="BM696" s="290"/>
      <c r="BN696" s="290"/>
      <c r="BO696" s="290"/>
      <c r="BP696" s="290"/>
      <c r="BQ696" s="290"/>
      <c r="BR696" s="290"/>
      <c r="BS696" s="290"/>
      <c r="BT696" s="290"/>
      <c r="BU696" s="290"/>
      <c r="BV696" s="290"/>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row>
    <row r="697" customFormat="false" ht="15.75" hidden="false" customHeight="false" outlineLevel="0" collapsed="false">
      <c r="A697" s="290"/>
      <c r="B697" s="290"/>
      <c r="C697" s="290"/>
      <c r="D697" s="290"/>
      <c r="E697" s="290"/>
      <c r="F697" s="290"/>
      <c r="G697" s="290"/>
      <c r="H697" s="290"/>
      <c r="I697" s="290"/>
      <c r="J697" s="3"/>
      <c r="K697" s="290"/>
      <c r="L697" s="290"/>
      <c r="M697" s="290"/>
      <c r="N697" s="290"/>
      <c r="O697" s="290"/>
      <c r="P697" s="290"/>
      <c r="Q697" s="290"/>
      <c r="R697" s="290"/>
      <c r="S697" s="290"/>
      <c r="T697" s="290"/>
      <c r="U697" s="290"/>
      <c r="V697" s="290"/>
      <c r="W697" s="290"/>
      <c r="X697" s="290"/>
      <c r="Y697" s="290"/>
      <c r="Z697" s="290"/>
      <c r="AA697" s="290"/>
      <c r="AB697" s="290"/>
      <c r="AC697" s="290"/>
      <c r="AD697" s="290"/>
      <c r="AE697" s="290"/>
      <c r="AF697" s="290"/>
      <c r="AG697" s="290"/>
      <c r="AH697" s="290"/>
      <c r="AI697" s="290"/>
      <c r="AJ697" s="290"/>
      <c r="AK697" s="290"/>
      <c r="AL697" s="290"/>
      <c r="AM697" s="290"/>
      <c r="AN697" s="290"/>
      <c r="AO697" s="290"/>
      <c r="AP697" s="290"/>
      <c r="AQ697" s="290"/>
      <c r="AR697" s="290"/>
      <c r="AS697" s="290"/>
      <c r="AT697" s="290"/>
      <c r="AU697" s="290"/>
      <c r="AV697" s="290"/>
      <c r="AW697" s="290"/>
      <c r="AX697" s="290"/>
      <c r="AY697" s="290"/>
      <c r="AZ697" s="290"/>
      <c r="BA697" s="290"/>
      <c r="BB697" s="290"/>
      <c r="BC697" s="290"/>
      <c r="BD697" s="290"/>
      <c r="BE697" s="290"/>
      <c r="BF697" s="290"/>
      <c r="BG697" s="290"/>
      <c r="BH697" s="290"/>
      <c r="BI697" s="290"/>
      <c r="BJ697" s="290"/>
      <c r="BK697" s="290"/>
      <c r="BL697" s="290"/>
      <c r="BM697" s="290"/>
      <c r="BN697" s="290"/>
      <c r="BO697" s="290"/>
      <c r="BP697" s="290"/>
      <c r="BQ697" s="290"/>
      <c r="BR697" s="290"/>
      <c r="BS697" s="290"/>
      <c r="BT697" s="290"/>
      <c r="BU697" s="290"/>
      <c r="BV697" s="290"/>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row>
    <row r="698" customFormat="false" ht="15.75" hidden="false" customHeight="false" outlineLevel="0" collapsed="false">
      <c r="A698" s="290"/>
      <c r="B698" s="290"/>
      <c r="C698" s="290"/>
      <c r="D698" s="290"/>
      <c r="E698" s="290"/>
      <c r="F698" s="290"/>
      <c r="G698" s="290"/>
      <c r="H698" s="290"/>
      <c r="I698" s="290"/>
      <c r="J698" s="3"/>
      <c r="K698" s="290"/>
      <c r="L698" s="290"/>
      <c r="M698" s="290"/>
      <c r="N698" s="290"/>
      <c r="O698" s="290"/>
      <c r="P698" s="290"/>
      <c r="Q698" s="290"/>
      <c r="R698" s="290"/>
      <c r="S698" s="290"/>
      <c r="T698" s="290"/>
      <c r="U698" s="290"/>
      <c r="V698" s="290"/>
      <c r="W698" s="290"/>
      <c r="X698" s="290"/>
      <c r="Y698" s="290"/>
      <c r="Z698" s="290"/>
      <c r="AA698" s="290"/>
      <c r="AB698" s="290"/>
      <c r="AC698" s="290"/>
      <c r="AD698" s="290"/>
      <c r="AE698" s="290"/>
      <c r="AF698" s="290"/>
      <c r="AG698" s="290"/>
      <c r="AH698" s="290"/>
      <c r="AI698" s="290"/>
      <c r="AJ698" s="290"/>
      <c r="AK698" s="290"/>
      <c r="AL698" s="290"/>
      <c r="AM698" s="290"/>
      <c r="AN698" s="290"/>
      <c r="AO698" s="290"/>
      <c r="AP698" s="290"/>
      <c r="AQ698" s="290"/>
      <c r="AR698" s="290"/>
      <c r="AS698" s="290"/>
      <c r="AT698" s="290"/>
      <c r="AU698" s="290"/>
      <c r="AV698" s="290"/>
      <c r="AW698" s="290"/>
      <c r="AX698" s="290"/>
      <c r="AY698" s="290"/>
      <c r="AZ698" s="290"/>
      <c r="BA698" s="290"/>
      <c r="BB698" s="290"/>
      <c r="BC698" s="290"/>
      <c r="BD698" s="290"/>
      <c r="BE698" s="290"/>
      <c r="BF698" s="290"/>
      <c r="BG698" s="290"/>
      <c r="BH698" s="290"/>
      <c r="BI698" s="290"/>
      <c r="BJ698" s="290"/>
      <c r="BK698" s="290"/>
      <c r="BL698" s="290"/>
      <c r="BM698" s="290"/>
      <c r="BN698" s="290"/>
      <c r="BO698" s="290"/>
      <c r="BP698" s="290"/>
      <c r="BQ698" s="290"/>
      <c r="BR698" s="290"/>
      <c r="BS698" s="290"/>
      <c r="BT698" s="290"/>
      <c r="BU698" s="290"/>
      <c r="BV698" s="290"/>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row>
    <row r="699" customFormat="false" ht="15.75" hidden="false" customHeight="false" outlineLevel="0" collapsed="false">
      <c r="A699" s="290"/>
      <c r="B699" s="290"/>
      <c r="C699" s="290"/>
      <c r="D699" s="290"/>
      <c r="E699" s="290"/>
      <c r="F699" s="290"/>
      <c r="G699" s="290"/>
      <c r="H699" s="290"/>
      <c r="I699" s="290"/>
      <c r="J699" s="3"/>
      <c r="K699" s="290"/>
      <c r="L699" s="290"/>
      <c r="M699" s="290"/>
      <c r="N699" s="290"/>
      <c r="O699" s="290"/>
      <c r="P699" s="290"/>
      <c r="Q699" s="290"/>
      <c r="R699" s="290"/>
      <c r="S699" s="290"/>
      <c r="T699" s="290"/>
      <c r="U699" s="290"/>
      <c r="V699" s="290"/>
      <c r="W699" s="290"/>
      <c r="X699" s="290"/>
      <c r="Y699" s="290"/>
      <c r="Z699" s="290"/>
      <c r="AA699" s="290"/>
      <c r="AB699" s="290"/>
      <c r="AC699" s="290"/>
      <c r="AD699" s="290"/>
      <c r="AE699" s="290"/>
      <c r="AF699" s="290"/>
      <c r="AG699" s="290"/>
      <c r="AH699" s="290"/>
      <c r="AI699" s="290"/>
      <c r="AJ699" s="290"/>
      <c r="AK699" s="290"/>
      <c r="AL699" s="290"/>
      <c r="AM699" s="290"/>
      <c r="AN699" s="290"/>
      <c r="AO699" s="290"/>
      <c r="AP699" s="290"/>
      <c r="AQ699" s="290"/>
      <c r="AR699" s="290"/>
      <c r="AS699" s="290"/>
      <c r="AT699" s="290"/>
      <c r="AU699" s="290"/>
      <c r="AV699" s="290"/>
      <c r="AW699" s="290"/>
      <c r="AX699" s="290"/>
      <c r="AY699" s="290"/>
      <c r="AZ699" s="290"/>
      <c r="BA699" s="290"/>
      <c r="BB699" s="290"/>
      <c r="BC699" s="290"/>
      <c r="BD699" s="290"/>
      <c r="BE699" s="290"/>
      <c r="BF699" s="290"/>
      <c r="BG699" s="290"/>
      <c r="BH699" s="290"/>
      <c r="BI699" s="290"/>
      <c r="BJ699" s="290"/>
      <c r="BK699" s="290"/>
      <c r="BL699" s="290"/>
      <c r="BM699" s="290"/>
      <c r="BN699" s="290"/>
      <c r="BO699" s="290"/>
      <c r="BP699" s="290"/>
      <c r="BQ699" s="290"/>
      <c r="BR699" s="290"/>
      <c r="BS699" s="290"/>
      <c r="BT699" s="290"/>
      <c r="BU699" s="290"/>
      <c r="BV699" s="290"/>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row>
    <row r="700" customFormat="false" ht="15.75" hidden="false" customHeight="false" outlineLevel="0" collapsed="false">
      <c r="A700" s="290"/>
      <c r="B700" s="290"/>
      <c r="C700" s="290"/>
      <c r="D700" s="290"/>
      <c r="E700" s="290"/>
      <c r="F700" s="290"/>
      <c r="G700" s="290"/>
      <c r="H700" s="290"/>
      <c r="I700" s="290"/>
      <c r="J700" s="3"/>
      <c r="K700" s="290"/>
      <c r="L700" s="290"/>
      <c r="M700" s="290"/>
      <c r="N700" s="290"/>
      <c r="O700" s="290"/>
      <c r="P700" s="290"/>
      <c r="Q700" s="290"/>
      <c r="R700" s="290"/>
      <c r="S700" s="290"/>
      <c r="T700" s="290"/>
      <c r="U700" s="290"/>
      <c r="V700" s="290"/>
      <c r="W700" s="290"/>
      <c r="X700" s="290"/>
      <c r="Y700" s="290"/>
      <c r="Z700" s="290"/>
      <c r="AA700" s="290"/>
      <c r="AB700" s="290"/>
      <c r="AC700" s="290"/>
      <c r="AD700" s="290"/>
      <c r="AE700" s="290"/>
      <c r="AF700" s="290"/>
      <c r="AG700" s="290"/>
      <c r="AH700" s="290"/>
      <c r="AI700" s="290"/>
      <c r="AJ700" s="290"/>
      <c r="AK700" s="290"/>
      <c r="AL700" s="290"/>
      <c r="AM700" s="290"/>
      <c r="AN700" s="290"/>
      <c r="AO700" s="290"/>
      <c r="AP700" s="290"/>
      <c r="AQ700" s="290"/>
      <c r="AR700" s="290"/>
      <c r="AS700" s="290"/>
      <c r="AT700" s="290"/>
      <c r="AU700" s="290"/>
      <c r="AV700" s="290"/>
      <c r="AW700" s="290"/>
      <c r="AX700" s="290"/>
      <c r="AY700" s="290"/>
      <c r="AZ700" s="290"/>
      <c r="BA700" s="290"/>
      <c r="BB700" s="290"/>
      <c r="BC700" s="290"/>
      <c r="BD700" s="290"/>
      <c r="BE700" s="290"/>
      <c r="BF700" s="290"/>
      <c r="BG700" s="290"/>
      <c r="BH700" s="290"/>
      <c r="BI700" s="290"/>
      <c r="BJ700" s="290"/>
      <c r="BK700" s="290"/>
      <c r="BL700" s="290"/>
      <c r="BM700" s="290"/>
      <c r="BN700" s="290"/>
      <c r="BO700" s="290"/>
      <c r="BP700" s="290"/>
      <c r="BQ700" s="290"/>
      <c r="BR700" s="290"/>
      <c r="BS700" s="290"/>
      <c r="BT700" s="290"/>
      <c r="BU700" s="290"/>
      <c r="BV700" s="290"/>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row>
    <row r="701" customFormat="false" ht="15.75" hidden="false" customHeight="false" outlineLevel="0" collapsed="false">
      <c r="A701" s="290"/>
      <c r="B701" s="290"/>
      <c r="C701" s="290"/>
      <c r="D701" s="290"/>
      <c r="E701" s="290"/>
      <c r="F701" s="290"/>
      <c r="G701" s="290"/>
      <c r="H701" s="290"/>
      <c r="I701" s="290"/>
      <c r="J701" s="3"/>
      <c r="K701" s="290"/>
      <c r="L701" s="290"/>
      <c r="M701" s="290"/>
      <c r="N701" s="290"/>
      <c r="O701" s="290"/>
      <c r="P701" s="290"/>
      <c r="Q701" s="290"/>
      <c r="R701" s="290"/>
      <c r="S701" s="290"/>
      <c r="T701" s="290"/>
      <c r="U701" s="290"/>
      <c r="V701" s="290"/>
      <c r="W701" s="290"/>
      <c r="X701" s="290"/>
      <c r="Y701" s="290"/>
      <c r="Z701" s="290"/>
      <c r="AA701" s="290"/>
      <c r="AB701" s="290"/>
      <c r="AC701" s="290"/>
      <c r="AD701" s="290"/>
      <c r="AE701" s="290"/>
      <c r="AF701" s="290"/>
      <c r="AG701" s="290"/>
      <c r="AH701" s="290"/>
      <c r="AI701" s="290"/>
      <c r="AJ701" s="290"/>
      <c r="AK701" s="290"/>
      <c r="AL701" s="290"/>
      <c r="AM701" s="290"/>
      <c r="AN701" s="290"/>
      <c r="AO701" s="290"/>
      <c r="AP701" s="290"/>
      <c r="AQ701" s="290"/>
      <c r="AR701" s="290"/>
      <c r="AS701" s="290"/>
      <c r="AT701" s="290"/>
      <c r="AU701" s="290"/>
      <c r="AV701" s="290"/>
      <c r="AW701" s="290"/>
      <c r="AX701" s="290"/>
      <c r="AY701" s="290"/>
      <c r="AZ701" s="290"/>
      <c r="BA701" s="290"/>
      <c r="BB701" s="290"/>
      <c r="BC701" s="290"/>
      <c r="BD701" s="290"/>
      <c r="BE701" s="290"/>
      <c r="BF701" s="290"/>
      <c r="BG701" s="290"/>
      <c r="BH701" s="290"/>
      <c r="BI701" s="290"/>
      <c r="BJ701" s="290"/>
      <c r="BK701" s="290"/>
      <c r="BL701" s="290"/>
      <c r="BM701" s="290"/>
      <c r="BN701" s="290"/>
      <c r="BO701" s="290"/>
      <c r="BP701" s="290"/>
      <c r="BQ701" s="290"/>
      <c r="BR701" s="290"/>
      <c r="BS701" s="290"/>
      <c r="BT701" s="290"/>
      <c r="BU701" s="290"/>
      <c r="BV701" s="290"/>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row>
    <row r="702" customFormat="false" ht="15.75" hidden="false" customHeight="false" outlineLevel="0" collapsed="false">
      <c r="A702" s="290"/>
      <c r="B702" s="290"/>
      <c r="C702" s="290"/>
      <c r="D702" s="290"/>
      <c r="E702" s="290"/>
      <c r="F702" s="290"/>
      <c r="G702" s="290"/>
      <c r="H702" s="290"/>
      <c r="I702" s="290"/>
      <c r="J702" s="3"/>
      <c r="K702" s="290"/>
      <c r="L702" s="290"/>
      <c r="M702" s="290"/>
      <c r="N702" s="290"/>
      <c r="O702" s="290"/>
      <c r="P702" s="290"/>
      <c r="Q702" s="290"/>
      <c r="R702" s="290"/>
      <c r="S702" s="290"/>
      <c r="T702" s="290"/>
      <c r="U702" s="290"/>
      <c r="V702" s="290"/>
      <c r="W702" s="290"/>
      <c r="X702" s="290"/>
      <c r="Y702" s="290"/>
      <c r="Z702" s="290"/>
      <c r="AA702" s="290"/>
      <c r="AB702" s="290"/>
      <c r="AC702" s="290"/>
      <c r="AD702" s="290"/>
      <c r="AE702" s="290"/>
      <c r="AF702" s="290"/>
      <c r="AG702" s="290"/>
      <c r="AH702" s="290"/>
      <c r="AI702" s="290"/>
      <c r="AJ702" s="290"/>
      <c r="AK702" s="290"/>
      <c r="AL702" s="290"/>
      <c r="AM702" s="290"/>
      <c r="AN702" s="290"/>
      <c r="AO702" s="290"/>
      <c r="AP702" s="290"/>
      <c r="AQ702" s="290"/>
      <c r="AR702" s="290"/>
      <c r="AS702" s="290"/>
      <c r="AT702" s="290"/>
      <c r="AU702" s="290"/>
      <c r="AV702" s="290"/>
      <c r="AW702" s="290"/>
      <c r="AX702" s="290"/>
      <c r="AY702" s="290"/>
      <c r="AZ702" s="290"/>
      <c r="BA702" s="290"/>
      <c r="BB702" s="290"/>
      <c r="BC702" s="290"/>
      <c r="BD702" s="290"/>
      <c r="BE702" s="290"/>
      <c r="BF702" s="290"/>
      <c r="BG702" s="290"/>
      <c r="BH702" s="290"/>
      <c r="BI702" s="290"/>
      <c r="BJ702" s="290"/>
      <c r="BK702" s="290"/>
      <c r="BL702" s="290"/>
      <c r="BM702" s="290"/>
      <c r="BN702" s="290"/>
      <c r="BO702" s="290"/>
      <c r="BP702" s="290"/>
      <c r="BQ702" s="290"/>
      <c r="BR702" s="290"/>
      <c r="BS702" s="290"/>
      <c r="BT702" s="290"/>
      <c r="BU702" s="290"/>
      <c r="BV702" s="290"/>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row>
    <row r="703" customFormat="false" ht="15.75" hidden="false" customHeight="false" outlineLevel="0" collapsed="false">
      <c r="A703" s="290"/>
      <c r="B703" s="290"/>
      <c r="C703" s="290"/>
      <c r="D703" s="290"/>
      <c r="E703" s="290"/>
      <c r="F703" s="290"/>
      <c r="G703" s="290"/>
      <c r="H703" s="290"/>
      <c r="I703" s="290"/>
      <c r="J703" s="3"/>
      <c r="K703" s="290"/>
      <c r="L703" s="290"/>
      <c r="M703" s="290"/>
      <c r="N703" s="290"/>
      <c r="O703" s="290"/>
      <c r="P703" s="290"/>
      <c r="Q703" s="290"/>
      <c r="R703" s="290"/>
      <c r="S703" s="290"/>
      <c r="T703" s="290"/>
      <c r="U703" s="290"/>
      <c r="V703" s="290"/>
      <c r="W703" s="290"/>
      <c r="X703" s="290"/>
      <c r="Y703" s="290"/>
      <c r="Z703" s="290"/>
      <c r="AA703" s="290"/>
      <c r="AB703" s="290"/>
      <c r="AC703" s="290"/>
      <c r="AD703" s="290"/>
      <c r="AE703" s="290"/>
      <c r="AF703" s="290"/>
      <c r="AG703" s="290"/>
      <c r="AH703" s="290"/>
      <c r="AI703" s="290"/>
      <c r="AJ703" s="290"/>
      <c r="AK703" s="290"/>
      <c r="AL703" s="290"/>
      <c r="AM703" s="290"/>
      <c r="AN703" s="290"/>
      <c r="AO703" s="290"/>
      <c r="AP703" s="290"/>
      <c r="AQ703" s="290"/>
      <c r="AR703" s="290"/>
      <c r="AS703" s="290"/>
      <c r="AT703" s="290"/>
      <c r="AU703" s="290"/>
      <c r="AV703" s="290"/>
      <c r="AW703" s="290"/>
      <c r="AX703" s="290"/>
      <c r="AY703" s="290"/>
      <c r="AZ703" s="290"/>
      <c r="BA703" s="290"/>
      <c r="BB703" s="290"/>
      <c r="BC703" s="290"/>
      <c r="BD703" s="290"/>
      <c r="BE703" s="290"/>
      <c r="BF703" s="290"/>
      <c r="BG703" s="290"/>
      <c r="BH703" s="290"/>
      <c r="BI703" s="290"/>
      <c r="BJ703" s="290"/>
      <c r="BK703" s="290"/>
      <c r="BL703" s="290"/>
      <c r="BM703" s="290"/>
      <c r="BN703" s="290"/>
      <c r="BO703" s="290"/>
      <c r="BP703" s="290"/>
      <c r="BQ703" s="290"/>
      <c r="BR703" s="290"/>
      <c r="BS703" s="290"/>
      <c r="BT703" s="290"/>
      <c r="BU703" s="290"/>
      <c r="BV703" s="290"/>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row>
    <row r="704" customFormat="false" ht="15.75" hidden="false" customHeight="false" outlineLevel="0" collapsed="false">
      <c r="A704" s="290"/>
      <c r="B704" s="290"/>
      <c r="C704" s="290"/>
      <c r="D704" s="290"/>
      <c r="E704" s="290"/>
      <c r="F704" s="290"/>
      <c r="G704" s="290"/>
      <c r="H704" s="290"/>
      <c r="I704" s="290"/>
      <c r="J704" s="3"/>
      <c r="K704" s="290"/>
      <c r="L704" s="290"/>
      <c r="M704" s="290"/>
      <c r="N704" s="290"/>
      <c r="O704" s="290"/>
      <c r="P704" s="290"/>
      <c r="Q704" s="290"/>
      <c r="R704" s="290"/>
      <c r="S704" s="290"/>
      <c r="T704" s="290"/>
      <c r="U704" s="290"/>
      <c r="V704" s="290"/>
      <c r="W704" s="290"/>
      <c r="X704" s="290"/>
      <c r="Y704" s="290"/>
      <c r="Z704" s="290"/>
      <c r="AA704" s="290"/>
      <c r="AB704" s="290"/>
      <c r="AC704" s="290"/>
      <c r="AD704" s="290"/>
      <c r="AE704" s="290"/>
      <c r="AF704" s="290"/>
      <c r="AG704" s="290"/>
      <c r="AH704" s="290"/>
      <c r="AI704" s="290"/>
      <c r="AJ704" s="290"/>
      <c r="AK704" s="290"/>
      <c r="AL704" s="290"/>
      <c r="AM704" s="290"/>
      <c r="AN704" s="290"/>
      <c r="AO704" s="290"/>
      <c r="AP704" s="290"/>
      <c r="AQ704" s="290"/>
      <c r="AR704" s="290"/>
      <c r="AS704" s="290"/>
      <c r="AT704" s="290"/>
      <c r="AU704" s="290"/>
      <c r="AV704" s="290"/>
      <c r="AW704" s="290"/>
      <c r="AX704" s="290"/>
      <c r="AY704" s="290"/>
      <c r="AZ704" s="290"/>
      <c r="BA704" s="290"/>
      <c r="BB704" s="290"/>
      <c r="BC704" s="290"/>
      <c r="BD704" s="290"/>
      <c r="BE704" s="290"/>
      <c r="BF704" s="290"/>
      <c r="BG704" s="290"/>
      <c r="BH704" s="290"/>
      <c r="BI704" s="290"/>
      <c r="BJ704" s="290"/>
      <c r="BK704" s="290"/>
      <c r="BL704" s="290"/>
      <c r="BM704" s="290"/>
      <c r="BN704" s="290"/>
      <c r="BO704" s="290"/>
      <c r="BP704" s="290"/>
      <c r="BQ704" s="290"/>
      <c r="BR704" s="290"/>
      <c r="BS704" s="290"/>
      <c r="BT704" s="290"/>
      <c r="BU704" s="290"/>
      <c r="BV704" s="290"/>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row>
    <row r="705" customFormat="false" ht="15.75" hidden="false" customHeight="false" outlineLevel="0" collapsed="false">
      <c r="A705" s="290"/>
      <c r="B705" s="290"/>
      <c r="C705" s="290"/>
      <c r="D705" s="290"/>
      <c r="E705" s="290"/>
      <c r="F705" s="290"/>
      <c r="G705" s="290"/>
      <c r="H705" s="290"/>
      <c r="I705" s="290"/>
      <c r="J705" s="3"/>
      <c r="K705" s="290"/>
      <c r="L705" s="290"/>
      <c r="M705" s="290"/>
      <c r="N705" s="290"/>
      <c r="O705" s="290"/>
      <c r="P705" s="290"/>
      <c r="Q705" s="290"/>
      <c r="R705" s="290"/>
      <c r="S705" s="290"/>
      <c r="T705" s="290"/>
      <c r="U705" s="290"/>
      <c r="V705" s="290"/>
      <c r="W705" s="290"/>
      <c r="X705" s="290"/>
      <c r="Y705" s="290"/>
      <c r="Z705" s="290"/>
      <c r="AA705" s="290"/>
      <c r="AB705" s="290"/>
      <c r="AC705" s="290"/>
      <c r="AD705" s="290"/>
      <c r="AE705" s="290"/>
      <c r="AF705" s="290"/>
      <c r="AG705" s="290"/>
      <c r="AH705" s="290"/>
      <c r="AI705" s="290"/>
      <c r="AJ705" s="290"/>
      <c r="AK705" s="290"/>
      <c r="AL705" s="290"/>
      <c r="AM705" s="290"/>
      <c r="AN705" s="290"/>
      <c r="AO705" s="290"/>
      <c r="AP705" s="290"/>
      <c r="AQ705" s="290"/>
      <c r="AR705" s="290"/>
      <c r="AS705" s="290"/>
      <c r="AT705" s="290"/>
      <c r="AU705" s="290"/>
      <c r="AV705" s="290"/>
      <c r="AW705" s="290"/>
      <c r="AX705" s="290"/>
      <c r="AY705" s="290"/>
      <c r="AZ705" s="290"/>
      <c r="BA705" s="290"/>
      <c r="BB705" s="290"/>
      <c r="BC705" s="290"/>
      <c r="BD705" s="290"/>
      <c r="BE705" s="290"/>
      <c r="BF705" s="290"/>
      <c r="BG705" s="290"/>
      <c r="BH705" s="290"/>
      <c r="BI705" s="290"/>
      <c r="BJ705" s="290"/>
      <c r="BK705" s="290"/>
      <c r="BL705" s="290"/>
      <c r="BM705" s="290"/>
      <c r="BN705" s="290"/>
      <c r="BO705" s="290"/>
      <c r="BP705" s="290"/>
      <c r="BQ705" s="290"/>
      <c r="BR705" s="290"/>
      <c r="BS705" s="290"/>
      <c r="BT705" s="290"/>
      <c r="BU705" s="290"/>
      <c r="BV705" s="290"/>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row>
    <row r="706" customFormat="false" ht="15.75" hidden="false" customHeight="false" outlineLevel="0" collapsed="false">
      <c r="A706" s="290"/>
      <c r="B706" s="290"/>
      <c r="C706" s="290"/>
      <c r="D706" s="290"/>
      <c r="E706" s="290"/>
      <c r="F706" s="290"/>
      <c r="G706" s="290"/>
      <c r="H706" s="290"/>
      <c r="I706" s="290"/>
      <c r="J706" s="3"/>
      <c r="K706" s="290"/>
      <c r="L706" s="290"/>
      <c r="M706" s="290"/>
      <c r="N706" s="290"/>
      <c r="O706" s="290"/>
      <c r="P706" s="290"/>
      <c r="Q706" s="290"/>
      <c r="R706" s="290"/>
      <c r="S706" s="290"/>
      <c r="T706" s="290"/>
      <c r="U706" s="290"/>
      <c r="V706" s="290"/>
      <c r="W706" s="290"/>
      <c r="X706" s="290"/>
      <c r="Y706" s="290"/>
      <c r="Z706" s="290"/>
      <c r="AA706" s="290"/>
      <c r="AB706" s="290"/>
      <c r="AC706" s="290"/>
      <c r="AD706" s="290"/>
      <c r="AE706" s="290"/>
      <c r="AF706" s="290"/>
      <c r="AG706" s="290"/>
      <c r="AH706" s="290"/>
      <c r="AI706" s="290"/>
      <c r="AJ706" s="290"/>
      <c r="AK706" s="290"/>
      <c r="AL706" s="290"/>
      <c r="AM706" s="290"/>
      <c r="AN706" s="290"/>
      <c r="AO706" s="290"/>
      <c r="AP706" s="290"/>
      <c r="AQ706" s="290"/>
      <c r="AR706" s="290"/>
      <c r="AS706" s="290"/>
      <c r="AT706" s="290"/>
      <c r="AU706" s="290"/>
      <c r="AV706" s="290"/>
      <c r="AW706" s="290"/>
      <c r="AX706" s="290"/>
      <c r="AY706" s="290"/>
      <c r="AZ706" s="290"/>
      <c r="BA706" s="290"/>
      <c r="BB706" s="290"/>
      <c r="BC706" s="290"/>
      <c r="BD706" s="290"/>
      <c r="BE706" s="290"/>
      <c r="BF706" s="290"/>
      <c r="BG706" s="290"/>
      <c r="BH706" s="290"/>
      <c r="BI706" s="290"/>
      <c r="BJ706" s="290"/>
      <c r="BK706" s="290"/>
      <c r="BL706" s="290"/>
      <c r="BM706" s="290"/>
      <c r="BN706" s="290"/>
      <c r="BO706" s="290"/>
      <c r="BP706" s="290"/>
      <c r="BQ706" s="290"/>
      <c r="BR706" s="290"/>
      <c r="BS706" s="290"/>
      <c r="BT706" s="290"/>
      <c r="BU706" s="290"/>
      <c r="BV706" s="290"/>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row>
    <row r="707" customFormat="false" ht="15.75" hidden="false" customHeight="false" outlineLevel="0" collapsed="false">
      <c r="A707" s="290"/>
      <c r="B707" s="290"/>
      <c r="C707" s="290"/>
      <c r="D707" s="290"/>
      <c r="E707" s="290"/>
      <c r="F707" s="290"/>
      <c r="G707" s="290"/>
      <c r="H707" s="290"/>
      <c r="I707" s="290"/>
      <c r="J707" s="3"/>
      <c r="K707" s="290"/>
      <c r="L707" s="290"/>
      <c r="M707" s="290"/>
      <c r="N707" s="290"/>
      <c r="O707" s="290"/>
      <c r="P707" s="290"/>
      <c r="Q707" s="290"/>
      <c r="R707" s="290"/>
      <c r="S707" s="290"/>
      <c r="T707" s="290"/>
      <c r="U707" s="290"/>
      <c r="V707" s="290"/>
      <c r="W707" s="290"/>
      <c r="X707" s="290"/>
      <c r="Y707" s="290"/>
      <c r="Z707" s="290"/>
      <c r="AA707" s="290"/>
      <c r="AB707" s="290"/>
      <c r="AC707" s="290"/>
      <c r="AD707" s="290"/>
      <c r="AE707" s="290"/>
      <c r="AF707" s="290"/>
      <c r="AG707" s="290"/>
      <c r="AH707" s="290"/>
      <c r="AI707" s="290"/>
      <c r="AJ707" s="290"/>
      <c r="AK707" s="290"/>
      <c r="AL707" s="290"/>
      <c r="AM707" s="290"/>
      <c r="AN707" s="290"/>
      <c r="AO707" s="290"/>
      <c r="AP707" s="290"/>
      <c r="AQ707" s="290"/>
      <c r="AR707" s="290"/>
      <c r="AS707" s="290"/>
      <c r="AT707" s="290"/>
      <c r="AU707" s="290"/>
      <c r="AV707" s="290"/>
      <c r="AW707" s="290"/>
      <c r="AX707" s="290"/>
      <c r="AY707" s="290"/>
      <c r="AZ707" s="290"/>
      <c r="BA707" s="290"/>
      <c r="BB707" s="290"/>
      <c r="BC707" s="290"/>
      <c r="BD707" s="290"/>
      <c r="BE707" s="290"/>
      <c r="BF707" s="290"/>
      <c r="BG707" s="290"/>
      <c r="BH707" s="290"/>
      <c r="BI707" s="290"/>
      <c r="BJ707" s="290"/>
      <c r="BK707" s="290"/>
      <c r="BL707" s="290"/>
      <c r="BM707" s="290"/>
      <c r="BN707" s="290"/>
      <c r="BO707" s="290"/>
      <c r="BP707" s="290"/>
      <c r="BQ707" s="290"/>
      <c r="BR707" s="290"/>
      <c r="BS707" s="290"/>
      <c r="BT707" s="290"/>
      <c r="BU707" s="290"/>
      <c r="BV707" s="290"/>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row>
    <row r="708" customFormat="false" ht="15.75" hidden="false" customHeight="false" outlineLevel="0" collapsed="false">
      <c r="A708" s="290"/>
      <c r="B708" s="290"/>
      <c r="C708" s="290"/>
      <c r="D708" s="290"/>
      <c r="E708" s="290"/>
      <c r="F708" s="290"/>
      <c r="G708" s="290"/>
      <c r="H708" s="290"/>
      <c r="I708" s="290"/>
      <c r="J708" s="3"/>
      <c r="K708" s="290"/>
      <c r="L708" s="290"/>
      <c r="M708" s="290"/>
      <c r="N708" s="290"/>
      <c r="O708" s="290"/>
      <c r="P708" s="290"/>
      <c r="Q708" s="290"/>
      <c r="R708" s="290"/>
      <c r="S708" s="290"/>
      <c r="T708" s="290"/>
      <c r="U708" s="290"/>
      <c r="V708" s="290"/>
      <c r="W708" s="290"/>
      <c r="X708" s="290"/>
      <c r="Y708" s="290"/>
      <c r="Z708" s="290"/>
      <c r="AA708" s="290"/>
      <c r="AB708" s="290"/>
      <c r="AC708" s="290"/>
      <c r="AD708" s="290"/>
      <c r="AE708" s="290"/>
      <c r="AF708" s="290"/>
      <c r="AG708" s="290"/>
      <c r="AH708" s="290"/>
      <c r="AI708" s="290"/>
      <c r="AJ708" s="290"/>
      <c r="AK708" s="290"/>
      <c r="AL708" s="290"/>
      <c r="AM708" s="290"/>
      <c r="AN708" s="290"/>
      <c r="AO708" s="290"/>
      <c r="AP708" s="290"/>
      <c r="AQ708" s="290"/>
      <c r="AR708" s="290"/>
      <c r="AS708" s="290"/>
      <c r="AT708" s="290"/>
      <c r="AU708" s="290"/>
      <c r="AV708" s="290"/>
      <c r="AW708" s="290"/>
      <c r="AX708" s="290"/>
      <c r="AY708" s="290"/>
      <c r="AZ708" s="290"/>
      <c r="BA708" s="290"/>
      <c r="BB708" s="290"/>
      <c r="BC708" s="290"/>
      <c r="BD708" s="290"/>
      <c r="BE708" s="290"/>
      <c r="BF708" s="290"/>
      <c r="BG708" s="290"/>
      <c r="BH708" s="290"/>
      <c r="BI708" s="290"/>
      <c r="BJ708" s="290"/>
      <c r="BK708" s="290"/>
      <c r="BL708" s="290"/>
      <c r="BM708" s="290"/>
      <c r="BN708" s="290"/>
      <c r="BO708" s="290"/>
      <c r="BP708" s="290"/>
      <c r="BQ708" s="290"/>
      <c r="BR708" s="290"/>
      <c r="BS708" s="290"/>
      <c r="BT708" s="290"/>
      <c r="BU708" s="290"/>
      <c r="BV708" s="290"/>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row>
    <row r="709" customFormat="false" ht="15.75" hidden="false" customHeight="false" outlineLevel="0" collapsed="false">
      <c r="A709" s="290"/>
      <c r="B709" s="290"/>
      <c r="C709" s="290"/>
      <c r="D709" s="290"/>
      <c r="E709" s="290"/>
      <c r="F709" s="290"/>
      <c r="G709" s="290"/>
      <c r="H709" s="290"/>
      <c r="I709" s="290"/>
      <c r="J709" s="3"/>
      <c r="K709" s="290"/>
      <c r="L709" s="290"/>
      <c r="M709" s="290"/>
      <c r="N709" s="290"/>
      <c r="O709" s="290"/>
      <c r="P709" s="290"/>
      <c r="Q709" s="290"/>
      <c r="R709" s="290"/>
      <c r="S709" s="290"/>
      <c r="T709" s="290"/>
      <c r="U709" s="290"/>
      <c r="V709" s="290"/>
      <c r="W709" s="290"/>
      <c r="X709" s="290"/>
      <c r="Y709" s="290"/>
      <c r="Z709" s="290"/>
      <c r="AA709" s="290"/>
      <c r="AB709" s="290"/>
      <c r="AC709" s="290"/>
      <c r="AD709" s="290"/>
      <c r="AE709" s="290"/>
      <c r="AF709" s="290"/>
      <c r="AG709" s="290"/>
      <c r="AH709" s="290"/>
      <c r="AI709" s="290"/>
      <c r="AJ709" s="290"/>
      <c r="AK709" s="290"/>
      <c r="AL709" s="290"/>
      <c r="AM709" s="290"/>
      <c r="AN709" s="290"/>
      <c r="AO709" s="290"/>
      <c r="AP709" s="290"/>
      <c r="AQ709" s="290"/>
      <c r="AR709" s="290"/>
      <c r="AS709" s="290"/>
      <c r="AT709" s="290"/>
      <c r="AU709" s="290"/>
      <c r="AV709" s="290"/>
      <c r="AW709" s="290"/>
      <c r="AX709" s="290"/>
      <c r="AY709" s="290"/>
      <c r="AZ709" s="290"/>
      <c r="BA709" s="290"/>
      <c r="BB709" s="290"/>
      <c r="BC709" s="290"/>
      <c r="BD709" s="290"/>
      <c r="BE709" s="290"/>
      <c r="BF709" s="290"/>
      <c r="BG709" s="290"/>
      <c r="BH709" s="290"/>
      <c r="BI709" s="290"/>
      <c r="BJ709" s="290"/>
      <c r="BK709" s="290"/>
      <c r="BL709" s="290"/>
      <c r="BM709" s="290"/>
      <c r="BN709" s="290"/>
      <c r="BO709" s="290"/>
      <c r="BP709" s="290"/>
      <c r="BQ709" s="290"/>
      <c r="BR709" s="290"/>
      <c r="BS709" s="290"/>
      <c r="BT709" s="290"/>
      <c r="BU709" s="290"/>
      <c r="BV709" s="290"/>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row>
    <row r="710" customFormat="false" ht="15.75" hidden="false" customHeight="false" outlineLevel="0" collapsed="false">
      <c r="A710" s="290"/>
      <c r="B710" s="290"/>
      <c r="C710" s="290"/>
      <c r="D710" s="290"/>
      <c r="E710" s="290"/>
      <c r="F710" s="290"/>
      <c r="G710" s="290"/>
      <c r="H710" s="290"/>
      <c r="I710" s="290"/>
      <c r="J710" s="3"/>
      <c r="K710" s="290"/>
      <c r="L710" s="290"/>
      <c r="M710" s="290"/>
      <c r="N710" s="290"/>
      <c r="O710" s="290"/>
      <c r="P710" s="290"/>
      <c r="Q710" s="290"/>
      <c r="R710" s="290"/>
      <c r="S710" s="290"/>
      <c r="T710" s="290"/>
      <c r="U710" s="290"/>
      <c r="V710" s="290"/>
      <c r="W710" s="290"/>
      <c r="X710" s="290"/>
      <c r="Y710" s="290"/>
      <c r="Z710" s="290"/>
      <c r="AA710" s="290"/>
      <c r="AB710" s="290"/>
      <c r="AC710" s="290"/>
      <c r="AD710" s="290"/>
      <c r="AE710" s="290"/>
      <c r="AF710" s="290"/>
      <c r="AG710" s="290"/>
      <c r="AH710" s="290"/>
      <c r="AI710" s="290"/>
      <c r="AJ710" s="290"/>
      <c r="AK710" s="290"/>
      <c r="AL710" s="290"/>
      <c r="AM710" s="290"/>
      <c r="AN710" s="290"/>
      <c r="AO710" s="290"/>
      <c r="AP710" s="290"/>
      <c r="AQ710" s="290"/>
      <c r="AR710" s="290"/>
      <c r="AS710" s="290"/>
      <c r="AT710" s="290"/>
      <c r="AU710" s="290"/>
      <c r="AV710" s="290"/>
      <c r="AW710" s="290"/>
      <c r="AX710" s="290"/>
      <c r="AY710" s="290"/>
      <c r="AZ710" s="290"/>
      <c r="BA710" s="290"/>
      <c r="BB710" s="290"/>
      <c r="BC710" s="290"/>
      <c r="BD710" s="290"/>
      <c r="BE710" s="290"/>
      <c r="BF710" s="290"/>
      <c r="BG710" s="290"/>
      <c r="BH710" s="290"/>
      <c r="BI710" s="290"/>
      <c r="BJ710" s="290"/>
      <c r="BK710" s="290"/>
      <c r="BL710" s="290"/>
      <c r="BM710" s="290"/>
      <c r="BN710" s="290"/>
      <c r="BO710" s="290"/>
      <c r="BP710" s="290"/>
      <c r="BQ710" s="290"/>
      <c r="BR710" s="290"/>
      <c r="BS710" s="290"/>
      <c r="BT710" s="290"/>
      <c r="BU710" s="290"/>
      <c r="BV710" s="290"/>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row>
    <row r="711" customFormat="false" ht="15.75" hidden="false" customHeight="false" outlineLevel="0" collapsed="false">
      <c r="A711" s="290"/>
      <c r="B711" s="290"/>
      <c r="C711" s="290"/>
      <c r="D711" s="290"/>
      <c r="E711" s="290"/>
      <c r="F711" s="290"/>
      <c r="G711" s="290"/>
      <c r="H711" s="290"/>
      <c r="I711" s="290"/>
      <c r="J711" s="3"/>
      <c r="K711" s="290"/>
      <c r="L711" s="290"/>
      <c r="M711" s="290"/>
      <c r="N711" s="290"/>
      <c r="O711" s="290"/>
      <c r="P711" s="290"/>
      <c r="Q711" s="290"/>
      <c r="R711" s="290"/>
      <c r="S711" s="290"/>
      <c r="T711" s="290"/>
      <c r="U711" s="290"/>
      <c r="V711" s="290"/>
      <c r="W711" s="290"/>
      <c r="X711" s="290"/>
      <c r="Y711" s="290"/>
      <c r="Z711" s="290"/>
      <c r="AA711" s="290"/>
      <c r="AB711" s="290"/>
      <c r="AC711" s="290"/>
      <c r="AD711" s="290"/>
      <c r="AE711" s="290"/>
      <c r="AF711" s="290"/>
      <c r="AG711" s="290"/>
      <c r="AH711" s="290"/>
      <c r="AI711" s="290"/>
      <c r="AJ711" s="290"/>
      <c r="AK711" s="290"/>
      <c r="AL711" s="290"/>
      <c r="AM711" s="290"/>
      <c r="AN711" s="290"/>
      <c r="AO711" s="290"/>
      <c r="AP711" s="290"/>
      <c r="AQ711" s="290"/>
      <c r="AR711" s="290"/>
      <c r="AS711" s="290"/>
      <c r="AT711" s="290"/>
      <c r="AU711" s="290"/>
      <c r="AV711" s="290"/>
      <c r="AW711" s="290"/>
      <c r="AX711" s="290"/>
      <c r="AY711" s="290"/>
      <c r="AZ711" s="290"/>
      <c r="BA711" s="290"/>
      <c r="BB711" s="290"/>
      <c r="BC711" s="290"/>
      <c r="BD711" s="290"/>
      <c r="BE711" s="290"/>
      <c r="BF711" s="290"/>
      <c r="BG711" s="290"/>
      <c r="BH711" s="290"/>
      <c r="BI711" s="290"/>
      <c r="BJ711" s="290"/>
      <c r="BK711" s="290"/>
      <c r="BL711" s="290"/>
      <c r="BM711" s="290"/>
      <c r="BN711" s="290"/>
      <c r="BO711" s="290"/>
      <c r="BP711" s="290"/>
      <c r="BQ711" s="290"/>
      <c r="BR711" s="290"/>
      <c r="BS711" s="290"/>
      <c r="BT711" s="290"/>
      <c r="BU711" s="290"/>
      <c r="BV711" s="290"/>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row>
    <row r="712" customFormat="false" ht="15.75" hidden="false" customHeight="false" outlineLevel="0" collapsed="false">
      <c r="A712" s="290"/>
      <c r="B712" s="290"/>
      <c r="C712" s="290"/>
      <c r="D712" s="290"/>
      <c r="E712" s="290"/>
      <c r="F712" s="290"/>
      <c r="G712" s="290"/>
      <c r="H712" s="290"/>
      <c r="I712" s="290"/>
      <c r="J712" s="3"/>
      <c r="K712" s="290"/>
      <c r="L712" s="290"/>
      <c r="M712" s="290"/>
      <c r="N712" s="290"/>
      <c r="O712" s="290"/>
      <c r="P712" s="290"/>
      <c r="Q712" s="290"/>
      <c r="R712" s="290"/>
      <c r="S712" s="290"/>
      <c r="T712" s="290"/>
      <c r="U712" s="290"/>
      <c r="V712" s="290"/>
      <c r="W712" s="290"/>
      <c r="X712" s="290"/>
      <c r="Y712" s="290"/>
      <c r="Z712" s="290"/>
      <c r="AA712" s="290"/>
      <c r="AB712" s="290"/>
      <c r="AC712" s="290"/>
      <c r="AD712" s="290"/>
      <c r="AE712" s="290"/>
      <c r="AF712" s="290"/>
      <c r="AG712" s="290"/>
      <c r="AH712" s="290"/>
      <c r="AI712" s="290"/>
      <c r="AJ712" s="290"/>
      <c r="AK712" s="290"/>
      <c r="AL712" s="290"/>
      <c r="AM712" s="290"/>
      <c r="AN712" s="290"/>
      <c r="AO712" s="290"/>
      <c r="AP712" s="290"/>
      <c r="AQ712" s="290"/>
      <c r="AR712" s="290"/>
      <c r="AS712" s="290"/>
      <c r="AT712" s="290"/>
      <c r="AU712" s="290"/>
      <c r="AV712" s="290"/>
      <c r="AW712" s="290"/>
      <c r="AX712" s="290"/>
      <c r="AY712" s="290"/>
      <c r="AZ712" s="290"/>
      <c r="BA712" s="290"/>
      <c r="BB712" s="290"/>
      <c r="BC712" s="290"/>
      <c r="BD712" s="290"/>
      <c r="BE712" s="290"/>
      <c r="BF712" s="290"/>
      <c r="BG712" s="290"/>
      <c r="BH712" s="290"/>
      <c r="BI712" s="290"/>
      <c r="BJ712" s="290"/>
      <c r="BK712" s="290"/>
      <c r="BL712" s="290"/>
      <c r="BM712" s="290"/>
      <c r="BN712" s="290"/>
      <c r="BO712" s="290"/>
      <c r="BP712" s="290"/>
      <c r="BQ712" s="290"/>
      <c r="BR712" s="290"/>
      <c r="BS712" s="290"/>
      <c r="BT712" s="290"/>
      <c r="BU712" s="290"/>
      <c r="BV712" s="290"/>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row>
    <row r="713" customFormat="false" ht="15.75" hidden="false" customHeight="false" outlineLevel="0" collapsed="false">
      <c r="A713" s="290"/>
      <c r="B713" s="290"/>
      <c r="C713" s="290"/>
      <c r="D713" s="290"/>
      <c r="E713" s="290"/>
      <c r="F713" s="290"/>
      <c r="G713" s="290"/>
      <c r="H713" s="290"/>
      <c r="I713" s="290"/>
      <c r="J713" s="3"/>
      <c r="K713" s="290"/>
      <c r="L713" s="290"/>
      <c r="M713" s="290"/>
      <c r="N713" s="290"/>
      <c r="O713" s="290"/>
      <c r="P713" s="290"/>
      <c r="Q713" s="290"/>
      <c r="R713" s="290"/>
      <c r="S713" s="290"/>
      <c r="T713" s="290"/>
      <c r="U713" s="290"/>
      <c r="V713" s="290"/>
      <c r="W713" s="290"/>
      <c r="X713" s="290"/>
      <c r="Y713" s="290"/>
      <c r="Z713" s="290"/>
      <c r="AA713" s="290"/>
      <c r="AB713" s="290"/>
      <c r="AC713" s="290"/>
      <c r="AD713" s="290"/>
      <c r="AE713" s="290"/>
      <c r="AF713" s="290"/>
      <c r="AG713" s="290"/>
      <c r="AH713" s="290"/>
      <c r="AI713" s="290"/>
      <c r="AJ713" s="290"/>
      <c r="AK713" s="290"/>
      <c r="AL713" s="290"/>
      <c r="AM713" s="290"/>
      <c r="AN713" s="290"/>
      <c r="AO713" s="290"/>
      <c r="AP713" s="290"/>
      <c r="AQ713" s="290"/>
      <c r="AR713" s="290"/>
      <c r="AS713" s="290"/>
      <c r="AT713" s="290"/>
      <c r="AU713" s="290"/>
      <c r="AV713" s="290"/>
      <c r="AW713" s="290"/>
      <c r="AX713" s="290"/>
      <c r="AY713" s="290"/>
      <c r="AZ713" s="290"/>
      <c r="BA713" s="290"/>
      <c r="BB713" s="290"/>
      <c r="BC713" s="290"/>
      <c r="BD713" s="290"/>
      <c r="BE713" s="290"/>
      <c r="BF713" s="290"/>
      <c r="BG713" s="290"/>
      <c r="BH713" s="290"/>
      <c r="BI713" s="290"/>
      <c r="BJ713" s="290"/>
      <c r="BK713" s="290"/>
      <c r="BL713" s="290"/>
      <c r="BM713" s="290"/>
      <c r="BN713" s="290"/>
      <c r="BO713" s="290"/>
      <c r="BP713" s="290"/>
      <c r="BQ713" s="290"/>
      <c r="BR713" s="290"/>
      <c r="BS713" s="290"/>
      <c r="BT713" s="290"/>
      <c r="BU713" s="290"/>
      <c r="BV713" s="290"/>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row>
    <row r="714" customFormat="false" ht="15.75" hidden="false" customHeight="false" outlineLevel="0" collapsed="false">
      <c r="A714" s="290"/>
      <c r="B714" s="290"/>
      <c r="C714" s="290"/>
      <c r="D714" s="290"/>
      <c r="E714" s="290"/>
      <c r="F714" s="290"/>
      <c r="G714" s="290"/>
      <c r="H714" s="290"/>
      <c r="I714" s="290"/>
      <c r="J714" s="3"/>
      <c r="K714" s="290"/>
      <c r="L714" s="290"/>
      <c r="M714" s="290"/>
      <c r="N714" s="290"/>
      <c r="O714" s="290"/>
      <c r="P714" s="290"/>
      <c r="Q714" s="290"/>
      <c r="R714" s="290"/>
      <c r="S714" s="290"/>
      <c r="T714" s="290"/>
      <c r="U714" s="290"/>
      <c r="V714" s="290"/>
      <c r="W714" s="290"/>
      <c r="X714" s="290"/>
      <c r="Y714" s="290"/>
      <c r="Z714" s="290"/>
      <c r="AA714" s="290"/>
      <c r="AB714" s="290"/>
      <c r="AC714" s="290"/>
      <c r="AD714" s="290"/>
      <c r="AE714" s="290"/>
      <c r="AF714" s="290"/>
      <c r="AG714" s="290"/>
      <c r="AH714" s="290"/>
      <c r="AI714" s="290"/>
      <c r="AJ714" s="290"/>
      <c r="AK714" s="290"/>
      <c r="AL714" s="290"/>
      <c r="AM714" s="290"/>
      <c r="AN714" s="290"/>
      <c r="AO714" s="290"/>
      <c r="AP714" s="290"/>
      <c r="AQ714" s="290"/>
      <c r="AR714" s="290"/>
      <c r="AS714" s="290"/>
      <c r="AT714" s="290"/>
      <c r="AU714" s="290"/>
      <c r="AV714" s="290"/>
      <c r="AW714" s="290"/>
      <c r="AX714" s="290"/>
      <c r="AY714" s="290"/>
      <c r="AZ714" s="290"/>
      <c r="BA714" s="290"/>
      <c r="BB714" s="290"/>
      <c r="BC714" s="290"/>
      <c r="BD714" s="290"/>
      <c r="BE714" s="290"/>
      <c r="BF714" s="290"/>
      <c r="BG714" s="290"/>
      <c r="BH714" s="290"/>
      <c r="BI714" s="290"/>
      <c r="BJ714" s="290"/>
      <c r="BK714" s="290"/>
      <c r="BL714" s="290"/>
      <c r="BM714" s="290"/>
      <c r="BN714" s="290"/>
      <c r="BO714" s="290"/>
      <c r="BP714" s="290"/>
      <c r="BQ714" s="290"/>
      <c r="BR714" s="290"/>
      <c r="BS714" s="290"/>
      <c r="BT714" s="290"/>
      <c r="BU714" s="290"/>
      <c r="BV714" s="290"/>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row>
    <row r="715" customFormat="false" ht="15.75" hidden="false" customHeight="false" outlineLevel="0" collapsed="false">
      <c r="A715" s="290"/>
      <c r="B715" s="290"/>
      <c r="C715" s="290"/>
      <c r="D715" s="290"/>
      <c r="E715" s="290"/>
      <c r="F715" s="290"/>
      <c r="G715" s="290"/>
      <c r="H715" s="290"/>
      <c r="I715" s="290"/>
      <c r="J715" s="3"/>
      <c r="K715" s="290"/>
      <c r="L715" s="290"/>
      <c r="M715" s="290"/>
      <c r="N715" s="290"/>
      <c r="O715" s="290"/>
      <c r="P715" s="290"/>
      <c r="Q715" s="290"/>
      <c r="R715" s="290"/>
      <c r="S715" s="290"/>
      <c r="T715" s="290"/>
      <c r="U715" s="290"/>
      <c r="V715" s="290"/>
      <c r="W715" s="290"/>
      <c r="X715" s="290"/>
      <c r="Y715" s="290"/>
      <c r="Z715" s="290"/>
      <c r="AA715" s="290"/>
      <c r="AB715" s="290"/>
      <c r="AC715" s="290"/>
      <c r="AD715" s="290"/>
      <c r="AE715" s="290"/>
      <c r="AF715" s="290"/>
      <c r="AG715" s="290"/>
      <c r="AH715" s="290"/>
      <c r="AI715" s="290"/>
      <c r="AJ715" s="290"/>
      <c r="AK715" s="290"/>
      <c r="AL715" s="290"/>
      <c r="AM715" s="290"/>
      <c r="AN715" s="290"/>
      <c r="AO715" s="290"/>
      <c r="AP715" s="290"/>
      <c r="AQ715" s="290"/>
      <c r="AR715" s="290"/>
      <c r="AS715" s="290"/>
      <c r="AT715" s="290"/>
      <c r="AU715" s="290"/>
      <c r="AV715" s="290"/>
      <c r="AW715" s="290"/>
      <c r="AX715" s="290"/>
      <c r="AY715" s="290"/>
      <c r="AZ715" s="290"/>
      <c r="BA715" s="290"/>
      <c r="BB715" s="290"/>
      <c r="BC715" s="290"/>
      <c r="BD715" s="290"/>
      <c r="BE715" s="290"/>
      <c r="BF715" s="290"/>
      <c r="BG715" s="290"/>
      <c r="BH715" s="290"/>
      <c r="BI715" s="290"/>
      <c r="BJ715" s="290"/>
      <c r="BK715" s="290"/>
      <c r="BL715" s="290"/>
      <c r="BM715" s="290"/>
      <c r="BN715" s="290"/>
      <c r="BO715" s="290"/>
      <c r="BP715" s="290"/>
      <c r="BQ715" s="290"/>
      <c r="BR715" s="290"/>
      <c r="BS715" s="290"/>
      <c r="BT715" s="290"/>
      <c r="BU715" s="290"/>
      <c r="BV715" s="290"/>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row>
    <row r="716" customFormat="false" ht="15.75" hidden="false" customHeight="false" outlineLevel="0" collapsed="false">
      <c r="A716" s="290"/>
      <c r="B716" s="290"/>
      <c r="C716" s="290"/>
      <c r="D716" s="290"/>
      <c r="E716" s="290"/>
      <c r="F716" s="290"/>
      <c r="G716" s="290"/>
      <c r="H716" s="290"/>
      <c r="I716" s="290"/>
      <c r="J716" s="3"/>
      <c r="K716" s="290"/>
      <c r="L716" s="290"/>
      <c r="M716" s="290"/>
      <c r="N716" s="290"/>
      <c r="O716" s="290"/>
      <c r="P716" s="290"/>
      <c r="Q716" s="290"/>
      <c r="R716" s="290"/>
      <c r="S716" s="290"/>
      <c r="T716" s="290"/>
      <c r="U716" s="290"/>
      <c r="V716" s="290"/>
      <c r="W716" s="290"/>
      <c r="X716" s="290"/>
      <c r="Y716" s="290"/>
      <c r="Z716" s="290"/>
      <c r="AA716" s="290"/>
      <c r="AB716" s="290"/>
      <c r="AC716" s="290"/>
      <c r="AD716" s="290"/>
      <c r="AE716" s="290"/>
      <c r="AF716" s="290"/>
      <c r="AG716" s="290"/>
      <c r="AH716" s="290"/>
      <c r="AI716" s="290"/>
      <c r="AJ716" s="290"/>
      <c r="AK716" s="290"/>
      <c r="AL716" s="290"/>
      <c r="AM716" s="290"/>
      <c r="AN716" s="290"/>
      <c r="AO716" s="290"/>
      <c r="AP716" s="290"/>
      <c r="AQ716" s="290"/>
      <c r="AR716" s="290"/>
      <c r="AS716" s="290"/>
      <c r="AT716" s="290"/>
      <c r="AU716" s="290"/>
      <c r="AV716" s="290"/>
      <c r="AW716" s="290"/>
      <c r="AX716" s="290"/>
      <c r="AY716" s="290"/>
      <c r="AZ716" s="290"/>
      <c r="BA716" s="290"/>
      <c r="BB716" s="290"/>
      <c r="BC716" s="290"/>
      <c r="BD716" s="290"/>
      <c r="BE716" s="290"/>
      <c r="BF716" s="290"/>
      <c r="BG716" s="290"/>
      <c r="BH716" s="290"/>
      <c r="BI716" s="290"/>
      <c r="BJ716" s="290"/>
      <c r="BK716" s="290"/>
      <c r="BL716" s="290"/>
      <c r="BM716" s="290"/>
      <c r="BN716" s="290"/>
      <c r="BO716" s="290"/>
      <c r="BP716" s="290"/>
      <c r="BQ716" s="290"/>
      <c r="BR716" s="290"/>
      <c r="BS716" s="290"/>
      <c r="BT716" s="290"/>
      <c r="BU716" s="290"/>
      <c r="BV716" s="290"/>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row>
    <row r="717" customFormat="false" ht="15.75" hidden="false" customHeight="false" outlineLevel="0" collapsed="false">
      <c r="A717" s="290"/>
      <c r="B717" s="290"/>
      <c r="C717" s="290"/>
      <c r="D717" s="290"/>
      <c r="E717" s="290"/>
      <c r="F717" s="290"/>
      <c r="G717" s="290"/>
      <c r="H717" s="290"/>
      <c r="I717" s="290"/>
      <c r="J717" s="3"/>
      <c r="K717" s="290"/>
      <c r="L717" s="290"/>
      <c r="M717" s="290"/>
      <c r="N717" s="290"/>
      <c r="O717" s="290"/>
      <c r="P717" s="290"/>
      <c r="Q717" s="290"/>
      <c r="R717" s="290"/>
      <c r="S717" s="290"/>
      <c r="T717" s="290"/>
      <c r="U717" s="290"/>
      <c r="V717" s="290"/>
      <c r="W717" s="290"/>
      <c r="X717" s="290"/>
      <c r="Y717" s="290"/>
      <c r="Z717" s="290"/>
      <c r="AA717" s="290"/>
      <c r="AB717" s="290"/>
      <c r="AC717" s="290"/>
      <c r="AD717" s="290"/>
      <c r="AE717" s="290"/>
      <c r="AF717" s="290"/>
      <c r="AG717" s="290"/>
      <c r="AH717" s="290"/>
      <c r="AI717" s="290"/>
      <c r="AJ717" s="290"/>
      <c r="AK717" s="290"/>
      <c r="AL717" s="290"/>
      <c r="AM717" s="290"/>
      <c r="AN717" s="290"/>
      <c r="AO717" s="290"/>
      <c r="AP717" s="290"/>
      <c r="AQ717" s="290"/>
      <c r="AR717" s="290"/>
      <c r="AS717" s="290"/>
      <c r="AT717" s="290"/>
      <c r="AU717" s="290"/>
      <c r="AV717" s="290"/>
      <c r="AW717" s="290"/>
      <c r="AX717" s="290"/>
      <c r="AY717" s="290"/>
      <c r="AZ717" s="290"/>
      <c r="BA717" s="290"/>
      <c r="BB717" s="290"/>
      <c r="BC717" s="290"/>
      <c r="BD717" s="290"/>
      <c r="BE717" s="290"/>
      <c r="BF717" s="290"/>
      <c r="BG717" s="290"/>
      <c r="BH717" s="290"/>
      <c r="BI717" s="290"/>
      <c r="BJ717" s="290"/>
      <c r="BK717" s="290"/>
      <c r="BL717" s="290"/>
      <c r="BM717" s="290"/>
      <c r="BN717" s="290"/>
      <c r="BO717" s="290"/>
      <c r="BP717" s="290"/>
      <c r="BQ717" s="290"/>
      <c r="BR717" s="290"/>
      <c r="BS717" s="290"/>
      <c r="BT717" s="290"/>
      <c r="BU717" s="290"/>
      <c r="BV717" s="290"/>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row>
    <row r="718" customFormat="false" ht="15.75" hidden="false" customHeight="false" outlineLevel="0" collapsed="false">
      <c r="A718" s="290"/>
      <c r="B718" s="290"/>
      <c r="C718" s="290"/>
      <c r="D718" s="290"/>
      <c r="E718" s="290"/>
      <c r="F718" s="290"/>
      <c r="G718" s="290"/>
      <c r="H718" s="290"/>
      <c r="I718" s="290"/>
      <c r="J718" s="3"/>
      <c r="K718" s="290"/>
      <c r="L718" s="290"/>
      <c r="M718" s="290"/>
      <c r="N718" s="290"/>
      <c r="O718" s="290"/>
      <c r="P718" s="290"/>
      <c r="Q718" s="290"/>
      <c r="R718" s="290"/>
      <c r="S718" s="290"/>
      <c r="T718" s="290"/>
      <c r="U718" s="290"/>
      <c r="V718" s="290"/>
      <c r="W718" s="290"/>
      <c r="X718" s="290"/>
      <c r="Y718" s="290"/>
      <c r="Z718" s="290"/>
      <c r="AA718" s="290"/>
      <c r="AB718" s="290"/>
      <c r="AC718" s="290"/>
      <c r="AD718" s="290"/>
      <c r="AE718" s="290"/>
      <c r="AF718" s="290"/>
      <c r="AG718" s="290"/>
      <c r="AH718" s="290"/>
      <c r="AI718" s="290"/>
      <c r="AJ718" s="290"/>
      <c r="AK718" s="290"/>
      <c r="AL718" s="290"/>
      <c r="AM718" s="290"/>
      <c r="AN718" s="290"/>
      <c r="AO718" s="290"/>
      <c r="AP718" s="290"/>
      <c r="AQ718" s="290"/>
      <c r="AR718" s="290"/>
      <c r="AS718" s="290"/>
      <c r="AT718" s="290"/>
      <c r="AU718" s="290"/>
      <c r="AV718" s="290"/>
      <c r="AW718" s="290"/>
      <c r="AX718" s="290"/>
      <c r="AY718" s="290"/>
      <c r="AZ718" s="290"/>
      <c r="BA718" s="290"/>
      <c r="BB718" s="290"/>
      <c r="BC718" s="290"/>
      <c r="BD718" s="290"/>
      <c r="BE718" s="290"/>
      <c r="BF718" s="290"/>
      <c r="BG718" s="290"/>
      <c r="BH718" s="290"/>
      <c r="BI718" s="290"/>
      <c r="BJ718" s="290"/>
      <c r="BK718" s="290"/>
      <c r="BL718" s="290"/>
      <c r="BM718" s="290"/>
      <c r="BN718" s="290"/>
      <c r="BO718" s="290"/>
      <c r="BP718" s="290"/>
      <c r="BQ718" s="290"/>
      <c r="BR718" s="290"/>
      <c r="BS718" s="290"/>
      <c r="BT718" s="290"/>
      <c r="BU718" s="290"/>
      <c r="BV718" s="290"/>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row>
    <row r="719" customFormat="false" ht="15.75" hidden="false" customHeight="false" outlineLevel="0" collapsed="false">
      <c r="A719" s="290"/>
      <c r="B719" s="290"/>
      <c r="C719" s="290"/>
      <c r="D719" s="290"/>
      <c r="E719" s="290"/>
      <c r="F719" s="290"/>
      <c r="G719" s="290"/>
      <c r="H719" s="290"/>
      <c r="I719" s="290"/>
      <c r="J719" s="3"/>
      <c r="K719" s="290"/>
      <c r="L719" s="290"/>
      <c r="M719" s="290"/>
      <c r="N719" s="290"/>
      <c r="O719" s="290"/>
      <c r="P719" s="290"/>
      <c r="Q719" s="290"/>
      <c r="R719" s="290"/>
      <c r="S719" s="290"/>
      <c r="T719" s="290"/>
      <c r="U719" s="290"/>
      <c r="V719" s="290"/>
      <c r="W719" s="290"/>
      <c r="X719" s="290"/>
      <c r="Y719" s="290"/>
      <c r="Z719" s="290"/>
      <c r="AA719" s="290"/>
      <c r="AB719" s="290"/>
      <c r="AC719" s="290"/>
      <c r="AD719" s="290"/>
      <c r="AE719" s="290"/>
      <c r="AF719" s="290"/>
      <c r="AG719" s="290"/>
      <c r="AH719" s="290"/>
      <c r="AI719" s="290"/>
      <c r="AJ719" s="290"/>
      <c r="AK719" s="290"/>
      <c r="AL719" s="290"/>
      <c r="AM719" s="290"/>
      <c r="AN719" s="290"/>
      <c r="AO719" s="290"/>
      <c r="AP719" s="290"/>
      <c r="AQ719" s="290"/>
      <c r="AR719" s="290"/>
      <c r="AS719" s="290"/>
      <c r="AT719" s="290"/>
      <c r="AU719" s="290"/>
      <c r="AV719" s="290"/>
      <c r="AW719" s="290"/>
      <c r="AX719" s="290"/>
      <c r="AY719" s="290"/>
      <c r="AZ719" s="290"/>
      <c r="BA719" s="290"/>
      <c r="BB719" s="290"/>
      <c r="BC719" s="290"/>
      <c r="BD719" s="290"/>
      <c r="BE719" s="290"/>
      <c r="BF719" s="290"/>
      <c r="BG719" s="290"/>
      <c r="BH719" s="290"/>
      <c r="BI719" s="290"/>
      <c r="BJ719" s="290"/>
      <c r="BK719" s="290"/>
      <c r="BL719" s="290"/>
      <c r="BM719" s="290"/>
      <c r="BN719" s="290"/>
      <c r="BO719" s="290"/>
      <c r="BP719" s="290"/>
      <c r="BQ719" s="290"/>
      <c r="BR719" s="290"/>
      <c r="BS719" s="290"/>
      <c r="BT719" s="290"/>
      <c r="BU719" s="290"/>
      <c r="BV719" s="290"/>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row>
    <row r="720" customFormat="false" ht="15.75" hidden="false" customHeight="false" outlineLevel="0" collapsed="false">
      <c r="A720" s="290"/>
      <c r="B720" s="290"/>
      <c r="C720" s="290"/>
      <c r="D720" s="290"/>
      <c r="E720" s="290"/>
      <c r="F720" s="290"/>
      <c r="G720" s="290"/>
      <c r="H720" s="290"/>
      <c r="I720" s="290"/>
      <c r="J720" s="3"/>
      <c r="K720" s="290"/>
      <c r="L720" s="290"/>
      <c r="M720" s="290"/>
      <c r="N720" s="290"/>
      <c r="O720" s="290"/>
      <c r="P720" s="290"/>
      <c r="Q720" s="290"/>
      <c r="R720" s="290"/>
      <c r="S720" s="290"/>
      <c r="T720" s="290"/>
      <c r="U720" s="290"/>
      <c r="V720" s="290"/>
      <c r="W720" s="290"/>
      <c r="X720" s="290"/>
      <c r="Y720" s="290"/>
      <c r="Z720" s="290"/>
      <c r="AA720" s="290"/>
      <c r="AB720" s="290"/>
      <c r="AC720" s="290"/>
      <c r="AD720" s="290"/>
      <c r="AE720" s="290"/>
      <c r="AF720" s="290"/>
      <c r="AG720" s="290"/>
      <c r="AH720" s="290"/>
      <c r="AI720" s="290"/>
      <c r="AJ720" s="290"/>
      <c r="AK720" s="290"/>
      <c r="AL720" s="290"/>
      <c r="AM720" s="290"/>
      <c r="AN720" s="290"/>
      <c r="AO720" s="290"/>
      <c r="AP720" s="290"/>
      <c r="AQ720" s="290"/>
      <c r="AR720" s="290"/>
      <c r="AS720" s="290"/>
      <c r="AT720" s="290"/>
      <c r="AU720" s="290"/>
      <c r="AV720" s="290"/>
      <c r="AW720" s="290"/>
      <c r="AX720" s="290"/>
      <c r="AY720" s="290"/>
      <c r="AZ720" s="290"/>
      <c r="BA720" s="290"/>
      <c r="BB720" s="290"/>
      <c r="BC720" s="290"/>
      <c r="BD720" s="290"/>
      <c r="BE720" s="290"/>
      <c r="BF720" s="290"/>
      <c r="BG720" s="290"/>
      <c r="BH720" s="290"/>
      <c r="BI720" s="290"/>
      <c r="BJ720" s="290"/>
      <c r="BK720" s="290"/>
      <c r="BL720" s="290"/>
      <c r="BM720" s="290"/>
      <c r="BN720" s="290"/>
      <c r="BO720" s="290"/>
      <c r="BP720" s="290"/>
      <c r="BQ720" s="290"/>
      <c r="BR720" s="290"/>
      <c r="BS720" s="290"/>
      <c r="BT720" s="290"/>
      <c r="BU720" s="290"/>
      <c r="BV720" s="290"/>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row>
    <row r="721" customFormat="false" ht="15.75" hidden="false" customHeight="false" outlineLevel="0" collapsed="false">
      <c r="A721" s="290"/>
      <c r="B721" s="290"/>
      <c r="C721" s="290"/>
      <c r="D721" s="290"/>
      <c r="E721" s="290"/>
      <c r="F721" s="290"/>
      <c r="G721" s="290"/>
      <c r="H721" s="290"/>
      <c r="I721" s="290"/>
      <c r="J721" s="3"/>
      <c r="K721" s="290"/>
      <c r="L721" s="290"/>
      <c r="M721" s="290"/>
      <c r="N721" s="290"/>
      <c r="O721" s="290"/>
      <c r="P721" s="290"/>
      <c r="Q721" s="290"/>
      <c r="R721" s="290"/>
      <c r="S721" s="290"/>
      <c r="T721" s="290"/>
      <c r="U721" s="290"/>
      <c r="V721" s="290"/>
      <c r="W721" s="290"/>
      <c r="X721" s="290"/>
      <c r="Y721" s="290"/>
      <c r="Z721" s="290"/>
      <c r="AA721" s="290"/>
      <c r="AB721" s="290"/>
      <c r="AC721" s="290"/>
      <c r="AD721" s="290"/>
      <c r="AE721" s="290"/>
      <c r="AF721" s="290"/>
      <c r="AG721" s="290"/>
      <c r="AH721" s="290"/>
      <c r="AI721" s="290"/>
      <c r="AJ721" s="290"/>
      <c r="AK721" s="290"/>
      <c r="AL721" s="290"/>
      <c r="AM721" s="290"/>
      <c r="AN721" s="290"/>
      <c r="AO721" s="290"/>
      <c r="AP721" s="290"/>
      <c r="AQ721" s="290"/>
      <c r="AR721" s="290"/>
      <c r="AS721" s="290"/>
      <c r="AT721" s="290"/>
      <c r="AU721" s="290"/>
      <c r="AV721" s="290"/>
      <c r="AW721" s="290"/>
      <c r="AX721" s="290"/>
      <c r="AY721" s="290"/>
      <c r="AZ721" s="290"/>
      <c r="BA721" s="290"/>
      <c r="BB721" s="290"/>
      <c r="BC721" s="290"/>
      <c r="BD721" s="290"/>
      <c r="BE721" s="290"/>
      <c r="BF721" s="290"/>
      <c r="BG721" s="290"/>
      <c r="BH721" s="290"/>
      <c r="BI721" s="290"/>
      <c r="BJ721" s="290"/>
      <c r="BK721" s="290"/>
      <c r="BL721" s="290"/>
      <c r="BM721" s="290"/>
      <c r="BN721" s="290"/>
      <c r="BO721" s="290"/>
      <c r="BP721" s="290"/>
      <c r="BQ721" s="290"/>
      <c r="BR721" s="290"/>
      <c r="BS721" s="290"/>
      <c r="BT721" s="290"/>
      <c r="BU721" s="290"/>
      <c r="BV721" s="290"/>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row>
    <row r="722" customFormat="false" ht="15.75" hidden="false" customHeight="false" outlineLevel="0" collapsed="false">
      <c r="A722" s="290"/>
      <c r="B722" s="290"/>
      <c r="C722" s="290"/>
      <c r="D722" s="290"/>
      <c r="E722" s="290"/>
      <c r="F722" s="290"/>
      <c r="G722" s="290"/>
      <c r="H722" s="290"/>
      <c r="I722" s="290"/>
      <c r="J722" s="3"/>
      <c r="K722" s="290"/>
      <c r="L722" s="290"/>
      <c r="M722" s="290"/>
      <c r="N722" s="290"/>
      <c r="O722" s="290"/>
      <c r="P722" s="290"/>
      <c r="Q722" s="290"/>
      <c r="R722" s="290"/>
      <c r="S722" s="290"/>
      <c r="T722" s="290"/>
      <c r="U722" s="290"/>
      <c r="V722" s="290"/>
      <c r="W722" s="290"/>
      <c r="X722" s="290"/>
      <c r="Y722" s="290"/>
      <c r="Z722" s="290"/>
      <c r="AA722" s="290"/>
      <c r="AB722" s="290"/>
      <c r="AC722" s="290"/>
      <c r="AD722" s="290"/>
      <c r="AE722" s="290"/>
      <c r="AF722" s="290"/>
      <c r="AG722" s="290"/>
      <c r="AH722" s="290"/>
      <c r="AI722" s="290"/>
      <c r="AJ722" s="290"/>
      <c r="AK722" s="290"/>
      <c r="AL722" s="290"/>
      <c r="AM722" s="290"/>
      <c r="AN722" s="290"/>
      <c r="AO722" s="290"/>
      <c r="AP722" s="290"/>
      <c r="AQ722" s="290"/>
      <c r="AR722" s="290"/>
      <c r="AS722" s="290"/>
      <c r="AT722" s="290"/>
      <c r="AU722" s="290"/>
      <c r="AV722" s="290"/>
      <c r="AW722" s="290"/>
      <c r="AX722" s="290"/>
      <c r="AY722" s="290"/>
      <c r="AZ722" s="290"/>
      <c r="BA722" s="290"/>
      <c r="BB722" s="290"/>
      <c r="BC722" s="290"/>
      <c r="BD722" s="290"/>
      <c r="BE722" s="290"/>
      <c r="BF722" s="290"/>
      <c r="BG722" s="290"/>
      <c r="BH722" s="290"/>
      <c r="BI722" s="290"/>
      <c r="BJ722" s="290"/>
      <c r="BK722" s="290"/>
      <c r="BL722" s="290"/>
      <c r="BM722" s="290"/>
      <c r="BN722" s="290"/>
      <c r="BO722" s="290"/>
      <c r="BP722" s="290"/>
      <c r="BQ722" s="290"/>
      <c r="BR722" s="290"/>
      <c r="BS722" s="290"/>
      <c r="BT722" s="290"/>
      <c r="BU722" s="290"/>
      <c r="BV722" s="290"/>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row>
    <row r="723" customFormat="false" ht="15.75" hidden="false" customHeight="false" outlineLevel="0" collapsed="false">
      <c r="A723" s="290"/>
      <c r="B723" s="290"/>
      <c r="C723" s="290"/>
      <c r="D723" s="290"/>
      <c r="E723" s="290"/>
      <c r="F723" s="290"/>
      <c r="G723" s="290"/>
      <c r="H723" s="290"/>
      <c r="I723" s="290"/>
      <c r="J723" s="3"/>
      <c r="K723" s="290"/>
      <c r="L723" s="290"/>
      <c r="M723" s="290"/>
      <c r="N723" s="290"/>
      <c r="O723" s="290"/>
      <c r="P723" s="290"/>
      <c r="Q723" s="290"/>
      <c r="R723" s="290"/>
      <c r="S723" s="290"/>
      <c r="T723" s="290"/>
      <c r="U723" s="290"/>
      <c r="V723" s="290"/>
      <c r="W723" s="290"/>
      <c r="X723" s="290"/>
      <c r="Y723" s="290"/>
      <c r="Z723" s="290"/>
      <c r="AA723" s="290"/>
      <c r="AB723" s="290"/>
      <c r="AC723" s="290"/>
      <c r="AD723" s="290"/>
      <c r="AE723" s="290"/>
      <c r="AF723" s="290"/>
      <c r="AG723" s="290"/>
      <c r="AH723" s="290"/>
      <c r="AI723" s="290"/>
      <c r="AJ723" s="290"/>
      <c r="AK723" s="290"/>
      <c r="AL723" s="290"/>
      <c r="AM723" s="290"/>
      <c r="AN723" s="290"/>
      <c r="AO723" s="290"/>
      <c r="AP723" s="290"/>
      <c r="AQ723" s="290"/>
      <c r="AR723" s="290"/>
      <c r="AS723" s="290"/>
      <c r="AT723" s="290"/>
      <c r="AU723" s="290"/>
      <c r="AV723" s="290"/>
      <c r="AW723" s="290"/>
      <c r="AX723" s="290"/>
      <c r="AY723" s="290"/>
      <c r="AZ723" s="290"/>
      <c r="BA723" s="290"/>
      <c r="BB723" s="290"/>
      <c r="BC723" s="290"/>
      <c r="BD723" s="290"/>
      <c r="BE723" s="290"/>
      <c r="BF723" s="290"/>
      <c r="BG723" s="290"/>
      <c r="BH723" s="290"/>
      <c r="BI723" s="290"/>
      <c r="BJ723" s="290"/>
      <c r="BK723" s="290"/>
      <c r="BL723" s="290"/>
      <c r="BM723" s="290"/>
      <c r="BN723" s="290"/>
      <c r="BO723" s="290"/>
      <c r="BP723" s="290"/>
      <c r="BQ723" s="290"/>
      <c r="BR723" s="290"/>
      <c r="BS723" s="290"/>
      <c r="BT723" s="290"/>
      <c r="BU723" s="290"/>
      <c r="BV723" s="290"/>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row>
    <row r="724" customFormat="false" ht="15.75" hidden="false" customHeight="false" outlineLevel="0" collapsed="false">
      <c r="A724" s="290"/>
      <c r="B724" s="290"/>
      <c r="C724" s="290"/>
      <c r="D724" s="290"/>
      <c r="E724" s="290"/>
      <c r="F724" s="290"/>
      <c r="G724" s="290"/>
      <c r="H724" s="290"/>
      <c r="I724" s="290"/>
      <c r="J724" s="3"/>
      <c r="K724" s="290"/>
      <c r="L724" s="290"/>
      <c r="M724" s="290"/>
      <c r="N724" s="290"/>
      <c r="O724" s="290"/>
      <c r="P724" s="290"/>
      <c r="Q724" s="290"/>
      <c r="R724" s="290"/>
      <c r="S724" s="290"/>
      <c r="T724" s="290"/>
      <c r="U724" s="290"/>
      <c r="V724" s="290"/>
      <c r="W724" s="290"/>
      <c r="X724" s="290"/>
      <c r="Y724" s="290"/>
      <c r="Z724" s="290"/>
      <c r="AA724" s="290"/>
      <c r="AB724" s="290"/>
      <c r="AC724" s="290"/>
      <c r="AD724" s="290"/>
      <c r="AE724" s="290"/>
      <c r="AF724" s="290"/>
      <c r="AG724" s="290"/>
      <c r="AH724" s="290"/>
      <c r="AI724" s="290"/>
      <c r="AJ724" s="290"/>
      <c r="AK724" s="290"/>
      <c r="AL724" s="290"/>
      <c r="AM724" s="290"/>
      <c r="AN724" s="290"/>
      <c r="AO724" s="290"/>
      <c r="AP724" s="290"/>
      <c r="AQ724" s="290"/>
      <c r="AR724" s="290"/>
      <c r="AS724" s="290"/>
      <c r="AT724" s="290"/>
      <c r="AU724" s="290"/>
      <c r="AV724" s="290"/>
      <c r="AW724" s="290"/>
      <c r="AX724" s="290"/>
      <c r="AY724" s="290"/>
      <c r="AZ724" s="290"/>
      <c r="BA724" s="290"/>
      <c r="BB724" s="290"/>
      <c r="BC724" s="290"/>
      <c r="BD724" s="290"/>
      <c r="BE724" s="290"/>
      <c r="BF724" s="290"/>
      <c r="BG724" s="290"/>
      <c r="BH724" s="290"/>
      <c r="BI724" s="290"/>
      <c r="BJ724" s="290"/>
      <c r="BK724" s="290"/>
      <c r="BL724" s="290"/>
      <c r="BM724" s="290"/>
      <c r="BN724" s="290"/>
      <c r="BO724" s="290"/>
      <c r="BP724" s="290"/>
      <c r="BQ724" s="290"/>
      <c r="BR724" s="290"/>
      <c r="BS724" s="290"/>
      <c r="BT724" s="290"/>
      <c r="BU724" s="290"/>
      <c r="BV724" s="290"/>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row>
    <row r="725" customFormat="false" ht="15.75" hidden="false" customHeight="false" outlineLevel="0" collapsed="false">
      <c r="A725" s="290"/>
      <c r="B725" s="290"/>
      <c r="C725" s="290"/>
      <c r="D725" s="290"/>
      <c r="E725" s="290"/>
      <c r="F725" s="290"/>
      <c r="G725" s="290"/>
      <c r="H725" s="290"/>
      <c r="I725" s="290"/>
      <c r="J725" s="3"/>
      <c r="K725" s="290"/>
      <c r="L725" s="290"/>
      <c r="M725" s="290"/>
      <c r="N725" s="290"/>
      <c r="O725" s="290"/>
      <c r="P725" s="290"/>
      <c r="Q725" s="290"/>
      <c r="R725" s="290"/>
      <c r="S725" s="290"/>
      <c r="T725" s="290"/>
      <c r="U725" s="290"/>
      <c r="V725" s="290"/>
      <c r="W725" s="290"/>
      <c r="X725" s="290"/>
      <c r="Y725" s="290"/>
      <c r="Z725" s="290"/>
      <c r="AA725" s="290"/>
      <c r="AB725" s="290"/>
      <c r="AC725" s="290"/>
      <c r="AD725" s="290"/>
      <c r="AE725" s="290"/>
      <c r="AF725" s="290"/>
      <c r="AG725" s="290"/>
      <c r="AH725" s="290"/>
      <c r="AI725" s="290"/>
      <c r="AJ725" s="290"/>
      <c r="AK725" s="290"/>
      <c r="AL725" s="290"/>
      <c r="AM725" s="290"/>
      <c r="AN725" s="290"/>
      <c r="AO725" s="290"/>
      <c r="AP725" s="290"/>
      <c r="AQ725" s="290"/>
      <c r="AR725" s="290"/>
      <c r="AS725" s="290"/>
      <c r="AT725" s="290"/>
      <c r="AU725" s="290"/>
      <c r="AV725" s="290"/>
      <c r="AW725" s="290"/>
      <c r="AX725" s="290"/>
      <c r="AY725" s="290"/>
      <c r="AZ725" s="290"/>
      <c r="BA725" s="290"/>
      <c r="BB725" s="290"/>
      <c r="BC725" s="290"/>
      <c r="BD725" s="290"/>
      <c r="BE725" s="290"/>
      <c r="BF725" s="290"/>
      <c r="BG725" s="290"/>
      <c r="BH725" s="290"/>
      <c r="BI725" s="290"/>
      <c r="BJ725" s="290"/>
      <c r="BK725" s="290"/>
      <c r="BL725" s="290"/>
      <c r="BM725" s="290"/>
      <c r="BN725" s="290"/>
      <c r="BO725" s="290"/>
      <c r="BP725" s="290"/>
      <c r="BQ725" s="290"/>
      <c r="BR725" s="290"/>
      <c r="BS725" s="290"/>
      <c r="BT725" s="290"/>
      <c r="BU725" s="290"/>
      <c r="BV725" s="290"/>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row>
    <row r="726" customFormat="false" ht="15.75" hidden="false" customHeight="false" outlineLevel="0" collapsed="false">
      <c r="A726" s="290"/>
      <c r="B726" s="290"/>
      <c r="C726" s="290"/>
      <c r="D726" s="290"/>
      <c r="E726" s="290"/>
      <c r="F726" s="290"/>
      <c r="G726" s="290"/>
      <c r="H726" s="290"/>
      <c r="I726" s="290"/>
      <c r="J726" s="3"/>
      <c r="K726" s="290"/>
      <c r="L726" s="290"/>
      <c r="M726" s="290"/>
      <c r="N726" s="290"/>
      <c r="O726" s="290"/>
      <c r="P726" s="290"/>
      <c r="Q726" s="290"/>
      <c r="R726" s="290"/>
      <c r="S726" s="290"/>
      <c r="T726" s="290"/>
      <c r="U726" s="290"/>
      <c r="V726" s="290"/>
      <c r="W726" s="290"/>
      <c r="X726" s="290"/>
      <c r="Y726" s="290"/>
      <c r="Z726" s="290"/>
      <c r="AA726" s="290"/>
      <c r="AB726" s="290"/>
      <c r="AC726" s="290"/>
      <c r="AD726" s="290"/>
      <c r="AE726" s="290"/>
      <c r="AF726" s="290"/>
      <c r="AG726" s="290"/>
      <c r="AH726" s="290"/>
      <c r="AI726" s="290"/>
      <c r="AJ726" s="290"/>
      <c r="AK726" s="290"/>
      <c r="AL726" s="290"/>
      <c r="AM726" s="290"/>
      <c r="AN726" s="290"/>
      <c r="AO726" s="290"/>
      <c r="AP726" s="290"/>
      <c r="AQ726" s="290"/>
      <c r="AR726" s="290"/>
      <c r="AS726" s="290"/>
      <c r="AT726" s="290"/>
      <c r="AU726" s="290"/>
      <c r="AV726" s="290"/>
      <c r="AW726" s="290"/>
      <c r="AX726" s="290"/>
      <c r="AY726" s="290"/>
      <c r="AZ726" s="290"/>
      <c r="BA726" s="290"/>
      <c r="BB726" s="290"/>
      <c r="BC726" s="290"/>
      <c r="BD726" s="290"/>
      <c r="BE726" s="290"/>
      <c r="BF726" s="290"/>
      <c r="BG726" s="290"/>
      <c r="BH726" s="290"/>
      <c r="BI726" s="290"/>
      <c r="BJ726" s="290"/>
      <c r="BK726" s="290"/>
      <c r="BL726" s="290"/>
      <c r="BM726" s="290"/>
      <c r="BN726" s="290"/>
      <c r="BO726" s="290"/>
      <c r="BP726" s="290"/>
      <c r="BQ726" s="290"/>
      <c r="BR726" s="290"/>
      <c r="BS726" s="290"/>
      <c r="BT726" s="290"/>
      <c r="BU726" s="290"/>
      <c r="BV726" s="290"/>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row>
    <row r="727" customFormat="false" ht="15.75" hidden="false" customHeight="false" outlineLevel="0" collapsed="false">
      <c r="A727" s="290"/>
      <c r="B727" s="290"/>
      <c r="C727" s="290"/>
      <c r="D727" s="290"/>
      <c r="E727" s="290"/>
      <c r="F727" s="290"/>
      <c r="G727" s="290"/>
      <c r="H727" s="290"/>
      <c r="I727" s="290"/>
      <c r="J727" s="3"/>
      <c r="K727" s="290"/>
      <c r="L727" s="290"/>
      <c r="M727" s="290"/>
      <c r="N727" s="290"/>
      <c r="O727" s="290"/>
      <c r="P727" s="290"/>
      <c r="Q727" s="290"/>
      <c r="R727" s="290"/>
      <c r="S727" s="290"/>
      <c r="T727" s="290"/>
      <c r="U727" s="290"/>
      <c r="V727" s="290"/>
      <c r="W727" s="290"/>
      <c r="X727" s="290"/>
      <c r="Y727" s="290"/>
      <c r="Z727" s="290"/>
      <c r="AA727" s="290"/>
      <c r="AB727" s="290"/>
      <c r="AC727" s="290"/>
      <c r="AD727" s="290"/>
      <c r="AE727" s="290"/>
      <c r="AF727" s="290"/>
      <c r="AG727" s="290"/>
      <c r="AH727" s="290"/>
      <c r="AI727" s="290"/>
      <c r="AJ727" s="290"/>
      <c r="AK727" s="290"/>
      <c r="AL727" s="290"/>
      <c r="AM727" s="290"/>
      <c r="AN727" s="290"/>
      <c r="AO727" s="290"/>
      <c r="AP727" s="290"/>
      <c r="AQ727" s="290"/>
      <c r="AR727" s="290"/>
      <c r="AS727" s="290"/>
      <c r="AT727" s="290"/>
      <c r="AU727" s="290"/>
      <c r="AV727" s="290"/>
      <c r="AW727" s="290"/>
      <c r="AX727" s="290"/>
      <c r="AY727" s="290"/>
      <c r="AZ727" s="290"/>
      <c r="BA727" s="290"/>
      <c r="BB727" s="290"/>
      <c r="BC727" s="290"/>
      <c r="BD727" s="290"/>
      <c r="BE727" s="290"/>
      <c r="BF727" s="290"/>
      <c r="BG727" s="290"/>
      <c r="BH727" s="290"/>
      <c r="BI727" s="290"/>
      <c r="BJ727" s="290"/>
      <c r="BK727" s="290"/>
      <c r="BL727" s="290"/>
      <c r="BM727" s="290"/>
      <c r="BN727" s="290"/>
      <c r="BO727" s="290"/>
      <c r="BP727" s="290"/>
      <c r="BQ727" s="290"/>
      <c r="BR727" s="290"/>
      <c r="BS727" s="290"/>
      <c r="BT727" s="290"/>
      <c r="BU727" s="290"/>
      <c r="BV727" s="290"/>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row>
    <row r="728" customFormat="false" ht="15.75" hidden="false" customHeight="false" outlineLevel="0" collapsed="false">
      <c r="A728" s="290"/>
      <c r="B728" s="290"/>
      <c r="C728" s="290"/>
      <c r="D728" s="290"/>
      <c r="E728" s="290"/>
      <c r="F728" s="290"/>
      <c r="G728" s="290"/>
      <c r="H728" s="290"/>
      <c r="I728" s="290"/>
      <c r="J728" s="3"/>
      <c r="K728" s="290"/>
      <c r="L728" s="290"/>
      <c r="M728" s="290"/>
      <c r="N728" s="290"/>
      <c r="O728" s="290"/>
      <c r="P728" s="290"/>
      <c r="Q728" s="290"/>
      <c r="R728" s="290"/>
      <c r="S728" s="290"/>
      <c r="T728" s="290"/>
      <c r="U728" s="290"/>
      <c r="V728" s="290"/>
      <c r="W728" s="290"/>
      <c r="X728" s="290"/>
      <c r="Y728" s="290"/>
      <c r="Z728" s="290"/>
      <c r="AA728" s="290"/>
      <c r="AB728" s="290"/>
      <c r="AC728" s="290"/>
      <c r="AD728" s="290"/>
      <c r="AE728" s="290"/>
      <c r="AF728" s="290"/>
      <c r="AG728" s="290"/>
      <c r="AH728" s="290"/>
      <c r="AI728" s="290"/>
      <c r="AJ728" s="290"/>
      <c r="AK728" s="290"/>
      <c r="AL728" s="290"/>
      <c r="AM728" s="290"/>
      <c r="AN728" s="290"/>
      <c r="AO728" s="290"/>
      <c r="AP728" s="290"/>
      <c r="AQ728" s="290"/>
      <c r="AR728" s="290"/>
      <c r="AS728" s="290"/>
      <c r="AT728" s="290"/>
      <c r="AU728" s="290"/>
      <c r="AV728" s="290"/>
      <c r="AW728" s="290"/>
      <c r="AX728" s="290"/>
      <c r="AY728" s="290"/>
      <c r="AZ728" s="290"/>
      <c r="BA728" s="290"/>
      <c r="BB728" s="290"/>
      <c r="BC728" s="290"/>
      <c r="BD728" s="290"/>
      <c r="BE728" s="290"/>
      <c r="BF728" s="290"/>
      <c r="BG728" s="290"/>
      <c r="BH728" s="290"/>
      <c r="BI728" s="290"/>
      <c r="BJ728" s="290"/>
      <c r="BK728" s="290"/>
      <c r="BL728" s="290"/>
      <c r="BM728" s="290"/>
      <c r="BN728" s="290"/>
      <c r="BO728" s="290"/>
      <c r="BP728" s="290"/>
      <c r="BQ728" s="290"/>
      <c r="BR728" s="290"/>
      <c r="BS728" s="290"/>
      <c r="BT728" s="290"/>
      <c r="BU728" s="290"/>
      <c r="BV728" s="290"/>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row>
    <row r="729" customFormat="false" ht="15.75" hidden="false" customHeight="false" outlineLevel="0" collapsed="false">
      <c r="A729" s="290"/>
      <c r="B729" s="290"/>
      <c r="C729" s="290"/>
      <c r="D729" s="290"/>
      <c r="E729" s="290"/>
      <c r="F729" s="290"/>
      <c r="G729" s="290"/>
      <c r="H729" s="290"/>
      <c r="I729" s="290"/>
      <c r="J729" s="3"/>
      <c r="K729" s="290"/>
      <c r="L729" s="290"/>
      <c r="M729" s="290"/>
      <c r="N729" s="290"/>
      <c r="O729" s="290"/>
      <c r="P729" s="290"/>
      <c r="Q729" s="290"/>
      <c r="R729" s="290"/>
      <c r="S729" s="290"/>
      <c r="T729" s="290"/>
      <c r="U729" s="290"/>
      <c r="V729" s="290"/>
      <c r="W729" s="290"/>
      <c r="X729" s="290"/>
      <c r="Y729" s="290"/>
      <c r="Z729" s="290"/>
      <c r="AA729" s="290"/>
      <c r="AB729" s="290"/>
      <c r="AC729" s="290"/>
      <c r="AD729" s="290"/>
      <c r="AE729" s="290"/>
      <c r="AF729" s="290"/>
      <c r="AG729" s="290"/>
      <c r="AH729" s="290"/>
      <c r="AI729" s="290"/>
      <c r="AJ729" s="290"/>
      <c r="AK729" s="290"/>
      <c r="AL729" s="290"/>
      <c r="AM729" s="290"/>
      <c r="AN729" s="290"/>
      <c r="AO729" s="290"/>
      <c r="AP729" s="290"/>
      <c r="AQ729" s="290"/>
      <c r="AR729" s="290"/>
      <c r="AS729" s="290"/>
      <c r="AT729" s="290"/>
      <c r="AU729" s="290"/>
      <c r="AV729" s="290"/>
      <c r="AW729" s="290"/>
      <c r="AX729" s="290"/>
      <c r="AY729" s="290"/>
      <c r="AZ729" s="290"/>
      <c r="BA729" s="290"/>
      <c r="BB729" s="290"/>
      <c r="BC729" s="290"/>
      <c r="BD729" s="290"/>
      <c r="BE729" s="290"/>
      <c r="BF729" s="290"/>
      <c r="BG729" s="290"/>
      <c r="BH729" s="290"/>
      <c r="BI729" s="290"/>
      <c r="BJ729" s="290"/>
      <c r="BK729" s="290"/>
      <c r="BL729" s="290"/>
      <c r="BM729" s="290"/>
      <c r="BN729" s="290"/>
      <c r="BO729" s="290"/>
      <c r="BP729" s="290"/>
      <c r="BQ729" s="290"/>
      <c r="BR729" s="290"/>
      <c r="BS729" s="290"/>
      <c r="BT729" s="290"/>
      <c r="BU729" s="290"/>
      <c r="BV729" s="290"/>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row>
    <row r="730" customFormat="false" ht="15.75" hidden="false" customHeight="false" outlineLevel="0" collapsed="false">
      <c r="A730" s="290"/>
      <c r="B730" s="290"/>
      <c r="C730" s="290"/>
      <c r="D730" s="290"/>
      <c r="E730" s="290"/>
      <c r="F730" s="290"/>
      <c r="G730" s="290"/>
      <c r="H730" s="290"/>
      <c r="I730" s="290"/>
      <c r="J730" s="3"/>
      <c r="K730" s="290"/>
      <c r="L730" s="290"/>
      <c r="M730" s="290"/>
      <c r="N730" s="290"/>
      <c r="O730" s="290"/>
      <c r="P730" s="290"/>
      <c r="Q730" s="290"/>
      <c r="R730" s="290"/>
      <c r="S730" s="290"/>
      <c r="T730" s="290"/>
      <c r="U730" s="290"/>
      <c r="V730" s="290"/>
      <c r="W730" s="290"/>
      <c r="X730" s="290"/>
      <c r="Y730" s="290"/>
      <c r="Z730" s="290"/>
      <c r="AA730" s="290"/>
      <c r="AB730" s="290"/>
      <c r="AC730" s="290"/>
      <c r="AD730" s="290"/>
      <c r="AE730" s="290"/>
      <c r="AF730" s="290"/>
      <c r="AG730" s="290"/>
      <c r="AH730" s="290"/>
      <c r="AI730" s="290"/>
      <c r="AJ730" s="290"/>
      <c r="AK730" s="290"/>
      <c r="AL730" s="290"/>
      <c r="AM730" s="290"/>
      <c r="AN730" s="290"/>
      <c r="AO730" s="290"/>
      <c r="AP730" s="290"/>
      <c r="AQ730" s="290"/>
      <c r="AR730" s="290"/>
      <c r="AS730" s="290"/>
      <c r="AT730" s="290"/>
      <c r="AU730" s="290"/>
      <c r="AV730" s="290"/>
      <c r="AW730" s="290"/>
      <c r="AX730" s="290"/>
      <c r="AY730" s="290"/>
      <c r="AZ730" s="290"/>
      <c r="BA730" s="290"/>
      <c r="BB730" s="290"/>
      <c r="BC730" s="290"/>
      <c r="BD730" s="290"/>
      <c r="BE730" s="290"/>
      <c r="BF730" s="290"/>
      <c r="BG730" s="290"/>
      <c r="BH730" s="290"/>
      <c r="BI730" s="290"/>
      <c r="BJ730" s="290"/>
      <c r="BK730" s="290"/>
      <c r="BL730" s="290"/>
      <c r="BM730" s="290"/>
      <c r="BN730" s="290"/>
      <c r="BO730" s="290"/>
      <c r="BP730" s="290"/>
      <c r="BQ730" s="290"/>
      <c r="BR730" s="290"/>
      <c r="BS730" s="290"/>
      <c r="BT730" s="290"/>
      <c r="BU730" s="290"/>
      <c r="BV730" s="290"/>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row>
    <row r="731" customFormat="false" ht="15.75" hidden="false" customHeight="false" outlineLevel="0" collapsed="false">
      <c r="A731" s="290"/>
      <c r="B731" s="290"/>
      <c r="C731" s="290"/>
      <c r="D731" s="290"/>
      <c r="E731" s="290"/>
      <c r="F731" s="290"/>
      <c r="G731" s="290"/>
      <c r="H731" s="290"/>
      <c r="I731" s="290"/>
      <c r="J731" s="3"/>
      <c r="K731" s="290"/>
      <c r="L731" s="290"/>
      <c r="M731" s="290"/>
      <c r="N731" s="290"/>
      <c r="O731" s="290"/>
      <c r="P731" s="290"/>
      <c r="Q731" s="290"/>
      <c r="R731" s="290"/>
      <c r="S731" s="290"/>
      <c r="T731" s="290"/>
      <c r="U731" s="290"/>
      <c r="V731" s="290"/>
      <c r="W731" s="290"/>
      <c r="X731" s="290"/>
      <c r="Y731" s="290"/>
      <c r="Z731" s="290"/>
      <c r="AA731" s="290"/>
      <c r="AB731" s="290"/>
      <c r="AC731" s="290"/>
      <c r="AD731" s="290"/>
      <c r="AE731" s="290"/>
      <c r="AF731" s="290"/>
      <c r="AG731" s="290"/>
      <c r="AH731" s="290"/>
      <c r="AI731" s="290"/>
      <c r="AJ731" s="290"/>
      <c r="AK731" s="290"/>
      <c r="AL731" s="290"/>
      <c r="AM731" s="290"/>
      <c r="AN731" s="290"/>
      <c r="AO731" s="290"/>
      <c r="AP731" s="290"/>
      <c r="AQ731" s="290"/>
      <c r="AR731" s="290"/>
      <c r="AS731" s="290"/>
      <c r="AT731" s="290"/>
      <c r="AU731" s="290"/>
      <c r="AV731" s="290"/>
      <c r="AW731" s="290"/>
      <c r="AX731" s="290"/>
      <c r="AY731" s="290"/>
      <c r="AZ731" s="290"/>
      <c r="BA731" s="290"/>
      <c r="BB731" s="290"/>
      <c r="BC731" s="290"/>
      <c r="BD731" s="290"/>
      <c r="BE731" s="290"/>
      <c r="BF731" s="290"/>
      <c r="BG731" s="290"/>
      <c r="BH731" s="290"/>
      <c r="BI731" s="290"/>
      <c r="BJ731" s="290"/>
      <c r="BK731" s="290"/>
      <c r="BL731" s="290"/>
      <c r="BM731" s="290"/>
      <c r="BN731" s="290"/>
      <c r="BO731" s="290"/>
      <c r="BP731" s="290"/>
      <c r="BQ731" s="290"/>
      <c r="BR731" s="290"/>
      <c r="BS731" s="290"/>
      <c r="BT731" s="290"/>
      <c r="BU731" s="290"/>
      <c r="BV731" s="290"/>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row>
    <row r="732" customFormat="false" ht="15.75" hidden="false" customHeight="false" outlineLevel="0" collapsed="false">
      <c r="A732" s="290"/>
      <c r="B732" s="290"/>
      <c r="C732" s="290"/>
      <c r="D732" s="290"/>
      <c r="E732" s="290"/>
      <c r="F732" s="290"/>
      <c r="G732" s="290"/>
      <c r="H732" s="290"/>
      <c r="I732" s="290"/>
      <c r="J732" s="3"/>
      <c r="K732" s="290"/>
      <c r="L732" s="290"/>
      <c r="M732" s="290"/>
      <c r="N732" s="290"/>
      <c r="O732" s="290"/>
      <c r="P732" s="290"/>
      <c r="Q732" s="290"/>
      <c r="R732" s="290"/>
      <c r="S732" s="290"/>
      <c r="T732" s="290"/>
      <c r="U732" s="290"/>
      <c r="V732" s="290"/>
      <c r="W732" s="290"/>
      <c r="X732" s="290"/>
      <c r="Y732" s="290"/>
      <c r="Z732" s="290"/>
      <c r="AA732" s="290"/>
      <c r="AB732" s="290"/>
      <c r="AC732" s="290"/>
      <c r="AD732" s="290"/>
      <c r="AE732" s="290"/>
      <c r="AF732" s="290"/>
      <c r="AG732" s="290"/>
      <c r="AH732" s="290"/>
      <c r="AI732" s="290"/>
      <c r="AJ732" s="290"/>
      <c r="AK732" s="290"/>
      <c r="AL732" s="290"/>
      <c r="AM732" s="290"/>
      <c r="AN732" s="290"/>
      <c r="AO732" s="290"/>
      <c r="AP732" s="290"/>
      <c r="AQ732" s="290"/>
      <c r="AR732" s="290"/>
      <c r="AS732" s="290"/>
      <c r="AT732" s="290"/>
      <c r="AU732" s="290"/>
      <c r="AV732" s="290"/>
      <c r="AW732" s="290"/>
      <c r="AX732" s="290"/>
      <c r="AY732" s="290"/>
      <c r="AZ732" s="290"/>
      <c r="BA732" s="290"/>
      <c r="BB732" s="290"/>
      <c r="BC732" s="290"/>
      <c r="BD732" s="290"/>
      <c r="BE732" s="290"/>
      <c r="BF732" s="290"/>
      <c r="BG732" s="290"/>
      <c r="BH732" s="290"/>
      <c r="BI732" s="290"/>
      <c r="BJ732" s="290"/>
      <c r="BK732" s="290"/>
      <c r="BL732" s="290"/>
      <c r="BM732" s="290"/>
      <c r="BN732" s="290"/>
      <c r="BO732" s="290"/>
      <c r="BP732" s="290"/>
      <c r="BQ732" s="290"/>
      <c r="BR732" s="290"/>
      <c r="BS732" s="290"/>
      <c r="BT732" s="290"/>
      <c r="BU732" s="290"/>
      <c r="BV732" s="290"/>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row>
    <row r="733" customFormat="false" ht="15.75" hidden="false" customHeight="false" outlineLevel="0" collapsed="false">
      <c r="A733" s="290"/>
      <c r="B733" s="290"/>
      <c r="C733" s="290"/>
      <c r="D733" s="290"/>
      <c r="E733" s="290"/>
      <c r="F733" s="290"/>
      <c r="G733" s="290"/>
      <c r="H733" s="290"/>
      <c r="I733" s="290"/>
      <c r="J733" s="3"/>
      <c r="K733" s="290"/>
      <c r="L733" s="290"/>
      <c r="M733" s="290"/>
      <c r="N733" s="290"/>
      <c r="O733" s="290"/>
      <c r="P733" s="290"/>
      <c r="Q733" s="290"/>
      <c r="R733" s="290"/>
      <c r="S733" s="290"/>
      <c r="T733" s="290"/>
      <c r="U733" s="290"/>
      <c r="V733" s="290"/>
      <c r="W733" s="290"/>
      <c r="X733" s="290"/>
      <c r="Y733" s="290"/>
      <c r="Z733" s="290"/>
      <c r="AA733" s="290"/>
      <c r="AB733" s="290"/>
      <c r="AC733" s="290"/>
      <c r="AD733" s="290"/>
      <c r="AE733" s="290"/>
      <c r="AF733" s="290"/>
      <c r="AG733" s="290"/>
      <c r="AH733" s="290"/>
      <c r="AI733" s="290"/>
      <c r="AJ733" s="290"/>
      <c r="AK733" s="290"/>
      <c r="AL733" s="290"/>
      <c r="AM733" s="290"/>
      <c r="AN733" s="290"/>
      <c r="AO733" s="290"/>
      <c r="AP733" s="290"/>
      <c r="AQ733" s="290"/>
      <c r="AR733" s="290"/>
      <c r="AS733" s="290"/>
      <c r="AT733" s="290"/>
      <c r="AU733" s="290"/>
      <c r="AV733" s="290"/>
      <c r="AW733" s="290"/>
      <c r="AX733" s="290"/>
      <c r="AY733" s="290"/>
      <c r="AZ733" s="290"/>
      <c r="BA733" s="290"/>
      <c r="BB733" s="290"/>
      <c r="BC733" s="290"/>
      <c r="BD733" s="290"/>
      <c r="BE733" s="290"/>
      <c r="BF733" s="290"/>
      <c r="BG733" s="290"/>
      <c r="BH733" s="290"/>
      <c r="BI733" s="290"/>
      <c r="BJ733" s="290"/>
      <c r="BK733" s="290"/>
      <c r="BL733" s="290"/>
      <c r="BM733" s="290"/>
      <c r="BN733" s="290"/>
      <c r="BO733" s="290"/>
      <c r="BP733" s="290"/>
      <c r="BQ733" s="290"/>
      <c r="BR733" s="290"/>
      <c r="BS733" s="290"/>
      <c r="BT733" s="290"/>
      <c r="BU733" s="290"/>
      <c r="BV733" s="290"/>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row>
    <row r="734" customFormat="false" ht="15.75" hidden="false" customHeight="false" outlineLevel="0" collapsed="false">
      <c r="A734" s="290"/>
      <c r="B734" s="290"/>
      <c r="C734" s="290"/>
      <c r="D734" s="290"/>
      <c r="E734" s="290"/>
      <c r="F734" s="290"/>
      <c r="G734" s="290"/>
      <c r="H734" s="290"/>
      <c r="I734" s="290"/>
      <c r="J734" s="3"/>
      <c r="K734" s="290"/>
      <c r="L734" s="290"/>
      <c r="M734" s="290"/>
      <c r="N734" s="290"/>
      <c r="O734" s="290"/>
      <c r="P734" s="290"/>
      <c r="Q734" s="290"/>
      <c r="R734" s="290"/>
      <c r="S734" s="290"/>
      <c r="T734" s="290"/>
      <c r="U734" s="290"/>
      <c r="V734" s="290"/>
      <c r="W734" s="290"/>
      <c r="X734" s="290"/>
      <c r="Y734" s="290"/>
      <c r="Z734" s="290"/>
      <c r="AA734" s="290"/>
      <c r="AB734" s="290"/>
      <c r="AC734" s="290"/>
      <c r="AD734" s="290"/>
      <c r="AE734" s="290"/>
      <c r="AF734" s="290"/>
      <c r="AG734" s="290"/>
      <c r="AH734" s="290"/>
      <c r="AI734" s="290"/>
      <c r="AJ734" s="290"/>
      <c r="AK734" s="290"/>
      <c r="AL734" s="290"/>
      <c r="AM734" s="290"/>
      <c r="AN734" s="290"/>
      <c r="AO734" s="290"/>
      <c r="AP734" s="290"/>
      <c r="AQ734" s="290"/>
      <c r="AR734" s="290"/>
      <c r="AS734" s="290"/>
      <c r="AT734" s="290"/>
      <c r="AU734" s="290"/>
      <c r="AV734" s="290"/>
      <c r="AW734" s="290"/>
      <c r="AX734" s="290"/>
      <c r="AY734" s="290"/>
      <c r="AZ734" s="290"/>
      <c r="BA734" s="290"/>
      <c r="BB734" s="290"/>
      <c r="BC734" s="290"/>
      <c r="BD734" s="290"/>
      <c r="BE734" s="290"/>
      <c r="BF734" s="290"/>
      <c r="BG734" s="290"/>
      <c r="BH734" s="290"/>
      <c r="BI734" s="290"/>
      <c r="BJ734" s="290"/>
      <c r="BK734" s="290"/>
      <c r="BL734" s="290"/>
      <c r="BM734" s="290"/>
      <c r="BN734" s="290"/>
      <c r="BO734" s="290"/>
      <c r="BP734" s="290"/>
      <c r="BQ734" s="290"/>
      <c r="BR734" s="290"/>
      <c r="BS734" s="290"/>
      <c r="BT734" s="290"/>
      <c r="BU734" s="290"/>
      <c r="BV734" s="290"/>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row>
    <row r="735" customFormat="false" ht="15.75" hidden="false" customHeight="false" outlineLevel="0" collapsed="false">
      <c r="A735" s="290"/>
      <c r="B735" s="290"/>
      <c r="C735" s="290"/>
      <c r="D735" s="290"/>
      <c r="E735" s="290"/>
      <c r="F735" s="290"/>
      <c r="G735" s="290"/>
      <c r="H735" s="290"/>
      <c r="I735" s="290"/>
      <c r="J735" s="3"/>
      <c r="K735" s="290"/>
      <c r="L735" s="290"/>
      <c r="M735" s="290"/>
      <c r="N735" s="290"/>
      <c r="O735" s="290"/>
      <c r="P735" s="290"/>
      <c r="Q735" s="290"/>
      <c r="R735" s="290"/>
      <c r="S735" s="290"/>
      <c r="T735" s="290"/>
      <c r="U735" s="290"/>
      <c r="V735" s="290"/>
      <c r="W735" s="290"/>
      <c r="X735" s="290"/>
      <c r="Y735" s="290"/>
      <c r="Z735" s="290"/>
      <c r="AA735" s="290"/>
      <c r="AB735" s="290"/>
      <c r="AC735" s="290"/>
      <c r="AD735" s="290"/>
      <c r="AE735" s="290"/>
      <c r="AF735" s="290"/>
      <c r="AG735" s="290"/>
      <c r="AH735" s="290"/>
      <c r="AI735" s="290"/>
      <c r="AJ735" s="290"/>
      <c r="AK735" s="290"/>
      <c r="AL735" s="290"/>
      <c r="AM735" s="290"/>
      <c r="AN735" s="290"/>
      <c r="AO735" s="290"/>
      <c r="AP735" s="290"/>
      <c r="AQ735" s="290"/>
      <c r="AR735" s="290"/>
      <c r="AS735" s="290"/>
      <c r="AT735" s="290"/>
      <c r="AU735" s="290"/>
      <c r="AV735" s="290"/>
      <c r="AW735" s="290"/>
      <c r="AX735" s="290"/>
      <c r="AY735" s="290"/>
      <c r="AZ735" s="290"/>
      <c r="BA735" s="290"/>
      <c r="BB735" s="290"/>
      <c r="BC735" s="290"/>
      <c r="BD735" s="290"/>
      <c r="BE735" s="290"/>
      <c r="BF735" s="290"/>
      <c r="BG735" s="290"/>
      <c r="BH735" s="290"/>
      <c r="BI735" s="290"/>
      <c r="BJ735" s="290"/>
      <c r="BK735" s="290"/>
      <c r="BL735" s="290"/>
      <c r="BM735" s="290"/>
      <c r="BN735" s="290"/>
      <c r="BO735" s="290"/>
      <c r="BP735" s="290"/>
      <c r="BQ735" s="290"/>
      <c r="BR735" s="290"/>
      <c r="BS735" s="290"/>
      <c r="BT735" s="290"/>
      <c r="BU735" s="290"/>
      <c r="BV735" s="290"/>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row>
    <row r="736" customFormat="false" ht="15.75" hidden="false" customHeight="false" outlineLevel="0" collapsed="false">
      <c r="A736" s="290"/>
      <c r="B736" s="290"/>
      <c r="C736" s="290"/>
      <c r="D736" s="290"/>
      <c r="E736" s="290"/>
      <c r="F736" s="290"/>
      <c r="G736" s="290"/>
      <c r="H736" s="290"/>
      <c r="I736" s="290"/>
      <c r="J736" s="3"/>
      <c r="K736" s="290"/>
      <c r="L736" s="290"/>
      <c r="M736" s="290"/>
      <c r="N736" s="290"/>
      <c r="O736" s="290"/>
      <c r="P736" s="290"/>
      <c r="Q736" s="290"/>
      <c r="R736" s="290"/>
      <c r="S736" s="290"/>
      <c r="T736" s="290"/>
      <c r="U736" s="290"/>
      <c r="V736" s="290"/>
      <c r="W736" s="290"/>
      <c r="X736" s="290"/>
      <c r="Y736" s="290"/>
      <c r="Z736" s="290"/>
      <c r="AA736" s="290"/>
      <c r="AB736" s="290"/>
      <c r="AC736" s="290"/>
      <c r="AD736" s="290"/>
      <c r="AE736" s="290"/>
      <c r="AF736" s="290"/>
      <c r="AG736" s="290"/>
      <c r="AH736" s="290"/>
      <c r="AI736" s="290"/>
      <c r="AJ736" s="290"/>
      <c r="AK736" s="290"/>
      <c r="AL736" s="290"/>
      <c r="AM736" s="290"/>
      <c r="AN736" s="290"/>
      <c r="AO736" s="290"/>
      <c r="AP736" s="290"/>
      <c r="AQ736" s="290"/>
      <c r="AR736" s="290"/>
      <c r="AS736" s="290"/>
      <c r="AT736" s="290"/>
      <c r="AU736" s="290"/>
      <c r="AV736" s="290"/>
      <c r="AW736" s="290"/>
      <c r="AX736" s="290"/>
      <c r="AY736" s="290"/>
      <c r="AZ736" s="290"/>
      <c r="BA736" s="290"/>
      <c r="BB736" s="290"/>
      <c r="BC736" s="290"/>
      <c r="BD736" s="290"/>
      <c r="BE736" s="290"/>
      <c r="BF736" s="290"/>
      <c r="BG736" s="290"/>
      <c r="BH736" s="290"/>
      <c r="BI736" s="290"/>
      <c r="BJ736" s="290"/>
      <c r="BK736" s="290"/>
      <c r="BL736" s="290"/>
      <c r="BM736" s="290"/>
      <c r="BN736" s="290"/>
      <c r="BO736" s="290"/>
      <c r="BP736" s="290"/>
      <c r="BQ736" s="290"/>
      <c r="BR736" s="290"/>
      <c r="BS736" s="290"/>
      <c r="BT736" s="290"/>
      <c r="BU736" s="290"/>
      <c r="BV736" s="290"/>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row>
    <row r="737" customFormat="false" ht="15.75" hidden="false" customHeight="false" outlineLevel="0" collapsed="false">
      <c r="A737" s="290"/>
      <c r="B737" s="290"/>
      <c r="C737" s="290"/>
      <c r="D737" s="290"/>
      <c r="E737" s="290"/>
      <c r="F737" s="290"/>
      <c r="G737" s="290"/>
      <c r="H737" s="290"/>
      <c r="I737" s="290"/>
      <c r="J737" s="3"/>
      <c r="K737" s="290"/>
      <c r="L737" s="290"/>
      <c r="M737" s="290"/>
      <c r="N737" s="290"/>
      <c r="O737" s="290"/>
      <c r="P737" s="290"/>
      <c r="Q737" s="290"/>
      <c r="R737" s="290"/>
      <c r="S737" s="290"/>
      <c r="T737" s="290"/>
      <c r="U737" s="290"/>
      <c r="V737" s="290"/>
      <c r="W737" s="290"/>
      <c r="X737" s="290"/>
      <c r="Y737" s="290"/>
      <c r="Z737" s="290"/>
      <c r="AA737" s="290"/>
      <c r="AB737" s="290"/>
      <c r="AC737" s="290"/>
      <c r="AD737" s="290"/>
      <c r="AE737" s="290"/>
      <c r="AF737" s="290"/>
      <c r="AG737" s="290"/>
      <c r="AH737" s="290"/>
      <c r="AI737" s="290"/>
      <c r="AJ737" s="290"/>
      <c r="AK737" s="290"/>
      <c r="AL737" s="290"/>
      <c r="AM737" s="290"/>
      <c r="AN737" s="290"/>
      <c r="AO737" s="290"/>
      <c r="AP737" s="290"/>
      <c r="AQ737" s="290"/>
      <c r="AR737" s="290"/>
      <c r="AS737" s="290"/>
      <c r="AT737" s="290"/>
      <c r="AU737" s="290"/>
      <c r="AV737" s="290"/>
      <c r="AW737" s="290"/>
      <c r="AX737" s="290"/>
      <c r="AY737" s="290"/>
      <c r="AZ737" s="290"/>
      <c r="BA737" s="290"/>
      <c r="BB737" s="290"/>
      <c r="BC737" s="290"/>
      <c r="BD737" s="290"/>
      <c r="BE737" s="290"/>
      <c r="BF737" s="290"/>
      <c r="BG737" s="290"/>
      <c r="BH737" s="290"/>
      <c r="BI737" s="290"/>
      <c r="BJ737" s="290"/>
      <c r="BK737" s="290"/>
      <c r="BL737" s="290"/>
      <c r="BM737" s="290"/>
      <c r="BN737" s="290"/>
      <c r="BO737" s="290"/>
      <c r="BP737" s="290"/>
      <c r="BQ737" s="290"/>
      <c r="BR737" s="290"/>
      <c r="BS737" s="290"/>
      <c r="BT737" s="290"/>
      <c r="BU737" s="290"/>
      <c r="BV737" s="290"/>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row>
    <row r="738" customFormat="false" ht="15.75" hidden="false" customHeight="false" outlineLevel="0" collapsed="false">
      <c r="A738" s="290"/>
      <c r="B738" s="290"/>
      <c r="C738" s="290"/>
      <c r="D738" s="290"/>
      <c r="E738" s="290"/>
      <c r="F738" s="290"/>
      <c r="G738" s="290"/>
      <c r="H738" s="290"/>
      <c r="I738" s="290"/>
      <c r="J738" s="3"/>
      <c r="K738" s="290"/>
      <c r="L738" s="290"/>
      <c r="M738" s="290"/>
      <c r="N738" s="290"/>
      <c r="O738" s="290"/>
      <c r="P738" s="290"/>
      <c r="Q738" s="290"/>
      <c r="R738" s="290"/>
      <c r="S738" s="290"/>
      <c r="T738" s="290"/>
      <c r="U738" s="290"/>
      <c r="V738" s="290"/>
      <c r="W738" s="290"/>
      <c r="X738" s="290"/>
      <c r="Y738" s="290"/>
      <c r="Z738" s="290"/>
      <c r="AA738" s="290"/>
      <c r="AB738" s="290"/>
      <c r="AC738" s="290"/>
      <c r="AD738" s="290"/>
      <c r="AE738" s="290"/>
      <c r="AF738" s="290"/>
      <c r="AG738" s="290"/>
      <c r="AH738" s="290"/>
      <c r="AI738" s="290"/>
      <c r="AJ738" s="290"/>
      <c r="AK738" s="290"/>
      <c r="AL738" s="290"/>
      <c r="AM738" s="290"/>
      <c r="AN738" s="290"/>
      <c r="AO738" s="290"/>
      <c r="AP738" s="290"/>
      <c r="AQ738" s="290"/>
      <c r="AR738" s="290"/>
      <c r="AS738" s="290"/>
      <c r="AT738" s="290"/>
      <c r="AU738" s="290"/>
      <c r="AV738" s="290"/>
      <c r="AW738" s="290"/>
      <c r="AX738" s="290"/>
      <c r="AY738" s="290"/>
      <c r="AZ738" s="290"/>
      <c r="BA738" s="290"/>
      <c r="BB738" s="290"/>
      <c r="BC738" s="290"/>
      <c r="BD738" s="290"/>
      <c r="BE738" s="290"/>
      <c r="BF738" s="290"/>
      <c r="BG738" s="290"/>
      <c r="BH738" s="290"/>
      <c r="BI738" s="290"/>
      <c r="BJ738" s="290"/>
      <c r="BK738" s="290"/>
      <c r="BL738" s="290"/>
      <c r="BM738" s="290"/>
      <c r="BN738" s="290"/>
      <c r="BO738" s="290"/>
      <c r="BP738" s="290"/>
      <c r="BQ738" s="290"/>
      <c r="BR738" s="290"/>
      <c r="BS738" s="290"/>
      <c r="BT738" s="290"/>
      <c r="BU738" s="290"/>
      <c r="BV738" s="290"/>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row>
    <row r="739" customFormat="false" ht="15.75" hidden="false" customHeight="false" outlineLevel="0" collapsed="false">
      <c r="A739" s="290"/>
      <c r="B739" s="290"/>
      <c r="C739" s="290"/>
      <c r="D739" s="290"/>
      <c r="E739" s="290"/>
      <c r="F739" s="290"/>
      <c r="G739" s="290"/>
      <c r="H739" s="290"/>
      <c r="I739" s="290"/>
      <c r="J739" s="3"/>
      <c r="K739" s="290"/>
      <c r="L739" s="290"/>
      <c r="M739" s="290"/>
      <c r="N739" s="290"/>
      <c r="O739" s="290"/>
      <c r="P739" s="290"/>
      <c r="Q739" s="290"/>
      <c r="R739" s="290"/>
      <c r="S739" s="290"/>
      <c r="T739" s="290"/>
      <c r="U739" s="290"/>
      <c r="V739" s="290"/>
      <c r="W739" s="290"/>
      <c r="X739" s="290"/>
      <c r="Y739" s="290"/>
      <c r="Z739" s="290"/>
      <c r="AA739" s="290"/>
      <c r="AB739" s="290"/>
      <c r="AC739" s="290"/>
      <c r="AD739" s="290"/>
      <c r="AE739" s="290"/>
      <c r="AF739" s="290"/>
      <c r="AG739" s="290"/>
      <c r="AH739" s="290"/>
      <c r="AI739" s="290"/>
      <c r="AJ739" s="290"/>
      <c r="AK739" s="290"/>
      <c r="AL739" s="290"/>
      <c r="AM739" s="290"/>
      <c r="AN739" s="290"/>
      <c r="AO739" s="290"/>
      <c r="AP739" s="290"/>
      <c r="AQ739" s="290"/>
      <c r="AR739" s="290"/>
      <c r="AS739" s="290"/>
      <c r="AT739" s="290"/>
      <c r="AU739" s="290"/>
      <c r="AV739" s="290"/>
      <c r="AW739" s="290"/>
      <c r="AX739" s="290"/>
      <c r="AY739" s="290"/>
      <c r="AZ739" s="290"/>
      <c r="BA739" s="290"/>
      <c r="BB739" s="290"/>
      <c r="BC739" s="290"/>
      <c r="BD739" s="290"/>
      <c r="BE739" s="290"/>
      <c r="BF739" s="290"/>
      <c r="BG739" s="290"/>
      <c r="BH739" s="290"/>
      <c r="BI739" s="290"/>
      <c r="BJ739" s="290"/>
      <c r="BK739" s="290"/>
      <c r="BL739" s="290"/>
      <c r="BM739" s="290"/>
      <c r="BN739" s="290"/>
      <c r="BO739" s="290"/>
      <c r="BP739" s="290"/>
      <c r="BQ739" s="290"/>
      <c r="BR739" s="290"/>
      <c r="BS739" s="290"/>
      <c r="BT739" s="290"/>
      <c r="BU739" s="290"/>
      <c r="BV739" s="290"/>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row>
    <row r="740" customFormat="false" ht="15.75" hidden="false" customHeight="false" outlineLevel="0" collapsed="false">
      <c r="A740" s="290"/>
      <c r="B740" s="290"/>
      <c r="C740" s="290"/>
      <c r="D740" s="290"/>
      <c r="E740" s="290"/>
      <c r="F740" s="290"/>
      <c r="G740" s="290"/>
      <c r="H740" s="290"/>
      <c r="I740" s="290"/>
      <c r="J740" s="3"/>
      <c r="K740" s="290"/>
      <c r="L740" s="290"/>
      <c r="M740" s="290"/>
      <c r="N740" s="290"/>
      <c r="O740" s="290"/>
      <c r="P740" s="290"/>
      <c r="Q740" s="290"/>
      <c r="R740" s="290"/>
      <c r="S740" s="290"/>
      <c r="T740" s="290"/>
      <c r="U740" s="290"/>
      <c r="V740" s="290"/>
      <c r="W740" s="290"/>
      <c r="X740" s="290"/>
      <c r="Y740" s="290"/>
      <c r="Z740" s="290"/>
      <c r="AA740" s="290"/>
      <c r="AB740" s="290"/>
      <c r="AC740" s="290"/>
      <c r="AD740" s="290"/>
      <c r="AE740" s="290"/>
      <c r="AF740" s="290"/>
      <c r="AG740" s="290"/>
      <c r="AH740" s="290"/>
      <c r="AI740" s="290"/>
      <c r="AJ740" s="290"/>
      <c r="AK740" s="290"/>
      <c r="AL740" s="290"/>
      <c r="AM740" s="290"/>
      <c r="AN740" s="290"/>
      <c r="AO740" s="290"/>
      <c r="AP740" s="290"/>
      <c r="AQ740" s="290"/>
      <c r="AR740" s="290"/>
      <c r="AS740" s="290"/>
      <c r="AT740" s="290"/>
      <c r="AU740" s="290"/>
      <c r="AV740" s="290"/>
      <c r="AW740" s="290"/>
      <c r="AX740" s="290"/>
      <c r="AY740" s="290"/>
      <c r="AZ740" s="290"/>
      <c r="BA740" s="290"/>
      <c r="BB740" s="290"/>
      <c r="BC740" s="290"/>
      <c r="BD740" s="290"/>
      <c r="BE740" s="290"/>
      <c r="BF740" s="290"/>
      <c r="BG740" s="290"/>
      <c r="BH740" s="290"/>
      <c r="BI740" s="290"/>
      <c r="BJ740" s="290"/>
      <c r="BK740" s="290"/>
      <c r="BL740" s="290"/>
      <c r="BM740" s="290"/>
      <c r="BN740" s="290"/>
      <c r="BO740" s="290"/>
      <c r="BP740" s="290"/>
      <c r="BQ740" s="290"/>
      <c r="BR740" s="290"/>
      <c r="BS740" s="290"/>
      <c r="BT740" s="290"/>
      <c r="BU740" s="290"/>
      <c r="BV740" s="290"/>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row>
    <row r="741" customFormat="false" ht="15.75" hidden="false" customHeight="false" outlineLevel="0" collapsed="false">
      <c r="A741" s="290"/>
      <c r="B741" s="290"/>
      <c r="C741" s="290"/>
      <c r="D741" s="290"/>
      <c r="E741" s="290"/>
      <c r="F741" s="290"/>
      <c r="G741" s="290"/>
      <c r="H741" s="290"/>
      <c r="I741" s="290"/>
      <c r="J741" s="3"/>
      <c r="K741" s="290"/>
      <c r="L741" s="290"/>
      <c r="M741" s="290"/>
      <c r="N741" s="290"/>
      <c r="O741" s="290"/>
      <c r="P741" s="290"/>
      <c r="Q741" s="290"/>
      <c r="R741" s="290"/>
      <c r="S741" s="290"/>
      <c r="T741" s="290"/>
      <c r="U741" s="290"/>
      <c r="V741" s="290"/>
      <c r="W741" s="290"/>
      <c r="X741" s="290"/>
      <c r="Y741" s="290"/>
      <c r="Z741" s="290"/>
      <c r="AA741" s="290"/>
      <c r="AB741" s="290"/>
      <c r="AC741" s="290"/>
      <c r="AD741" s="290"/>
      <c r="AE741" s="290"/>
      <c r="AF741" s="290"/>
      <c r="AG741" s="290"/>
      <c r="AH741" s="290"/>
      <c r="AI741" s="290"/>
      <c r="AJ741" s="290"/>
      <c r="AK741" s="290"/>
      <c r="AL741" s="290"/>
      <c r="AM741" s="290"/>
      <c r="AN741" s="290"/>
      <c r="AO741" s="290"/>
      <c r="AP741" s="290"/>
      <c r="AQ741" s="290"/>
      <c r="AR741" s="290"/>
      <c r="AS741" s="290"/>
      <c r="AT741" s="290"/>
      <c r="AU741" s="290"/>
      <c r="AV741" s="290"/>
      <c r="AW741" s="290"/>
      <c r="AX741" s="290"/>
      <c r="AY741" s="290"/>
      <c r="AZ741" s="290"/>
      <c r="BA741" s="290"/>
      <c r="BB741" s="290"/>
      <c r="BC741" s="290"/>
      <c r="BD741" s="290"/>
      <c r="BE741" s="290"/>
      <c r="BF741" s="290"/>
      <c r="BG741" s="290"/>
      <c r="BH741" s="290"/>
      <c r="BI741" s="290"/>
      <c r="BJ741" s="290"/>
      <c r="BK741" s="290"/>
      <c r="BL741" s="290"/>
      <c r="BM741" s="290"/>
      <c r="BN741" s="290"/>
      <c r="BO741" s="290"/>
      <c r="BP741" s="290"/>
      <c r="BQ741" s="290"/>
      <c r="BR741" s="290"/>
      <c r="BS741" s="290"/>
      <c r="BT741" s="290"/>
      <c r="BU741" s="290"/>
      <c r="BV741" s="290"/>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row>
    <row r="742" customFormat="false" ht="15.75" hidden="false" customHeight="false" outlineLevel="0" collapsed="false">
      <c r="A742" s="290"/>
      <c r="B742" s="290"/>
      <c r="C742" s="290"/>
      <c r="D742" s="290"/>
      <c r="E742" s="290"/>
      <c r="F742" s="290"/>
      <c r="G742" s="290"/>
      <c r="H742" s="290"/>
      <c r="I742" s="290"/>
      <c r="J742" s="3"/>
      <c r="K742" s="290"/>
      <c r="L742" s="290"/>
      <c r="M742" s="290"/>
      <c r="N742" s="290"/>
      <c r="O742" s="290"/>
      <c r="P742" s="290"/>
      <c r="Q742" s="290"/>
      <c r="R742" s="290"/>
      <c r="S742" s="290"/>
      <c r="T742" s="290"/>
      <c r="U742" s="290"/>
      <c r="V742" s="290"/>
      <c r="W742" s="290"/>
      <c r="X742" s="290"/>
      <c r="Y742" s="290"/>
      <c r="Z742" s="290"/>
      <c r="AA742" s="290"/>
      <c r="AB742" s="290"/>
      <c r="AC742" s="290"/>
      <c r="AD742" s="290"/>
      <c r="AE742" s="290"/>
      <c r="AF742" s="290"/>
      <c r="AG742" s="290"/>
      <c r="AH742" s="290"/>
      <c r="AI742" s="290"/>
      <c r="AJ742" s="290"/>
      <c r="AK742" s="290"/>
      <c r="AL742" s="290"/>
      <c r="AM742" s="290"/>
      <c r="AN742" s="290"/>
      <c r="AO742" s="290"/>
      <c r="AP742" s="290"/>
      <c r="AQ742" s="290"/>
      <c r="AR742" s="290"/>
      <c r="AS742" s="290"/>
      <c r="AT742" s="290"/>
      <c r="AU742" s="290"/>
      <c r="AV742" s="290"/>
      <c r="AW742" s="290"/>
      <c r="AX742" s="290"/>
      <c r="AY742" s="290"/>
      <c r="AZ742" s="290"/>
      <c r="BA742" s="290"/>
      <c r="BB742" s="290"/>
      <c r="BC742" s="290"/>
      <c r="BD742" s="290"/>
      <c r="BE742" s="290"/>
      <c r="BF742" s="290"/>
      <c r="BG742" s="290"/>
      <c r="BH742" s="290"/>
      <c r="BI742" s="290"/>
      <c r="BJ742" s="290"/>
      <c r="BK742" s="290"/>
      <c r="BL742" s="290"/>
      <c r="BM742" s="290"/>
      <c r="BN742" s="290"/>
      <c r="BO742" s="290"/>
      <c r="BP742" s="290"/>
      <c r="BQ742" s="290"/>
      <c r="BR742" s="290"/>
      <c r="BS742" s="290"/>
      <c r="BT742" s="290"/>
      <c r="BU742" s="290"/>
      <c r="BV742" s="290"/>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row>
    <row r="743" customFormat="false" ht="15.75" hidden="false" customHeight="false" outlineLevel="0" collapsed="false">
      <c r="A743" s="290"/>
      <c r="B743" s="290"/>
      <c r="C743" s="290"/>
      <c r="D743" s="290"/>
      <c r="E743" s="290"/>
      <c r="F743" s="290"/>
      <c r="G743" s="290"/>
      <c r="H743" s="290"/>
      <c r="I743" s="290"/>
      <c r="J743" s="3"/>
      <c r="K743" s="290"/>
      <c r="L743" s="290"/>
      <c r="M743" s="290"/>
      <c r="N743" s="290"/>
      <c r="O743" s="290"/>
      <c r="P743" s="290"/>
      <c r="Q743" s="290"/>
      <c r="R743" s="290"/>
      <c r="S743" s="290"/>
      <c r="T743" s="290"/>
      <c r="U743" s="290"/>
      <c r="V743" s="290"/>
      <c r="W743" s="290"/>
      <c r="X743" s="290"/>
      <c r="Y743" s="290"/>
      <c r="Z743" s="290"/>
      <c r="AA743" s="290"/>
      <c r="AB743" s="290"/>
      <c r="AC743" s="290"/>
      <c r="AD743" s="290"/>
      <c r="AE743" s="290"/>
      <c r="AF743" s="290"/>
      <c r="AG743" s="290"/>
      <c r="AH743" s="290"/>
      <c r="AI743" s="290"/>
      <c r="AJ743" s="290"/>
      <c r="AK743" s="290"/>
      <c r="AL743" s="290"/>
      <c r="AM743" s="290"/>
      <c r="AN743" s="290"/>
      <c r="AO743" s="290"/>
      <c r="AP743" s="290"/>
      <c r="AQ743" s="290"/>
      <c r="AR743" s="290"/>
      <c r="AS743" s="290"/>
      <c r="AT743" s="290"/>
      <c r="AU743" s="290"/>
      <c r="AV743" s="290"/>
      <c r="AW743" s="290"/>
      <c r="AX743" s="290"/>
      <c r="AY743" s="290"/>
      <c r="AZ743" s="290"/>
      <c r="BA743" s="290"/>
      <c r="BB743" s="290"/>
      <c r="BC743" s="290"/>
      <c r="BD743" s="290"/>
      <c r="BE743" s="290"/>
      <c r="BF743" s="290"/>
      <c r="BG743" s="290"/>
      <c r="BH743" s="290"/>
      <c r="BI743" s="290"/>
      <c r="BJ743" s="290"/>
      <c r="BK743" s="290"/>
      <c r="BL743" s="290"/>
      <c r="BM743" s="290"/>
      <c r="BN743" s="290"/>
      <c r="BO743" s="290"/>
      <c r="BP743" s="290"/>
      <c r="BQ743" s="290"/>
      <c r="BR743" s="290"/>
      <c r="BS743" s="290"/>
      <c r="BT743" s="290"/>
      <c r="BU743" s="290"/>
      <c r="BV743" s="290"/>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row>
    <row r="744" customFormat="false" ht="15.75" hidden="false" customHeight="false" outlineLevel="0" collapsed="false">
      <c r="A744" s="290"/>
      <c r="B744" s="290"/>
      <c r="C744" s="290"/>
      <c r="D744" s="290"/>
      <c r="E744" s="290"/>
      <c r="F744" s="290"/>
      <c r="G744" s="290"/>
      <c r="H744" s="290"/>
      <c r="I744" s="290"/>
      <c r="J744" s="3"/>
      <c r="K744" s="290"/>
      <c r="L744" s="290"/>
      <c r="M744" s="290"/>
      <c r="N744" s="290"/>
      <c r="O744" s="290"/>
      <c r="P744" s="290"/>
      <c r="Q744" s="290"/>
      <c r="R744" s="290"/>
      <c r="S744" s="290"/>
      <c r="T744" s="290"/>
      <c r="U744" s="290"/>
      <c r="V744" s="290"/>
      <c r="W744" s="290"/>
      <c r="X744" s="290"/>
      <c r="Y744" s="290"/>
      <c r="Z744" s="290"/>
      <c r="AA744" s="290"/>
      <c r="AB744" s="290"/>
      <c r="AC744" s="290"/>
      <c r="AD744" s="290"/>
      <c r="AE744" s="290"/>
      <c r="AF744" s="290"/>
      <c r="AG744" s="290"/>
      <c r="AH744" s="290"/>
      <c r="AI744" s="290"/>
      <c r="AJ744" s="290"/>
      <c r="AK744" s="290"/>
      <c r="AL744" s="290"/>
      <c r="AM744" s="290"/>
      <c r="AN744" s="290"/>
      <c r="AO744" s="290"/>
      <c r="AP744" s="290"/>
      <c r="AQ744" s="290"/>
      <c r="AR744" s="290"/>
      <c r="AS744" s="290"/>
      <c r="AT744" s="290"/>
      <c r="AU744" s="290"/>
      <c r="AV744" s="290"/>
      <c r="AW744" s="290"/>
      <c r="AX744" s="290"/>
      <c r="AY744" s="290"/>
      <c r="AZ744" s="290"/>
      <c r="BA744" s="290"/>
      <c r="BB744" s="290"/>
      <c r="BC744" s="290"/>
      <c r="BD744" s="290"/>
      <c r="BE744" s="290"/>
      <c r="BF744" s="290"/>
      <c r="BG744" s="290"/>
      <c r="BH744" s="290"/>
      <c r="BI744" s="290"/>
      <c r="BJ744" s="290"/>
      <c r="BK744" s="290"/>
      <c r="BL744" s="290"/>
      <c r="BM744" s="290"/>
      <c r="BN744" s="290"/>
      <c r="BO744" s="290"/>
      <c r="BP744" s="290"/>
      <c r="BQ744" s="290"/>
      <c r="BR744" s="290"/>
      <c r="BS744" s="290"/>
      <c r="BT744" s="290"/>
      <c r="BU744" s="290"/>
      <c r="BV744" s="290"/>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row>
    <row r="745" customFormat="false" ht="15.75" hidden="false" customHeight="false" outlineLevel="0" collapsed="false">
      <c r="A745" s="290"/>
      <c r="B745" s="290"/>
      <c r="C745" s="290"/>
      <c r="D745" s="290"/>
      <c r="E745" s="290"/>
      <c r="F745" s="290"/>
      <c r="G745" s="290"/>
      <c r="H745" s="290"/>
      <c r="I745" s="290"/>
      <c r="J745" s="3"/>
      <c r="K745" s="290"/>
      <c r="L745" s="290"/>
      <c r="M745" s="290"/>
      <c r="N745" s="290"/>
      <c r="O745" s="290"/>
      <c r="P745" s="290"/>
      <c r="Q745" s="290"/>
      <c r="R745" s="290"/>
      <c r="S745" s="290"/>
      <c r="T745" s="290"/>
      <c r="U745" s="290"/>
      <c r="V745" s="290"/>
      <c r="W745" s="290"/>
      <c r="X745" s="290"/>
      <c r="Y745" s="290"/>
      <c r="Z745" s="290"/>
      <c r="AA745" s="290"/>
      <c r="AB745" s="290"/>
      <c r="AC745" s="290"/>
      <c r="AD745" s="290"/>
      <c r="AE745" s="290"/>
      <c r="AF745" s="290"/>
      <c r="AG745" s="290"/>
      <c r="AH745" s="290"/>
      <c r="AI745" s="290"/>
      <c r="AJ745" s="290"/>
      <c r="AK745" s="290"/>
      <c r="AL745" s="290"/>
      <c r="AM745" s="290"/>
      <c r="AN745" s="290"/>
      <c r="AO745" s="290"/>
      <c r="AP745" s="290"/>
      <c r="AQ745" s="290"/>
      <c r="AR745" s="290"/>
      <c r="AS745" s="290"/>
      <c r="AT745" s="290"/>
      <c r="AU745" s="290"/>
      <c r="AV745" s="290"/>
      <c r="AW745" s="290"/>
      <c r="AX745" s="290"/>
      <c r="AY745" s="290"/>
      <c r="AZ745" s="290"/>
      <c r="BA745" s="290"/>
      <c r="BB745" s="290"/>
      <c r="BC745" s="290"/>
      <c r="BD745" s="290"/>
      <c r="BE745" s="290"/>
      <c r="BF745" s="290"/>
      <c r="BG745" s="290"/>
      <c r="BH745" s="290"/>
      <c r="BI745" s="290"/>
      <c r="BJ745" s="290"/>
      <c r="BK745" s="290"/>
      <c r="BL745" s="290"/>
      <c r="BM745" s="290"/>
      <c r="BN745" s="290"/>
      <c r="BO745" s="290"/>
      <c r="BP745" s="290"/>
      <c r="BQ745" s="290"/>
      <c r="BR745" s="290"/>
      <c r="BS745" s="290"/>
      <c r="BT745" s="290"/>
      <c r="BU745" s="290"/>
      <c r="BV745" s="290"/>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row>
    <row r="746" customFormat="false" ht="15.75" hidden="false" customHeight="false" outlineLevel="0" collapsed="false">
      <c r="A746" s="290"/>
      <c r="B746" s="290"/>
      <c r="C746" s="290"/>
      <c r="D746" s="290"/>
      <c r="E746" s="290"/>
      <c r="F746" s="290"/>
      <c r="G746" s="290"/>
      <c r="H746" s="290"/>
      <c r="I746" s="290"/>
      <c r="J746" s="3"/>
      <c r="K746" s="290"/>
      <c r="L746" s="290"/>
      <c r="M746" s="290"/>
      <c r="N746" s="290"/>
      <c r="O746" s="290"/>
      <c r="P746" s="290"/>
      <c r="Q746" s="290"/>
      <c r="R746" s="290"/>
      <c r="S746" s="290"/>
      <c r="T746" s="290"/>
      <c r="U746" s="290"/>
      <c r="V746" s="290"/>
      <c r="W746" s="290"/>
      <c r="X746" s="290"/>
      <c r="Y746" s="290"/>
      <c r="Z746" s="290"/>
      <c r="AA746" s="290"/>
      <c r="AB746" s="290"/>
      <c r="AC746" s="290"/>
      <c r="AD746" s="290"/>
      <c r="AE746" s="290"/>
      <c r="AF746" s="290"/>
      <c r="AG746" s="290"/>
      <c r="AH746" s="290"/>
      <c r="AI746" s="290"/>
      <c r="AJ746" s="290"/>
      <c r="AK746" s="290"/>
      <c r="AL746" s="290"/>
      <c r="AM746" s="290"/>
      <c r="AN746" s="290"/>
      <c r="AO746" s="290"/>
      <c r="AP746" s="290"/>
      <c r="AQ746" s="290"/>
      <c r="AR746" s="290"/>
      <c r="AS746" s="290"/>
      <c r="AT746" s="290"/>
      <c r="AU746" s="290"/>
      <c r="AV746" s="290"/>
      <c r="AW746" s="290"/>
      <c r="AX746" s="290"/>
      <c r="AY746" s="290"/>
      <c r="AZ746" s="290"/>
      <c r="BA746" s="290"/>
      <c r="BB746" s="290"/>
      <c r="BC746" s="290"/>
      <c r="BD746" s="290"/>
      <c r="BE746" s="290"/>
      <c r="BF746" s="290"/>
      <c r="BG746" s="290"/>
      <c r="BH746" s="290"/>
      <c r="BI746" s="290"/>
      <c r="BJ746" s="290"/>
      <c r="BK746" s="290"/>
      <c r="BL746" s="290"/>
      <c r="BM746" s="290"/>
      <c r="BN746" s="290"/>
      <c r="BO746" s="290"/>
      <c r="BP746" s="290"/>
      <c r="BQ746" s="290"/>
      <c r="BR746" s="290"/>
      <c r="BS746" s="290"/>
      <c r="BT746" s="290"/>
      <c r="BU746" s="290"/>
      <c r="BV746" s="290"/>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row>
    <row r="747" customFormat="false" ht="15.75" hidden="false" customHeight="false" outlineLevel="0" collapsed="false">
      <c r="A747" s="290"/>
      <c r="B747" s="290"/>
      <c r="C747" s="290"/>
      <c r="D747" s="290"/>
      <c r="E747" s="290"/>
      <c r="F747" s="290"/>
      <c r="G747" s="290"/>
      <c r="H747" s="290"/>
      <c r="I747" s="290"/>
      <c r="J747" s="3"/>
      <c r="K747" s="290"/>
      <c r="L747" s="290"/>
      <c r="M747" s="290"/>
      <c r="N747" s="290"/>
      <c r="O747" s="290"/>
      <c r="P747" s="290"/>
      <c r="Q747" s="290"/>
      <c r="R747" s="290"/>
      <c r="S747" s="290"/>
      <c r="T747" s="290"/>
      <c r="U747" s="290"/>
      <c r="V747" s="290"/>
      <c r="W747" s="290"/>
      <c r="X747" s="290"/>
      <c r="Y747" s="290"/>
      <c r="Z747" s="290"/>
      <c r="AA747" s="290"/>
      <c r="AB747" s="290"/>
      <c r="AC747" s="290"/>
      <c r="AD747" s="290"/>
      <c r="AE747" s="290"/>
      <c r="AF747" s="290"/>
      <c r="AG747" s="290"/>
      <c r="AH747" s="290"/>
      <c r="AI747" s="290"/>
      <c r="AJ747" s="290"/>
      <c r="AK747" s="290"/>
      <c r="AL747" s="290"/>
      <c r="AM747" s="290"/>
      <c r="AN747" s="290"/>
      <c r="AO747" s="290"/>
      <c r="AP747" s="290"/>
      <c r="AQ747" s="290"/>
      <c r="AR747" s="290"/>
      <c r="AS747" s="290"/>
      <c r="AT747" s="290"/>
      <c r="AU747" s="290"/>
      <c r="AV747" s="290"/>
      <c r="AW747" s="290"/>
      <c r="AX747" s="290"/>
      <c r="AY747" s="290"/>
      <c r="AZ747" s="290"/>
      <c r="BA747" s="290"/>
      <c r="BB747" s="290"/>
      <c r="BC747" s="290"/>
      <c r="BD747" s="290"/>
      <c r="BE747" s="290"/>
      <c r="BF747" s="290"/>
      <c r="BG747" s="290"/>
      <c r="BH747" s="290"/>
      <c r="BI747" s="290"/>
      <c r="BJ747" s="290"/>
      <c r="BK747" s="290"/>
      <c r="BL747" s="290"/>
      <c r="BM747" s="290"/>
      <c r="BN747" s="290"/>
      <c r="BO747" s="290"/>
      <c r="BP747" s="290"/>
      <c r="BQ747" s="290"/>
      <c r="BR747" s="290"/>
      <c r="BS747" s="290"/>
      <c r="BT747" s="290"/>
      <c r="BU747" s="290"/>
      <c r="BV747" s="290"/>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row>
    <row r="748" customFormat="false" ht="15.75" hidden="false" customHeight="false" outlineLevel="0" collapsed="false">
      <c r="A748" s="290"/>
      <c r="B748" s="290"/>
      <c r="C748" s="290"/>
      <c r="D748" s="290"/>
      <c r="E748" s="290"/>
      <c r="F748" s="290"/>
      <c r="G748" s="290"/>
      <c r="H748" s="290"/>
      <c r="I748" s="290"/>
      <c r="J748" s="3"/>
      <c r="K748" s="290"/>
      <c r="L748" s="290"/>
      <c r="M748" s="290"/>
      <c r="N748" s="290"/>
      <c r="O748" s="290"/>
      <c r="P748" s="290"/>
      <c r="Q748" s="290"/>
      <c r="R748" s="290"/>
      <c r="S748" s="290"/>
      <c r="T748" s="290"/>
      <c r="U748" s="290"/>
      <c r="V748" s="290"/>
      <c r="W748" s="290"/>
      <c r="X748" s="290"/>
      <c r="Y748" s="290"/>
      <c r="Z748" s="290"/>
      <c r="AA748" s="290"/>
      <c r="AB748" s="290"/>
      <c r="AC748" s="290"/>
      <c r="AD748" s="290"/>
      <c r="AE748" s="290"/>
      <c r="AF748" s="290"/>
      <c r="AG748" s="290"/>
      <c r="AH748" s="290"/>
      <c r="AI748" s="290"/>
      <c r="AJ748" s="290"/>
      <c r="AK748" s="290"/>
      <c r="AL748" s="290"/>
      <c r="AM748" s="290"/>
      <c r="AN748" s="290"/>
      <c r="AO748" s="290"/>
      <c r="AP748" s="290"/>
      <c r="AQ748" s="290"/>
      <c r="AR748" s="290"/>
      <c r="AS748" s="290"/>
      <c r="AT748" s="290"/>
      <c r="AU748" s="290"/>
      <c r="AV748" s="290"/>
      <c r="AW748" s="290"/>
      <c r="AX748" s="290"/>
      <c r="AY748" s="290"/>
      <c r="AZ748" s="290"/>
      <c r="BA748" s="290"/>
      <c r="BB748" s="290"/>
      <c r="BC748" s="290"/>
      <c r="BD748" s="290"/>
      <c r="BE748" s="290"/>
      <c r="BF748" s="290"/>
      <c r="BG748" s="290"/>
      <c r="BH748" s="290"/>
      <c r="BI748" s="290"/>
      <c r="BJ748" s="290"/>
      <c r="BK748" s="290"/>
      <c r="BL748" s="290"/>
      <c r="BM748" s="290"/>
      <c r="BN748" s="290"/>
      <c r="BO748" s="290"/>
      <c r="BP748" s="290"/>
      <c r="BQ748" s="290"/>
      <c r="BR748" s="290"/>
      <c r="BS748" s="290"/>
      <c r="BT748" s="290"/>
      <c r="BU748" s="290"/>
      <c r="BV748" s="290"/>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row>
    <row r="749" customFormat="false" ht="15.75" hidden="false" customHeight="false" outlineLevel="0" collapsed="false">
      <c r="A749" s="290"/>
      <c r="B749" s="290"/>
      <c r="C749" s="290"/>
      <c r="D749" s="290"/>
      <c r="E749" s="290"/>
      <c r="F749" s="290"/>
      <c r="G749" s="290"/>
      <c r="H749" s="290"/>
      <c r="I749" s="290"/>
      <c r="J749" s="3"/>
      <c r="K749" s="290"/>
      <c r="L749" s="290"/>
      <c r="M749" s="290"/>
      <c r="N749" s="290"/>
      <c r="O749" s="290"/>
      <c r="P749" s="290"/>
      <c r="Q749" s="290"/>
      <c r="R749" s="290"/>
      <c r="S749" s="290"/>
      <c r="T749" s="290"/>
      <c r="U749" s="290"/>
      <c r="V749" s="290"/>
      <c r="W749" s="290"/>
      <c r="X749" s="290"/>
      <c r="Y749" s="290"/>
      <c r="Z749" s="290"/>
      <c r="AA749" s="290"/>
      <c r="AB749" s="290"/>
      <c r="AC749" s="290"/>
      <c r="AD749" s="290"/>
      <c r="AE749" s="290"/>
      <c r="AF749" s="290"/>
      <c r="AG749" s="290"/>
      <c r="AH749" s="290"/>
      <c r="AI749" s="290"/>
      <c r="AJ749" s="290"/>
      <c r="AK749" s="290"/>
      <c r="AL749" s="290"/>
      <c r="AM749" s="290"/>
      <c r="AN749" s="290"/>
      <c r="AO749" s="290"/>
      <c r="AP749" s="290"/>
      <c r="AQ749" s="290"/>
      <c r="AR749" s="290"/>
      <c r="AS749" s="290"/>
      <c r="AT749" s="290"/>
      <c r="AU749" s="290"/>
      <c r="AV749" s="290"/>
      <c r="AW749" s="290"/>
      <c r="AX749" s="290"/>
      <c r="AY749" s="290"/>
      <c r="AZ749" s="290"/>
      <c r="BA749" s="290"/>
      <c r="BB749" s="290"/>
      <c r="BC749" s="290"/>
      <c r="BD749" s="290"/>
      <c r="BE749" s="290"/>
      <c r="BF749" s="290"/>
      <c r="BG749" s="290"/>
      <c r="BH749" s="290"/>
      <c r="BI749" s="290"/>
      <c r="BJ749" s="290"/>
      <c r="BK749" s="290"/>
      <c r="BL749" s="290"/>
      <c r="BM749" s="290"/>
      <c r="BN749" s="290"/>
      <c r="BO749" s="290"/>
      <c r="BP749" s="290"/>
      <c r="BQ749" s="290"/>
      <c r="BR749" s="290"/>
      <c r="BS749" s="290"/>
      <c r="BT749" s="290"/>
      <c r="BU749" s="290"/>
      <c r="BV749" s="290"/>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row>
    <row r="750" customFormat="false" ht="15.75" hidden="false" customHeight="false" outlineLevel="0" collapsed="false">
      <c r="A750" s="290"/>
      <c r="B750" s="290"/>
      <c r="C750" s="290"/>
      <c r="D750" s="290"/>
      <c r="E750" s="290"/>
      <c r="F750" s="290"/>
      <c r="G750" s="290"/>
      <c r="H750" s="290"/>
      <c r="I750" s="290"/>
      <c r="J750" s="3"/>
      <c r="K750" s="290"/>
      <c r="L750" s="290"/>
      <c r="M750" s="290"/>
      <c r="N750" s="290"/>
      <c r="O750" s="290"/>
      <c r="P750" s="290"/>
      <c r="Q750" s="290"/>
      <c r="R750" s="290"/>
      <c r="S750" s="290"/>
      <c r="T750" s="290"/>
      <c r="U750" s="290"/>
      <c r="V750" s="290"/>
      <c r="W750" s="290"/>
      <c r="X750" s="290"/>
      <c r="Y750" s="290"/>
      <c r="Z750" s="290"/>
      <c r="AA750" s="290"/>
      <c r="AB750" s="290"/>
      <c r="AC750" s="290"/>
      <c r="AD750" s="290"/>
      <c r="AE750" s="290"/>
      <c r="AF750" s="290"/>
      <c r="AG750" s="290"/>
      <c r="AH750" s="290"/>
      <c r="AI750" s="290"/>
      <c r="AJ750" s="290"/>
      <c r="AK750" s="290"/>
      <c r="AL750" s="290"/>
      <c r="AM750" s="290"/>
      <c r="AN750" s="290"/>
      <c r="AO750" s="290"/>
      <c r="AP750" s="290"/>
      <c r="AQ750" s="290"/>
      <c r="AR750" s="290"/>
      <c r="AS750" s="290"/>
      <c r="AT750" s="290"/>
      <c r="AU750" s="290"/>
      <c r="AV750" s="290"/>
      <c r="AW750" s="290"/>
      <c r="AX750" s="290"/>
      <c r="AY750" s="290"/>
      <c r="AZ750" s="290"/>
      <c r="BA750" s="290"/>
      <c r="BB750" s="290"/>
      <c r="BC750" s="290"/>
      <c r="BD750" s="290"/>
      <c r="BE750" s="290"/>
      <c r="BF750" s="290"/>
      <c r="BG750" s="290"/>
      <c r="BH750" s="290"/>
      <c r="BI750" s="290"/>
      <c r="BJ750" s="290"/>
      <c r="BK750" s="290"/>
      <c r="BL750" s="290"/>
      <c r="BM750" s="290"/>
      <c r="BN750" s="290"/>
      <c r="BO750" s="290"/>
      <c r="BP750" s="290"/>
      <c r="BQ750" s="290"/>
      <c r="BR750" s="290"/>
      <c r="BS750" s="290"/>
      <c r="BT750" s="290"/>
      <c r="BU750" s="290"/>
      <c r="BV750" s="290"/>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row>
    <row r="751" customFormat="false" ht="15.75" hidden="false" customHeight="false" outlineLevel="0" collapsed="false">
      <c r="A751" s="290"/>
      <c r="B751" s="290"/>
      <c r="C751" s="290"/>
      <c r="D751" s="290"/>
      <c r="E751" s="290"/>
      <c r="F751" s="290"/>
      <c r="G751" s="290"/>
      <c r="H751" s="290"/>
      <c r="I751" s="290"/>
      <c r="J751" s="3"/>
      <c r="K751" s="290"/>
      <c r="L751" s="290"/>
      <c r="M751" s="290"/>
      <c r="N751" s="290"/>
      <c r="O751" s="290"/>
      <c r="P751" s="290"/>
      <c r="Q751" s="290"/>
      <c r="R751" s="290"/>
      <c r="S751" s="290"/>
      <c r="T751" s="290"/>
      <c r="U751" s="290"/>
      <c r="V751" s="290"/>
      <c r="W751" s="290"/>
      <c r="X751" s="290"/>
      <c r="Y751" s="290"/>
      <c r="Z751" s="290"/>
      <c r="AA751" s="290"/>
      <c r="AB751" s="290"/>
      <c r="AC751" s="290"/>
      <c r="AD751" s="290"/>
      <c r="AE751" s="290"/>
      <c r="AF751" s="290"/>
      <c r="AG751" s="290"/>
      <c r="AH751" s="290"/>
      <c r="AI751" s="290"/>
      <c r="AJ751" s="290"/>
      <c r="AK751" s="290"/>
      <c r="AL751" s="290"/>
      <c r="AM751" s="290"/>
      <c r="AN751" s="290"/>
      <c r="AO751" s="290"/>
      <c r="AP751" s="290"/>
      <c r="AQ751" s="290"/>
      <c r="AR751" s="290"/>
      <c r="AS751" s="290"/>
      <c r="AT751" s="290"/>
      <c r="AU751" s="290"/>
      <c r="AV751" s="290"/>
      <c r="AW751" s="290"/>
      <c r="AX751" s="290"/>
      <c r="AY751" s="290"/>
      <c r="AZ751" s="290"/>
      <c r="BA751" s="290"/>
      <c r="BB751" s="290"/>
      <c r="BC751" s="290"/>
      <c r="BD751" s="290"/>
      <c r="BE751" s="290"/>
      <c r="BF751" s="290"/>
      <c r="BG751" s="290"/>
      <c r="BH751" s="290"/>
      <c r="BI751" s="290"/>
      <c r="BJ751" s="290"/>
      <c r="BK751" s="290"/>
      <c r="BL751" s="290"/>
      <c r="BM751" s="290"/>
      <c r="BN751" s="290"/>
      <c r="BO751" s="290"/>
      <c r="BP751" s="290"/>
      <c r="BQ751" s="290"/>
      <c r="BR751" s="290"/>
      <c r="BS751" s="290"/>
      <c r="BT751" s="290"/>
      <c r="BU751" s="290"/>
      <c r="BV751" s="290"/>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row>
    <row r="752" customFormat="false" ht="15.75" hidden="false" customHeight="false" outlineLevel="0" collapsed="false">
      <c r="A752" s="290"/>
      <c r="B752" s="290"/>
      <c r="C752" s="290"/>
      <c r="D752" s="290"/>
      <c r="E752" s="290"/>
      <c r="F752" s="290"/>
      <c r="G752" s="290"/>
      <c r="H752" s="290"/>
      <c r="I752" s="290"/>
      <c r="J752" s="3"/>
      <c r="K752" s="290"/>
      <c r="L752" s="290"/>
      <c r="M752" s="290"/>
      <c r="N752" s="290"/>
      <c r="O752" s="290"/>
      <c r="P752" s="290"/>
      <c r="Q752" s="290"/>
      <c r="R752" s="290"/>
      <c r="S752" s="290"/>
      <c r="T752" s="290"/>
      <c r="U752" s="290"/>
      <c r="V752" s="290"/>
      <c r="W752" s="290"/>
      <c r="X752" s="290"/>
      <c r="Y752" s="290"/>
      <c r="Z752" s="290"/>
      <c r="AA752" s="290"/>
      <c r="AB752" s="290"/>
      <c r="AC752" s="290"/>
      <c r="AD752" s="290"/>
      <c r="AE752" s="290"/>
      <c r="AF752" s="290"/>
      <c r="AG752" s="290"/>
      <c r="AH752" s="290"/>
      <c r="AI752" s="290"/>
      <c r="AJ752" s="290"/>
      <c r="AK752" s="290"/>
      <c r="AL752" s="290"/>
      <c r="AM752" s="290"/>
      <c r="AN752" s="290"/>
      <c r="AO752" s="290"/>
      <c r="AP752" s="290"/>
      <c r="AQ752" s="290"/>
      <c r="AR752" s="290"/>
      <c r="AS752" s="290"/>
      <c r="AT752" s="290"/>
      <c r="AU752" s="290"/>
      <c r="AV752" s="290"/>
      <c r="AW752" s="290"/>
      <c r="AX752" s="290"/>
      <c r="AY752" s="290"/>
      <c r="AZ752" s="290"/>
      <c r="BA752" s="290"/>
      <c r="BB752" s="290"/>
      <c r="BC752" s="290"/>
      <c r="BD752" s="290"/>
      <c r="BE752" s="290"/>
      <c r="BF752" s="290"/>
      <c r="BG752" s="290"/>
      <c r="BH752" s="290"/>
      <c r="BI752" s="290"/>
      <c r="BJ752" s="290"/>
      <c r="BK752" s="290"/>
      <c r="BL752" s="290"/>
      <c r="BM752" s="290"/>
      <c r="BN752" s="290"/>
      <c r="BO752" s="290"/>
      <c r="BP752" s="290"/>
      <c r="BQ752" s="290"/>
      <c r="BR752" s="290"/>
      <c r="BS752" s="290"/>
      <c r="BT752" s="290"/>
      <c r="BU752" s="290"/>
      <c r="BV752" s="290"/>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row>
    <row r="753" customFormat="false" ht="15.75" hidden="false" customHeight="false" outlineLevel="0" collapsed="false">
      <c r="A753" s="290"/>
      <c r="B753" s="290"/>
      <c r="C753" s="290"/>
      <c r="D753" s="290"/>
      <c r="E753" s="290"/>
      <c r="F753" s="290"/>
      <c r="G753" s="290"/>
      <c r="H753" s="290"/>
      <c r="I753" s="290"/>
      <c r="J753" s="3"/>
      <c r="K753" s="290"/>
      <c r="L753" s="290"/>
      <c r="M753" s="290"/>
      <c r="N753" s="290"/>
      <c r="O753" s="290"/>
      <c r="P753" s="290"/>
      <c r="Q753" s="290"/>
      <c r="R753" s="290"/>
      <c r="S753" s="290"/>
      <c r="T753" s="290"/>
      <c r="U753" s="290"/>
      <c r="V753" s="290"/>
      <c r="W753" s="290"/>
      <c r="X753" s="290"/>
      <c r="Y753" s="290"/>
      <c r="Z753" s="290"/>
      <c r="AA753" s="290"/>
      <c r="AB753" s="290"/>
      <c r="AC753" s="290"/>
      <c r="AD753" s="290"/>
      <c r="AE753" s="290"/>
      <c r="AF753" s="290"/>
      <c r="AG753" s="290"/>
      <c r="AH753" s="290"/>
      <c r="AI753" s="290"/>
      <c r="AJ753" s="290"/>
      <c r="AK753" s="290"/>
      <c r="AL753" s="290"/>
      <c r="AM753" s="290"/>
      <c r="AN753" s="290"/>
      <c r="AO753" s="290"/>
      <c r="AP753" s="290"/>
      <c r="AQ753" s="290"/>
      <c r="AR753" s="290"/>
      <c r="AS753" s="290"/>
      <c r="AT753" s="290"/>
      <c r="AU753" s="290"/>
      <c r="AV753" s="290"/>
      <c r="AW753" s="290"/>
      <c r="AX753" s="290"/>
      <c r="AY753" s="290"/>
      <c r="AZ753" s="290"/>
      <c r="BA753" s="290"/>
      <c r="BB753" s="290"/>
      <c r="BC753" s="290"/>
      <c r="BD753" s="290"/>
      <c r="BE753" s="290"/>
      <c r="BF753" s="290"/>
      <c r="BG753" s="290"/>
      <c r="BH753" s="290"/>
      <c r="BI753" s="290"/>
      <c r="BJ753" s="290"/>
      <c r="BK753" s="290"/>
      <c r="BL753" s="290"/>
      <c r="BM753" s="290"/>
      <c r="BN753" s="290"/>
      <c r="BO753" s="290"/>
      <c r="BP753" s="290"/>
      <c r="BQ753" s="290"/>
      <c r="BR753" s="290"/>
      <c r="BS753" s="290"/>
      <c r="BT753" s="290"/>
      <c r="BU753" s="290"/>
      <c r="BV753" s="290"/>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row>
    <row r="754" customFormat="false" ht="15.75" hidden="false" customHeight="false" outlineLevel="0" collapsed="false">
      <c r="A754" s="290"/>
      <c r="B754" s="290"/>
      <c r="C754" s="290"/>
      <c r="D754" s="290"/>
      <c r="E754" s="290"/>
      <c r="F754" s="290"/>
      <c r="G754" s="290"/>
      <c r="H754" s="290"/>
      <c r="I754" s="290"/>
      <c r="J754" s="3"/>
      <c r="K754" s="290"/>
      <c r="L754" s="290"/>
      <c r="M754" s="290"/>
      <c r="N754" s="290"/>
      <c r="O754" s="290"/>
      <c r="P754" s="290"/>
      <c r="Q754" s="290"/>
      <c r="R754" s="290"/>
      <c r="S754" s="290"/>
      <c r="T754" s="290"/>
      <c r="U754" s="290"/>
      <c r="V754" s="290"/>
      <c r="W754" s="290"/>
      <c r="X754" s="290"/>
      <c r="Y754" s="290"/>
      <c r="Z754" s="290"/>
      <c r="AA754" s="290"/>
      <c r="AB754" s="290"/>
      <c r="AC754" s="290"/>
      <c r="AD754" s="290"/>
      <c r="AE754" s="290"/>
      <c r="AF754" s="290"/>
      <c r="AG754" s="290"/>
      <c r="AH754" s="290"/>
      <c r="AI754" s="290"/>
      <c r="AJ754" s="290"/>
      <c r="AK754" s="290"/>
      <c r="AL754" s="290"/>
      <c r="AM754" s="290"/>
      <c r="AN754" s="290"/>
      <c r="AO754" s="290"/>
      <c r="AP754" s="290"/>
      <c r="AQ754" s="290"/>
      <c r="AR754" s="290"/>
      <c r="AS754" s="290"/>
      <c r="AT754" s="290"/>
      <c r="AU754" s="290"/>
      <c r="AV754" s="290"/>
      <c r="AW754" s="290"/>
      <c r="AX754" s="290"/>
      <c r="AY754" s="290"/>
      <c r="AZ754" s="290"/>
      <c r="BA754" s="290"/>
      <c r="BB754" s="290"/>
      <c r="BC754" s="290"/>
      <c r="BD754" s="290"/>
      <c r="BE754" s="290"/>
      <c r="BF754" s="290"/>
      <c r="BG754" s="290"/>
      <c r="BH754" s="290"/>
      <c r="BI754" s="290"/>
      <c r="BJ754" s="290"/>
      <c r="BK754" s="290"/>
      <c r="BL754" s="290"/>
      <c r="BM754" s="290"/>
      <c r="BN754" s="290"/>
      <c r="BO754" s="290"/>
      <c r="BP754" s="290"/>
      <c r="BQ754" s="290"/>
      <c r="BR754" s="290"/>
      <c r="BS754" s="290"/>
      <c r="BT754" s="290"/>
      <c r="BU754" s="290"/>
      <c r="BV754" s="290"/>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row>
    <row r="755" customFormat="false" ht="15.75" hidden="false" customHeight="false" outlineLevel="0" collapsed="false">
      <c r="A755" s="290"/>
      <c r="B755" s="290"/>
      <c r="C755" s="290"/>
      <c r="D755" s="290"/>
      <c r="E755" s="290"/>
      <c r="F755" s="290"/>
      <c r="G755" s="290"/>
      <c r="H755" s="290"/>
      <c r="I755" s="290"/>
      <c r="J755" s="3"/>
      <c r="K755" s="290"/>
      <c r="L755" s="290"/>
      <c r="M755" s="290"/>
      <c r="N755" s="290"/>
      <c r="O755" s="290"/>
      <c r="P755" s="290"/>
      <c r="Q755" s="290"/>
      <c r="R755" s="290"/>
      <c r="S755" s="290"/>
      <c r="T755" s="290"/>
      <c r="U755" s="290"/>
      <c r="V755" s="290"/>
      <c r="W755" s="290"/>
      <c r="X755" s="290"/>
      <c r="Y755" s="290"/>
      <c r="Z755" s="290"/>
      <c r="AA755" s="290"/>
      <c r="AB755" s="290"/>
      <c r="AC755" s="290"/>
      <c r="AD755" s="290"/>
      <c r="AE755" s="290"/>
      <c r="AF755" s="290"/>
      <c r="AG755" s="290"/>
      <c r="AH755" s="290"/>
      <c r="AI755" s="290"/>
      <c r="AJ755" s="290"/>
      <c r="AK755" s="290"/>
      <c r="AL755" s="290"/>
      <c r="AM755" s="290"/>
      <c r="AN755" s="290"/>
      <c r="AO755" s="290"/>
      <c r="AP755" s="290"/>
      <c r="AQ755" s="290"/>
      <c r="AR755" s="290"/>
      <c r="AS755" s="290"/>
      <c r="AT755" s="290"/>
      <c r="AU755" s="290"/>
      <c r="AV755" s="290"/>
      <c r="AW755" s="290"/>
      <c r="AX755" s="290"/>
      <c r="AY755" s="290"/>
      <c r="AZ755" s="290"/>
      <c r="BA755" s="290"/>
      <c r="BB755" s="290"/>
      <c r="BC755" s="290"/>
      <c r="BD755" s="290"/>
      <c r="BE755" s="290"/>
      <c r="BF755" s="290"/>
      <c r="BG755" s="290"/>
      <c r="BH755" s="290"/>
      <c r="BI755" s="290"/>
      <c r="BJ755" s="290"/>
      <c r="BK755" s="290"/>
      <c r="BL755" s="290"/>
      <c r="BM755" s="290"/>
      <c r="BN755" s="290"/>
      <c r="BO755" s="290"/>
      <c r="BP755" s="290"/>
      <c r="BQ755" s="290"/>
      <c r="BR755" s="290"/>
      <c r="BS755" s="290"/>
      <c r="BT755" s="290"/>
      <c r="BU755" s="290"/>
      <c r="BV755" s="290"/>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row>
    <row r="756" customFormat="false" ht="15.75" hidden="false" customHeight="false" outlineLevel="0" collapsed="false">
      <c r="A756" s="290"/>
      <c r="B756" s="290"/>
      <c r="C756" s="290"/>
      <c r="D756" s="290"/>
      <c r="E756" s="290"/>
      <c r="F756" s="290"/>
      <c r="G756" s="290"/>
      <c r="H756" s="290"/>
      <c r="I756" s="290"/>
      <c r="J756" s="3"/>
      <c r="K756" s="290"/>
      <c r="L756" s="290"/>
      <c r="M756" s="290"/>
      <c r="N756" s="290"/>
      <c r="O756" s="290"/>
      <c r="P756" s="290"/>
      <c r="Q756" s="290"/>
      <c r="R756" s="290"/>
      <c r="S756" s="290"/>
      <c r="T756" s="290"/>
      <c r="U756" s="290"/>
      <c r="V756" s="290"/>
      <c r="W756" s="290"/>
      <c r="X756" s="290"/>
      <c r="Y756" s="290"/>
      <c r="Z756" s="290"/>
      <c r="AA756" s="290"/>
      <c r="AB756" s="290"/>
      <c r="AC756" s="290"/>
      <c r="AD756" s="290"/>
      <c r="AE756" s="290"/>
      <c r="AF756" s="290"/>
      <c r="AG756" s="290"/>
      <c r="AH756" s="290"/>
      <c r="AI756" s="290"/>
      <c r="AJ756" s="290"/>
      <c r="AK756" s="290"/>
      <c r="AL756" s="290"/>
      <c r="AM756" s="290"/>
      <c r="AN756" s="290"/>
      <c r="AO756" s="290"/>
      <c r="AP756" s="290"/>
      <c r="AQ756" s="290"/>
      <c r="AR756" s="290"/>
      <c r="AS756" s="290"/>
      <c r="AT756" s="290"/>
      <c r="AU756" s="290"/>
      <c r="AV756" s="290"/>
      <c r="AW756" s="290"/>
      <c r="AX756" s="290"/>
      <c r="AY756" s="290"/>
      <c r="AZ756" s="290"/>
      <c r="BA756" s="290"/>
      <c r="BB756" s="290"/>
      <c r="BC756" s="290"/>
      <c r="BD756" s="290"/>
      <c r="BE756" s="290"/>
      <c r="BF756" s="290"/>
      <c r="BG756" s="290"/>
      <c r="BH756" s="290"/>
      <c r="BI756" s="290"/>
      <c r="BJ756" s="290"/>
      <c r="BK756" s="290"/>
      <c r="BL756" s="290"/>
      <c r="BM756" s="290"/>
      <c r="BN756" s="290"/>
      <c r="BO756" s="290"/>
      <c r="BP756" s="290"/>
      <c r="BQ756" s="290"/>
      <c r="BR756" s="290"/>
      <c r="BS756" s="290"/>
      <c r="BT756" s="290"/>
      <c r="BU756" s="290"/>
      <c r="BV756" s="290"/>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row>
    <row r="757" customFormat="false" ht="15.75" hidden="false" customHeight="false" outlineLevel="0" collapsed="false">
      <c r="A757" s="290"/>
      <c r="B757" s="290"/>
      <c r="C757" s="290"/>
      <c r="D757" s="290"/>
      <c r="E757" s="290"/>
      <c r="F757" s="290"/>
      <c r="G757" s="290"/>
      <c r="H757" s="290"/>
      <c r="I757" s="290"/>
      <c r="J757" s="3"/>
      <c r="K757" s="290"/>
      <c r="L757" s="290"/>
      <c r="M757" s="290"/>
      <c r="N757" s="290"/>
      <c r="O757" s="290"/>
      <c r="P757" s="290"/>
      <c r="Q757" s="290"/>
      <c r="R757" s="290"/>
      <c r="S757" s="290"/>
      <c r="T757" s="290"/>
      <c r="U757" s="290"/>
      <c r="V757" s="290"/>
      <c r="W757" s="290"/>
      <c r="X757" s="290"/>
      <c r="Y757" s="290"/>
      <c r="Z757" s="290"/>
      <c r="AA757" s="290"/>
      <c r="AB757" s="290"/>
      <c r="AC757" s="290"/>
      <c r="AD757" s="290"/>
      <c r="AE757" s="290"/>
      <c r="AF757" s="290"/>
      <c r="AG757" s="290"/>
      <c r="AH757" s="290"/>
      <c r="AI757" s="290"/>
      <c r="AJ757" s="290"/>
      <c r="AK757" s="290"/>
      <c r="AL757" s="290"/>
      <c r="AM757" s="290"/>
      <c r="AN757" s="290"/>
      <c r="AO757" s="290"/>
      <c r="AP757" s="290"/>
      <c r="AQ757" s="290"/>
      <c r="AR757" s="290"/>
      <c r="AS757" s="290"/>
      <c r="AT757" s="290"/>
      <c r="AU757" s="290"/>
      <c r="AV757" s="290"/>
      <c r="AW757" s="290"/>
      <c r="AX757" s="290"/>
      <c r="AY757" s="290"/>
      <c r="AZ757" s="290"/>
      <c r="BA757" s="290"/>
      <c r="BB757" s="290"/>
      <c r="BC757" s="290"/>
      <c r="BD757" s="290"/>
      <c r="BE757" s="290"/>
      <c r="BF757" s="290"/>
      <c r="BG757" s="290"/>
      <c r="BH757" s="290"/>
      <c r="BI757" s="290"/>
      <c r="BJ757" s="290"/>
      <c r="BK757" s="290"/>
      <c r="BL757" s="290"/>
      <c r="BM757" s="290"/>
      <c r="BN757" s="290"/>
      <c r="BO757" s="290"/>
      <c r="BP757" s="290"/>
      <c r="BQ757" s="290"/>
      <c r="BR757" s="290"/>
      <c r="BS757" s="290"/>
      <c r="BT757" s="290"/>
      <c r="BU757" s="290"/>
      <c r="BV757" s="290"/>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row>
    <row r="758" customFormat="false" ht="15.75" hidden="false" customHeight="false" outlineLevel="0" collapsed="false">
      <c r="A758" s="290"/>
      <c r="B758" s="290"/>
      <c r="C758" s="290"/>
      <c r="D758" s="290"/>
      <c r="E758" s="290"/>
      <c r="F758" s="290"/>
      <c r="G758" s="290"/>
      <c r="H758" s="290"/>
      <c r="I758" s="290"/>
      <c r="J758" s="3"/>
      <c r="K758" s="290"/>
      <c r="L758" s="290"/>
      <c r="M758" s="290"/>
      <c r="N758" s="290"/>
      <c r="O758" s="290"/>
      <c r="P758" s="290"/>
      <c r="Q758" s="290"/>
      <c r="R758" s="290"/>
      <c r="S758" s="290"/>
      <c r="T758" s="290"/>
      <c r="U758" s="290"/>
      <c r="V758" s="290"/>
      <c r="W758" s="290"/>
      <c r="X758" s="290"/>
      <c r="Y758" s="290"/>
      <c r="Z758" s="290"/>
      <c r="AA758" s="290"/>
      <c r="AB758" s="290"/>
      <c r="AC758" s="290"/>
      <c r="AD758" s="290"/>
      <c r="AE758" s="290"/>
      <c r="AF758" s="290"/>
      <c r="AG758" s="290"/>
      <c r="AH758" s="290"/>
      <c r="AI758" s="290"/>
      <c r="AJ758" s="290"/>
      <c r="AK758" s="290"/>
      <c r="AL758" s="290"/>
      <c r="AM758" s="290"/>
      <c r="AN758" s="290"/>
      <c r="AO758" s="290"/>
      <c r="AP758" s="290"/>
      <c r="AQ758" s="290"/>
      <c r="AR758" s="290"/>
      <c r="AS758" s="290"/>
      <c r="AT758" s="290"/>
      <c r="AU758" s="290"/>
      <c r="AV758" s="290"/>
      <c r="AW758" s="290"/>
      <c r="AX758" s="290"/>
      <c r="AY758" s="290"/>
      <c r="AZ758" s="290"/>
      <c r="BA758" s="290"/>
      <c r="BB758" s="290"/>
      <c r="BC758" s="290"/>
      <c r="BD758" s="290"/>
      <c r="BE758" s="290"/>
      <c r="BF758" s="290"/>
      <c r="BG758" s="290"/>
      <c r="BH758" s="290"/>
      <c r="BI758" s="290"/>
      <c r="BJ758" s="290"/>
      <c r="BK758" s="290"/>
      <c r="BL758" s="290"/>
      <c r="BM758" s="290"/>
      <c r="BN758" s="290"/>
      <c r="BO758" s="290"/>
      <c r="BP758" s="290"/>
      <c r="BQ758" s="290"/>
      <c r="BR758" s="290"/>
      <c r="BS758" s="290"/>
      <c r="BT758" s="290"/>
      <c r="BU758" s="290"/>
      <c r="BV758" s="290"/>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row>
    <row r="759" customFormat="false" ht="15.75" hidden="false" customHeight="false" outlineLevel="0" collapsed="false">
      <c r="A759" s="290"/>
      <c r="B759" s="290"/>
      <c r="C759" s="290"/>
      <c r="D759" s="290"/>
      <c r="E759" s="290"/>
      <c r="F759" s="290"/>
      <c r="G759" s="290"/>
      <c r="H759" s="290"/>
      <c r="I759" s="290"/>
      <c r="J759" s="3"/>
      <c r="K759" s="290"/>
      <c r="L759" s="290"/>
      <c r="M759" s="290"/>
      <c r="N759" s="290"/>
      <c r="O759" s="290"/>
      <c r="P759" s="290"/>
      <c r="Q759" s="290"/>
      <c r="R759" s="290"/>
      <c r="S759" s="290"/>
      <c r="T759" s="290"/>
      <c r="U759" s="290"/>
      <c r="V759" s="290"/>
      <c r="W759" s="290"/>
      <c r="X759" s="290"/>
      <c r="Y759" s="290"/>
      <c r="Z759" s="290"/>
      <c r="AA759" s="290"/>
      <c r="AB759" s="290"/>
      <c r="AC759" s="290"/>
      <c r="AD759" s="290"/>
      <c r="AE759" s="290"/>
      <c r="AF759" s="290"/>
      <c r="AG759" s="290"/>
      <c r="AH759" s="290"/>
      <c r="AI759" s="290"/>
      <c r="AJ759" s="290"/>
      <c r="AK759" s="290"/>
      <c r="AL759" s="290"/>
      <c r="AM759" s="290"/>
      <c r="AN759" s="290"/>
      <c r="AO759" s="290"/>
      <c r="AP759" s="290"/>
      <c r="AQ759" s="290"/>
      <c r="AR759" s="290"/>
      <c r="AS759" s="290"/>
      <c r="AT759" s="290"/>
      <c r="AU759" s="290"/>
      <c r="AV759" s="290"/>
      <c r="AW759" s="290"/>
      <c r="AX759" s="290"/>
      <c r="AY759" s="290"/>
      <c r="AZ759" s="290"/>
      <c r="BA759" s="290"/>
      <c r="BB759" s="290"/>
      <c r="BC759" s="290"/>
      <c r="BD759" s="290"/>
      <c r="BE759" s="290"/>
      <c r="BF759" s="290"/>
      <c r="BG759" s="290"/>
      <c r="BH759" s="290"/>
      <c r="BI759" s="290"/>
      <c r="BJ759" s="290"/>
      <c r="BK759" s="290"/>
      <c r="BL759" s="290"/>
      <c r="BM759" s="290"/>
      <c r="BN759" s="290"/>
      <c r="BO759" s="290"/>
      <c r="BP759" s="290"/>
      <c r="BQ759" s="290"/>
      <c r="BR759" s="290"/>
      <c r="BS759" s="290"/>
      <c r="BT759" s="290"/>
      <c r="BU759" s="290"/>
      <c r="BV759" s="290"/>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row>
    <row r="760" customFormat="false" ht="15.75" hidden="false" customHeight="false" outlineLevel="0" collapsed="false">
      <c r="A760" s="290"/>
      <c r="B760" s="290"/>
      <c r="C760" s="290"/>
      <c r="D760" s="290"/>
      <c r="E760" s="290"/>
      <c r="F760" s="290"/>
      <c r="G760" s="290"/>
      <c r="H760" s="290"/>
      <c r="I760" s="290"/>
      <c r="J760" s="3"/>
      <c r="K760" s="290"/>
      <c r="L760" s="290"/>
      <c r="M760" s="290"/>
      <c r="N760" s="290"/>
      <c r="O760" s="290"/>
      <c r="P760" s="290"/>
      <c r="Q760" s="290"/>
      <c r="R760" s="290"/>
      <c r="S760" s="290"/>
      <c r="T760" s="290"/>
      <c r="U760" s="290"/>
      <c r="V760" s="290"/>
      <c r="W760" s="290"/>
      <c r="X760" s="290"/>
      <c r="Y760" s="290"/>
      <c r="Z760" s="290"/>
      <c r="AA760" s="290"/>
      <c r="AB760" s="290"/>
      <c r="AC760" s="290"/>
      <c r="AD760" s="290"/>
      <c r="AE760" s="290"/>
      <c r="AF760" s="290"/>
      <c r="AG760" s="290"/>
      <c r="AH760" s="290"/>
      <c r="AI760" s="290"/>
      <c r="AJ760" s="290"/>
      <c r="AK760" s="290"/>
      <c r="AL760" s="290"/>
      <c r="AM760" s="290"/>
      <c r="AN760" s="290"/>
      <c r="AO760" s="290"/>
      <c r="AP760" s="290"/>
      <c r="AQ760" s="290"/>
      <c r="AR760" s="290"/>
      <c r="AS760" s="290"/>
      <c r="AT760" s="290"/>
      <c r="AU760" s="290"/>
      <c r="AV760" s="290"/>
      <c r="AW760" s="290"/>
      <c r="AX760" s="290"/>
      <c r="AY760" s="290"/>
      <c r="AZ760" s="290"/>
      <c r="BA760" s="290"/>
      <c r="BB760" s="290"/>
      <c r="BC760" s="290"/>
      <c r="BD760" s="290"/>
      <c r="BE760" s="290"/>
      <c r="BF760" s="290"/>
      <c r="BG760" s="290"/>
      <c r="BH760" s="290"/>
      <c r="BI760" s="290"/>
      <c r="BJ760" s="290"/>
      <c r="BK760" s="290"/>
      <c r="BL760" s="290"/>
      <c r="BM760" s="290"/>
      <c r="BN760" s="290"/>
      <c r="BO760" s="290"/>
      <c r="BP760" s="290"/>
      <c r="BQ760" s="290"/>
      <c r="BR760" s="290"/>
      <c r="BS760" s="290"/>
      <c r="BT760" s="290"/>
      <c r="BU760" s="290"/>
      <c r="BV760" s="290"/>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row>
    <row r="761" customFormat="false" ht="15.75" hidden="false" customHeight="false" outlineLevel="0" collapsed="false">
      <c r="A761" s="290"/>
      <c r="B761" s="290"/>
      <c r="C761" s="290"/>
      <c r="D761" s="290"/>
      <c r="E761" s="290"/>
      <c r="F761" s="290"/>
      <c r="G761" s="290"/>
      <c r="H761" s="290"/>
      <c r="I761" s="290"/>
      <c r="J761" s="3"/>
      <c r="K761" s="290"/>
      <c r="L761" s="290"/>
      <c r="M761" s="290"/>
      <c r="N761" s="290"/>
      <c r="O761" s="290"/>
      <c r="P761" s="290"/>
      <c r="Q761" s="290"/>
      <c r="R761" s="290"/>
      <c r="S761" s="290"/>
      <c r="T761" s="290"/>
      <c r="U761" s="290"/>
      <c r="V761" s="290"/>
      <c r="W761" s="290"/>
      <c r="X761" s="290"/>
      <c r="Y761" s="290"/>
      <c r="Z761" s="290"/>
      <c r="AA761" s="290"/>
      <c r="AB761" s="290"/>
      <c r="AC761" s="290"/>
      <c r="AD761" s="290"/>
      <c r="AE761" s="290"/>
      <c r="AF761" s="290"/>
      <c r="AG761" s="290"/>
      <c r="AH761" s="290"/>
      <c r="AI761" s="290"/>
      <c r="AJ761" s="290"/>
      <c r="AK761" s="290"/>
      <c r="AL761" s="290"/>
      <c r="AM761" s="290"/>
      <c r="AN761" s="290"/>
      <c r="AO761" s="290"/>
      <c r="AP761" s="290"/>
      <c r="AQ761" s="290"/>
      <c r="AR761" s="290"/>
      <c r="AS761" s="290"/>
      <c r="AT761" s="290"/>
      <c r="AU761" s="290"/>
      <c r="AV761" s="290"/>
      <c r="AW761" s="290"/>
      <c r="AX761" s="290"/>
      <c r="AY761" s="290"/>
      <c r="AZ761" s="290"/>
      <c r="BA761" s="290"/>
      <c r="BB761" s="290"/>
      <c r="BC761" s="290"/>
      <c r="BD761" s="290"/>
      <c r="BE761" s="290"/>
      <c r="BF761" s="290"/>
      <c r="BG761" s="290"/>
      <c r="BH761" s="290"/>
      <c r="BI761" s="290"/>
      <c r="BJ761" s="290"/>
      <c r="BK761" s="290"/>
      <c r="BL761" s="290"/>
      <c r="BM761" s="290"/>
      <c r="BN761" s="290"/>
      <c r="BO761" s="290"/>
      <c r="BP761" s="290"/>
      <c r="BQ761" s="290"/>
      <c r="BR761" s="290"/>
      <c r="BS761" s="290"/>
      <c r="BT761" s="290"/>
      <c r="BU761" s="290"/>
      <c r="BV761" s="290"/>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row>
    <row r="762" customFormat="false" ht="15.75" hidden="false" customHeight="false" outlineLevel="0" collapsed="false">
      <c r="A762" s="290"/>
      <c r="B762" s="290"/>
      <c r="C762" s="290"/>
      <c r="D762" s="290"/>
      <c r="E762" s="290"/>
      <c r="F762" s="290"/>
      <c r="G762" s="290"/>
      <c r="H762" s="290"/>
      <c r="I762" s="290"/>
      <c r="J762" s="3"/>
      <c r="K762" s="290"/>
      <c r="L762" s="290"/>
      <c r="M762" s="290"/>
      <c r="N762" s="290"/>
      <c r="O762" s="290"/>
      <c r="P762" s="290"/>
      <c r="Q762" s="290"/>
      <c r="R762" s="290"/>
      <c r="S762" s="290"/>
      <c r="T762" s="290"/>
      <c r="U762" s="290"/>
      <c r="V762" s="290"/>
      <c r="W762" s="290"/>
      <c r="X762" s="290"/>
      <c r="Y762" s="290"/>
      <c r="Z762" s="290"/>
      <c r="AA762" s="290"/>
      <c r="AB762" s="290"/>
      <c r="AC762" s="290"/>
      <c r="AD762" s="290"/>
      <c r="AE762" s="290"/>
      <c r="AF762" s="290"/>
      <c r="AG762" s="290"/>
      <c r="AH762" s="290"/>
      <c r="AI762" s="290"/>
      <c r="AJ762" s="290"/>
      <c r="AK762" s="290"/>
      <c r="AL762" s="290"/>
      <c r="AM762" s="290"/>
      <c r="AN762" s="290"/>
      <c r="AO762" s="290"/>
      <c r="AP762" s="290"/>
      <c r="AQ762" s="290"/>
      <c r="AR762" s="290"/>
      <c r="AS762" s="290"/>
      <c r="AT762" s="290"/>
      <c r="AU762" s="290"/>
      <c r="AV762" s="290"/>
      <c r="AW762" s="290"/>
      <c r="AX762" s="290"/>
      <c r="AY762" s="290"/>
      <c r="AZ762" s="290"/>
      <c r="BA762" s="290"/>
      <c r="BB762" s="290"/>
      <c r="BC762" s="290"/>
      <c r="BD762" s="290"/>
      <c r="BE762" s="290"/>
      <c r="BF762" s="290"/>
      <c r="BG762" s="290"/>
      <c r="BH762" s="290"/>
      <c r="BI762" s="290"/>
      <c r="BJ762" s="290"/>
      <c r="BK762" s="290"/>
      <c r="BL762" s="290"/>
      <c r="BM762" s="290"/>
      <c r="BN762" s="290"/>
      <c r="BO762" s="290"/>
      <c r="BP762" s="290"/>
      <c r="BQ762" s="290"/>
      <c r="BR762" s="290"/>
      <c r="BS762" s="290"/>
      <c r="BT762" s="290"/>
      <c r="BU762" s="290"/>
      <c r="BV762" s="290"/>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row>
    <row r="763" customFormat="false" ht="15.75" hidden="false" customHeight="false" outlineLevel="0" collapsed="false">
      <c r="A763" s="290"/>
      <c r="B763" s="290"/>
      <c r="C763" s="290"/>
      <c r="D763" s="290"/>
      <c r="E763" s="290"/>
      <c r="F763" s="290"/>
      <c r="G763" s="290"/>
      <c r="H763" s="290"/>
      <c r="I763" s="290"/>
      <c r="J763" s="3"/>
      <c r="K763" s="290"/>
      <c r="L763" s="290"/>
      <c r="M763" s="290"/>
      <c r="N763" s="290"/>
      <c r="O763" s="290"/>
      <c r="P763" s="290"/>
      <c r="Q763" s="290"/>
      <c r="R763" s="290"/>
      <c r="S763" s="290"/>
      <c r="T763" s="290"/>
      <c r="U763" s="290"/>
      <c r="V763" s="290"/>
      <c r="W763" s="290"/>
      <c r="X763" s="290"/>
      <c r="Y763" s="290"/>
      <c r="Z763" s="290"/>
      <c r="AA763" s="290"/>
      <c r="AB763" s="290"/>
      <c r="AC763" s="290"/>
      <c r="AD763" s="290"/>
      <c r="AE763" s="290"/>
      <c r="AF763" s="290"/>
      <c r="AG763" s="290"/>
      <c r="AH763" s="290"/>
      <c r="AI763" s="290"/>
      <c r="AJ763" s="290"/>
      <c r="AK763" s="290"/>
      <c r="AL763" s="290"/>
      <c r="AM763" s="290"/>
      <c r="AN763" s="290"/>
      <c r="AO763" s="290"/>
      <c r="AP763" s="290"/>
      <c r="AQ763" s="290"/>
      <c r="AR763" s="290"/>
      <c r="AS763" s="290"/>
      <c r="AT763" s="290"/>
      <c r="AU763" s="290"/>
      <c r="AV763" s="290"/>
      <c r="AW763" s="290"/>
      <c r="AX763" s="290"/>
      <c r="AY763" s="290"/>
      <c r="AZ763" s="290"/>
      <c r="BA763" s="290"/>
      <c r="BB763" s="290"/>
      <c r="BC763" s="290"/>
      <c r="BD763" s="290"/>
      <c r="BE763" s="290"/>
      <c r="BF763" s="290"/>
      <c r="BG763" s="290"/>
      <c r="BH763" s="290"/>
      <c r="BI763" s="290"/>
      <c r="BJ763" s="290"/>
      <c r="BK763" s="290"/>
      <c r="BL763" s="290"/>
      <c r="BM763" s="290"/>
      <c r="BN763" s="290"/>
      <c r="BO763" s="290"/>
      <c r="BP763" s="290"/>
      <c r="BQ763" s="290"/>
      <c r="BR763" s="290"/>
      <c r="BS763" s="290"/>
      <c r="BT763" s="290"/>
      <c r="BU763" s="290"/>
      <c r="BV763" s="290"/>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row>
    <row r="764" customFormat="false" ht="15.75" hidden="false" customHeight="false" outlineLevel="0" collapsed="false">
      <c r="A764" s="290"/>
      <c r="B764" s="290"/>
      <c r="C764" s="290"/>
      <c r="D764" s="290"/>
      <c r="E764" s="290"/>
      <c r="F764" s="290"/>
      <c r="G764" s="290"/>
      <c r="H764" s="290"/>
      <c r="I764" s="290"/>
      <c r="J764" s="3"/>
      <c r="K764" s="290"/>
      <c r="L764" s="290"/>
      <c r="M764" s="290"/>
      <c r="N764" s="290"/>
      <c r="O764" s="290"/>
      <c r="P764" s="290"/>
      <c r="Q764" s="290"/>
      <c r="R764" s="290"/>
      <c r="S764" s="290"/>
      <c r="T764" s="290"/>
      <c r="U764" s="290"/>
      <c r="V764" s="290"/>
      <c r="W764" s="290"/>
      <c r="X764" s="290"/>
      <c r="Y764" s="290"/>
      <c r="Z764" s="290"/>
      <c r="AA764" s="290"/>
      <c r="AB764" s="290"/>
      <c r="AC764" s="290"/>
      <c r="AD764" s="290"/>
      <c r="AE764" s="290"/>
      <c r="AF764" s="290"/>
      <c r="AG764" s="290"/>
      <c r="AH764" s="290"/>
      <c r="AI764" s="290"/>
      <c r="AJ764" s="290"/>
      <c r="AK764" s="290"/>
      <c r="AL764" s="290"/>
      <c r="AM764" s="290"/>
      <c r="AN764" s="290"/>
      <c r="AO764" s="290"/>
      <c r="AP764" s="290"/>
      <c r="AQ764" s="290"/>
      <c r="AR764" s="290"/>
      <c r="AS764" s="290"/>
      <c r="AT764" s="290"/>
      <c r="AU764" s="290"/>
      <c r="AV764" s="290"/>
      <c r="AW764" s="290"/>
      <c r="AX764" s="290"/>
      <c r="AY764" s="290"/>
      <c r="AZ764" s="290"/>
      <c r="BA764" s="290"/>
      <c r="BB764" s="290"/>
      <c r="BC764" s="290"/>
      <c r="BD764" s="290"/>
      <c r="BE764" s="290"/>
      <c r="BF764" s="290"/>
      <c r="BG764" s="290"/>
      <c r="BH764" s="290"/>
      <c r="BI764" s="290"/>
      <c r="BJ764" s="290"/>
      <c r="BK764" s="290"/>
      <c r="BL764" s="290"/>
      <c r="BM764" s="290"/>
      <c r="BN764" s="290"/>
      <c r="BO764" s="290"/>
      <c r="BP764" s="290"/>
      <c r="BQ764" s="290"/>
      <c r="BR764" s="290"/>
      <c r="BS764" s="290"/>
      <c r="BT764" s="290"/>
      <c r="BU764" s="290"/>
      <c r="BV764" s="290"/>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row>
    <row r="765" customFormat="false" ht="15.75" hidden="false" customHeight="false" outlineLevel="0" collapsed="false">
      <c r="A765" s="290"/>
      <c r="B765" s="290"/>
      <c r="C765" s="290"/>
      <c r="D765" s="290"/>
      <c r="E765" s="290"/>
      <c r="F765" s="290"/>
      <c r="G765" s="290"/>
      <c r="H765" s="290"/>
      <c r="I765" s="290"/>
      <c r="J765" s="3"/>
      <c r="K765" s="290"/>
      <c r="L765" s="290"/>
      <c r="M765" s="290"/>
      <c r="N765" s="290"/>
      <c r="O765" s="290"/>
      <c r="P765" s="290"/>
      <c r="Q765" s="290"/>
      <c r="R765" s="290"/>
      <c r="S765" s="290"/>
      <c r="T765" s="290"/>
      <c r="U765" s="290"/>
      <c r="V765" s="290"/>
      <c r="W765" s="290"/>
      <c r="X765" s="290"/>
      <c r="Y765" s="290"/>
      <c r="Z765" s="290"/>
      <c r="AA765" s="290"/>
      <c r="AB765" s="290"/>
      <c r="AC765" s="290"/>
      <c r="AD765" s="290"/>
      <c r="AE765" s="290"/>
      <c r="AF765" s="290"/>
      <c r="AG765" s="290"/>
      <c r="AH765" s="290"/>
      <c r="AI765" s="290"/>
      <c r="AJ765" s="290"/>
      <c r="AK765" s="290"/>
      <c r="AL765" s="290"/>
      <c r="AM765" s="290"/>
      <c r="AN765" s="290"/>
      <c r="AO765" s="290"/>
      <c r="AP765" s="290"/>
      <c r="AQ765" s="290"/>
      <c r="AR765" s="290"/>
      <c r="AS765" s="290"/>
      <c r="AT765" s="290"/>
      <c r="AU765" s="290"/>
      <c r="AV765" s="290"/>
      <c r="AW765" s="290"/>
      <c r="AX765" s="290"/>
      <c r="AY765" s="290"/>
      <c r="AZ765" s="290"/>
      <c r="BA765" s="290"/>
      <c r="BB765" s="290"/>
      <c r="BC765" s="290"/>
      <c r="BD765" s="290"/>
      <c r="BE765" s="290"/>
      <c r="BF765" s="290"/>
      <c r="BG765" s="290"/>
      <c r="BH765" s="290"/>
      <c r="BI765" s="290"/>
      <c r="BJ765" s="290"/>
      <c r="BK765" s="290"/>
      <c r="BL765" s="290"/>
      <c r="BM765" s="290"/>
      <c r="BN765" s="290"/>
      <c r="BO765" s="290"/>
      <c r="BP765" s="290"/>
      <c r="BQ765" s="290"/>
      <c r="BR765" s="290"/>
      <c r="BS765" s="290"/>
      <c r="BT765" s="290"/>
      <c r="BU765" s="290"/>
      <c r="BV765" s="290"/>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row>
    <row r="766" customFormat="false" ht="15.75" hidden="false" customHeight="false" outlineLevel="0" collapsed="false">
      <c r="A766" s="290"/>
      <c r="B766" s="290"/>
      <c r="C766" s="290"/>
      <c r="D766" s="290"/>
      <c r="E766" s="290"/>
      <c r="F766" s="290"/>
      <c r="G766" s="290"/>
      <c r="H766" s="290"/>
      <c r="I766" s="290"/>
      <c r="J766" s="3"/>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0"/>
      <c r="AS766" s="290"/>
      <c r="AT766" s="290"/>
      <c r="AU766" s="290"/>
      <c r="AV766" s="290"/>
      <c r="AW766" s="290"/>
      <c r="AX766" s="290"/>
      <c r="AY766" s="290"/>
      <c r="AZ766" s="290"/>
      <c r="BA766" s="290"/>
      <c r="BB766" s="290"/>
      <c r="BC766" s="290"/>
      <c r="BD766" s="290"/>
      <c r="BE766" s="290"/>
      <c r="BF766" s="290"/>
      <c r="BG766" s="290"/>
      <c r="BH766" s="290"/>
      <c r="BI766" s="290"/>
      <c r="BJ766" s="290"/>
      <c r="BK766" s="290"/>
      <c r="BL766" s="290"/>
      <c r="BM766" s="290"/>
      <c r="BN766" s="290"/>
      <c r="BO766" s="290"/>
      <c r="BP766" s="290"/>
      <c r="BQ766" s="290"/>
      <c r="BR766" s="290"/>
      <c r="BS766" s="290"/>
      <c r="BT766" s="290"/>
      <c r="BU766" s="290"/>
      <c r="BV766" s="290"/>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row>
    <row r="767" customFormat="false" ht="15.75" hidden="false" customHeight="false" outlineLevel="0" collapsed="false">
      <c r="A767" s="290"/>
      <c r="B767" s="290"/>
      <c r="C767" s="290"/>
      <c r="D767" s="290"/>
      <c r="E767" s="290"/>
      <c r="F767" s="290"/>
      <c r="G767" s="290"/>
      <c r="H767" s="290"/>
      <c r="I767" s="290"/>
      <c r="J767" s="3"/>
      <c r="K767" s="290"/>
      <c r="L767" s="290"/>
      <c r="M767" s="290"/>
      <c r="N767" s="290"/>
      <c r="O767" s="290"/>
      <c r="P767" s="290"/>
      <c r="Q767" s="290"/>
      <c r="R767" s="290"/>
      <c r="S767" s="290"/>
      <c r="T767" s="290"/>
      <c r="U767" s="290"/>
      <c r="V767" s="290"/>
      <c r="W767" s="290"/>
      <c r="X767" s="290"/>
      <c r="Y767" s="290"/>
      <c r="Z767" s="290"/>
      <c r="AA767" s="290"/>
      <c r="AB767" s="290"/>
      <c r="AC767" s="290"/>
      <c r="AD767" s="290"/>
      <c r="AE767" s="290"/>
      <c r="AF767" s="290"/>
      <c r="AG767" s="290"/>
      <c r="AH767" s="290"/>
      <c r="AI767" s="290"/>
      <c r="AJ767" s="290"/>
      <c r="AK767" s="290"/>
      <c r="AL767" s="290"/>
      <c r="AM767" s="290"/>
      <c r="AN767" s="290"/>
      <c r="AO767" s="290"/>
      <c r="AP767" s="290"/>
      <c r="AQ767" s="290"/>
      <c r="AR767" s="290"/>
      <c r="AS767" s="290"/>
      <c r="AT767" s="290"/>
      <c r="AU767" s="290"/>
      <c r="AV767" s="290"/>
      <c r="AW767" s="290"/>
      <c r="AX767" s="290"/>
      <c r="AY767" s="290"/>
      <c r="AZ767" s="290"/>
      <c r="BA767" s="290"/>
      <c r="BB767" s="290"/>
      <c r="BC767" s="290"/>
      <c r="BD767" s="290"/>
      <c r="BE767" s="290"/>
      <c r="BF767" s="290"/>
      <c r="BG767" s="290"/>
      <c r="BH767" s="290"/>
      <c r="BI767" s="290"/>
      <c r="BJ767" s="290"/>
      <c r="BK767" s="290"/>
      <c r="BL767" s="290"/>
      <c r="BM767" s="290"/>
      <c r="BN767" s="290"/>
      <c r="BO767" s="290"/>
      <c r="BP767" s="290"/>
      <c r="BQ767" s="290"/>
      <c r="BR767" s="290"/>
      <c r="BS767" s="290"/>
      <c r="BT767" s="290"/>
      <c r="BU767" s="290"/>
      <c r="BV767" s="290"/>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row>
    <row r="768" customFormat="false" ht="15.75" hidden="false" customHeight="false" outlineLevel="0" collapsed="false">
      <c r="A768" s="290"/>
      <c r="B768" s="290"/>
      <c r="C768" s="290"/>
      <c r="D768" s="290"/>
      <c r="E768" s="290"/>
      <c r="F768" s="290"/>
      <c r="G768" s="290"/>
      <c r="H768" s="290"/>
      <c r="I768" s="290"/>
      <c r="J768" s="3"/>
      <c r="K768" s="290"/>
      <c r="L768" s="290"/>
      <c r="M768" s="290"/>
      <c r="N768" s="290"/>
      <c r="O768" s="290"/>
      <c r="P768" s="290"/>
      <c r="Q768" s="290"/>
      <c r="R768" s="290"/>
      <c r="S768" s="290"/>
      <c r="T768" s="290"/>
      <c r="U768" s="290"/>
      <c r="V768" s="290"/>
      <c r="W768" s="290"/>
      <c r="X768" s="290"/>
      <c r="Y768" s="290"/>
      <c r="Z768" s="290"/>
      <c r="AA768" s="290"/>
      <c r="AB768" s="290"/>
      <c r="AC768" s="290"/>
      <c r="AD768" s="290"/>
      <c r="AE768" s="290"/>
      <c r="AF768" s="290"/>
      <c r="AG768" s="290"/>
      <c r="AH768" s="290"/>
      <c r="AI768" s="290"/>
      <c r="AJ768" s="290"/>
      <c r="AK768" s="290"/>
      <c r="AL768" s="290"/>
      <c r="AM768" s="290"/>
      <c r="AN768" s="290"/>
      <c r="AO768" s="290"/>
      <c r="AP768" s="290"/>
      <c r="AQ768" s="290"/>
      <c r="AR768" s="290"/>
      <c r="AS768" s="290"/>
      <c r="AT768" s="290"/>
      <c r="AU768" s="290"/>
      <c r="AV768" s="290"/>
      <c r="AW768" s="290"/>
      <c r="AX768" s="290"/>
      <c r="AY768" s="290"/>
      <c r="AZ768" s="290"/>
      <c r="BA768" s="290"/>
      <c r="BB768" s="290"/>
      <c r="BC768" s="290"/>
      <c r="BD768" s="290"/>
      <c r="BE768" s="290"/>
      <c r="BF768" s="290"/>
      <c r="BG768" s="290"/>
      <c r="BH768" s="290"/>
      <c r="BI768" s="290"/>
      <c r="BJ768" s="290"/>
      <c r="BK768" s="290"/>
      <c r="BL768" s="290"/>
      <c r="BM768" s="290"/>
      <c r="BN768" s="290"/>
      <c r="BO768" s="290"/>
      <c r="BP768" s="290"/>
      <c r="BQ768" s="290"/>
      <c r="BR768" s="290"/>
      <c r="BS768" s="290"/>
      <c r="BT768" s="290"/>
      <c r="BU768" s="290"/>
      <c r="BV768" s="290"/>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row>
    <row r="769" customFormat="false" ht="15.75" hidden="false" customHeight="false" outlineLevel="0" collapsed="false">
      <c r="A769" s="290"/>
      <c r="B769" s="290"/>
      <c r="C769" s="290"/>
      <c r="D769" s="290"/>
      <c r="E769" s="290"/>
      <c r="F769" s="290"/>
      <c r="G769" s="290"/>
      <c r="H769" s="290"/>
      <c r="I769" s="290"/>
      <c r="J769" s="3"/>
      <c r="K769" s="290"/>
      <c r="L769" s="290"/>
      <c r="M769" s="290"/>
      <c r="N769" s="290"/>
      <c r="O769" s="290"/>
      <c r="P769" s="290"/>
      <c r="Q769" s="290"/>
      <c r="R769" s="290"/>
      <c r="S769" s="290"/>
      <c r="T769" s="290"/>
      <c r="U769" s="290"/>
      <c r="V769" s="290"/>
      <c r="W769" s="290"/>
      <c r="X769" s="290"/>
      <c r="Y769" s="290"/>
      <c r="Z769" s="290"/>
      <c r="AA769" s="290"/>
      <c r="AB769" s="290"/>
      <c r="AC769" s="290"/>
      <c r="AD769" s="290"/>
      <c r="AE769" s="290"/>
      <c r="AF769" s="290"/>
      <c r="AG769" s="290"/>
      <c r="AH769" s="290"/>
      <c r="AI769" s="290"/>
      <c r="AJ769" s="290"/>
      <c r="AK769" s="290"/>
      <c r="AL769" s="290"/>
      <c r="AM769" s="290"/>
      <c r="AN769" s="290"/>
      <c r="AO769" s="290"/>
      <c r="AP769" s="290"/>
      <c r="AQ769" s="290"/>
      <c r="AR769" s="290"/>
      <c r="AS769" s="290"/>
      <c r="AT769" s="290"/>
      <c r="AU769" s="290"/>
      <c r="AV769" s="290"/>
      <c r="AW769" s="290"/>
      <c r="AX769" s="290"/>
      <c r="AY769" s="290"/>
      <c r="AZ769" s="290"/>
      <c r="BA769" s="290"/>
      <c r="BB769" s="290"/>
      <c r="BC769" s="290"/>
      <c r="BD769" s="290"/>
      <c r="BE769" s="290"/>
      <c r="BF769" s="290"/>
      <c r="BG769" s="290"/>
      <c r="BH769" s="290"/>
      <c r="BI769" s="290"/>
      <c r="BJ769" s="290"/>
      <c r="BK769" s="290"/>
      <c r="BL769" s="290"/>
      <c r="BM769" s="290"/>
      <c r="BN769" s="290"/>
      <c r="BO769" s="290"/>
      <c r="BP769" s="290"/>
      <c r="BQ769" s="290"/>
      <c r="BR769" s="290"/>
      <c r="BS769" s="290"/>
      <c r="BT769" s="290"/>
      <c r="BU769" s="290"/>
      <c r="BV769" s="290"/>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row>
    <row r="770" customFormat="false" ht="15.75" hidden="false" customHeight="false" outlineLevel="0" collapsed="false">
      <c r="A770" s="290"/>
      <c r="B770" s="290"/>
      <c r="C770" s="290"/>
      <c r="D770" s="290"/>
      <c r="E770" s="290"/>
      <c r="F770" s="290"/>
      <c r="G770" s="290"/>
      <c r="H770" s="290"/>
      <c r="I770" s="290"/>
      <c r="J770" s="3"/>
      <c r="K770" s="290"/>
      <c r="L770" s="290"/>
      <c r="M770" s="290"/>
      <c r="N770" s="290"/>
      <c r="O770" s="290"/>
      <c r="P770" s="290"/>
      <c r="Q770" s="290"/>
      <c r="R770" s="290"/>
      <c r="S770" s="290"/>
      <c r="T770" s="290"/>
      <c r="U770" s="290"/>
      <c r="V770" s="290"/>
      <c r="W770" s="290"/>
      <c r="X770" s="290"/>
      <c r="Y770" s="290"/>
      <c r="Z770" s="290"/>
      <c r="AA770" s="290"/>
      <c r="AB770" s="290"/>
      <c r="AC770" s="290"/>
      <c r="AD770" s="290"/>
      <c r="AE770" s="290"/>
      <c r="AF770" s="290"/>
      <c r="AG770" s="290"/>
      <c r="AH770" s="290"/>
      <c r="AI770" s="290"/>
      <c r="AJ770" s="290"/>
      <c r="AK770" s="290"/>
      <c r="AL770" s="290"/>
      <c r="AM770" s="290"/>
      <c r="AN770" s="290"/>
      <c r="AO770" s="290"/>
      <c r="AP770" s="290"/>
      <c r="AQ770" s="290"/>
      <c r="AR770" s="290"/>
      <c r="AS770" s="290"/>
      <c r="AT770" s="290"/>
      <c r="AU770" s="290"/>
      <c r="AV770" s="290"/>
      <c r="AW770" s="290"/>
      <c r="AX770" s="290"/>
      <c r="AY770" s="290"/>
      <c r="AZ770" s="290"/>
      <c r="BA770" s="290"/>
      <c r="BB770" s="290"/>
      <c r="BC770" s="290"/>
      <c r="BD770" s="290"/>
      <c r="BE770" s="290"/>
      <c r="BF770" s="290"/>
      <c r="BG770" s="290"/>
      <c r="BH770" s="290"/>
      <c r="BI770" s="290"/>
      <c r="BJ770" s="290"/>
      <c r="BK770" s="290"/>
      <c r="BL770" s="290"/>
      <c r="BM770" s="290"/>
      <c r="BN770" s="290"/>
      <c r="BO770" s="290"/>
      <c r="BP770" s="290"/>
      <c r="BQ770" s="290"/>
      <c r="BR770" s="290"/>
      <c r="BS770" s="290"/>
      <c r="BT770" s="290"/>
      <c r="BU770" s="290"/>
      <c r="BV770" s="290"/>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row>
    <row r="771" customFormat="false" ht="15.75" hidden="false" customHeight="false" outlineLevel="0" collapsed="false">
      <c r="A771" s="290"/>
      <c r="B771" s="290"/>
      <c r="C771" s="290"/>
      <c r="D771" s="290"/>
      <c r="E771" s="290"/>
      <c r="F771" s="290"/>
      <c r="G771" s="290"/>
      <c r="H771" s="290"/>
      <c r="I771" s="290"/>
      <c r="J771" s="3"/>
      <c r="K771" s="290"/>
      <c r="L771" s="290"/>
      <c r="M771" s="290"/>
      <c r="N771" s="290"/>
      <c r="O771" s="290"/>
      <c r="P771" s="290"/>
      <c r="Q771" s="290"/>
      <c r="R771" s="290"/>
      <c r="S771" s="290"/>
      <c r="T771" s="290"/>
      <c r="U771" s="290"/>
      <c r="V771" s="290"/>
      <c r="W771" s="290"/>
      <c r="X771" s="290"/>
      <c r="Y771" s="290"/>
      <c r="Z771" s="290"/>
      <c r="AA771" s="290"/>
      <c r="AB771" s="290"/>
      <c r="AC771" s="290"/>
      <c r="AD771" s="290"/>
      <c r="AE771" s="290"/>
      <c r="AF771" s="290"/>
      <c r="AG771" s="290"/>
      <c r="AH771" s="290"/>
      <c r="AI771" s="290"/>
      <c r="AJ771" s="290"/>
      <c r="AK771" s="290"/>
      <c r="AL771" s="290"/>
      <c r="AM771" s="290"/>
      <c r="AN771" s="290"/>
      <c r="AO771" s="290"/>
      <c r="AP771" s="290"/>
      <c r="AQ771" s="290"/>
      <c r="AR771" s="290"/>
      <c r="AS771" s="290"/>
      <c r="AT771" s="290"/>
      <c r="AU771" s="290"/>
      <c r="AV771" s="290"/>
      <c r="AW771" s="290"/>
      <c r="AX771" s="290"/>
      <c r="AY771" s="290"/>
      <c r="AZ771" s="290"/>
      <c r="BA771" s="290"/>
      <c r="BB771" s="290"/>
      <c r="BC771" s="290"/>
      <c r="BD771" s="290"/>
      <c r="BE771" s="290"/>
      <c r="BF771" s="290"/>
      <c r="BG771" s="290"/>
      <c r="BH771" s="290"/>
      <c r="BI771" s="290"/>
      <c r="BJ771" s="290"/>
      <c r="BK771" s="290"/>
      <c r="BL771" s="290"/>
      <c r="BM771" s="290"/>
      <c r="BN771" s="290"/>
      <c r="BO771" s="290"/>
      <c r="BP771" s="290"/>
      <c r="BQ771" s="290"/>
      <c r="BR771" s="290"/>
      <c r="BS771" s="290"/>
      <c r="BT771" s="290"/>
      <c r="BU771" s="290"/>
      <c r="BV771" s="290"/>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row>
    <row r="772" customFormat="false" ht="15.75" hidden="false" customHeight="false" outlineLevel="0" collapsed="false">
      <c r="A772" s="290"/>
      <c r="B772" s="290"/>
      <c r="C772" s="290"/>
      <c r="D772" s="290"/>
      <c r="E772" s="290"/>
      <c r="F772" s="290"/>
      <c r="G772" s="290"/>
      <c r="H772" s="290"/>
      <c r="I772" s="290"/>
      <c r="J772" s="3"/>
      <c r="K772" s="290"/>
      <c r="L772" s="290"/>
      <c r="M772" s="290"/>
      <c r="N772" s="290"/>
      <c r="O772" s="290"/>
      <c r="P772" s="290"/>
      <c r="Q772" s="290"/>
      <c r="R772" s="290"/>
      <c r="S772" s="290"/>
      <c r="T772" s="290"/>
      <c r="U772" s="290"/>
      <c r="V772" s="290"/>
      <c r="W772" s="290"/>
      <c r="X772" s="290"/>
      <c r="Y772" s="290"/>
      <c r="Z772" s="290"/>
      <c r="AA772" s="290"/>
      <c r="AB772" s="290"/>
      <c r="AC772" s="290"/>
      <c r="AD772" s="290"/>
      <c r="AE772" s="290"/>
      <c r="AF772" s="290"/>
      <c r="AG772" s="290"/>
      <c r="AH772" s="290"/>
      <c r="AI772" s="290"/>
      <c r="AJ772" s="290"/>
      <c r="AK772" s="290"/>
      <c r="AL772" s="290"/>
      <c r="AM772" s="290"/>
      <c r="AN772" s="290"/>
      <c r="AO772" s="290"/>
      <c r="AP772" s="290"/>
      <c r="AQ772" s="290"/>
      <c r="AR772" s="290"/>
      <c r="AS772" s="290"/>
      <c r="AT772" s="290"/>
      <c r="AU772" s="290"/>
      <c r="AV772" s="290"/>
      <c r="AW772" s="290"/>
      <c r="AX772" s="290"/>
      <c r="AY772" s="290"/>
      <c r="AZ772" s="290"/>
      <c r="BA772" s="290"/>
      <c r="BB772" s="290"/>
      <c r="BC772" s="290"/>
      <c r="BD772" s="290"/>
      <c r="BE772" s="290"/>
      <c r="BF772" s="290"/>
      <c r="BG772" s="290"/>
      <c r="BH772" s="290"/>
      <c r="BI772" s="290"/>
      <c r="BJ772" s="290"/>
      <c r="BK772" s="290"/>
      <c r="BL772" s="290"/>
      <c r="BM772" s="290"/>
      <c r="BN772" s="290"/>
      <c r="BO772" s="290"/>
      <c r="BP772" s="290"/>
      <c r="BQ772" s="290"/>
      <c r="BR772" s="290"/>
      <c r="BS772" s="290"/>
      <c r="BT772" s="290"/>
      <c r="BU772" s="290"/>
      <c r="BV772" s="290"/>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row>
    <row r="773" customFormat="false" ht="15.75" hidden="false" customHeight="false" outlineLevel="0" collapsed="false">
      <c r="A773" s="290"/>
      <c r="B773" s="290"/>
      <c r="C773" s="290"/>
      <c r="D773" s="290"/>
      <c r="E773" s="290"/>
      <c r="F773" s="290"/>
      <c r="G773" s="290"/>
      <c r="H773" s="290"/>
      <c r="I773" s="290"/>
      <c r="J773" s="3"/>
      <c r="K773" s="290"/>
      <c r="L773" s="290"/>
      <c r="M773" s="290"/>
      <c r="N773" s="290"/>
      <c r="O773" s="290"/>
      <c r="P773" s="290"/>
      <c r="Q773" s="290"/>
      <c r="R773" s="290"/>
      <c r="S773" s="290"/>
      <c r="T773" s="290"/>
      <c r="U773" s="290"/>
      <c r="V773" s="290"/>
      <c r="W773" s="290"/>
      <c r="X773" s="290"/>
      <c r="Y773" s="290"/>
      <c r="Z773" s="290"/>
      <c r="AA773" s="290"/>
      <c r="AB773" s="290"/>
      <c r="AC773" s="290"/>
      <c r="AD773" s="290"/>
      <c r="AE773" s="290"/>
      <c r="AF773" s="290"/>
      <c r="AG773" s="290"/>
      <c r="AH773" s="290"/>
      <c r="AI773" s="290"/>
      <c r="AJ773" s="290"/>
      <c r="AK773" s="290"/>
      <c r="AL773" s="290"/>
      <c r="AM773" s="290"/>
      <c r="AN773" s="290"/>
      <c r="AO773" s="290"/>
      <c r="AP773" s="290"/>
      <c r="AQ773" s="290"/>
      <c r="AR773" s="290"/>
      <c r="AS773" s="290"/>
      <c r="AT773" s="290"/>
      <c r="AU773" s="290"/>
      <c r="AV773" s="290"/>
      <c r="AW773" s="290"/>
      <c r="AX773" s="290"/>
      <c r="AY773" s="290"/>
      <c r="AZ773" s="290"/>
      <c r="BA773" s="290"/>
      <c r="BB773" s="290"/>
      <c r="BC773" s="290"/>
      <c r="BD773" s="290"/>
      <c r="BE773" s="290"/>
      <c r="BF773" s="290"/>
      <c r="BG773" s="290"/>
      <c r="BH773" s="290"/>
      <c r="BI773" s="290"/>
      <c r="BJ773" s="290"/>
      <c r="BK773" s="290"/>
      <c r="BL773" s="290"/>
      <c r="BM773" s="290"/>
      <c r="BN773" s="290"/>
      <c r="BO773" s="290"/>
      <c r="BP773" s="290"/>
      <c r="BQ773" s="290"/>
      <c r="BR773" s="290"/>
      <c r="BS773" s="290"/>
      <c r="BT773" s="290"/>
      <c r="BU773" s="290"/>
      <c r="BV773" s="290"/>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row>
    <row r="774" customFormat="false" ht="15.75" hidden="false" customHeight="false" outlineLevel="0" collapsed="false">
      <c r="A774" s="290"/>
      <c r="B774" s="290"/>
      <c r="C774" s="290"/>
      <c r="D774" s="290"/>
      <c r="E774" s="290"/>
      <c r="F774" s="290"/>
      <c r="G774" s="290"/>
      <c r="H774" s="290"/>
      <c r="I774" s="290"/>
      <c r="J774" s="3"/>
      <c r="K774" s="290"/>
      <c r="L774" s="290"/>
      <c r="M774" s="290"/>
      <c r="N774" s="290"/>
      <c r="O774" s="290"/>
      <c r="P774" s="290"/>
      <c r="Q774" s="290"/>
      <c r="R774" s="290"/>
      <c r="S774" s="290"/>
      <c r="T774" s="290"/>
      <c r="U774" s="290"/>
      <c r="V774" s="290"/>
      <c r="W774" s="290"/>
      <c r="X774" s="290"/>
      <c r="Y774" s="290"/>
      <c r="Z774" s="290"/>
      <c r="AA774" s="290"/>
      <c r="AB774" s="290"/>
      <c r="AC774" s="290"/>
      <c r="AD774" s="290"/>
      <c r="AE774" s="290"/>
      <c r="AF774" s="290"/>
      <c r="AG774" s="290"/>
      <c r="AH774" s="290"/>
      <c r="AI774" s="290"/>
      <c r="AJ774" s="290"/>
      <c r="AK774" s="290"/>
      <c r="AL774" s="290"/>
      <c r="AM774" s="290"/>
      <c r="AN774" s="290"/>
      <c r="AO774" s="290"/>
      <c r="AP774" s="290"/>
      <c r="AQ774" s="290"/>
      <c r="AR774" s="290"/>
      <c r="AS774" s="290"/>
      <c r="AT774" s="290"/>
      <c r="AU774" s="290"/>
      <c r="AV774" s="290"/>
      <c r="AW774" s="290"/>
      <c r="AX774" s="290"/>
      <c r="AY774" s="290"/>
      <c r="AZ774" s="290"/>
      <c r="BA774" s="290"/>
      <c r="BB774" s="290"/>
      <c r="BC774" s="290"/>
      <c r="BD774" s="290"/>
      <c r="BE774" s="290"/>
      <c r="BF774" s="290"/>
      <c r="BG774" s="290"/>
      <c r="BH774" s="290"/>
      <c r="BI774" s="290"/>
      <c r="BJ774" s="290"/>
      <c r="BK774" s="290"/>
      <c r="BL774" s="290"/>
      <c r="BM774" s="290"/>
      <c r="BN774" s="290"/>
      <c r="BO774" s="290"/>
      <c r="BP774" s="290"/>
      <c r="BQ774" s="290"/>
      <c r="BR774" s="290"/>
      <c r="BS774" s="290"/>
      <c r="BT774" s="290"/>
      <c r="BU774" s="290"/>
      <c r="BV774" s="290"/>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row>
    <row r="775" customFormat="false" ht="15.75" hidden="false" customHeight="false" outlineLevel="0" collapsed="false">
      <c r="A775" s="290"/>
      <c r="B775" s="290"/>
      <c r="C775" s="290"/>
      <c r="D775" s="290"/>
      <c r="E775" s="290"/>
      <c r="F775" s="290"/>
      <c r="G775" s="290"/>
      <c r="H775" s="290"/>
      <c r="I775" s="290"/>
      <c r="J775" s="3"/>
      <c r="K775" s="290"/>
      <c r="L775" s="290"/>
      <c r="M775" s="290"/>
      <c r="N775" s="290"/>
      <c r="O775" s="290"/>
      <c r="P775" s="290"/>
      <c r="Q775" s="290"/>
      <c r="R775" s="290"/>
      <c r="S775" s="290"/>
      <c r="T775" s="290"/>
      <c r="U775" s="290"/>
      <c r="V775" s="290"/>
      <c r="W775" s="290"/>
      <c r="X775" s="290"/>
      <c r="Y775" s="290"/>
      <c r="Z775" s="290"/>
      <c r="AA775" s="290"/>
      <c r="AB775" s="290"/>
      <c r="AC775" s="290"/>
      <c r="AD775" s="290"/>
      <c r="AE775" s="290"/>
      <c r="AF775" s="290"/>
      <c r="AG775" s="290"/>
      <c r="AH775" s="290"/>
      <c r="AI775" s="290"/>
      <c r="AJ775" s="290"/>
      <c r="AK775" s="290"/>
      <c r="AL775" s="290"/>
      <c r="AM775" s="290"/>
      <c r="AN775" s="290"/>
      <c r="AO775" s="290"/>
      <c r="AP775" s="290"/>
      <c r="AQ775" s="290"/>
      <c r="AR775" s="290"/>
      <c r="AS775" s="290"/>
      <c r="AT775" s="290"/>
      <c r="AU775" s="290"/>
      <c r="AV775" s="290"/>
      <c r="AW775" s="290"/>
      <c r="AX775" s="290"/>
      <c r="AY775" s="290"/>
      <c r="AZ775" s="290"/>
      <c r="BA775" s="290"/>
      <c r="BB775" s="290"/>
      <c r="BC775" s="290"/>
      <c r="BD775" s="290"/>
      <c r="BE775" s="290"/>
      <c r="BF775" s="290"/>
      <c r="BG775" s="290"/>
      <c r="BH775" s="290"/>
      <c r="BI775" s="290"/>
      <c r="BJ775" s="290"/>
      <c r="BK775" s="290"/>
      <c r="BL775" s="290"/>
      <c r="BM775" s="290"/>
      <c r="BN775" s="290"/>
      <c r="BO775" s="290"/>
      <c r="BP775" s="290"/>
      <c r="BQ775" s="290"/>
      <c r="BR775" s="290"/>
      <c r="BS775" s="290"/>
      <c r="BT775" s="290"/>
      <c r="BU775" s="290"/>
      <c r="BV775" s="290"/>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row>
    <row r="776" customFormat="false" ht="15.75" hidden="false" customHeight="false" outlineLevel="0" collapsed="false">
      <c r="A776" s="290"/>
      <c r="B776" s="290"/>
      <c r="C776" s="290"/>
      <c r="D776" s="290"/>
      <c r="E776" s="290"/>
      <c r="F776" s="290"/>
      <c r="G776" s="290"/>
      <c r="H776" s="290"/>
      <c r="I776" s="290"/>
      <c r="J776" s="3"/>
      <c r="K776" s="290"/>
      <c r="L776" s="290"/>
      <c r="M776" s="290"/>
      <c r="N776" s="290"/>
      <c r="O776" s="290"/>
      <c r="P776" s="290"/>
      <c r="Q776" s="290"/>
      <c r="R776" s="290"/>
      <c r="S776" s="290"/>
      <c r="T776" s="290"/>
      <c r="U776" s="290"/>
      <c r="V776" s="290"/>
      <c r="W776" s="290"/>
      <c r="X776" s="290"/>
      <c r="Y776" s="290"/>
      <c r="Z776" s="290"/>
      <c r="AA776" s="290"/>
      <c r="AB776" s="290"/>
      <c r="AC776" s="290"/>
      <c r="AD776" s="290"/>
      <c r="AE776" s="290"/>
      <c r="AF776" s="290"/>
      <c r="AG776" s="290"/>
      <c r="AH776" s="290"/>
      <c r="AI776" s="290"/>
      <c r="AJ776" s="290"/>
      <c r="AK776" s="290"/>
      <c r="AL776" s="290"/>
      <c r="AM776" s="290"/>
      <c r="AN776" s="290"/>
      <c r="AO776" s="290"/>
      <c r="AP776" s="290"/>
      <c r="AQ776" s="290"/>
      <c r="AR776" s="290"/>
      <c r="AS776" s="290"/>
      <c r="AT776" s="290"/>
      <c r="AU776" s="290"/>
      <c r="AV776" s="290"/>
      <c r="AW776" s="290"/>
      <c r="AX776" s="290"/>
      <c r="AY776" s="290"/>
      <c r="AZ776" s="290"/>
      <c r="BA776" s="290"/>
      <c r="BB776" s="290"/>
      <c r="BC776" s="290"/>
      <c r="BD776" s="290"/>
      <c r="BE776" s="290"/>
      <c r="BF776" s="290"/>
      <c r="BG776" s="290"/>
      <c r="BH776" s="290"/>
      <c r="BI776" s="290"/>
      <c r="BJ776" s="290"/>
      <c r="BK776" s="290"/>
      <c r="BL776" s="290"/>
      <c r="BM776" s="290"/>
      <c r="BN776" s="290"/>
      <c r="BO776" s="290"/>
      <c r="BP776" s="290"/>
      <c r="BQ776" s="290"/>
      <c r="BR776" s="290"/>
      <c r="BS776" s="290"/>
      <c r="BT776" s="290"/>
      <c r="BU776" s="290"/>
      <c r="BV776" s="290"/>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row>
    <row r="777" customFormat="false" ht="15.75" hidden="false" customHeight="false" outlineLevel="0" collapsed="false">
      <c r="A777" s="290"/>
      <c r="B777" s="290"/>
      <c r="C777" s="290"/>
      <c r="D777" s="290"/>
      <c r="E777" s="290"/>
      <c r="F777" s="290"/>
      <c r="G777" s="290"/>
      <c r="H777" s="290"/>
      <c r="I777" s="290"/>
      <c r="J777" s="3"/>
      <c r="K777" s="290"/>
      <c r="L777" s="290"/>
      <c r="M777" s="290"/>
      <c r="N777" s="290"/>
      <c r="O777" s="290"/>
      <c r="P777" s="290"/>
      <c r="Q777" s="290"/>
      <c r="R777" s="290"/>
      <c r="S777" s="290"/>
      <c r="T777" s="290"/>
      <c r="U777" s="290"/>
      <c r="V777" s="290"/>
      <c r="W777" s="290"/>
      <c r="X777" s="290"/>
      <c r="Y777" s="290"/>
      <c r="Z777" s="290"/>
      <c r="AA777" s="290"/>
      <c r="AB777" s="290"/>
      <c r="AC777" s="290"/>
      <c r="AD777" s="290"/>
      <c r="AE777" s="290"/>
      <c r="AF777" s="290"/>
      <c r="AG777" s="290"/>
      <c r="AH777" s="290"/>
      <c r="AI777" s="290"/>
      <c r="AJ777" s="290"/>
      <c r="AK777" s="290"/>
      <c r="AL777" s="290"/>
      <c r="AM777" s="290"/>
      <c r="AN777" s="290"/>
      <c r="AO777" s="290"/>
      <c r="AP777" s="290"/>
      <c r="AQ777" s="290"/>
      <c r="AR777" s="290"/>
      <c r="AS777" s="290"/>
      <c r="AT777" s="290"/>
      <c r="AU777" s="290"/>
      <c r="AV777" s="290"/>
      <c r="AW777" s="290"/>
      <c r="AX777" s="290"/>
      <c r="AY777" s="290"/>
      <c r="AZ777" s="290"/>
      <c r="BA777" s="290"/>
      <c r="BB777" s="290"/>
      <c r="BC777" s="290"/>
      <c r="BD777" s="290"/>
      <c r="BE777" s="290"/>
      <c r="BF777" s="290"/>
      <c r="BG777" s="290"/>
      <c r="BH777" s="290"/>
      <c r="BI777" s="290"/>
      <c r="BJ777" s="290"/>
      <c r="BK777" s="290"/>
      <c r="BL777" s="290"/>
      <c r="BM777" s="290"/>
      <c r="BN777" s="290"/>
      <c r="BO777" s="290"/>
      <c r="BP777" s="290"/>
      <c r="BQ777" s="290"/>
      <c r="BR777" s="290"/>
      <c r="BS777" s="290"/>
      <c r="BT777" s="290"/>
      <c r="BU777" s="290"/>
      <c r="BV777" s="290"/>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row>
    <row r="778" customFormat="false" ht="15.75" hidden="false" customHeight="false" outlineLevel="0" collapsed="false">
      <c r="A778" s="290"/>
      <c r="B778" s="290"/>
      <c r="C778" s="290"/>
      <c r="D778" s="290"/>
      <c r="E778" s="290"/>
      <c r="F778" s="290"/>
      <c r="G778" s="290"/>
      <c r="H778" s="290"/>
      <c r="I778" s="290"/>
      <c r="J778" s="3"/>
      <c r="K778" s="290"/>
      <c r="L778" s="290"/>
      <c r="M778" s="290"/>
      <c r="N778" s="290"/>
      <c r="O778" s="290"/>
      <c r="P778" s="290"/>
      <c r="Q778" s="290"/>
      <c r="R778" s="290"/>
      <c r="S778" s="290"/>
      <c r="T778" s="290"/>
      <c r="U778" s="290"/>
      <c r="V778" s="290"/>
      <c r="W778" s="290"/>
      <c r="X778" s="290"/>
      <c r="Y778" s="290"/>
      <c r="Z778" s="290"/>
      <c r="AA778" s="290"/>
      <c r="AB778" s="290"/>
      <c r="AC778" s="290"/>
      <c r="AD778" s="290"/>
      <c r="AE778" s="290"/>
      <c r="AF778" s="290"/>
      <c r="AG778" s="290"/>
      <c r="AH778" s="290"/>
      <c r="AI778" s="290"/>
      <c r="AJ778" s="290"/>
      <c r="AK778" s="290"/>
      <c r="AL778" s="290"/>
      <c r="AM778" s="290"/>
      <c r="AN778" s="290"/>
      <c r="AO778" s="290"/>
      <c r="AP778" s="290"/>
      <c r="AQ778" s="290"/>
      <c r="AR778" s="290"/>
      <c r="AS778" s="290"/>
      <c r="AT778" s="290"/>
      <c r="AU778" s="290"/>
      <c r="AV778" s="290"/>
      <c r="AW778" s="290"/>
      <c r="AX778" s="290"/>
      <c r="AY778" s="290"/>
      <c r="AZ778" s="290"/>
      <c r="BA778" s="290"/>
      <c r="BB778" s="290"/>
      <c r="BC778" s="290"/>
      <c r="BD778" s="290"/>
      <c r="BE778" s="290"/>
      <c r="BF778" s="290"/>
      <c r="BG778" s="290"/>
      <c r="BH778" s="290"/>
      <c r="BI778" s="290"/>
      <c r="BJ778" s="290"/>
      <c r="BK778" s="290"/>
      <c r="BL778" s="290"/>
      <c r="BM778" s="290"/>
      <c r="BN778" s="290"/>
      <c r="BO778" s="290"/>
      <c r="BP778" s="290"/>
      <c r="BQ778" s="290"/>
      <c r="BR778" s="290"/>
      <c r="BS778" s="290"/>
      <c r="BT778" s="290"/>
      <c r="BU778" s="290"/>
      <c r="BV778" s="290"/>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row>
    <row r="779" customFormat="false" ht="15.75" hidden="false" customHeight="false" outlineLevel="0" collapsed="false">
      <c r="A779" s="290"/>
      <c r="B779" s="290"/>
      <c r="C779" s="290"/>
      <c r="D779" s="290"/>
      <c r="E779" s="290"/>
      <c r="F779" s="290"/>
      <c r="G779" s="290"/>
      <c r="H779" s="290"/>
      <c r="I779" s="290"/>
      <c r="J779" s="3"/>
      <c r="K779" s="290"/>
      <c r="L779" s="290"/>
      <c r="M779" s="290"/>
      <c r="N779" s="290"/>
      <c r="O779" s="290"/>
      <c r="P779" s="290"/>
      <c r="Q779" s="290"/>
      <c r="R779" s="290"/>
      <c r="S779" s="290"/>
      <c r="T779" s="290"/>
      <c r="U779" s="290"/>
      <c r="V779" s="290"/>
      <c r="W779" s="290"/>
      <c r="X779" s="290"/>
      <c r="Y779" s="290"/>
      <c r="Z779" s="290"/>
      <c r="AA779" s="290"/>
      <c r="AB779" s="290"/>
      <c r="AC779" s="290"/>
      <c r="AD779" s="290"/>
      <c r="AE779" s="290"/>
      <c r="AF779" s="290"/>
      <c r="AG779" s="290"/>
      <c r="AH779" s="290"/>
      <c r="AI779" s="290"/>
      <c r="AJ779" s="290"/>
      <c r="AK779" s="290"/>
      <c r="AL779" s="290"/>
      <c r="AM779" s="290"/>
      <c r="AN779" s="290"/>
      <c r="AO779" s="290"/>
      <c r="AP779" s="290"/>
      <c r="AQ779" s="290"/>
      <c r="AR779" s="290"/>
      <c r="AS779" s="290"/>
      <c r="AT779" s="290"/>
      <c r="AU779" s="290"/>
      <c r="AV779" s="290"/>
      <c r="AW779" s="290"/>
      <c r="AX779" s="290"/>
      <c r="AY779" s="290"/>
      <c r="AZ779" s="290"/>
      <c r="BA779" s="290"/>
      <c r="BB779" s="290"/>
      <c r="BC779" s="290"/>
      <c r="BD779" s="290"/>
      <c r="BE779" s="290"/>
      <c r="BF779" s="290"/>
      <c r="BG779" s="290"/>
      <c r="BH779" s="290"/>
      <c r="BI779" s="290"/>
      <c r="BJ779" s="290"/>
      <c r="BK779" s="290"/>
      <c r="BL779" s="290"/>
      <c r="BM779" s="290"/>
      <c r="BN779" s="290"/>
      <c r="BO779" s="290"/>
      <c r="BP779" s="290"/>
      <c r="BQ779" s="290"/>
      <c r="BR779" s="290"/>
      <c r="BS779" s="290"/>
      <c r="BT779" s="290"/>
      <c r="BU779" s="290"/>
      <c r="BV779" s="290"/>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row>
    <row r="780" customFormat="false" ht="15.75" hidden="false" customHeight="false" outlineLevel="0" collapsed="false">
      <c r="A780" s="290"/>
      <c r="B780" s="290"/>
      <c r="C780" s="290"/>
      <c r="D780" s="290"/>
      <c r="E780" s="290"/>
      <c r="F780" s="290"/>
      <c r="G780" s="290"/>
      <c r="H780" s="290"/>
      <c r="I780" s="290"/>
      <c r="J780" s="3"/>
      <c r="K780" s="290"/>
      <c r="L780" s="290"/>
      <c r="M780" s="290"/>
      <c r="N780" s="290"/>
      <c r="O780" s="290"/>
      <c r="P780" s="290"/>
      <c r="Q780" s="290"/>
      <c r="R780" s="290"/>
      <c r="S780" s="290"/>
      <c r="T780" s="290"/>
      <c r="U780" s="290"/>
      <c r="V780" s="290"/>
      <c r="W780" s="290"/>
      <c r="X780" s="290"/>
      <c r="Y780" s="290"/>
      <c r="Z780" s="290"/>
      <c r="AA780" s="290"/>
      <c r="AB780" s="290"/>
      <c r="AC780" s="290"/>
      <c r="AD780" s="290"/>
      <c r="AE780" s="290"/>
      <c r="AF780" s="290"/>
      <c r="AG780" s="290"/>
      <c r="AH780" s="290"/>
      <c r="AI780" s="290"/>
      <c r="AJ780" s="290"/>
      <c r="AK780" s="290"/>
      <c r="AL780" s="290"/>
      <c r="AM780" s="290"/>
      <c r="AN780" s="290"/>
      <c r="AO780" s="290"/>
      <c r="AP780" s="290"/>
      <c r="AQ780" s="290"/>
      <c r="AR780" s="290"/>
      <c r="AS780" s="290"/>
      <c r="AT780" s="290"/>
      <c r="AU780" s="290"/>
      <c r="AV780" s="290"/>
      <c r="AW780" s="290"/>
      <c r="AX780" s="290"/>
      <c r="AY780" s="290"/>
      <c r="AZ780" s="290"/>
      <c r="BA780" s="290"/>
      <c r="BB780" s="290"/>
      <c r="BC780" s="290"/>
      <c r="BD780" s="290"/>
      <c r="BE780" s="290"/>
      <c r="BF780" s="290"/>
      <c r="BG780" s="290"/>
      <c r="BH780" s="290"/>
      <c r="BI780" s="290"/>
      <c r="BJ780" s="290"/>
      <c r="BK780" s="290"/>
      <c r="BL780" s="290"/>
      <c r="BM780" s="290"/>
      <c r="BN780" s="290"/>
      <c r="BO780" s="290"/>
      <c r="BP780" s="290"/>
      <c r="BQ780" s="290"/>
      <c r="BR780" s="290"/>
      <c r="BS780" s="290"/>
      <c r="BT780" s="290"/>
      <c r="BU780" s="290"/>
      <c r="BV780" s="290"/>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row>
    <row r="781" customFormat="false" ht="15.75" hidden="false" customHeight="false" outlineLevel="0" collapsed="false">
      <c r="A781" s="290"/>
      <c r="B781" s="290"/>
      <c r="C781" s="290"/>
      <c r="D781" s="290"/>
      <c r="E781" s="290"/>
      <c r="F781" s="290"/>
      <c r="G781" s="290"/>
      <c r="H781" s="290"/>
      <c r="I781" s="290"/>
      <c r="J781" s="3"/>
      <c r="K781" s="290"/>
      <c r="L781" s="290"/>
      <c r="M781" s="290"/>
      <c r="N781" s="290"/>
      <c r="O781" s="290"/>
      <c r="P781" s="290"/>
      <c r="Q781" s="290"/>
      <c r="R781" s="290"/>
      <c r="S781" s="290"/>
      <c r="T781" s="290"/>
      <c r="U781" s="290"/>
      <c r="V781" s="290"/>
      <c r="W781" s="290"/>
      <c r="X781" s="290"/>
      <c r="Y781" s="290"/>
      <c r="Z781" s="290"/>
      <c r="AA781" s="290"/>
      <c r="AB781" s="290"/>
      <c r="AC781" s="290"/>
      <c r="AD781" s="290"/>
      <c r="AE781" s="290"/>
      <c r="AF781" s="290"/>
      <c r="AG781" s="290"/>
      <c r="AH781" s="290"/>
      <c r="AI781" s="290"/>
      <c r="AJ781" s="290"/>
      <c r="AK781" s="290"/>
      <c r="AL781" s="290"/>
      <c r="AM781" s="290"/>
      <c r="AN781" s="290"/>
      <c r="AO781" s="290"/>
      <c r="AP781" s="290"/>
      <c r="AQ781" s="290"/>
      <c r="AR781" s="290"/>
      <c r="AS781" s="290"/>
      <c r="AT781" s="290"/>
      <c r="AU781" s="290"/>
      <c r="AV781" s="290"/>
      <c r="AW781" s="290"/>
      <c r="AX781" s="290"/>
      <c r="AY781" s="290"/>
      <c r="AZ781" s="290"/>
      <c r="BA781" s="290"/>
      <c r="BB781" s="290"/>
      <c r="BC781" s="290"/>
      <c r="BD781" s="290"/>
      <c r="BE781" s="290"/>
      <c r="BF781" s="290"/>
      <c r="BG781" s="290"/>
      <c r="BH781" s="290"/>
      <c r="BI781" s="290"/>
      <c r="BJ781" s="290"/>
      <c r="BK781" s="290"/>
      <c r="BL781" s="290"/>
      <c r="BM781" s="290"/>
      <c r="BN781" s="290"/>
      <c r="BO781" s="290"/>
      <c r="BP781" s="290"/>
      <c r="BQ781" s="290"/>
      <c r="BR781" s="290"/>
      <c r="BS781" s="290"/>
      <c r="BT781" s="290"/>
      <c r="BU781" s="290"/>
      <c r="BV781" s="290"/>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row>
    <row r="782" customFormat="false" ht="15.75" hidden="false" customHeight="false" outlineLevel="0" collapsed="false">
      <c r="A782" s="290"/>
      <c r="B782" s="290"/>
      <c r="C782" s="290"/>
      <c r="D782" s="290"/>
      <c r="E782" s="290"/>
      <c r="F782" s="290"/>
      <c r="G782" s="290"/>
      <c r="H782" s="290"/>
      <c r="I782" s="290"/>
      <c r="J782" s="3"/>
      <c r="K782" s="290"/>
      <c r="L782" s="290"/>
      <c r="M782" s="290"/>
      <c r="N782" s="290"/>
      <c r="O782" s="290"/>
      <c r="P782" s="290"/>
      <c r="Q782" s="290"/>
      <c r="R782" s="290"/>
      <c r="S782" s="290"/>
      <c r="T782" s="290"/>
      <c r="U782" s="290"/>
      <c r="V782" s="290"/>
      <c r="W782" s="290"/>
      <c r="X782" s="290"/>
      <c r="Y782" s="290"/>
      <c r="Z782" s="290"/>
      <c r="AA782" s="290"/>
      <c r="AB782" s="290"/>
      <c r="AC782" s="290"/>
      <c r="AD782" s="290"/>
      <c r="AE782" s="290"/>
      <c r="AF782" s="290"/>
      <c r="AG782" s="290"/>
      <c r="AH782" s="290"/>
      <c r="AI782" s="290"/>
      <c r="AJ782" s="290"/>
      <c r="AK782" s="290"/>
      <c r="AL782" s="290"/>
      <c r="AM782" s="290"/>
      <c r="AN782" s="290"/>
      <c r="AO782" s="290"/>
      <c r="AP782" s="290"/>
      <c r="AQ782" s="290"/>
      <c r="AR782" s="290"/>
      <c r="AS782" s="290"/>
      <c r="AT782" s="290"/>
      <c r="AU782" s="290"/>
      <c r="AV782" s="290"/>
      <c r="AW782" s="290"/>
      <c r="AX782" s="290"/>
      <c r="AY782" s="290"/>
      <c r="AZ782" s="290"/>
      <c r="BA782" s="290"/>
      <c r="BB782" s="290"/>
      <c r="BC782" s="290"/>
      <c r="BD782" s="290"/>
      <c r="BE782" s="290"/>
      <c r="BF782" s="290"/>
      <c r="BG782" s="290"/>
      <c r="BH782" s="290"/>
      <c r="BI782" s="290"/>
      <c r="BJ782" s="290"/>
      <c r="BK782" s="290"/>
      <c r="BL782" s="290"/>
      <c r="BM782" s="290"/>
      <c r="BN782" s="290"/>
      <c r="BO782" s="290"/>
      <c r="BP782" s="290"/>
      <c r="BQ782" s="290"/>
      <c r="BR782" s="290"/>
      <c r="BS782" s="290"/>
      <c r="BT782" s="290"/>
      <c r="BU782" s="290"/>
      <c r="BV782" s="290"/>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row>
    <row r="783" customFormat="false" ht="15.75" hidden="false" customHeight="false" outlineLevel="0" collapsed="false">
      <c r="A783" s="290"/>
      <c r="B783" s="290"/>
      <c r="C783" s="290"/>
      <c r="D783" s="290"/>
      <c r="E783" s="290"/>
      <c r="F783" s="290"/>
      <c r="G783" s="290"/>
      <c r="H783" s="290"/>
      <c r="I783" s="290"/>
      <c r="J783" s="3"/>
      <c r="K783" s="290"/>
      <c r="L783" s="290"/>
      <c r="M783" s="290"/>
      <c r="N783" s="290"/>
      <c r="O783" s="290"/>
      <c r="P783" s="290"/>
      <c r="Q783" s="290"/>
      <c r="R783" s="290"/>
      <c r="S783" s="290"/>
      <c r="T783" s="290"/>
      <c r="U783" s="290"/>
      <c r="V783" s="290"/>
      <c r="W783" s="290"/>
      <c r="X783" s="290"/>
      <c r="Y783" s="290"/>
      <c r="Z783" s="290"/>
      <c r="AA783" s="290"/>
      <c r="AB783" s="290"/>
      <c r="AC783" s="290"/>
      <c r="AD783" s="290"/>
      <c r="AE783" s="290"/>
      <c r="AF783" s="290"/>
      <c r="AG783" s="290"/>
      <c r="AH783" s="290"/>
      <c r="AI783" s="290"/>
      <c r="AJ783" s="290"/>
      <c r="AK783" s="290"/>
      <c r="AL783" s="290"/>
      <c r="AM783" s="290"/>
      <c r="AN783" s="290"/>
      <c r="AO783" s="290"/>
      <c r="AP783" s="290"/>
      <c r="AQ783" s="290"/>
      <c r="AR783" s="290"/>
      <c r="AS783" s="290"/>
      <c r="AT783" s="290"/>
      <c r="AU783" s="290"/>
      <c r="AV783" s="290"/>
      <c r="AW783" s="290"/>
      <c r="AX783" s="290"/>
      <c r="AY783" s="290"/>
      <c r="AZ783" s="290"/>
      <c r="BA783" s="290"/>
      <c r="BB783" s="290"/>
      <c r="BC783" s="290"/>
      <c r="BD783" s="290"/>
      <c r="BE783" s="290"/>
      <c r="BF783" s="290"/>
      <c r="BG783" s="290"/>
      <c r="BH783" s="290"/>
      <c r="BI783" s="290"/>
      <c r="BJ783" s="290"/>
      <c r="BK783" s="290"/>
      <c r="BL783" s="290"/>
      <c r="BM783" s="290"/>
      <c r="BN783" s="290"/>
      <c r="BO783" s="290"/>
      <c r="BP783" s="290"/>
      <c r="BQ783" s="290"/>
      <c r="BR783" s="290"/>
      <c r="BS783" s="290"/>
      <c r="BT783" s="290"/>
      <c r="BU783" s="290"/>
      <c r="BV783" s="290"/>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row>
    <row r="784" customFormat="false" ht="15.75" hidden="false" customHeight="false" outlineLevel="0" collapsed="false">
      <c r="A784" s="290"/>
      <c r="B784" s="290"/>
      <c r="C784" s="290"/>
      <c r="D784" s="290"/>
      <c r="E784" s="290"/>
      <c r="F784" s="290"/>
      <c r="G784" s="290"/>
      <c r="H784" s="290"/>
      <c r="I784" s="290"/>
      <c r="J784" s="3"/>
      <c r="K784" s="290"/>
      <c r="L784" s="290"/>
      <c r="M784" s="290"/>
      <c r="N784" s="290"/>
      <c r="O784" s="290"/>
      <c r="P784" s="290"/>
      <c r="Q784" s="290"/>
      <c r="R784" s="290"/>
      <c r="S784" s="290"/>
      <c r="T784" s="290"/>
      <c r="U784" s="290"/>
      <c r="V784" s="290"/>
      <c r="W784" s="290"/>
      <c r="X784" s="290"/>
      <c r="Y784" s="290"/>
      <c r="Z784" s="290"/>
      <c r="AA784" s="290"/>
      <c r="AB784" s="290"/>
      <c r="AC784" s="290"/>
      <c r="AD784" s="290"/>
      <c r="AE784" s="290"/>
      <c r="AF784" s="290"/>
      <c r="AG784" s="290"/>
      <c r="AH784" s="290"/>
      <c r="AI784" s="290"/>
      <c r="AJ784" s="290"/>
      <c r="AK784" s="290"/>
      <c r="AL784" s="290"/>
      <c r="AM784" s="290"/>
      <c r="AN784" s="290"/>
      <c r="AO784" s="290"/>
      <c r="AP784" s="290"/>
      <c r="AQ784" s="290"/>
      <c r="AR784" s="290"/>
      <c r="AS784" s="290"/>
      <c r="AT784" s="290"/>
      <c r="AU784" s="290"/>
      <c r="AV784" s="290"/>
      <c r="AW784" s="290"/>
      <c r="AX784" s="290"/>
      <c r="AY784" s="290"/>
      <c r="AZ784" s="290"/>
      <c r="BA784" s="290"/>
      <c r="BB784" s="290"/>
      <c r="BC784" s="290"/>
      <c r="BD784" s="290"/>
      <c r="BE784" s="290"/>
      <c r="BF784" s="290"/>
      <c r="BG784" s="290"/>
      <c r="BH784" s="290"/>
      <c r="BI784" s="290"/>
      <c r="BJ784" s="290"/>
      <c r="BK784" s="290"/>
      <c r="BL784" s="290"/>
      <c r="BM784" s="290"/>
      <c r="BN784" s="290"/>
      <c r="BO784" s="290"/>
      <c r="BP784" s="290"/>
      <c r="BQ784" s="290"/>
      <c r="BR784" s="290"/>
      <c r="BS784" s="290"/>
      <c r="BT784" s="290"/>
      <c r="BU784" s="290"/>
      <c r="BV784" s="290"/>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row>
    <row r="785" customFormat="false" ht="15.75" hidden="false" customHeight="false" outlineLevel="0" collapsed="false">
      <c r="A785" s="290"/>
      <c r="B785" s="290"/>
      <c r="C785" s="290"/>
      <c r="D785" s="290"/>
      <c r="E785" s="290"/>
      <c r="F785" s="290"/>
      <c r="G785" s="290"/>
      <c r="H785" s="290"/>
      <c r="I785" s="290"/>
      <c r="J785" s="3"/>
      <c r="K785" s="290"/>
      <c r="L785" s="290"/>
      <c r="M785" s="290"/>
      <c r="N785" s="290"/>
      <c r="O785" s="290"/>
      <c r="P785" s="290"/>
      <c r="Q785" s="290"/>
      <c r="R785" s="290"/>
      <c r="S785" s="290"/>
      <c r="T785" s="290"/>
      <c r="U785" s="290"/>
      <c r="V785" s="290"/>
      <c r="W785" s="290"/>
      <c r="X785" s="290"/>
      <c r="Y785" s="290"/>
      <c r="Z785" s="290"/>
      <c r="AA785" s="290"/>
      <c r="AB785" s="290"/>
      <c r="AC785" s="290"/>
      <c r="AD785" s="290"/>
      <c r="AE785" s="290"/>
      <c r="AF785" s="290"/>
      <c r="AG785" s="290"/>
      <c r="AH785" s="290"/>
      <c r="AI785" s="290"/>
      <c r="AJ785" s="290"/>
      <c r="AK785" s="290"/>
      <c r="AL785" s="290"/>
      <c r="AM785" s="290"/>
      <c r="AN785" s="290"/>
      <c r="AO785" s="290"/>
      <c r="AP785" s="290"/>
      <c r="AQ785" s="290"/>
      <c r="AR785" s="290"/>
      <c r="AS785" s="290"/>
      <c r="AT785" s="290"/>
      <c r="AU785" s="290"/>
      <c r="AV785" s="290"/>
      <c r="AW785" s="290"/>
      <c r="AX785" s="290"/>
      <c r="AY785" s="290"/>
      <c r="AZ785" s="290"/>
      <c r="BA785" s="290"/>
      <c r="BB785" s="290"/>
      <c r="BC785" s="290"/>
      <c r="BD785" s="290"/>
      <c r="BE785" s="290"/>
      <c r="BF785" s="290"/>
      <c r="BG785" s="290"/>
      <c r="BH785" s="290"/>
      <c r="BI785" s="290"/>
      <c r="BJ785" s="290"/>
      <c r="BK785" s="290"/>
      <c r="BL785" s="290"/>
      <c r="BM785" s="290"/>
      <c r="BN785" s="290"/>
      <c r="BO785" s="290"/>
      <c r="BP785" s="290"/>
      <c r="BQ785" s="290"/>
      <c r="BR785" s="290"/>
      <c r="BS785" s="290"/>
      <c r="BT785" s="290"/>
      <c r="BU785" s="290"/>
      <c r="BV785" s="290"/>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row>
    <row r="786" customFormat="false" ht="15.75" hidden="false" customHeight="false" outlineLevel="0" collapsed="false">
      <c r="A786" s="290"/>
      <c r="B786" s="290"/>
      <c r="C786" s="290"/>
      <c r="D786" s="290"/>
      <c r="E786" s="290"/>
      <c r="F786" s="290"/>
      <c r="G786" s="290"/>
      <c r="H786" s="290"/>
      <c r="I786" s="290"/>
      <c r="J786" s="3"/>
      <c r="K786" s="290"/>
      <c r="L786" s="290"/>
      <c r="M786" s="290"/>
      <c r="N786" s="290"/>
      <c r="O786" s="290"/>
      <c r="P786" s="290"/>
      <c r="Q786" s="290"/>
      <c r="R786" s="290"/>
      <c r="S786" s="290"/>
      <c r="T786" s="290"/>
      <c r="U786" s="290"/>
      <c r="V786" s="290"/>
      <c r="W786" s="290"/>
      <c r="X786" s="290"/>
      <c r="Y786" s="290"/>
      <c r="Z786" s="290"/>
      <c r="AA786" s="290"/>
      <c r="AB786" s="290"/>
      <c r="AC786" s="290"/>
      <c r="AD786" s="290"/>
      <c r="AE786" s="290"/>
      <c r="AF786" s="290"/>
      <c r="AG786" s="290"/>
      <c r="AH786" s="290"/>
      <c r="AI786" s="290"/>
      <c r="AJ786" s="290"/>
      <c r="AK786" s="290"/>
      <c r="AL786" s="290"/>
      <c r="AM786" s="290"/>
      <c r="AN786" s="290"/>
      <c r="AO786" s="290"/>
      <c r="AP786" s="290"/>
      <c r="AQ786" s="290"/>
      <c r="AR786" s="290"/>
      <c r="AS786" s="290"/>
      <c r="AT786" s="290"/>
      <c r="AU786" s="290"/>
      <c r="AV786" s="290"/>
      <c r="AW786" s="290"/>
      <c r="AX786" s="290"/>
      <c r="AY786" s="290"/>
      <c r="AZ786" s="290"/>
      <c r="BA786" s="290"/>
      <c r="BB786" s="290"/>
      <c r="BC786" s="290"/>
      <c r="BD786" s="290"/>
      <c r="BE786" s="290"/>
      <c r="BF786" s="290"/>
      <c r="BG786" s="290"/>
      <c r="BH786" s="290"/>
      <c r="BI786" s="290"/>
      <c r="BJ786" s="290"/>
      <c r="BK786" s="290"/>
      <c r="BL786" s="290"/>
      <c r="BM786" s="290"/>
      <c r="BN786" s="290"/>
      <c r="BO786" s="290"/>
      <c r="BP786" s="290"/>
      <c r="BQ786" s="290"/>
      <c r="BR786" s="290"/>
      <c r="BS786" s="290"/>
      <c r="BT786" s="290"/>
      <c r="BU786" s="290"/>
      <c r="BV786" s="290"/>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row>
    <row r="787" customFormat="false" ht="15.75" hidden="false" customHeight="false" outlineLevel="0" collapsed="false">
      <c r="A787" s="290"/>
      <c r="B787" s="290"/>
      <c r="C787" s="290"/>
      <c r="D787" s="290"/>
      <c r="E787" s="290"/>
      <c r="F787" s="290"/>
      <c r="G787" s="290"/>
      <c r="H787" s="290"/>
      <c r="I787" s="290"/>
      <c r="J787" s="3"/>
      <c r="K787" s="290"/>
      <c r="L787" s="290"/>
      <c r="M787" s="290"/>
      <c r="N787" s="290"/>
      <c r="O787" s="290"/>
      <c r="P787" s="290"/>
      <c r="Q787" s="290"/>
      <c r="R787" s="290"/>
      <c r="S787" s="290"/>
      <c r="T787" s="290"/>
      <c r="U787" s="290"/>
      <c r="V787" s="290"/>
      <c r="W787" s="290"/>
      <c r="X787" s="290"/>
      <c r="Y787" s="290"/>
      <c r="Z787" s="290"/>
      <c r="AA787" s="290"/>
      <c r="AB787" s="290"/>
      <c r="AC787" s="290"/>
      <c r="AD787" s="290"/>
      <c r="AE787" s="290"/>
      <c r="AF787" s="290"/>
      <c r="AG787" s="290"/>
      <c r="AH787" s="290"/>
      <c r="AI787" s="290"/>
      <c r="AJ787" s="290"/>
      <c r="AK787" s="290"/>
      <c r="AL787" s="290"/>
      <c r="AM787" s="290"/>
      <c r="AN787" s="290"/>
      <c r="AO787" s="290"/>
      <c r="AP787" s="290"/>
      <c r="AQ787" s="290"/>
      <c r="AR787" s="290"/>
      <c r="AS787" s="290"/>
      <c r="AT787" s="290"/>
      <c r="AU787" s="290"/>
      <c r="AV787" s="290"/>
      <c r="AW787" s="290"/>
      <c r="AX787" s="290"/>
      <c r="AY787" s="290"/>
      <c r="AZ787" s="290"/>
      <c r="BA787" s="290"/>
      <c r="BB787" s="290"/>
      <c r="BC787" s="290"/>
      <c r="BD787" s="290"/>
      <c r="BE787" s="290"/>
      <c r="BF787" s="290"/>
      <c r="BG787" s="290"/>
      <c r="BH787" s="290"/>
      <c r="BI787" s="290"/>
      <c r="BJ787" s="290"/>
      <c r="BK787" s="290"/>
      <c r="BL787" s="290"/>
      <c r="BM787" s="290"/>
      <c r="BN787" s="290"/>
      <c r="BO787" s="290"/>
      <c r="BP787" s="290"/>
      <c r="BQ787" s="290"/>
      <c r="BR787" s="290"/>
      <c r="BS787" s="290"/>
      <c r="BT787" s="290"/>
      <c r="BU787" s="290"/>
      <c r="BV787" s="290"/>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row>
    <row r="788" customFormat="false" ht="15.75" hidden="false" customHeight="false" outlineLevel="0" collapsed="false">
      <c r="A788" s="290"/>
      <c r="B788" s="290"/>
      <c r="C788" s="290"/>
      <c r="D788" s="290"/>
      <c r="E788" s="290"/>
      <c r="F788" s="290"/>
      <c r="G788" s="290"/>
      <c r="H788" s="290"/>
      <c r="I788" s="290"/>
      <c r="J788" s="3"/>
      <c r="K788" s="290"/>
      <c r="L788" s="290"/>
      <c r="M788" s="290"/>
      <c r="N788" s="290"/>
      <c r="O788" s="290"/>
      <c r="P788" s="290"/>
      <c r="Q788" s="290"/>
      <c r="R788" s="290"/>
      <c r="S788" s="290"/>
      <c r="T788" s="290"/>
      <c r="U788" s="290"/>
      <c r="V788" s="290"/>
      <c r="W788" s="290"/>
      <c r="X788" s="290"/>
      <c r="Y788" s="290"/>
      <c r="Z788" s="290"/>
      <c r="AA788" s="290"/>
      <c r="AB788" s="290"/>
      <c r="AC788" s="290"/>
      <c r="AD788" s="290"/>
      <c r="AE788" s="290"/>
      <c r="AF788" s="290"/>
      <c r="AG788" s="290"/>
      <c r="AH788" s="290"/>
      <c r="AI788" s="290"/>
      <c r="AJ788" s="290"/>
      <c r="AK788" s="290"/>
      <c r="AL788" s="290"/>
      <c r="AM788" s="290"/>
      <c r="AN788" s="290"/>
      <c r="AO788" s="290"/>
      <c r="AP788" s="290"/>
      <c r="AQ788" s="290"/>
      <c r="AR788" s="290"/>
      <c r="AS788" s="290"/>
      <c r="AT788" s="290"/>
      <c r="AU788" s="290"/>
      <c r="AV788" s="290"/>
      <c r="AW788" s="290"/>
      <c r="AX788" s="290"/>
      <c r="AY788" s="290"/>
      <c r="AZ788" s="290"/>
      <c r="BA788" s="290"/>
      <c r="BB788" s="290"/>
      <c r="BC788" s="290"/>
      <c r="BD788" s="290"/>
      <c r="BE788" s="290"/>
      <c r="BF788" s="290"/>
      <c r="BG788" s="290"/>
      <c r="BH788" s="290"/>
      <c r="BI788" s="290"/>
      <c r="BJ788" s="290"/>
      <c r="BK788" s="290"/>
      <c r="BL788" s="290"/>
      <c r="BM788" s="290"/>
      <c r="BN788" s="290"/>
      <c r="BO788" s="290"/>
      <c r="BP788" s="290"/>
      <c r="BQ788" s="290"/>
      <c r="BR788" s="290"/>
      <c r="BS788" s="290"/>
      <c r="BT788" s="290"/>
      <c r="BU788" s="290"/>
      <c r="BV788" s="290"/>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row>
    <row r="789" customFormat="false" ht="15.75" hidden="false" customHeight="false" outlineLevel="0" collapsed="false">
      <c r="A789" s="290"/>
      <c r="B789" s="290"/>
      <c r="C789" s="290"/>
      <c r="D789" s="290"/>
      <c r="E789" s="290"/>
      <c r="F789" s="290"/>
      <c r="G789" s="290"/>
      <c r="H789" s="290"/>
      <c r="I789" s="290"/>
      <c r="J789" s="3"/>
      <c r="K789" s="290"/>
      <c r="L789" s="290"/>
      <c r="M789" s="290"/>
      <c r="N789" s="290"/>
      <c r="O789" s="290"/>
      <c r="P789" s="290"/>
      <c r="Q789" s="290"/>
      <c r="R789" s="290"/>
      <c r="S789" s="290"/>
      <c r="T789" s="290"/>
      <c r="U789" s="290"/>
      <c r="V789" s="290"/>
      <c r="W789" s="290"/>
      <c r="X789" s="290"/>
      <c r="Y789" s="290"/>
      <c r="Z789" s="290"/>
      <c r="AA789" s="290"/>
      <c r="AB789" s="290"/>
      <c r="AC789" s="290"/>
      <c r="AD789" s="290"/>
      <c r="AE789" s="290"/>
      <c r="AF789" s="290"/>
      <c r="AG789" s="290"/>
      <c r="AH789" s="290"/>
      <c r="AI789" s="290"/>
      <c r="AJ789" s="290"/>
      <c r="AK789" s="290"/>
      <c r="AL789" s="290"/>
      <c r="AM789" s="290"/>
      <c r="AN789" s="290"/>
      <c r="AO789" s="290"/>
      <c r="AP789" s="290"/>
      <c r="AQ789" s="290"/>
      <c r="AR789" s="290"/>
      <c r="AS789" s="290"/>
      <c r="AT789" s="290"/>
      <c r="AU789" s="290"/>
      <c r="AV789" s="290"/>
      <c r="AW789" s="290"/>
      <c r="AX789" s="290"/>
      <c r="AY789" s="290"/>
      <c r="AZ789" s="290"/>
      <c r="BA789" s="290"/>
      <c r="BB789" s="290"/>
      <c r="BC789" s="290"/>
      <c r="BD789" s="290"/>
      <c r="BE789" s="290"/>
      <c r="BF789" s="290"/>
      <c r="BG789" s="290"/>
      <c r="BH789" s="290"/>
      <c r="BI789" s="290"/>
      <c r="BJ789" s="290"/>
      <c r="BK789" s="290"/>
      <c r="BL789" s="290"/>
      <c r="BM789" s="290"/>
      <c r="BN789" s="290"/>
      <c r="BO789" s="290"/>
      <c r="BP789" s="290"/>
      <c r="BQ789" s="290"/>
      <c r="BR789" s="290"/>
      <c r="BS789" s="290"/>
      <c r="BT789" s="290"/>
      <c r="BU789" s="290"/>
      <c r="BV789" s="290"/>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row>
    <row r="790" customFormat="false" ht="15.75" hidden="false" customHeight="false" outlineLevel="0" collapsed="false">
      <c r="A790" s="290"/>
      <c r="B790" s="290"/>
      <c r="C790" s="290"/>
      <c r="D790" s="290"/>
      <c r="E790" s="290"/>
      <c r="F790" s="290"/>
      <c r="G790" s="290"/>
      <c r="H790" s="290"/>
      <c r="I790" s="290"/>
      <c r="J790" s="3"/>
      <c r="K790" s="290"/>
      <c r="L790" s="290"/>
      <c r="M790" s="290"/>
      <c r="N790" s="290"/>
      <c r="O790" s="290"/>
      <c r="P790" s="290"/>
      <c r="Q790" s="290"/>
      <c r="R790" s="290"/>
      <c r="S790" s="290"/>
      <c r="T790" s="290"/>
      <c r="U790" s="290"/>
      <c r="V790" s="290"/>
      <c r="W790" s="290"/>
      <c r="X790" s="290"/>
      <c r="Y790" s="290"/>
      <c r="Z790" s="290"/>
      <c r="AA790" s="290"/>
      <c r="AB790" s="290"/>
      <c r="AC790" s="290"/>
      <c r="AD790" s="290"/>
      <c r="AE790" s="290"/>
      <c r="AF790" s="290"/>
      <c r="AG790" s="290"/>
      <c r="AH790" s="290"/>
      <c r="AI790" s="290"/>
      <c r="AJ790" s="290"/>
      <c r="AK790" s="290"/>
      <c r="AL790" s="290"/>
      <c r="AM790" s="290"/>
      <c r="AN790" s="290"/>
      <c r="AO790" s="290"/>
      <c r="AP790" s="290"/>
      <c r="AQ790" s="290"/>
      <c r="AR790" s="290"/>
      <c r="AS790" s="290"/>
      <c r="AT790" s="290"/>
      <c r="AU790" s="290"/>
      <c r="AV790" s="290"/>
      <c r="AW790" s="290"/>
      <c r="AX790" s="290"/>
      <c r="AY790" s="290"/>
      <c r="AZ790" s="290"/>
      <c r="BA790" s="290"/>
      <c r="BB790" s="290"/>
      <c r="BC790" s="290"/>
      <c r="BD790" s="290"/>
      <c r="BE790" s="290"/>
      <c r="BF790" s="290"/>
      <c r="BG790" s="290"/>
      <c r="BH790" s="290"/>
      <c r="BI790" s="290"/>
      <c r="BJ790" s="290"/>
      <c r="BK790" s="290"/>
      <c r="BL790" s="290"/>
      <c r="BM790" s="290"/>
      <c r="BN790" s="290"/>
      <c r="BO790" s="290"/>
      <c r="BP790" s="290"/>
      <c r="BQ790" s="290"/>
      <c r="BR790" s="290"/>
      <c r="BS790" s="290"/>
      <c r="BT790" s="290"/>
      <c r="BU790" s="290"/>
      <c r="BV790" s="290"/>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row>
    <row r="791" customFormat="false" ht="15.75" hidden="false" customHeight="false" outlineLevel="0" collapsed="false">
      <c r="A791" s="290"/>
      <c r="B791" s="290"/>
      <c r="C791" s="290"/>
      <c r="D791" s="290"/>
      <c r="E791" s="290"/>
      <c r="F791" s="290"/>
      <c r="G791" s="290"/>
      <c r="H791" s="290"/>
      <c r="I791" s="290"/>
      <c r="J791" s="3"/>
      <c r="K791" s="290"/>
      <c r="L791" s="290"/>
      <c r="M791" s="290"/>
      <c r="N791" s="290"/>
      <c r="O791" s="290"/>
      <c r="P791" s="290"/>
      <c r="Q791" s="290"/>
      <c r="R791" s="290"/>
      <c r="S791" s="290"/>
      <c r="T791" s="290"/>
      <c r="U791" s="290"/>
      <c r="V791" s="290"/>
      <c r="W791" s="290"/>
      <c r="X791" s="290"/>
      <c r="Y791" s="290"/>
      <c r="Z791" s="290"/>
      <c r="AA791" s="290"/>
      <c r="AB791" s="290"/>
      <c r="AC791" s="290"/>
      <c r="AD791" s="290"/>
      <c r="AE791" s="290"/>
      <c r="AF791" s="290"/>
      <c r="AG791" s="290"/>
      <c r="AH791" s="290"/>
      <c r="AI791" s="290"/>
      <c r="AJ791" s="290"/>
      <c r="AK791" s="290"/>
      <c r="AL791" s="290"/>
      <c r="AM791" s="290"/>
      <c r="AN791" s="290"/>
      <c r="AO791" s="290"/>
      <c r="AP791" s="290"/>
      <c r="AQ791" s="290"/>
      <c r="AR791" s="290"/>
      <c r="AS791" s="290"/>
      <c r="AT791" s="290"/>
      <c r="AU791" s="290"/>
      <c r="AV791" s="290"/>
      <c r="AW791" s="290"/>
      <c r="AX791" s="290"/>
      <c r="AY791" s="290"/>
      <c r="AZ791" s="290"/>
      <c r="BA791" s="290"/>
      <c r="BB791" s="290"/>
      <c r="BC791" s="290"/>
      <c r="BD791" s="290"/>
      <c r="BE791" s="290"/>
      <c r="BF791" s="290"/>
      <c r="BG791" s="290"/>
      <c r="BH791" s="290"/>
      <c r="BI791" s="290"/>
      <c r="BJ791" s="290"/>
      <c r="BK791" s="290"/>
      <c r="BL791" s="290"/>
      <c r="BM791" s="290"/>
      <c r="BN791" s="290"/>
      <c r="BO791" s="290"/>
      <c r="BP791" s="290"/>
      <c r="BQ791" s="290"/>
      <c r="BR791" s="290"/>
      <c r="BS791" s="290"/>
      <c r="BT791" s="290"/>
      <c r="BU791" s="290"/>
      <c r="BV791" s="290"/>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row>
    <row r="792" customFormat="false" ht="15.75" hidden="false" customHeight="false" outlineLevel="0" collapsed="false">
      <c r="A792" s="290"/>
      <c r="B792" s="290"/>
      <c r="C792" s="290"/>
      <c r="D792" s="290"/>
      <c r="E792" s="290"/>
      <c r="F792" s="290"/>
      <c r="G792" s="290"/>
      <c r="H792" s="290"/>
      <c r="I792" s="290"/>
      <c r="J792" s="3"/>
      <c r="K792" s="290"/>
      <c r="L792" s="290"/>
      <c r="M792" s="290"/>
      <c r="N792" s="290"/>
      <c r="O792" s="290"/>
      <c r="P792" s="290"/>
      <c r="Q792" s="290"/>
      <c r="R792" s="290"/>
      <c r="S792" s="290"/>
      <c r="T792" s="290"/>
      <c r="U792" s="290"/>
      <c r="V792" s="290"/>
      <c r="W792" s="290"/>
      <c r="X792" s="290"/>
      <c r="Y792" s="290"/>
      <c r="Z792" s="290"/>
      <c r="AA792" s="290"/>
      <c r="AB792" s="290"/>
      <c r="AC792" s="290"/>
      <c r="AD792" s="290"/>
      <c r="AE792" s="290"/>
      <c r="AF792" s="290"/>
      <c r="AG792" s="290"/>
      <c r="AH792" s="290"/>
      <c r="AI792" s="290"/>
      <c r="AJ792" s="290"/>
      <c r="AK792" s="290"/>
      <c r="AL792" s="290"/>
      <c r="AM792" s="290"/>
      <c r="AN792" s="290"/>
      <c r="AO792" s="290"/>
      <c r="AP792" s="290"/>
      <c r="AQ792" s="290"/>
      <c r="AR792" s="290"/>
      <c r="AS792" s="290"/>
      <c r="AT792" s="290"/>
      <c r="AU792" s="290"/>
      <c r="AV792" s="290"/>
      <c r="AW792" s="290"/>
      <c r="AX792" s="290"/>
      <c r="AY792" s="290"/>
      <c r="AZ792" s="290"/>
      <c r="BA792" s="290"/>
      <c r="BB792" s="290"/>
      <c r="BC792" s="290"/>
      <c r="BD792" s="290"/>
      <c r="BE792" s="290"/>
      <c r="BF792" s="290"/>
      <c r="BG792" s="290"/>
      <c r="BH792" s="290"/>
      <c r="BI792" s="290"/>
      <c r="BJ792" s="290"/>
      <c r="BK792" s="290"/>
      <c r="BL792" s="290"/>
      <c r="BM792" s="290"/>
      <c r="BN792" s="290"/>
      <c r="BO792" s="290"/>
      <c r="BP792" s="290"/>
      <c r="BQ792" s="290"/>
      <c r="BR792" s="290"/>
      <c r="BS792" s="290"/>
      <c r="BT792" s="290"/>
      <c r="BU792" s="290"/>
      <c r="BV792" s="290"/>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row>
    <row r="793" customFormat="false" ht="15.75" hidden="false" customHeight="false" outlineLevel="0" collapsed="false">
      <c r="A793" s="290"/>
      <c r="B793" s="290"/>
      <c r="C793" s="290"/>
      <c r="D793" s="290"/>
      <c r="E793" s="290"/>
      <c r="F793" s="290"/>
      <c r="G793" s="290"/>
      <c r="H793" s="290"/>
      <c r="I793" s="290"/>
      <c r="J793" s="3"/>
      <c r="K793" s="290"/>
      <c r="L793" s="290"/>
      <c r="M793" s="290"/>
      <c r="N793" s="290"/>
      <c r="O793" s="290"/>
      <c r="P793" s="290"/>
      <c r="Q793" s="290"/>
      <c r="R793" s="290"/>
      <c r="S793" s="290"/>
      <c r="T793" s="290"/>
      <c r="U793" s="290"/>
      <c r="V793" s="290"/>
      <c r="W793" s="290"/>
      <c r="X793" s="290"/>
      <c r="Y793" s="290"/>
      <c r="Z793" s="290"/>
      <c r="AA793" s="290"/>
      <c r="AB793" s="290"/>
      <c r="AC793" s="290"/>
      <c r="AD793" s="290"/>
      <c r="AE793" s="290"/>
      <c r="AF793" s="290"/>
      <c r="AG793" s="290"/>
      <c r="AH793" s="290"/>
      <c r="AI793" s="290"/>
      <c r="AJ793" s="290"/>
      <c r="AK793" s="290"/>
      <c r="AL793" s="290"/>
      <c r="AM793" s="290"/>
      <c r="AN793" s="290"/>
      <c r="AO793" s="290"/>
      <c r="AP793" s="290"/>
      <c r="AQ793" s="290"/>
      <c r="AR793" s="290"/>
      <c r="AS793" s="290"/>
      <c r="AT793" s="290"/>
      <c r="AU793" s="290"/>
      <c r="AV793" s="290"/>
      <c r="AW793" s="290"/>
      <c r="AX793" s="290"/>
      <c r="AY793" s="290"/>
      <c r="AZ793" s="290"/>
      <c r="BA793" s="290"/>
      <c r="BB793" s="290"/>
      <c r="BC793" s="290"/>
      <c r="BD793" s="290"/>
      <c r="BE793" s="290"/>
      <c r="BF793" s="290"/>
      <c r="BG793" s="290"/>
      <c r="BH793" s="290"/>
      <c r="BI793" s="290"/>
      <c r="BJ793" s="290"/>
      <c r="BK793" s="290"/>
      <c r="BL793" s="290"/>
      <c r="BM793" s="290"/>
      <c r="BN793" s="290"/>
      <c r="BO793" s="290"/>
      <c r="BP793" s="290"/>
      <c r="BQ793" s="290"/>
      <c r="BR793" s="290"/>
      <c r="BS793" s="290"/>
      <c r="BT793" s="290"/>
      <c r="BU793" s="290"/>
      <c r="BV793" s="290"/>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row>
    <row r="794" customFormat="false" ht="15.75" hidden="false" customHeight="false" outlineLevel="0" collapsed="false">
      <c r="A794" s="290"/>
      <c r="B794" s="290"/>
      <c r="C794" s="290"/>
      <c r="D794" s="290"/>
      <c r="E794" s="290"/>
      <c r="F794" s="290"/>
      <c r="G794" s="290"/>
      <c r="H794" s="290"/>
      <c r="I794" s="290"/>
      <c r="J794" s="3"/>
      <c r="K794" s="290"/>
      <c r="L794" s="290"/>
      <c r="M794" s="290"/>
      <c r="N794" s="290"/>
      <c r="O794" s="290"/>
      <c r="P794" s="290"/>
      <c r="Q794" s="290"/>
      <c r="R794" s="290"/>
      <c r="S794" s="290"/>
      <c r="T794" s="290"/>
      <c r="U794" s="290"/>
      <c r="V794" s="290"/>
      <c r="W794" s="290"/>
      <c r="X794" s="290"/>
      <c r="Y794" s="290"/>
      <c r="Z794" s="290"/>
      <c r="AA794" s="290"/>
      <c r="AB794" s="290"/>
      <c r="AC794" s="290"/>
      <c r="AD794" s="290"/>
      <c r="AE794" s="290"/>
      <c r="AF794" s="290"/>
      <c r="AG794" s="290"/>
      <c r="AH794" s="290"/>
      <c r="AI794" s="290"/>
      <c r="AJ794" s="290"/>
      <c r="AK794" s="290"/>
      <c r="AL794" s="290"/>
      <c r="AM794" s="290"/>
      <c r="AN794" s="290"/>
      <c r="AO794" s="290"/>
      <c r="AP794" s="290"/>
      <c r="AQ794" s="290"/>
      <c r="AR794" s="290"/>
      <c r="AS794" s="290"/>
      <c r="AT794" s="290"/>
      <c r="AU794" s="290"/>
      <c r="AV794" s="290"/>
      <c r="AW794" s="290"/>
      <c r="AX794" s="290"/>
      <c r="AY794" s="290"/>
      <c r="AZ794" s="290"/>
      <c r="BA794" s="290"/>
      <c r="BB794" s="290"/>
      <c r="BC794" s="290"/>
      <c r="BD794" s="290"/>
      <c r="BE794" s="290"/>
      <c r="BF794" s="290"/>
      <c r="BG794" s="290"/>
      <c r="BH794" s="290"/>
      <c r="BI794" s="290"/>
      <c r="BJ794" s="290"/>
      <c r="BK794" s="290"/>
      <c r="BL794" s="290"/>
      <c r="BM794" s="290"/>
      <c r="BN794" s="290"/>
      <c r="BO794" s="290"/>
      <c r="BP794" s="290"/>
      <c r="BQ794" s="290"/>
      <c r="BR794" s="290"/>
      <c r="BS794" s="290"/>
      <c r="BT794" s="290"/>
      <c r="BU794" s="290"/>
      <c r="BV794" s="290"/>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row>
    <row r="795" customFormat="false" ht="15.75" hidden="false" customHeight="false" outlineLevel="0" collapsed="false">
      <c r="A795" s="290"/>
      <c r="B795" s="290"/>
      <c r="C795" s="290"/>
      <c r="D795" s="290"/>
      <c r="E795" s="290"/>
      <c r="F795" s="290"/>
      <c r="G795" s="290"/>
      <c r="H795" s="290"/>
      <c r="I795" s="290"/>
      <c r="J795" s="3"/>
      <c r="K795" s="290"/>
      <c r="L795" s="290"/>
      <c r="M795" s="290"/>
      <c r="N795" s="290"/>
      <c r="O795" s="290"/>
      <c r="P795" s="290"/>
      <c r="Q795" s="290"/>
      <c r="R795" s="290"/>
      <c r="S795" s="290"/>
      <c r="T795" s="290"/>
      <c r="U795" s="290"/>
      <c r="V795" s="290"/>
      <c r="W795" s="290"/>
      <c r="X795" s="290"/>
      <c r="Y795" s="290"/>
      <c r="Z795" s="290"/>
      <c r="AA795" s="290"/>
      <c r="AB795" s="290"/>
      <c r="AC795" s="290"/>
      <c r="AD795" s="290"/>
      <c r="AE795" s="290"/>
      <c r="AF795" s="290"/>
      <c r="AG795" s="290"/>
      <c r="AH795" s="290"/>
      <c r="AI795" s="290"/>
      <c r="AJ795" s="290"/>
      <c r="AK795" s="290"/>
      <c r="AL795" s="290"/>
      <c r="AM795" s="290"/>
      <c r="AN795" s="290"/>
      <c r="AO795" s="290"/>
      <c r="AP795" s="290"/>
      <c r="AQ795" s="290"/>
      <c r="AR795" s="290"/>
      <c r="AS795" s="290"/>
      <c r="AT795" s="290"/>
      <c r="AU795" s="290"/>
      <c r="AV795" s="290"/>
      <c r="AW795" s="290"/>
      <c r="AX795" s="290"/>
      <c r="AY795" s="290"/>
      <c r="AZ795" s="290"/>
      <c r="BA795" s="290"/>
      <c r="BB795" s="290"/>
      <c r="BC795" s="290"/>
      <c r="BD795" s="290"/>
      <c r="BE795" s="290"/>
      <c r="BF795" s="290"/>
      <c r="BG795" s="290"/>
      <c r="BH795" s="290"/>
      <c r="BI795" s="290"/>
      <c r="BJ795" s="290"/>
      <c r="BK795" s="290"/>
      <c r="BL795" s="290"/>
      <c r="BM795" s="290"/>
      <c r="BN795" s="290"/>
      <c r="BO795" s="290"/>
      <c r="BP795" s="290"/>
      <c r="BQ795" s="290"/>
      <c r="BR795" s="290"/>
      <c r="BS795" s="290"/>
      <c r="BT795" s="290"/>
      <c r="BU795" s="290"/>
      <c r="BV795" s="290"/>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row>
    <row r="796" customFormat="false" ht="15.75" hidden="false" customHeight="false" outlineLevel="0" collapsed="false">
      <c r="A796" s="290"/>
      <c r="B796" s="290"/>
      <c r="C796" s="290"/>
      <c r="D796" s="290"/>
      <c r="E796" s="290"/>
      <c r="F796" s="290"/>
      <c r="G796" s="290"/>
      <c r="H796" s="290"/>
      <c r="I796" s="290"/>
      <c r="J796" s="3"/>
      <c r="K796" s="290"/>
      <c r="L796" s="290"/>
      <c r="M796" s="290"/>
      <c r="N796" s="290"/>
      <c r="O796" s="290"/>
      <c r="P796" s="290"/>
      <c r="Q796" s="290"/>
      <c r="R796" s="290"/>
      <c r="S796" s="290"/>
      <c r="T796" s="290"/>
      <c r="U796" s="290"/>
      <c r="V796" s="290"/>
      <c r="W796" s="290"/>
      <c r="X796" s="290"/>
      <c r="Y796" s="290"/>
      <c r="Z796" s="290"/>
      <c r="AA796" s="290"/>
      <c r="AB796" s="290"/>
      <c r="AC796" s="290"/>
      <c r="AD796" s="290"/>
      <c r="AE796" s="290"/>
      <c r="AF796" s="290"/>
      <c r="AG796" s="290"/>
      <c r="AH796" s="290"/>
      <c r="AI796" s="290"/>
      <c r="AJ796" s="290"/>
      <c r="AK796" s="290"/>
      <c r="AL796" s="290"/>
      <c r="AM796" s="290"/>
      <c r="AN796" s="290"/>
      <c r="AO796" s="290"/>
      <c r="AP796" s="290"/>
      <c r="AQ796" s="290"/>
      <c r="AR796" s="290"/>
      <c r="AS796" s="290"/>
      <c r="AT796" s="290"/>
      <c r="AU796" s="290"/>
      <c r="AV796" s="290"/>
      <c r="AW796" s="290"/>
      <c r="AX796" s="290"/>
      <c r="AY796" s="290"/>
      <c r="AZ796" s="290"/>
      <c r="BA796" s="290"/>
      <c r="BB796" s="290"/>
      <c r="BC796" s="290"/>
      <c r="BD796" s="290"/>
      <c r="BE796" s="290"/>
      <c r="BF796" s="290"/>
      <c r="BG796" s="290"/>
      <c r="BH796" s="290"/>
      <c r="BI796" s="290"/>
      <c r="BJ796" s="290"/>
      <c r="BK796" s="290"/>
      <c r="BL796" s="290"/>
      <c r="BM796" s="290"/>
      <c r="BN796" s="290"/>
      <c r="BO796" s="290"/>
      <c r="BP796" s="290"/>
      <c r="BQ796" s="290"/>
      <c r="BR796" s="290"/>
      <c r="BS796" s="290"/>
      <c r="BT796" s="290"/>
      <c r="BU796" s="290"/>
      <c r="BV796" s="290"/>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row>
    <row r="797" customFormat="false" ht="15.75" hidden="false" customHeight="false" outlineLevel="0" collapsed="false">
      <c r="A797" s="290"/>
      <c r="B797" s="290"/>
      <c r="C797" s="290"/>
      <c r="D797" s="290"/>
      <c r="E797" s="290"/>
      <c r="F797" s="290"/>
      <c r="G797" s="290"/>
      <c r="H797" s="290"/>
      <c r="I797" s="290"/>
      <c r="J797" s="3"/>
      <c r="K797" s="290"/>
      <c r="L797" s="290"/>
      <c r="M797" s="290"/>
      <c r="N797" s="290"/>
      <c r="O797" s="290"/>
      <c r="P797" s="290"/>
      <c r="Q797" s="290"/>
      <c r="R797" s="290"/>
      <c r="S797" s="290"/>
      <c r="T797" s="290"/>
      <c r="U797" s="290"/>
      <c r="V797" s="290"/>
      <c r="W797" s="290"/>
      <c r="X797" s="290"/>
      <c r="Y797" s="290"/>
      <c r="Z797" s="290"/>
      <c r="AA797" s="290"/>
      <c r="AB797" s="290"/>
      <c r="AC797" s="290"/>
      <c r="AD797" s="290"/>
      <c r="AE797" s="290"/>
      <c r="AF797" s="290"/>
      <c r="AG797" s="290"/>
      <c r="AH797" s="290"/>
      <c r="AI797" s="290"/>
      <c r="AJ797" s="290"/>
      <c r="AK797" s="290"/>
      <c r="AL797" s="290"/>
      <c r="AM797" s="290"/>
      <c r="AN797" s="290"/>
      <c r="AO797" s="290"/>
      <c r="AP797" s="290"/>
      <c r="AQ797" s="290"/>
      <c r="AR797" s="290"/>
      <c r="AS797" s="290"/>
      <c r="AT797" s="290"/>
      <c r="AU797" s="290"/>
      <c r="AV797" s="290"/>
      <c r="AW797" s="290"/>
      <c r="AX797" s="290"/>
      <c r="AY797" s="290"/>
      <c r="AZ797" s="290"/>
      <c r="BA797" s="290"/>
      <c r="BB797" s="290"/>
      <c r="BC797" s="290"/>
      <c r="BD797" s="290"/>
      <c r="BE797" s="290"/>
      <c r="BF797" s="290"/>
      <c r="BG797" s="290"/>
      <c r="BH797" s="290"/>
      <c r="BI797" s="290"/>
      <c r="BJ797" s="290"/>
      <c r="BK797" s="290"/>
      <c r="BL797" s="290"/>
      <c r="BM797" s="290"/>
      <c r="BN797" s="290"/>
      <c r="BO797" s="290"/>
      <c r="BP797" s="290"/>
      <c r="BQ797" s="290"/>
      <c r="BR797" s="290"/>
      <c r="BS797" s="290"/>
      <c r="BT797" s="290"/>
      <c r="BU797" s="290"/>
      <c r="BV797" s="290"/>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row>
    <row r="798" customFormat="false" ht="15.75" hidden="false" customHeight="false" outlineLevel="0" collapsed="false">
      <c r="A798" s="290"/>
      <c r="B798" s="290"/>
      <c r="C798" s="290"/>
      <c r="D798" s="290"/>
      <c r="E798" s="290"/>
      <c r="F798" s="290"/>
      <c r="G798" s="290"/>
      <c r="H798" s="290"/>
      <c r="I798" s="290"/>
      <c r="J798" s="3"/>
      <c r="K798" s="290"/>
      <c r="L798" s="290"/>
      <c r="M798" s="290"/>
      <c r="N798" s="290"/>
      <c r="O798" s="290"/>
      <c r="P798" s="290"/>
      <c r="Q798" s="290"/>
      <c r="R798" s="290"/>
      <c r="S798" s="290"/>
      <c r="T798" s="290"/>
      <c r="U798" s="290"/>
      <c r="V798" s="290"/>
      <c r="W798" s="290"/>
      <c r="X798" s="290"/>
      <c r="Y798" s="290"/>
      <c r="Z798" s="290"/>
      <c r="AA798" s="290"/>
      <c r="AB798" s="290"/>
      <c r="AC798" s="290"/>
      <c r="AD798" s="290"/>
      <c r="AE798" s="290"/>
      <c r="AF798" s="290"/>
      <c r="AG798" s="290"/>
      <c r="AH798" s="290"/>
      <c r="AI798" s="290"/>
      <c r="AJ798" s="290"/>
      <c r="AK798" s="290"/>
      <c r="AL798" s="290"/>
      <c r="AM798" s="290"/>
      <c r="AN798" s="290"/>
      <c r="AO798" s="290"/>
      <c r="AP798" s="290"/>
      <c r="AQ798" s="290"/>
      <c r="AR798" s="290"/>
      <c r="AS798" s="290"/>
      <c r="AT798" s="290"/>
      <c r="AU798" s="290"/>
      <c r="AV798" s="290"/>
      <c r="AW798" s="290"/>
      <c r="AX798" s="290"/>
      <c r="AY798" s="290"/>
      <c r="AZ798" s="290"/>
      <c r="BA798" s="290"/>
      <c r="BB798" s="290"/>
      <c r="BC798" s="290"/>
      <c r="BD798" s="290"/>
      <c r="BE798" s="290"/>
      <c r="BF798" s="290"/>
      <c r="BG798" s="290"/>
      <c r="BH798" s="290"/>
      <c r="BI798" s="290"/>
      <c r="BJ798" s="290"/>
      <c r="BK798" s="290"/>
      <c r="BL798" s="290"/>
      <c r="BM798" s="290"/>
      <c r="BN798" s="290"/>
      <c r="BO798" s="290"/>
      <c r="BP798" s="290"/>
      <c r="BQ798" s="290"/>
      <c r="BR798" s="290"/>
      <c r="BS798" s="290"/>
      <c r="BT798" s="290"/>
      <c r="BU798" s="290"/>
      <c r="BV798" s="290"/>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row>
    <row r="799" customFormat="false" ht="15.75" hidden="false" customHeight="false" outlineLevel="0" collapsed="false">
      <c r="A799" s="290"/>
      <c r="B799" s="290"/>
      <c r="C799" s="290"/>
      <c r="D799" s="290"/>
      <c r="E799" s="290"/>
      <c r="F799" s="290"/>
      <c r="G799" s="290"/>
      <c r="H799" s="290"/>
      <c r="I799" s="290"/>
      <c r="J799" s="3"/>
      <c r="K799" s="290"/>
      <c r="L799" s="290"/>
      <c r="M799" s="290"/>
      <c r="N799" s="290"/>
      <c r="O799" s="290"/>
      <c r="P799" s="290"/>
      <c r="Q799" s="290"/>
      <c r="R799" s="290"/>
      <c r="S799" s="290"/>
      <c r="T799" s="290"/>
      <c r="U799" s="290"/>
      <c r="V799" s="290"/>
      <c r="W799" s="290"/>
      <c r="X799" s="290"/>
      <c r="Y799" s="290"/>
      <c r="Z799" s="290"/>
      <c r="AA799" s="290"/>
      <c r="AB799" s="290"/>
      <c r="AC799" s="290"/>
      <c r="AD799" s="290"/>
      <c r="AE799" s="290"/>
      <c r="AF799" s="290"/>
      <c r="AG799" s="290"/>
      <c r="AH799" s="290"/>
      <c r="AI799" s="290"/>
      <c r="AJ799" s="290"/>
      <c r="AK799" s="290"/>
      <c r="AL799" s="290"/>
      <c r="AM799" s="290"/>
      <c r="AN799" s="290"/>
      <c r="AO799" s="290"/>
      <c r="AP799" s="290"/>
      <c r="AQ799" s="290"/>
      <c r="AR799" s="290"/>
      <c r="AS799" s="290"/>
      <c r="AT799" s="290"/>
      <c r="AU799" s="290"/>
      <c r="AV799" s="290"/>
      <c r="AW799" s="290"/>
      <c r="AX799" s="290"/>
      <c r="AY799" s="290"/>
      <c r="AZ799" s="290"/>
      <c r="BA799" s="290"/>
      <c r="BB799" s="290"/>
      <c r="BC799" s="290"/>
      <c r="BD799" s="290"/>
      <c r="BE799" s="290"/>
      <c r="BF799" s="290"/>
      <c r="BG799" s="290"/>
      <c r="BH799" s="290"/>
      <c r="BI799" s="290"/>
      <c r="BJ799" s="290"/>
      <c r="BK799" s="290"/>
      <c r="BL799" s="290"/>
      <c r="BM799" s="290"/>
      <c r="BN799" s="290"/>
      <c r="BO799" s="290"/>
      <c r="BP799" s="290"/>
      <c r="BQ799" s="290"/>
      <c r="BR799" s="290"/>
      <c r="BS799" s="290"/>
      <c r="BT799" s="290"/>
      <c r="BU799" s="290"/>
      <c r="BV799" s="290"/>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row>
    <row r="800" customFormat="false" ht="15.75" hidden="false" customHeight="false" outlineLevel="0" collapsed="false">
      <c r="A800" s="290"/>
      <c r="B800" s="290"/>
      <c r="C800" s="290"/>
      <c r="D800" s="290"/>
      <c r="E800" s="290"/>
      <c r="F800" s="290"/>
      <c r="G800" s="290"/>
      <c r="H800" s="290"/>
      <c r="I800" s="290"/>
      <c r="J800" s="3"/>
      <c r="K800" s="290"/>
      <c r="L800" s="290"/>
      <c r="M800" s="290"/>
      <c r="N800" s="290"/>
      <c r="O800" s="290"/>
      <c r="P800" s="290"/>
      <c r="Q800" s="290"/>
      <c r="R800" s="290"/>
      <c r="S800" s="290"/>
      <c r="T800" s="290"/>
      <c r="U800" s="290"/>
      <c r="V800" s="290"/>
      <c r="W800" s="290"/>
      <c r="X800" s="290"/>
      <c r="Y800" s="290"/>
      <c r="Z800" s="290"/>
      <c r="AA800" s="290"/>
      <c r="AB800" s="290"/>
      <c r="AC800" s="290"/>
      <c r="AD800" s="290"/>
      <c r="AE800" s="290"/>
      <c r="AF800" s="290"/>
      <c r="AG800" s="290"/>
      <c r="AH800" s="290"/>
      <c r="AI800" s="290"/>
      <c r="AJ800" s="290"/>
      <c r="AK800" s="290"/>
      <c r="AL800" s="290"/>
      <c r="AM800" s="290"/>
      <c r="AN800" s="290"/>
      <c r="AO800" s="290"/>
      <c r="AP800" s="290"/>
      <c r="AQ800" s="290"/>
      <c r="AR800" s="290"/>
      <c r="AS800" s="290"/>
      <c r="AT800" s="290"/>
      <c r="AU800" s="290"/>
      <c r="AV800" s="290"/>
      <c r="AW800" s="290"/>
      <c r="AX800" s="290"/>
      <c r="AY800" s="290"/>
      <c r="AZ800" s="290"/>
      <c r="BA800" s="290"/>
      <c r="BB800" s="290"/>
      <c r="BC800" s="290"/>
      <c r="BD800" s="290"/>
      <c r="BE800" s="290"/>
      <c r="BF800" s="290"/>
      <c r="BG800" s="290"/>
      <c r="BH800" s="290"/>
      <c r="BI800" s="290"/>
      <c r="BJ800" s="290"/>
      <c r="BK800" s="290"/>
      <c r="BL800" s="290"/>
      <c r="BM800" s="290"/>
      <c r="BN800" s="290"/>
      <c r="BO800" s="290"/>
      <c r="BP800" s="290"/>
      <c r="BQ800" s="290"/>
      <c r="BR800" s="290"/>
      <c r="BS800" s="290"/>
      <c r="BT800" s="290"/>
      <c r="BU800" s="290"/>
      <c r="BV800" s="290"/>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row>
    <row r="801" customFormat="false" ht="15.75" hidden="false" customHeight="false" outlineLevel="0" collapsed="false">
      <c r="A801" s="290"/>
      <c r="B801" s="290"/>
      <c r="C801" s="290"/>
      <c r="D801" s="290"/>
      <c r="E801" s="290"/>
      <c r="F801" s="290"/>
      <c r="G801" s="290"/>
      <c r="H801" s="290"/>
      <c r="I801" s="290"/>
      <c r="J801" s="3"/>
      <c r="K801" s="290"/>
      <c r="L801" s="290"/>
      <c r="M801" s="290"/>
      <c r="N801" s="290"/>
      <c r="O801" s="290"/>
      <c r="P801" s="290"/>
      <c r="Q801" s="290"/>
      <c r="R801" s="290"/>
      <c r="S801" s="290"/>
      <c r="T801" s="290"/>
      <c r="U801" s="290"/>
      <c r="V801" s="290"/>
      <c r="W801" s="290"/>
      <c r="X801" s="290"/>
      <c r="Y801" s="290"/>
      <c r="Z801" s="290"/>
      <c r="AA801" s="290"/>
      <c r="AB801" s="290"/>
      <c r="AC801" s="290"/>
      <c r="AD801" s="290"/>
      <c r="AE801" s="290"/>
      <c r="AF801" s="290"/>
      <c r="AG801" s="290"/>
      <c r="AH801" s="290"/>
      <c r="AI801" s="290"/>
      <c r="AJ801" s="290"/>
      <c r="AK801" s="290"/>
      <c r="AL801" s="290"/>
      <c r="AM801" s="290"/>
      <c r="AN801" s="290"/>
      <c r="AO801" s="290"/>
      <c r="AP801" s="290"/>
      <c r="AQ801" s="290"/>
      <c r="AR801" s="290"/>
      <c r="AS801" s="290"/>
      <c r="AT801" s="290"/>
      <c r="AU801" s="290"/>
      <c r="AV801" s="290"/>
      <c r="AW801" s="290"/>
      <c r="AX801" s="290"/>
      <c r="AY801" s="290"/>
      <c r="AZ801" s="290"/>
      <c r="BA801" s="290"/>
      <c r="BB801" s="290"/>
      <c r="BC801" s="290"/>
      <c r="BD801" s="290"/>
      <c r="BE801" s="290"/>
      <c r="BF801" s="290"/>
      <c r="BG801" s="290"/>
      <c r="BH801" s="290"/>
      <c r="BI801" s="290"/>
      <c r="BJ801" s="290"/>
      <c r="BK801" s="290"/>
      <c r="BL801" s="290"/>
      <c r="BM801" s="290"/>
      <c r="BN801" s="290"/>
      <c r="BO801" s="290"/>
      <c r="BP801" s="290"/>
      <c r="BQ801" s="290"/>
      <c r="BR801" s="290"/>
      <c r="BS801" s="290"/>
      <c r="BT801" s="290"/>
      <c r="BU801" s="290"/>
      <c r="BV801" s="290"/>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row>
    <row r="802" customFormat="false" ht="15.75" hidden="false" customHeight="false" outlineLevel="0" collapsed="false">
      <c r="A802" s="290"/>
      <c r="B802" s="290"/>
      <c r="C802" s="290"/>
      <c r="D802" s="290"/>
      <c r="E802" s="290"/>
      <c r="F802" s="290"/>
      <c r="G802" s="290"/>
      <c r="H802" s="290"/>
      <c r="I802" s="290"/>
      <c r="J802" s="3"/>
      <c r="K802" s="290"/>
      <c r="L802" s="290"/>
      <c r="M802" s="290"/>
      <c r="N802" s="290"/>
      <c r="O802" s="290"/>
      <c r="P802" s="290"/>
      <c r="Q802" s="290"/>
      <c r="R802" s="290"/>
      <c r="S802" s="290"/>
      <c r="T802" s="290"/>
      <c r="U802" s="290"/>
      <c r="V802" s="290"/>
      <c r="W802" s="290"/>
      <c r="X802" s="290"/>
      <c r="Y802" s="290"/>
      <c r="Z802" s="290"/>
      <c r="AA802" s="290"/>
      <c r="AB802" s="290"/>
      <c r="AC802" s="290"/>
      <c r="AD802" s="290"/>
      <c r="AE802" s="290"/>
      <c r="AF802" s="290"/>
      <c r="AG802" s="290"/>
      <c r="AH802" s="290"/>
      <c r="AI802" s="290"/>
      <c r="AJ802" s="290"/>
      <c r="AK802" s="290"/>
      <c r="AL802" s="290"/>
      <c r="AM802" s="290"/>
      <c r="AN802" s="290"/>
      <c r="AO802" s="290"/>
      <c r="AP802" s="290"/>
      <c r="AQ802" s="290"/>
      <c r="AR802" s="290"/>
      <c r="AS802" s="290"/>
      <c r="AT802" s="290"/>
      <c r="AU802" s="290"/>
      <c r="AV802" s="290"/>
      <c r="AW802" s="290"/>
      <c r="AX802" s="290"/>
      <c r="AY802" s="290"/>
      <c r="AZ802" s="290"/>
      <c r="BA802" s="290"/>
      <c r="BB802" s="290"/>
      <c r="BC802" s="290"/>
      <c r="BD802" s="290"/>
      <c r="BE802" s="290"/>
      <c r="BF802" s="290"/>
      <c r="BG802" s="290"/>
      <c r="BH802" s="290"/>
      <c r="BI802" s="290"/>
      <c r="BJ802" s="290"/>
      <c r="BK802" s="290"/>
      <c r="BL802" s="290"/>
      <c r="BM802" s="290"/>
      <c r="BN802" s="290"/>
      <c r="BO802" s="290"/>
      <c r="BP802" s="290"/>
      <c r="BQ802" s="290"/>
      <c r="BR802" s="290"/>
      <c r="BS802" s="290"/>
      <c r="BT802" s="290"/>
      <c r="BU802" s="290"/>
      <c r="BV802" s="290"/>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row>
    <row r="803" customFormat="false" ht="15.75" hidden="false" customHeight="false" outlineLevel="0" collapsed="false">
      <c r="A803" s="290"/>
      <c r="B803" s="290"/>
      <c r="C803" s="290"/>
      <c r="D803" s="290"/>
      <c r="E803" s="290"/>
      <c r="F803" s="290"/>
      <c r="G803" s="290"/>
      <c r="H803" s="290"/>
      <c r="I803" s="290"/>
      <c r="J803" s="3"/>
      <c r="K803" s="290"/>
      <c r="L803" s="290"/>
      <c r="M803" s="290"/>
      <c r="N803" s="290"/>
      <c r="O803" s="290"/>
      <c r="P803" s="290"/>
      <c r="Q803" s="290"/>
      <c r="R803" s="290"/>
      <c r="S803" s="290"/>
      <c r="T803" s="290"/>
      <c r="U803" s="290"/>
      <c r="V803" s="290"/>
      <c r="W803" s="290"/>
      <c r="X803" s="290"/>
      <c r="Y803" s="290"/>
      <c r="Z803" s="290"/>
      <c r="AA803" s="290"/>
      <c r="AB803" s="290"/>
      <c r="AC803" s="290"/>
      <c r="AD803" s="290"/>
      <c r="AE803" s="290"/>
      <c r="AF803" s="290"/>
      <c r="AG803" s="290"/>
      <c r="AH803" s="290"/>
      <c r="AI803" s="290"/>
      <c r="AJ803" s="290"/>
      <c r="AK803" s="290"/>
      <c r="AL803" s="290"/>
      <c r="AM803" s="290"/>
      <c r="AN803" s="290"/>
      <c r="AO803" s="290"/>
      <c r="AP803" s="290"/>
      <c r="AQ803" s="290"/>
      <c r="AR803" s="290"/>
      <c r="AS803" s="290"/>
      <c r="AT803" s="290"/>
      <c r="AU803" s="290"/>
      <c r="AV803" s="290"/>
      <c r="AW803" s="290"/>
      <c r="AX803" s="290"/>
      <c r="AY803" s="290"/>
      <c r="AZ803" s="290"/>
      <c r="BA803" s="290"/>
      <c r="BB803" s="290"/>
      <c r="BC803" s="290"/>
      <c r="BD803" s="290"/>
      <c r="BE803" s="290"/>
      <c r="BF803" s="290"/>
      <c r="BG803" s="290"/>
      <c r="BH803" s="290"/>
      <c r="BI803" s="290"/>
      <c r="BJ803" s="290"/>
      <c r="BK803" s="290"/>
      <c r="BL803" s="290"/>
      <c r="BM803" s="290"/>
      <c r="BN803" s="290"/>
      <c r="BO803" s="290"/>
      <c r="BP803" s="290"/>
      <c r="BQ803" s="290"/>
      <c r="BR803" s="290"/>
      <c r="BS803" s="290"/>
      <c r="BT803" s="290"/>
      <c r="BU803" s="290"/>
      <c r="BV803" s="290"/>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row>
    <row r="804" customFormat="false" ht="15.75" hidden="false" customHeight="false" outlineLevel="0" collapsed="false">
      <c r="A804" s="290"/>
      <c r="B804" s="290"/>
      <c r="C804" s="290"/>
      <c r="D804" s="290"/>
      <c r="E804" s="290"/>
      <c r="F804" s="290"/>
      <c r="G804" s="290"/>
      <c r="H804" s="290"/>
      <c r="I804" s="290"/>
      <c r="J804" s="3"/>
      <c r="K804" s="290"/>
      <c r="L804" s="290"/>
      <c r="M804" s="290"/>
      <c r="N804" s="290"/>
      <c r="O804" s="290"/>
      <c r="P804" s="290"/>
      <c r="Q804" s="290"/>
      <c r="R804" s="290"/>
      <c r="S804" s="290"/>
      <c r="T804" s="290"/>
      <c r="U804" s="290"/>
      <c r="V804" s="290"/>
      <c r="W804" s="290"/>
      <c r="X804" s="290"/>
      <c r="Y804" s="290"/>
      <c r="Z804" s="290"/>
      <c r="AA804" s="290"/>
      <c r="AB804" s="290"/>
      <c r="AC804" s="290"/>
      <c r="AD804" s="290"/>
      <c r="AE804" s="290"/>
      <c r="AF804" s="290"/>
      <c r="AG804" s="290"/>
      <c r="AH804" s="290"/>
      <c r="AI804" s="290"/>
      <c r="AJ804" s="290"/>
      <c r="AK804" s="290"/>
      <c r="AL804" s="290"/>
      <c r="AM804" s="290"/>
      <c r="AN804" s="290"/>
      <c r="AO804" s="290"/>
      <c r="AP804" s="290"/>
      <c r="AQ804" s="290"/>
      <c r="AR804" s="290"/>
      <c r="AS804" s="290"/>
      <c r="AT804" s="290"/>
      <c r="AU804" s="290"/>
      <c r="AV804" s="290"/>
      <c r="AW804" s="290"/>
      <c r="AX804" s="290"/>
      <c r="AY804" s="290"/>
      <c r="AZ804" s="290"/>
      <c r="BA804" s="290"/>
      <c r="BB804" s="290"/>
      <c r="BC804" s="290"/>
      <c r="BD804" s="290"/>
      <c r="BE804" s="290"/>
      <c r="BF804" s="290"/>
      <c r="BG804" s="290"/>
      <c r="BH804" s="290"/>
      <c r="BI804" s="290"/>
      <c r="BJ804" s="290"/>
      <c r="BK804" s="290"/>
      <c r="BL804" s="290"/>
      <c r="BM804" s="290"/>
      <c r="BN804" s="290"/>
      <c r="BO804" s="290"/>
      <c r="BP804" s="290"/>
      <c r="BQ804" s="290"/>
      <c r="BR804" s="290"/>
      <c r="BS804" s="290"/>
      <c r="BT804" s="290"/>
      <c r="BU804" s="290"/>
      <c r="BV804" s="290"/>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row>
    <row r="805" customFormat="false" ht="15.75" hidden="false" customHeight="false" outlineLevel="0" collapsed="false">
      <c r="A805" s="290"/>
      <c r="B805" s="290"/>
      <c r="C805" s="290"/>
      <c r="D805" s="290"/>
      <c r="E805" s="290"/>
      <c r="F805" s="290"/>
      <c r="G805" s="290"/>
      <c r="H805" s="290"/>
      <c r="I805" s="290"/>
      <c r="J805" s="3"/>
      <c r="K805" s="290"/>
      <c r="L805" s="290"/>
      <c r="M805" s="290"/>
      <c r="N805" s="290"/>
      <c r="O805" s="290"/>
      <c r="P805" s="290"/>
      <c r="Q805" s="290"/>
      <c r="R805" s="290"/>
      <c r="S805" s="290"/>
      <c r="T805" s="290"/>
      <c r="U805" s="290"/>
      <c r="V805" s="290"/>
      <c r="W805" s="290"/>
      <c r="X805" s="290"/>
      <c r="Y805" s="290"/>
      <c r="Z805" s="290"/>
      <c r="AA805" s="290"/>
      <c r="AB805" s="290"/>
      <c r="AC805" s="290"/>
      <c r="AD805" s="290"/>
      <c r="AE805" s="290"/>
      <c r="AF805" s="290"/>
      <c r="AG805" s="290"/>
      <c r="AH805" s="290"/>
      <c r="AI805" s="290"/>
      <c r="AJ805" s="290"/>
      <c r="AK805" s="290"/>
      <c r="AL805" s="290"/>
      <c r="AM805" s="290"/>
      <c r="AN805" s="290"/>
      <c r="AO805" s="290"/>
      <c r="AP805" s="290"/>
      <c r="AQ805" s="290"/>
      <c r="AR805" s="290"/>
      <c r="AS805" s="290"/>
      <c r="AT805" s="290"/>
      <c r="AU805" s="290"/>
      <c r="AV805" s="290"/>
      <c r="AW805" s="290"/>
      <c r="AX805" s="290"/>
      <c r="AY805" s="290"/>
      <c r="AZ805" s="290"/>
      <c r="BA805" s="290"/>
      <c r="BB805" s="290"/>
      <c r="BC805" s="290"/>
      <c r="BD805" s="290"/>
      <c r="BE805" s="290"/>
      <c r="BF805" s="290"/>
      <c r="BG805" s="290"/>
      <c r="BH805" s="290"/>
      <c r="BI805" s="290"/>
      <c r="BJ805" s="290"/>
      <c r="BK805" s="290"/>
      <c r="BL805" s="290"/>
      <c r="BM805" s="290"/>
      <c r="BN805" s="290"/>
      <c r="BO805" s="290"/>
      <c r="BP805" s="290"/>
      <c r="BQ805" s="290"/>
      <c r="BR805" s="290"/>
      <c r="BS805" s="290"/>
      <c r="BT805" s="290"/>
      <c r="BU805" s="290"/>
      <c r="BV805" s="290"/>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row>
    <row r="806" customFormat="false" ht="15.75" hidden="false" customHeight="false" outlineLevel="0" collapsed="false">
      <c r="A806" s="290"/>
      <c r="B806" s="290"/>
      <c r="C806" s="290"/>
      <c r="D806" s="290"/>
      <c r="E806" s="290"/>
      <c r="F806" s="290"/>
      <c r="G806" s="290"/>
      <c r="H806" s="290"/>
      <c r="I806" s="290"/>
      <c r="J806" s="3"/>
      <c r="K806" s="290"/>
      <c r="L806" s="290"/>
      <c r="M806" s="290"/>
      <c r="N806" s="290"/>
      <c r="O806" s="290"/>
      <c r="P806" s="290"/>
      <c r="Q806" s="290"/>
      <c r="R806" s="290"/>
      <c r="S806" s="290"/>
      <c r="T806" s="290"/>
      <c r="U806" s="290"/>
      <c r="V806" s="290"/>
      <c r="W806" s="290"/>
      <c r="X806" s="290"/>
      <c r="Y806" s="290"/>
      <c r="Z806" s="290"/>
      <c r="AA806" s="290"/>
      <c r="AB806" s="290"/>
      <c r="AC806" s="290"/>
      <c r="AD806" s="290"/>
      <c r="AE806" s="290"/>
      <c r="AF806" s="290"/>
      <c r="AG806" s="290"/>
      <c r="AH806" s="290"/>
      <c r="AI806" s="290"/>
      <c r="AJ806" s="290"/>
      <c r="AK806" s="290"/>
      <c r="AL806" s="290"/>
      <c r="AM806" s="290"/>
      <c r="AN806" s="290"/>
      <c r="AO806" s="290"/>
      <c r="AP806" s="290"/>
      <c r="AQ806" s="290"/>
      <c r="AR806" s="290"/>
      <c r="AS806" s="290"/>
      <c r="AT806" s="290"/>
      <c r="AU806" s="290"/>
      <c r="AV806" s="290"/>
      <c r="AW806" s="290"/>
      <c r="AX806" s="290"/>
      <c r="AY806" s="290"/>
      <c r="AZ806" s="290"/>
      <c r="BA806" s="290"/>
      <c r="BB806" s="290"/>
      <c r="BC806" s="290"/>
      <c r="BD806" s="290"/>
      <c r="BE806" s="290"/>
      <c r="BF806" s="290"/>
      <c r="BG806" s="290"/>
      <c r="BH806" s="290"/>
      <c r="BI806" s="290"/>
      <c r="BJ806" s="290"/>
      <c r="BK806" s="290"/>
      <c r="BL806" s="290"/>
      <c r="BM806" s="290"/>
      <c r="BN806" s="290"/>
      <c r="BO806" s="290"/>
      <c r="BP806" s="290"/>
      <c r="BQ806" s="290"/>
      <c r="BR806" s="290"/>
      <c r="BS806" s="290"/>
      <c r="BT806" s="290"/>
      <c r="BU806" s="290"/>
      <c r="BV806" s="290"/>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row>
    <row r="807" customFormat="false" ht="15.75" hidden="false" customHeight="false" outlineLevel="0" collapsed="false">
      <c r="A807" s="290"/>
      <c r="B807" s="290"/>
      <c r="C807" s="290"/>
      <c r="D807" s="290"/>
      <c r="E807" s="290"/>
      <c r="F807" s="290"/>
      <c r="G807" s="290"/>
      <c r="H807" s="290"/>
      <c r="I807" s="290"/>
      <c r="J807" s="3"/>
      <c r="K807" s="290"/>
      <c r="L807" s="290"/>
      <c r="M807" s="290"/>
      <c r="N807" s="290"/>
      <c r="O807" s="290"/>
      <c r="P807" s="290"/>
      <c r="Q807" s="290"/>
      <c r="R807" s="290"/>
      <c r="S807" s="290"/>
      <c r="T807" s="290"/>
      <c r="U807" s="290"/>
      <c r="V807" s="290"/>
      <c r="W807" s="290"/>
      <c r="X807" s="290"/>
      <c r="Y807" s="290"/>
      <c r="Z807" s="290"/>
      <c r="AA807" s="290"/>
      <c r="AB807" s="290"/>
      <c r="AC807" s="290"/>
      <c r="AD807" s="290"/>
      <c r="AE807" s="290"/>
      <c r="AF807" s="290"/>
      <c r="AG807" s="290"/>
      <c r="AH807" s="290"/>
      <c r="AI807" s="290"/>
      <c r="AJ807" s="290"/>
      <c r="AK807" s="290"/>
      <c r="AL807" s="290"/>
      <c r="AM807" s="290"/>
      <c r="AN807" s="290"/>
      <c r="AO807" s="290"/>
      <c r="AP807" s="290"/>
      <c r="AQ807" s="290"/>
      <c r="AR807" s="290"/>
      <c r="AS807" s="290"/>
      <c r="AT807" s="290"/>
      <c r="AU807" s="290"/>
      <c r="AV807" s="290"/>
      <c r="AW807" s="290"/>
      <c r="AX807" s="290"/>
      <c r="AY807" s="290"/>
      <c r="AZ807" s="290"/>
      <c r="BA807" s="290"/>
      <c r="BB807" s="290"/>
      <c r="BC807" s="290"/>
      <c r="BD807" s="290"/>
      <c r="BE807" s="290"/>
      <c r="BF807" s="290"/>
      <c r="BG807" s="290"/>
      <c r="BH807" s="290"/>
      <c r="BI807" s="290"/>
      <c r="BJ807" s="290"/>
      <c r="BK807" s="290"/>
      <c r="BL807" s="290"/>
      <c r="BM807" s="290"/>
      <c r="BN807" s="290"/>
      <c r="BO807" s="290"/>
      <c r="BP807" s="290"/>
      <c r="BQ807" s="290"/>
      <c r="BR807" s="290"/>
      <c r="BS807" s="290"/>
      <c r="BT807" s="290"/>
      <c r="BU807" s="290"/>
      <c r="BV807" s="290"/>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row>
    <row r="808" customFormat="false" ht="15.75" hidden="false" customHeight="false" outlineLevel="0" collapsed="false">
      <c r="A808" s="290"/>
      <c r="B808" s="290"/>
      <c r="C808" s="290"/>
      <c r="D808" s="290"/>
      <c r="E808" s="290"/>
      <c r="F808" s="290"/>
      <c r="G808" s="290"/>
      <c r="H808" s="290"/>
      <c r="I808" s="290"/>
      <c r="J808" s="3"/>
      <c r="K808" s="290"/>
      <c r="L808" s="290"/>
      <c r="M808" s="290"/>
      <c r="N808" s="290"/>
      <c r="O808" s="290"/>
      <c r="P808" s="290"/>
      <c r="Q808" s="290"/>
      <c r="R808" s="290"/>
      <c r="S808" s="290"/>
      <c r="T808" s="290"/>
      <c r="U808" s="290"/>
      <c r="V808" s="290"/>
      <c r="W808" s="290"/>
      <c r="X808" s="290"/>
      <c r="Y808" s="290"/>
      <c r="Z808" s="290"/>
      <c r="AA808" s="290"/>
      <c r="AB808" s="290"/>
      <c r="AC808" s="290"/>
      <c r="AD808" s="290"/>
      <c r="AE808" s="290"/>
      <c r="AF808" s="290"/>
      <c r="AG808" s="290"/>
      <c r="AH808" s="290"/>
      <c r="AI808" s="290"/>
      <c r="AJ808" s="290"/>
      <c r="AK808" s="290"/>
      <c r="AL808" s="290"/>
      <c r="AM808" s="290"/>
      <c r="AN808" s="290"/>
      <c r="AO808" s="290"/>
      <c r="AP808" s="290"/>
      <c r="AQ808" s="290"/>
      <c r="AR808" s="290"/>
      <c r="AS808" s="290"/>
      <c r="AT808" s="290"/>
      <c r="AU808" s="290"/>
      <c r="AV808" s="290"/>
      <c r="AW808" s="290"/>
      <c r="AX808" s="290"/>
      <c r="AY808" s="290"/>
      <c r="AZ808" s="290"/>
      <c r="BA808" s="290"/>
      <c r="BB808" s="290"/>
      <c r="BC808" s="290"/>
      <c r="BD808" s="290"/>
      <c r="BE808" s="290"/>
      <c r="BF808" s="290"/>
      <c r="BG808" s="290"/>
      <c r="BH808" s="290"/>
      <c r="BI808" s="290"/>
      <c r="BJ808" s="290"/>
      <c r="BK808" s="290"/>
      <c r="BL808" s="290"/>
      <c r="BM808" s="290"/>
      <c r="BN808" s="290"/>
      <c r="BO808" s="290"/>
      <c r="BP808" s="290"/>
      <c r="BQ808" s="290"/>
      <c r="BR808" s="290"/>
      <c r="BS808" s="290"/>
      <c r="BT808" s="290"/>
      <c r="BU808" s="290"/>
      <c r="BV808" s="290"/>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row>
    <row r="809" customFormat="false" ht="15.75" hidden="false" customHeight="false" outlineLevel="0" collapsed="false">
      <c r="A809" s="290"/>
      <c r="B809" s="290"/>
      <c r="C809" s="290"/>
      <c r="D809" s="290"/>
      <c r="E809" s="290"/>
      <c r="F809" s="290"/>
      <c r="G809" s="290"/>
      <c r="H809" s="290"/>
      <c r="I809" s="290"/>
      <c r="J809" s="3"/>
      <c r="K809" s="290"/>
      <c r="L809" s="290"/>
      <c r="M809" s="290"/>
      <c r="N809" s="290"/>
      <c r="O809" s="290"/>
      <c r="P809" s="290"/>
      <c r="Q809" s="290"/>
      <c r="R809" s="290"/>
      <c r="S809" s="290"/>
      <c r="T809" s="290"/>
      <c r="U809" s="290"/>
      <c r="V809" s="290"/>
      <c r="W809" s="290"/>
      <c r="X809" s="290"/>
      <c r="Y809" s="290"/>
      <c r="Z809" s="290"/>
      <c r="AA809" s="290"/>
      <c r="AB809" s="290"/>
      <c r="AC809" s="290"/>
      <c r="AD809" s="290"/>
      <c r="AE809" s="290"/>
      <c r="AF809" s="290"/>
      <c r="AG809" s="290"/>
      <c r="AH809" s="290"/>
      <c r="AI809" s="290"/>
      <c r="AJ809" s="290"/>
      <c r="AK809" s="290"/>
      <c r="AL809" s="290"/>
      <c r="AM809" s="290"/>
      <c r="AN809" s="290"/>
      <c r="AO809" s="290"/>
      <c r="AP809" s="290"/>
      <c r="AQ809" s="290"/>
      <c r="AR809" s="290"/>
      <c r="AS809" s="290"/>
      <c r="AT809" s="290"/>
      <c r="AU809" s="290"/>
      <c r="AV809" s="290"/>
      <c r="AW809" s="290"/>
      <c r="AX809" s="290"/>
      <c r="AY809" s="290"/>
      <c r="AZ809" s="290"/>
      <c r="BA809" s="290"/>
      <c r="BB809" s="290"/>
      <c r="BC809" s="290"/>
      <c r="BD809" s="290"/>
      <c r="BE809" s="290"/>
      <c r="BF809" s="290"/>
      <c r="BG809" s="290"/>
      <c r="BH809" s="290"/>
      <c r="BI809" s="290"/>
      <c r="BJ809" s="290"/>
      <c r="BK809" s="290"/>
      <c r="BL809" s="290"/>
      <c r="BM809" s="290"/>
      <c r="BN809" s="290"/>
      <c r="BO809" s="290"/>
      <c r="BP809" s="290"/>
      <c r="BQ809" s="290"/>
      <c r="BR809" s="290"/>
      <c r="BS809" s="290"/>
      <c r="BT809" s="290"/>
      <c r="BU809" s="290"/>
      <c r="BV809" s="290"/>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row>
    <row r="810" customFormat="false" ht="15.75" hidden="false" customHeight="false" outlineLevel="0" collapsed="false">
      <c r="A810" s="290"/>
      <c r="B810" s="290"/>
      <c r="C810" s="290"/>
      <c r="D810" s="290"/>
      <c r="E810" s="290"/>
      <c r="F810" s="290"/>
      <c r="G810" s="290"/>
      <c r="H810" s="290"/>
      <c r="I810" s="290"/>
      <c r="J810" s="3"/>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0"/>
      <c r="AS810" s="290"/>
      <c r="AT810" s="290"/>
      <c r="AU810" s="290"/>
      <c r="AV810" s="290"/>
      <c r="AW810" s="290"/>
      <c r="AX810" s="290"/>
      <c r="AY810" s="290"/>
      <c r="AZ810" s="290"/>
      <c r="BA810" s="290"/>
      <c r="BB810" s="290"/>
      <c r="BC810" s="290"/>
      <c r="BD810" s="290"/>
      <c r="BE810" s="290"/>
      <c r="BF810" s="290"/>
      <c r="BG810" s="290"/>
      <c r="BH810" s="290"/>
      <c r="BI810" s="290"/>
      <c r="BJ810" s="290"/>
      <c r="BK810" s="290"/>
      <c r="BL810" s="290"/>
      <c r="BM810" s="290"/>
      <c r="BN810" s="290"/>
      <c r="BO810" s="290"/>
      <c r="BP810" s="290"/>
      <c r="BQ810" s="290"/>
      <c r="BR810" s="290"/>
      <c r="BS810" s="290"/>
      <c r="BT810" s="290"/>
      <c r="BU810" s="290"/>
      <c r="BV810" s="290"/>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row>
    <row r="811" customFormat="false" ht="15.75" hidden="false" customHeight="false" outlineLevel="0" collapsed="false">
      <c r="A811" s="290"/>
      <c r="B811" s="290"/>
      <c r="C811" s="290"/>
      <c r="D811" s="290"/>
      <c r="E811" s="290"/>
      <c r="F811" s="290"/>
      <c r="G811" s="290"/>
      <c r="H811" s="290"/>
      <c r="I811" s="290"/>
      <c r="J811" s="3"/>
      <c r="K811" s="290"/>
      <c r="L811" s="290"/>
      <c r="M811" s="290"/>
      <c r="N811" s="290"/>
      <c r="O811" s="290"/>
      <c r="P811" s="290"/>
      <c r="Q811" s="290"/>
      <c r="R811" s="290"/>
      <c r="S811" s="290"/>
      <c r="T811" s="290"/>
      <c r="U811" s="290"/>
      <c r="V811" s="290"/>
      <c r="W811" s="290"/>
      <c r="X811" s="290"/>
      <c r="Y811" s="290"/>
      <c r="Z811" s="290"/>
      <c r="AA811" s="290"/>
      <c r="AB811" s="290"/>
      <c r="AC811" s="290"/>
      <c r="AD811" s="290"/>
      <c r="AE811" s="290"/>
      <c r="AF811" s="290"/>
      <c r="AG811" s="290"/>
      <c r="AH811" s="290"/>
      <c r="AI811" s="290"/>
      <c r="AJ811" s="290"/>
      <c r="AK811" s="290"/>
      <c r="AL811" s="290"/>
      <c r="AM811" s="290"/>
      <c r="AN811" s="290"/>
      <c r="AO811" s="290"/>
      <c r="AP811" s="290"/>
      <c r="AQ811" s="290"/>
      <c r="AR811" s="290"/>
      <c r="AS811" s="290"/>
      <c r="AT811" s="290"/>
      <c r="AU811" s="290"/>
      <c r="AV811" s="290"/>
      <c r="AW811" s="290"/>
      <c r="AX811" s="290"/>
      <c r="AY811" s="290"/>
      <c r="AZ811" s="290"/>
      <c r="BA811" s="290"/>
      <c r="BB811" s="290"/>
      <c r="BC811" s="290"/>
      <c r="BD811" s="290"/>
      <c r="BE811" s="290"/>
      <c r="BF811" s="290"/>
      <c r="BG811" s="290"/>
      <c r="BH811" s="290"/>
      <c r="BI811" s="290"/>
      <c r="BJ811" s="290"/>
      <c r="BK811" s="290"/>
      <c r="BL811" s="290"/>
      <c r="BM811" s="290"/>
      <c r="BN811" s="290"/>
      <c r="BO811" s="290"/>
      <c r="BP811" s="290"/>
      <c r="BQ811" s="290"/>
      <c r="BR811" s="290"/>
      <c r="BS811" s="290"/>
      <c r="BT811" s="290"/>
      <c r="BU811" s="290"/>
      <c r="BV811" s="290"/>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row>
    <row r="812" customFormat="false" ht="15.75" hidden="false" customHeight="false" outlineLevel="0" collapsed="false">
      <c r="A812" s="290"/>
      <c r="B812" s="290"/>
      <c r="C812" s="290"/>
      <c r="D812" s="290"/>
      <c r="E812" s="290"/>
      <c r="F812" s="290"/>
      <c r="G812" s="290"/>
      <c r="H812" s="290"/>
      <c r="I812" s="290"/>
      <c r="J812" s="3"/>
      <c r="K812" s="290"/>
      <c r="L812" s="290"/>
      <c r="M812" s="290"/>
      <c r="N812" s="290"/>
      <c r="O812" s="290"/>
      <c r="P812" s="290"/>
      <c r="Q812" s="290"/>
      <c r="R812" s="290"/>
      <c r="S812" s="290"/>
      <c r="T812" s="290"/>
      <c r="U812" s="290"/>
      <c r="V812" s="290"/>
      <c r="W812" s="290"/>
      <c r="X812" s="290"/>
      <c r="Y812" s="290"/>
      <c r="Z812" s="290"/>
      <c r="AA812" s="290"/>
      <c r="AB812" s="290"/>
      <c r="AC812" s="290"/>
      <c r="AD812" s="290"/>
      <c r="AE812" s="290"/>
      <c r="AF812" s="290"/>
      <c r="AG812" s="290"/>
      <c r="AH812" s="290"/>
      <c r="AI812" s="290"/>
      <c r="AJ812" s="290"/>
      <c r="AK812" s="290"/>
      <c r="AL812" s="290"/>
      <c r="AM812" s="290"/>
      <c r="AN812" s="290"/>
      <c r="AO812" s="290"/>
      <c r="AP812" s="290"/>
      <c r="AQ812" s="290"/>
      <c r="AR812" s="290"/>
      <c r="AS812" s="290"/>
      <c r="AT812" s="290"/>
      <c r="AU812" s="290"/>
      <c r="AV812" s="290"/>
      <c r="AW812" s="290"/>
      <c r="AX812" s="290"/>
      <c r="AY812" s="290"/>
      <c r="AZ812" s="290"/>
      <c r="BA812" s="290"/>
      <c r="BB812" s="290"/>
      <c r="BC812" s="290"/>
      <c r="BD812" s="290"/>
      <c r="BE812" s="290"/>
      <c r="BF812" s="290"/>
      <c r="BG812" s="290"/>
      <c r="BH812" s="290"/>
      <c r="BI812" s="290"/>
      <c r="BJ812" s="290"/>
      <c r="BK812" s="290"/>
      <c r="BL812" s="290"/>
      <c r="BM812" s="290"/>
      <c r="BN812" s="290"/>
      <c r="BO812" s="290"/>
      <c r="BP812" s="290"/>
      <c r="BQ812" s="290"/>
      <c r="BR812" s="290"/>
      <c r="BS812" s="290"/>
      <c r="BT812" s="290"/>
      <c r="BU812" s="290"/>
      <c r="BV812" s="290"/>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row>
    <row r="813" customFormat="false" ht="15.75" hidden="false" customHeight="false" outlineLevel="0" collapsed="false">
      <c r="A813" s="290"/>
      <c r="B813" s="290"/>
      <c r="C813" s="290"/>
      <c r="D813" s="290"/>
      <c r="E813" s="290"/>
      <c r="F813" s="290"/>
      <c r="G813" s="290"/>
      <c r="H813" s="290"/>
      <c r="I813" s="290"/>
      <c r="J813" s="3"/>
      <c r="K813" s="290"/>
      <c r="L813" s="290"/>
      <c r="M813" s="290"/>
      <c r="N813" s="290"/>
      <c r="O813" s="290"/>
      <c r="P813" s="290"/>
      <c r="Q813" s="290"/>
      <c r="R813" s="290"/>
      <c r="S813" s="290"/>
      <c r="T813" s="290"/>
      <c r="U813" s="290"/>
      <c r="V813" s="290"/>
      <c r="W813" s="290"/>
      <c r="X813" s="290"/>
      <c r="Y813" s="290"/>
      <c r="Z813" s="290"/>
      <c r="AA813" s="290"/>
      <c r="AB813" s="290"/>
      <c r="AC813" s="290"/>
      <c r="AD813" s="290"/>
      <c r="AE813" s="290"/>
      <c r="AF813" s="290"/>
      <c r="AG813" s="290"/>
      <c r="AH813" s="290"/>
      <c r="AI813" s="290"/>
      <c r="AJ813" s="290"/>
      <c r="AK813" s="290"/>
      <c r="AL813" s="290"/>
      <c r="AM813" s="290"/>
      <c r="AN813" s="290"/>
      <c r="AO813" s="290"/>
      <c r="AP813" s="290"/>
      <c r="AQ813" s="290"/>
      <c r="AR813" s="290"/>
      <c r="AS813" s="290"/>
      <c r="AT813" s="290"/>
      <c r="AU813" s="290"/>
      <c r="AV813" s="290"/>
      <c r="AW813" s="290"/>
      <c r="AX813" s="290"/>
      <c r="AY813" s="290"/>
      <c r="AZ813" s="290"/>
      <c r="BA813" s="290"/>
      <c r="BB813" s="290"/>
      <c r="BC813" s="290"/>
      <c r="BD813" s="290"/>
      <c r="BE813" s="290"/>
      <c r="BF813" s="290"/>
      <c r="BG813" s="290"/>
      <c r="BH813" s="290"/>
      <c r="BI813" s="290"/>
      <c r="BJ813" s="290"/>
      <c r="BK813" s="290"/>
      <c r="BL813" s="290"/>
      <c r="BM813" s="290"/>
      <c r="BN813" s="290"/>
      <c r="BO813" s="290"/>
      <c r="BP813" s="290"/>
      <c r="BQ813" s="290"/>
      <c r="BR813" s="290"/>
      <c r="BS813" s="290"/>
      <c r="BT813" s="290"/>
      <c r="BU813" s="290"/>
      <c r="BV813" s="290"/>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row>
    <row r="814" customFormat="false" ht="15.75" hidden="false" customHeight="false" outlineLevel="0" collapsed="false">
      <c r="A814" s="290"/>
      <c r="B814" s="290"/>
      <c r="C814" s="290"/>
      <c r="D814" s="290"/>
      <c r="E814" s="290"/>
      <c r="F814" s="290"/>
      <c r="G814" s="290"/>
      <c r="H814" s="290"/>
      <c r="I814" s="290"/>
      <c r="J814" s="3"/>
      <c r="K814" s="290"/>
      <c r="L814" s="290"/>
      <c r="M814" s="290"/>
      <c r="N814" s="290"/>
      <c r="O814" s="290"/>
      <c r="P814" s="290"/>
      <c r="Q814" s="290"/>
      <c r="R814" s="290"/>
      <c r="S814" s="290"/>
      <c r="T814" s="290"/>
      <c r="U814" s="290"/>
      <c r="V814" s="290"/>
      <c r="W814" s="290"/>
      <c r="X814" s="290"/>
      <c r="Y814" s="290"/>
      <c r="Z814" s="290"/>
      <c r="AA814" s="290"/>
      <c r="AB814" s="290"/>
      <c r="AC814" s="290"/>
      <c r="AD814" s="290"/>
      <c r="AE814" s="290"/>
      <c r="AF814" s="290"/>
      <c r="AG814" s="290"/>
      <c r="AH814" s="290"/>
      <c r="AI814" s="290"/>
      <c r="AJ814" s="290"/>
      <c r="AK814" s="290"/>
      <c r="AL814" s="290"/>
      <c r="AM814" s="290"/>
      <c r="AN814" s="290"/>
      <c r="AO814" s="290"/>
      <c r="AP814" s="290"/>
      <c r="AQ814" s="290"/>
      <c r="AR814" s="290"/>
      <c r="AS814" s="290"/>
      <c r="AT814" s="290"/>
      <c r="AU814" s="290"/>
      <c r="AV814" s="290"/>
      <c r="AW814" s="290"/>
      <c r="AX814" s="290"/>
      <c r="AY814" s="290"/>
      <c r="AZ814" s="290"/>
      <c r="BA814" s="290"/>
      <c r="BB814" s="290"/>
      <c r="BC814" s="290"/>
      <c r="BD814" s="290"/>
      <c r="BE814" s="290"/>
      <c r="BF814" s="290"/>
      <c r="BG814" s="290"/>
      <c r="BH814" s="290"/>
      <c r="BI814" s="290"/>
      <c r="BJ814" s="290"/>
      <c r="BK814" s="290"/>
      <c r="BL814" s="290"/>
      <c r="BM814" s="290"/>
      <c r="BN814" s="290"/>
      <c r="BO814" s="290"/>
      <c r="BP814" s="290"/>
      <c r="BQ814" s="290"/>
      <c r="BR814" s="290"/>
      <c r="BS814" s="290"/>
      <c r="BT814" s="290"/>
      <c r="BU814" s="290"/>
      <c r="BV814" s="290"/>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row>
    <row r="815" customFormat="false" ht="15.75" hidden="false" customHeight="false" outlineLevel="0" collapsed="false">
      <c r="A815" s="290"/>
      <c r="B815" s="290"/>
      <c r="C815" s="290"/>
      <c r="D815" s="290"/>
      <c r="E815" s="290"/>
      <c r="F815" s="290"/>
      <c r="G815" s="290"/>
      <c r="H815" s="290"/>
      <c r="I815" s="290"/>
      <c r="J815" s="3"/>
      <c r="K815" s="290"/>
      <c r="L815" s="290"/>
      <c r="M815" s="290"/>
      <c r="N815" s="290"/>
      <c r="O815" s="290"/>
      <c r="P815" s="290"/>
      <c r="Q815" s="290"/>
      <c r="R815" s="290"/>
      <c r="S815" s="290"/>
      <c r="T815" s="290"/>
      <c r="U815" s="290"/>
      <c r="V815" s="290"/>
      <c r="W815" s="290"/>
      <c r="X815" s="290"/>
      <c r="Y815" s="290"/>
      <c r="Z815" s="290"/>
      <c r="AA815" s="290"/>
      <c r="AB815" s="290"/>
      <c r="AC815" s="290"/>
      <c r="AD815" s="290"/>
      <c r="AE815" s="290"/>
      <c r="AF815" s="290"/>
      <c r="AG815" s="290"/>
      <c r="AH815" s="290"/>
      <c r="AI815" s="290"/>
      <c r="AJ815" s="290"/>
      <c r="AK815" s="290"/>
      <c r="AL815" s="290"/>
      <c r="AM815" s="290"/>
      <c r="AN815" s="290"/>
      <c r="AO815" s="290"/>
      <c r="AP815" s="290"/>
      <c r="AQ815" s="290"/>
      <c r="AR815" s="290"/>
      <c r="AS815" s="290"/>
      <c r="AT815" s="290"/>
      <c r="AU815" s="290"/>
      <c r="AV815" s="290"/>
      <c r="AW815" s="290"/>
      <c r="AX815" s="290"/>
      <c r="AY815" s="290"/>
      <c r="AZ815" s="290"/>
      <c r="BA815" s="290"/>
      <c r="BB815" s="290"/>
      <c r="BC815" s="290"/>
      <c r="BD815" s="290"/>
      <c r="BE815" s="290"/>
      <c r="BF815" s="290"/>
      <c r="BG815" s="290"/>
      <c r="BH815" s="290"/>
      <c r="BI815" s="290"/>
      <c r="BJ815" s="290"/>
      <c r="BK815" s="290"/>
      <c r="BL815" s="290"/>
      <c r="BM815" s="290"/>
      <c r="BN815" s="290"/>
      <c r="BO815" s="290"/>
      <c r="BP815" s="290"/>
      <c r="BQ815" s="290"/>
      <c r="BR815" s="290"/>
      <c r="BS815" s="290"/>
      <c r="BT815" s="290"/>
      <c r="BU815" s="290"/>
      <c r="BV815" s="290"/>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row>
    <row r="816" customFormat="false" ht="15.75" hidden="false" customHeight="false" outlineLevel="0" collapsed="false">
      <c r="A816" s="290"/>
      <c r="B816" s="290"/>
      <c r="C816" s="290"/>
      <c r="D816" s="290"/>
      <c r="E816" s="290"/>
      <c r="F816" s="290"/>
      <c r="G816" s="290"/>
      <c r="H816" s="290"/>
      <c r="I816" s="290"/>
      <c r="J816" s="3"/>
      <c r="K816" s="290"/>
      <c r="L816" s="290"/>
      <c r="M816" s="290"/>
      <c r="N816" s="290"/>
      <c r="O816" s="290"/>
      <c r="P816" s="290"/>
      <c r="Q816" s="290"/>
      <c r="R816" s="290"/>
      <c r="S816" s="290"/>
      <c r="T816" s="290"/>
      <c r="U816" s="290"/>
      <c r="V816" s="290"/>
      <c r="W816" s="290"/>
      <c r="X816" s="290"/>
      <c r="Y816" s="290"/>
      <c r="Z816" s="290"/>
      <c r="AA816" s="290"/>
      <c r="AB816" s="290"/>
      <c r="AC816" s="290"/>
      <c r="AD816" s="290"/>
      <c r="AE816" s="290"/>
      <c r="AF816" s="290"/>
      <c r="AG816" s="290"/>
      <c r="AH816" s="290"/>
      <c r="AI816" s="290"/>
      <c r="AJ816" s="290"/>
      <c r="AK816" s="290"/>
      <c r="AL816" s="290"/>
      <c r="AM816" s="290"/>
      <c r="AN816" s="290"/>
      <c r="AO816" s="290"/>
      <c r="AP816" s="290"/>
      <c r="AQ816" s="290"/>
      <c r="AR816" s="290"/>
      <c r="AS816" s="290"/>
      <c r="AT816" s="290"/>
      <c r="AU816" s="290"/>
      <c r="AV816" s="290"/>
      <c r="AW816" s="290"/>
      <c r="AX816" s="290"/>
      <c r="AY816" s="290"/>
      <c r="AZ816" s="290"/>
      <c r="BA816" s="290"/>
      <c r="BB816" s="290"/>
      <c r="BC816" s="290"/>
      <c r="BD816" s="290"/>
      <c r="BE816" s="290"/>
      <c r="BF816" s="290"/>
      <c r="BG816" s="290"/>
      <c r="BH816" s="290"/>
      <c r="BI816" s="290"/>
      <c r="BJ816" s="290"/>
      <c r="BK816" s="290"/>
      <c r="BL816" s="290"/>
      <c r="BM816" s="290"/>
      <c r="BN816" s="290"/>
      <c r="BO816" s="290"/>
      <c r="BP816" s="290"/>
      <c r="BQ816" s="290"/>
      <c r="BR816" s="290"/>
      <c r="BS816" s="290"/>
      <c r="BT816" s="290"/>
      <c r="BU816" s="290"/>
      <c r="BV816" s="290"/>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row>
    <row r="817" customFormat="false" ht="15.75" hidden="false" customHeight="false" outlineLevel="0" collapsed="false">
      <c r="A817" s="290"/>
      <c r="B817" s="290"/>
      <c r="C817" s="290"/>
      <c r="D817" s="290"/>
      <c r="E817" s="290"/>
      <c r="F817" s="290"/>
      <c r="G817" s="290"/>
      <c r="H817" s="290"/>
      <c r="I817" s="290"/>
      <c r="J817" s="3"/>
      <c r="K817" s="290"/>
      <c r="L817" s="290"/>
      <c r="M817" s="290"/>
      <c r="N817" s="290"/>
      <c r="O817" s="290"/>
      <c r="P817" s="290"/>
      <c r="Q817" s="290"/>
      <c r="R817" s="290"/>
      <c r="S817" s="290"/>
      <c r="T817" s="290"/>
      <c r="U817" s="290"/>
      <c r="V817" s="290"/>
      <c r="W817" s="290"/>
      <c r="X817" s="290"/>
      <c r="Y817" s="290"/>
      <c r="Z817" s="290"/>
      <c r="AA817" s="290"/>
      <c r="AB817" s="290"/>
      <c r="AC817" s="290"/>
      <c r="AD817" s="290"/>
      <c r="AE817" s="290"/>
      <c r="AF817" s="290"/>
      <c r="AG817" s="290"/>
      <c r="AH817" s="290"/>
      <c r="AI817" s="290"/>
      <c r="AJ817" s="290"/>
      <c r="AK817" s="290"/>
      <c r="AL817" s="290"/>
      <c r="AM817" s="290"/>
      <c r="AN817" s="290"/>
      <c r="AO817" s="290"/>
      <c r="AP817" s="290"/>
      <c r="AQ817" s="290"/>
      <c r="AR817" s="290"/>
      <c r="AS817" s="290"/>
      <c r="AT817" s="290"/>
      <c r="AU817" s="290"/>
      <c r="AV817" s="290"/>
      <c r="AW817" s="290"/>
      <c r="AX817" s="290"/>
      <c r="AY817" s="290"/>
      <c r="AZ817" s="290"/>
      <c r="BA817" s="290"/>
      <c r="BB817" s="290"/>
      <c r="BC817" s="290"/>
      <c r="BD817" s="290"/>
      <c r="BE817" s="290"/>
      <c r="BF817" s="290"/>
      <c r="BG817" s="290"/>
      <c r="BH817" s="290"/>
      <c r="BI817" s="290"/>
      <c r="BJ817" s="290"/>
      <c r="BK817" s="290"/>
      <c r="BL817" s="290"/>
      <c r="BM817" s="290"/>
      <c r="BN817" s="290"/>
      <c r="BO817" s="290"/>
      <c r="BP817" s="290"/>
      <c r="BQ817" s="290"/>
      <c r="BR817" s="290"/>
      <c r="BS817" s="290"/>
      <c r="BT817" s="290"/>
      <c r="BU817" s="290"/>
      <c r="BV817" s="290"/>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row>
    <row r="818" customFormat="false" ht="15.75" hidden="false" customHeight="false" outlineLevel="0" collapsed="false">
      <c r="A818" s="290"/>
      <c r="B818" s="290"/>
      <c r="C818" s="290"/>
      <c r="D818" s="290"/>
      <c r="E818" s="290"/>
      <c r="F818" s="290"/>
      <c r="G818" s="290"/>
      <c r="H818" s="290"/>
      <c r="I818" s="290"/>
      <c r="J818" s="3"/>
      <c r="K818" s="290"/>
      <c r="L818" s="290"/>
      <c r="M818" s="290"/>
      <c r="N818" s="290"/>
      <c r="O818" s="290"/>
      <c r="P818" s="290"/>
      <c r="Q818" s="290"/>
      <c r="R818" s="290"/>
      <c r="S818" s="290"/>
      <c r="T818" s="290"/>
      <c r="U818" s="290"/>
      <c r="V818" s="290"/>
      <c r="W818" s="290"/>
      <c r="X818" s="290"/>
      <c r="Y818" s="290"/>
      <c r="Z818" s="290"/>
      <c r="AA818" s="290"/>
      <c r="AB818" s="290"/>
      <c r="AC818" s="290"/>
      <c r="AD818" s="290"/>
      <c r="AE818" s="290"/>
      <c r="AF818" s="290"/>
      <c r="AG818" s="290"/>
      <c r="AH818" s="290"/>
      <c r="AI818" s="290"/>
      <c r="AJ818" s="290"/>
      <c r="AK818" s="290"/>
      <c r="AL818" s="290"/>
      <c r="AM818" s="290"/>
      <c r="AN818" s="290"/>
      <c r="AO818" s="290"/>
      <c r="AP818" s="290"/>
      <c r="AQ818" s="290"/>
      <c r="AR818" s="290"/>
      <c r="AS818" s="290"/>
      <c r="AT818" s="290"/>
      <c r="AU818" s="290"/>
      <c r="AV818" s="290"/>
      <c r="AW818" s="290"/>
      <c r="AX818" s="290"/>
      <c r="AY818" s="290"/>
      <c r="AZ818" s="290"/>
      <c r="BA818" s="290"/>
      <c r="BB818" s="290"/>
      <c r="BC818" s="290"/>
      <c r="BD818" s="290"/>
      <c r="BE818" s="290"/>
      <c r="BF818" s="290"/>
      <c r="BG818" s="290"/>
      <c r="BH818" s="290"/>
      <c r="BI818" s="290"/>
      <c r="BJ818" s="290"/>
      <c r="BK818" s="290"/>
      <c r="BL818" s="290"/>
      <c r="BM818" s="290"/>
      <c r="BN818" s="290"/>
      <c r="BO818" s="290"/>
      <c r="BP818" s="290"/>
      <c r="BQ818" s="290"/>
      <c r="BR818" s="290"/>
      <c r="BS818" s="290"/>
      <c r="BT818" s="290"/>
      <c r="BU818" s="290"/>
      <c r="BV818" s="290"/>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row>
    <row r="819" customFormat="false" ht="15.75" hidden="false" customHeight="false" outlineLevel="0" collapsed="false">
      <c r="A819" s="290"/>
      <c r="B819" s="290"/>
      <c r="C819" s="290"/>
      <c r="D819" s="290"/>
      <c r="E819" s="290"/>
      <c r="F819" s="290"/>
      <c r="G819" s="290"/>
      <c r="H819" s="290"/>
      <c r="I819" s="290"/>
      <c r="J819" s="3"/>
      <c r="K819" s="290"/>
      <c r="L819" s="290"/>
      <c r="M819" s="290"/>
      <c r="N819" s="290"/>
      <c r="O819" s="290"/>
      <c r="P819" s="290"/>
      <c r="Q819" s="290"/>
      <c r="R819" s="290"/>
      <c r="S819" s="290"/>
      <c r="T819" s="290"/>
      <c r="U819" s="290"/>
      <c r="V819" s="290"/>
      <c r="W819" s="290"/>
      <c r="X819" s="290"/>
      <c r="Y819" s="290"/>
      <c r="Z819" s="290"/>
      <c r="AA819" s="290"/>
      <c r="AB819" s="290"/>
      <c r="AC819" s="290"/>
      <c r="AD819" s="290"/>
      <c r="AE819" s="290"/>
      <c r="AF819" s="290"/>
      <c r="AG819" s="290"/>
      <c r="AH819" s="290"/>
      <c r="AI819" s="290"/>
      <c r="AJ819" s="290"/>
      <c r="AK819" s="290"/>
      <c r="AL819" s="290"/>
      <c r="AM819" s="290"/>
      <c r="AN819" s="290"/>
      <c r="AO819" s="290"/>
      <c r="AP819" s="290"/>
      <c r="AQ819" s="290"/>
      <c r="AR819" s="290"/>
      <c r="AS819" s="290"/>
      <c r="AT819" s="290"/>
      <c r="AU819" s="290"/>
      <c r="AV819" s="290"/>
      <c r="AW819" s="290"/>
      <c r="AX819" s="290"/>
      <c r="AY819" s="290"/>
      <c r="AZ819" s="290"/>
      <c r="BA819" s="290"/>
      <c r="BB819" s="290"/>
      <c r="BC819" s="290"/>
      <c r="BD819" s="290"/>
      <c r="BE819" s="290"/>
      <c r="BF819" s="290"/>
      <c r="BG819" s="290"/>
      <c r="BH819" s="290"/>
      <c r="BI819" s="290"/>
      <c r="BJ819" s="290"/>
      <c r="BK819" s="290"/>
      <c r="BL819" s="290"/>
      <c r="BM819" s="290"/>
      <c r="BN819" s="290"/>
      <c r="BO819" s="290"/>
      <c r="BP819" s="290"/>
      <c r="BQ819" s="290"/>
      <c r="BR819" s="290"/>
      <c r="BS819" s="290"/>
      <c r="BT819" s="290"/>
      <c r="BU819" s="290"/>
      <c r="BV819" s="290"/>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row>
    <row r="820" customFormat="false" ht="15.75" hidden="false" customHeight="false" outlineLevel="0" collapsed="false">
      <c r="A820" s="290"/>
      <c r="B820" s="290"/>
      <c r="C820" s="290"/>
      <c r="D820" s="290"/>
      <c r="E820" s="290"/>
      <c r="F820" s="290"/>
      <c r="G820" s="290"/>
      <c r="H820" s="290"/>
      <c r="I820" s="290"/>
      <c r="J820" s="3"/>
      <c r="K820" s="290"/>
      <c r="L820" s="290"/>
      <c r="M820" s="290"/>
      <c r="N820" s="290"/>
      <c r="O820" s="290"/>
      <c r="P820" s="290"/>
      <c r="Q820" s="290"/>
      <c r="R820" s="290"/>
      <c r="S820" s="290"/>
      <c r="T820" s="290"/>
      <c r="U820" s="290"/>
      <c r="V820" s="290"/>
      <c r="W820" s="290"/>
      <c r="X820" s="290"/>
      <c r="Y820" s="290"/>
      <c r="Z820" s="290"/>
      <c r="AA820" s="290"/>
      <c r="AB820" s="290"/>
      <c r="AC820" s="290"/>
      <c r="AD820" s="290"/>
      <c r="AE820" s="290"/>
      <c r="AF820" s="290"/>
      <c r="AG820" s="290"/>
      <c r="AH820" s="290"/>
      <c r="AI820" s="290"/>
      <c r="AJ820" s="290"/>
      <c r="AK820" s="290"/>
      <c r="AL820" s="290"/>
      <c r="AM820" s="290"/>
      <c r="AN820" s="290"/>
      <c r="AO820" s="290"/>
      <c r="AP820" s="290"/>
      <c r="AQ820" s="290"/>
      <c r="AR820" s="290"/>
      <c r="AS820" s="290"/>
      <c r="AT820" s="290"/>
      <c r="AU820" s="290"/>
      <c r="AV820" s="290"/>
      <c r="AW820" s="290"/>
      <c r="AX820" s="290"/>
      <c r="AY820" s="290"/>
      <c r="AZ820" s="290"/>
      <c r="BA820" s="290"/>
      <c r="BB820" s="290"/>
      <c r="BC820" s="290"/>
      <c r="BD820" s="290"/>
      <c r="BE820" s="290"/>
      <c r="BF820" s="290"/>
      <c r="BG820" s="290"/>
      <c r="BH820" s="290"/>
      <c r="BI820" s="290"/>
      <c r="BJ820" s="290"/>
      <c r="BK820" s="290"/>
      <c r="BL820" s="290"/>
      <c r="BM820" s="290"/>
      <c r="BN820" s="290"/>
      <c r="BO820" s="290"/>
      <c r="BP820" s="290"/>
      <c r="BQ820" s="290"/>
      <c r="BR820" s="290"/>
      <c r="BS820" s="290"/>
      <c r="BT820" s="290"/>
      <c r="BU820" s="290"/>
      <c r="BV820" s="290"/>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row>
    <row r="821" customFormat="false" ht="15.75" hidden="false" customHeight="false" outlineLevel="0" collapsed="false">
      <c r="A821" s="290"/>
      <c r="B821" s="290"/>
      <c r="C821" s="290"/>
      <c r="D821" s="290"/>
      <c r="E821" s="290"/>
      <c r="F821" s="290"/>
      <c r="G821" s="290"/>
      <c r="H821" s="290"/>
      <c r="I821" s="290"/>
      <c r="J821" s="3"/>
      <c r="K821" s="290"/>
      <c r="L821" s="290"/>
      <c r="M821" s="290"/>
      <c r="N821" s="290"/>
      <c r="O821" s="290"/>
      <c r="P821" s="290"/>
      <c r="Q821" s="290"/>
      <c r="R821" s="290"/>
      <c r="S821" s="290"/>
      <c r="T821" s="290"/>
      <c r="U821" s="290"/>
      <c r="V821" s="290"/>
      <c r="W821" s="290"/>
      <c r="X821" s="290"/>
      <c r="Y821" s="290"/>
      <c r="Z821" s="290"/>
      <c r="AA821" s="290"/>
      <c r="AB821" s="290"/>
      <c r="AC821" s="290"/>
      <c r="AD821" s="290"/>
      <c r="AE821" s="290"/>
      <c r="AF821" s="290"/>
      <c r="AG821" s="290"/>
      <c r="AH821" s="290"/>
      <c r="AI821" s="290"/>
      <c r="AJ821" s="290"/>
      <c r="AK821" s="290"/>
      <c r="AL821" s="290"/>
      <c r="AM821" s="290"/>
      <c r="AN821" s="290"/>
      <c r="AO821" s="290"/>
      <c r="AP821" s="290"/>
      <c r="AQ821" s="290"/>
      <c r="AR821" s="290"/>
      <c r="AS821" s="290"/>
      <c r="AT821" s="290"/>
      <c r="AU821" s="290"/>
      <c r="AV821" s="290"/>
      <c r="AW821" s="290"/>
      <c r="AX821" s="290"/>
      <c r="AY821" s="290"/>
      <c r="AZ821" s="290"/>
      <c r="BA821" s="290"/>
      <c r="BB821" s="290"/>
      <c r="BC821" s="290"/>
      <c r="BD821" s="290"/>
      <c r="BE821" s="290"/>
      <c r="BF821" s="290"/>
      <c r="BG821" s="290"/>
      <c r="BH821" s="290"/>
      <c r="BI821" s="290"/>
      <c r="BJ821" s="290"/>
      <c r="BK821" s="290"/>
      <c r="BL821" s="290"/>
      <c r="BM821" s="290"/>
      <c r="BN821" s="290"/>
      <c r="BO821" s="290"/>
      <c r="BP821" s="290"/>
      <c r="BQ821" s="290"/>
      <c r="BR821" s="290"/>
      <c r="BS821" s="290"/>
      <c r="BT821" s="290"/>
      <c r="BU821" s="290"/>
      <c r="BV821" s="290"/>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row>
    <row r="822" customFormat="false" ht="15.75" hidden="false" customHeight="false" outlineLevel="0" collapsed="false">
      <c r="A822" s="290"/>
      <c r="B822" s="290"/>
      <c r="C822" s="290"/>
      <c r="D822" s="290"/>
      <c r="E822" s="290"/>
      <c r="F822" s="290"/>
      <c r="G822" s="290"/>
      <c r="H822" s="290"/>
      <c r="I822" s="290"/>
      <c r="J822" s="3"/>
      <c r="K822" s="290"/>
      <c r="L822" s="290"/>
      <c r="M822" s="290"/>
      <c r="N822" s="290"/>
      <c r="O822" s="290"/>
      <c r="P822" s="290"/>
      <c r="Q822" s="290"/>
      <c r="R822" s="290"/>
      <c r="S822" s="290"/>
      <c r="T822" s="290"/>
      <c r="U822" s="290"/>
      <c r="V822" s="290"/>
      <c r="W822" s="290"/>
      <c r="X822" s="290"/>
      <c r="Y822" s="290"/>
      <c r="Z822" s="290"/>
      <c r="AA822" s="290"/>
      <c r="AB822" s="290"/>
      <c r="AC822" s="290"/>
      <c r="AD822" s="290"/>
      <c r="AE822" s="290"/>
      <c r="AF822" s="290"/>
      <c r="AG822" s="290"/>
      <c r="AH822" s="290"/>
      <c r="AI822" s="290"/>
      <c r="AJ822" s="290"/>
      <c r="AK822" s="290"/>
      <c r="AL822" s="290"/>
      <c r="AM822" s="290"/>
      <c r="AN822" s="290"/>
      <c r="AO822" s="290"/>
      <c r="AP822" s="290"/>
      <c r="AQ822" s="290"/>
      <c r="AR822" s="290"/>
      <c r="AS822" s="290"/>
      <c r="AT822" s="290"/>
      <c r="AU822" s="290"/>
      <c r="AV822" s="290"/>
      <c r="AW822" s="290"/>
      <c r="AX822" s="290"/>
      <c r="AY822" s="290"/>
      <c r="AZ822" s="290"/>
      <c r="BA822" s="290"/>
      <c r="BB822" s="290"/>
      <c r="BC822" s="290"/>
      <c r="BD822" s="290"/>
      <c r="BE822" s="290"/>
      <c r="BF822" s="290"/>
      <c r="BG822" s="290"/>
      <c r="BH822" s="290"/>
      <c r="BI822" s="290"/>
      <c r="BJ822" s="290"/>
      <c r="BK822" s="290"/>
      <c r="BL822" s="290"/>
      <c r="BM822" s="290"/>
      <c r="BN822" s="290"/>
      <c r="BO822" s="290"/>
      <c r="BP822" s="290"/>
      <c r="BQ822" s="290"/>
      <c r="BR822" s="290"/>
      <c r="BS822" s="290"/>
      <c r="BT822" s="290"/>
      <c r="BU822" s="290"/>
      <c r="BV822" s="290"/>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row>
    <row r="823" customFormat="false" ht="15.75" hidden="false" customHeight="false" outlineLevel="0" collapsed="false">
      <c r="A823" s="290"/>
      <c r="B823" s="290"/>
      <c r="C823" s="290"/>
      <c r="D823" s="290"/>
      <c r="E823" s="290"/>
      <c r="F823" s="290"/>
      <c r="G823" s="290"/>
      <c r="H823" s="290"/>
      <c r="I823" s="290"/>
      <c r="J823" s="3"/>
      <c r="K823" s="290"/>
      <c r="L823" s="290"/>
      <c r="M823" s="290"/>
      <c r="N823" s="290"/>
      <c r="O823" s="290"/>
      <c r="P823" s="290"/>
      <c r="Q823" s="290"/>
      <c r="R823" s="290"/>
      <c r="S823" s="290"/>
      <c r="T823" s="290"/>
      <c r="U823" s="290"/>
      <c r="V823" s="290"/>
      <c r="W823" s="290"/>
      <c r="X823" s="290"/>
      <c r="Y823" s="290"/>
      <c r="Z823" s="290"/>
      <c r="AA823" s="290"/>
      <c r="AB823" s="290"/>
      <c r="AC823" s="290"/>
      <c r="AD823" s="290"/>
      <c r="AE823" s="290"/>
      <c r="AF823" s="290"/>
      <c r="AG823" s="290"/>
      <c r="AH823" s="290"/>
      <c r="AI823" s="290"/>
      <c r="AJ823" s="290"/>
      <c r="AK823" s="290"/>
      <c r="AL823" s="290"/>
      <c r="AM823" s="290"/>
      <c r="AN823" s="290"/>
      <c r="AO823" s="290"/>
      <c r="AP823" s="290"/>
      <c r="AQ823" s="290"/>
      <c r="AR823" s="290"/>
      <c r="AS823" s="290"/>
      <c r="AT823" s="290"/>
      <c r="AU823" s="290"/>
      <c r="AV823" s="290"/>
      <c r="AW823" s="290"/>
      <c r="AX823" s="290"/>
      <c r="AY823" s="290"/>
      <c r="AZ823" s="290"/>
      <c r="BA823" s="290"/>
      <c r="BB823" s="290"/>
      <c r="BC823" s="290"/>
      <c r="BD823" s="290"/>
      <c r="BE823" s="290"/>
      <c r="BF823" s="290"/>
      <c r="BG823" s="290"/>
      <c r="BH823" s="290"/>
      <c r="BI823" s="290"/>
      <c r="BJ823" s="290"/>
      <c r="BK823" s="290"/>
      <c r="BL823" s="290"/>
      <c r="BM823" s="290"/>
      <c r="BN823" s="290"/>
      <c r="BO823" s="290"/>
      <c r="BP823" s="290"/>
      <c r="BQ823" s="290"/>
      <c r="BR823" s="290"/>
      <c r="BS823" s="290"/>
      <c r="BT823" s="290"/>
      <c r="BU823" s="290"/>
      <c r="BV823" s="290"/>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H10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1" topLeftCell="C2" activePane="bottomRight" state="frozen"/>
      <selection pane="topLeft" activeCell="A1" activeCellId="0" sqref="A1"/>
      <selection pane="topRight" activeCell="C1" activeCellId="0" sqref="C1"/>
      <selection pane="bottomLeft" activeCell="A2" activeCellId="0" sqref="A2"/>
      <selection pane="bottomRight" activeCell="C2" activeCellId="0" sqref="C2"/>
    </sheetView>
  </sheetViews>
  <sheetFormatPr defaultColWidth="12.640625" defaultRowHeight="15.75" zeroHeight="false" outlineLevelRow="0" outlineLevelCol="0"/>
  <cols>
    <col collapsed="false" customWidth="true" hidden="false" outlineLevel="0" max="1" min="1" style="0" width="32.49"/>
    <col collapsed="false" customWidth="true" hidden="false" outlineLevel="0" max="2" min="2" style="0" width="41.63"/>
    <col collapsed="false" customWidth="true" hidden="false" outlineLevel="0" max="3" min="3" style="0" width="12.75"/>
    <col collapsed="false" customWidth="true" hidden="false" outlineLevel="0" max="5" min="4" style="0" width="54.88"/>
    <col collapsed="false" customWidth="true" hidden="false" outlineLevel="0" max="6" min="6" style="0" width="14.62"/>
    <col collapsed="false" customWidth="true" hidden="false" outlineLevel="0" max="7" min="7" style="0" width="12.37"/>
    <col collapsed="false" customWidth="true" hidden="false" outlineLevel="0" max="8" min="8" style="0" width="11.88"/>
    <col collapsed="false" customWidth="true" hidden="false" outlineLevel="0" max="9" min="9" style="0" width="24.49"/>
    <col collapsed="false" customWidth="true" hidden="false" outlineLevel="0" max="11" min="10" style="0" width="10"/>
    <col collapsed="false" customWidth="true" hidden="false" outlineLevel="0" max="12" min="12" style="0" width="11.5"/>
    <col collapsed="false" customWidth="true" hidden="false" outlineLevel="0" max="13" min="13" style="0" width="10.12"/>
    <col collapsed="false" customWidth="true" hidden="false" outlineLevel="0" max="15" min="14" style="0" width="11.88"/>
    <col collapsed="false" customWidth="true" hidden="false" outlineLevel="0" max="16" min="16" style="0" width="9.63"/>
    <col collapsed="false" customWidth="true" hidden="false" outlineLevel="0" max="17" min="17" style="0" width="9.38"/>
    <col collapsed="false" customWidth="true" hidden="false" outlineLevel="0" max="19" min="18" style="0" width="10"/>
    <col collapsed="false" customWidth="true" hidden="false" outlineLevel="0" max="20" min="20" style="0" width="11.88"/>
    <col collapsed="false" customWidth="true" hidden="false" outlineLevel="0" max="21" min="21" style="0" width="17.88"/>
    <col collapsed="false" customWidth="true" hidden="false" outlineLevel="0" max="34" min="22" style="0" width="11.88"/>
  </cols>
  <sheetData>
    <row r="1" customFormat="false" ht="15.75" hidden="false" customHeight="false" outlineLevel="0" collapsed="false">
      <c r="A1" s="255" t="s">
        <v>8</v>
      </c>
      <c r="B1" s="6" t="s">
        <v>262</v>
      </c>
      <c r="C1" s="255" t="s">
        <v>1922</v>
      </c>
      <c r="D1" s="6" t="s">
        <v>1923</v>
      </c>
      <c r="E1" s="6" t="s">
        <v>1924</v>
      </c>
      <c r="F1" s="6" t="s">
        <v>1925</v>
      </c>
      <c r="G1" s="6" t="s">
        <v>1926</v>
      </c>
      <c r="H1" s="6" t="s">
        <v>1927</v>
      </c>
      <c r="I1" s="6" t="s">
        <v>1928</v>
      </c>
      <c r="J1" s="3" t="s">
        <v>1929</v>
      </c>
      <c r="K1" s="6" t="s">
        <v>1930</v>
      </c>
      <c r="L1" s="6" t="s">
        <v>1931</v>
      </c>
      <c r="M1" s="6" t="s">
        <v>1932</v>
      </c>
      <c r="N1" s="3" t="s">
        <v>1933</v>
      </c>
      <c r="O1" s="6" t="s">
        <v>1934</v>
      </c>
      <c r="P1" s="6" t="s">
        <v>1935</v>
      </c>
      <c r="Q1" s="6" t="s">
        <v>1936</v>
      </c>
      <c r="R1" s="3" t="s">
        <v>1937</v>
      </c>
      <c r="S1" s="6" t="s">
        <v>1938</v>
      </c>
      <c r="T1" s="6" t="s">
        <v>1939</v>
      </c>
      <c r="U1" s="6" t="s">
        <v>1940</v>
      </c>
      <c r="V1" s="6" t="s">
        <v>1941</v>
      </c>
      <c r="W1" s="6" t="s">
        <v>1942</v>
      </c>
      <c r="X1" s="6" t="s">
        <v>1943</v>
      </c>
      <c r="Y1" s="6" t="s">
        <v>1944</v>
      </c>
      <c r="Z1" s="6" t="s">
        <v>1945</v>
      </c>
      <c r="AA1" s="6" t="s">
        <v>1946</v>
      </c>
      <c r="AB1" s="6" t="s">
        <v>1947</v>
      </c>
      <c r="AC1" s="6" t="s">
        <v>1948</v>
      </c>
      <c r="AD1" s="6" t="s">
        <v>1949</v>
      </c>
      <c r="AE1" s="6" t="s">
        <v>1950</v>
      </c>
      <c r="AF1" s="6" t="s">
        <v>1951</v>
      </c>
      <c r="AG1" s="6" t="s">
        <v>643</v>
      </c>
      <c r="AH1" s="6" t="s">
        <v>1952</v>
      </c>
    </row>
    <row r="2" customFormat="false" ht="15.75" hidden="false" customHeight="false" outlineLevel="0" collapsed="false">
      <c r="A2" s="3" t="s">
        <v>1953</v>
      </c>
      <c r="B2" s="6" t="s">
        <v>1954</v>
      </c>
      <c r="C2" s="3"/>
      <c r="D2" s="6" t="str">
        <f aca="false">I2   &amp; IF(ISBLANK(M2),, ". "&amp; M2 &amp; IF(ISBLANK(Q2),, ". "&amp; Q2))</f>
        <v>MaxHP</v>
      </c>
      <c r="E2" s="6" t="str">
        <f aca="false">I2  &amp;": # on "&amp; L2  &amp; IF(ISBLANK(M2),, ". "&amp; M2 &amp;": # on "&amp; P2 &amp; IF(ISBLANK(Q2),, ". "&amp; Q2 &amp;": # on "&amp; T2))</f>
        <v>MaxHP: # on Self</v>
      </c>
      <c r="F2" s="6" t="str">
        <f aca="false">IF(U2,"active pal",)  &amp; IF(V2,"working",) &amp; IF(W2,"mounted",) &amp; IF(Y2,"in party (buff)",)  &amp; IF(Z2,"always",)</f>
        <v/>
      </c>
      <c r="G2" s="6" t="n">
        <v>1</v>
      </c>
      <c r="H2" s="6" t="s">
        <v>182</v>
      </c>
      <c r="I2" s="6" t="s">
        <v>1955</v>
      </c>
      <c r="J2" s="6" t="str">
        <f aca="false">IFERROR(__xludf.dummyfunction("IFS(I2=""ShotAttack"",""%"",I2=""MeleeAttack"",""%"", I2=""Defense"",""%"",I2=""CraftSPeed"",""%"",I2=""LifeSteal"",""%"",I2=""MaxInventoryWeight"",""+"",I2=""MoveSpeed"",""%"",REGEXMATCH(I2,""ElementAddItemDrop_""),""%"",I2=""Logging"",""+"",I2=""Mining"&amp;""",""+"",I2=""Maxhp"",""%"",REGEXMATCH(I2,""TemperatureResist_""),""+"",REGEXMATCH(I2,""ElementResist_""),""%"",REGEXMATCH(I2,""TemperatureInvalid_""),""bool"",REGEXMATCH(I2,""BodyPartsWeakDamage""),""%"",REGEXMATCH(I2,""ElementBoost_""),""%"",AND(REGEXMA"&amp;"TCH(B2,""GiveA""),REGEXMATCH(I2,""Element"")),""bool"")"),"%")</f>
        <v>%</v>
      </c>
      <c r="K2" s="6" t="n">
        <v>5</v>
      </c>
      <c r="L2" s="6" t="s">
        <v>1956</v>
      </c>
      <c r="M2" s="6"/>
      <c r="N2" s="6" t="str">
        <f aca="false">IFERROR(__xludf.dummyfunction("IFS(M2=""ShotAttack"",""%"",M2=""MeleeAttack"",""%"", M2=""Defense"",""%"",M2=""CraftSPeed"",""%"",M2=""LifeSteal"",""%"",M2=""MaxInventoryWeight"",""+"",M2=""MoveSpeed"",""%"",REGEXMATCH(M2,""ElementAddItemDrop_""),""%"",M2=""Logging"",""+"",M2=""Mining"&amp;""",""+"",M2=""Maxhp"",""%"",REGEXMATCH(M2,""TemperatureResist_""),""+"",REGEXMATCH(M2,""ElementResist_""),""%"",REGEXMATCH(M2,""TemperatureInvalid_""),""bool"",REGEXMATCH(M2,""BodyPartsWeakDamage""),""%"",REGEXMATCH(M2,""ElementBoost_""),""%"",AND(REGEXMA"&amp;"TCH(F2,""GiveA""),REGEXMATCH(M2,""Element"")),""bool"")"),"#N/A")</f>
        <v>#N/A</v>
      </c>
      <c r="O2" s="6" t="n">
        <v>0</v>
      </c>
      <c r="P2" s="6"/>
      <c r="Q2" s="6"/>
      <c r="R2" s="6" t="str">
        <f aca="false">IFERROR(__xludf.dummyfunction("IFS(Q2=""ShotAttack"",""%"",Q2=""MeleeAttack"",""%"", Q2=""Defense"",""%"",Q2=""CraftSPeed"",""%"",Q2=""LifeSteal"",""%"",Q2=""MaxInventoryWeight"",""+"",Q2=""MoveSpeed"",""%"",REGEXMATCH(Q2,""ElementAddItemDrop_""),""%"",Q2=""Logging"",""+"",Q2=""Mining"&amp;""",""+"",Q2=""Maxhp"",""%"",REGEXMATCH(Q2,""TemperatureResist_""),""+"",REGEXMATCH(Q2,""ElementResist_""),""%"",REGEXMATCH(Q2,""TemperatureInvalid_""),""bool"",REGEXMATCH(Q2,""BodyPartsWeakDamage""),""%"",REGEXMATCH(Q2,""ElementBoost_""),""%"",AND(REGEXMA"&amp;"TCH(J2,""GiveA""),REGEXMATCH(Q2,""Element"")),""bool"")"),"#N/A")</f>
        <v>#N/A</v>
      </c>
      <c r="S2" s="6" t="n">
        <v>0</v>
      </c>
      <c r="T2" s="6"/>
      <c r="U2" s="319" t="b">
        <f aca="false">FALSE()</f>
        <v>0</v>
      </c>
      <c r="V2" s="319" t="b">
        <f aca="false">FALSE()</f>
        <v>0</v>
      </c>
      <c r="W2" s="319" t="b">
        <f aca="false">FALSE()</f>
        <v>0</v>
      </c>
      <c r="X2" s="319" t="b">
        <f aca="false">FALSE()</f>
        <v>0</v>
      </c>
      <c r="Y2" s="319" t="b">
        <f aca="false">FALSE()</f>
        <v>0</v>
      </c>
      <c r="Z2" s="319" t="b">
        <f aca="false">FALSE()</f>
        <v>0</v>
      </c>
      <c r="AA2" s="319" t="b">
        <f aca="false">FALSE()</f>
        <v>0</v>
      </c>
      <c r="AB2" s="319" t="b">
        <f aca="false">FALSE()</f>
        <v>0</v>
      </c>
      <c r="AC2" s="319" t="b">
        <f aca="false">FALSE()</f>
        <v>0</v>
      </c>
      <c r="AD2" s="319" t="b">
        <f aca="false">TRUE()</f>
        <v>1</v>
      </c>
      <c r="AE2" s="319" t="b">
        <f aca="false">TRUE()</f>
        <v>1</v>
      </c>
      <c r="AF2" s="319" t="b">
        <f aca="false">TRUE()</f>
        <v>1</v>
      </c>
      <c r="AG2" s="6" t="s">
        <v>182</v>
      </c>
      <c r="AH2" s="6" t="s">
        <v>182</v>
      </c>
    </row>
    <row r="3" customFormat="false" ht="15.75" hidden="false" customHeight="false" outlineLevel="0" collapsed="false">
      <c r="A3" s="3" t="s">
        <v>1953</v>
      </c>
      <c r="B3" s="6" t="s">
        <v>1957</v>
      </c>
      <c r="C3" s="3"/>
      <c r="D3" s="6" t="str">
        <f aca="false">I3   &amp; IF(ISBLANK(M3),, ". "&amp; M3 &amp; IF(ISBLANK(Q3),, ". "&amp; Q3))</f>
        <v>MeleeAttack</v>
      </c>
      <c r="E3" s="6" t="str">
        <f aca="false">I3  &amp;": # on "&amp; L3  &amp; IF(ISBLANK(M3),, ". "&amp; M3 &amp;": # on "&amp; P3 &amp; IF(ISBLANK(Q3),, ". "&amp; Q3 &amp;": # on "&amp; T3))</f>
        <v>MeleeAttack: # on Self</v>
      </c>
      <c r="F3" s="6" t="str">
        <f aca="false">IF(U3,"active pal",)  &amp; IF(V3,"working",) &amp; IF(W3,"mounted",) &amp; IF(Y3,"in party (buff)",)  &amp; IF(Z3,"always",)</f>
        <v/>
      </c>
      <c r="G3" s="6" t="n">
        <v>1</v>
      </c>
      <c r="H3" s="6" t="s">
        <v>182</v>
      </c>
      <c r="I3" s="6" t="s">
        <v>658</v>
      </c>
      <c r="J3" s="6" t="str">
        <f aca="false">IFERROR(__xludf.dummyfunction("IFS(I3=""ShotAttack"",""%"",I3=""MeleeAttack"",""%"", I3=""Defense"",""%"",I3=""CraftSPeed"",""%"",I3=""LifeSteal"",""%"",I3=""MaxInventoryWeight"",""+"",I3=""MoveSpeed"",""%"",REGEXMATCH(I3,""ElementAddItemDrop_""),""%"",I3=""Logging"",""+"",I3=""Mining"&amp;""",""+"",I3=""Maxhp"",""%"",REGEXMATCH(I3,""TemperatureResist_""),""+"",REGEXMATCH(I3,""ElementResist_""),""%"",REGEXMATCH(I3,""TemperatureInvalid_""),""bool"",REGEXMATCH(I3,""BodyPartsWeakDamage""),""%"",REGEXMATCH(I3,""ElementBoost_""),""%"",AND(REGEXMA"&amp;"TCH(B3,""GiveA""),REGEXMATCH(I3,""Element"")),""bool"")"),"%")</f>
        <v>%</v>
      </c>
      <c r="K3" s="6" t="n">
        <v>5</v>
      </c>
      <c r="L3" s="6" t="s">
        <v>1956</v>
      </c>
      <c r="M3" s="6"/>
      <c r="N3" s="6" t="str">
        <f aca="false">IFERROR(__xludf.dummyfunction("IFS(M3=""ShotAttack"",""%"",M3=""MeleeAttack"",""%"", M3=""Defense"",""%"",M3=""CraftSPeed"",""%"",M3=""LifeSteal"",""%"",M3=""MaxInventoryWeight"",""+"",M3=""MoveSpeed"",""%"",REGEXMATCH(M3,""ElementAddItemDrop_""),""%"",M3=""Logging"",""+"",M3=""Mining"&amp;""",""+"",M3=""Maxhp"",""%"",REGEXMATCH(M3,""TemperatureResist_""),""+"",REGEXMATCH(M3,""ElementResist_""),""%"",REGEXMATCH(M3,""TemperatureInvalid_""),""bool"",REGEXMATCH(M3,""BodyPartsWeakDamage""),""%"",REGEXMATCH(M3,""ElementBoost_""),""%"",AND(REGEXMA"&amp;"TCH(F3,""GiveA""),REGEXMATCH(M3,""Element"")),""bool"")"),"#N/A")</f>
        <v>#N/A</v>
      </c>
      <c r="O3" s="6" t="n">
        <v>0</v>
      </c>
      <c r="P3" s="6"/>
      <c r="Q3" s="6"/>
      <c r="R3" s="6" t="str">
        <f aca="false">IFERROR(__xludf.dummyfunction("IFS(Q3=""ShotAttack"",""%"",Q3=""MeleeAttack"",""%"", Q3=""Defense"",""%"",Q3=""CraftSPeed"",""%"",Q3=""LifeSteal"",""%"",Q3=""MaxInventoryWeight"",""+"",Q3=""MoveSpeed"",""%"",REGEXMATCH(Q3,""ElementAddItemDrop_""),""%"",Q3=""Logging"",""+"",Q3=""Mining"&amp;""",""+"",Q3=""Maxhp"",""%"",REGEXMATCH(Q3,""TemperatureResist_""),""+"",REGEXMATCH(Q3,""ElementResist_""),""%"",REGEXMATCH(Q3,""TemperatureInvalid_""),""bool"",REGEXMATCH(Q3,""BodyPartsWeakDamage""),""%"",REGEXMATCH(Q3,""ElementBoost_""),""%"",AND(REGEXMA"&amp;"TCH(J3,""GiveA""),REGEXMATCH(Q3,""Element"")),""bool"")"),"#N/A")</f>
        <v>#N/A</v>
      </c>
      <c r="S3" s="6" t="n">
        <v>0</v>
      </c>
      <c r="T3" s="6"/>
      <c r="U3" s="319" t="b">
        <f aca="false">FALSE()</f>
        <v>0</v>
      </c>
      <c r="V3" s="319" t="b">
        <f aca="false">FALSE()</f>
        <v>0</v>
      </c>
      <c r="W3" s="319" t="b">
        <f aca="false">FALSE()</f>
        <v>0</v>
      </c>
      <c r="X3" s="319" t="b">
        <f aca="false">FALSE()</f>
        <v>0</v>
      </c>
      <c r="Y3" s="319" t="b">
        <f aca="false">FALSE()</f>
        <v>0</v>
      </c>
      <c r="Z3" s="319" t="b">
        <f aca="false">FALSE()</f>
        <v>0</v>
      </c>
      <c r="AA3" s="319" t="b">
        <f aca="false">FALSE()</f>
        <v>0</v>
      </c>
      <c r="AB3" s="319" t="b">
        <f aca="false">FALSE()</f>
        <v>0</v>
      </c>
      <c r="AC3" s="319" t="b">
        <f aca="false">FALSE()</f>
        <v>0</v>
      </c>
      <c r="AD3" s="319" t="b">
        <f aca="false">TRUE()</f>
        <v>1</v>
      </c>
      <c r="AE3" s="319" t="b">
        <f aca="false">FALSE()</f>
        <v>0</v>
      </c>
      <c r="AF3" s="319" t="b">
        <f aca="false">FALSE()</f>
        <v>0</v>
      </c>
      <c r="AG3" s="6" t="s">
        <v>182</v>
      </c>
      <c r="AH3" s="6" t="s">
        <v>182</v>
      </c>
    </row>
    <row r="4" customFormat="false" ht="15.75" hidden="false" customHeight="false" outlineLevel="0" collapsed="false">
      <c r="A4" s="3" t="s">
        <v>1953</v>
      </c>
      <c r="B4" s="6" t="s">
        <v>1958</v>
      </c>
      <c r="C4" s="3"/>
      <c r="D4" s="6" t="str">
        <f aca="false">I4   &amp; IF(ISBLANK(M4),, ". "&amp; M4 &amp; IF(ISBLANK(Q4),, ". "&amp; Q4))</f>
        <v>ShotAttack</v>
      </c>
      <c r="E4" s="6" t="str">
        <f aca="false">I4  &amp;": # on "&amp; L4  &amp; IF(ISBLANK(M4),, ". "&amp; M4 &amp;": # on "&amp; P4 &amp; IF(ISBLANK(Q4),, ". "&amp; Q4 &amp;": # on "&amp; T4))</f>
        <v>ShotAttack: # on Self</v>
      </c>
      <c r="F4" s="6" t="str">
        <f aca="false">IF(U4,"active pal",)  &amp; IF(V4,"working",) &amp; IF(W4,"mounted",) &amp; IF(Y4,"in party (buff)",)  &amp; IF(Z4,"always",)</f>
        <v/>
      </c>
      <c r="G4" s="6" t="n">
        <v>1</v>
      </c>
      <c r="H4" s="6" t="s">
        <v>182</v>
      </c>
      <c r="I4" s="6" t="s">
        <v>659</v>
      </c>
      <c r="J4" s="6" t="str">
        <f aca="false">IFERROR(__xludf.dummyfunction("IFS(I4=""ShotAttack"",""%"",I4=""MeleeAttack"",""%"", I4=""Defense"",""%"",I4=""CraftSPeed"",""%"",I4=""LifeSteal"",""%"",I4=""MaxInventoryWeight"",""+"",I4=""MoveSpeed"",""%"",REGEXMATCH(I4,""ElementAddItemDrop_""),""%"",I4=""Logging"",""+"",I4=""Mining"&amp;""",""+"",I4=""Maxhp"",""%"",REGEXMATCH(I4,""TemperatureResist_""),""+"",REGEXMATCH(I4,""ElementResist_""),""%"",REGEXMATCH(I4,""TemperatureInvalid_""),""bool"",REGEXMATCH(I4,""BodyPartsWeakDamage""),""%"",REGEXMATCH(I4,""ElementBoost_""),""%"",AND(REGEXMA"&amp;"TCH(B4,""GiveA""),REGEXMATCH(I4,""Element"")),""bool"")"),"%")</f>
        <v>%</v>
      </c>
      <c r="K4" s="6" t="n">
        <v>5</v>
      </c>
      <c r="L4" s="6" t="s">
        <v>1956</v>
      </c>
      <c r="M4" s="6"/>
      <c r="N4" s="6" t="str">
        <f aca="false">IFERROR(__xludf.dummyfunction("IFS(M4=""ShotAttack"",""%"",M4=""MeleeAttack"",""%"", M4=""Defense"",""%"",M4=""CraftSPeed"",""%"",M4=""LifeSteal"",""%"",M4=""MaxInventoryWeight"",""+"",M4=""MoveSpeed"",""%"",REGEXMATCH(M4,""ElementAddItemDrop_""),""%"",M4=""Logging"",""+"",M4=""Mining"&amp;""",""+"",M4=""Maxhp"",""%"",REGEXMATCH(M4,""TemperatureResist_""),""+"",REGEXMATCH(M4,""ElementResist_""),""%"",REGEXMATCH(M4,""TemperatureInvalid_""),""bool"",REGEXMATCH(M4,""BodyPartsWeakDamage""),""%"",REGEXMATCH(M4,""ElementBoost_""),""%"",AND(REGEXMA"&amp;"TCH(F4,""GiveA""),REGEXMATCH(M4,""Element"")),""bool"")"),"#N/A")</f>
        <v>#N/A</v>
      </c>
      <c r="O4" s="6" t="n">
        <v>0</v>
      </c>
      <c r="P4" s="6"/>
      <c r="Q4" s="6"/>
      <c r="R4" s="6" t="str">
        <f aca="false">IFERROR(__xludf.dummyfunction("IFS(Q4=""ShotAttack"",""%"",Q4=""MeleeAttack"",""%"", Q4=""Defense"",""%"",Q4=""CraftSPeed"",""%"",Q4=""LifeSteal"",""%"",Q4=""MaxInventoryWeight"",""+"",Q4=""MoveSpeed"",""%"",REGEXMATCH(Q4,""ElementAddItemDrop_""),""%"",Q4=""Logging"",""+"",Q4=""Mining"&amp;""",""+"",Q4=""Maxhp"",""%"",REGEXMATCH(Q4,""TemperatureResist_""),""+"",REGEXMATCH(Q4,""ElementResist_""),""%"",REGEXMATCH(Q4,""TemperatureInvalid_""),""bool"",REGEXMATCH(Q4,""BodyPartsWeakDamage""),""%"",REGEXMATCH(Q4,""ElementBoost_""),""%"",AND(REGEXMA"&amp;"TCH(J4,""GiveA""),REGEXMATCH(Q4,""Element"")),""bool"")"),"#N/A")</f>
        <v>#N/A</v>
      </c>
      <c r="S4" s="6" t="n">
        <v>0</v>
      </c>
      <c r="T4" s="6"/>
      <c r="U4" s="319" t="b">
        <f aca="false">FALSE()</f>
        <v>0</v>
      </c>
      <c r="V4" s="319" t="b">
        <f aca="false">FALSE()</f>
        <v>0</v>
      </c>
      <c r="W4" s="319" t="b">
        <f aca="false">FALSE()</f>
        <v>0</v>
      </c>
      <c r="X4" s="319" t="b">
        <f aca="false">FALSE()</f>
        <v>0</v>
      </c>
      <c r="Y4" s="319" t="b">
        <f aca="false">FALSE()</f>
        <v>0</v>
      </c>
      <c r="Z4" s="319" t="b">
        <f aca="false">FALSE()</f>
        <v>0</v>
      </c>
      <c r="AA4" s="319" t="b">
        <f aca="false">FALSE()</f>
        <v>0</v>
      </c>
      <c r="AB4" s="319" t="b">
        <f aca="false">FALSE()</f>
        <v>0</v>
      </c>
      <c r="AC4" s="319" t="b">
        <f aca="false">FALSE()</f>
        <v>0</v>
      </c>
      <c r="AD4" s="319" t="b">
        <f aca="false">FALSE()</f>
        <v>0</v>
      </c>
      <c r="AE4" s="319" t="b">
        <f aca="false">FALSE()</f>
        <v>0</v>
      </c>
      <c r="AF4" s="319" t="b">
        <f aca="false">FALSE()</f>
        <v>0</v>
      </c>
      <c r="AG4" s="6" t="s">
        <v>182</v>
      </c>
      <c r="AH4" s="6" t="s">
        <v>182</v>
      </c>
    </row>
    <row r="5" customFormat="false" ht="15.75" hidden="false" customHeight="false" outlineLevel="0" collapsed="false">
      <c r="A5" s="3" t="s">
        <v>1953</v>
      </c>
      <c r="B5" s="6" t="s">
        <v>1959</v>
      </c>
      <c r="C5" s="3"/>
      <c r="D5" s="6" t="str">
        <f aca="false">I5   &amp; IF(ISBLANK(M5),, ". "&amp; M5 &amp; IF(ISBLANK(Q5),, ". "&amp; Q5))</f>
        <v>Defense</v>
      </c>
      <c r="E5" s="6" t="str">
        <f aca="false">I5  &amp;": # on "&amp; L5  &amp; IF(ISBLANK(M5),, ". "&amp; M5 &amp;": # on "&amp; P5 &amp; IF(ISBLANK(Q5),, ". "&amp; Q5 &amp;": # on "&amp; T5))</f>
        <v>Defense: # on Self</v>
      </c>
      <c r="F5" s="6" t="str">
        <f aca="false">IF(U5,"active pal",)  &amp; IF(V5,"working",) &amp; IF(W5,"mounted",) &amp; IF(Y5,"in party (buff)",)  &amp; IF(Z5,"always",)</f>
        <v/>
      </c>
      <c r="G5" s="6" t="n">
        <v>1</v>
      </c>
      <c r="H5" s="6" t="s">
        <v>182</v>
      </c>
      <c r="I5" s="6" t="s">
        <v>175</v>
      </c>
      <c r="J5" s="6" t="str">
        <f aca="false">IFERROR(__xludf.dummyfunction("IFS(I5=""ShotAttack"",""%"",I5=""MeleeAttack"",""%"", I5=""Defense"",""%"",I5=""CraftSPeed"",""%"",I5=""LifeSteal"",""%"",I5=""MaxInventoryWeight"",""+"",I5=""MoveSpeed"",""%"",REGEXMATCH(I5,""ElementAddItemDrop_""),""%"",I5=""Logging"",""+"",I5=""Mining"&amp;""",""+"",I5=""Maxhp"",""%"",REGEXMATCH(I5,""TemperatureResist_""),""+"",REGEXMATCH(I5,""ElementResist_""),""%"",REGEXMATCH(I5,""TemperatureInvalid_""),""bool"",REGEXMATCH(I5,""BodyPartsWeakDamage""),""%"",REGEXMATCH(I5,""ElementBoost_""),""%"",AND(REGEXMA"&amp;"TCH(B5,""GiveA""),REGEXMATCH(I5,""Element"")),""bool"")"),"%")</f>
        <v>%</v>
      </c>
      <c r="K5" s="6" t="n">
        <v>5</v>
      </c>
      <c r="L5" s="6" t="s">
        <v>1956</v>
      </c>
      <c r="M5" s="6"/>
      <c r="N5" s="6" t="str">
        <f aca="false">IFERROR(__xludf.dummyfunction("IFS(M5=""ShotAttack"",""%"",M5=""MeleeAttack"",""%"", M5=""Defense"",""%"",M5=""CraftSPeed"",""%"",M5=""LifeSteal"",""%"",M5=""MaxInventoryWeight"",""+"",M5=""MoveSpeed"",""%"",REGEXMATCH(M5,""ElementAddItemDrop_""),""%"",M5=""Logging"",""+"",M5=""Mining"&amp;""",""+"",M5=""Maxhp"",""%"",REGEXMATCH(M5,""TemperatureResist_""),""+"",REGEXMATCH(M5,""ElementResist_""),""%"",REGEXMATCH(M5,""TemperatureInvalid_""),""bool"",REGEXMATCH(M5,""BodyPartsWeakDamage""),""%"",REGEXMATCH(M5,""ElementBoost_""),""%"",AND(REGEXMA"&amp;"TCH(F5,""GiveA""),REGEXMATCH(M5,""Element"")),""bool"")"),"#N/A")</f>
        <v>#N/A</v>
      </c>
      <c r="O5" s="6" t="n">
        <v>0</v>
      </c>
      <c r="P5" s="6"/>
      <c r="Q5" s="6"/>
      <c r="R5" s="6" t="str">
        <f aca="false">IFERROR(__xludf.dummyfunction("IFS(Q5=""ShotAttack"",""%"",Q5=""MeleeAttack"",""%"", Q5=""Defense"",""%"",Q5=""CraftSPeed"",""%"",Q5=""LifeSteal"",""%"",Q5=""MaxInventoryWeight"",""+"",Q5=""MoveSpeed"",""%"",REGEXMATCH(Q5,""ElementAddItemDrop_""),""%"",Q5=""Logging"",""+"",Q5=""Mining"&amp;""",""+"",Q5=""Maxhp"",""%"",REGEXMATCH(Q5,""TemperatureResist_""),""+"",REGEXMATCH(Q5,""ElementResist_""),""%"",REGEXMATCH(Q5,""TemperatureInvalid_""),""bool"",REGEXMATCH(Q5,""BodyPartsWeakDamage""),""%"",REGEXMATCH(Q5,""ElementBoost_""),""%"",AND(REGEXMA"&amp;"TCH(J5,""GiveA""),REGEXMATCH(Q5,""Element"")),""bool"")"),"#N/A")</f>
        <v>#N/A</v>
      </c>
      <c r="S5" s="6" t="n">
        <v>0</v>
      </c>
      <c r="T5" s="6"/>
      <c r="U5" s="319" t="b">
        <f aca="false">FALSE()</f>
        <v>0</v>
      </c>
      <c r="V5" s="319" t="b">
        <f aca="false">FALSE()</f>
        <v>0</v>
      </c>
      <c r="W5" s="319" t="b">
        <f aca="false">FALSE()</f>
        <v>0</v>
      </c>
      <c r="X5" s="319" t="b">
        <f aca="false">FALSE()</f>
        <v>0</v>
      </c>
      <c r="Y5" s="319" t="b">
        <f aca="false">FALSE()</f>
        <v>0</v>
      </c>
      <c r="Z5" s="319" t="b">
        <f aca="false">FALSE()</f>
        <v>0</v>
      </c>
      <c r="AA5" s="319" t="b">
        <f aca="false">FALSE()</f>
        <v>0</v>
      </c>
      <c r="AB5" s="319" t="b">
        <f aca="false">FALSE()</f>
        <v>0</v>
      </c>
      <c r="AC5" s="319" t="b">
        <f aca="false">FALSE()</f>
        <v>0</v>
      </c>
      <c r="AD5" s="319" t="b">
        <f aca="false">FALSE()</f>
        <v>0</v>
      </c>
      <c r="AE5" s="319" t="b">
        <f aca="false">FALSE()</f>
        <v>0</v>
      </c>
      <c r="AF5" s="319" t="b">
        <f aca="false">FALSE()</f>
        <v>0</v>
      </c>
      <c r="AG5" s="6" t="s">
        <v>182</v>
      </c>
      <c r="AH5" s="6" t="s">
        <v>182</v>
      </c>
    </row>
    <row r="6" customFormat="false" ht="15.75" hidden="false" customHeight="false" outlineLevel="0" collapsed="false">
      <c r="A6" s="3" t="s">
        <v>1953</v>
      </c>
      <c r="B6" s="6" t="s">
        <v>1960</v>
      </c>
      <c r="C6" s="3"/>
      <c r="D6" s="6" t="str">
        <f aca="false">I6   &amp; IF(ISBLANK(M6),, ". "&amp; M6 &amp; IF(ISBLANK(Q6),, ". "&amp; Q6))</f>
        <v>Support</v>
      </c>
      <c r="E6" s="6" t="str">
        <f aca="false">I6  &amp;": # on "&amp; L6  &amp; IF(ISBLANK(M6),, ". "&amp; M6 &amp;": # on "&amp; P6 &amp; IF(ISBLANK(Q6),, ". "&amp; Q6 &amp;": # on "&amp; T6))</f>
        <v>Support: # on Self</v>
      </c>
      <c r="F6" s="6" t="str">
        <f aca="false">IF(U6,"active pal",)  &amp; IF(V6,"working",) &amp; IF(W6,"mounted",) &amp; IF(Y6,"in party (buff)",)  &amp; IF(Z6,"always",)</f>
        <v/>
      </c>
      <c r="G6" s="6" t="n">
        <v>1</v>
      </c>
      <c r="H6" s="6" t="s">
        <v>182</v>
      </c>
      <c r="I6" s="6" t="s">
        <v>660</v>
      </c>
      <c r="J6" s="6" t="str">
        <f aca="false">IFERROR(__xludf.dummyfunction("IFS(I6=""ShotAttack"",""%"",I6=""MeleeAttack"",""%"", I6=""Defense"",""%"",I6=""CraftSPeed"",""%"",I6=""LifeSteal"",""%"",I6=""MaxInventoryWeight"",""+"",I6=""MoveSpeed"",""%"",REGEXMATCH(I6,""ElementAddItemDrop_""),""%"",I6=""Logging"",""+"",I6=""Mining"&amp;""",""+"",I6=""Maxhp"",""%"",REGEXMATCH(I6,""TemperatureResist_""),""+"",REGEXMATCH(I6,""ElementResist_""),""%"",REGEXMATCH(I6,""TemperatureInvalid_""),""bool"",REGEXMATCH(I6,""BodyPartsWeakDamage""),""%"",REGEXMATCH(I6,""ElementBoost_""),""%"",AND(REGEXMA"&amp;"TCH(B6,""GiveA""),REGEXMATCH(I6,""Element"")),""bool"")"),"#N/A")</f>
        <v>#N/A</v>
      </c>
      <c r="K6" s="6" t="n">
        <v>5</v>
      </c>
      <c r="L6" s="6" t="s">
        <v>1956</v>
      </c>
      <c r="M6" s="6"/>
      <c r="N6" s="6" t="str">
        <f aca="false">IFERROR(__xludf.dummyfunction("IFS(M6=""ShotAttack"",""%"",M6=""MeleeAttack"",""%"", M6=""Defense"",""%"",M6=""CraftSPeed"",""%"",M6=""LifeSteal"",""%"",M6=""MaxInventoryWeight"",""+"",M6=""MoveSpeed"",""%"",REGEXMATCH(M6,""ElementAddItemDrop_""),""%"",M6=""Logging"",""+"",M6=""Mining"&amp;""",""+"",M6=""Maxhp"",""%"",REGEXMATCH(M6,""TemperatureResist_""),""+"",REGEXMATCH(M6,""ElementResist_""),""%"",REGEXMATCH(M6,""TemperatureInvalid_""),""bool"",REGEXMATCH(M6,""BodyPartsWeakDamage""),""%"",REGEXMATCH(M6,""ElementBoost_""),""%"",AND(REGEXMA"&amp;"TCH(F6,""GiveA""),REGEXMATCH(M6,""Element"")),""bool"")"),"#N/A")</f>
        <v>#N/A</v>
      </c>
      <c r="O6" s="6" t="n">
        <v>0</v>
      </c>
      <c r="P6" s="6"/>
      <c r="Q6" s="6"/>
      <c r="R6" s="6" t="str">
        <f aca="false">IFERROR(__xludf.dummyfunction("IFS(Q6=""ShotAttack"",""%"",Q6=""MeleeAttack"",""%"", Q6=""Defense"",""%"",Q6=""CraftSPeed"",""%"",Q6=""LifeSteal"",""%"",Q6=""MaxInventoryWeight"",""+"",Q6=""MoveSpeed"",""%"",REGEXMATCH(Q6,""ElementAddItemDrop_""),""%"",Q6=""Logging"",""+"",Q6=""Mining"&amp;""",""+"",Q6=""Maxhp"",""%"",REGEXMATCH(Q6,""TemperatureResist_""),""+"",REGEXMATCH(Q6,""ElementResist_""),""%"",REGEXMATCH(Q6,""TemperatureInvalid_""),""bool"",REGEXMATCH(Q6,""BodyPartsWeakDamage""),""%"",REGEXMATCH(Q6,""ElementBoost_""),""%"",AND(REGEXMA"&amp;"TCH(J6,""GiveA""),REGEXMATCH(Q6,""Element"")),""bool"")"),"#N/A")</f>
        <v>#N/A</v>
      </c>
      <c r="S6" s="6" t="n">
        <v>0</v>
      </c>
      <c r="T6" s="6"/>
      <c r="U6" s="319" t="b">
        <f aca="false">FALSE()</f>
        <v>0</v>
      </c>
      <c r="V6" s="319" t="b">
        <f aca="false">FALSE()</f>
        <v>0</v>
      </c>
      <c r="W6" s="319" t="b">
        <f aca="false">FALSE()</f>
        <v>0</v>
      </c>
      <c r="X6" s="319" t="b">
        <f aca="false">FALSE()</f>
        <v>0</v>
      </c>
      <c r="Y6" s="319" t="b">
        <f aca="false">FALSE()</f>
        <v>0</v>
      </c>
      <c r="Z6" s="319" t="b">
        <f aca="false">FALSE()</f>
        <v>0</v>
      </c>
      <c r="AA6" s="319" t="b">
        <f aca="false">FALSE()</f>
        <v>0</v>
      </c>
      <c r="AB6" s="319" t="b">
        <f aca="false">FALSE()</f>
        <v>0</v>
      </c>
      <c r="AC6" s="319" t="b">
        <f aca="false">FALSE()</f>
        <v>0</v>
      </c>
      <c r="AD6" s="319" t="b">
        <f aca="false">FALSE()</f>
        <v>0</v>
      </c>
      <c r="AE6" s="319" t="b">
        <f aca="false">FALSE()</f>
        <v>0</v>
      </c>
      <c r="AF6" s="319" t="b">
        <f aca="false">FALSE()</f>
        <v>0</v>
      </c>
      <c r="AG6" s="6" t="s">
        <v>182</v>
      </c>
      <c r="AH6" s="6" t="s">
        <v>182</v>
      </c>
    </row>
    <row r="7" customFormat="false" ht="15.75" hidden="false" customHeight="false" outlineLevel="0" collapsed="false">
      <c r="A7" s="3" t="s">
        <v>1953</v>
      </c>
      <c r="B7" s="6" t="s">
        <v>1961</v>
      </c>
      <c r="C7" s="3"/>
      <c r="D7" s="6" t="str">
        <f aca="false">I7   &amp; IF(ISBLANK(M7),, ". "&amp; M7 &amp; IF(ISBLANK(Q7),, ". "&amp; Q7))</f>
        <v>CraftSpeed</v>
      </c>
      <c r="E7" s="6" t="str">
        <f aca="false">I7  &amp;": # on "&amp; L7  &amp; IF(ISBLANK(M7),, ". "&amp; M7 &amp;": # on "&amp; P7 &amp; IF(ISBLANK(Q7),, ". "&amp; Q7 &amp;": # on "&amp; T7))</f>
        <v>CraftSpeed: # on Self</v>
      </c>
      <c r="F7" s="6" t="str">
        <f aca="false">IF(U7,"active pal",)  &amp; IF(V7,"working",) &amp; IF(W7,"mounted",) &amp; IF(Y7,"in party (buff)",)  &amp; IF(Z7,"always",)</f>
        <v/>
      </c>
      <c r="G7" s="6" t="n">
        <v>1</v>
      </c>
      <c r="H7" s="6" t="s">
        <v>182</v>
      </c>
      <c r="I7" s="6" t="s">
        <v>661</v>
      </c>
      <c r="J7" s="6" t="str">
        <f aca="false">IFERROR(__xludf.dummyfunction("IFS(I7=""ShotAttack"",""%"",I7=""MeleeAttack"",""%"", I7=""Defense"",""%"",I7=""CraftSPeed"",""%"",I7=""LifeSteal"",""%"",I7=""MaxInventoryWeight"",""+"",I7=""MoveSpeed"",""%"",REGEXMATCH(I7,""ElementAddItemDrop_""),""%"",I7=""Logging"",""+"",I7=""Mining"&amp;""",""+"",I7=""Maxhp"",""%"",REGEXMATCH(I7,""TemperatureResist_""),""+"",REGEXMATCH(I7,""ElementResist_""),""%"",REGEXMATCH(I7,""TemperatureInvalid_""),""bool"",REGEXMATCH(I7,""BodyPartsWeakDamage""),""%"",REGEXMATCH(I7,""ElementBoost_""),""%"",AND(REGEXMA"&amp;"TCH(B7,""GiveA""),REGEXMATCH(I7,""Element"")),""bool"")"),"%")</f>
        <v>%</v>
      </c>
      <c r="K7" s="6" t="n">
        <v>5</v>
      </c>
      <c r="L7" s="6" t="s">
        <v>1956</v>
      </c>
      <c r="M7" s="6"/>
      <c r="N7" s="6" t="str">
        <f aca="false">IFERROR(__xludf.dummyfunction("IFS(M7=""ShotAttack"",""%"",M7=""MeleeAttack"",""%"", M7=""Defense"",""%"",M7=""CraftSPeed"",""%"",M7=""LifeSteal"",""%"",M7=""MaxInventoryWeight"",""+"",M7=""MoveSpeed"",""%"",REGEXMATCH(M7,""ElementAddItemDrop_""),""%"",M7=""Logging"",""+"",M7=""Mining"&amp;""",""+"",M7=""Maxhp"",""%"",REGEXMATCH(M7,""TemperatureResist_""),""+"",REGEXMATCH(M7,""ElementResist_""),""%"",REGEXMATCH(M7,""TemperatureInvalid_""),""bool"",REGEXMATCH(M7,""BodyPartsWeakDamage""),""%"",REGEXMATCH(M7,""ElementBoost_""),""%"",AND(REGEXMA"&amp;"TCH(F7,""GiveA""),REGEXMATCH(M7,""Element"")),""bool"")"),"#N/A")</f>
        <v>#N/A</v>
      </c>
      <c r="O7" s="6" t="n">
        <v>0</v>
      </c>
      <c r="P7" s="6"/>
      <c r="Q7" s="6"/>
      <c r="R7" s="6" t="str">
        <f aca="false">IFERROR(__xludf.dummyfunction("IFS(Q7=""ShotAttack"",""%"",Q7=""MeleeAttack"",""%"", Q7=""Defense"",""%"",Q7=""CraftSPeed"",""%"",Q7=""LifeSteal"",""%"",Q7=""MaxInventoryWeight"",""+"",Q7=""MoveSpeed"",""%"",REGEXMATCH(Q7,""ElementAddItemDrop_""),""%"",Q7=""Logging"",""+"",Q7=""Mining"&amp;""",""+"",Q7=""Maxhp"",""%"",REGEXMATCH(Q7,""TemperatureResist_""),""+"",REGEXMATCH(Q7,""ElementResist_""),""%"",REGEXMATCH(Q7,""TemperatureInvalid_""),""bool"",REGEXMATCH(Q7,""BodyPartsWeakDamage""),""%"",REGEXMATCH(Q7,""ElementBoost_""),""%"",AND(REGEXMA"&amp;"TCH(J7,""GiveA""),REGEXMATCH(Q7,""Element"")),""bool"")"),"#N/A")</f>
        <v>#N/A</v>
      </c>
      <c r="S7" s="6" t="n">
        <v>0</v>
      </c>
      <c r="T7" s="6"/>
      <c r="U7" s="319" t="b">
        <f aca="false">FALSE()</f>
        <v>0</v>
      </c>
      <c r="V7" s="319" t="b">
        <f aca="false">FALSE()</f>
        <v>0</v>
      </c>
      <c r="W7" s="319" t="b">
        <f aca="false">FALSE()</f>
        <v>0</v>
      </c>
      <c r="X7" s="319" t="b">
        <f aca="false">FALSE()</f>
        <v>0</v>
      </c>
      <c r="Y7" s="319" t="b">
        <f aca="false">FALSE()</f>
        <v>0</v>
      </c>
      <c r="Z7" s="319" t="b">
        <f aca="false">FALSE()</f>
        <v>0</v>
      </c>
      <c r="AA7" s="319" t="b">
        <f aca="false">FALSE()</f>
        <v>0</v>
      </c>
      <c r="AB7" s="319" t="b">
        <f aca="false">FALSE()</f>
        <v>0</v>
      </c>
      <c r="AC7" s="319" t="b">
        <f aca="false">FALSE()</f>
        <v>0</v>
      </c>
      <c r="AD7" s="319" t="b">
        <f aca="false">FALSE()</f>
        <v>0</v>
      </c>
      <c r="AE7" s="319" t="b">
        <f aca="false">FALSE()</f>
        <v>0</v>
      </c>
      <c r="AF7" s="319" t="b">
        <f aca="false">FALSE()</f>
        <v>0</v>
      </c>
      <c r="AG7" s="6" t="s">
        <v>182</v>
      </c>
      <c r="AH7" s="6" t="s">
        <v>182</v>
      </c>
    </row>
    <row r="8" customFormat="false" ht="15.75" hidden="false" customHeight="false" outlineLevel="0" collapsed="false">
      <c r="A8" s="3" t="s">
        <v>1953</v>
      </c>
      <c r="B8" s="6" t="s">
        <v>1962</v>
      </c>
      <c r="C8" s="3"/>
      <c r="D8" s="6" t="str">
        <f aca="false">I8   &amp; IF(ISBLANK(M8),, ". "&amp; M8 &amp; IF(ISBLANK(Q8),, ". "&amp; Q8))</f>
        <v>Defense. MeleeAttack. ShotAttack</v>
      </c>
      <c r="E8" s="6" t="str">
        <f aca="false">I8  &amp;": # on "&amp; L8  &amp; IF(ISBLANK(M8),, ". "&amp; M8 &amp;": # on "&amp; P8 &amp; IF(ISBLANK(Q8),, ". "&amp; Q8 &amp;": # on "&amp; T8))</f>
        <v>Defense: # on Self. MeleeAttack: # on Self. ShotAttack: # on Self</v>
      </c>
      <c r="F8" s="6" t="str">
        <f aca="false">IF(U8,"active pal",)  &amp; IF(V8,"working",) &amp; IF(W8,"mounted",) &amp; IF(Y8,"in party (buff)",)  &amp; IF(Z8,"always",)</f>
        <v/>
      </c>
      <c r="G8" s="6" t="n">
        <v>1</v>
      </c>
      <c r="H8" s="6" t="s">
        <v>182</v>
      </c>
      <c r="I8" s="6" t="s">
        <v>175</v>
      </c>
      <c r="J8" s="6" t="str">
        <f aca="false">IFERROR(__xludf.dummyfunction("IFS(I8=""ShotAttack"",""%"",I8=""MeleeAttack"",""%"", I8=""Defense"",""%"",I8=""CraftSPeed"",""%"",I8=""LifeSteal"",""%"",I8=""MaxInventoryWeight"",""+"",I8=""MoveSpeed"",""%"",REGEXMATCH(I8,""ElementAddItemDrop_""),""%"",I8=""Logging"",""+"",I8=""Mining"&amp;""",""+"",I8=""Maxhp"",""%"",REGEXMATCH(I8,""TemperatureResist_""),""+"",REGEXMATCH(I8,""ElementResist_""),""%"",REGEXMATCH(I8,""TemperatureInvalid_""),""bool"",REGEXMATCH(I8,""BodyPartsWeakDamage""),""%"",REGEXMATCH(I8,""ElementBoost_""),""%"",AND(REGEXMA"&amp;"TCH(B8,""GiveA""),REGEXMATCH(I8,""Element"")),""bool"")"),"%")</f>
        <v>%</v>
      </c>
      <c r="K8" s="6" t="n">
        <v>20</v>
      </c>
      <c r="L8" s="6" t="s">
        <v>1956</v>
      </c>
      <c r="M8" s="6" t="s">
        <v>658</v>
      </c>
      <c r="N8" s="6" t="str">
        <f aca="false">IFERROR(__xludf.dummyfunction("IFS(M8=""ShotAttack"",""%"",M8=""MeleeAttack"",""%"", M8=""Defense"",""%"",M8=""CraftSPeed"",""%"",M8=""LifeSteal"",""%"",M8=""MaxInventoryWeight"",""+"",M8=""MoveSpeed"",""%"",REGEXMATCH(M8,""ElementAddItemDrop_""),""%"",M8=""Logging"",""+"",M8=""Mining"&amp;""",""+"",M8=""Maxhp"",""%"",REGEXMATCH(M8,""TemperatureResist_""),""+"",REGEXMATCH(M8,""ElementResist_""),""%"",REGEXMATCH(M8,""TemperatureInvalid_""),""bool"",REGEXMATCH(M8,""BodyPartsWeakDamage""),""%"",REGEXMATCH(M8,""ElementBoost_""),""%"",AND(REGEXMA"&amp;"TCH(F8,""GiveA""),REGEXMATCH(M8,""Element"")),""bool"")"),"%")</f>
        <v>%</v>
      </c>
      <c r="O8" s="6" t="n">
        <v>-10</v>
      </c>
      <c r="P8" s="6" t="s">
        <v>1956</v>
      </c>
      <c r="Q8" s="6" t="s">
        <v>659</v>
      </c>
      <c r="R8" s="6" t="str">
        <f aca="false">IFERROR(__xludf.dummyfunction("IFS(Q8=""ShotAttack"",""%"",Q8=""MeleeAttack"",""%"", Q8=""Defense"",""%"",Q8=""CraftSPeed"",""%"",Q8=""LifeSteal"",""%"",Q8=""MaxInventoryWeight"",""+"",Q8=""MoveSpeed"",""%"",REGEXMATCH(Q8,""ElementAddItemDrop_""),""%"",Q8=""Logging"",""+"",Q8=""Mining"&amp;""",""+"",Q8=""Maxhp"",""%"",REGEXMATCH(Q8,""TemperatureResist_""),""+"",REGEXMATCH(Q8,""ElementResist_""),""%"",REGEXMATCH(Q8,""TemperatureInvalid_""),""bool"",REGEXMATCH(Q8,""BodyPartsWeakDamage""),""%"",REGEXMATCH(Q8,""ElementBoost_""),""%"",AND(REGEXMA"&amp;"TCH(J8,""GiveA""),REGEXMATCH(Q8,""Element"")),""bool"")"),"%")</f>
        <v>%</v>
      </c>
      <c r="S8" s="6" t="n">
        <v>-10</v>
      </c>
      <c r="T8" s="6" t="s">
        <v>1956</v>
      </c>
      <c r="U8" s="319" t="b">
        <f aca="false">FALSE()</f>
        <v>0</v>
      </c>
      <c r="V8" s="319" t="b">
        <f aca="false">FALSE()</f>
        <v>0</v>
      </c>
      <c r="W8" s="319" t="b">
        <f aca="false">FALSE()</f>
        <v>0</v>
      </c>
      <c r="X8" s="319" t="b">
        <f aca="false">FALSE()</f>
        <v>0</v>
      </c>
      <c r="Y8" s="319" t="b">
        <f aca="false">FALSE()</f>
        <v>0</v>
      </c>
      <c r="Z8" s="319" t="b">
        <f aca="false">FALSE()</f>
        <v>0</v>
      </c>
      <c r="AA8" s="319" t="b">
        <f aca="false">FALSE()</f>
        <v>0</v>
      </c>
      <c r="AB8" s="319" t="b">
        <f aca="false">FALSE()</f>
        <v>0</v>
      </c>
      <c r="AC8" s="319" t="b">
        <f aca="false">FALSE()</f>
        <v>0</v>
      </c>
      <c r="AD8" s="319" t="b">
        <f aca="false">FALSE()</f>
        <v>0</v>
      </c>
      <c r="AE8" s="319" t="b">
        <f aca="false">FALSE()</f>
        <v>0</v>
      </c>
      <c r="AF8" s="319" t="b">
        <f aca="false">FALSE()</f>
        <v>0</v>
      </c>
      <c r="AG8" s="6" t="s">
        <v>182</v>
      </c>
      <c r="AH8" s="6" t="s">
        <v>182</v>
      </c>
    </row>
    <row r="9" customFormat="false" ht="15.75" hidden="false" customHeight="false" outlineLevel="0" collapsed="false">
      <c r="A9" s="3" t="s">
        <v>1953</v>
      </c>
      <c r="B9" s="6" t="s">
        <v>1963</v>
      </c>
      <c r="C9" s="3"/>
      <c r="D9" s="6" t="str">
        <f aca="false">I9   &amp; IF(ISBLANK(M9),, ". "&amp; M9 &amp; IF(ISBLANK(Q9),, ". "&amp; Q9))</f>
        <v>Defense. MeleeAttack. ShotAttack</v>
      </c>
      <c r="E9" s="6" t="str">
        <f aca="false">I9  &amp;": # on "&amp; L9  &amp; IF(ISBLANK(M9),, ". "&amp; M9 &amp;": # on "&amp; P9 &amp; IF(ISBLANK(Q9),, ". "&amp; Q9 &amp;": # on "&amp; T9))</f>
        <v>Defense: # on Self. MeleeAttack: # on Self. ShotAttack: # on Self</v>
      </c>
      <c r="F9" s="6" t="str">
        <f aca="false">IF(U9,"active pal",)  &amp; IF(V9,"working",) &amp; IF(W9,"mounted",) &amp; IF(Y9,"in party (buff)",)  &amp; IF(Z9,"always",)</f>
        <v/>
      </c>
      <c r="G9" s="6" t="n">
        <v>1</v>
      </c>
      <c r="H9" s="6" t="s">
        <v>182</v>
      </c>
      <c r="I9" s="6" t="s">
        <v>175</v>
      </c>
      <c r="J9" s="6" t="str">
        <f aca="false">IFERROR(__xludf.dummyfunction("IFS(I9=""ShotAttack"",""%"",I9=""MeleeAttack"",""%"", I9=""Defense"",""%"",I9=""CraftSPeed"",""%"",I9=""LifeSteal"",""%"",I9=""MaxInventoryWeight"",""+"",I9=""MoveSpeed"",""%"",REGEXMATCH(I9,""ElementAddItemDrop_""),""%"",I9=""Logging"",""+"",I9=""Mining"&amp;""",""+"",I9=""Maxhp"",""%"",REGEXMATCH(I9,""TemperatureResist_""),""+"",REGEXMATCH(I9,""ElementResist_""),""%"",REGEXMATCH(I9,""TemperatureInvalid_""),""bool"",REGEXMATCH(I9,""BodyPartsWeakDamage""),""%"",REGEXMATCH(I9,""ElementBoost_""),""%"",AND(REGEXMA"&amp;"TCH(B9,""GiveA""),REGEXMATCH(I9,""Element"")),""bool"")"),"%")</f>
        <v>%</v>
      </c>
      <c r="K9" s="6" t="n">
        <v>-20</v>
      </c>
      <c r="L9" s="6" t="s">
        <v>1956</v>
      </c>
      <c r="M9" s="6" t="s">
        <v>658</v>
      </c>
      <c r="N9" s="6" t="str">
        <f aca="false">IFERROR(__xludf.dummyfunction("IFS(M9=""ShotAttack"",""%"",M9=""MeleeAttack"",""%"", M9=""Defense"",""%"",M9=""CraftSPeed"",""%"",M9=""LifeSteal"",""%"",M9=""MaxInventoryWeight"",""+"",M9=""MoveSpeed"",""%"",REGEXMATCH(M9,""ElementAddItemDrop_""),""%"",M9=""Logging"",""+"",M9=""Mining"&amp;""",""+"",M9=""Maxhp"",""%"",REGEXMATCH(M9,""TemperatureResist_""),""+"",REGEXMATCH(M9,""ElementResist_""),""%"",REGEXMATCH(M9,""TemperatureInvalid_""),""bool"",REGEXMATCH(M9,""BodyPartsWeakDamage""),""%"",REGEXMATCH(M9,""ElementBoost_""),""%"",AND(REGEXMA"&amp;"TCH(F9,""GiveA""),REGEXMATCH(M9,""Element"")),""bool"")"),"%")</f>
        <v>%</v>
      </c>
      <c r="O9" s="6" t="n">
        <v>10</v>
      </c>
      <c r="P9" s="6" t="s">
        <v>1956</v>
      </c>
      <c r="Q9" s="6" t="s">
        <v>659</v>
      </c>
      <c r="R9" s="6" t="str">
        <f aca="false">IFERROR(__xludf.dummyfunction("IFS(Q9=""ShotAttack"",""%"",Q9=""MeleeAttack"",""%"", Q9=""Defense"",""%"",Q9=""CraftSPeed"",""%"",Q9=""LifeSteal"",""%"",Q9=""MaxInventoryWeight"",""+"",Q9=""MoveSpeed"",""%"",REGEXMATCH(Q9,""ElementAddItemDrop_""),""%"",Q9=""Logging"",""+"",Q9=""Mining"&amp;""",""+"",Q9=""Maxhp"",""%"",REGEXMATCH(Q9,""TemperatureResist_""),""+"",REGEXMATCH(Q9,""ElementResist_""),""%"",REGEXMATCH(Q9,""TemperatureInvalid_""),""bool"",REGEXMATCH(Q9,""BodyPartsWeakDamage""),""%"",REGEXMATCH(Q9,""ElementBoost_""),""%"",AND(REGEXMA"&amp;"TCH(J9,""GiveA""),REGEXMATCH(Q9,""Element"")),""bool"")"),"%")</f>
        <v>%</v>
      </c>
      <c r="S9" s="6" t="n">
        <v>10</v>
      </c>
      <c r="T9" s="6" t="s">
        <v>1956</v>
      </c>
      <c r="U9" s="319" t="b">
        <f aca="false">FALSE()</f>
        <v>0</v>
      </c>
      <c r="V9" s="319" t="b">
        <f aca="false">FALSE()</f>
        <v>0</v>
      </c>
      <c r="W9" s="319" t="b">
        <f aca="false">FALSE()</f>
        <v>0</v>
      </c>
      <c r="X9" s="319" t="b">
        <f aca="false">FALSE()</f>
        <v>0</v>
      </c>
      <c r="Y9" s="319" t="b">
        <f aca="false">FALSE()</f>
        <v>0</v>
      </c>
      <c r="Z9" s="319" t="b">
        <f aca="false">FALSE()</f>
        <v>0</v>
      </c>
      <c r="AA9" s="319" t="b">
        <f aca="false">FALSE()</f>
        <v>0</v>
      </c>
      <c r="AB9" s="319" t="b">
        <f aca="false">FALSE()</f>
        <v>0</v>
      </c>
      <c r="AC9" s="319" t="b">
        <f aca="false">FALSE()</f>
        <v>0</v>
      </c>
      <c r="AD9" s="319" t="b">
        <f aca="false">FALSE()</f>
        <v>0</v>
      </c>
      <c r="AE9" s="319" t="b">
        <f aca="false">FALSE()</f>
        <v>0</v>
      </c>
      <c r="AF9" s="319" t="b">
        <f aca="false">FALSE()</f>
        <v>0</v>
      </c>
      <c r="AG9" s="6" t="s">
        <v>182</v>
      </c>
      <c r="AH9" s="6" t="s">
        <v>182</v>
      </c>
    </row>
    <row r="10" customFormat="false" ht="15.75" hidden="false" customHeight="false" outlineLevel="0" collapsed="false">
      <c r="A10" s="3" t="s">
        <v>1964</v>
      </c>
      <c r="B10" s="6" t="s">
        <v>1965</v>
      </c>
      <c r="C10" s="3"/>
      <c r="D10" s="6" t="str">
        <f aca="false">I10   &amp; IF(ISBLANK(M10),, ". "&amp; M10 &amp; IF(ISBLANK(Q10),, ". "&amp; Q10))</f>
        <v>MaxHP</v>
      </c>
      <c r="E10" s="6" t="str">
        <f aca="false">I10  &amp;": # on "&amp; L10  &amp; IF(ISBLANK(M10),, ". "&amp; M10 &amp;": # on "&amp; P10 &amp; IF(ISBLANK(Q10),, ". "&amp; Q10 &amp;": # on "&amp; T10))</f>
        <v>MaxHP: # on Self</v>
      </c>
      <c r="F10" s="6" t="str">
        <f aca="false">IF(U10,"active pal",)  &amp; IF(V10,"working",) &amp; IF(W10,"mounted",) &amp; IF(Y10,"in party (buff)",)  &amp; IF(Z10,"always",)</f>
        <v/>
      </c>
      <c r="G10" s="6" t="n">
        <v>1</v>
      </c>
      <c r="H10" s="6" t="s">
        <v>182</v>
      </c>
      <c r="I10" s="6" t="s">
        <v>1955</v>
      </c>
      <c r="J10" s="6" t="str">
        <f aca="false">IFERROR(__xludf.dummyfunction("IFS(I10=""ShotAttack"",""%"",I10=""MeleeAttack"",""%"", I10=""Defense"",""%"",I10=""CraftSPeed"",""%"",I10=""LifeSteal"",""%"",I10=""MaxInventoryWeight"",""+"",I10=""MoveSpeed"",""%"",REGEXMATCH(I10,""ElementAddItemDrop_""),""%"",I10=""Logging"",""+"",I10"&amp;"=""Mining"",""+"",I10=""Maxhp"",""%"",REGEXMATCH(I10,""TemperatureResist_""),""+"",REGEXMATCH(I10,""ElementResist_""),""%"",REGEXMATCH(I10,""TemperatureInvalid_""),""bool"",REGEXMATCH(I10,""BodyPartsWeakDamage""),""%"",REGEXMATCH(I10,""ElementBoost_""),"""&amp;"%"",AND(REGEXMATCH(B10,""GiveA""),REGEXMATCH(I10,""Element"")),""bool"")"),"%")</f>
        <v>%</v>
      </c>
      <c r="K10" s="6" t="n">
        <v>5</v>
      </c>
      <c r="L10" s="6" t="s">
        <v>1956</v>
      </c>
      <c r="M10" s="6"/>
      <c r="N10" s="6" t="str">
        <f aca="false">IFERROR(__xludf.dummyfunction("IFS(M10=""ShotAttack"",""%"",M10=""MeleeAttack"",""%"", M10=""Defense"",""%"",M10=""CraftSPeed"",""%"",M10=""LifeSteal"",""%"",M10=""MaxInventoryWeight"",""+"",M10=""MoveSpeed"",""%"",REGEXMATCH(M10,""ElementAddItemDrop_""),""%"",M10=""Logging"",""+"",M10"&amp;"=""Mining"",""+"",M10=""Maxhp"",""%"",REGEXMATCH(M10,""TemperatureResist_""),""+"",REGEXMATCH(M10,""ElementResist_""),""%"",REGEXMATCH(M10,""TemperatureInvalid_""),""bool"",REGEXMATCH(M10,""BodyPartsWeakDamage""),""%"",REGEXMATCH(M10,""ElementBoost_""),"""&amp;"%"",AND(REGEXMATCH(F10,""GiveA""),REGEXMATCH(M10,""Element"")),""bool"")"),"#N/A")</f>
        <v>#N/A</v>
      </c>
      <c r="O10" s="6" t="n">
        <v>0</v>
      </c>
      <c r="P10" s="6"/>
      <c r="Q10" s="6"/>
      <c r="R10" s="6" t="str">
        <f aca="false">IFERROR(__xludf.dummyfunction("IFS(Q10=""ShotAttack"",""%"",Q10=""MeleeAttack"",""%"", Q10=""Defense"",""%"",Q10=""CraftSPeed"",""%"",Q10=""LifeSteal"",""%"",Q10=""MaxInventoryWeight"",""+"",Q10=""MoveSpeed"",""%"",REGEXMATCH(Q10,""ElementAddItemDrop_""),""%"",Q10=""Logging"",""+"",Q10"&amp;"=""Mining"",""+"",Q10=""Maxhp"",""%"",REGEXMATCH(Q10,""TemperatureResist_""),""+"",REGEXMATCH(Q10,""ElementResist_""),""%"",REGEXMATCH(Q10,""TemperatureInvalid_""),""bool"",REGEXMATCH(Q10,""BodyPartsWeakDamage""),""%"",REGEXMATCH(Q10,""ElementBoost_""),"""&amp;"%"",AND(REGEXMATCH(J10,""GiveA""),REGEXMATCH(Q10,""Element"")),""bool"")"),"#N/A")</f>
        <v>#N/A</v>
      </c>
      <c r="S10" s="6" t="n">
        <v>0</v>
      </c>
      <c r="T10" s="6"/>
      <c r="U10" s="319" t="b">
        <f aca="false">FALSE()</f>
        <v>0</v>
      </c>
      <c r="V10" s="319" t="b">
        <f aca="false">FALSE()</f>
        <v>0</v>
      </c>
      <c r="W10" s="319" t="b">
        <f aca="false">FALSE()</f>
        <v>0</v>
      </c>
      <c r="X10" s="319" t="b">
        <f aca="false">FALSE()</f>
        <v>0</v>
      </c>
      <c r="Y10" s="319" t="b">
        <f aca="false">FALSE()</f>
        <v>0</v>
      </c>
      <c r="Z10" s="319" t="b">
        <f aca="false">FALSE()</f>
        <v>0</v>
      </c>
      <c r="AA10" s="319" t="b">
        <f aca="false">FALSE()</f>
        <v>0</v>
      </c>
      <c r="AB10" s="319" t="b">
        <f aca="false">FALSE()</f>
        <v>0</v>
      </c>
      <c r="AC10" s="319" t="b">
        <f aca="false">FALSE()</f>
        <v>0</v>
      </c>
      <c r="AD10" s="319" t="b">
        <f aca="false">FALSE()</f>
        <v>0</v>
      </c>
      <c r="AE10" s="319" t="b">
        <f aca="false">FALSE()</f>
        <v>0</v>
      </c>
      <c r="AF10" s="319" t="b">
        <f aca="false">FALSE()</f>
        <v>0</v>
      </c>
      <c r="AG10" s="6" t="s">
        <v>182</v>
      </c>
      <c r="AH10" s="6" t="s">
        <v>182</v>
      </c>
    </row>
    <row r="11" customFormat="false" ht="15.75" hidden="false" customHeight="false" outlineLevel="0" collapsed="false">
      <c r="A11" s="3" t="s">
        <v>1966</v>
      </c>
      <c r="B11" s="6" t="s">
        <v>1967</v>
      </c>
      <c r="C11" s="3"/>
      <c r="D11" s="6" t="str">
        <f aca="false">I11   &amp; IF(ISBLANK(M11),, ". "&amp; M11 &amp; IF(ISBLANK(Q11),, ". "&amp; Q11))</f>
        <v>MaxHP</v>
      </c>
      <c r="E11" s="6" t="str">
        <f aca="false">I11  &amp;": # on "&amp; L11  &amp; IF(ISBLANK(M11),, ". "&amp; M11 &amp;": # on "&amp; P11 &amp; IF(ISBLANK(Q11),, ". "&amp; Q11 &amp;": # on "&amp; T11))</f>
        <v>MaxHP: # on Self</v>
      </c>
      <c r="F11" s="6" t="str">
        <f aca="false">IF(U11,"active pal",)  &amp; IF(V11,"working",) &amp; IF(W11,"mounted",) &amp; IF(Y11,"in party (buff)",)  &amp; IF(Z11,"always",)</f>
        <v/>
      </c>
      <c r="G11" s="6" t="n">
        <v>2</v>
      </c>
      <c r="H11" s="6" t="s">
        <v>182</v>
      </c>
      <c r="I11" s="6" t="s">
        <v>1955</v>
      </c>
      <c r="J11" s="6" t="str">
        <f aca="false">IFERROR(__xludf.dummyfunction("IFS(I11=""ShotAttack"",""%"",I11=""MeleeAttack"",""%"", I11=""Defense"",""%"",I11=""CraftSPeed"",""%"",I11=""LifeSteal"",""%"",I11=""MaxInventoryWeight"",""+"",I11=""MoveSpeed"",""%"",REGEXMATCH(I11,""ElementAddItemDrop_""),""%"",I11=""Logging"",""+"",I11"&amp;"=""Mining"",""+"",I11=""Maxhp"",""%"",REGEXMATCH(I11,""TemperatureResist_""),""+"",REGEXMATCH(I11,""ElementResist_""),""%"",REGEXMATCH(I11,""TemperatureInvalid_""),""bool"",REGEXMATCH(I11,""BodyPartsWeakDamage""),""%"",REGEXMATCH(I11,""ElementBoost_""),"""&amp;"%"",AND(REGEXMATCH(B11,""GiveA""),REGEXMATCH(I11,""Element"")),""bool"")"),"%")</f>
        <v>%</v>
      </c>
      <c r="K11" s="6" t="n">
        <v>10</v>
      </c>
      <c r="L11" s="6" t="s">
        <v>1956</v>
      </c>
      <c r="M11" s="6"/>
      <c r="N11" s="6" t="str">
        <f aca="false">IFERROR(__xludf.dummyfunction("IFS(M11=""ShotAttack"",""%"",M11=""MeleeAttack"",""%"", M11=""Defense"",""%"",M11=""CraftSPeed"",""%"",M11=""LifeSteal"",""%"",M11=""MaxInventoryWeight"",""+"",M11=""MoveSpeed"",""%"",REGEXMATCH(M11,""ElementAddItemDrop_""),""%"",M11=""Logging"",""+"",M11"&amp;"=""Mining"",""+"",M11=""Maxhp"",""%"",REGEXMATCH(M11,""TemperatureResist_""),""+"",REGEXMATCH(M11,""ElementResist_""),""%"",REGEXMATCH(M11,""TemperatureInvalid_""),""bool"",REGEXMATCH(M11,""BodyPartsWeakDamage""),""%"",REGEXMATCH(M11,""ElementBoost_""),"""&amp;"%"",AND(REGEXMATCH(F11,""GiveA""),REGEXMATCH(M11,""Element"")),""bool"")"),"#N/A")</f>
        <v>#N/A</v>
      </c>
      <c r="O11" s="6" t="n">
        <v>0</v>
      </c>
      <c r="P11" s="6"/>
      <c r="Q11" s="6"/>
      <c r="R11" s="6" t="str">
        <f aca="false">IFERROR(__xludf.dummyfunction("IFS(Q11=""ShotAttack"",""%"",Q11=""MeleeAttack"",""%"", Q11=""Defense"",""%"",Q11=""CraftSPeed"",""%"",Q11=""LifeSteal"",""%"",Q11=""MaxInventoryWeight"",""+"",Q11=""MoveSpeed"",""%"",REGEXMATCH(Q11,""ElementAddItemDrop_""),""%"",Q11=""Logging"",""+"",Q11"&amp;"=""Mining"",""+"",Q11=""Maxhp"",""%"",REGEXMATCH(Q11,""TemperatureResist_""),""+"",REGEXMATCH(Q11,""ElementResist_""),""%"",REGEXMATCH(Q11,""TemperatureInvalid_""),""bool"",REGEXMATCH(Q11,""BodyPartsWeakDamage""),""%"",REGEXMATCH(Q11,""ElementBoost_""),"""&amp;"%"",AND(REGEXMATCH(J11,""GiveA""),REGEXMATCH(Q11,""Element"")),""bool"")"),"#N/A")</f>
        <v>#N/A</v>
      </c>
      <c r="S11" s="6" t="n">
        <v>0</v>
      </c>
      <c r="T11" s="6"/>
      <c r="U11" s="319" t="b">
        <f aca="false">FALSE()</f>
        <v>0</v>
      </c>
      <c r="V11" s="319" t="b">
        <f aca="false">FALSE()</f>
        <v>0</v>
      </c>
      <c r="W11" s="319" t="b">
        <f aca="false">FALSE()</f>
        <v>0</v>
      </c>
      <c r="X11" s="319" t="b">
        <f aca="false">FALSE()</f>
        <v>0</v>
      </c>
      <c r="Y11" s="319" t="b">
        <f aca="false">FALSE()</f>
        <v>0</v>
      </c>
      <c r="Z11" s="319" t="b">
        <f aca="false">FALSE()</f>
        <v>0</v>
      </c>
      <c r="AA11" s="319" t="b">
        <f aca="false">FALSE()</f>
        <v>0</v>
      </c>
      <c r="AB11" s="319" t="b">
        <f aca="false">FALSE()</f>
        <v>0</v>
      </c>
      <c r="AC11" s="319" t="b">
        <f aca="false">FALSE()</f>
        <v>0</v>
      </c>
      <c r="AD11" s="319" t="b">
        <f aca="false">FALSE()</f>
        <v>0</v>
      </c>
      <c r="AE11" s="319" t="b">
        <f aca="false">FALSE()</f>
        <v>0</v>
      </c>
      <c r="AF11" s="319" t="b">
        <f aca="false">FALSE()</f>
        <v>0</v>
      </c>
      <c r="AG11" s="6" t="s">
        <v>182</v>
      </c>
      <c r="AH11" s="6" t="s">
        <v>182</v>
      </c>
    </row>
    <row r="12" customFormat="false" ht="15.75" hidden="false" customHeight="false" outlineLevel="0" collapsed="false">
      <c r="A12" s="3" t="s">
        <v>1968</v>
      </c>
      <c r="B12" s="6" t="s">
        <v>1969</v>
      </c>
      <c r="C12" s="3"/>
      <c r="D12" s="6" t="str">
        <f aca="false">I12   &amp; IF(ISBLANK(M12),, ". "&amp; M12 &amp; IF(ISBLANK(Q12),, ". "&amp; Q12))</f>
        <v>MaxHP</v>
      </c>
      <c r="E12" s="6" t="str">
        <f aca="false">I12  &amp;": # on "&amp; L12  &amp; IF(ISBLANK(M12),, ". "&amp; M12 &amp;": # on "&amp; P12 &amp; IF(ISBLANK(Q12),, ". "&amp; Q12 &amp;": # on "&amp; T12))</f>
        <v>MaxHP: # on Self</v>
      </c>
      <c r="F12" s="6" t="str">
        <f aca="false">IF(U12,"active pal",)  &amp; IF(V12,"working",) &amp; IF(W12,"mounted",) &amp; IF(Y12,"in party (buff)",)  &amp; IF(Z12,"always",)</f>
        <v/>
      </c>
      <c r="G12" s="6" t="n">
        <v>3</v>
      </c>
      <c r="H12" s="6" t="s">
        <v>182</v>
      </c>
      <c r="I12" s="6" t="s">
        <v>1955</v>
      </c>
      <c r="J12" s="6" t="str">
        <f aca="false">IFERROR(__xludf.dummyfunction("IFS(I12=""ShotAttack"",""%"",I12=""MeleeAttack"",""%"", I12=""Defense"",""%"",I12=""CraftSPeed"",""%"",I12=""LifeSteal"",""%"",I12=""MaxInventoryWeight"",""+"",I12=""MoveSpeed"",""%"",REGEXMATCH(I12,""ElementAddItemDrop_""),""%"",I12=""Logging"",""+"",I12"&amp;"=""Mining"",""+"",I12=""Maxhp"",""%"",REGEXMATCH(I12,""TemperatureResist_""),""+"",REGEXMATCH(I12,""ElementResist_""),""%"",REGEXMATCH(I12,""TemperatureInvalid_""),""bool"",REGEXMATCH(I12,""BodyPartsWeakDamage""),""%"",REGEXMATCH(I12,""ElementBoost_""),"""&amp;"%"",AND(REGEXMATCH(B12,""GiveA""),REGEXMATCH(I12,""Element"")),""bool"")"),"%")</f>
        <v>%</v>
      </c>
      <c r="K12" s="6" t="n">
        <v>15</v>
      </c>
      <c r="L12" s="6" t="s">
        <v>1956</v>
      </c>
      <c r="M12" s="6"/>
      <c r="N12" s="6" t="str">
        <f aca="false">IFERROR(__xludf.dummyfunction("IFS(M12=""ShotAttack"",""%"",M12=""MeleeAttack"",""%"", M12=""Defense"",""%"",M12=""CraftSPeed"",""%"",M12=""LifeSteal"",""%"",M12=""MaxInventoryWeight"",""+"",M12=""MoveSpeed"",""%"",REGEXMATCH(M12,""ElementAddItemDrop_""),""%"",M12=""Logging"",""+"",M12"&amp;"=""Mining"",""+"",M12=""Maxhp"",""%"",REGEXMATCH(M12,""TemperatureResist_""),""+"",REGEXMATCH(M12,""ElementResist_""),""%"",REGEXMATCH(M12,""TemperatureInvalid_""),""bool"",REGEXMATCH(M12,""BodyPartsWeakDamage""),""%"",REGEXMATCH(M12,""ElementBoost_""),"""&amp;"%"",AND(REGEXMATCH(F12,""GiveA""),REGEXMATCH(M12,""Element"")),""bool"")"),"#N/A")</f>
        <v>#N/A</v>
      </c>
      <c r="O12" s="6" t="n">
        <v>0</v>
      </c>
      <c r="P12" s="6"/>
      <c r="Q12" s="6"/>
      <c r="R12" s="6" t="str">
        <f aca="false">IFERROR(__xludf.dummyfunction("IFS(Q12=""ShotAttack"",""%"",Q12=""MeleeAttack"",""%"", Q12=""Defense"",""%"",Q12=""CraftSPeed"",""%"",Q12=""LifeSteal"",""%"",Q12=""MaxInventoryWeight"",""+"",Q12=""MoveSpeed"",""%"",REGEXMATCH(Q12,""ElementAddItemDrop_""),""%"",Q12=""Logging"",""+"",Q12"&amp;"=""Mining"",""+"",Q12=""Maxhp"",""%"",REGEXMATCH(Q12,""TemperatureResist_""),""+"",REGEXMATCH(Q12,""ElementResist_""),""%"",REGEXMATCH(Q12,""TemperatureInvalid_""),""bool"",REGEXMATCH(Q12,""BodyPartsWeakDamage""),""%"",REGEXMATCH(Q12,""ElementBoost_""),"""&amp;"%"",AND(REGEXMATCH(J12,""GiveA""),REGEXMATCH(Q12,""Element"")),""bool"")"),"#N/A")</f>
        <v>#N/A</v>
      </c>
      <c r="S12" s="6" t="n">
        <v>0</v>
      </c>
      <c r="T12" s="6"/>
      <c r="U12" s="319" t="b">
        <f aca="false">FALSE()</f>
        <v>0</v>
      </c>
      <c r="V12" s="319" t="b">
        <f aca="false">FALSE()</f>
        <v>0</v>
      </c>
      <c r="W12" s="319" t="b">
        <f aca="false">FALSE()</f>
        <v>0</v>
      </c>
      <c r="X12" s="319" t="b">
        <f aca="false">FALSE()</f>
        <v>0</v>
      </c>
      <c r="Y12" s="319" t="b">
        <f aca="false">FALSE()</f>
        <v>0</v>
      </c>
      <c r="Z12" s="319" t="b">
        <f aca="false">FALSE()</f>
        <v>0</v>
      </c>
      <c r="AA12" s="319" t="b">
        <f aca="false">FALSE()</f>
        <v>0</v>
      </c>
      <c r="AB12" s="319" t="b">
        <f aca="false">FALSE()</f>
        <v>0</v>
      </c>
      <c r="AC12" s="319" t="b">
        <f aca="false">FALSE()</f>
        <v>0</v>
      </c>
      <c r="AD12" s="319" t="b">
        <f aca="false">FALSE()</f>
        <v>0</v>
      </c>
      <c r="AE12" s="319" t="b">
        <f aca="false">FALSE()</f>
        <v>0</v>
      </c>
      <c r="AF12" s="319" t="b">
        <f aca="false">FALSE()</f>
        <v>0</v>
      </c>
      <c r="AG12" s="6" t="s">
        <v>182</v>
      </c>
      <c r="AH12" s="6" t="s">
        <v>182</v>
      </c>
    </row>
    <row r="13" customFormat="false" ht="15.75" hidden="false" customHeight="false" outlineLevel="0" collapsed="false">
      <c r="A13" s="3" t="s">
        <v>1970</v>
      </c>
      <c r="B13" s="6" t="s">
        <v>1971</v>
      </c>
      <c r="C13" s="3"/>
      <c r="D13" s="6" t="str">
        <f aca="false">I13   &amp; IF(ISBLANK(M13),, ". "&amp; M13 &amp; IF(ISBLANK(Q13),, ". "&amp; Q13))</f>
        <v>ShotAttack</v>
      </c>
      <c r="E13" s="6" t="str">
        <f aca="false">I13  &amp;": # on "&amp; L13  &amp; IF(ISBLANK(M13),, ". "&amp; M13 &amp;": # on "&amp; P13 &amp; IF(ISBLANK(Q13),, ". "&amp; Q13 &amp;": # on "&amp; T13))</f>
        <v>ShotAttack: # on Self</v>
      </c>
      <c r="F13" s="6" t="str">
        <f aca="false">IF(U13,"active pal",)  &amp; IF(V13,"working",) &amp; IF(W13,"mounted",) &amp; IF(Y13,"in party (buff)",)  &amp; IF(Z13,"always",)</f>
        <v/>
      </c>
      <c r="G13" s="6" t="n">
        <v>1</v>
      </c>
      <c r="H13" s="6" t="s">
        <v>182</v>
      </c>
      <c r="I13" s="6" t="s">
        <v>659</v>
      </c>
      <c r="J13" s="6" t="str">
        <f aca="false">IFERROR(__xludf.dummyfunction("IFS(I13=""ShotAttack"",""%"",I13=""MeleeAttack"",""%"", I13=""Defense"",""%"",I13=""CraftSPeed"",""%"",I13=""LifeSteal"",""%"",I13=""MaxInventoryWeight"",""+"",I13=""MoveSpeed"",""%"",REGEXMATCH(I13,""ElementAddItemDrop_""),""%"",I13=""Logging"",""+"",I13"&amp;"=""Mining"",""+"",I13=""Maxhp"",""%"",REGEXMATCH(I13,""TemperatureResist_""),""+"",REGEXMATCH(I13,""ElementResist_""),""%"",REGEXMATCH(I13,""TemperatureInvalid_""),""bool"",REGEXMATCH(I13,""BodyPartsWeakDamage""),""%"",REGEXMATCH(I13,""ElementBoost_""),"""&amp;"%"",AND(REGEXMATCH(B13,""GiveA""),REGEXMATCH(I13,""Element"")),""bool"")"),"%")</f>
        <v>%</v>
      </c>
      <c r="K13" s="6" t="n">
        <v>5</v>
      </c>
      <c r="L13" s="6" t="s">
        <v>1956</v>
      </c>
      <c r="M13" s="6"/>
      <c r="N13" s="6" t="str">
        <f aca="false">IFERROR(__xludf.dummyfunction("IFS(M13=""ShotAttack"",""%"",M13=""MeleeAttack"",""%"", M13=""Defense"",""%"",M13=""CraftSPeed"",""%"",M13=""LifeSteal"",""%"",M13=""MaxInventoryWeight"",""+"",M13=""MoveSpeed"",""%"",REGEXMATCH(M13,""ElementAddItemDrop_""),""%"",M13=""Logging"",""+"",M13"&amp;"=""Mining"",""+"",M13=""Maxhp"",""%"",REGEXMATCH(M13,""TemperatureResist_""),""+"",REGEXMATCH(M13,""ElementResist_""),""%"",REGEXMATCH(M13,""TemperatureInvalid_""),""bool"",REGEXMATCH(M13,""BodyPartsWeakDamage""),""%"",REGEXMATCH(M13,""ElementBoost_""),"""&amp;"%"",AND(REGEXMATCH(F13,""GiveA""),REGEXMATCH(M13,""Element"")),""bool"")"),"#N/A")</f>
        <v>#N/A</v>
      </c>
      <c r="O13" s="6" t="n">
        <v>0</v>
      </c>
      <c r="P13" s="6"/>
      <c r="Q13" s="6"/>
      <c r="R13" s="6" t="str">
        <f aca="false">IFERROR(__xludf.dummyfunction("IFS(Q13=""ShotAttack"",""%"",Q13=""MeleeAttack"",""%"", Q13=""Defense"",""%"",Q13=""CraftSPeed"",""%"",Q13=""LifeSteal"",""%"",Q13=""MaxInventoryWeight"",""+"",Q13=""MoveSpeed"",""%"",REGEXMATCH(Q13,""ElementAddItemDrop_""),""%"",Q13=""Logging"",""+"",Q13"&amp;"=""Mining"",""+"",Q13=""Maxhp"",""%"",REGEXMATCH(Q13,""TemperatureResist_""),""+"",REGEXMATCH(Q13,""ElementResist_""),""%"",REGEXMATCH(Q13,""TemperatureInvalid_""),""bool"",REGEXMATCH(Q13,""BodyPartsWeakDamage""),""%"",REGEXMATCH(Q13,""ElementBoost_""),"""&amp;"%"",AND(REGEXMATCH(J13,""GiveA""),REGEXMATCH(Q13,""Element"")),""bool"")"),"#N/A")</f>
        <v>#N/A</v>
      </c>
      <c r="S13" s="6" t="n">
        <v>0</v>
      </c>
      <c r="T13" s="6"/>
      <c r="U13" s="319" t="b">
        <f aca="false">FALSE()</f>
        <v>0</v>
      </c>
      <c r="V13" s="319" t="b">
        <f aca="false">FALSE()</f>
        <v>0</v>
      </c>
      <c r="W13" s="319" t="b">
        <f aca="false">FALSE()</f>
        <v>0</v>
      </c>
      <c r="X13" s="319" t="b">
        <f aca="false">FALSE()</f>
        <v>0</v>
      </c>
      <c r="Y13" s="319" t="b">
        <f aca="false">FALSE()</f>
        <v>0</v>
      </c>
      <c r="Z13" s="319" t="b">
        <f aca="false">FALSE()</f>
        <v>0</v>
      </c>
      <c r="AA13" s="319" t="b">
        <f aca="false">FALSE()</f>
        <v>0</v>
      </c>
      <c r="AB13" s="319" t="b">
        <f aca="false">FALSE()</f>
        <v>0</v>
      </c>
      <c r="AC13" s="319" t="b">
        <f aca="false">FALSE()</f>
        <v>0</v>
      </c>
      <c r="AD13" s="319" t="b">
        <f aca="false">FALSE()</f>
        <v>0</v>
      </c>
      <c r="AE13" s="319" t="b">
        <f aca="false">FALSE()</f>
        <v>0</v>
      </c>
      <c r="AF13" s="319" t="b">
        <f aca="false">FALSE()</f>
        <v>0</v>
      </c>
      <c r="AG13" s="6" t="s">
        <v>182</v>
      </c>
      <c r="AH13" s="6" t="s">
        <v>182</v>
      </c>
    </row>
    <row r="14" customFormat="false" ht="15.75" hidden="false" customHeight="false" outlineLevel="0" collapsed="false">
      <c r="A14" s="3" t="s">
        <v>1972</v>
      </c>
      <c r="B14" s="6" t="s">
        <v>1973</v>
      </c>
      <c r="C14" s="3"/>
      <c r="D14" s="6" t="str">
        <f aca="false">I14   &amp; IF(ISBLANK(M14),, ". "&amp; M14 &amp; IF(ISBLANK(Q14),, ". "&amp; Q14))</f>
        <v>ShotAttack</v>
      </c>
      <c r="E14" s="6" t="str">
        <f aca="false">I14  &amp;": # on "&amp; L14  &amp; IF(ISBLANK(M14),, ". "&amp; M14 &amp;": # on "&amp; P14 &amp; IF(ISBLANK(Q14),, ". "&amp; Q14 &amp;": # on "&amp; T14))</f>
        <v>ShotAttack: # on Self</v>
      </c>
      <c r="F14" s="6" t="str">
        <f aca="false">IF(U14,"active pal",)  &amp; IF(V14,"working",) &amp; IF(W14,"mounted",) &amp; IF(Y14,"in party (buff)",)  &amp; IF(Z14,"always",)</f>
        <v/>
      </c>
      <c r="G14" s="6" t="n">
        <v>2</v>
      </c>
      <c r="H14" s="6" t="s">
        <v>182</v>
      </c>
      <c r="I14" s="6" t="s">
        <v>659</v>
      </c>
      <c r="J14" s="6" t="str">
        <f aca="false">IFERROR(__xludf.dummyfunction("IFS(I14=""ShotAttack"",""%"",I14=""MeleeAttack"",""%"", I14=""Defense"",""%"",I14=""CraftSPeed"",""%"",I14=""LifeSteal"",""%"",I14=""MaxInventoryWeight"",""+"",I14=""MoveSpeed"",""%"",REGEXMATCH(I14,""ElementAddItemDrop_""),""%"",I14=""Logging"",""+"",I14"&amp;"=""Mining"",""+"",I14=""Maxhp"",""%"",REGEXMATCH(I14,""TemperatureResist_""),""+"",REGEXMATCH(I14,""ElementResist_""),""%"",REGEXMATCH(I14,""TemperatureInvalid_""),""bool"",REGEXMATCH(I14,""BodyPartsWeakDamage""),""%"",REGEXMATCH(I14,""ElementBoost_""),"""&amp;"%"",AND(REGEXMATCH(B14,""GiveA""),REGEXMATCH(I14,""Element"")),""bool"")"),"%")</f>
        <v>%</v>
      </c>
      <c r="K14" s="6" t="n">
        <v>10</v>
      </c>
      <c r="L14" s="6" t="s">
        <v>1956</v>
      </c>
      <c r="M14" s="6"/>
      <c r="N14" s="6" t="str">
        <f aca="false">IFERROR(__xludf.dummyfunction("IFS(M14=""ShotAttack"",""%"",M14=""MeleeAttack"",""%"", M14=""Defense"",""%"",M14=""CraftSPeed"",""%"",M14=""LifeSteal"",""%"",M14=""MaxInventoryWeight"",""+"",M14=""MoveSpeed"",""%"",REGEXMATCH(M14,""ElementAddItemDrop_""),""%"",M14=""Logging"",""+"",M14"&amp;"=""Mining"",""+"",M14=""Maxhp"",""%"",REGEXMATCH(M14,""TemperatureResist_""),""+"",REGEXMATCH(M14,""ElementResist_""),""%"",REGEXMATCH(M14,""TemperatureInvalid_""),""bool"",REGEXMATCH(M14,""BodyPartsWeakDamage""),""%"",REGEXMATCH(M14,""ElementBoost_""),"""&amp;"%"",AND(REGEXMATCH(F14,""GiveA""),REGEXMATCH(M14,""Element"")),""bool"")"),"#N/A")</f>
        <v>#N/A</v>
      </c>
      <c r="O14" s="6" t="n">
        <v>0</v>
      </c>
      <c r="P14" s="6"/>
      <c r="Q14" s="6"/>
      <c r="R14" s="6" t="str">
        <f aca="false">IFERROR(__xludf.dummyfunction("IFS(Q14=""ShotAttack"",""%"",Q14=""MeleeAttack"",""%"", Q14=""Defense"",""%"",Q14=""CraftSPeed"",""%"",Q14=""LifeSteal"",""%"",Q14=""MaxInventoryWeight"",""+"",Q14=""MoveSpeed"",""%"",REGEXMATCH(Q14,""ElementAddItemDrop_""),""%"",Q14=""Logging"",""+"",Q14"&amp;"=""Mining"",""+"",Q14=""Maxhp"",""%"",REGEXMATCH(Q14,""TemperatureResist_""),""+"",REGEXMATCH(Q14,""ElementResist_""),""%"",REGEXMATCH(Q14,""TemperatureInvalid_""),""bool"",REGEXMATCH(Q14,""BodyPartsWeakDamage""),""%"",REGEXMATCH(Q14,""ElementBoost_""),"""&amp;"%"",AND(REGEXMATCH(J14,""GiveA""),REGEXMATCH(Q14,""Element"")),""bool"")"),"#N/A")</f>
        <v>#N/A</v>
      </c>
      <c r="S14" s="6" t="n">
        <v>0</v>
      </c>
      <c r="T14" s="6"/>
      <c r="U14" s="319" t="b">
        <f aca="false">FALSE()</f>
        <v>0</v>
      </c>
      <c r="V14" s="319" t="b">
        <f aca="false">FALSE()</f>
        <v>0</v>
      </c>
      <c r="W14" s="319" t="b">
        <f aca="false">FALSE()</f>
        <v>0</v>
      </c>
      <c r="X14" s="319" t="b">
        <f aca="false">FALSE()</f>
        <v>0</v>
      </c>
      <c r="Y14" s="319" t="b">
        <f aca="false">FALSE()</f>
        <v>0</v>
      </c>
      <c r="Z14" s="319" t="b">
        <f aca="false">FALSE()</f>
        <v>0</v>
      </c>
      <c r="AA14" s="319" t="b">
        <f aca="false">FALSE()</f>
        <v>0</v>
      </c>
      <c r="AB14" s="319" t="b">
        <f aca="false">FALSE()</f>
        <v>0</v>
      </c>
      <c r="AC14" s="319" t="b">
        <f aca="false">FALSE()</f>
        <v>0</v>
      </c>
      <c r="AD14" s="319" t="b">
        <f aca="false">FALSE()</f>
        <v>0</v>
      </c>
      <c r="AE14" s="319" t="b">
        <f aca="false">FALSE()</f>
        <v>0</v>
      </c>
      <c r="AF14" s="319" t="b">
        <f aca="false">FALSE()</f>
        <v>0</v>
      </c>
      <c r="AG14" s="6" t="s">
        <v>182</v>
      </c>
      <c r="AH14" s="6" t="s">
        <v>182</v>
      </c>
    </row>
    <row r="15" customFormat="false" ht="15.75" hidden="false" customHeight="false" outlineLevel="0" collapsed="false">
      <c r="A15" s="3" t="s">
        <v>1974</v>
      </c>
      <c r="B15" s="6" t="s">
        <v>1975</v>
      </c>
      <c r="C15" s="3"/>
      <c r="D15" s="6" t="str">
        <f aca="false">I15   &amp; IF(ISBLANK(M15),, ". "&amp; M15 &amp; IF(ISBLANK(Q15),, ". "&amp; Q15))</f>
        <v>ShotAttack</v>
      </c>
      <c r="E15" s="6" t="str">
        <f aca="false">I15  &amp;": # on "&amp; L15  &amp; IF(ISBLANK(M15),, ". "&amp; M15 &amp;": # on "&amp; P15 &amp; IF(ISBLANK(Q15),, ". "&amp; Q15 &amp;": # on "&amp; T15))</f>
        <v>ShotAttack: # on Self</v>
      </c>
      <c r="F15" s="6" t="str">
        <f aca="false">IF(U15,"active pal",)  &amp; IF(V15,"working",) &amp; IF(W15,"mounted",) &amp; IF(Y15,"in party (buff)",)  &amp; IF(Z15,"always",)</f>
        <v/>
      </c>
      <c r="G15" s="6" t="n">
        <v>3</v>
      </c>
      <c r="H15" s="6" t="s">
        <v>182</v>
      </c>
      <c r="I15" s="6" t="s">
        <v>659</v>
      </c>
      <c r="J15" s="6" t="str">
        <f aca="false">IFERROR(__xludf.dummyfunction("IFS(I15=""ShotAttack"",""%"",I15=""MeleeAttack"",""%"", I15=""Defense"",""%"",I15=""CraftSPeed"",""%"",I15=""LifeSteal"",""%"",I15=""MaxInventoryWeight"",""+"",I15=""MoveSpeed"",""%"",REGEXMATCH(I15,""ElementAddItemDrop_""),""%"",I15=""Logging"",""+"",I15"&amp;"=""Mining"",""+"",I15=""Maxhp"",""%"",REGEXMATCH(I15,""TemperatureResist_""),""+"",REGEXMATCH(I15,""ElementResist_""),""%"",REGEXMATCH(I15,""TemperatureInvalid_""),""bool"",REGEXMATCH(I15,""BodyPartsWeakDamage""),""%"",REGEXMATCH(I15,""ElementBoost_""),"""&amp;"%"",AND(REGEXMATCH(B15,""GiveA""),REGEXMATCH(I15,""Element"")),""bool"")"),"%")</f>
        <v>%</v>
      </c>
      <c r="K15" s="6" t="n">
        <v>15</v>
      </c>
      <c r="L15" s="6" t="s">
        <v>1956</v>
      </c>
      <c r="M15" s="6"/>
      <c r="N15" s="6" t="str">
        <f aca="false">IFERROR(__xludf.dummyfunction("IFS(M15=""ShotAttack"",""%"",M15=""MeleeAttack"",""%"", M15=""Defense"",""%"",M15=""CraftSPeed"",""%"",M15=""LifeSteal"",""%"",M15=""MaxInventoryWeight"",""+"",M15=""MoveSpeed"",""%"",REGEXMATCH(M15,""ElementAddItemDrop_""),""%"",M15=""Logging"",""+"",M15"&amp;"=""Mining"",""+"",M15=""Maxhp"",""%"",REGEXMATCH(M15,""TemperatureResist_""),""+"",REGEXMATCH(M15,""ElementResist_""),""%"",REGEXMATCH(M15,""TemperatureInvalid_""),""bool"",REGEXMATCH(M15,""BodyPartsWeakDamage""),""%"",REGEXMATCH(M15,""ElementBoost_""),"""&amp;"%"",AND(REGEXMATCH(F15,""GiveA""),REGEXMATCH(M15,""Element"")),""bool"")"),"#N/A")</f>
        <v>#N/A</v>
      </c>
      <c r="O15" s="6" t="n">
        <v>0</v>
      </c>
      <c r="P15" s="6"/>
      <c r="Q15" s="6"/>
      <c r="R15" s="6" t="str">
        <f aca="false">IFERROR(__xludf.dummyfunction("IFS(Q15=""ShotAttack"",""%"",Q15=""MeleeAttack"",""%"", Q15=""Defense"",""%"",Q15=""CraftSPeed"",""%"",Q15=""LifeSteal"",""%"",Q15=""MaxInventoryWeight"",""+"",Q15=""MoveSpeed"",""%"",REGEXMATCH(Q15,""ElementAddItemDrop_""),""%"",Q15=""Logging"",""+"",Q15"&amp;"=""Mining"",""+"",Q15=""Maxhp"",""%"",REGEXMATCH(Q15,""TemperatureResist_""),""+"",REGEXMATCH(Q15,""ElementResist_""),""%"",REGEXMATCH(Q15,""TemperatureInvalid_""),""bool"",REGEXMATCH(Q15,""BodyPartsWeakDamage""),""%"",REGEXMATCH(Q15,""ElementBoost_""),"""&amp;"%"",AND(REGEXMATCH(J15,""GiveA""),REGEXMATCH(Q15,""Element"")),""bool"")"),"#N/A")</f>
        <v>#N/A</v>
      </c>
      <c r="S15" s="6" t="n">
        <v>0</v>
      </c>
      <c r="T15" s="6"/>
      <c r="U15" s="319" t="b">
        <f aca="false">FALSE()</f>
        <v>0</v>
      </c>
      <c r="V15" s="319" t="b">
        <f aca="false">FALSE()</f>
        <v>0</v>
      </c>
      <c r="W15" s="319" t="b">
        <f aca="false">FALSE()</f>
        <v>0</v>
      </c>
      <c r="X15" s="319" t="b">
        <f aca="false">FALSE()</f>
        <v>0</v>
      </c>
      <c r="Y15" s="319" t="b">
        <f aca="false">FALSE()</f>
        <v>0</v>
      </c>
      <c r="Z15" s="319" t="b">
        <f aca="false">FALSE()</f>
        <v>0</v>
      </c>
      <c r="AA15" s="319" t="b">
        <f aca="false">FALSE()</f>
        <v>0</v>
      </c>
      <c r="AB15" s="319" t="b">
        <f aca="false">FALSE()</f>
        <v>0</v>
      </c>
      <c r="AC15" s="319" t="b">
        <f aca="false">FALSE()</f>
        <v>0</v>
      </c>
      <c r="AD15" s="319" t="b">
        <f aca="false">FALSE()</f>
        <v>0</v>
      </c>
      <c r="AE15" s="319" t="b">
        <f aca="false">FALSE()</f>
        <v>0</v>
      </c>
      <c r="AF15" s="319" t="b">
        <f aca="false">FALSE()</f>
        <v>0</v>
      </c>
      <c r="AG15" s="6" t="s">
        <v>182</v>
      </c>
      <c r="AH15" s="6" t="s">
        <v>182</v>
      </c>
    </row>
    <row r="16" customFormat="false" ht="15.75" hidden="false" customHeight="false" outlineLevel="0" collapsed="false">
      <c r="A16" s="1" t="e">
        <f aca="false">#N/A</f>
        <v>#N/A</v>
      </c>
      <c r="B16" s="6" t="s">
        <v>827</v>
      </c>
      <c r="C16" s="3"/>
      <c r="D16" s="6" t="str">
        <f aca="false">I16   &amp; IF(ISBLANK(M16),, ". "&amp; M16 &amp; IF(ISBLANK(Q16),, ". "&amp; Q16))</f>
        <v>ShotAttack</v>
      </c>
      <c r="E16" s="6" t="str">
        <f aca="false">I16  &amp;": # on "&amp; L16  &amp; IF(ISBLANK(M16),, ". "&amp; M16 &amp;": # on "&amp; P16 &amp; IF(ISBLANK(Q16),, ". "&amp; Q16 &amp;": # on "&amp; T16))</f>
        <v>ShotAttack: # on Self</v>
      </c>
      <c r="F16" s="6" t="str">
        <f aca="false">IF(U16,"active pal",)  &amp; IF(V16,"working",) &amp; IF(W16,"mounted",) &amp; IF(Y16,"in party (buff)",)  &amp; IF(Z16,"always",)</f>
        <v/>
      </c>
      <c r="G16" s="6" t="n">
        <v>1</v>
      </c>
      <c r="H16" s="6" t="s">
        <v>182</v>
      </c>
      <c r="I16" s="6" t="s">
        <v>659</v>
      </c>
      <c r="J16" s="6" t="str">
        <f aca="false">IFERROR(__xludf.dummyfunction("IFS(I16=""ShotAttack"",""%"",I16=""MeleeAttack"",""%"", I16=""Defense"",""%"",I16=""CraftSPeed"",""%"",I16=""LifeSteal"",""%"",I16=""MaxInventoryWeight"",""+"",I16=""MoveSpeed"",""%"",REGEXMATCH(I16,""ElementAddItemDrop_""),""%"",I16=""Logging"",""+"",I16"&amp;"=""Mining"",""+"",I16=""Maxhp"",""%"",REGEXMATCH(I16,""TemperatureResist_""),""+"",REGEXMATCH(I16,""ElementResist_""),""%"",REGEXMATCH(I16,""TemperatureInvalid_""),""bool"",REGEXMATCH(I16,""BodyPartsWeakDamage""),""%"",REGEXMATCH(I16,""ElementBoost_""),"""&amp;"%"",AND(REGEXMATCH(B16,""GiveA""),REGEXMATCH(I16,""Element"")),""bool"")"),"%")</f>
        <v>%</v>
      </c>
      <c r="K16" s="6" t="n">
        <v>50</v>
      </c>
      <c r="L16" s="6" t="s">
        <v>1956</v>
      </c>
      <c r="M16" s="6"/>
      <c r="N16" s="6" t="str">
        <f aca="false">IFERROR(__xludf.dummyfunction("IFS(M16=""ShotAttack"",""%"",M16=""MeleeAttack"",""%"", M16=""Defense"",""%"",M16=""CraftSPeed"",""%"",M16=""LifeSteal"",""%"",M16=""MaxInventoryWeight"",""+"",M16=""MoveSpeed"",""%"",REGEXMATCH(M16,""ElementAddItemDrop_""),""%"",M16=""Logging"",""+"",M16"&amp;"=""Mining"",""+"",M16=""Maxhp"",""%"",REGEXMATCH(M16,""TemperatureResist_""),""+"",REGEXMATCH(M16,""ElementResist_""),""%"",REGEXMATCH(M16,""TemperatureInvalid_""),""bool"",REGEXMATCH(M16,""BodyPartsWeakDamage""),""%"",REGEXMATCH(M16,""ElementBoost_""),"""&amp;"%"",AND(REGEXMATCH(F16,""GiveA""),REGEXMATCH(M16,""Element"")),""bool"")"),"#N/A")</f>
        <v>#N/A</v>
      </c>
      <c r="O16" s="6" t="n">
        <v>0</v>
      </c>
      <c r="P16" s="6"/>
      <c r="Q16" s="6"/>
      <c r="R16" s="6" t="str">
        <f aca="false">IFERROR(__xludf.dummyfunction("IFS(Q16=""ShotAttack"",""%"",Q16=""MeleeAttack"",""%"", Q16=""Defense"",""%"",Q16=""CraftSPeed"",""%"",Q16=""LifeSteal"",""%"",Q16=""MaxInventoryWeight"",""+"",Q16=""MoveSpeed"",""%"",REGEXMATCH(Q16,""ElementAddItemDrop_""),""%"",Q16=""Logging"",""+"",Q16"&amp;"=""Mining"",""+"",Q16=""Maxhp"",""%"",REGEXMATCH(Q16,""TemperatureResist_""),""+"",REGEXMATCH(Q16,""ElementResist_""),""%"",REGEXMATCH(Q16,""TemperatureInvalid_""),""bool"",REGEXMATCH(Q16,""BodyPartsWeakDamage""),""%"",REGEXMATCH(Q16,""ElementBoost_""),"""&amp;"%"",AND(REGEXMATCH(J16,""GiveA""),REGEXMATCH(Q16,""Element"")),""bool"")"),"#N/A")</f>
        <v>#N/A</v>
      </c>
      <c r="S16" s="6" t="n">
        <v>0</v>
      </c>
      <c r="T16" s="6"/>
      <c r="U16" s="319" t="b">
        <f aca="false">FALSE()</f>
        <v>0</v>
      </c>
      <c r="V16" s="319" t="b">
        <f aca="false">FALSE()</f>
        <v>0</v>
      </c>
      <c r="W16" s="319" t="b">
        <f aca="false">FALSE()</f>
        <v>0</v>
      </c>
      <c r="X16" s="319" t="b">
        <f aca="false">FALSE()</f>
        <v>0</v>
      </c>
      <c r="Y16" s="319" t="b">
        <f aca="false">FALSE()</f>
        <v>0</v>
      </c>
      <c r="Z16" s="319" t="b">
        <f aca="false">FALSE()</f>
        <v>0</v>
      </c>
      <c r="AA16" s="319" t="b">
        <f aca="false">FALSE()</f>
        <v>0</v>
      </c>
      <c r="AB16" s="319" t="b">
        <f aca="false">FALSE()</f>
        <v>0</v>
      </c>
      <c r="AC16" s="319" t="b">
        <f aca="false">FALSE()</f>
        <v>0</v>
      </c>
      <c r="AD16" s="319" t="b">
        <f aca="false">FALSE()</f>
        <v>0</v>
      </c>
      <c r="AE16" s="319" t="b">
        <f aca="false">FALSE()</f>
        <v>0</v>
      </c>
      <c r="AF16" s="319" t="b">
        <f aca="false">FALSE()</f>
        <v>0</v>
      </c>
      <c r="AG16" s="6" t="s">
        <v>182</v>
      </c>
      <c r="AH16" s="6" t="s">
        <v>182</v>
      </c>
    </row>
    <row r="17" customFormat="false" ht="15.75" hidden="false" customHeight="false" outlineLevel="0" collapsed="false">
      <c r="A17" s="1" t="e">
        <f aca="false">#N/A</f>
        <v>#N/A</v>
      </c>
      <c r="B17" s="6" t="s">
        <v>828</v>
      </c>
      <c r="C17" s="3"/>
      <c r="D17" s="6" t="str">
        <f aca="false">I17   &amp; IF(ISBLANK(M17),, ". "&amp; M17 &amp; IF(ISBLANK(Q17),, ". "&amp; Q17))</f>
        <v>ShotAttack</v>
      </c>
      <c r="E17" s="6" t="str">
        <f aca="false">I17  &amp;": # on "&amp; L17  &amp; IF(ISBLANK(M17),, ". "&amp; M17 &amp;": # on "&amp; P17 &amp; IF(ISBLANK(Q17),, ". "&amp; Q17 &amp;": # on "&amp; T17))</f>
        <v>ShotAttack: # on Self</v>
      </c>
      <c r="F17" s="6" t="str">
        <f aca="false">IF(U17,"active pal",)  &amp; IF(V17,"working",) &amp; IF(W17,"mounted",) &amp; IF(Y17,"in party (buff)",)  &amp; IF(Z17,"always",)</f>
        <v/>
      </c>
      <c r="G17" s="6" t="n">
        <v>1</v>
      </c>
      <c r="H17" s="6" t="s">
        <v>182</v>
      </c>
      <c r="I17" s="6" t="s">
        <v>659</v>
      </c>
      <c r="J17" s="6" t="str">
        <f aca="false">IFERROR(__xludf.dummyfunction("IFS(I17=""ShotAttack"",""%"",I17=""MeleeAttack"",""%"", I17=""Defense"",""%"",I17=""CraftSPeed"",""%"",I17=""LifeSteal"",""%"",I17=""MaxInventoryWeight"",""+"",I17=""MoveSpeed"",""%"",REGEXMATCH(I17,""ElementAddItemDrop_""),""%"",I17=""Logging"",""+"",I17"&amp;"=""Mining"",""+"",I17=""Maxhp"",""%"",REGEXMATCH(I17,""TemperatureResist_""),""+"",REGEXMATCH(I17,""ElementResist_""),""%"",REGEXMATCH(I17,""TemperatureInvalid_""),""bool"",REGEXMATCH(I17,""BodyPartsWeakDamage""),""%"",REGEXMATCH(I17,""ElementBoost_""),"""&amp;"%"",AND(REGEXMATCH(B17,""GiveA""),REGEXMATCH(I17,""Element"")),""bool"")"),"%")</f>
        <v>%</v>
      </c>
      <c r="K17" s="6" t="n">
        <v>75</v>
      </c>
      <c r="L17" s="6" t="s">
        <v>1956</v>
      </c>
      <c r="M17" s="6"/>
      <c r="N17" s="6" t="str">
        <f aca="false">IFERROR(__xludf.dummyfunction("IFS(M17=""ShotAttack"",""%"",M17=""MeleeAttack"",""%"", M17=""Defense"",""%"",M17=""CraftSPeed"",""%"",M17=""LifeSteal"",""%"",M17=""MaxInventoryWeight"",""+"",M17=""MoveSpeed"",""%"",REGEXMATCH(M17,""ElementAddItemDrop_""),""%"",M17=""Logging"",""+"",M17"&amp;"=""Mining"",""+"",M17=""Maxhp"",""%"",REGEXMATCH(M17,""TemperatureResist_""),""+"",REGEXMATCH(M17,""ElementResist_""),""%"",REGEXMATCH(M17,""TemperatureInvalid_""),""bool"",REGEXMATCH(M17,""BodyPartsWeakDamage""),""%"",REGEXMATCH(M17,""ElementBoost_""),"""&amp;"%"",AND(REGEXMATCH(F17,""GiveA""),REGEXMATCH(M17,""Element"")),""bool"")"),"#N/A")</f>
        <v>#N/A</v>
      </c>
      <c r="O17" s="6" t="n">
        <v>0</v>
      </c>
      <c r="P17" s="6"/>
      <c r="Q17" s="6"/>
      <c r="R17" s="6" t="str">
        <f aca="false">IFERROR(__xludf.dummyfunction("IFS(Q17=""ShotAttack"",""%"",Q17=""MeleeAttack"",""%"", Q17=""Defense"",""%"",Q17=""CraftSPeed"",""%"",Q17=""LifeSteal"",""%"",Q17=""MaxInventoryWeight"",""+"",Q17=""MoveSpeed"",""%"",REGEXMATCH(Q17,""ElementAddItemDrop_""),""%"",Q17=""Logging"",""+"",Q17"&amp;"=""Mining"",""+"",Q17=""Maxhp"",""%"",REGEXMATCH(Q17,""TemperatureResist_""),""+"",REGEXMATCH(Q17,""ElementResist_""),""%"",REGEXMATCH(Q17,""TemperatureInvalid_""),""bool"",REGEXMATCH(Q17,""BodyPartsWeakDamage""),""%"",REGEXMATCH(Q17,""ElementBoost_""),"""&amp;"%"",AND(REGEXMATCH(J17,""GiveA""),REGEXMATCH(Q17,""Element"")),""bool"")"),"#N/A")</f>
        <v>#N/A</v>
      </c>
      <c r="S17" s="6" t="n">
        <v>0</v>
      </c>
      <c r="T17" s="6"/>
      <c r="U17" s="319" t="b">
        <f aca="false">FALSE()</f>
        <v>0</v>
      </c>
      <c r="V17" s="319" t="b">
        <f aca="false">FALSE()</f>
        <v>0</v>
      </c>
      <c r="W17" s="319" t="b">
        <f aca="false">FALSE()</f>
        <v>0</v>
      </c>
      <c r="X17" s="319" t="b">
        <f aca="false">FALSE()</f>
        <v>0</v>
      </c>
      <c r="Y17" s="319" t="b">
        <f aca="false">FALSE()</f>
        <v>0</v>
      </c>
      <c r="Z17" s="319" t="b">
        <f aca="false">FALSE()</f>
        <v>0</v>
      </c>
      <c r="AA17" s="319" t="b">
        <f aca="false">FALSE()</f>
        <v>0</v>
      </c>
      <c r="AB17" s="319" t="b">
        <f aca="false">FALSE()</f>
        <v>0</v>
      </c>
      <c r="AC17" s="319" t="b">
        <f aca="false">FALSE()</f>
        <v>0</v>
      </c>
      <c r="AD17" s="319" t="b">
        <f aca="false">FALSE()</f>
        <v>0</v>
      </c>
      <c r="AE17" s="319" t="b">
        <f aca="false">FALSE()</f>
        <v>0</v>
      </c>
      <c r="AF17" s="319" t="b">
        <f aca="false">FALSE()</f>
        <v>0</v>
      </c>
      <c r="AG17" s="6" t="s">
        <v>182</v>
      </c>
      <c r="AH17" s="6" t="s">
        <v>182</v>
      </c>
    </row>
    <row r="18" customFormat="false" ht="15.75" hidden="false" customHeight="false" outlineLevel="0" collapsed="false">
      <c r="A18" s="1" t="e">
        <f aca="false">#N/A</f>
        <v>#N/A</v>
      </c>
      <c r="B18" s="6" t="s">
        <v>829</v>
      </c>
      <c r="C18" s="3"/>
      <c r="D18" s="6" t="str">
        <f aca="false">I18   &amp; IF(ISBLANK(M18),, ". "&amp; M18 &amp; IF(ISBLANK(Q18),, ". "&amp; Q18))</f>
        <v>ShotAttack</v>
      </c>
      <c r="E18" s="6" t="str">
        <f aca="false">I18  &amp;": # on "&amp; L18  &amp; IF(ISBLANK(M18),, ". "&amp; M18 &amp;": # on "&amp; P18 &amp; IF(ISBLANK(Q18),, ". "&amp; Q18 &amp;": # on "&amp; T18))</f>
        <v>ShotAttack: # on Self</v>
      </c>
      <c r="F18" s="6" t="str">
        <f aca="false">IF(U18,"active pal",)  &amp; IF(V18,"working",) &amp; IF(W18,"mounted",) &amp; IF(Y18,"in party (buff)",)  &amp; IF(Z18,"always",)</f>
        <v/>
      </c>
      <c r="G18" s="6" t="n">
        <v>2</v>
      </c>
      <c r="H18" s="6" t="s">
        <v>182</v>
      </c>
      <c r="I18" s="6" t="s">
        <v>659</v>
      </c>
      <c r="J18" s="6" t="str">
        <f aca="false">IFERROR(__xludf.dummyfunction("IFS(I18=""ShotAttack"",""%"",I18=""MeleeAttack"",""%"", I18=""Defense"",""%"",I18=""CraftSPeed"",""%"",I18=""LifeSteal"",""%"",I18=""MaxInventoryWeight"",""+"",I18=""MoveSpeed"",""%"",REGEXMATCH(I18,""ElementAddItemDrop_""),""%"",I18=""Logging"",""+"",I18"&amp;"=""Mining"",""+"",I18=""Maxhp"",""%"",REGEXMATCH(I18,""TemperatureResist_""),""+"",REGEXMATCH(I18,""ElementResist_""),""%"",REGEXMATCH(I18,""TemperatureInvalid_""),""bool"",REGEXMATCH(I18,""BodyPartsWeakDamage""),""%"",REGEXMATCH(I18,""ElementBoost_""),"""&amp;"%"",AND(REGEXMATCH(B18,""GiveA""),REGEXMATCH(I18,""Element"")),""bool"")"),"%")</f>
        <v>%</v>
      </c>
      <c r="K18" s="6" t="n">
        <v>110</v>
      </c>
      <c r="L18" s="6" t="s">
        <v>1956</v>
      </c>
      <c r="M18" s="6"/>
      <c r="N18" s="6" t="str">
        <f aca="false">IFERROR(__xludf.dummyfunction("IFS(M18=""ShotAttack"",""%"",M18=""MeleeAttack"",""%"", M18=""Defense"",""%"",M18=""CraftSPeed"",""%"",M18=""LifeSteal"",""%"",M18=""MaxInventoryWeight"",""+"",M18=""MoveSpeed"",""%"",REGEXMATCH(M18,""ElementAddItemDrop_""),""%"",M18=""Logging"",""+"",M18"&amp;"=""Mining"",""+"",M18=""Maxhp"",""%"",REGEXMATCH(M18,""TemperatureResist_""),""+"",REGEXMATCH(M18,""ElementResist_""),""%"",REGEXMATCH(M18,""TemperatureInvalid_""),""bool"",REGEXMATCH(M18,""BodyPartsWeakDamage""),""%"",REGEXMATCH(M18,""ElementBoost_""),"""&amp;"%"",AND(REGEXMATCH(F18,""GiveA""),REGEXMATCH(M18,""Element"")),""bool"")"),"#N/A")</f>
        <v>#N/A</v>
      </c>
      <c r="O18" s="6" t="n">
        <v>0</v>
      </c>
      <c r="P18" s="6"/>
      <c r="Q18" s="6"/>
      <c r="R18" s="6" t="str">
        <f aca="false">IFERROR(__xludf.dummyfunction("IFS(Q18=""ShotAttack"",""%"",Q18=""MeleeAttack"",""%"", Q18=""Defense"",""%"",Q18=""CraftSPeed"",""%"",Q18=""LifeSteal"",""%"",Q18=""MaxInventoryWeight"",""+"",Q18=""MoveSpeed"",""%"",REGEXMATCH(Q18,""ElementAddItemDrop_""),""%"",Q18=""Logging"",""+"",Q18"&amp;"=""Mining"",""+"",Q18=""Maxhp"",""%"",REGEXMATCH(Q18,""TemperatureResist_""),""+"",REGEXMATCH(Q18,""ElementResist_""),""%"",REGEXMATCH(Q18,""TemperatureInvalid_""),""bool"",REGEXMATCH(Q18,""BodyPartsWeakDamage""),""%"",REGEXMATCH(Q18,""ElementBoost_""),"""&amp;"%"",AND(REGEXMATCH(J18,""GiveA""),REGEXMATCH(Q18,""Element"")),""bool"")"),"#N/A")</f>
        <v>#N/A</v>
      </c>
      <c r="S18" s="6" t="n">
        <v>0</v>
      </c>
      <c r="T18" s="6"/>
      <c r="U18" s="319" t="b">
        <f aca="false">FALSE()</f>
        <v>0</v>
      </c>
      <c r="V18" s="319" t="b">
        <f aca="false">FALSE()</f>
        <v>0</v>
      </c>
      <c r="W18" s="319" t="b">
        <f aca="false">FALSE()</f>
        <v>0</v>
      </c>
      <c r="X18" s="319" t="b">
        <f aca="false">FALSE()</f>
        <v>0</v>
      </c>
      <c r="Y18" s="319" t="b">
        <f aca="false">FALSE()</f>
        <v>0</v>
      </c>
      <c r="Z18" s="319" t="b">
        <f aca="false">FALSE()</f>
        <v>0</v>
      </c>
      <c r="AA18" s="319" t="b">
        <f aca="false">FALSE()</f>
        <v>0</v>
      </c>
      <c r="AB18" s="319" t="b">
        <f aca="false">FALSE()</f>
        <v>0</v>
      </c>
      <c r="AC18" s="319" t="b">
        <f aca="false">FALSE()</f>
        <v>0</v>
      </c>
      <c r="AD18" s="319" t="b">
        <f aca="false">FALSE()</f>
        <v>0</v>
      </c>
      <c r="AE18" s="319" t="b">
        <f aca="false">FALSE()</f>
        <v>0</v>
      </c>
      <c r="AF18" s="319" t="b">
        <f aca="false">FALSE()</f>
        <v>0</v>
      </c>
      <c r="AG18" s="6" t="s">
        <v>182</v>
      </c>
      <c r="AH18" s="6" t="s">
        <v>182</v>
      </c>
    </row>
    <row r="19" customFormat="false" ht="15.75" hidden="false" customHeight="false" outlineLevel="0" collapsed="false">
      <c r="A19" s="1" t="e">
        <f aca="false">#N/A</f>
        <v>#N/A</v>
      </c>
      <c r="B19" s="6" t="s">
        <v>830</v>
      </c>
      <c r="C19" s="3"/>
      <c r="D19" s="6" t="str">
        <f aca="false">I19   &amp; IF(ISBLANK(M19),, ". "&amp; M19 &amp; IF(ISBLANK(Q19),, ". "&amp; Q19))</f>
        <v>ShotAttack</v>
      </c>
      <c r="E19" s="6" t="str">
        <f aca="false">I19  &amp;": # on "&amp; L19  &amp; IF(ISBLANK(M19),, ". "&amp; M19 &amp;": # on "&amp; P19 &amp; IF(ISBLANK(Q19),, ". "&amp; Q19 &amp;": # on "&amp; T19))</f>
        <v>ShotAttack: # on Self</v>
      </c>
      <c r="F19" s="6" t="str">
        <f aca="false">IF(U19,"active pal",)  &amp; IF(V19,"working",) &amp; IF(W19,"mounted",) &amp; IF(Y19,"in party (buff)",)  &amp; IF(Z19,"always",)</f>
        <v/>
      </c>
      <c r="G19" s="6" t="n">
        <v>2</v>
      </c>
      <c r="H19" s="6" t="s">
        <v>182</v>
      </c>
      <c r="I19" s="6" t="s">
        <v>659</v>
      </c>
      <c r="J19" s="6" t="str">
        <f aca="false">IFERROR(__xludf.dummyfunction("IFS(I19=""ShotAttack"",""%"",I19=""MeleeAttack"",""%"", I19=""Defense"",""%"",I19=""CraftSPeed"",""%"",I19=""LifeSteal"",""%"",I19=""MaxInventoryWeight"",""+"",I19=""MoveSpeed"",""%"",REGEXMATCH(I19,""ElementAddItemDrop_""),""%"",I19=""Logging"",""+"",I19"&amp;"=""Mining"",""+"",I19=""Maxhp"",""%"",REGEXMATCH(I19,""TemperatureResist_""),""+"",REGEXMATCH(I19,""ElementResist_""),""%"",REGEXMATCH(I19,""TemperatureInvalid_""),""bool"",REGEXMATCH(I19,""BodyPartsWeakDamage""),""%"",REGEXMATCH(I19,""ElementBoost_""),"""&amp;"%"",AND(REGEXMATCH(B19,""GiveA""),REGEXMATCH(I19,""Element"")),""bool"")"),"%")</f>
        <v>%</v>
      </c>
      <c r="K19" s="6" t="n">
        <v>150</v>
      </c>
      <c r="L19" s="6" t="s">
        <v>1956</v>
      </c>
      <c r="M19" s="6"/>
      <c r="N19" s="6" t="str">
        <f aca="false">IFERROR(__xludf.dummyfunction("IFS(M19=""ShotAttack"",""%"",M19=""MeleeAttack"",""%"", M19=""Defense"",""%"",M19=""CraftSPeed"",""%"",M19=""LifeSteal"",""%"",M19=""MaxInventoryWeight"",""+"",M19=""MoveSpeed"",""%"",REGEXMATCH(M19,""ElementAddItemDrop_""),""%"",M19=""Logging"",""+"",M19"&amp;"=""Mining"",""+"",M19=""Maxhp"",""%"",REGEXMATCH(M19,""TemperatureResist_""),""+"",REGEXMATCH(M19,""ElementResist_""),""%"",REGEXMATCH(M19,""TemperatureInvalid_""),""bool"",REGEXMATCH(M19,""BodyPartsWeakDamage""),""%"",REGEXMATCH(M19,""ElementBoost_""),"""&amp;"%"",AND(REGEXMATCH(F19,""GiveA""),REGEXMATCH(M19,""Element"")),""bool"")"),"#N/A")</f>
        <v>#N/A</v>
      </c>
      <c r="O19" s="6" t="n">
        <v>0</v>
      </c>
      <c r="P19" s="6"/>
      <c r="Q19" s="6"/>
      <c r="R19" s="6" t="str">
        <f aca="false">IFERROR(__xludf.dummyfunction("IFS(Q19=""ShotAttack"",""%"",Q19=""MeleeAttack"",""%"", Q19=""Defense"",""%"",Q19=""CraftSPeed"",""%"",Q19=""LifeSteal"",""%"",Q19=""MaxInventoryWeight"",""+"",Q19=""MoveSpeed"",""%"",REGEXMATCH(Q19,""ElementAddItemDrop_""),""%"",Q19=""Logging"",""+"",Q19"&amp;"=""Mining"",""+"",Q19=""Maxhp"",""%"",REGEXMATCH(Q19,""TemperatureResist_""),""+"",REGEXMATCH(Q19,""ElementResist_""),""%"",REGEXMATCH(Q19,""TemperatureInvalid_""),""bool"",REGEXMATCH(Q19,""BodyPartsWeakDamage""),""%"",REGEXMATCH(Q19,""ElementBoost_""),"""&amp;"%"",AND(REGEXMATCH(J19,""GiveA""),REGEXMATCH(Q19,""Element"")),""bool"")"),"#N/A")</f>
        <v>#N/A</v>
      </c>
      <c r="S19" s="6" t="n">
        <v>0</v>
      </c>
      <c r="T19" s="6"/>
      <c r="U19" s="319" t="b">
        <f aca="false">FALSE()</f>
        <v>0</v>
      </c>
      <c r="V19" s="319" t="b">
        <f aca="false">FALSE()</f>
        <v>0</v>
      </c>
      <c r="W19" s="319" t="b">
        <f aca="false">FALSE()</f>
        <v>0</v>
      </c>
      <c r="X19" s="319" t="b">
        <f aca="false">FALSE()</f>
        <v>0</v>
      </c>
      <c r="Y19" s="319" t="b">
        <f aca="false">FALSE()</f>
        <v>0</v>
      </c>
      <c r="Z19" s="319" t="b">
        <f aca="false">FALSE()</f>
        <v>0</v>
      </c>
      <c r="AA19" s="319" t="b">
        <f aca="false">FALSE()</f>
        <v>0</v>
      </c>
      <c r="AB19" s="319" t="b">
        <f aca="false">FALSE()</f>
        <v>0</v>
      </c>
      <c r="AC19" s="319" t="b">
        <f aca="false">FALSE()</f>
        <v>0</v>
      </c>
      <c r="AD19" s="319" t="b">
        <f aca="false">FALSE()</f>
        <v>0</v>
      </c>
      <c r="AE19" s="319" t="b">
        <f aca="false">FALSE()</f>
        <v>0</v>
      </c>
      <c r="AF19" s="319" t="b">
        <f aca="false">FALSE()</f>
        <v>0</v>
      </c>
      <c r="AG19" s="6" t="s">
        <v>182</v>
      </c>
      <c r="AH19" s="6" t="s">
        <v>182</v>
      </c>
    </row>
    <row r="20" customFormat="false" ht="15.75" hidden="false" customHeight="false" outlineLevel="0" collapsed="false">
      <c r="A20" s="1" t="e">
        <f aca="false">#N/A</f>
        <v>#N/A</v>
      </c>
      <c r="B20" s="6" t="s">
        <v>831</v>
      </c>
      <c r="C20" s="3"/>
      <c r="D20" s="6" t="str">
        <f aca="false">I20   &amp; IF(ISBLANK(M20),, ". "&amp; M20 &amp; IF(ISBLANK(Q20),, ". "&amp; Q20))</f>
        <v>ShotAttack</v>
      </c>
      <c r="E20" s="6" t="str">
        <f aca="false">I20  &amp;": # on "&amp; L20  &amp; IF(ISBLANK(M20),, ". "&amp; M20 &amp;": # on "&amp; P20 &amp; IF(ISBLANK(Q20),, ". "&amp; Q20 &amp;": # on "&amp; T20))</f>
        <v>ShotAttack: # on Self</v>
      </c>
      <c r="F20" s="6" t="str">
        <f aca="false">IF(U20,"active pal",)  &amp; IF(V20,"working",) &amp; IF(W20,"mounted",) &amp; IF(Y20,"in party (buff)",)  &amp; IF(Z20,"always",)</f>
        <v/>
      </c>
      <c r="G20" s="6" t="n">
        <v>3</v>
      </c>
      <c r="H20" s="6" t="s">
        <v>182</v>
      </c>
      <c r="I20" s="6" t="s">
        <v>659</v>
      </c>
      <c r="J20" s="6" t="str">
        <f aca="false">IFERROR(__xludf.dummyfunction("IFS(I20=""ShotAttack"",""%"",I20=""MeleeAttack"",""%"", I20=""Defense"",""%"",I20=""CraftSPeed"",""%"",I20=""LifeSteal"",""%"",I20=""MaxInventoryWeight"",""+"",I20=""MoveSpeed"",""%"",REGEXMATCH(I20,""ElementAddItemDrop_""),""%"",I20=""Logging"",""+"",I20"&amp;"=""Mining"",""+"",I20=""Maxhp"",""%"",REGEXMATCH(I20,""TemperatureResist_""),""+"",REGEXMATCH(I20,""ElementResist_""),""%"",REGEXMATCH(I20,""TemperatureInvalid_""),""bool"",REGEXMATCH(I20,""BodyPartsWeakDamage""),""%"",REGEXMATCH(I20,""ElementBoost_""),"""&amp;"%"",AND(REGEXMATCH(B20,""GiveA""),REGEXMATCH(I20,""Element"")),""bool"")"),"%")</f>
        <v>%</v>
      </c>
      <c r="K20" s="6" t="n">
        <v>200</v>
      </c>
      <c r="L20" s="6" t="s">
        <v>1956</v>
      </c>
      <c r="M20" s="6"/>
      <c r="N20" s="6" t="str">
        <f aca="false">IFERROR(__xludf.dummyfunction("IFS(M20=""ShotAttack"",""%"",M20=""MeleeAttack"",""%"", M20=""Defense"",""%"",M20=""CraftSPeed"",""%"",M20=""LifeSteal"",""%"",M20=""MaxInventoryWeight"",""+"",M20=""MoveSpeed"",""%"",REGEXMATCH(M20,""ElementAddItemDrop_""),""%"",M20=""Logging"",""+"",M20"&amp;"=""Mining"",""+"",M20=""Maxhp"",""%"",REGEXMATCH(M20,""TemperatureResist_""),""+"",REGEXMATCH(M20,""ElementResist_""),""%"",REGEXMATCH(M20,""TemperatureInvalid_""),""bool"",REGEXMATCH(M20,""BodyPartsWeakDamage""),""%"",REGEXMATCH(M20,""ElementBoost_""),"""&amp;"%"",AND(REGEXMATCH(F20,""GiveA""),REGEXMATCH(M20,""Element"")),""bool"")"),"#N/A")</f>
        <v>#N/A</v>
      </c>
      <c r="O20" s="6" t="n">
        <v>0</v>
      </c>
      <c r="P20" s="6"/>
      <c r="Q20" s="6"/>
      <c r="R20" s="6" t="str">
        <f aca="false">IFERROR(__xludf.dummyfunction("IFS(Q20=""ShotAttack"",""%"",Q20=""MeleeAttack"",""%"", Q20=""Defense"",""%"",Q20=""CraftSPeed"",""%"",Q20=""LifeSteal"",""%"",Q20=""MaxInventoryWeight"",""+"",Q20=""MoveSpeed"",""%"",REGEXMATCH(Q20,""ElementAddItemDrop_""),""%"",Q20=""Logging"",""+"",Q20"&amp;"=""Mining"",""+"",Q20=""Maxhp"",""%"",REGEXMATCH(Q20,""TemperatureResist_""),""+"",REGEXMATCH(Q20,""ElementResist_""),""%"",REGEXMATCH(Q20,""TemperatureInvalid_""),""bool"",REGEXMATCH(Q20,""BodyPartsWeakDamage""),""%"",REGEXMATCH(Q20,""ElementBoost_""),"""&amp;"%"",AND(REGEXMATCH(J20,""GiveA""),REGEXMATCH(Q20,""Element"")),""bool"")"),"#N/A")</f>
        <v>#N/A</v>
      </c>
      <c r="S20" s="6" t="n">
        <v>0</v>
      </c>
      <c r="T20" s="6"/>
      <c r="U20" s="319" t="b">
        <f aca="false">FALSE()</f>
        <v>0</v>
      </c>
      <c r="V20" s="319" t="b">
        <f aca="false">FALSE()</f>
        <v>0</v>
      </c>
      <c r="W20" s="319" t="b">
        <f aca="false">FALSE()</f>
        <v>0</v>
      </c>
      <c r="X20" s="319" t="b">
        <f aca="false">FALSE()</f>
        <v>0</v>
      </c>
      <c r="Y20" s="319" t="b">
        <f aca="false">FALSE()</f>
        <v>0</v>
      </c>
      <c r="Z20" s="319" t="b">
        <f aca="false">FALSE()</f>
        <v>0</v>
      </c>
      <c r="AA20" s="319" t="b">
        <f aca="false">FALSE()</f>
        <v>0</v>
      </c>
      <c r="AB20" s="319" t="b">
        <f aca="false">FALSE()</f>
        <v>0</v>
      </c>
      <c r="AC20" s="319" t="b">
        <f aca="false">FALSE()</f>
        <v>0</v>
      </c>
      <c r="AD20" s="319" t="b">
        <f aca="false">FALSE()</f>
        <v>0</v>
      </c>
      <c r="AE20" s="319" t="b">
        <f aca="false">FALSE()</f>
        <v>0</v>
      </c>
      <c r="AF20" s="319" t="b">
        <f aca="false">FALSE()</f>
        <v>0</v>
      </c>
      <c r="AG20" s="6" t="s">
        <v>182</v>
      </c>
      <c r="AH20" s="6" t="s">
        <v>182</v>
      </c>
    </row>
    <row r="21" customFormat="false" ht="15.75" hidden="false" customHeight="false" outlineLevel="0" collapsed="false">
      <c r="A21" s="3" t="s">
        <v>1976</v>
      </c>
      <c r="B21" s="6" t="s">
        <v>1977</v>
      </c>
      <c r="C21" s="3"/>
      <c r="D21" s="6" t="str">
        <f aca="false">I21   &amp; IF(ISBLANK(M21),, ". "&amp; M21 &amp; IF(ISBLANK(Q21),, ". "&amp; Q21))</f>
        <v>Defense</v>
      </c>
      <c r="E21" s="6" t="str">
        <f aca="false">I21  &amp;": # on "&amp; L21  &amp; IF(ISBLANK(M21),, ". "&amp; M21 &amp;": # on "&amp; P21 &amp; IF(ISBLANK(Q21),, ". "&amp; Q21 &amp;": # on "&amp; T21))</f>
        <v>Defense: # on Self</v>
      </c>
      <c r="F21" s="6" t="str">
        <f aca="false">IF(U21,"active pal",)  &amp; IF(V21,"working",) &amp; IF(W21,"mounted",) &amp; IF(Y21,"in party (buff)",)  &amp; IF(Z21,"always",)</f>
        <v/>
      </c>
      <c r="G21" s="6" t="n">
        <v>1</v>
      </c>
      <c r="H21" s="6" t="s">
        <v>182</v>
      </c>
      <c r="I21" s="6" t="s">
        <v>175</v>
      </c>
      <c r="J21" s="6" t="str">
        <f aca="false">IFERROR(__xludf.dummyfunction("IFS(I21=""ShotAttack"",""%"",I21=""MeleeAttack"",""%"", I21=""Defense"",""%"",I21=""CraftSPeed"",""%"",I21=""LifeSteal"",""%"",I21=""MaxInventoryWeight"",""+"",I21=""MoveSpeed"",""%"",REGEXMATCH(I21,""ElementAddItemDrop_""),""%"",I21=""Logging"",""+"",I21"&amp;"=""Mining"",""+"",I21=""Maxhp"",""%"",REGEXMATCH(I21,""TemperatureResist_""),""+"",REGEXMATCH(I21,""ElementResist_""),""%"",REGEXMATCH(I21,""TemperatureInvalid_""),""bool"",REGEXMATCH(I21,""BodyPartsWeakDamage""),""%"",REGEXMATCH(I21,""ElementBoost_""),"""&amp;"%"",AND(REGEXMATCH(B21,""GiveA""),REGEXMATCH(I21,""Element"")),""bool"")"),"%")</f>
        <v>%</v>
      </c>
      <c r="K21" s="6" t="n">
        <v>10</v>
      </c>
      <c r="L21" s="6" t="s">
        <v>1956</v>
      </c>
      <c r="M21" s="6"/>
      <c r="N21" s="6" t="str">
        <f aca="false">IFERROR(__xludf.dummyfunction("IFS(M21=""ShotAttack"",""%"",M21=""MeleeAttack"",""%"", M21=""Defense"",""%"",M21=""CraftSPeed"",""%"",M21=""LifeSteal"",""%"",M21=""MaxInventoryWeight"",""+"",M21=""MoveSpeed"",""%"",REGEXMATCH(M21,""ElementAddItemDrop_""),""%"",M21=""Logging"",""+"",M21"&amp;"=""Mining"",""+"",M21=""Maxhp"",""%"",REGEXMATCH(M21,""TemperatureResist_""),""+"",REGEXMATCH(M21,""ElementResist_""),""%"",REGEXMATCH(M21,""TemperatureInvalid_""),""bool"",REGEXMATCH(M21,""BodyPartsWeakDamage""),""%"",REGEXMATCH(M21,""ElementBoost_""),"""&amp;"%"",AND(REGEXMATCH(F21,""GiveA""),REGEXMATCH(M21,""Element"")),""bool"")"),"#N/A")</f>
        <v>#N/A</v>
      </c>
      <c r="O21" s="6" t="n">
        <v>0</v>
      </c>
      <c r="P21" s="6"/>
      <c r="Q21" s="6"/>
      <c r="R21" s="6" t="str">
        <f aca="false">IFERROR(__xludf.dummyfunction("IFS(Q21=""ShotAttack"",""%"",Q21=""MeleeAttack"",""%"", Q21=""Defense"",""%"",Q21=""CraftSPeed"",""%"",Q21=""LifeSteal"",""%"",Q21=""MaxInventoryWeight"",""+"",Q21=""MoveSpeed"",""%"",REGEXMATCH(Q21,""ElementAddItemDrop_""),""%"",Q21=""Logging"",""+"",Q21"&amp;"=""Mining"",""+"",Q21=""Maxhp"",""%"",REGEXMATCH(Q21,""TemperatureResist_""),""+"",REGEXMATCH(Q21,""ElementResist_""),""%"",REGEXMATCH(Q21,""TemperatureInvalid_""),""bool"",REGEXMATCH(Q21,""BodyPartsWeakDamage""),""%"",REGEXMATCH(Q21,""ElementBoost_""),"""&amp;"%"",AND(REGEXMATCH(J21,""GiveA""),REGEXMATCH(Q21,""Element"")),""bool"")"),"#N/A")</f>
        <v>#N/A</v>
      </c>
      <c r="S21" s="6" t="n">
        <v>0</v>
      </c>
      <c r="T21" s="6"/>
      <c r="U21" s="319" t="b">
        <f aca="false">FALSE()</f>
        <v>0</v>
      </c>
      <c r="V21" s="319" t="b">
        <f aca="false">FALSE()</f>
        <v>0</v>
      </c>
      <c r="W21" s="319" t="b">
        <f aca="false">FALSE()</f>
        <v>0</v>
      </c>
      <c r="X21" s="319" t="b">
        <f aca="false">FALSE()</f>
        <v>0</v>
      </c>
      <c r="Y21" s="319" t="b">
        <f aca="false">FALSE()</f>
        <v>0</v>
      </c>
      <c r="Z21" s="319" t="b">
        <f aca="false">FALSE()</f>
        <v>0</v>
      </c>
      <c r="AA21" s="319" t="b">
        <f aca="false">FALSE()</f>
        <v>0</v>
      </c>
      <c r="AB21" s="319" t="b">
        <f aca="false">FALSE()</f>
        <v>0</v>
      </c>
      <c r="AC21" s="319" t="b">
        <f aca="false">FALSE()</f>
        <v>0</v>
      </c>
      <c r="AD21" s="319" t="b">
        <f aca="false">FALSE()</f>
        <v>0</v>
      </c>
      <c r="AE21" s="319" t="b">
        <f aca="false">FALSE()</f>
        <v>0</v>
      </c>
      <c r="AF21" s="319" t="b">
        <f aca="false">FALSE()</f>
        <v>0</v>
      </c>
      <c r="AG21" s="6" t="s">
        <v>182</v>
      </c>
      <c r="AH21" s="6" t="s">
        <v>182</v>
      </c>
    </row>
    <row r="22" customFormat="false" ht="15.75" hidden="false" customHeight="false" outlineLevel="0" collapsed="false">
      <c r="A22" s="3" t="s">
        <v>1978</v>
      </c>
      <c r="B22" s="6" t="s">
        <v>1979</v>
      </c>
      <c r="C22" s="3"/>
      <c r="D22" s="6" t="str">
        <f aca="false">I22   &amp; IF(ISBLANK(M22),, ". "&amp; M22 &amp; IF(ISBLANK(Q22),, ". "&amp; Q22))</f>
        <v>Defense</v>
      </c>
      <c r="E22" s="6" t="str">
        <f aca="false">I22  &amp;": # on "&amp; L22  &amp; IF(ISBLANK(M22),, ". "&amp; M22 &amp;": # on "&amp; P22 &amp; IF(ISBLANK(Q22),, ". "&amp; Q22 &amp;": # on "&amp; T22))</f>
        <v>Defense: # on Self</v>
      </c>
      <c r="F22" s="6" t="str">
        <f aca="false">IF(U22,"active pal",)  &amp; IF(V22,"working",) &amp; IF(W22,"mounted",) &amp; IF(Y22,"in party (buff)",)  &amp; IF(Z22,"always",)</f>
        <v/>
      </c>
      <c r="G22" s="6" t="n">
        <v>2</v>
      </c>
      <c r="H22" s="6" t="s">
        <v>182</v>
      </c>
      <c r="I22" s="6" t="s">
        <v>175</v>
      </c>
      <c r="J22" s="6" t="str">
        <f aca="false">IFERROR(__xludf.dummyfunction("IFS(I22=""ShotAttack"",""%"",I22=""MeleeAttack"",""%"", I22=""Defense"",""%"",I22=""CraftSPeed"",""%"",I22=""LifeSteal"",""%"",I22=""MaxInventoryWeight"",""+"",I22=""MoveSpeed"",""%"",REGEXMATCH(I22,""ElementAddItemDrop_""),""%"",I22=""Logging"",""+"",I22"&amp;"=""Mining"",""+"",I22=""Maxhp"",""%"",REGEXMATCH(I22,""TemperatureResist_""),""+"",REGEXMATCH(I22,""ElementResist_""),""%"",REGEXMATCH(I22,""TemperatureInvalid_""),""bool"",REGEXMATCH(I22,""BodyPartsWeakDamage""),""%"",REGEXMATCH(I22,""ElementBoost_""),"""&amp;"%"",AND(REGEXMATCH(B22,""GiveA""),REGEXMATCH(I22,""Element"")),""bool"")"),"%")</f>
        <v>%</v>
      </c>
      <c r="K22" s="6" t="n">
        <v>20</v>
      </c>
      <c r="L22" s="6" t="s">
        <v>1956</v>
      </c>
      <c r="M22" s="6"/>
      <c r="N22" s="6" t="str">
        <f aca="false">IFERROR(__xludf.dummyfunction("IFS(M22=""ShotAttack"",""%"",M22=""MeleeAttack"",""%"", M22=""Defense"",""%"",M22=""CraftSPeed"",""%"",M22=""LifeSteal"",""%"",M22=""MaxInventoryWeight"",""+"",M22=""MoveSpeed"",""%"",REGEXMATCH(M22,""ElementAddItemDrop_""),""%"",M22=""Logging"",""+"",M22"&amp;"=""Mining"",""+"",M22=""Maxhp"",""%"",REGEXMATCH(M22,""TemperatureResist_""),""+"",REGEXMATCH(M22,""ElementResist_""),""%"",REGEXMATCH(M22,""TemperatureInvalid_""),""bool"",REGEXMATCH(M22,""BodyPartsWeakDamage""),""%"",REGEXMATCH(M22,""ElementBoost_""),"""&amp;"%"",AND(REGEXMATCH(F22,""GiveA""),REGEXMATCH(M22,""Element"")),""bool"")"),"#N/A")</f>
        <v>#N/A</v>
      </c>
      <c r="O22" s="6" t="n">
        <v>0</v>
      </c>
      <c r="P22" s="6"/>
      <c r="Q22" s="6"/>
      <c r="R22" s="6" t="str">
        <f aca="false">IFERROR(__xludf.dummyfunction("IFS(Q22=""ShotAttack"",""%"",Q22=""MeleeAttack"",""%"", Q22=""Defense"",""%"",Q22=""CraftSPeed"",""%"",Q22=""LifeSteal"",""%"",Q22=""MaxInventoryWeight"",""+"",Q22=""MoveSpeed"",""%"",REGEXMATCH(Q22,""ElementAddItemDrop_""),""%"",Q22=""Logging"",""+"",Q22"&amp;"=""Mining"",""+"",Q22=""Maxhp"",""%"",REGEXMATCH(Q22,""TemperatureResist_""),""+"",REGEXMATCH(Q22,""ElementResist_""),""%"",REGEXMATCH(Q22,""TemperatureInvalid_""),""bool"",REGEXMATCH(Q22,""BodyPartsWeakDamage""),""%"",REGEXMATCH(Q22,""ElementBoost_""),"""&amp;"%"",AND(REGEXMATCH(J22,""GiveA""),REGEXMATCH(Q22,""Element"")),""bool"")"),"#N/A")</f>
        <v>#N/A</v>
      </c>
      <c r="S22" s="6" t="n">
        <v>0</v>
      </c>
      <c r="T22" s="6"/>
      <c r="U22" s="319" t="b">
        <f aca="false">FALSE()</f>
        <v>0</v>
      </c>
      <c r="V22" s="319" t="b">
        <f aca="false">FALSE()</f>
        <v>0</v>
      </c>
      <c r="W22" s="319" t="b">
        <f aca="false">FALSE()</f>
        <v>0</v>
      </c>
      <c r="X22" s="319" t="b">
        <f aca="false">FALSE()</f>
        <v>0</v>
      </c>
      <c r="Y22" s="319" t="b">
        <f aca="false">FALSE()</f>
        <v>0</v>
      </c>
      <c r="Z22" s="319" t="b">
        <f aca="false">FALSE()</f>
        <v>0</v>
      </c>
      <c r="AA22" s="319" t="b">
        <f aca="false">FALSE()</f>
        <v>0</v>
      </c>
      <c r="AB22" s="319" t="b">
        <f aca="false">FALSE()</f>
        <v>0</v>
      </c>
      <c r="AC22" s="319" t="b">
        <f aca="false">FALSE()</f>
        <v>0</v>
      </c>
      <c r="AD22" s="319" t="b">
        <f aca="false">FALSE()</f>
        <v>0</v>
      </c>
      <c r="AE22" s="319" t="b">
        <f aca="false">FALSE()</f>
        <v>0</v>
      </c>
      <c r="AF22" s="319" t="b">
        <f aca="false">FALSE()</f>
        <v>0</v>
      </c>
      <c r="AG22" s="6" t="s">
        <v>182</v>
      </c>
      <c r="AH22" s="6" t="s">
        <v>182</v>
      </c>
    </row>
    <row r="23" customFormat="false" ht="15.75" hidden="false" customHeight="false" outlineLevel="0" collapsed="false">
      <c r="A23" s="3" t="s">
        <v>1980</v>
      </c>
      <c r="B23" s="6" t="s">
        <v>1981</v>
      </c>
      <c r="C23" s="3"/>
      <c r="D23" s="6" t="str">
        <f aca="false">I23   &amp; IF(ISBLANK(M23),, ". "&amp; M23 &amp; IF(ISBLANK(Q23),, ". "&amp; Q23))</f>
        <v>Defense</v>
      </c>
      <c r="E23" s="6" t="str">
        <f aca="false">I23  &amp;": # on "&amp; L23  &amp; IF(ISBLANK(M23),, ". "&amp; M23 &amp;": # on "&amp; P23 &amp; IF(ISBLANK(Q23),, ". "&amp; Q23 &amp;": # on "&amp; T23))</f>
        <v>Defense: # on Self</v>
      </c>
      <c r="F23" s="6" t="str">
        <f aca="false">IF(U23,"active pal",)  &amp; IF(V23,"working",) &amp; IF(W23,"mounted",) &amp; IF(Y23,"in party (buff)",)  &amp; IF(Z23,"always",)</f>
        <v/>
      </c>
      <c r="G23" s="6" t="n">
        <v>3</v>
      </c>
      <c r="H23" s="6" t="s">
        <v>182</v>
      </c>
      <c r="I23" s="6" t="s">
        <v>175</v>
      </c>
      <c r="J23" s="6" t="str">
        <f aca="false">IFERROR(__xludf.dummyfunction("IFS(I23=""ShotAttack"",""%"",I23=""MeleeAttack"",""%"", I23=""Defense"",""%"",I23=""CraftSPeed"",""%"",I23=""LifeSteal"",""%"",I23=""MaxInventoryWeight"",""+"",I23=""MoveSpeed"",""%"",REGEXMATCH(I23,""ElementAddItemDrop_""),""%"",I23=""Logging"",""+"",I23"&amp;"=""Mining"",""+"",I23=""Maxhp"",""%"",REGEXMATCH(I23,""TemperatureResist_""),""+"",REGEXMATCH(I23,""ElementResist_""),""%"",REGEXMATCH(I23,""TemperatureInvalid_""),""bool"",REGEXMATCH(I23,""BodyPartsWeakDamage""),""%"",REGEXMATCH(I23,""ElementBoost_""),"""&amp;"%"",AND(REGEXMATCH(B23,""GiveA""),REGEXMATCH(I23,""Element"")),""bool"")"),"%")</f>
        <v>%</v>
      </c>
      <c r="K23" s="6" t="n">
        <v>30</v>
      </c>
      <c r="L23" s="6" t="s">
        <v>1956</v>
      </c>
      <c r="M23" s="6"/>
      <c r="N23" s="6" t="str">
        <f aca="false">IFERROR(__xludf.dummyfunction("IFS(M23=""ShotAttack"",""%"",M23=""MeleeAttack"",""%"", M23=""Defense"",""%"",M23=""CraftSPeed"",""%"",M23=""LifeSteal"",""%"",M23=""MaxInventoryWeight"",""+"",M23=""MoveSpeed"",""%"",REGEXMATCH(M23,""ElementAddItemDrop_""),""%"",M23=""Logging"",""+"",M23"&amp;"=""Mining"",""+"",M23=""Maxhp"",""%"",REGEXMATCH(M23,""TemperatureResist_""),""+"",REGEXMATCH(M23,""ElementResist_""),""%"",REGEXMATCH(M23,""TemperatureInvalid_""),""bool"",REGEXMATCH(M23,""BodyPartsWeakDamage""),""%"",REGEXMATCH(M23,""ElementBoost_""),"""&amp;"%"",AND(REGEXMATCH(F23,""GiveA""),REGEXMATCH(M23,""Element"")),""bool"")"),"#N/A")</f>
        <v>#N/A</v>
      </c>
      <c r="O23" s="6" t="n">
        <v>0</v>
      </c>
      <c r="P23" s="6"/>
      <c r="Q23" s="6"/>
      <c r="R23" s="6" t="str">
        <f aca="false">IFERROR(__xludf.dummyfunction("IFS(Q23=""ShotAttack"",""%"",Q23=""MeleeAttack"",""%"", Q23=""Defense"",""%"",Q23=""CraftSPeed"",""%"",Q23=""LifeSteal"",""%"",Q23=""MaxInventoryWeight"",""+"",Q23=""MoveSpeed"",""%"",REGEXMATCH(Q23,""ElementAddItemDrop_""),""%"",Q23=""Logging"",""+"",Q23"&amp;"=""Mining"",""+"",Q23=""Maxhp"",""%"",REGEXMATCH(Q23,""TemperatureResist_""),""+"",REGEXMATCH(Q23,""ElementResist_""),""%"",REGEXMATCH(Q23,""TemperatureInvalid_""),""bool"",REGEXMATCH(Q23,""BodyPartsWeakDamage""),""%"",REGEXMATCH(Q23,""ElementBoost_""),"""&amp;"%"",AND(REGEXMATCH(J23,""GiveA""),REGEXMATCH(Q23,""Element"")),""bool"")"),"#N/A")</f>
        <v>#N/A</v>
      </c>
      <c r="S23" s="6" t="n">
        <v>0</v>
      </c>
      <c r="T23" s="6"/>
      <c r="U23" s="319" t="b">
        <f aca="false">FALSE()</f>
        <v>0</v>
      </c>
      <c r="V23" s="319" t="b">
        <f aca="false">FALSE()</f>
        <v>0</v>
      </c>
      <c r="W23" s="319" t="b">
        <f aca="false">FALSE()</f>
        <v>0</v>
      </c>
      <c r="X23" s="319" t="b">
        <f aca="false">FALSE()</f>
        <v>0</v>
      </c>
      <c r="Y23" s="319" t="b">
        <f aca="false">FALSE()</f>
        <v>0</v>
      </c>
      <c r="Z23" s="319" t="b">
        <f aca="false">FALSE()</f>
        <v>0</v>
      </c>
      <c r="AA23" s="319" t="b">
        <f aca="false">FALSE()</f>
        <v>0</v>
      </c>
      <c r="AB23" s="319" t="b">
        <f aca="false">FALSE()</f>
        <v>0</v>
      </c>
      <c r="AC23" s="319" t="b">
        <f aca="false">FALSE()</f>
        <v>0</v>
      </c>
      <c r="AD23" s="319" t="b">
        <f aca="false">FALSE()</f>
        <v>0</v>
      </c>
      <c r="AE23" s="319" t="b">
        <f aca="false">FALSE()</f>
        <v>0</v>
      </c>
      <c r="AF23" s="319" t="b">
        <f aca="false">FALSE()</f>
        <v>0</v>
      </c>
      <c r="AG23" s="6" t="s">
        <v>182</v>
      </c>
      <c r="AH23" s="6" t="s">
        <v>182</v>
      </c>
    </row>
    <row r="24" customFormat="false" ht="15.75" hidden="false" customHeight="false" outlineLevel="0" collapsed="false">
      <c r="A24" s="3" t="s">
        <v>1982</v>
      </c>
      <c r="B24" s="6" t="s">
        <v>1983</v>
      </c>
      <c r="C24" s="3"/>
      <c r="D24" s="6" t="str">
        <f aca="false">I24   &amp; IF(ISBLANK(M24),, ". "&amp; M24 &amp; IF(ISBLANK(Q24),, ". "&amp; Q24))</f>
        <v>CraftSpeed</v>
      </c>
      <c r="E24" s="6" t="str">
        <f aca="false">I24  &amp;": # on "&amp; L24  &amp; IF(ISBLANK(M24),, ". "&amp; M24 &amp;": # on "&amp; P24 &amp; IF(ISBLANK(Q24),, ". "&amp; Q24 &amp;": # on "&amp; T24))</f>
        <v>CraftSpeed: # on Self</v>
      </c>
      <c r="F24" s="6" t="str">
        <f aca="false">IF(U24,"active pal",)  &amp; IF(V24,"working",) &amp; IF(W24,"mounted",) &amp; IF(Y24,"in party (buff)",)  &amp; IF(Z24,"always",)</f>
        <v>working</v>
      </c>
      <c r="G24" s="6" t="n">
        <v>1</v>
      </c>
      <c r="H24" s="6" t="s">
        <v>182</v>
      </c>
      <c r="I24" s="6" t="s">
        <v>661</v>
      </c>
      <c r="J24" s="6" t="str">
        <f aca="false">IFERROR(__xludf.dummyfunction("IFS(I24=""ShotAttack"",""%"",I24=""MeleeAttack"",""%"", I24=""Defense"",""%"",I24=""CraftSPeed"",""%"",I24=""LifeSteal"",""%"",I24=""MaxInventoryWeight"",""+"",I24=""MoveSpeed"",""%"",REGEXMATCH(I24,""ElementAddItemDrop_""),""%"",I24=""Logging"",""+"",I24"&amp;"=""Mining"",""+"",I24=""Maxhp"",""%"",REGEXMATCH(I24,""TemperatureResist_""),""+"",REGEXMATCH(I24,""ElementResist_""),""%"",REGEXMATCH(I24,""TemperatureInvalid_""),""bool"",REGEXMATCH(I24,""BodyPartsWeakDamage""),""%"",REGEXMATCH(I24,""ElementBoost_""),"""&amp;"%"",AND(REGEXMATCH(B24,""GiveA""),REGEXMATCH(I24,""Element"")),""bool"")"),"%")</f>
        <v>%</v>
      </c>
      <c r="K24" s="6" t="n">
        <v>10</v>
      </c>
      <c r="L24" s="6" t="s">
        <v>1956</v>
      </c>
      <c r="M24" s="6"/>
      <c r="N24" s="6" t="str">
        <f aca="false">IFERROR(__xludf.dummyfunction("IFS(M24=""ShotAttack"",""%"",M24=""MeleeAttack"",""%"", M24=""Defense"",""%"",M24=""CraftSPeed"",""%"",M24=""LifeSteal"",""%"",M24=""MaxInventoryWeight"",""+"",M24=""MoveSpeed"",""%"",REGEXMATCH(M24,""ElementAddItemDrop_""),""%"",M24=""Logging"",""+"",M24"&amp;"=""Mining"",""+"",M24=""Maxhp"",""%"",REGEXMATCH(M24,""TemperatureResist_""),""+"",REGEXMATCH(M24,""ElementResist_""),""%"",REGEXMATCH(M24,""TemperatureInvalid_""),""bool"",REGEXMATCH(M24,""BodyPartsWeakDamage""),""%"",REGEXMATCH(M24,""ElementBoost_""),"""&amp;"%"",AND(REGEXMATCH(F24,""GiveA""),REGEXMATCH(M24,""Element"")),""bool"")"),"#N/A")</f>
        <v>#N/A</v>
      </c>
      <c r="O24" s="6" t="n">
        <v>0</v>
      </c>
      <c r="P24" s="6"/>
      <c r="Q24" s="6"/>
      <c r="R24" s="6" t="str">
        <f aca="false">IFERROR(__xludf.dummyfunction("IFS(Q24=""ShotAttack"",""%"",Q24=""MeleeAttack"",""%"", Q24=""Defense"",""%"",Q24=""CraftSPeed"",""%"",Q24=""LifeSteal"",""%"",Q24=""MaxInventoryWeight"",""+"",Q24=""MoveSpeed"",""%"",REGEXMATCH(Q24,""ElementAddItemDrop_""),""%"",Q24=""Logging"",""+"",Q24"&amp;"=""Mining"",""+"",Q24=""Maxhp"",""%"",REGEXMATCH(Q24,""TemperatureResist_""),""+"",REGEXMATCH(Q24,""ElementResist_""),""%"",REGEXMATCH(Q24,""TemperatureInvalid_""),""bool"",REGEXMATCH(Q24,""BodyPartsWeakDamage""),""%"",REGEXMATCH(Q24,""ElementBoost_""),"""&amp;"%"",AND(REGEXMATCH(J24,""GiveA""),REGEXMATCH(Q24,""Element"")),""bool"")"),"#N/A")</f>
        <v>#N/A</v>
      </c>
      <c r="S24" s="6" t="n">
        <v>0</v>
      </c>
      <c r="T24" s="6"/>
      <c r="U24" s="319" t="b">
        <f aca="false">FALSE()</f>
        <v>0</v>
      </c>
      <c r="V24" s="319" t="b">
        <f aca="false">TRUE()</f>
        <v>1</v>
      </c>
      <c r="W24" s="319" t="b">
        <f aca="false">FALSE()</f>
        <v>0</v>
      </c>
      <c r="X24" s="319" t="b">
        <f aca="false">FALSE()</f>
        <v>0</v>
      </c>
      <c r="Y24" s="319" t="b">
        <f aca="false">FALSE()</f>
        <v>0</v>
      </c>
      <c r="Z24" s="319" t="b">
        <f aca="false">FALSE()</f>
        <v>0</v>
      </c>
      <c r="AA24" s="319" t="b">
        <f aca="false">FALSE()</f>
        <v>0</v>
      </c>
      <c r="AB24" s="319" t="b">
        <f aca="false">FALSE()</f>
        <v>0</v>
      </c>
      <c r="AC24" s="319" t="b">
        <f aca="false">FALSE()</f>
        <v>0</v>
      </c>
      <c r="AD24" s="319" t="b">
        <f aca="false">FALSE()</f>
        <v>0</v>
      </c>
      <c r="AE24" s="319" t="b">
        <f aca="false">FALSE()</f>
        <v>0</v>
      </c>
      <c r="AF24" s="319" t="b">
        <f aca="false">FALSE()</f>
        <v>0</v>
      </c>
      <c r="AG24" s="6" t="s">
        <v>182</v>
      </c>
      <c r="AH24" s="6" t="s">
        <v>182</v>
      </c>
    </row>
    <row r="25" customFormat="false" ht="15.75" hidden="false" customHeight="false" outlineLevel="0" collapsed="false">
      <c r="A25" s="3" t="s">
        <v>1984</v>
      </c>
      <c r="B25" s="6" t="s">
        <v>1985</v>
      </c>
      <c r="C25" s="3"/>
      <c r="D25" s="6" t="str">
        <f aca="false">I25   &amp; IF(ISBLANK(M25),, ". "&amp; M25 &amp; IF(ISBLANK(Q25),, ". "&amp; Q25))</f>
        <v>CraftSpeed</v>
      </c>
      <c r="E25" s="6" t="str">
        <f aca="false">I25  &amp;": # on "&amp; L25  &amp; IF(ISBLANK(M25),, ". "&amp; M25 &amp;": # on "&amp; P25 &amp; IF(ISBLANK(Q25),, ". "&amp; Q25 &amp;": # on "&amp; T25))</f>
        <v>CraftSpeed: # on Self</v>
      </c>
      <c r="F25" s="6" t="str">
        <f aca="false">IF(U25,"active pal",)  &amp; IF(V25,"working",) &amp; IF(W25,"mounted",) &amp; IF(Y25,"in party (buff)",)  &amp; IF(Z25,"always",)</f>
        <v>working</v>
      </c>
      <c r="G25" s="6" t="n">
        <v>2</v>
      </c>
      <c r="H25" s="6" t="s">
        <v>182</v>
      </c>
      <c r="I25" s="6" t="s">
        <v>661</v>
      </c>
      <c r="J25" s="6" t="str">
        <f aca="false">IFERROR(__xludf.dummyfunction("IFS(I25=""ShotAttack"",""%"",I25=""MeleeAttack"",""%"", I25=""Defense"",""%"",I25=""CraftSPeed"",""%"",I25=""LifeSteal"",""%"",I25=""MaxInventoryWeight"",""+"",I25=""MoveSpeed"",""%"",REGEXMATCH(I25,""ElementAddItemDrop_""),""%"",I25=""Logging"",""+"",I25"&amp;"=""Mining"",""+"",I25=""Maxhp"",""%"",REGEXMATCH(I25,""TemperatureResist_""),""+"",REGEXMATCH(I25,""ElementResist_""),""%"",REGEXMATCH(I25,""TemperatureInvalid_""),""bool"",REGEXMATCH(I25,""BodyPartsWeakDamage""),""%"",REGEXMATCH(I25,""ElementBoost_""),"""&amp;"%"",AND(REGEXMATCH(B25,""GiveA""),REGEXMATCH(I25,""Element"")),""bool"")"),"%")</f>
        <v>%</v>
      </c>
      <c r="K25" s="6" t="n">
        <v>15</v>
      </c>
      <c r="L25" s="6" t="s">
        <v>1956</v>
      </c>
      <c r="M25" s="6"/>
      <c r="N25" s="6" t="str">
        <f aca="false">IFERROR(__xludf.dummyfunction("IFS(M25=""ShotAttack"",""%"",M25=""MeleeAttack"",""%"", M25=""Defense"",""%"",M25=""CraftSPeed"",""%"",M25=""LifeSteal"",""%"",M25=""MaxInventoryWeight"",""+"",M25=""MoveSpeed"",""%"",REGEXMATCH(M25,""ElementAddItemDrop_""),""%"",M25=""Logging"",""+"",M25"&amp;"=""Mining"",""+"",M25=""Maxhp"",""%"",REGEXMATCH(M25,""TemperatureResist_""),""+"",REGEXMATCH(M25,""ElementResist_""),""%"",REGEXMATCH(M25,""TemperatureInvalid_""),""bool"",REGEXMATCH(M25,""BodyPartsWeakDamage""),""%"",REGEXMATCH(M25,""ElementBoost_""),"""&amp;"%"",AND(REGEXMATCH(F25,""GiveA""),REGEXMATCH(M25,""Element"")),""bool"")"),"#N/A")</f>
        <v>#N/A</v>
      </c>
      <c r="O25" s="6" t="n">
        <v>0</v>
      </c>
      <c r="P25" s="6"/>
      <c r="Q25" s="6"/>
      <c r="R25" s="6" t="str">
        <f aca="false">IFERROR(__xludf.dummyfunction("IFS(Q25=""ShotAttack"",""%"",Q25=""MeleeAttack"",""%"", Q25=""Defense"",""%"",Q25=""CraftSPeed"",""%"",Q25=""LifeSteal"",""%"",Q25=""MaxInventoryWeight"",""+"",Q25=""MoveSpeed"",""%"",REGEXMATCH(Q25,""ElementAddItemDrop_""),""%"",Q25=""Logging"",""+"",Q25"&amp;"=""Mining"",""+"",Q25=""Maxhp"",""%"",REGEXMATCH(Q25,""TemperatureResist_""),""+"",REGEXMATCH(Q25,""ElementResist_""),""%"",REGEXMATCH(Q25,""TemperatureInvalid_""),""bool"",REGEXMATCH(Q25,""BodyPartsWeakDamage""),""%"",REGEXMATCH(Q25,""ElementBoost_""),"""&amp;"%"",AND(REGEXMATCH(J25,""GiveA""),REGEXMATCH(Q25,""Element"")),""bool"")"),"#N/A")</f>
        <v>#N/A</v>
      </c>
      <c r="S25" s="6" t="n">
        <v>0</v>
      </c>
      <c r="T25" s="6"/>
      <c r="U25" s="319" t="b">
        <f aca="false">FALSE()</f>
        <v>0</v>
      </c>
      <c r="V25" s="319" t="b">
        <f aca="false">TRUE()</f>
        <v>1</v>
      </c>
      <c r="W25" s="319" t="b">
        <f aca="false">FALSE()</f>
        <v>0</v>
      </c>
      <c r="X25" s="319" t="b">
        <f aca="false">FALSE()</f>
        <v>0</v>
      </c>
      <c r="Y25" s="319" t="b">
        <f aca="false">FALSE()</f>
        <v>0</v>
      </c>
      <c r="Z25" s="319" t="b">
        <f aca="false">FALSE()</f>
        <v>0</v>
      </c>
      <c r="AA25" s="319" t="b">
        <f aca="false">FALSE()</f>
        <v>0</v>
      </c>
      <c r="AB25" s="319" t="b">
        <f aca="false">FALSE()</f>
        <v>0</v>
      </c>
      <c r="AC25" s="319" t="b">
        <f aca="false">FALSE()</f>
        <v>0</v>
      </c>
      <c r="AD25" s="319" t="b">
        <f aca="false">FALSE()</f>
        <v>0</v>
      </c>
      <c r="AE25" s="319" t="b">
        <f aca="false">FALSE()</f>
        <v>0</v>
      </c>
      <c r="AF25" s="319" t="b">
        <f aca="false">FALSE()</f>
        <v>0</v>
      </c>
      <c r="AG25" s="6" t="s">
        <v>182</v>
      </c>
      <c r="AH25" s="6" t="s">
        <v>182</v>
      </c>
    </row>
    <row r="26" customFormat="false" ht="15.75" hidden="false" customHeight="false" outlineLevel="0" collapsed="false">
      <c r="A26" s="3" t="s">
        <v>1986</v>
      </c>
      <c r="B26" s="6" t="s">
        <v>1987</v>
      </c>
      <c r="C26" s="3"/>
      <c r="D26" s="6" t="str">
        <f aca="false">I26   &amp; IF(ISBLANK(M26),, ". "&amp; M26 &amp; IF(ISBLANK(Q26),, ". "&amp; Q26))</f>
        <v>CraftSpeed</v>
      </c>
      <c r="E26" s="6" t="str">
        <f aca="false">I26  &amp;": # on "&amp; L26  &amp; IF(ISBLANK(M26),, ". "&amp; M26 &amp;": # on "&amp; P26 &amp; IF(ISBLANK(Q26),, ". "&amp; Q26 &amp;": # on "&amp; T26))</f>
        <v>CraftSpeed: # on Self</v>
      </c>
      <c r="F26" s="6" t="str">
        <f aca="false">IF(U26,"active pal",)  &amp; IF(V26,"working",) &amp; IF(W26,"mounted",) &amp; IF(Y26,"in party (buff)",)  &amp; IF(Z26,"always",)</f>
        <v>working</v>
      </c>
      <c r="G26" s="6" t="n">
        <v>3</v>
      </c>
      <c r="H26" s="6" t="s">
        <v>182</v>
      </c>
      <c r="I26" s="6" t="s">
        <v>661</v>
      </c>
      <c r="J26" s="6" t="str">
        <f aca="false">IFERROR(__xludf.dummyfunction("IFS(I26=""ShotAttack"",""%"",I26=""MeleeAttack"",""%"", I26=""Defense"",""%"",I26=""CraftSPeed"",""%"",I26=""LifeSteal"",""%"",I26=""MaxInventoryWeight"",""+"",I26=""MoveSpeed"",""%"",REGEXMATCH(I26,""ElementAddItemDrop_""),""%"",I26=""Logging"",""+"",I26"&amp;"=""Mining"",""+"",I26=""Maxhp"",""%"",REGEXMATCH(I26,""TemperatureResist_""),""+"",REGEXMATCH(I26,""ElementResist_""),""%"",REGEXMATCH(I26,""TemperatureInvalid_""),""bool"",REGEXMATCH(I26,""BodyPartsWeakDamage""),""%"",REGEXMATCH(I26,""ElementBoost_""),"""&amp;"%"",AND(REGEXMATCH(B26,""GiveA""),REGEXMATCH(I26,""Element"")),""bool"")"),"%")</f>
        <v>%</v>
      </c>
      <c r="K26" s="6" t="n">
        <v>20</v>
      </c>
      <c r="L26" s="6" t="s">
        <v>1956</v>
      </c>
      <c r="M26" s="6"/>
      <c r="N26" s="6" t="str">
        <f aca="false">IFERROR(__xludf.dummyfunction("IFS(M26=""ShotAttack"",""%"",M26=""MeleeAttack"",""%"", M26=""Defense"",""%"",M26=""CraftSPeed"",""%"",M26=""LifeSteal"",""%"",M26=""MaxInventoryWeight"",""+"",M26=""MoveSpeed"",""%"",REGEXMATCH(M26,""ElementAddItemDrop_""),""%"",M26=""Logging"",""+"",M26"&amp;"=""Mining"",""+"",M26=""Maxhp"",""%"",REGEXMATCH(M26,""TemperatureResist_""),""+"",REGEXMATCH(M26,""ElementResist_""),""%"",REGEXMATCH(M26,""TemperatureInvalid_""),""bool"",REGEXMATCH(M26,""BodyPartsWeakDamage""),""%"",REGEXMATCH(M26,""ElementBoost_""),"""&amp;"%"",AND(REGEXMATCH(F26,""GiveA""),REGEXMATCH(M26,""Element"")),""bool"")"),"#N/A")</f>
        <v>#N/A</v>
      </c>
      <c r="O26" s="6" t="n">
        <v>0</v>
      </c>
      <c r="P26" s="6"/>
      <c r="Q26" s="6"/>
      <c r="R26" s="6" t="str">
        <f aca="false">IFERROR(__xludf.dummyfunction("IFS(Q26=""ShotAttack"",""%"",Q26=""MeleeAttack"",""%"", Q26=""Defense"",""%"",Q26=""CraftSPeed"",""%"",Q26=""LifeSteal"",""%"",Q26=""MaxInventoryWeight"",""+"",Q26=""MoveSpeed"",""%"",REGEXMATCH(Q26,""ElementAddItemDrop_""),""%"",Q26=""Logging"",""+"",Q26"&amp;"=""Mining"",""+"",Q26=""Maxhp"",""%"",REGEXMATCH(Q26,""TemperatureResist_""),""+"",REGEXMATCH(Q26,""ElementResist_""),""%"",REGEXMATCH(Q26,""TemperatureInvalid_""),""bool"",REGEXMATCH(Q26,""BodyPartsWeakDamage""),""%"",REGEXMATCH(Q26,""ElementBoost_""),"""&amp;"%"",AND(REGEXMATCH(J26,""GiveA""),REGEXMATCH(Q26,""Element"")),""bool"")"),"#N/A")</f>
        <v>#N/A</v>
      </c>
      <c r="S26" s="6" t="n">
        <v>0</v>
      </c>
      <c r="T26" s="6"/>
      <c r="U26" s="319" t="b">
        <f aca="false">FALSE()</f>
        <v>0</v>
      </c>
      <c r="V26" s="319" t="b">
        <f aca="false">TRUE()</f>
        <v>1</v>
      </c>
      <c r="W26" s="319" t="b">
        <f aca="false">FALSE()</f>
        <v>0</v>
      </c>
      <c r="X26" s="319" t="b">
        <f aca="false">FALSE()</f>
        <v>0</v>
      </c>
      <c r="Y26" s="319" t="b">
        <f aca="false">FALSE()</f>
        <v>0</v>
      </c>
      <c r="Z26" s="319" t="b">
        <f aca="false">FALSE()</f>
        <v>0</v>
      </c>
      <c r="AA26" s="319" t="b">
        <f aca="false">FALSE()</f>
        <v>0</v>
      </c>
      <c r="AB26" s="319" t="b">
        <f aca="false">FALSE()</f>
        <v>0</v>
      </c>
      <c r="AC26" s="319" t="b">
        <f aca="false">FALSE()</f>
        <v>0</v>
      </c>
      <c r="AD26" s="319" t="b">
        <f aca="false">FALSE()</f>
        <v>0</v>
      </c>
      <c r="AE26" s="319" t="b">
        <f aca="false">FALSE()</f>
        <v>0</v>
      </c>
      <c r="AF26" s="319" t="b">
        <f aca="false">FALSE()</f>
        <v>0</v>
      </c>
      <c r="AG26" s="6" t="s">
        <v>182</v>
      </c>
      <c r="AH26" s="6" t="s">
        <v>182</v>
      </c>
    </row>
    <row r="27" customFormat="false" ht="15.75" hidden="false" customHeight="false" outlineLevel="0" collapsed="false">
      <c r="A27" s="3" t="s">
        <v>1953</v>
      </c>
      <c r="B27" s="6" t="s">
        <v>1988</v>
      </c>
      <c r="C27" s="3"/>
      <c r="D27" s="6" t="str">
        <f aca="false">I27   &amp; IF(ISBLANK(M27),, ". "&amp; M27 &amp; IF(ISBLANK(Q27),, ". "&amp; Q27))</f>
        <v>Homing</v>
      </c>
      <c r="E27" s="6" t="str">
        <f aca="false">I27  &amp;": # on "&amp; L27  &amp; IF(ISBLANK(M27),, ". "&amp; M27 &amp;": # on "&amp; P27 &amp; IF(ISBLANK(Q27),, ". "&amp; Q27 &amp;": # on "&amp; T27))</f>
        <v>Homing: # on Self</v>
      </c>
      <c r="F27" s="6" t="str">
        <f aca="false">IF(U27,"active pal",)  &amp; IF(V27,"working",) &amp; IF(W27,"mounted",) &amp; IF(Y27,"in party (buff)",)  &amp; IF(Z27,"always",)</f>
        <v/>
      </c>
      <c r="G27" s="6" t="n">
        <v>1</v>
      </c>
      <c r="H27" s="6" t="s">
        <v>182</v>
      </c>
      <c r="I27" s="6" t="s">
        <v>1989</v>
      </c>
      <c r="J27" s="6" t="str">
        <f aca="false">IFERROR(__xludf.dummyfunction("IFS(I27=""ShotAttack"",""%"",I27=""MeleeAttack"",""%"", I27=""Defense"",""%"",I27=""CraftSPeed"",""%"",I27=""LifeSteal"",""%"",I27=""MaxInventoryWeight"",""+"",I27=""MoveSpeed"",""%"",REGEXMATCH(I27,""ElementAddItemDrop_""),""%"",I27=""Logging"",""+"",I27"&amp;"=""Mining"",""+"",I27=""Maxhp"",""%"",REGEXMATCH(I27,""TemperatureResist_""),""+"",REGEXMATCH(I27,""ElementResist_""),""%"",REGEXMATCH(I27,""TemperatureInvalid_""),""bool"",REGEXMATCH(I27,""BodyPartsWeakDamage""),""%"",REGEXMATCH(I27,""ElementBoost_""),"""&amp;"%"",AND(REGEXMATCH(B27,""GiveA""),REGEXMATCH(I27,""Element"")),""bool"")"),"#N/A")</f>
        <v>#N/A</v>
      </c>
      <c r="K27" s="6" t="n">
        <v>0</v>
      </c>
      <c r="L27" s="6" t="s">
        <v>1956</v>
      </c>
      <c r="M27" s="6"/>
      <c r="N27" s="6" t="str">
        <f aca="false">IFERROR(__xludf.dummyfunction("IFS(M27=""ShotAttack"",""%"",M27=""MeleeAttack"",""%"", M27=""Defense"",""%"",M27=""CraftSPeed"",""%"",M27=""LifeSteal"",""%"",M27=""MaxInventoryWeight"",""+"",M27=""MoveSpeed"",""%"",REGEXMATCH(M27,""ElementAddItemDrop_""),""%"",M27=""Logging"",""+"",M27"&amp;"=""Mining"",""+"",M27=""Maxhp"",""%"",REGEXMATCH(M27,""TemperatureResist_""),""+"",REGEXMATCH(M27,""ElementResist_""),""%"",REGEXMATCH(M27,""TemperatureInvalid_""),""bool"",REGEXMATCH(M27,""BodyPartsWeakDamage""),""%"",REGEXMATCH(M27,""ElementBoost_""),"""&amp;"%"",AND(REGEXMATCH(F27,""GiveA""),REGEXMATCH(M27,""Element"")),""bool"")"),"#N/A")</f>
        <v>#N/A</v>
      </c>
      <c r="O27" s="6" t="n">
        <v>0</v>
      </c>
      <c r="P27" s="6"/>
      <c r="Q27" s="6"/>
      <c r="R27" s="6" t="str">
        <f aca="false">IFERROR(__xludf.dummyfunction("IFS(Q27=""ShotAttack"",""%"",Q27=""MeleeAttack"",""%"", Q27=""Defense"",""%"",Q27=""CraftSPeed"",""%"",Q27=""LifeSteal"",""%"",Q27=""MaxInventoryWeight"",""+"",Q27=""MoveSpeed"",""%"",REGEXMATCH(Q27,""ElementAddItemDrop_""),""%"",Q27=""Logging"",""+"",Q27"&amp;"=""Mining"",""+"",Q27=""Maxhp"",""%"",REGEXMATCH(Q27,""TemperatureResist_""),""+"",REGEXMATCH(Q27,""ElementResist_""),""%"",REGEXMATCH(Q27,""TemperatureInvalid_""),""bool"",REGEXMATCH(Q27,""BodyPartsWeakDamage""),""%"",REGEXMATCH(Q27,""ElementBoost_""),"""&amp;"%"",AND(REGEXMATCH(J27,""GiveA""),REGEXMATCH(Q27,""Element"")),""bool"")"),"#N/A")</f>
        <v>#N/A</v>
      </c>
      <c r="S27" s="6" t="n">
        <v>0</v>
      </c>
      <c r="T27" s="6"/>
      <c r="U27" s="319" t="b">
        <f aca="false">FALSE()</f>
        <v>0</v>
      </c>
      <c r="V27" s="319" t="b">
        <f aca="false">FALSE()</f>
        <v>0</v>
      </c>
      <c r="W27" s="319" t="b">
        <f aca="false">FALSE()</f>
        <v>0</v>
      </c>
      <c r="X27" s="319" t="b">
        <f aca="false">FALSE()</f>
        <v>0</v>
      </c>
      <c r="Y27" s="319" t="b">
        <f aca="false">FALSE()</f>
        <v>0</v>
      </c>
      <c r="Z27" s="319" t="b">
        <f aca="false">FALSE()</f>
        <v>0</v>
      </c>
      <c r="AA27" s="319" t="b">
        <f aca="false">FALSE()</f>
        <v>0</v>
      </c>
      <c r="AB27" s="319" t="b">
        <f aca="false">FALSE()</f>
        <v>0</v>
      </c>
      <c r="AC27" s="319" t="b">
        <f aca="false">FALSE()</f>
        <v>0</v>
      </c>
      <c r="AD27" s="319" t="b">
        <f aca="false">FALSE()</f>
        <v>0</v>
      </c>
      <c r="AE27" s="319" t="b">
        <f aca="false">FALSE()</f>
        <v>0</v>
      </c>
      <c r="AF27" s="319" t="b">
        <f aca="false">FALSE()</f>
        <v>0</v>
      </c>
      <c r="AG27" s="6" t="s">
        <v>182</v>
      </c>
      <c r="AH27" s="6" t="s">
        <v>182</v>
      </c>
    </row>
    <row r="28" customFormat="false" ht="15.75" hidden="false" customHeight="false" outlineLevel="0" collapsed="false">
      <c r="A28" s="3" t="s">
        <v>1953</v>
      </c>
      <c r="B28" s="6" t="s">
        <v>1990</v>
      </c>
      <c r="C28" s="3"/>
      <c r="D28" s="6" t="str">
        <f aca="false">I28   &amp; IF(ISBLANK(M28),, ". "&amp; M28 &amp; IF(ISBLANK(Q28),, ". "&amp; Q28))</f>
        <v>Homing</v>
      </c>
      <c r="E28" s="6" t="str">
        <f aca="false">I28  &amp;": # on "&amp; L28  &amp; IF(ISBLANK(M28),, ". "&amp; M28 &amp;": # on "&amp; P28 &amp; IF(ISBLANK(Q28),, ". "&amp; Q28 &amp;": # on "&amp; T28))</f>
        <v>Homing: # on Self</v>
      </c>
      <c r="F28" s="6" t="str">
        <f aca="false">IF(U28,"active pal",)  &amp; IF(V28,"working",) &amp; IF(W28,"mounted",) &amp; IF(Y28,"in party (buff)",)  &amp; IF(Z28,"always",)</f>
        <v/>
      </c>
      <c r="G28" s="6" t="n">
        <v>1</v>
      </c>
      <c r="H28" s="6" t="s">
        <v>182</v>
      </c>
      <c r="I28" s="6" t="s">
        <v>1989</v>
      </c>
      <c r="J28" s="6" t="str">
        <f aca="false">IFERROR(__xludf.dummyfunction("IFS(I28=""ShotAttack"",""%"",I28=""MeleeAttack"",""%"", I28=""Defense"",""%"",I28=""CraftSPeed"",""%"",I28=""LifeSteal"",""%"",I28=""MaxInventoryWeight"",""+"",I28=""MoveSpeed"",""%"",REGEXMATCH(I28,""ElementAddItemDrop_""),""%"",I28=""Logging"",""+"",I28"&amp;"=""Mining"",""+"",I28=""Maxhp"",""%"",REGEXMATCH(I28,""TemperatureResist_""),""+"",REGEXMATCH(I28,""ElementResist_""),""%"",REGEXMATCH(I28,""TemperatureInvalid_""),""bool"",REGEXMATCH(I28,""BodyPartsWeakDamage""),""%"",REGEXMATCH(I28,""ElementBoost_""),"""&amp;"%"",AND(REGEXMATCH(B28,""GiveA""),REGEXMATCH(I28,""Element"")),""bool"")"),"#N/A")</f>
        <v>#N/A</v>
      </c>
      <c r="K28" s="6" t="n">
        <v>500</v>
      </c>
      <c r="L28" s="6" t="s">
        <v>1956</v>
      </c>
      <c r="M28" s="6"/>
      <c r="N28" s="6" t="str">
        <f aca="false">IFERROR(__xludf.dummyfunction("IFS(M28=""ShotAttack"",""%"",M28=""MeleeAttack"",""%"", M28=""Defense"",""%"",M28=""CraftSPeed"",""%"",M28=""LifeSteal"",""%"",M28=""MaxInventoryWeight"",""+"",M28=""MoveSpeed"",""%"",REGEXMATCH(M28,""ElementAddItemDrop_""),""%"",M28=""Logging"",""+"",M28"&amp;"=""Mining"",""+"",M28=""Maxhp"",""%"",REGEXMATCH(M28,""TemperatureResist_""),""+"",REGEXMATCH(M28,""ElementResist_""),""%"",REGEXMATCH(M28,""TemperatureInvalid_""),""bool"",REGEXMATCH(M28,""BodyPartsWeakDamage""),""%"",REGEXMATCH(M28,""ElementBoost_""),"""&amp;"%"",AND(REGEXMATCH(F28,""GiveA""),REGEXMATCH(M28,""Element"")),""bool"")"),"#N/A")</f>
        <v>#N/A</v>
      </c>
      <c r="O28" s="6" t="n">
        <v>0</v>
      </c>
      <c r="P28" s="6"/>
      <c r="Q28" s="6"/>
      <c r="R28" s="6" t="str">
        <f aca="false">IFERROR(__xludf.dummyfunction("IFS(Q28=""ShotAttack"",""%"",Q28=""MeleeAttack"",""%"", Q28=""Defense"",""%"",Q28=""CraftSPeed"",""%"",Q28=""LifeSteal"",""%"",Q28=""MaxInventoryWeight"",""+"",Q28=""MoveSpeed"",""%"",REGEXMATCH(Q28,""ElementAddItemDrop_""),""%"",Q28=""Logging"",""+"",Q28"&amp;"=""Mining"",""+"",Q28=""Maxhp"",""%"",REGEXMATCH(Q28,""TemperatureResist_""),""+"",REGEXMATCH(Q28,""ElementResist_""),""%"",REGEXMATCH(Q28,""TemperatureInvalid_""),""bool"",REGEXMATCH(Q28,""BodyPartsWeakDamage""),""%"",REGEXMATCH(Q28,""ElementBoost_""),"""&amp;"%"",AND(REGEXMATCH(J28,""GiveA""),REGEXMATCH(Q28,""Element"")),""bool"")"),"#N/A")</f>
        <v>#N/A</v>
      </c>
      <c r="S28" s="6" t="n">
        <v>0</v>
      </c>
      <c r="T28" s="6"/>
      <c r="U28" s="319" t="b">
        <f aca="false">FALSE()</f>
        <v>0</v>
      </c>
      <c r="V28" s="319" t="b">
        <f aca="false">FALSE()</f>
        <v>0</v>
      </c>
      <c r="W28" s="319" t="b">
        <f aca="false">FALSE()</f>
        <v>0</v>
      </c>
      <c r="X28" s="319" t="b">
        <f aca="false">FALSE()</f>
        <v>0</v>
      </c>
      <c r="Y28" s="319" t="b">
        <f aca="false">FALSE()</f>
        <v>0</v>
      </c>
      <c r="Z28" s="319" t="b">
        <f aca="false">FALSE()</f>
        <v>0</v>
      </c>
      <c r="AA28" s="319" t="b">
        <f aca="false">FALSE()</f>
        <v>0</v>
      </c>
      <c r="AB28" s="319" t="b">
        <f aca="false">FALSE()</f>
        <v>0</v>
      </c>
      <c r="AC28" s="319" t="b">
        <f aca="false">FALSE()</f>
        <v>0</v>
      </c>
      <c r="AD28" s="319" t="b">
        <f aca="false">FALSE()</f>
        <v>0</v>
      </c>
      <c r="AE28" s="319" t="b">
        <f aca="false">FALSE()</f>
        <v>0</v>
      </c>
      <c r="AF28" s="319" t="b">
        <f aca="false">FALSE()</f>
        <v>0</v>
      </c>
      <c r="AG28" s="6" t="s">
        <v>182</v>
      </c>
      <c r="AH28" s="6" t="s">
        <v>182</v>
      </c>
    </row>
    <row r="29" customFormat="false" ht="15.75" hidden="false" customHeight="false" outlineLevel="0" collapsed="false">
      <c r="A29" s="3" t="s">
        <v>1953</v>
      </c>
      <c r="B29" s="6" t="s">
        <v>1991</v>
      </c>
      <c r="C29" s="3"/>
      <c r="D29" s="6" t="str">
        <f aca="false">I29   &amp; IF(ISBLANK(M29),, ". "&amp; M29 &amp; IF(ISBLANK(Q29),, ". "&amp; Q29))</f>
        <v>Explosive</v>
      </c>
      <c r="E29" s="6" t="str">
        <f aca="false">I29  &amp;": # on "&amp; L29  &amp; IF(ISBLANK(M29),, ". "&amp; M29 &amp;": # on "&amp; P29 &amp; IF(ISBLANK(Q29),, ". "&amp; Q29 &amp;": # on "&amp; T29))</f>
        <v>Explosive: # on Self</v>
      </c>
      <c r="F29" s="6" t="str">
        <f aca="false">IF(U29,"active pal",)  &amp; IF(V29,"working",) &amp; IF(W29,"mounted",) &amp; IF(Y29,"in party (buff)",)  &amp; IF(Z29,"always",)</f>
        <v/>
      </c>
      <c r="G29" s="6" t="n">
        <v>1</v>
      </c>
      <c r="H29" s="6" t="s">
        <v>182</v>
      </c>
      <c r="I29" s="6" t="s">
        <v>1992</v>
      </c>
      <c r="J29" s="6" t="str">
        <f aca="false">IFERROR(__xludf.dummyfunction("IFS(I29=""ShotAttack"",""%"",I29=""MeleeAttack"",""%"", I29=""Defense"",""%"",I29=""CraftSPeed"",""%"",I29=""LifeSteal"",""%"",I29=""MaxInventoryWeight"",""+"",I29=""MoveSpeed"",""%"",REGEXMATCH(I29,""ElementAddItemDrop_""),""%"",I29=""Logging"",""+"",I29"&amp;"=""Mining"",""+"",I29=""Maxhp"",""%"",REGEXMATCH(I29,""TemperatureResist_""),""+"",REGEXMATCH(I29,""ElementResist_""),""%"",REGEXMATCH(I29,""TemperatureInvalid_""),""bool"",REGEXMATCH(I29,""BodyPartsWeakDamage""),""%"",REGEXMATCH(I29,""ElementBoost_""),"""&amp;"%"",AND(REGEXMATCH(B29,""GiveA""),REGEXMATCH(I29,""Element"")),""bool"")"),"#N/A")</f>
        <v>#N/A</v>
      </c>
      <c r="K29" s="6" t="n">
        <v>50</v>
      </c>
      <c r="L29" s="6" t="s">
        <v>1956</v>
      </c>
      <c r="M29" s="6"/>
      <c r="N29" s="6" t="str">
        <f aca="false">IFERROR(__xludf.dummyfunction("IFS(M29=""ShotAttack"",""%"",M29=""MeleeAttack"",""%"", M29=""Defense"",""%"",M29=""CraftSPeed"",""%"",M29=""LifeSteal"",""%"",M29=""MaxInventoryWeight"",""+"",M29=""MoveSpeed"",""%"",REGEXMATCH(M29,""ElementAddItemDrop_""),""%"",M29=""Logging"",""+"",M29"&amp;"=""Mining"",""+"",M29=""Maxhp"",""%"",REGEXMATCH(M29,""TemperatureResist_""),""+"",REGEXMATCH(M29,""ElementResist_""),""%"",REGEXMATCH(M29,""TemperatureInvalid_""),""bool"",REGEXMATCH(M29,""BodyPartsWeakDamage""),""%"",REGEXMATCH(M29,""ElementBoost_""),"""&amp;"%"",AND(REGEXMATCH(F29,""GiveA""),REGEXMATCH(M29,""Element"")),""bool"")"),"#N/A")</f>
        <v>#N/A</v>
      </c>
      <c r="O29" s="6" t="n">
        <v>0</v>
      </c>
      <c r="P29" s="6"/>
      <c r="Q29" s="6"/>
      <c r="R29" s="6" t="str">
        <f aca="false">IFERROR(__xludf.dummyfunction("IFS(Q29=""ShotAttack"",""%"",Q29=""MeleeAttack"",""%"", Q29=""Defense"",""%"",Q29=""CraftSPeed"",""%"",Q29=""LifeSteal"",""%"",Q29=""MaxInventoryWeight"",""+"",Q29=""MoveSpeed"",""%"",REGEXMATCH(Q29,""ElementAddItemDrop_""),""%"",Q29=""Logging"",""+"",Q29"&amp;"=""Mining"",""+"",Q29=""Maxhp"",""%"",REGEXMATCH(Q29,""TemperatureResist_""),""+"",REGEXMATCH(Q29,""ElementResist_""),""%"",REGEXMATCH(Q29,""TemperatureInvalid_""),""bool"",REGEXMATCH(Q29,""BodyPartsWeakDamage""),""%"",REGEXMATCH(Q29,""ElementBoost_""),"""&amp;"%"",AND(REGEXMATCH(J29,""GiveA""),REGEXMATCH(Q29,""Element"")),""bool"")"),"#N/A")</f>
        <v>#N/A</v>
      </c>
      <c r="S29" s="6" t="n">
        <v>0</v>
      </c>
      <c r="T29" s="6"/>
      <c r="U29" s="319" t="b">
        <f aca="false">FALSE()</f>
        <v>0</v>
      </c>
      <c r="V29" s="319" t="b">
        <f aca="false">FALSE()</f>
        <v>0</v>
      </c>
      <c r="W29" s="319" t="b">
        <f aca="false">FALSE()</f>
        <v>0</v>
      </c>
      <c r="X29" s="319" t="b">
        <f aca="false">FALSE()</f>
        <v>0</v>
      </c>
      <c r="Y29" s="319" t="b">
        <f aca="false">FALSE()</f>
        <v>0</v>
      </c>
      <c r="Z29" s="319" t="b">
        <f aca="false">FALSE()</f>
        <v>0</v>
      </c>
      <c r="AA29" s="319" t="b">
        <f aca="false">FALSE()</f>
        <v>0</v>
      </c>
      <c r="AB29" s="319" t="b">
        <f aca="false">FALSE()</f>
        <v>0</v>
      </c>
      <c r="AC29" s="319" t="b">
        <f aca="false">FALSE()</f>
        <v>0</v>
      </c>
      <c r="AD29" s="319" t="b">
        <f aca="false">FALSE()</f>
        <v>0</v>
      </c>
      <c r="AE29" s="319" t="b">
        <f aca="false">FALSE()</f>
        <v>0</v>
      </c>
      <c r="AF29" s="319" t="b">
        <f aca="false">FALSE()</f>
        <v>0</v>
      </c>
      <c r="AG29" s="6" t="s">
        <v>182</v>
      </c>
      <c r="AH29" s="6" t="s">
        <v>182</v>
      </c>
    </row>
    <row r="30" customFormat="false" ht="15.75" hidden="false" customHeight="false" outlineLevel="0" collapsed="false">
      <c r="A30" s="3" t="s">
        <v>1953</v>
      </c>
      <c r="B30" s="6" t="s">
        <v>1993</v>
      </c>
      <c r="C30" s="3"/>
      <c r="D30" s="6" t="str">
        <f aca="false">I30   &amp; IF(ISBLANK(M30),, ". "&amp; M30 &amp; IF(ISBLANK(Q30),, ". "&amp; Q30))</f>
        <v>Explosive</v>
      </c>
      <c r="E30" s="6" t="str">
        <f aca="false">I30  &amp;": # on "&amp; L30  &amp; IF(ISBLANK(M30),, ". "&amp; M30 &amp;": # on "&amp; P30 &amp; IF(ISBLANK(Q30),, ". "&amp; Q30 &amp;": # on "&amp; T30))</f>
        <v>Explosive: # on Self</v>
      </c>
      <c r="F30" s="6" t="str">
        <f aca="false">IF(U30,"active pal",)  &amp; IF(V30,"working",) &amp; IF(W30,"mounted",) &amp; IF(Y30,"in party (buff)",)  &amp; IF(Z30,"always",)</f>
        <v/>
      </c>
      <c r="G30" s="6" t="n">
        <v>1</v>
      </c>
      <c r="H30" s="6" t="s">
        <v>182</v>
      </c>
      <c r="I30" s="6" t="s">
        <v>1992</v>
      </c>
      <c r="J30" s="6" t="str">
        <f aca="false">IFERROR(__xludf.dummyfunction("IFS(I30=""ShotAttack"",""%"",I30=""MeleeAttack"",""%"", I30=""Defense"",""%"",I30=""CraftSPeed"",""%"",I30=""LifeSteal"",""%"",I30=""MaxInventoryWeight"",""+"",I30=""MoveSpeed"",""%"",REGEXMATCH(I30,""ElementAddItemDrop_""),""%"",I30=""Logging"",""+"",I30"&amp;"=""Mining"",""+"",I30=""Maxhp"",""%"",REGEXMATCH(I30,""TemperatureResist_""),""+"",REGEXMATCH(I30,""ElementResist_""),""%"",REGEXMATCH(I30,""TemperatureInvalid_""),""bool"",REGEXMATCH(I30,""BodyPartsWeakDamage""),""%"",REGEXMATCH(I30,""ElementBoost_""),"""&amp;"%"",AND(REGEXMATCH(B30,""GiveA""),REGEXMATCH(I30,""Element"")),""bool"")"),"#N/A")</f>
        <v>#N/A</v>
      </c>
      <c r="K30" s="6" t="n">
        <v>100</v>
      </c>
      <c r="L30" s="6" t="s">
        <v>1956</v>
      </c>
      <c r="M30" s="6"/>
      <c r="N30" s="6" t="str">
        <f aca="false">IFERROR(__xludf.dummyfunction("IFS(M30=""ShotAttack"",""%"",M30=""MeleeAttack"",""%"", M30=""Defense"",""%"",M30=""CraftSPeed"",""%"",M30=""LifeSteal"",""%"",M30=""MaxInventoryWeight"",""+"",M30=""MoveSpeed"",""%"",REGEXMATCH(M30,""ElementAddItemDrop_""),""%"",M30=""Logging"",""+"",M30"&amp;"=""Mining"",""+"",M30=""Maxhp"",""%"",REGEXMATCH(M30,""TemperatureResist_""),""+"",REGEXMATCH(M30,""ElementResist_""),""%"",REGEXMATCH(M30,""TemperatureInvalid_""),""bool"",REGEXMATCH(M30,""BodyPartsWeakDamage""),""%"",REGEXMATCH(M30,""ElementBoost_""),"""&amp;"%"",AND(REGEXMATCH(F30,""GiveA""),REGEXMATCH(M30,""Element"")),""bool"")"),"#N/A")</f>
        <v>#N/A</v>
      </c>
      <c r="O30" s="6" t="n">
        <v>0</v>
      </c>
      <c r="P30" s="6"/>
      <c r="Q30" s="6"/>
      <c r="R30" s="6" t="str">
        <f aca="false">IFERROR(__xludf.dummyfunction("IFS(Q30=""ShotAttack"",""%"",Q30=""MeleeAttack"",""%"", Q30=""Defense"",""%"",Q30=""CraftSPeed"",""%"",Q30=""LifeSteal"",""%"",Q30=""MaxInventoryWeight"",""+"",Q30=""MoveSpeed"",""%"",REGEXMATCH(Q30,""ElementAddItemDrop_""),""%"",Q30=""Logging"",""+"",Q30"&amp;"=""Mining"",""+"",Q30=""Maxhp"",""%"",REGEXMATCH(Q30,""TemperatureResist_""),""+"",REGEXMATCH(Q30,""ElementResist_""),""%"",REGEXMATCH(Q30,""TemperatureInvalid_""),""bool"",REGEXMATCH(Q30,""BodyPartsWeakDamage""),""%"",REGEXMATCH(Q30,""ElementBoost_""),"""&amp;"%"",AND(REGEXMATCH(J30,""GiveA""),REGEXMATCH(Q30,""Element"")),""bool"")"),"#N/A")</f>
        <v>#N/A</v>
      </c>
      <c r="S30" s="6" t="n">
        <v>0</v>
      </c>
      <c r="T30" s="6"/>
      <c r="U30" s="319" t="b">
        <f aca="false">FALSE()</f>
        <v>0</v>
      </c>
      <c r="V30" s="319" t="b">
        <f aca="false">FALSE()</f>
        <v>0</v>
      </c>
      <c r="W30" s="319" t="b">
        <f aca="false">FALSE()</f>
        <v>0</v>
      </c>
      <c r="X30" s="319" t="b">
        <f aca="false">FALSE()</f>
        <v>0</v>
      </c>
      <c r="Y30" s="319" t="b">
        <f aca="false">FALSE()</f>
        <v>0</v>
      </c>
      <c r="Z30" s="319" t="b">
        <f aca="false">FALSE()</f>
        <v>0</v>
      </c>
      <c r="AA30" s="319" t="b">
        <f aca="false">FALSE()</f>
        <v>0</v>
      </c>
      <c r="AB30" s="319" t="b">
        <f aca="false">FALSE()</f>
        <v>0</v>
      </c>
      <c r="AC30" s="319" t="b">
        <f aca="false">FALSE()</f>
        <v>0</v>
      </c>
      <c r="AD30" s="319" t="b">
        <f aca="false">FALSE()</f>
        <v>0</v>
      </c>
      <c r="AE30" s="319" t="b">
        <f aca="false">FALSE()</f>
        <v>0</v>
      </c>
      <c r="AF30" s="319" t="b">
        <f aca="false">FALSE()</f>
        <v>0</v>
      </c>
      <c r="AG30" s="6" t="s">
        <v>182</v>
      </c>
      <c r="AH30" s="6" t="s">
        <v>182</v>
      </c>
    </row>
    <row r="31" customFormat="false" ht="15.75" hidden="false" customHeight="false" outlineLevel="0" collapsed="false">
      <c r="A31" s="3" t="s">
        <v>1953</v>
      </c>
      <c r="B31" s="6" t="s">
        <v>1994</v>
      </c>
      <c r="C31" s="3"/>
      <c r="D31" s="6" t="str">
        <f aca="false">I31   &amp; IF(ISBLANK(M31),, ". "&amp; M31 &amp; IF(ISBLANK(Q31),, ". "&amp; Q31))</f>
        <v>BulletSpeed</v>
      </c>
      <c r="E31" s="6" t="str">
        <f aca="false">I31  &amp;": # on "&amp; L31  &amp; IF(ISBLANK(M31),, ". "&amp; M31 &amp;": # on "&amp; P31 &amp; IF(ISBLANK(Q31),, ". "&amp; Q31 &amp;": # on "&amp; T31))</f>
        <v>BulletSpeed: # on Self</v>
      </c>
      <c r="F31" s="6" t="str">
        <f aca="false">IF(U31,"active pal",)  &amp; IF(V31,"working",) &amp; IF(W31,"mounted",) &amp; IF(Y31,"in party (buff)",)  &amp; IF(Z31,"always",)</f>
        <v/>
      </c>
      <c r="G31" s="6" t="n">
        <v>1</v>
      </c>
      <c r="H31" s="6" t="s">
        <v>182</v>
      </c>
      <c r="I31" s="6" t="s">
        <v>1995</v>
      </c>
      <c r="J31" s="6" t="str">
        <f aca="false">IFERROR(__xludf.dummyfunction("IFS(I31=""ShotAttack"",""%"",I31=""MeleeAttack"",""%"", I31=""Defense"",""%"",I31=""CraftSPeed"",""%"",I31=""LifeSteal"",""%"",I31=""MaxInventoryWeight"",""+"",I31=""MoveSpeed"",""%"",REGEXMATCH(I31,""ElementAddItemDrop_""),""%"",I31=""Logging"",""+"",I31"&amp;"=""Mining"",""+"",I31=""Maxhp"",""%"",REGEXMATCH(I31,""TemperatureResist_""),""+"",REGEXMATCH(I31,""ElementResist_""),""%"",REGEXMATCH(I31,""TemperatureInvalid_""),""bool"",REGEXMATCH(I31,""BodyPartsWeakDamage""),""%"",REGEXMATCH(I31,""ElementBoost_""),"""&amp;"%"",AND(REGEXMATCH(B31,""GiveA""),REGEXMATCH(I31,""Element"")),""bool"")"),"#N/A")</f>
        <v>#N/A</v>
      </c>
      <c r="K31" s="6" t="n">
        <v>200</v>
      </c>
      <c r="L31" s="6" t="s">
        <v>1956</v>
      </c>
      <c r="M31" s="6"/>
      <c r="N31" s="6" t="str">
        <f aca="false">IFERROR(__xludf.dummyfunction("IFS(M31=""ShotAttack"",""%"",M31=""MeleeAttack"",""%"", M31=""Defense"",""%"",M31=""CraftSPeed"",""%"",M31=""LifeSteal"",""%"",M31=""MaxInventoryWeight"",""+"",M31=""MoveSpeed"",""%"",REGEXMATCH(M31,""ElementAddItemDrop_""),""%"",M31=""Logging"",""+"",M31"&amp;"=""Mining"",""+"",M31=""Maxhp"",""%"",REGEXMATCH(M31,""TemperatureResist_""),""+"",REGEXMATCH(M31,""ElementResist_""),""%"",REGEXMATCH(M31,""TemperatureInvalid_""),""bool"",REGEXMATCH(M31,""BodyPartsWeakDamage""),""%"",REGEXMATCH(M31,""ElementBoost_""),"""&amp;"%"",AND(REGEXMATCH(F31,""GiveA""),REGEXMATCH(M31,""Element"")),""bool"")"),"#N/A")</f>
        <v>#N/A</v>
      </c>
      <c r="O31" s="6" t="n">
        <v>0</v>
      </c>
      <c r="P31" s="6"/>
      <c r="Q31" s="6"/>
      <c r="R31" s="6" t="str">
        <f aca="false">IFERROR(__xludf.dummyfunction("IFS(Q31=""ShotAttack"",""%"",Q31=""MeleeAttack"",""%"", Q31=""Defense"",""%"",Q31=""CraftSPeed"",""%"",Q31=""LifeSteal"",""%"",Q31=""MaxInventoryWeight"",""+"",Q31=""MoveSpeed"",""%"",REGEXMATCH(Q31,""ElementAddItemDrop_""),""%"",Q31=""Logging"",""+"",Q31"&amp;"=""Mining"",""+"",Q31=""Maxhp"",""%"",REGEXMATCH(Q31,""TemperatureResist_""),""+"",REGEXMATCH(Q31,""ElementResist_""),""%"",REGEXMATCH(Q31,""TemperatureInvalid_""),""bool"",REGEXMATCH(Q31,""BodyPartsWeakDamage""),""%"",REGEXMATCH(Q31,""ElementBoost_""),"""&amp;"%"",AND(REGEXMATCH(J31,""GiveA""),REGEXMATCH(Q31,""Element"")),""bool"")"),"#N/A")</f>
        <v>#N/A</v>
      </c>
      <c r="S31" s="6" t="n">
        <v>0</v>
      </c>
      <c r="T31" s="6"/>
      <c r="U31" s="319" t="b">
        <f aca="false">FALSE()</f>
        <v>0</v>
      </c>
      <c r="V31" s="319" t="b">
        <f aca="false">FALSE()</f>
        <v>0</v>
      </c>
      <c r="W31" s="319" t="b">
        <f aca="false">FALSE()</f>
        <v>0</v>
      </c>
      <c r="X31" s="319" t="b">
        <f aca="false">FALSE()</f>
        <v>0</v>
      </c>
      <c r="Y31" s="319" t="b">
        <f aca="false">FALSE()</f>
        <v>0</v>
      </c>
      <c r="Z31" s="319" t="b">
        <f aca="false">FALSE()</f>
        <v>0</v>
      </c>
      <c r="AA31" s="319" t="b">
        <f aca="false">FALSE()</f>
        <v>0</v>
      </c>
      <c r="AB31" s="319" t="b">
        <f aca="false">FALSE()</f>
        <v>0</v>
      </c>
      <c r="AC31" s="319" t="b">
        <f aca="false">FALSE()</f>
        <v>0</v>
      </c>
      <c r="AD31" s="319" t="b">
        <f aca="false">FALSE()</f>
        <v>0</v>
      </c>
      <c r="AE31" s="319" t="b">
        <f aca="false">FALSE()</f>
        <v>0</v>
      </c>
      <c r="AF31" s="319" t="b">
        <f aca="false">FALSE()</f>
        <v>0</v>
      </c>
      <c r="AG31" s="6" t="s">
        <v>182</v>
      </c>
      <c r="AH31" s="6" t="s">
        <v>182</v>
      </c>
    </row>
    <row r="32" customFormat="false" ht="15.75" hidden="false" customHeight="false" outlineLevel="0" collapsed="false">
      <c r="A32" s="3" t="s">
        <v>1953</v>
      </c>
      <c r="B32" s="6" t="s">
        <v>1996</v>
      </c>
      <c r="C32" s="3"/>
      <c r="D32" s="6" t="str">
        <f aca="false">I32   &amp; IF(ISBLANK(M32),, ". "&amp; M32 &amp; IF(ISBLANK(Q32),, ". "&amp; Q32))</f>
        <v>BulletSpeed</v>
      </c>
      <c r="E32" s="6" t="str">
        <f aca="false">I32  &amp;": # on "&amp; L32  &amp; IF(ISBLANK(M32),, ". "&amp; M32 &amp;": # on "&amp; P32 &amp; IF(ISBLANK(Q32),, ". "&amp; Q32 &amp;": # on "&amp; T32))</f>
        <v>BulletSpeed: # on Self</v>
      </c>
      <c r="F32" s="6" t="str">
        <f aca="false">IF(U32,"active pal",)  &amp; IF(V32,"working",) &amp; IF(W32,"mounted",) &amp; IF(Y32,"in party (buff)",)  &amp; IF(Z32,"always",)</f>
        <v/>
      </c>
      <c r="G32" s="6" t="n">
        <v>1</v>
      </c>
      <c r="H32" s="6" t="s">
        <v>182</v>
      </c>
      <c r="I32" s="6" t="s">
        <v>1995</v>
      </c>
      <c r="J32" s="6" t="str">
        <f aca="false">IFERROR(__xludf.dummyfunction("IFS(I32=""ShotAttack"",""%"",I32=""MeleeAttack"",""%"", I32=""Defense"",""%"",I32=""CraftSPeed"",""%"",I32=""LifeSteal"",""%"",I32=""MaxInventoryWeight"",""+"",I32=""MoveSpeed"",""%"",REGEXMATCH(I32,""ElementAddItemDrop_""),""%"",I32=""Logging"",""+"",I32"&amp;"=""Mining"",""+"",I32=""Maxhp"",""%"",REGEXMATCH(I32,""TemperatureResist_""),""+"",REGEXMATCH(I32,""ElementResist_""),""%"",REGEXMATCH(I32,""TemperatureInvalid_""),""bool"",REGEXMATCH(I32,""BodyPartsWeakDamage""),""%"",REGEXMATCH(I32,""ElementBoost_""),"""&amp;"%"",AND(REGEXMATCH(B32,""GiveA""),REGEXMATCH(I32,""Element"")),""bool"")"),"#N/A")</f>
        <v>#N/A</v>
      </c>
      <c r="K32" s="6" t="n">
        <v>2000</v>
      </c>
      <c r="L32" s="6" t="s">
        <v>1956</v>
      </c>
      <c r="M32" s="6"/>
      <c r="N32" s="6" t="str">
        <f aca="false">IFERROR(__xludf.dummyfunction("IFS(M32=""ShotAttack"",""%"",M32=""MeleeAttack"",""%"", M32=""Defense"",""%"",M32=""CraftSPeed"",""%"",M32=""LifeSteal"",""%"",M32=""MaxInventoryWeight"",""+"",M32=""MoveSpeed"",""%"",REGEXMATCH(M32,""ElementAddItemDrop_""),""%"",M32=""Logging"",""+"",M32"&amp;"=""Mining"",""+"",M32=""Maxhp"",""%"",REGEXMATCH(M32,""TemperatureResist_""),""+"",REGEXMATCH(M32,""ElementResist_""),""%"",REGEXMATCH(M32,""TemperatureInvalid_""),""bool"",REGEXMATCH(M32,""BodyPartsWeakDamage""),""%"",REGEXMATCH(M32,""ElementBoost_""),"""&amp;"%"",AND(REGEXMATCH(F32,""GiveA""),REGEXMATCH(M32,""Element"")),""bool"")"),"#N/A")</f>
        <v>#N/A</v>
      </c>
      <c r="O32" s="6" t="n">
        <v>0</v>
      </c>
      <c r="P32" s="6"/>
      <c r="Q32" s="6"/>
      <c r="R32" s="6" t="str">
        <f aca="false">IFERROR(__xludf.dummyfunction("IFS(Q32=""ShotAttack"",""%"",Q32=""MeleeAttack"",""%"", Q32=""Defense"",""%"",Q32=""CraftSPeed"",""%"",Q32=""LifeSteal"",""%"",Q32=""MaxInventoryWeight"",""+"",Q32=""MoveSpeed"",""%"",REGEXMATCH(Q32,""ElementAddItemDrop_""),""%"",Q32=""Logging"",""+"",Q32"&amp;"=""Mining"",""+"",Q32=""Maxhp"",""%"",REGEXMATCH(Q32,""TemperatureResist_""),""+"",REGEXMATCH(Q32,""ElementResist_""),""%"",REGEXMATCH(Q32,""TemperatureInvalid_""),""bool"",REGEXMATCH(Q32,""BodyPartsWeakDamage""),""%"",REGEXMATCH(Q32,""ElementBoost_""),"""&amp;"%"",AND(REGEXMATCH(J32,""GiveA""),REGEXMATCH(Q32,""Element"")),""bool"")"),"#N/A")</f>
        <v>#N/A</v>
      </c>
      <c r="S32" s="6" t="n">
        <v>0</v>
      </c>
      <c r="T32" s="6"/>
      <c r="U32" s="319" t="b">
        <f aca="false">FALSE()</f>
        <v>0</v>
      </c>
      <c r="V32" s="319" t="b">
        <f aca="false">FALSE()</f>
        <v>0</v>
      </c>
      <c r="W32" s="319" t="b">
        <f aca="false">FALSE()</f>
        <v>0</v>
      </c>
      <c r="X32" s="319" t="b">
        <f aca="false">FALSE()</f>
        <v>0</v>
      </c>
      <c r="Y32" s="319" t="b">
        <f aca="false">FALSE()</f>
        <v>0</v>
      </c>
      <c r="Z32" s="319" t="b">
        <f aca="false">FALSE()</f>
        <v>0</v>
      </c>
      <c r="AA32" s="319" t="b">
        <f aca="false">FALSE()</f>
        <v>0</v>
      </c>
      <c r="AB32" s="319" t="b">
        <f aca="false">FALSE()</f>
        <v>0</v>
      </c>
      <c r="AC32" s="319" t="b">
        <f aca="false">FALSE()</f>
        <v>0</v>
      </c>
      <c r="AD32" s="319" t="b">
        <f aca="false">FALSE()</f>
        <v>0</v>
      </c>
      <c r="AE32" s="319" t="b">
        <f aca="false">FALSE()</f>
        <v>0</v>
      </c>
      <c r="AF32" s="319" t="b">
        <f aca="false">FALSE()</f>
        <v>0</v>
      </c>
      <c r="AG32" s="6" t="s">
        <v>182</v>
      </c>
      <c r="AH32" s="6" t="s">
        <v>182</v>
      </c>
    </row>
    <row r="33" customFormat="false" ht="15.75" hidden="false" customHeight="false" outlineLevel="0" collapsed="false">
      <c r="A33" s="3" t="s">
        <v>1953</v>
      </c>
      <c r="B33" s="6" t="s">
        <v>1997</v>
      </c>
      <c r="C33" s="3"/>
      <c r="D33" s="6" t="str">
        <f aca="false">I33   &amp; IF(ISBLANK(M33),, ". "&amp; M33 &amp; IF(ISBLANK(Q33),, ". "&amp; Q33))</f>
        <v>Recoil</v>
      </c>
      <c r="E33" s="6" t="str">
        <f aca="false">I33  &amp;": # on "&amp; L33  &amp; IF(ISBLANK(M33),, ". "&amp; M33 &amp;": # on "&amp; P33 &amp; IF(ISBLANK(Q33),, ". "&amp; Q33 &amp;": # on "&amp; T33))</f>
        <v>Recoil: # on Self</v>
      </c>
      <c r="F33" s="6" t="str">
        <f aca="false">IF(U33,"active pal",)  &amp; IF(V33,"working",) &amp; IF(W33,"mounted",) &amp; IF(Y33,"in party (buff)",)  &amp; IF(Z33,"always",)</f>
        <v/>
      </c>
      <c r="G33" s="6" t="n">
        <v>1</v>
      </c>
      <c r="H33" s="6" t="s">
        <v>182</v>
      </c>
      <c r="I33" s="6" t="s">
        <v>1998</v>
      </c>
      <c r="J33" s="6" t="str">
        <f aca="false">IFERROR(__xludf.dummyfunction("IFS(I33=""ShotAttack"",""%"",I33=""MeleeAttack"",""%"", I33=""Defense"",""%"",I33=""CraftSPeed"",""%"",I33=""LifeSteal"",""%"",I33=""MaxInventoryWeight"",""+"",I33=""MoveSpeed"",""%"",REGEXMATCH(I33,""ElementAddItemDrop_""),""%"",I33=""Logging"",""+"",I33"&amp;"=""Mining"",""+"",I33=""Maxhp"",""%"",REGEXMATCH(I33,""TemperatureResist_""),""+"",REGEXMATCH(I33,""ElementResist_""),""%"",REGEXMATCH(I33,""TemperatureInvalid_""),""bool"",REGEXMATCH(I33,""BodyPartsWeakDamage""),""%"",REGEXMATCH(I33,""ElementBoost_""),"""&amp;"%"",AND(REGEXMATCH(B33,""GiveA""),REGEXMATCH(I33,""Element"")),""bool"")"),"#N/A")</f>
        <v>#N/A</v>
      </c>
      <c r="K33" s="6" t="n">
        <v>50</v>
      </c>
      <c r="L33" s="6" t="s">
        <v>1956</v>
      </c>
      <c r="M33" s="6"/>
      <c r="N33" s="6" t="str">
        <f aca="false">IFERROR(__xludf.dummyfunction("IFS(M33=""ShotAttack"",""%"",M33=""MeleeAttack"",""%"", M33=""Defense"",""%"",M33=""CraftSPeed"",""%"",M33=""LifeSteal"",""%"",M33=""MaxInventoryWeight"",""+"",M33=""MoveSpeed"",""%"",REGEXMATCH(M33,""ElementAddItemDrop_""),""%"",M33=""Logging"",""+"",M33"&amp;"=""Mining"",""+"",M33=""Maxhp"",""%"",REGEXMATCH(M33,""TemperatureResist_""),""+"",REGEXMATCH(M33,""ElementResist_""),""%"",REGEXMATCH(M33,""TemperatureInvalid_""),""bool"",REGEXMATCH(M33,""BodyPartsWeakDamage""),""%"",REGEXMATCH(M33,""ElementBoost_""),"""&amp;"%"",AND(REGEXMATCH(F33,""GiveA""),REGEXMATCH(M33,""Element"")),""bool"")"),"#N/A")</f>
        <v>#N/A</v>
      </c>
      <c r="O33" s="6" t="n">
        <v>0</v>
      </c>
      <c r="P33" s="6"/>
      <c r="Q33" s="6"/>
      <c r="R33" s="6" t="str">
        <f aca="false">IFERROR(__xludf.dummyfunction("IFS(Q33=""ShotAttack"",""%"",Q33=""MeleeAttack"",""%"", Q33=""Defense"",""%"",Q33=""CraftSPeed"",""%"",Q33=""LifeSteal"",""%"",Q33=""MaxInventoryWeight"",""+"",Q33=""MoveSpeed"",""%"",REGEXMATCH(Q33,""ElementAddItemDrop_""),""%"",Q33=""Logging"",""+"",Q33"&amp;"=""Mining"",""+"",Q33=""Maxhp"",""%"",REGEXMATCH(Q33,""TemperatureResist_""),""+"",REGEXMATCH(Q33,""ElementResist_""),""%"",REGEXMATCH(Q33,""TemperatureInvalid_""),""bool"",REGEXMATCH(Q33,""BodyPartsWeakDamage""),""%"",REGEXMATCH(Q33,""ElementBoost_""),"""&amp;"%"",AND(REGEXMATCH(J33,""GiveA""),REGEXMATCH(Q33,""Element"")),""bool"")"),"#N/A")</f>
        <v>#N/A</v>
      </c>
      <c r="S33" s="6" t="n">
        <v>0</v>
      </c>
      <c r="T33" s="6"/>
      <c r="U33" s="319" t="b">
        <f aca="false">FALSE()</f>
        <v>0</v>
      </c>
      <c r="V33" s="319" t="b">
        <f aca="false">FALSE()</f>
        <v>0</v>
      </c>
      <c r="W33" s="319" t="b">
        <f aca="false">FALSE()</f>
        <v>0</v>
      </c>
      <c r="X33" s="319" t="b">
        <f aca="false">FALSE()</f>
        <v>0</v>
      </c>
      <c r="Y33" s="319" t="b">
        <f aca="false">FALSE()</f>
        <v>0</v>
      </c>
      <c r="Z33" s="319" t="b">
        <f aca="false">FALSE()</f>
        <v>0</v>
      </c>
      <c r="AA33" s="319" t="b">
        <f aca="false">FALSE()</f>
        <v>0</v>
      </c>
      <c r="AB33" s="319" t="b">
        <f aca="false">FALSE()</f>
        <v>0</v>
      </c>
      <c r="AC33" s="319" t="b">
        <f aca="false">FALSE()</f>
        <v>0</v>
      </c>
      <c r="AD33" s="319" t="b">
        <f aca="false">FALSE()</f>
        <v>0</v>
      </c>
      <c r="AE33" s="319" t="b">
        <f aca="false">FALSE()</f>
        <v>0</v>
      </c>
      <c r="AF33" s="319" t="b">
        <f aca="false">FALSE()</f>
        <v>0</v>
      </c>
      <c r="AG33" s="6" t="s">
        <v>182</v>
      </c>
      <c r="AH33" s="6" t="s">
        <v>182</v>
      </c>
    </row>
    <row r="34" customFormat="false" ht="15.75" hidden="false" customHeight="false" outlineLevel="0" collapsed="false">
      <c r="A34" s="3" t="s">
        <v>1953</v>
      </c>
      <c r="B34" s="6" t="s">
        <v>1999</v>
      </c>
      <c r="C34" s="3"/>
      <c r="D34" s="6" t="str">
        <f aca="false">I34   &amp; IF(ISBLANK(M34),, ". "&amp; M34 &amp; IF(ISBLANK(Q34),, ". "&amp; Q34))</f>
        <v>Recoil</v>
      </c>
      <c r="E34" s="6" t="str">
        <f aca="false">I34  &amp;": # on "&amp; L34  &amp; IF(ISBLANK(M34),, ". "&amp; M34 &amp;": # on "&amp; P34 &amp; IF(ISBLANK(Q34),, ". "&amp; Q34 &amp;": # on "&amp; T34))</f>
        <v>Recoil: # on Self</v>
      </c>
      <c r="F34" s="6" t="str">
        <f aca="false">IF(U34,"active pal",)  &amp; IF(V34,"working",) &amp; IF(W34,"mounted",) &amp; IF(Y34,"in party (buff)",)  &amp; IF(Z34,"always",)</f>
        <v/>
      </c>
      <c r="G34" s="6" t="n">
        <v>1</v>
      </c>
      <c r="H34" s="6" t="s">
        <v>182</v>
      </c>
      <c r="I34" s="6" t="s">
        <v>1998</v>
      </c>
      <c r="J34" s="6" t="str">
        <f aca="false">IFERROR(__xludf.dummyfunction("IFS(I34=""ShotAttack"",""%"",I34=""MeleeAttack"",""%"", I34=""Defense"",""%"",I34=""CraftSPeed"",""%"",I34=""LifeSteal"",""%"",I34=""MaxInventoryWeight"",""+"",I34=""MoveSpeed"",""%"",REGEXMATCH(I34,""ElementAddItemDrop_""),""%"",I34=""Logging"",""+"",I34"&amp;"=""Mining"",""+"",I34=""Maxhp"",""%"",REGEXMATCH(I34,""TemperatureResist_""),""+"",REGEXMATCH(I34,""ElementResist_""),""%"",REGEXMATCH(I34,""TemperatureInvalid_""),""bool"",REGEXMATCH(I34,""BodyPartsWeakDamage""),""%"",REGEXMATCH(I34,""ElementBoost_""),"""&amp;"%"",AND(REGEXMATCH(B34,""GiveA""),REGEXMATCH(I34,""Element"")),""bool"")"),"#N/A")</f>
        <v>#N/A</v>
      </c>
      <c r="K34" s="6" t="n">
        <v>-90</v>
      </c>
      <c r="L34" s="6" t="s">
        <v>1956</v>
      </c>
      <c r="M34" s="6"/>
      <c r="N34" s="6" t="str">
        <f aca="false">IFERROR(__xludf.dummyfunction("IFS(M34=""ShotAttack"",""%"",M34=""MeleeAttack"",""%"", M34=""Defense"",""%"",M34=""CraftSPeed"",""%"",M34=""LifeSteal"",""%"",M34=""MaxInventoryWeight"",""+"",M34=""MoveSpeed"",""%"",REGEXMATCH(M34,""ElementAddItemDrop_""),""%"",M34=""Logging"",""+"",M34"&amp;"=""Mining"",""+"",M34=""Maxhp"",""%"",REGEXMATCH(M34,""TemperatureResist_""),""+"",REGEXMATCH(M34,""ElementResist_""),""%"",REGEXMATCH(M34,""TemperatureInvalid_""),""bool"",REGEXMATCH(M34,""BodyPartsWeakDamage""),""%"",REGEXMATCH(M34,""ElementBoost_""),"""&amp;"%"",AND(REGEXMATCH(F34,""GiveA""),REGEXMATCH(M34,""Element"")),""bool"")"),"#N/A")</f>
        <v>#N/A</v>
      </c>
      <c r="O34" s="6" t="n">
        <v>0</v>
      </c>
      <c r="P34" s="6"/>
      <c r="Q34" s="6"/>
      <c r="R34" s="6" t="str">
        <f aca="false">IFERROR(__xludf.dummyfunction("IFS(Q34=""ShotAttack"",""%"",Q34=""MeleeAttack"",""%"", Q34=""Defense"",""%"",Q34=""CraftSPeed"",""%"",Q34=""LifeSteal"",""%"",Q34=""MaxInventoryWeight"",""+"",Q34=""MoveSpeed"",""%"",REGEXMATCH(Q34,""ElementAddItemDrop_""),""%"",Q34=""Logging"",""+"",Q34"&amp;"=""Mining"",""+"",Q34=""Maxhp"",""%"",REGEXMATCH(Q34,""TemperatureResist_""),""+"",REGEXMATCH(Q34,""ElementResist_""),""%"",REGEXMATCH(Q34,""TemperatureInvalid_""),""bool"",REGEXMATCH(Q34,""BodyPartsWeakDamage""),""%"",REGEXMATCH(Q34,""ElementBoost_""),"""&amp;"%"",AND(REGEXMATCH(J34,""GiveA""),REGEXMATCH(Q34,""Element"")),""bool"")"),"#N/A")</f>
        <v>#N/A</v>
      </c>
      <c r="S34" s="6" t="n">
        <v>0</v>
      </c>
      <c r="T34" s="6"/>
      <c r="U34" s="319" t="b">
        <f aca="false">FALSE()</f>
        <v>0</v>
      </c>
      <c r="V34" s="319" t="b">
        <f aca="false">FALSE()</f>
        <v>0</v>
      </c>
      <c r="W34" s="319" t="b">
        <f aca="false">FALSE()</f>
        <v>0</v>
      </c>
      <c r="X34" s="319" t="b">
        <f aca="false">FALSE()</f>
        <v>0</v>
      </c>
      <c r="Y34" s="319" t="b">
        <f aca="false">FALSE()</f>
        <v>0</v>
      </c>
      <c r="Z34" s="319" t="b">
        <f aca="false">FALSE()</f>
        <v>0</v>
      </c>
      <c r="AA34" s="319" t="b">
        <f aca="false">FALSE()</f>
        <v>0</v>
      </c>
      <c r="AB34" s="319" t="b">
        <f aca="false">FALSE()</f>
        <v>0</v>
      </c>
      <c r="AC34" s="319" t="b">
        <f aca="false">FALSE()</f>
        <v>0</v>
      </c>
      <c r="AD34" s="319" t="b">
        <f aca="false">FALSE()</f>
        <v>0</v>
      </c>
      <c r="AE34" s="319" t="b">
        <f aca="false">FALSE()</f>
        <v>0</v>
      </c>
      <c r="AF34" s="319" t="b">
        <f aca="false">FALSE()</f>
        <v>0</v>
      </c>
      <c r="AG34" s="6" t="s">
        <v>182</v>
      </c>
      <c r="AH34" s="6" t="s">
        <v>182</v>
      </c>
    </row>
    <row r="35" customFormat="false" ht="15.75" hidden="false" customHeight="false" outlineLevel="0" collapsed="false">
      <c r="A35" s="3" t="s">
        <v>1953</v>
      </c>
      <c r="B35" s="6" t="s">
        <v>2000</v>
      </c>
      <c r="C35" s="3"/>
      <c r="D35" s="6" t="str">
        <f aca="false">I35   &amp; IF(ISBLANK(M35),, ". "&amp; M35 &amp; IF(ISBLANK(Q35),, ". "&amp; Q35))</f>
        <v>BulletAccuracy. ShotAttack</v>
      </c>
      <c r="E35" s="6" t="str">
        <f aca="false">I35  &amp;": # on "&amp; L35  &amp; IF(ISBLANK(M35),, ". "&amp; M35 &amp;": # on "&amp; P35 &amp; IF(ISBLANK(Q35),, ". "&amp; Q35 &amp;": # on "&amp; T35))</f>
        <v>BulletAccuracy: # on Self. ShotAttack: # on Self</v>
      </c>
      <c r="F35" s="6" t="str">
        <f aca="false">IF(U35,"active pal",)  &amp; IF(V35,"working",) &amp; IF(W35,"mounted",) &amp; IF(Y35,"in party (buff)",)  &amp; IF(Z35,"always",)</f>
        <v/>
      </c>
      <c r="G35" s="6" t="n">
        <v>1</v>
      </c>
      <c r="H35" s="6" t="s">
        <v>182</v>
      </c>
      <c r="I35" s="6" t="s">
        <v>2001</v>
      </c>
      <c r="J35" s="6" t="str">
        <f aca="false">IFERROR(__xludf.dummyfunction("IFS(I35=""ShotAttack"",""%"",I35=""MeleeAttack"",""%"", I35=""Defense"",""%"",I35=""CraftSPeed"",""%"",I35=""LifeSteal"",""%"",I35=""MaxInventoryWeight"",""+"",I35=""MoveSpeed"",""%"",REGEXMATCH(I35,""ElementAddItemDrop_""),""%"",I35=""Logging"",""+"",I35"&amp;"=""Mining"",""+"",I35=""Maxhp"",""%"",REGEXMATCH(I35,""TemperatureResist_""),""+"",REGEXMATCH(I35,""ElementResist_""),""%"",REGEXMATCH(I35,""TemperatureInvalid_""),""bool"",REGEXMATCH(I35,""BodyPartsWeakDamage""),""%"",REGEXMATCH(I35,""ElementBoost_""),"""&amp;"%"",AND(REGEXMATCH(B35,""GiveA""),REGEXMATCH(I35,""Element"")),""bool"")"),"#N/A")</f>
        <v>#N/A</v>
      </c>
      <c r="K35" s="6" t="n">
        <v>90</v>
      </c>
      <c r="L35" s="6" t="s">
        <v>1956</v>
      </c>
      <c r="M35" s="6" t="s">
        <v>659</v>
      </c>
      <c r="N35" s="6" t="str">
        <f aca="false">IFERROR(__xludf.dummyfunction("IFS(M35=""ShotAttack"",""%"",M35=""MeleeAttack"",""%"", M35=""Defense"",""%"",M35=""CraftSPeed"",""%"",M35=""LifeSteal"",""%"",M35=""MaxInventoryWeight"",""+"",M35=""MoveSpeed"",""%"",REGEXMATCH(M35,""ElementAddItemDrop_""),""%"",M35=""Logging"",""+"",M35"&amp;"=""Mining"",""+"",M35=""Maxhp"",""%"",REGEXMATCH(M35,""TemperatureResist_""),""+"",REGEXMATCH(M35,""ElementResist_""),""%"",REGEXMATCH(M35,""TemperatureInvalid_""),""bool"",REGEXMATCH(M35,""BodyPartsWeakDamage""),""%"",REGEXMATCH(M35,""ElementBoost_""),"""&amp;"%"",AND(REGEXMATCH(F35,""GiveA""),REGEXMATCH(M35,""Element"")),""bool"")"),"%")</f>
        <v>%</v>
      </c>
      <c r="O35" s="6" t="n">
        <v>0</v>
      </c>
      <c r="P35" s="6" t="s">
        <v>1956</v>
      </c>
      <c r="Q35" s="6"/>
      <c r="R35" s="6" t="str">
        <f aca="false">IFERROR(__xludf.dummyfunction("IFS(Q35=""ShotAttack"",""%"",Q35=""MeleeAttack"",""%"", Q35=""Defense"",""%"",Q35=""CraftSPeed"",""%"",Q35=""LifeSteal"",""%"",Q35=""MaxInventoryWeight"",""+"",Q35=""MoveSpeed"",""%"",REGEXMATCH(Q35,""ElementAddItemDrop_""),""%"",Q35=""Logging"",""+"",Q35"&amp;"=""Mining"",""+"",Q35=""Maxhp"",""%"",REGEXMATCH(Q35,""TemperatureResist_""),""+"",REGEXMATCH(Q35,""ElementResist_""),""%"",REGEXMATCH(Q35,""TemperatureInvalid_""),""bool"",REGEXMATCH(Q35,""BodyPartsWeakDamage""),""%"",REGEXMATCH(Q35,""ElementBoost_""),"""&amp;"%"",AND(REGEXMATCH(J35,""GiveA""),REGEXMATCH(Q35,""Element"")),""bool"")"),"#N/A")</f>
        <v>#N/A</v>
      </c>
      <c r="S35" s="6" t="n">
        <v>0</v>
      </c>
      <c r="T35" s="6"/>
      <c r="U35" s="319" t="b">
        <f aca="false">FALSE()</f>
        <v>0</v>
      </c>
      <c r="V35" s="319" t="b">
        <f aca="false">FALSE()</f>
        <v>0</v>
      </c>
      <c r="W35" s="319" t="b">
        <f aca="false">FALSE()</f>
        <v>0</v>
      </c>
      <c r="X35" s="319" t="b">
        <f aca="false">FALSE()</f>
        <v>0</v>
      </c>
      <c r="Y35" s="319" t="b">
        <f aca="false">FALSE()</f>
        <v>0</v>
      </c>
      <c r="Z35" s="319" t="b">
        <f aca="false">FALSE()</f>
        <v>0</v>
      </c>
      <c r="AA35" s="319" t="b">
        <f aca="false">FALSE()</f>
        <v>0</v>
      </c>
      <c r="AB35" s="319" t="b">
        <f aca="false">FALSE()</f>
        <v>0</v>
      </c>
      <c r="AC35" s="319" t="b">
        <f aca="false">FALSE()</f>
        <v>0</v>
      </c>
      <c r="AD35" s="319" t="b">
        <f aca="false">FALSE()</f>
        <v>0</v>
      </c>
      <c r="AE35" s="319" t="b">
        <f aca="false">FALSE()</f>
        <v>0</v>
      </c>
      <c r="AF35" s="319" t="b">
        <f aca="false">FALSE()</f>
        <v>0</v>
      </c>
      <c r="AG35" s="6" t="s">
        <v>182</v>
      </c>
      <c r="AH35" s="6" t="s">
        <v>182</v>
      </c>
    </row>
    <row r="36" customFormat="false" ht="15.75" hidden="false" customHeight="false" outlineLevel="0" collapsed="false">
      <c r="A36" s="3" t="s">
        <v>1953</v>
      </c>
      <c r="B36" s="6" t="s">
        <v>2002</v>
      </c>
      <c r="C36" s="3"/>
      <c r="D36" s="6" t="str">
        <f aca="false">I36   &amp; IF(ISBLANK(M36),, ". "&amp; M36 &amp; IF(ISBLANK(Q36),, ". "&amp; Q36))</f>
        <v>BulletAccuracy. ShotAttack</v>
      </c>
      <c r="E36" s="6" t="str">
        <f aca="false">I36  &amp;": # on "&amp; L36  &amp; IF(ISBLANK(M36),, ". "&amp; M36 &amp;": # on "&amp; P36 &amp; IF(ISBLANK(Q36),, ". "&amp; Q36 &amp;": # on "&amp; T36))</f>
        <v>BulletAccuracy: # on Self. ShotAttack: # on Self</v>
      </c>
      <c r="F36" s="6" t="str">
        <f aca="false">IF(U36,"active pal",)  &amp; IF(V36,"working",) &amp; IF(W36,"mounted",) &amp; IF(Y36,"in party (buff)",)  &amp; IF(Z36,"always",)</f>
        <v/>
      </c>
      <c r="G36" s="6" t="n">
        <v>1</v>
      </c>
      <c r="H36" s="6" t="s">
        <v>182</v>
      </c>
      <c r="I36" s="6" t="s">
        <v>2001</v>
      </c>
      <c r="J36" s="6" t="str">
        <f aca="false">IFERROR(__xludf.dummyfunction("IFS(I36=""ShotAttack"",""%"",I36=""MeleeAttack"",""%"", I36=""Defense"",""%"",I36=""CraftSPeed"",""%"",I36=""LifeSteal"",""%"",I36=""MaxInventoryWeight"",""+"",I36=""MoveSpeed"",""%"",REGEXMATCH(I36,""ElementAddItemDrop_""),""%"",I36=""Logging"",""+"",I36"&amp;"=""Mining"",""+"",I36=""Maxhp"",""%"",REGEXMATCH(I36,""TemperatureResist_""),""+"",REGEXMATCH(I36,""ElementResist_""),""%"",REGEXMATCH(I36,""TemperatureInvalid_""),""bool"",REGEXMATCH(I36,""BodyPartsWeakDamage""),""%"",REGEXMATCH(I36,""ElementBoost_""),"""&amp;"%"",AND(REGEXMATCH(B36,""GiveA""),REGEXMATCH(I36,""Element"")),""bool"")"),"#N/A")</f>
        <v>#N/A</v>
      </c>
      <c r="K36" s="6" t="n">
        <v>-300</v>
      </c>
      <c r="L36" s="6" t="s">
        <v>1956</v>
      </c>
      <c r="M36" s="6" t="s">
        <v>659</v>
      </c>
      <c r="N36" s="6" t="str">
        <f aca="false">IFERROR(__xludf.dummyfunction("IFS(M36=""ShotAttack"",""%"",M36=""MeleeAttack"",""%"", M36=""Defense"",""%"",M36=""CraftSPeed"",""%"",M36=""LifeSteal"",""%"",M36=""MaxInventoryWeight"",""+"",M36=""MoveSpeed"",""%"",REGEXMATCH(M36,""ElementAddItemDrop_""),""%"",M36=""Logging"",""+"",M36"&amp;"=""Mining"",""+"",M36=""Maxhp"",""%"",REGEXMATCH(M36,""TemperatureResist_""),""+"",REGEXMATCH(M36,""ElementResist_""),""%"",REGEXMATCH(M36,""TemperatureInvalid_""),""bool"",REGEXMATCH(M36,""BodyPartsWeakDamage""),""%"",REGEXMATCH(M36,""ElementBoost_""),"""&amp;"%"",AND(REGEXMATCH(F36,""GiveA""),REGEXMATCH(M36,""Element"")),""bool"")"),"%")</f>
        <v>%</v>
      </c>
      <c r="O36" s="6" t="n">
        <v>15</v>
      </c>
      <c r="P36" s="6" t="s">
        <v>1956</v>
      </c>
      <c r="Q36" s="6"/>
      <c r="R36" s="6" t="str">
        <f aca="false">IFERROR(__xludf.dummyfunction("IFS(Q36=""ShotAttack"",""%"",Q36=""MeleeAttack"",""%"", Q36=""Defense"",""%"",Q36=""CraftSPeed"",""%"",Q36=""LifeSteal"",""%"",Q36=""MaxInventoryWeight"",""+"",Q36=""MoveSpeed"",""%"",REGEXMATCH(Q36,""ElementAddItemDrop_""),""%"",Q36=""Logging"",""+"",Q36"&amp;"=""Mining"",""+"",Q36=""Maxhp"",""%"",REGEXMATCH(Q36,""TemperatureResist_""),""+"",REGEXMATCH(Q36,""ElementResist_""),""%"",REGEXMATCH(Q36,""TemperatureInvalid_""),""bool"",REGEXMATCH(Q36,""BodyPartsWeakDamage""),""%"",REGEXMATCH(Q36,""ElementBoost_""),"""&amp;"%"",AND(REGEXMATCH(J36,""GiveA""),REGEXMATCH(Q36,""Element"")),""bool"")"),"#N/A")</f>
        <v>#N/A</v>
      </c>
      <c r="S36" s="6" t="n">
        <v>0</v>
      </c>
      <c r="T36" s="6"/>
      <c r="U36" s="319" t="b">
        <f aca="false">FALSE()</f>
        <v>0</v>
      </c>
      <c r="V36" s="319" t="b">
        <f aca="false">FALSE()</f>
        <v>0</v>
      </c>
      <c r="W36" s="319" t="b">
        <f aca="false">FALSE()</f>
        <v>0</v>
      </c>
      <c r="X36" s="319" t="b">
        <f aca="false">FALSE()</f>
        <v>0</v>
      </c>
      <c r="Y36" s="319" t="b">
        <f aca="false">FALSE()</f>
        <v>0</v>
      </c>
      <c r="Z36" s="319" t="b">
        <f aca="false">FALSE()</f>
        <v>0</v>
      </c>
      <c r="AA36" s="319" t="b">
        <f aca="false">FALSE()</f>
        <v>0</v>
      </c>
      <c r="AB36" s="319" t="b">
        <f aca="false">FALSE()</f>
        <v>0</v>
      </c>
      <c r="AC36" s="319" t="b">
        <f aca="false">FALSE()</f>
        <v>0</v>
      </c>
      <c r="AD36" s="319" t="b">
        <f aca="false">FALSE()</f>
        <v>0</v>
      </c>
      <c r="AE36" s="319" t="b">
        <f aca="false">FALSE()</f>
        <v>0</v>
      </c>
      <c r="AF36" s="319" t="b">
        <f aca="false">FALSE()</f>
        <v>0</v>
      </c>
      <c r="AG36" s="6" t="s">
        <v>182</v>
      </c>
      <c r="AH36" s="6" t="s">
        <v>182</v>
      </c>
    </row>
    <row r="37" customFormat="false" ht="15.75" hidden="false" customHeight="false" outlineLevel="0" collapsed="false">
      <c r="A37" s="3" t="s">
        <v>1953</v>
      </c>
      <c r="B37" s="6" t="s">
        <v>2003</v>
      </c>
      <c r="C37" s="3"/>
      <c r="D37" s="6" t="str">
        <f aca="false">I37   &amp; IF(ISBLANK(M37),, ". "&amp; M37 &amp; IF(ISBLANK(Q37),, ". "&amp; Q37))</f>
        <v>BulletAccuracy. ShotAttack</v>
      </c>
      <c r="E37" s="6" t="str">
        <f aca="false">I37  &amp;": # on "&amp; L37  &amp; IF(ISBLANK(M37),, ". "&amp; M37 &amp;": # on "&amp; P37 &amp; IF(ISBLANK(Q37),, ". "&amp; Q37 &amp;": # on "&amp; T37))</f>
        <v>BulletAccuracy: # on Self. ShotAttack: # on Self</v>
      </c>
      <c r="F37" s="6" t="str">
        <f aca="false">IF(U37,"active pal",)  &amp; IF(V37,"working",) &amp; IF(W37,"mounted",) &amp; IF(Y37,"in party (buff)",)  &amp; IF(Z37,"always",)</f>
        <v/>
      </c>
      <c r="G37" s="6" t="n">
        <v>1</v>
      </c>
      <c r="H37" s="6" t="s">
        <v>182</v>
      </c>
      <c r="I37" s="6" t="s">
        <v>2001</v>
      </c>
      <c r="J37" s="6" t="str">
        <f aca="false">IFERROR(__xludf.dummyfunction("IFS(I37=""ShotAttack"",""%"",I37=""MeleeAttack"",""%"", I37=""Defense"",""%"",I37=""CraftSPeed"",""%"",I37=""LifeSteal"",""%"",I37=""MaxInventoryWeight"",""+"",I37=""MoveSpeed"",""%"",REGEXMATCH(I37,""ElementAddItemDrop_""),""%"",I37=""Logging"",""+"",I37"&amp;"=""Mining"",""+"",I37=""Maxhp"",""%"",REGEXMATCH(I37,""TemperatureResist_""),""+"",REGEXMATCH(I37,""ElementResist_""),""%"",REGEXMATCH(I37,""TemperatureInvalid_""),""bool"",REGEXMATCH(I37,""BodyPartsWeakDamage""),""%"",REGEXMATCH(I37,""ElementBoost_""),"""&amp;"%"",AND(REGEXMATCH(B37,""GiveA""),REGEXMATCH(I37,""Element"")),""bool"")"),"#N/A")</f>
        <v>#N/A</v>
      </c>
      <c r="K37" s="6" t="n">
        <v>-1000</v>
      </c>
      <c r="L37" s="6" t="s">
        <v>1956</v>
      </c>
      <c r="M37" s="6" t="s">
        <v>659</v>
      </c>
      <c r="N37" s="6" t="str">
        <f aca="false">IFERROR(__xludf.dummyfunction("IFS(M37=""ShotAttack"",""%"",M37=""MeleeAttack"",""%"", M37=""Defense"",""%"",M37=""CraftSPeed"",""%"",M37=""LifeSteal"",""%"",M37=""MaxInventoryWeight"",""+"",M37=""MoveSpeed"",""%"",REGEXMATCH(M37,""ElementAddItemDrop_""),""%"",M37=""Logging"",""+"",M37"&amp;"=""Mining"",""+"",M37=""Maxhp"",""%"",REGEXMATCH(M37,""TemperatureResist_""),""+"",REGEXMATCH(M37,""ElementResist_""),""%"",REGEXMATCH(M37,""TemperatureInvalid_""),""bool"",REGEXMATCH(M37,""BodyPartsWeakDamage""),""%"",REGEXMATCH(M37,""ElementBoost_""),"""&amp;"%"",AND(REGEXMATCH(F37,""GiveA""),REGEXMATCH(M37,""Element"")),""bool"")"),"%")</f>
        <v>%</v>
      </c>
      <c r="O37" s="6" t="n">
        <v>200</v>
      </c>
      <c r="P37" s="6" t="s">
        <v>1956</v>
      </c>
      <c r="Q37" s="6"/>
      <c r="R37" s="6" t="str">
        <f aca="false">IFERROR(__xludf.dummyfunction("IFS(Q37=""ShotAttack"",""%"",Q37=""MeleeAttack"",""%"", Q37=""Defense"",""%"",Q37=""CraftSPeed"",""%"",Q37=""LifeSteal"",""%"",Q37=""MaxInventoryWeight"",""+"",Q37=""MoveSpeed"",""%"",REGEXMATCH(Q37,""ElementAddItemDrop_""),""%"",Q37=""Logging"",""+"",Q37"&amp;"=""Mining"",""+"",Q37=""Maxhp"",""%"",REGEXMATCH(Q37,""TemperatureResist_""),""+"",REGEXMATCH(Q37,""ElementResist_""),""%"",REGEXMATCH(Q37,""TemperatureInvalid_""),""bool"",REGEXMATCH(Q37,""BodyPartsWeakDamage""),""%"",REGEXMATCH(Q37,""ElementBoost_""),"""&amp;"%"",AND(REGEXMATCH(J37,""GiveA""),REGEXMATCH(Q37,""Element"")),""bool"")"),"#N/A")</f>
        <v>#N/A</v>
      </c>
      <c r="S37" s="6" t="n">
        <v>0</v>
      </c>
      <c r="T37" s="6"/>
      <c r="U37" s="319" t="b">
        <f aca="false">FALSE()</f>
        <v>0</v>
      </c>
      <c r="V37" s="319" t="b">
        <f aca="false">FALSE()</f>
        <v>0</v>
      </c>
      <c r="W37" s="319" t="b">
        <f aca="false">FALSE()</f>
        <v>0</v>
      </c>
      <c r="X37" s="319" t="b">
        <f aca="false">FALSE()</f>
        <v>0</v>
      </c>
      <c r="Y37" s="319" t="b">
        <f aca="false">FALSE()</f>
        <v>0</v>
      </c>
      <c r="Z37" s="319" t="b">
        <f aca="false">FALSE()</f>
        <v>0</v>
      </c>
      <c r="AA37" s="319" t="b">
        <f aca="false">FALSE()</f>
        <v>0</v>
      </c>
      <c r="AB37" s="319" t="b">
        <f aca="false">FALSE()</f>
        <v>0</v>
      </c>
      <c r="AC37" s="319" t="b">
        <f aca="false">FALSE()</f>
        <v>0</v>
      </c>
      <c r="AD37" s="319" t="b">
        <f aca="false">FALSE()</f>
        <v>0</v>
      </c>
      <c r="AE37" s="319" t="b">
        <f aca="false">FALSE()</f>
        <v>0</v>
      </c>
      <c r="AF37" s="319" t="b">
        <f aca="false">FALSE()</f>
        <v>0</v>
      </c>
      <c r="AG37" s="6" t="s">
        <v>182</v>
      </c>
      <c r="AH37" s="6" t="s">
        <v>182</v>
      </c>
    </row>
    <row r="38" customFormat="false" ht="15.75" hidden="false" customHeight="false" outlineLevel="0" collapsed="false">
      <c r="A38" s="3" t="s">
        <v>2004</v>
      </c>
      <c r="B38" s="6" t="s">
        <v>2005</v>
      </c>
      <c r="C38" s="311" t="b">
        <f aca="false">TRUE()</f>
        <v>1</v>
      </c>
      <c r="D38" s="6" t="str">
        <f aca="false">I38   &amp; IF(ISBLANK(M38),, ". "&amp; M38 &amp; IF(ISBLANK(Q38),, ". "&amp; Q38))</f>
        <v>CraftSpeed</v>
      </c>
      <c r="E38" s="6" t="str">
        <f aca="false">I38  &amp;": # on "&amp; L38  &amp; IF(ISBLANK(M38),, ". "&amp; M38 &amp;": # on "&amp; P38 &amp; IF(ISBLANK(Q38),, ". "&amp; Q38 &amp;": # on "&amp; T38))</f>
        <v>CraftSpeed: # on Self</v>
      </c>
      <c r="F38" s="6" t="str">
        <f aca="false">IF(U38,"active pal",)  &amp; IF(V38,"working",) &amp; IF(W38,"mounted",) &amp; IF(Y38,"in party (buff)",)  &amp; IF(Z38,"always",)</f>
        <v>always</v>
      </c>
      <c r="G38" s="6" t="n">
        <v>3</v>
      </c>
      <c r="H38" s="6" t="s">
        <v>182</v>
      </c>
      <c r="I38" s="6" t="s">
        <v>661</v>
      </c>
      <c r="J38" s="6" t="str">
        <f aca="false">IFERROR(__xludf.dummyfunction("IFS(I38=""ShotAttack"",""%"",I38=""MeleeAttack"",""%"", I38=""Defense"",""%"",I38=""CraftSPeed"",""%"",I38=""LifeSteal"",""%"",I38=""MaxInventoryWeight"",""+"",I38=""MoveSpeed"",""%"",REGEXMATCH(I38,""ElementAddItemDrop_""),""%"",I38=""Logging"",""+"",I38"&amp;"=""Mining"",""+"",I38=""Maxhp"",""%"",REGEXMATCH(I38,""TemperatureResist_""),""+"",REGEXMATCH(I38,""ElementResist_""),""%"",REGEXMATCH(I38,""TemperatureInvalid_""),""bool"",REGEXMATCH(I38,""BodyPartsWeakDamage""),""%"",REGEXMATCH(I38,""ElementBoost_""),"""&amp;"%"",AND(REGEXMATCH(B38,""GiveA""),REGEXMATCH(I38,""Element"")),""bool"")"),"%")</f>
        <v>%</v>
      </c>
      <c r="K38" s="6" t="n">
        <v>50</v>
      </c>
      <c r="L38" s="6" t="s">
        <v>1956</v>
      </c>
      <c r="M38" s="6"/>
      <c r="N38" s="6" t="str">
        <f aca="false">IFERROR(__xludf.dummyfunction("IFS(M38=""ShotAttack"",""%"",M38=""MeleeAttack"",""%"", M38=""Defense"",""%"",M38=""CraftSPeed"",""%"",M38=""LifeSteal"",""%"",M38=""MaxInventoryWeight"",""+"",M38=""MoveSpeed"",""%"",REGEXMATCH(M38,""ElementAddItemDrop_""),""%"",M38=""Logging"",""+"",M38"&amp;"=""Mining"",""+"",M38=""Maxhp"",""%"",REGEXMATCH(M38,""TemperatureResist_""),""+"",REGEXMATCH(M38,""ElementResist_""),""%"",REGEXMATCH(M38,""TemperatureInvalid_""),""bool"",REGEXMATCH(M38,""BodyPartsWeakDamage""),""%"",REGEXMATCH(M38,""ElementBoost_""),"""&amp;"%"",AND(REGEXMATCH(F38,""GiveA""),REGEXMATCH(M38,""Element"")),""bool"")"),"#N/A")</f>
        <v>#N/A</v>
      </c>
      <c r="O38" s="6" t="n">
        <v>0</v>
      </c>
      <c r="P38" s="6"/>
      <c r="Q38" s="6"/>
      <c r="R38" s="6" t="str">
        <f aca="false">IFERROR(__xludf.dummyfunction("IFS(Q38=""ShotAttack"",""%"",Q38=""MeleeAttack"",""%"", Q38=""Defense"",""%"",Q38=""CraftSPeed"",""%"",Q38=""LifeSteal"",""%"",Q38=""MaxInventoryWeight"",""+"",Q38=""MoveSpeed"",""%"",REGEXMATCH(Q38,""ElementAddItemDrop_""),""%"",Q38=""Logging"",""+"",Q38"&amp;"=""Mining"",""+"",Q38=""Maxhp"",""%"",REGEXMATCH(Q38,""TemperatureResist_""),""+"",REGEXMATCH(Q38,""ElementResist_""),""%"",REGEXMATCH(Q38,""TemperatureInvalid_""),""bool"",REGEXMATCH(Q38,""BodyPartsWeakDamage""),""%"",REGEXMATCH(Q38,""ElementBoost_""),"""&amp;"%"",AND(REGEXMATCH(J38,""GiveA""),REGEXMATCH(Q38,""Element"")),""bool"")"),"#N/A")</f>
        <v>#N/A</v>
      </c>
      <c r="S38" s="6" t="n">
        <v>0</v>
      </c>
      <c r="T38" s="6"/>
      <c r="U38" s="319" t="b">
        <f aca="false">FALSE()</f>
        <v>0</v>
      </c>
      <c r="V38" s="319" t="b">
        <f aca="false">FALSE()</f>
        <v>0</v>
      </c>
      <c r="W38" s="319" t="b">
        <f aca="false">FALSE()</f>
        <v>0</v>
      </c>
      <c r="X38" s="319" t="b">
        <f aca="false">FALSE()</f>
        <v>0</v>
      </c>
      <c r="Y38" s="319" t="b">
        <f aca="false">FALSE()</f>
        <v>0</v>
      </c>
      <c r="Z38" s="319" t="b">
        <f aca="false">TRUE()</f>
        <v>1</v>
      </c>
      <c r="AA38" s="319" t="b">
        <f aca="false">TRUE()</f>
        <v>1</v>
      </c>
      <c r="AB38" s="319" t="b">
        <f aca="false">FALSE()</f>
        <v>0</v>
      </c>
      <c r="AC38" s="319" t="b">
        <f aca="false">FALSE()</f>
        <v>0</v>
      </c>
      <c r="AD38" s="319" t="b">
        <f aca="false">FALSE()</f>
        <v>0</v>
      </c>
      <c r="AE38" s="319" t="b">
        <f aca="false">FALSE()</f>
        <v>0</v>
      </c>
      <c r="AF38" s="319" t="b">
        <f aca="false">FALSE()</f>
        <v>0</v>
      </c>
      <c r="AG38" s="6" t="s">
        <v>182</v>
      </c>
      <c r="AH38" s="6" t="s">
        <v>182</v>
      </c>
    </row>
    <row r="39" customFormat="false" ht="15.75" hidden="false" customHeight="false" outlineLevel="0" collapsed="false">
      <c r="A39" s="3" t="s">
        <v>2006</v>
      </c>
      <c r="B39" s="6" t="s">
        <v>2007</v>
      </c>
      <c r="C39" s="311" t="b">
        <f aca="false">TRUE()</f>
        <v>1</v>
      </c>
      <c r="D39" s="6" t="str">
        <f aca="false">I39   &amp; IF(ISBLANK(M39),, ". "&amp; M39 &amp; IF(ISBLANK(Q39),, ". "&amp; Q39))</f>
        <v>CraftSpeed</v>
      </c>
      <c r="E39" s="6" t="str">
        <f aca="false">I39  &amp;": # on "&amp; L39  &amp; IF(ISBLANK(M39),, ". "&amp; M39 &amp;": # on "&amp; P39 &amp; IF(ISBLANK(Q39),, ". "&amp; Q39 &amp;": # on "&amp; T39))</f>
        <v>CraftSpeed: # on Self</v>
      </c>
      <c r="F39" s="6" t="str">
        <f aca="false">IF(U39,"active pal",)  &amp; IF(V39,"working",) &amp; IF(W39,"mounted",) &amp; IF(Y39,"in party (buff)",)  &amp; IF(Z39,"always",)</f>
        <v>always</v>
      </c>
      <c r="G39" s="6" t="n">
        <v>2</v>
      </c>
      <c r="H39" s="6" t="s">
        <v>182</v>
      </c>
      <c r="I39" s="6" t="s">
        <v>661</v>
      </c>
      <c r="J39" s="6" t="str">
        <f aca="false">IFERROR(__xludf.dummyfunction("IFS(I39=""ShotAttack"",""%"",I39=""MeleeAttack"",""%"", I39=""Defense"",""%"",I39=""CraftSPeed"",""%"",I39=""LifeSteal"",""%"",I39=""MaxInventoryWeight"",""+"",I39=""MoveSpeed"",""%"",REGEXMATCH(I39,""ElementAddItemDrop_""),""%"",I39=""Logging"",""+"",I39"&amp;"=""Mining"",""+"",I39=""Maxhp"",""%"",REGEXMATCH(I39,""TemperatureResist_""),""+"",REGEXMATCH(I39,""ElementResist_""),""%"",REGEXMATCH(I39,""TemperatureInvalid_""),""bool"",REGEXMATCH(I39,""BodyPartsWeakDamage""),""%"",REGEXMATCH(I39,""ElementBoost_""),"""&amp;"%"",AND(REGEXMATCH(B39,""GiveA""),REGEXMATCH(I39,""Element"")),""bool"")"),"%")</f>
        <v>%</v>
      </c>
      <c r="K39" s="6" t="n">
        <v>20</v>
      </c>
      <c r="L39" s="6" t="s">
        <v>1956</v>
      </c>
      <c r="M39" s="6"/>
      <c r="N39" s="6" t="str">
        <f aca="false">IFERROR(__xludf.dummyfunction("IFS(M39=""ShotAttack"",""%"",M39=""MeleeAttack"",""%"", M39=""Defense"",""%"",M39=""CraftSPeed"",""%"",M39=""LifeSteal"",""%"",M39=""MaxInventoryWeight"",""+"",M39=""MoveSpeed"",""%"",REGEXMATCH(M39,""ElementAddItemDrop_""),""%"",M39=""Logging"",""+"",M39"&amp;"=""Mining"",""+"",M39=""Maxhp"",""%"",REGEXMATCH(M39,""TemperatureResist_""),""+"",REGEXMATCH(M39,""ElementResist_""),""%"",REGEXMATCH(M39,""TemperatureInvalid_""),""bool"",REGEXMATCH(M39,""BodyPartsWeakDamage""),""%"",REGEXMATCH(M39,""ElementBoost_""),"""&amp;"%"",AND(REGEXMATCH(F39,""GiveA""),REGEXMATCH(M39,""Element"")),""bool"")"),"#N/A")</f>
        <v>#N/A</v>
      </c>
      <c r="O39" s="6" t="n">
        <v>0</v>
      </c>
      <c r="P39" s="6"/>
      <c r="Q39" s="6"/>
      <c r="R39" s="6" t="str">
        <f aca="false">IFERROR(__xludf.dummyfunction("IFS(Q39=""ShotAttack"",""%"",Q39=""MeleeAttack"",""%"", Q39=""Defense"",""%"",Q39=""CraftSPeed"",""%"",Q39=""LifeSteal"",""%"",Q39=""MaxInventoryWeight"",""+"",Q39=""MoveSpeed"",""%"",REGEXMATCH(Q39,""ElementAddItemDrop_""),""%"",Q39=""Logging"",""+"",Q39"&amp;"=""Mining"",""+"",Q39=""Maxhp"",""%"",REGEXMATCH(Q39,""TemperatureResist_""),""+"",REGEXMATCH(Q39,""ElementResist_""),""%"",REGEXMATCH(Q39,""TemperatureInvalid_""),""bool"",REGEXMATCH(Q39,""BodyPartsWeakDamage""),""%"",REGEXMATCH(Q39,""ElementBoost_""),"""&amp;"%"",AND(REGEXMATCH(J39,""GiveA""),REGEXMATCH(Q39,""Element"")),""bool"")"),"#N/A")</f>
        <v>#N/A</v>
      </c>
      <c r="S39" s="6" t="n">
        <v>0</v>
      </c>
      <c r="T39" s="6"/>
      <c r="U39" s="319" t="b">
        <f aca="false">FALSE()</f>
        <v>0</v>
      </c>
      <c r="V39" s="319" t="b">
        <f aca="false">FALSE()</f>
        <v>0</v>
      </c>
      <c r="W39" s="319" t="b">
        <f aca="false">FALSE()</f>
        <v>0</v>
      </c>
      <c r="X39" s="319" t="b">
        <f aca="false">FALSE()</f>
        <v>0</v>
      </c>
      <c r="Y39" s="319" t="b">
        <f aca="false">FALSE()</f>
        <v>0</v>
      </c>
      <c r="Z39" s="319" t="b">
        <f aca="false">TRUE()</f>
        <v>1</v>
      </c>
      <c r="AA39" s="319" t="b">
        <f aca="false">TRUE()</f>
        <v>1</v>
      </c>
      <c r="AB39" s="319" t="b">
        <f aca="false">FALSE()</f>
        <v>0</v>
      </c>
      <c r="AC39" s="319" t="b">
        <f aca="false">FALSE()</f>
        <v>0</v>
      </c>
      <c r="AD39" s="319" t="b">
        <f aca="false">FALSE()</f>
        <v>0</v>
      </c>
      <c r="AE39" s="319" t="b">
        <f aca="false">FALSE()</f>
        <v>0</v>
      </c>
      <c r="AF39" s="319" t="b">
        <f aca="false">FALSE()</f>
        <v>0</v>
      </c>
      <c r="AG39" s="6" t="s">
        <v>182</v>
      </c>
      <c r="AH39" s="6" t="s">
        <v>182</v>
      </c>
    </row>
    <row r="40" customFormat="false" ht="15.75" hidden="false" customHeight="false" outlineLevel="0" collapsed="false">
      <c r="A40" s="3" t="s">
        <v>2008</v>
      </c>
      <c r="B40" s="6" t="s">
        <v>2009</v>
      </c>
      <c r="C40" s="311" t="b">
        <f aca="false">TRUE()</f>
        <v>1</v>
      </c>
      <c r="D40" s="6" t="str">
        <f aca="false">I40   &amp; IF(ISBLANK(M40),, ". "&amp; M40 &amp; IF(ISBLANK(Q40),, ". "&amp; Q40))</f>
        <v>CraftSpeed</v>
      </c>
      <c r="E40" s="6" t="str">
        <f aca="false">I40  &amp;": # on "&amp; L40  &amp; IF(ISBLANK(M40),, ". "&amp; M40 &amp;": # on "&amp; P40 &amp; IF(ISBLANK(Q40),, ". "&amp; Q40 &amp;": # on "&amp; T40))</f>
        <v>CraftSpeed: # on Self</v>
      </c>
      <c r="F40" s="6" t="str">
        <f aca="false">IF(U40,"active pal",)  &amp; IF(V40,"working",) &amp; IF(W40,"mounted",) &amp; IF(Y40,"in party (buff)",)  &amp; IF(Z40,"always",)</f>
        <v>always</v>
      </c>
      <c r="G40" s="6" t="n">
        <v>-1</v>
      </c>
      <c r="H40" s="6" t="s">
        <v>182</v>
      </c>
      <c r="I40" s="6" t="s">
        <v>661</v>
      </c>
      <c r="J40" s="6" t="str">
        <f aca="false">IFERROR(__xludf.dummyfunction("IFS(I40=""ShotAttack"",""%"",I40=""MeleeAttack"",""%"", I40=""Defense"",""%"",I40=""CraftSPeed"",""%"",I40=""LifeSteal"",""%"",I40=""MaxInventoryWeight"",""+"",I40=""MoveSpeed"",""%"",REGEXMATCH(I40,""ElementAddItemDrop_""),""%"",I40=""Logging"",""+"",I40"&amp;"=""Mining"",""+"",I40=""Maxhp"",""%"",REGEXMATCH(I40,""TemperatureResist_""),""+"",REGEXMATCH(I40,""ElementResist_""),""%"",REGEXMATCH(I40,""TemperatureInvalid_""),""bool"",REGEXMATCH(I40,""BodyPartsWeakDamage""),""%"",REGEXMATCH(I40,""ElementBoost_""),"""&amp;"%"",AND(REGEXMATCH(B40,""GiveA""),REGEXMATCH(I40,""Element"")),""bool"")"),"%")</f>
        <v>%</v>
      </c>
      <c r="K40" s="6" t="n">
        <v>-10</v>
      </c>
      <c r="L40" s="6" t="s">
        <v>1956</v>
      </c>
      <c r="M40" s="6"/>
      <c r="N40" s="6" t="str">
        <f aca="false">IFERROR(__xludf.dummyfunction("IFS(M40=""ShotAttack"",""%"",M40=""MeleeAttack"",""%"", M40=""Defense"",""%"",M40=""CraftSPeed"",""%"",M40=""LifeSteal"",""%"",M40=""MaxInventoryWeight"",""+"",M40=""MoveSpeed"",""%"",REGEXMATCH(M40,""ElementAddItemDrop_""),""%"",M40=""Logging"",""+"",M40"&amp;"=""Mining"",""+"",M40=""Maxhp"",""%"",REGEXMATCH(M40,""TemperatureResist_""),""+"",REGEXMATCH(M40,""ElementResist_""),""%"",REGEXMATCH(M40,""TemperatureInvalid_""),""bool"",REGEXMATCH(M40,""BodyPartsWeakDamage""),""%"",REGEXMATCH(M40,""ElementBoost_""),"""&amp;"%"",AND(REGEXMATCH(F40,""GiveA""),REGEXMATCH(M40,""Element"")),""bool"")"),"#N/A")</f>
        <v>#N/A</v>
      </c>
      <c r="O40" s="6" t="n">
        <v>0</v>
      </c>
      <c r="P40" s="6"/>
      <c r="Q40" s="6"/>
      <c r="R40" s="6" t="str">
        <f aca="false">IFERROR(__xludf.dummyfunction("IFS(Q40=""ShotAttack"",""%"",Q40=""MeleeAttack"",""%"", Q40=""Defense"",""%"",Q40=""CraftSPeed"",""%"",Q40=""LifeSteal"",""%"",Q40=""MaxInventoryWeight"",""+"",Q40=""MoveSpeed"",""%"",REGEXMATCH(Q40,""ElementAddItemDrop_""),""%"",Q40=""Logging"",""+"",Q40"&amp;"=""Mining"",""+"",Q40=""Maxhp"",""%"",REGEXMATCH(Q40,""TemperatureResist_""),""+"",REGEXMATCH(Q40,""ElementResist_""),""%"",REGEXMATCH(Q40,""TemperatureInvalid_""),""bool"",REGEXMATCH(Q40,""BodyPartsWeakDamage""),""%"",REGEXMATCH(Q40,""ElementBoost_""),"""&amp;"%"",AND(REGEXMATCH(J40,""GiveA""),REGEXMATCH(Q40,""Element"")),""bool"")"),"#N/A")</f>
        <v>#N/A</v>
      </c>
      <c r="S40" s="6" t="n">
        <v>0</v>
      </c>
      <c r="T40" s="6"/>
      <c r="U40" s="319" t="b">
        <f aca="false">FALSE()</f>
        <v>0</v>
      </c>
      <c r="V40" s="319" t="b">
        <f aca="false">FALSE()</f>
        <v>0</v>
      </c>
      <c r="W40" s="319" t="b">
        <f aca="false">FALSE()</f>
        <v>0</v>
      </c>
      <c r="X40" s="319" t="b">
        <f aca="false">FALSE()</f>
        <v>0</v>
      </c>
      <c r="Y40" s="319" t="b">
        <f aca="false">FALSE()</f>
        <v>0</v>
      </c>
      <c r="Z40" s="319" t="b">
        <f aca="false">TRUE()</f>
        <v>1</v>
      </c>
      <c r="AA40" s="319" t="b">
        <f aca="false">TRUE()</f>
        <v>1</v>
      </c>
      <c r="AB40" s="319" t="b">
        <f aca="false">FALSE()</f>
        <v>0</v>
      </c>
      <c r="AC40" s="319" t="b">
        <f aca="false">FALSE()</f>
        <v>0</v>
      </c>
      <c r="AD40" s="319" t="b">
        <f aca="false">FALSE()</f>
        <v>0</v>
      </c>
      <c r="AE40" s="319" t="b">
        <f aca="false">FALSE()</f>
        <v>0</v>
      </c>
      <c r="AF40" s="319" t="b">
        <f aca="false">FALSE()</f>
        <v>0</v>
      </c>
      <c r="AG40" s="6" t="s">
        <v>182</v>
      </c>
      <c r="AH40" s="6" t="s">
        <v>182</v>
      </c>
    </row>
    <row r="41" customFormat="false" ht="15.75" hidden="false" customHeight="false" outlineLevel="0" collapsed="false">
      <c r="A41" s="3" t="s">
        <v>2010</v>
      </c>
      <c r="B41" s="6" t="s">
        <v>2011</v>
      </c>
      <c r="C41" s="311" t="b">
        <f aca="false">TRUE()</f>
        <v>1</v>
      </c>
      <c r="D41" s="6" t="str">
        <f aca="false">I41   &amp; IF(ISBLANK(M41),, ". "&amp; M41 &amp; IF(ISBLANK(Q41),, ". "&amp; Q41))</f>
        <v>CraftSpeed</v>
      </c>
      <c r="E41" s="6" t="str">
        <f aca="false">I41  &amp;": # on "&amp; L41  &amp; IF(ISBLANK(M41),, ". "&amp; M41 &amp;": # on "&amp; P41 &amp; IF(ISBLANK(Q41),, ". "&amp; Q41 &amp;": # on "&amp; T41))</f>
        <v>CraftSpeed: # on Self</v>
      </c>
      <c r="F41" s="6" t="str">
        <f aca="false">IF(U41,"active pal",)  &amp; IF(V41,"working",) &amp; IF(W41,"mounted",) &amp; IF(Y41,"in party (buff)",)  &amp; IF(Z41,"always",)</f>
        <v>always</v>
      </c>
      <c r="G41" s="6" t="n">
        <v>-3</v>
      </c>
      <c r="H41" s="6" t="s">
        <v>182</v>
      </c>
      <c r="I41" s="6" t="s">
        <v>661</v>
      </c>
      <c r="J41" s="6" t="str">
        <f aca="false">IFERROR(__xludf.dummyfunction("IFS(I41=""ShotAttack"",""%"",I41=""MeleeAttack"",""%"", I41=""Defense"",""%"",I41=""CraftSPeed"",""%"",I41=""LifeSteal"",""%"",I41=""MaxInventoryWeight"",""+"",I41=""MoveSpeed"",""%"",REGEXMATCH(I41,""ElementAddItemDrop_""),""%"",I41=""Logging"",""+"",I41"&amp;"=""Mining"",""+"",I41=""Maxhp"",""%"",REGEXMATCH(I41,""TemperatureResist_""),""+"",REGEXMATCH(I41,""ElementResist_""),""%"",REGEXMATCH(I41,""TemperatureInvalid_""),""bool"",REGEXMATCH(I41,""BodyPartsWeakDamage""),""%"",REGEXMATCH(I41,""ElementBoost_""),"""&amp;"%"",AND(REGEXMATCH(B41,""GiveA""),REGEXMATCH(I41,""Element"")),""bool"")"),"%")</f>
        <v>%</v>
      </c>
      <c r="K41" s="6" t="n">
        <v>-30</v>
      </c>
      <c r="L41" s="6" t="s">
        <v>1956</v>
      </c>
      <c r="M41" s="6"/>
      <c r="N41" s="6" t="str">
        <f aca="false">IFERROR(__xludf.dummyfunction("IFS(M41=""ShotAttack"",""%"",M41=""MeleeAttack"",""%"", M41=""Defense"",""%"",M41=""CraftSPeed"",""%"",M41=""LifeSteal"",""%"",M41=""MaxInventoryWeight"",""+"",M41=""MoveSpeed"",""%"",REGEXMATCH(M41,""ElementAddItemDrop_""),""%"",M41=""Logging"",""+"",M41"&amp;"=""Mining"",""+"",M41=""Maxhp"",""%"",REGEXMATCH(M41,""TemperatureResist_""),""+"",REGEXMATCH(M41,""ElementResist_""),""%"",REGEXMATCH(M41,""TemperatureInvalid_""),""bool"",REGEXMATCH(M41,""BodyPartsWeakDamage""),""%"",REGEXMATCH(M41,""ElementBoost_""),"""&amp;"%"",AND(REGEXMATCH(F41,""GiveA""),REGEXMATCH(M41,""Element"")),""bool"")"),"#N/A")</f>
        <v>#N/A</v>
      </c>
      <c r="O41" s="6" t="n">
        <v>0</v>
      </c>
      <c r="P41" s="6"/>
      <c r="Q41" s="6"/>
      <c r="R41" s="6" t="str">
        <f aca="false">IFERROR(__xludf.dummyfunction("IFS(Q41=""ShotAttack"",""%"",Q41=""MeleeAttack"",""%"", Q41=""Defense"",""%"",Q41=""CraftSPeed"",""%"",Q41=""LifeSteal"",""%"",Q41=""MaxInventoryWeight"",""+"",Q41=""MoveSpeed"",""%"",REGEXMATCH(Q41,""ElementAddItemDrop_""),""%"",Q41=""Logging"",""+"",Q41"&amp;"=""Mining"",""+"",Q41=""Maxhp"",""%"",REGEXMATCH(Q41,""TemperatureResist_""),""+"",REGEXMATCH(Q41,""ElementResist_""),""%"",REGEXMATCH(Q41,""TemperatureInvalid_""),""bool"",REGEXMATCH(Q41,""BodyPartsWeakDamage""),""%"",REGEXMATCH(Q41,""ElementBoost_""),"""&amp;"%"",AND(REGEXMATCH(J41,""GiveA""),REGEXMATCH(Q41,""Element"")),""bool"")"),"#N/A")</f>
        <v>#N/A</v>
      </c>
      <c r="S41" s="6" t="n">
        <v>0</v>
      </c>
      <c r="T41" s="6"/>
      <c r="U41" s="319" t="b">
        <f aca="false">FALSE()</f>
        <v>0</v>
      </c>
      <c r="V41" s="319" t="b">
        <f aca="false">FALSE()</f>
        <v>0</v>
      </c>
      <c r="W41" s="319" t="b">
        <f aca="false">FALSE()</f>
        <v>0</v>
      </c>
      <c r="X41" s="319" t="b">
        <f aca="false">FALSE()</f>
        <v>0</v>
      </c>
      <c r="Y41" s="319" t="b">
        <f aca="false">FALSE()</f>
        <v>0</v>
      </c>
      <c r="Z41" s="319" t="b">
        <f aca="false">TRUE()</f>
        <v>1</v>
      </c>
      <c r="AA41" s="319" t="b">
        <f aca="false">TRUE()</f>
        <v>1</v>
      </c>
      <c r="AB41" s="319" t="b">
        <f aca="false">FALSE()</f>
        <v>0</v>
      </c>
      <c r="AC41" s="319" t="b">
        <f aca="false">FALSE()</f>
        <v>0</v>
      </c>
      <c r="AD41" s="319" t="b">
        <f aca="false">FALSE()</f>
        <v>0</v>
      </c>
      <c r="AE41" s="319" t="b">
        <f aca="false">FALSE()</f>
        <v>0</v>
      </c>
      <c r="AF41" s="319" t="b">
        <f aca="false">FALSE()</f>
        <v>0</v>
      </c>
      <c r="AG41" s="6" t="s">
        <v>182</v>
      </c>
      <c r="AH41" s="6" t="s">
        <v>182</v>
      </c>
    </row>
    <row r="42" customFormat="false" ht="15.75" hidden="false" customHeight="false" outlineLevel="0" collapsed="false">
      <c r="A42" s="3" t="s">
        <v>1953</v>
      </c>
      <c r="B42" s="6" t="s">
        <v>2012</v>
      </c>
      <c r="C42" s="3"/>
      <c r="D42" s="6" t="str">
        <f aca="false">I42   &amp; IF(ISBLANK(M42),, ". "&amp; M42 &amp; IF(ISBLANK(Q42),, ". "&amp; Q42))</f>
        <v>MeleeAttack</v>
      </c>
      <c r="E42" s="6" t="str">
        <f aca="false">I42  &amp;": # on "&amp; L42  &amp; IF(ISBLANK(M42),, ". "&amp; M42 &amp;": # on "&amp; P42 &amp; IF(ISBLANK(Q42),, ". "&amp; Q42 &amp;": # on "&amp; T42))</f>
        <v>MeleeAttack: # on Self</v>
      </c>
      <c r="F42" s="6" t="str">
        <f aca="false">IF(U42,"active pal",)  &amp; IF(V42,"working",) &amp; IF(W42,"mounted",) &amp; IF(Y42,"in party (buff)",)  &amp; IF(Z42,"always",)</f>
        <v/>
      </c>
      <c r="G42" s="6" t="n">
        <v>4</v>
      </c>
      <c r="H42" s="6" t="s">
        <v>182</v>
      </c>
      <c r="I42" s="6" t="s">
        <v>658</v>
      </c>
      <c r="J42" s="6" t="str">
        <f aca="false">IFERROR(__xludf.dummyfunction("IFS(I42=""ShotAttack"",""%"",I42=""MeleeAttack"",""%"", I42=""Defense"",""%"",I42=""CraftSPeed"",""%"",I42=""LifeSteal"",""%"",I42=""MaxInventoryWeight"",""+"",I42=""MoveSpeed"",""%"",REGEXMATCH(I42,""ElementAddItemDrop_""),""%"",I42=""Logging"",""+"",I42"&amp;"=""Mining"",""+"",I42=""Maxhp"",""%"",REGEXMATCH(I42,""TemperatureResist_""),""+"",REGEXMATCH(I42,""ElementResist_""),""%"",REGEXMATCH(I42,""TemperatureInvalid_""),""bool"",REGEXMATCH(I42,""BodyPartsWeakDamage""),""%"",REGEXMATCH(I42,""ElementBoost_""),"""&amp;"%"",AND(REGEXMATCH(B42,""GiveA""),REGEXMATCH(I42,""Element"")),""bool"")"),"%")</f>
        <v>%</v>
      </c>
      <c r="K42" s="6" t="n">
        <v>50</v>
      </c>
      <c r="L42" s="6" t="s">
        <v>1956</v>
      </c>
      <c r="M42" s="6"/>
      <c r="N42" s="6" t="str">
        <f aca="false">IFERROR(__xludf.dummyfunction("IFS(M42=""ShotAttack"",""%"",M42=""MeleeAttack"",""%"", M42=""Defense"",""%"",M42=""CraftSPeed"",""%"",M42=""LifeSteal"",""%"",M42=""MaxInventoryWeight"",""+"",M42=""MoveSpeed"",""%"",REGEXMATCH(M42,""ElementAddItemDrop_""),""%"",M42=""Logging"",""+"",M42"&amp;"=""Mining"",""+"",M42=""Maxhp"",""%"",REGEXMATCH(M42,""TemperatureResist_""),""+"",REGEXMATCH(M42,""ElementResist_""),""%"",REGEXMATCH(M42,""TemperatureInvalid_""),""bool"",REGEXMATCH(M42,""BodyPartsWeakDamage""),""%"",REGEXMATCH(M42,""ElementBoost_""),"""&amp;"%"",AND(REGEXMATCH(F42,""GiveA""),REGEXMATCH(M42,""Element"")),""bool"")"),"#N/A")</f>
        <v>#N/A</v>
      </c>
      <c r="O42" s="6" t="n">
        <v>0</v>
      </c>
      <c r="P42" s="6"/>
      <c r="Q42" s="6"/>
      <c r="R42" s="6" t="str">
        <f aca="false">IFERROR(__xludf.dummyfunction("IFS(Q42=""ShotAttack"",""%"",Q42=""MeleeAttack"",""%"", Q42=""Defense"",""%"",Q42=""CraftSPeed"",""%"",Q42=""LifeSteal"",""%"",Q42=""MaxInventoryWeight"",""+"",Q42=""MoveSpeed"",""%"",REGEXMATCH(Q42,""ElementAddItemDrop_""),""%"",Q42=""Logging"",""+"",Q42"&amp;"=""Mining"",""+"",Q42=""Maxhp"",""%"",REGEXMATCH(Q42,""TemperatureResist_""),""+"",REGEXMATCH(Q42,""ElementResist_""),""%"",REGEXMATCH(Q42,""TemperatureInvalid_""),""bool"",REGEXMATCH(Q42,""BodyPartsWeakDamage""),""%"",REGEXMATCH(Q42,""ElementBoost_""),"""&amp;"%"",AND(REGEXMATCH(J42,""GiveA""),REGEXMATCH(Q42,""Element"")),""bool"")"),"#N/A")</f>
        <v>#N/A</v>
      </c>
      <c r="S42" s="6" t="n">
        <v>0</v>
      </c>
      <c r="T42" s="6"/>
      <c r="U42" s="319" t="b">
        <f aca="false">FALSE()</f>
        <v>0</v>
      </c>
      <c r="V42" s="319" t="b">
        <f aca="false">FALSE()</f>
        <v>0</v>
      </c>
      <c r="W42" s="319" t="b">
        <f aca="false">FALSE()</f>
        <v>0</v>
      </c>
      <c r="X42" s="319" t="b">
        <f aca="false">FALSE()</f>
        <v>0</v>
      </c>
      <c r="Y42" s="319" t="b">
        <f aca="false">FALSE()</f>
        <v>0</v>
      </c>
      <c r="Z42" s="319" t="b">
        <f aca="false">FALSE()</f>
        <v>0</v>
      </c>
      <c r="AA42" s="319" t="b">
        <f aca="false">FALSE()</f>
        <v>0</v>
      </c>
      <c r="AB42" s="319" t="b">
        <f aca="false">FALSE()</f>
        <v>0</v>
      </c>
      <c r="AC42" s="319" t="b">
        <f aca="false">FALSE()</f>
        <v>0</v>
      </c>
      <c r="AD42" s="319" t="b">
        <f aca="false">FALSE()</f>
        <v>0</v>
      </c>
      <c r="AE42" s="319" t="b">
        <f aca="false">FALSE()</f>
        <v>0</v>
      </c>
      <c r="AF42" s="319" t="b">
        <f aca="false">FALSE()</f>
        <v>0</v>
      </c>
      <c r="AG42" s="6" t="s">
        <v>182</v>
      </c>
      <c r="AH42" s="6" t="s">
        <v>182</v>
      </c>
    </row>
    <row r="43" customFormat="false" ht="15.75" hidden="false" customHeight="false" outlineLevel="0" collapsed="false">
      <c r="A43" s="3" t="s">
        <v>1953</v>
      </c>
      <c r="B43" s="6" t="s">
        <v>2013</v>
      </c>
      <c r="C43" s="3"/>
      <c r="D43" s="6" t="str">
        <f aca="false">I43   &amp; IF(ISBLANK(M43),, ". "&amp; M43 &amp; IF(ISBLANK(Q43),, ". "&amp; Q43))</f>
        <v>MeleeAttack</v>
      </c>
      <c r="E43" s="6" t="str">
        <f aca="false">I43  &amp;": # on "&amp; L43  &amp; IF(ISBLANK(M43),, ". "&amp; M43 &amp;": # on "&amp; P43 &amp; IF(ISBLANK(Q43),, ". "&amp; Q43 &amp;": # on "&amp; T43))</f>
        <v>MeleeAttack: # on Self</v>
      </c>
      <c r="F43" s="6" t="str">
        <f aca="false">IF(U43,"active pal",)  &amp; IF(V43,"working",) &amp; IF(W43,"mounted",) &amp; IF(Y43,"in party (buff)",)  &amp; IF(Z43,"always",)</f>
        <v/>
      </c>
      <c r="G43" s="6" t="n">
        <v>3</v>
      </c>
      <c r="H43" s="6" t="s">
        <v>182</v>
      </c>
      <c r="I43" s="6" t="s">
        <v>658</v>
      </c>
      <c r="J43" s="6" t="str">
        <f aca="false">IFERROR(__xludf.dummyfunction("IFS(I43=""ShotAttack"",""%"",I43=""MeleeAttack"",""%"", I43=""Defense"",""%"",I43=""CraftSPeed"",""%"",I43=""LifeSteal"",""%"",I43=""MaxInventoryWeight"",""+"",I43=""MoveSpeed"",""%"",REGEXMATCH(I43,""ElementAddItemDrop_""),""%"",I43=""Logging"",""+"",I43"&amp;"=""Mining"",""+"",I43=""Maxhp"",""%"",REGEXMATCH(I43,""TemperatureResist_""),""+"",REGEXMATCH(I43,""ElementResist_""),""%"",REGEXMATCH(I43,""TemperatureInvalid_""),""bool"",REGEXMATCH(I43,""BodyPartsWeakDamage""),""%"",REGEXMATCH(I43,""ElementBoost_""),"""&amp;"%"",AND(REGEXMATCH(B43,""GiveA""),REGEXMATCH(I43,""Element"")),""bool"")"),"%")</f>
        <v>%</v>
      </c>
      <c r="K43" s="6" t="n">
        <v>20</v>
      </c>
      <c r="L43" s="6" t="s">
        <v>1956</v>
      </c>
      <c r="M43" s="6"/>
      <c r="N43" s="6" t="str">
        <f aca="false">IFERROR(__xludf.dummyfunction("IFS(M43=""ShotAttack"",""%"",M43=""MeleeAttack"",""%"", M43=""Defense"",""%"",M43=""CraftSPeed"",""%"",M43=""LifeSteal"",""%"",M43=""MaxInventoryWeight"",""+"",M43=""MoveSpeed"",""%"",REGEXMATCH(M43,""ElementAddItemDrop_""),""%"",M43=""Logging"",""+"",M43"&amp;"=""Mining"",""+"",M43=""Maxhp"",""%"",REGEXMATCH(M43,""TemperatureResist_""),""+"",REGEXMATCH(M43,""ElementResist_""),""%"",REGEXMATCH(M43,""TemperatureInvalid_""),""bool"",REGEXMATCH(M43,""BodyPartsWeakDamage""),""%"",REGEXMATCH(M43,""ElementBoost_""),"""&amp;"%"",AND(REGEXMATCH(F43,""GiveA""),REGEXMATCH(M43,""Element"")),""bool"")"),"#N/A")</f>
        <v>#N/A</v>
      </c>
      <c r="O43" s="6" t="n">
        <v>0</v>
      </c>
      <c r="P43" s="6"/>
      <c r="Q43" s="6"/>
      <c r="R43" s="6" t="str">
        <f aca="false">IFERROR(__xludf.dummyfunction("IFS(Q43=""ShotAttack"",""%"",Q43=""MeleeAttack"",""%"", Q43=""Defense"",""%"",Q43=""CraftSPeed"",""%"",Q43=""LifeSteal"",""%"",Q43=""MaxInventoryWeight"",""+"",Q43=""MoveSpeed"",""%"",REGEXMATCH(Q43,""ElementAddItemDrop_""),""%"",Q43=""Logging"",""+"",Q43"&amp;"=""Mining"",""+"",Q43=""Maxhp"",""%"",REGEXMATCH(Q43,""TemperatureResist_""),""+"",REGEXMATCH(Q43,""ElementResist_""),""%"",REGEXMATCH(Q43,""TemperatureInvalid_""),""bool"",REGEXMATCH(Q43,""BodyPartsWeakDamage""),""%"",REGEXMATCH(Q43,""ElementBoost_""),"""&amp;"%"",AND(REGEXMATCH(J43,""GiveA""),REGEXMATCH(Q43,""Element"")),""bool"")"),"#N/A")</f>
        <v>#N/A</v>
      </c>
      <c r="S43" s="6" t="n">
        <v>0</v>
      </c>
      <c r="T43" s="6"/>
      <c r="U43" s="319" t="b">
        <f aca="false">FALSE()</f>
        <v>0</v>
      </c>
      <c r="V43" s="319" t="b">
        <f aca="false">FALSE()</f>
        <v>0</v>
      </c>
      <c r="W43" s="319" t="b">
        <f aca="false">FALSE()</f>
        <v>0</v>
      </c>
      <c r="X43" s="319" t="b">
        <f aca="false">FALSE()</f>
        <v>0</v>
      </c>
      <c r="Y43" s="319" t="b">
        <f aca="false">FALSE()</f>
        <v>0</v>
      </c>
      <c r="Z43" s="319" t="b">
        <f aca="false">FALSE()</f>
        <v>0</v>
      </c>
      <c r="AA43" s="319" t="b">
        <f aca="false">FALSE()</f>
        <v>0</v>
      </c>
      <c r="AB43" s="319" t="b">
        <f aca="false">FALSE()</f>
        <v>0</v>
      </c>
      <c r="AC43" s="319" t="b">
        <f aca="false">FALSE()</f>
        <v>0</v>
      </c>
      <c r="AD43" s="319" t="b">
        <f aca="false">FALSE()</f>
        <v>0</v>
      </c>
      <c r="AE43" s="319" t="b">
        <f aca="false">FALSE()</f>
        <v>0</v>
      </c>
      <c r="AF43" s="319" t="b">
        <f aca="false">FALSE()</f>
        <v>0</v>
      </c>
      <c r="AG43" s="6" t="s">
        <v>182</v>
      </c>
      <c r="AH43" s="6" t="s">
        <v>182</v>
      </c>
    </row>
    <row r="44" customFormat="false" ht="15.75" hidden="false" customHeight="false" outlineLevel="0" collapsed="false">
      <c r="A44" s="3" t="s">
        <v>1953</v>
      </c>
      <c r="B44" s="6" t="s">
        <v>2014</v>
      </c>
      <c r="C44" s="3"/>
      <c r="D44" s="6" t="str">
        <f aca="false">I44   &amp; IF(ISBLANK(M44),, ". "&amp; M44 &amp; IF(ISBLANK(Q44),, ". "&amp; Q44))</f>
        <v>MeleeAttack</v>
      </c>
      <c r="E44" s="6" t="str">
        <f aca="false">I44  &amp;": # on "&amp; L44  &amp; IF(ISBLANK(M44),, ". "&amp; M44 &amp;": # on "&amp; P44 &amp; IF(ISBLANK(Q44),, ". "&amp; Q44 &amp;": # on "&amp; T44))</f>
        <v>MeleeAttack: # on Self</v>
      </c>
      <c r="F44" s="6" t="str">
        <f aca="false">IF(U44,"active pal",)  &amp; IF(V44,"working",) &amp; IF(W44,"mounted",) &amp; IF(Y44,"in party (buff)",)  &amp; IF(Z44,"always",)</f>
        <v/>
      </c>
      <c r="G44" s="6" t="n">
        <v>1</v>
      </c>
      <c r="H44" s="6" t="s">
        <v>182</v>
      </c>
      <c r="I44" s="6" t="s">
        <v>658</v>
      </c>
      <c r="J44" s="6" t="str">
        <f aca="false">IFERROR(__xludf.dummyfunction("IFS(I44=""ShotAttack"",""%"",I44=""MeleeAttack"",""%"", I44=""Defense"",""%"",I44=""CraftSPeed"",""%"",I44=""LifeSteal"",""%"",I44=""MaxInventoryWeight"",""+"",I44=""MoveSpeed"",""%"",REGEXMATCH(I44,""ElementAddItemDrop_""),""%"",I44=""Logging"",""+"",I44"&amp;"=""Mining"",""+"",I44=""Maxhp"",""%"",REGEXMATCH(I44,""TemperatureResist_""),""+"",REGEXMATCH(I44,""ElementResist_""),""%"",REGEXMATCH(I44,""TemperatureInvalid_""),""bool"",REGEXMATCH(I44,""BodyPartsWeakDamage""),""%"",REGEXMATCH(I44,""ElementBoost_""),"""&amp;"%"",AND(REGEXMATCH(B44,""GiveA""),REGEXMATCH(I44,""Element"")),""bool"")"),"%")</f>
        <v>%</v>
      </c>
      <c r="K44" s="6" t="n">
        <v>-10</v>
      </c>
      <c r="L44" s="6" t="s">
        <v>1956</v>
      </c>
      <c r="M44" s="6"/>
      <c r="N44" s="6" t="str">
        <f aca="false">IFERROR(__xludf.dummyfunction("IFS(M44=""ShotAttack"",""%"",M44=""MeleeAttack"",""%"", M44=""Defense"",""%"",M44=""CraftSPeed"",""%"",M44=""LifeSteal"",""%"",M44=""MaxInventoryWeight"",""+"",M44=""MoveSpeed"",""%"",REGEXMATCH(M44,""ElementAddItemDrop_""),""%"",M44=""Logging"",""+"",M44"&amp;"=""Mining"",""+"",M44=""Maxhp"",""%"",REGEXMATCH(M44,""TemperatureResist_""),""+"",REGEXMATCH(M44,""ElementResist_""),""%"",REGEXMATCH(M44,""TemperatureInvalid_""),""bool"",REGEXMATCH(M44,""BodyPartsWeakDamage""),""%"",REGEXMATCH(M44,""ElementBoost_""),"""&amp;"%"",AND(REGEXMATCH(F44,""GiveA""),REGEXMATCH(M44,""Element"")),""bool"")"),"#N/A")</f>
        <v>#N/A</v>
      </c>
      <c r="O44" s="6" t="n">
        <v>0</v>
      </c>
      <c r="P44" s="6"/>
      <c r="Q44" s="6"/>
      <c r="R44" s="6" t="str">
        <f aca="false">IFERROR(__xludf.dummyfunction("IFS(Q44=""ShotAttack"",""%"",Q44=""MeleeAttack"",""%"", Q44=""Defense"",""%"",Q44=""CraftSPeed"",""%"",Q44=""LifeSteal"",""%"",Q44=""MaxInventoryWeight"",""+"",Q44=""MoveSpeed"",""%"",REGEXMATCH(Q44,""ElementAddItemDrop_""),""%"",Q44=""Logging"",""+"",Q44"&amp;"=""Mining"",""+"",Q44=""Maxhp"",""%"",REGEXMATCH(Q44,""TemperatureResist_""),""+"",REGEXMATCH(Q44,""ElementResist_""),""%"",REGEXMATCH(Q44,""TemperatureInvalid_""),""bool"",REGEXMATCH(Q44,""BodyPartsWeakDamage""),""%"",REGEXMATCH(Q44,""ElementBoost_""),"""&amp;"%"",AND(REGEXMATCH(J44,""GiveA""),REGEXMATCH(Q44,""Element"")),""bool"")"),"#N/A")</f>
        <v>#N/A</v>
      </c>
      <c r="S44" s="6" t="n">
        <v>0</v>
      </c>
      <c r="T44" s="6"/>
      <c r="U44" s="319" t="b">
        <f aca="false">FALSE()</f>
        <v>0</v>
      </c>
      <c r="V44" s="319" t="b">
        <f aca="false">FALSE()</f>
        <v>0</v>
      </c>
      <c r="W44" s="319" t="b">
        <f aca="false">FALSE()</f>
        <v>0</v>
      </c>
      <c r="X44" s="319" t="b">
        <f aca="false">FALSE()</f>
        <v>0</v>
      </c>
      <c r="Y44" s="319" t="b">
        <f aca="false">FALSE()</f>
        <v>0</v>
      </c>
      <c r="Z44" s="319" t="b">
        <f aca="false">FALSE()</f>
        <v>0</v>
      </c>
      <c r="AA44" s="319" t="b">
        <f aca="false">FALSE()</f>
        <v>0</v>
      </c>
      <c r="AB44" s="319" t="b">
        <f aca="false">FALSE()</f>
        <v>0</v>
      </c>
      <c r="AC44" s="319" t="b">
        <f aca="false">FALSE()</f>
        <v>0</v>
      </c>
      <c r="AD44" s="319" t="b">
        <f aca="false">FALSE()</f>
        <v>0</v>
      </c>
      <c r="AE44" s="319" t="b">
        <f aca="false">FALSE()</f>
        <v>0</v>
      </c>
      <c r="AF44" s="319" t="b">
        <f aca="false">FALSE()</f>
        <v>0</v>
      </c>
      <c r="AG44" s="6" t="s">
        <v>182</v>
      </c>
      <c r="AH44" s="6" t="s">
        <v>182</v>
      </c>
    </row>
    <row r="45" customFormat="false" ht="15.75" hidden="false" customHeight="false" outlineLevel="0" collapsed="false">
      <c r="A45" s="3" t="s">
        <v>1953</v>
      </c>
      <c r="B45" s="6" t="s">
        <v>2015</v>
      </c>
      <c r="C45" s="3"/>
      <c r="D45" s="6" t="str">
        <f aca="false">I45   &amp; IF(ISBLANK(M45),, ". "&amp; M45 &amp; IF(ISBLANK(Q45),, ". "&amp; Q45))</f>
        <v>MeleeAttack</v>
      </c>
      <c r="E45" s="6" t="str">
        <f aca="false">I45  &amp;": # on "&amp; L45  &amp; IF(ISBLANK(M45),, ". "&amp; M45 &amp;": # on "&amp; P45 &amp; IF(ISBLANK(Q45),, ". "&amp; Q45 &amp;": # on "&amp; T45))</f>
        <v>MeleeAttack: # on Self</v>
      </c>
      <c r="F45" s="6" t="str">
        <f aca="false">IF(U45,"active pal",)  &amp; IF(V45,"working",) &amp; IF(W45,"mounted",) &amp; IF(Y45,"in party (buff)",)  &amp; IF(Z45,"always",)</f>
        <v/>
      </c>
      <c r="G45" s="6" t="n">
        <v>1</v>
      </c>
      <c r="H45" s="6" t="s">
        <v>182</v>
      </c>
      <c r="I45" s="6" t="s">
        <v>658</v>
      </c>
      <c r="J45" s="6" t="str">
        <f aca="false">IFERROR(__xludf.dummyfunction("IFS(I45=""ShotAttack"",""%"",I45=""MeleeAttack"",""%"", I45=""Defense"",""%"",I45=""CraftSPeed"",""%"",I45=""LifeSteal"",""%"",I45=""MaxInventoryWeight"",""+"",I45=""MoveSpeed"",""%"",REGEXMATCH(I45,""ElementAddItemDrop_""),""%"",I45=""Logging"",""+"",I45"&amp;"=""Mining"",""+"",I45=""Maxhp"",""%"",REGEXMATCH(I45,""TemperatureResist_""),""+"",REGEXMATCH(I45,""ElementResist_""),""%"",REGEXMATCH(I45,""TemperatureInvalid_""),""bool"",REGEXMATCH(I45,""BodyPartsWeakDamage""),""%"",REGEXMATCH(I45,""ElementBoost_""),"""&amp;"%"",AND(REGEXMATCH(B45,""GiveA""),REGEXMATCH(I45,""Element"")),""bool"")"),"%")</f>
        <v>%</v>
      </c>
      <c r="K45" s="6" t="n">
        <v>-30</v>
      </c>
      <c r="L45" s="6" t="s">
        <v>1956</v>
      </c>
      <c r="M45" s="6"/>
      <c r="N45" s="6" t="str">
        <f aca="false">IFERROR(__xludf.dummyfunction("IFS(M45=""ShotAttack"",""%"",M45=""MeleeAttack"",""%"", M45=""Defense"",""%"",M45=""CraftSPeed"",""%"",M45=""LifeSteal"",""%"",M45=""MaxInventoryWeight"",""+"",M45=""MoveSpeed"",""%"",REGEXMATCH(M45,""ElementAddItemDrop_""),""%"",M45=""Logging"",""+"",M45"&amp;"=""Mining"",""+"",M45=""Maxhp"",""%"",REGEXMATCH(M45,""TemperatureResist_""),""+"",REGEXMATCH(M45,""ElementResist_""),""%"",REGEXMATCH(M45,""TemperatureInvalid_""),""bool"",REGEXMATCH(M45,""BodyPartsWeakDamage""),""%"",REGEXMATCH(M45,""ElementBoost_""),"""&amp;"%"",AND(REGEXMATCH(F45,""GiveA""),REGEXMATCH(M45,""Element"")),""bool"")"),"#N/A")</f>
        <v>#N/A</v>
      </c>
      <c r="O45" s="6" t="n">
        <v>0</v>
      </c>
      <c r="P45" s="6"/>
      <c r="Q45" s="6"/>
      <c r="R45" s="6" t="str">
        <f aca="false">IFERROR(__xludf.dummyfunction("IFS(Q45=""ShotAttack"",""%"",Q45=""MeleeAttack"",""%"", Q45=""Defense"",""%"",Q45=""CraftSPeed"",""%"",Q45=""LifeSteal"",""%"",Q45=""MaxInventoryWeight"",""+"",Q45=""MoveSpeed"",""%"",REGEXMATCH(Q45,""ElementAddItemDrop_""),""%"",Q45=""Logging"",""+"",Q45"&amp;"=""Mining"",""+"",Q45=""Maxhp"",""%"",REGEXMATCH(Q45,""TemperatureResist_""),""+"",REGEXMATCH(Q45,""ElementResist_""),""%"",REGEXMATCH(Q45,""TemperatureInvalid_""),""bool"",REGEXMATCH(Q45,""BodyPartsWeakDamage""),""%"",REGEXMATCH(Q45,""ElementBoost_""),"""&amp;"%"",AND(REGEXMATCH(J45,""GiveA""),REGEXMATCH(Q45,""Element"")),""bool"")"),"#N/A")</f>
        <v>#N/A</v>
      </c>
      <c r="S45" s="6" t="n">
        <v>0</v>
      </c>
      <c r="T45" s="6"/>
      <c r="U45" s="319" t="b">
        <f aca="false">FALSE()</f>
        <v>0</v>
      </c>
      <c r="V45" s="319" t="b">
        <f aca="false">FALSE()</f>
        <v>0</v>
      </c>
      <c r="W45" s="319" t="b">
        <f aca="false">FALSE()</f>
        <v>0</v>
      </c>
      <c r="X45" s="319" t="b">
        <f aca="false">FALSE()</f>
        <v>0</v>
      </c>
      <c r="Y45" s="319" t="b">
        <f aca="false">FALSE()</f>
        <v>0</v>
      </c>
      <c r="Z45" s="319" t="b">
        <f aca="false">FALSE()</f>
        <v>0</v>
      </c>
      <c r="AA45" s="319" t="b">
        <f aca="false">FALSE()</f>
        <v>0</v>
      </c>
      <c r="AB45" s="319" t="b">
        <f aca="false">FALSE()</f>
        <v>0</v>
      </c>
      <c r="AC45" s="319" t="b">
        <f aca="false">FALSE()</f>
        <v>0</v>
      </c>
      <c r="AD45" s="319" t="b">
        <f aca="false">FALSE()</f>
        <v>0</v>
      </c>
      <c r="AE45" s="319" t="b">
        <f aca="false">FALSE()</f>
        <v>0</v>
      </c>
      <c r="AF45" s="319" t="b">
        <f aca="false">FALSE()</f>
        <v>0</v>
      </c>
      <c r="AG45" s="6" t="s">
        <v>182</v>
      </c>
      <c r="AH45" s="6" t="s">
        <v>182</v>
      </c>
    </row>
    <row r="46" customFormat="false" ht="15.75" hidden="false" customHeight="false" outlineLevel="0" collapsed="false">
      <c r="A46" s="3" t="s">
        <v>1953</v>
      </c>
      <c r="B46" s="6" t="s">
        <v>2016</v>
      </c>
      <c r="C46" s="3"/>
      <c r="D46" s="6" t="str">
        <f aca="false">I46   &amp; IF(ISBLANK(M46),, ". "&amp; M46 &amp; IF(ISBLANK(Q46),, ". "&amp; Q46))</f>
        <v>ShotAttack</v>
      </c>
      <c r="E46" s="6" t="str">
        <f aca="false">I46  &amp;": # on "&amp; L46  &amp; IF(ISBLANK(M46),, ". "&amp; M46 &amp;": # on "&amp; P46 &amp; IF(ISBLANK(Q46),, ". "&amp; Q46 &amp;": # on "&amp; T46))</f>
        <v>ShotAttack: # on Self</v>
      </c>
      <c r="F46" s="6" t="str">
        <f aca="false">IF(U46,"active pal",)  &amp; IF(V46,"working",) &amp; IF(W46,"mounted",) &amp; IF(Y46,"in party (buff)",)  &amp; IF(Z46,"always",)</f>
        <v/>
      </c>
      <c r="G46" s="6" t="n">
        <v>3</v>
      </c>
      <c r="H46" s="6" t="s">
        <v>182</v>
      </c>
      <c r="I46" s="6" t="s">
        <v>659</v>
      </c>
      <c r="J46" s="6" t="str">
        <f aca="false">IFERROR(__xludf.dummyfunction("IFS(I46=""ShotAttack"",""%"",I46=""MeleeAttack"",""%"", I46=""Defense"",""%"",I46=""CraftSPeed"",""%"",I46=""LifeSteal"",""%"",I46=""MaxInventoryWeight"",""+"",I46=""MoveSpeed"",""%"",REGEXMATCH(I46,""ElementAddItemDrop_""),""%"",I46=""Logging"",""+"",I46"&amp;"=""Mining"",""+"",I46=""Maxhp"",""%"",REGEXMATCH(I46,""TemperatureResist_""),""+"",REGEXMATCH(I46,""ElementResist_""),""%"",REGEXMATCH(I46,""TemperatureInvalid_""),""bool"",REGEXMATCH(I46,""BodyPartsWeakDamage""),""%"",REGEXMATCH(I46,""ElementBoost_""),"""&amp;"%"",AND(REGEXMATCH(B46,""GiveA""),REGEXMATCH(I46,""Element"")),""bool"")"),"%")</f>
        <v>%</v>
      </c>
      <c r="K46" s="6" t="n">
        <v>20</v>
      </c>
      <c r="L46" s="6" t="s">
        <v>1956</v>
      </c>
      <c r="M46" s="6"/>
      <c r="N46" s="6" t="str">
        <f aca="false">IFERROR(__xludf.dummyfunction("IFS(M46=""ShotAttack"",""%"",M46=""MeleeAttack"",""%"", M46=""Defense"",""%"",M46=""CraftSPeed"",""%"",M46=""LifeSteal"",""%"",M46=""MaxInventoryWeight"",""+"",M46=""MoveSpeed"",""%"",REGEXMATCH(M46,""ElementAddItemDrop_""),""%"",M46=""Logging"",""+"",M46"&amp;"=""Mining"",""+"",M46=""Maxhp"",""%"",REGEXMATCH(M46,""TemperatureResist_""),""+"",REGEXMATCH(M46,""ElementResist_""),""%"",REGEXMATCH(M46,""TemperatureInvalid_""),""bool"",REGEXMATCH(M46,""BodyPartsWeakDamage""),""%"",REGEXMATCH(M46,""ElementBoost_""),"""&amp;"%"",AND(REGEXMATCH(F46,""GiveA""),REGEXMATCH(M46,""Element"")),""bool"")"),"#N/A")</f>
        <v>#N/A</v>
      </c>
      <c r="O46" s="6" t="n">
        <v>0</v>
      </c>
      <c r="P46" s="6"/>
      <c r="Q46" s="6"/>
      <c r="R46" s="6" t="str">
        <f aca="false">IFERROR(__xludf.dummyfunction("IFS(Q46=""ShotAttack"",""%"",Q46=""MeleeAttack"",""%"", Q46=""Defense"",""%"",Q46=""CraftSPeed"",""%"",Q46=""LifeSteal"",""%"",Q46=""MaxInventoryWeight"",""+"",Q46=""MoveSpeed"",""%"",REGEXMATCH(Q46,""ElementAddItemDrop_""),""%"",Q46=""Logging"",""+"",Q46"&amp;"=""Mining"",""+"",Q46=""Maxhp"",""%"",REGEXMATCH(Q46,""TemperatureResist_""),""+"",REGEXMATCH(Q46,""ElementResist_""),""%"",REGEXMATCH(Q46,""TemperatureInvalid_""),""bool"",REGEXMATCH(Q46,""BodyPartsWeakDamage""),""%"",REGEXMATCH(Q46,""ElementBoost_""),"""&amp;"%"",AND(REGEXMATCH(J46,""GiveA""),REGEXMATCH(Q46,""Element"")),""bool"")"),"#N/A")</f>
        <v>#N/A</v>
      </c>
      <c r="S46" s="6" t="n">
        <v>0</v>
      </c>
      <c r="T46" s="6"/>
      <c r="U46" s="319" t="b">
        <f aca="false">FALSE()</f>
        <v>0</v>
      </c>
      <c r="V46" s="319" t="b">
        <f aca="false">FALSE()</f>
        <v>0</v>
      </c>
      <c r="W46" s="319" t="b">
        <f aca="false">FALSE()</f>
        <v>0</v>
      </c>
      <c r="X46" s="319" t="b">
        <f aca="false">FALSE()</f>
        <v>0</v>
      </c>
      <c r="Y46" s="319" t="b">
        <f aca="false">FALSE()</f>
        <v>0</v>
      </c>
      <c r="Z46" s="319" t="b">
        <f aca="false">FALSE()</f>
        <v>0</v>
      </c>
      <c r="AA46" s="319" t="b">
        <f aca="false">FALSE()</f>
        <v>0</v>
      </c>
      <c r="AB46" s="319" t="b">
        <f aca="false">FALSE()</f>
        <v>0</v>
      </c>
      <c r="AC46" s="319" t="b">
        <f aca="false">FALSE()</f>
        <v>0</v>
      </c>
      <c r="AD46" s="319" t="b">
        <f aca="false">FALSE()</f>
        <v>0</v>
      </c>
      <c r="AE46" s="319" t="b">
        <f aca="false">FALSE()</f>
        <v>0</v>
      </c>
      <c r="AF46" s="319" t="b">
        <f aca="false">FALSE()</f>
        <v>0</v>
      </c>
      <c r="AG46" s="6" t="s">
        <v>182</v>
      </c>
      <c r="AH46" s="6" t="s">
        <v>182</v>
      </c>
    </row>
    <row r="47" customFormat="false" ht="15.75" hidden="false" customHeight="false" outlineLevel="0" collapsed="false">
      <c r="A47" s="3" t="s">
        <v>1953</v>
      </c>
      <c r="B47" s="6" t="s">
        <v>2017</v>
      </c>
      <c r="C47" s="3"/>
      <c r="D47" s="6" t="str">
        <f aca="false">I47   &amp; IF(ISBLANK(M47),, ". "&amp; M47 &amp; IF(ISBLANK(Q47),, ". "&amp; Q47))</f>
        <v>ShotAttack</v>
      </c>
      <c r="E47" s="6" t="str">
        <f aca="false">I47  &amp;": # on "&amp; L47  &amp; IF(ISBLANK(M47),, ". "&amp; M47 &amp;": # on "&amp; P47 &amp; IF(ISBLANK(Q47),, ". "&amp; Q47 &amp;": # on "&amp; T47))</f>
        <v>ShotAttack: # on Self</v>
      </c>
      <c r="F47" s="6" t="str">
        <f aca="false">IF(U47,"active pal",)  &amp; IF(V47,"working",) &amp; IF(W47,"mounted",) &amp; IF(Y47,"in party (buff)",)  &amp; IF(Z47,"always",)</f>
        <v/>
      </c>
      <c r="G47" s="6" t="n">
        <v>2</v>
      </c>
      <c r="H47" s="6" t="s">
        <v>182</v>
      </c>
      <c r="I47" s="6" t="s">
        <v>659</v>
      </c>
      <c r="J47" s="6" t="str">
        <f aca="false">IFERROR(__xludf.dummyfunction("IFS(I47=""ShotAttack"",""%"",I47=""MeleeAttack"",""%"", I47=""Defense"",""%"",I47=""CraftSPeed"",""%"",I47=""LifeSteal"",""%"",I47=""MaxInventoryWeight"",""+"",I47=""MoveSpeed"",""%"",REGEXMATCH(I47,""ElementAddItemDrop_""),""%"",I47=""Logging"",""+"",I47"&amp;"=""Mining"",""+"",I47=""Maxhp"",""%"",REGEXMATCH(I47,""TemperatureResist_""),""+"",REGEXMATCH(I47,""ElementResist_""),""%"",REGEXMATCH(I47,""TemperatureInvalid_""),""bool"",REGEXMATCH(I47,""BodyPartsWeakDamage""),""%"",REGEXMATCH(I47,""ElementBoost_""),"""&amp;"%"",AND(REGEXMATCH(B47,""GiveA""),REGEXMATCH(I47,""Element"")),""bool"")"),"%")</f>
        <v>%</v>
      </c>
      <c r="K47" s="6" t="n">
        <v>10</v>
      </c>
      <c r="L47" s="6" t="s">
        <v>1956</v>
      </c>
      <c r="M47" s="6"/>
      <c r="N47" s="6" t="str">
        <f aca="false">IFERROR(__xludf.dummyfunction("IFS(M47=""ShotAttack"",""%"",M47=""MeleeAttack"",""%"", M47=""Defense"",""%"",M47=""CraftSPeed"",""%"",M47=""LifeSteal"",""%"",M47=""MaxInventoryWeight"",""+"",M47=""MoveSpeed"",""%"",REGEXMATCH(M47,""ElementAddItemDrop_""),""%"",M47=""Logging"",""+"",M47"&amp;"=""Mining"",""+"",M47=""Maxhp"",""%"",REGEXMATCH(M47,""TemperatureResist_""),""+"",REGEXMATCH(M47,""ElementResist_""),""%"",REGEXMATCH(M47,""TemperatureInvalid_""),""bool"",REGEXMATCH(M47,""BodyPartsWeakDamage""),""%"",REGEXMATCH(M47,""ElementBoost_""),"""&amp;"%"",AND(REGEXMATCH(F47,""GiveA""),REGEXMATCH(M47,""Element"")),""bool"")"),"#N/A")</f>
        <v>#N/A</v>
      </c>
      <c r="O47" s="6" t="n">
        <v>0</v>
      </c>
      <c r="P47" s="6"/>
      <c r="Q47" s="6"/>
      <c r="R47" s="6" t="str">
        <f aca="false">IFERROR(__xludf.dummyfunction("IFS(Q47=""ShotAttack"",""%"",Q47=""MeleeAttack"",""%"", Q47=""Defense"",""%"",Q47=""CraftSPeed"",""%"",Q47=""LifeSteal"",""%"",Q47=""MaxInventoryWeight"",""+"",Q47=""MoveSpeed"",""%"",REGEXMATCH(Q47,""ElementAddItemDrop_""),""%"",Q47=""Logging"",""+"",Q47"&amp;"=""Mining"",""+"",Q47=""Maxhp"",""%"",REGEXMATCH(Q47,""TemperatureResist_""),""+"",REGEXMATCH(Q47,""ElementResist_""),""%"",REGEXMATCH(Q47,""TemperatureInvalid_""),""bool"",REGEXMATCH(Q47,""BodyPartsWeakDamage""),""%"",REGEXMATCH(Q47,""ElementBoost_""),"""&amp;"%"",AND(REGEXMATCH(J47,""GiveA""),REGEXMATCH(Q47,""Element"")),""bool"")"),"#N/A")</f>
        <v>#N/A</v>
      </c>
      <c r="S47" s="6" t="n">
        <v>0</v>
      </c>
      <c r="T47" s="6"/>
      <c r="U47" s="319" t="b">
        <f aca="false">FALSE()</f>
        <v>0</v>
      </c>
      <c r="V47" s="319" t="b">
        <f aca="false">FALSE()</f>
        <v>0</v>
      </c>
      <c r="W47" s="319" t="b">
        <f aca="false">FALSE()</f>
        <v>0</v>
      </c>
      <c r="X47" s="319" t="b">
        <f aca="false">FALSE()</f>
        <v>0</v>
      </c>
      <c r="Y47" s="319" t="b">
        <f aca="false">FALSE()</f>
        <v>0</v>
      </c>
      <c r="Z47" s="319" t="b">
        <f aca="false">FALSE()</f>
        <v>0</v>
      </c>
      <c r="AA47" s="319" t="b">
        <f aca="false">FALSE()</f>
        <v>0</v>
      </c>
      <c r="AB47" s="319" t="b">
        <f aca="false">FALSE()</f>
        <v>0</v>
      </c>
      <c r="AC47" s="319" t="b">
        <f aca="false">FALSE()</f>
        <v>0</v>
      </c>
      <c r="AD47" s="319" t="b">
        <f aca="false">FALSE()</f>
        <v>0</v>
      </c>
      <c r="AE47" s="319" t="b">
        <f aca="false">FALSE()</f>
        <v>0</v>
      </c>
      <c r="AF47" s="319" t="b">
        <f aca="false">FALSE()</f>
        <v>0</v>
      </c>
      <c r="AG47" s="6" t="s">
        <v>182</v>
      </c>
      <c r="AH47" s="6" t="s">
        <v>182</v>
      </c>
    </row>
    <row r="48" customFormat="false" ht="15.75" hidden="false" customHeight="false" outlineLevel="0" collapsed="false">
      <c r="A48" s="3" t="s">
        <v>1953</v>
      </c>
      <c r="B48" s="6" t="s">
        <v>2018</v>
      </c>
      <c r="C48" s="3"/>
      <c r="D48" s="6" t="str">
        <f aca="false">I48   &amp; IF(ISBLANK(M48),, ". "&amp; M48 &amp; IF(ISBLANK(Q48),, ". "&amp; Q48))</f>
        <v>ShotAttack</v>
      </c>
      <c r="E48" s="6" t="str">
        <f aca="false">I48  &amp;": # on "&amp; L48  &amp; IF(ISBLANK(M48),, ". "&amp; M48 &amp;": # on "&amp; P48 &amp; IF(ISBLANK(Q48),, ". "&amp; Q48 &amp;": # on "&amp; T48))</f>
        <v>ShotAttack: # on Self</v>
      </c>
      <c r="F48" s="6" t="str">
        <f aca="false">IF(U48,"active pal",)  &amp; IF(V48,"working",) &amp; IF(W48,"mounted",) &amp; IF(Y48,"in party (buff)",)  &amp; IF(Z48,"always",)</f>
        <v/>
      </c>
      <c r="G48" s="6" t="n">
        <v>-1</v>
      </c>
      <c r="H48" s="6" t="s">
        <v>182</v>
      </c>
      <c r="I48" s="6" t="s">
        <v>659</v>
      </c>
      <c r="J48" s="6" t="str">
        <f aca="false">IFERROR(__xludf.dummyfunction("IFS(I48=""ShotAttack"",""%"",I48=""MeleeAttack"",""%"", I48=""Defense"",""%"",I48=""CraftSPeed"",""%"",I48=""LifeSteal"",""%"",I48=""MaxInventoryWeight"",""+"",I48=""MoveSpeed"",""%"",REGEXMATCH(I48,""ElementAddItemDrop_""),""%"",I48=""Logging"",""+"",I48"&amp;"=""Mining"",""+"",I48=""Maxhp"",""%"",REGEXMATCH(I48,""TemperatureResist_""),""+"",REGEXMATCH(I48,""ElementResist_""),""%"",REGEXMATCH(I48,""TemperatureInvalid_""),""bool"",REGEXMATCH(I48,""BodyPartsWeakDamage""),""%"",REGEXMATCH(I48,""ElementBoost_""),"""&amp;"%"",AND(REGEXMATCH(B48,""GiveA""),REGEXMATCH(I48,""Element"")),""bool"")"),"%")</f>
        <v>%</v>
      </c>
      <c r="K48" s="6" t="n">
        <v>-10</v>
      </c>
      <c r="L48" s="6" t="s">
        <v>1956</v>
      </c>
      <c r="M48" s="6"/>
      <c r="N48" s="6" t="str">
        <f aca="false">IFERROR(__xludf.dummyfunction("IFS(M48=""ShotAttack"",""%"",M48=""MeleeAttack"",""%"", M48=""Defense"",""%"",M48=""CraftSPeed"",""%"",M48=""LifeSteal"",""%"",M48=""MaxInventoryWeight"",""+"",M48=""MoveSpeed"",""%"",REGEXMATCH(M48,""ElementAddItemDrop_""),""%"",M48=""Logging"",""+"",M48"&amp;"=""Mining"",""+"",M48=""Maxhp"",""%"",REGEXMATCH(M48,""TemperatureResist_""),""+"",REGEXMATCH(M48,""ElementResist_""),""%"",REGEXMATCH(M48,""TemperatureInvalid_""),""bool"",REGEXMATCH(M48,""BodyPartsWeakDamage""),""%"",REGEXMATCH(M48,""ElementBoost_""),"""&amp;"%"",AND(REGEXMATCH(F48,""GiveA""),REGEXMATCH(M48,""Element"")),""bool"")"),"#N/A")</f>
        <v>#N/A</v>
      </c>
      <c r="O48" s="6" t="n">
        <v>0</v>
      </c>
      <c r="P48" s="6"/>
      <c r="Q48" s="6"/>
      <c r="R48" s="6" t="str">
        <f aca="false">IFERROR(__xludf.dummyfunction("IFS(Q48=""ShotAttack"",""%"",Q48=""MeleeAttack"",""%"", Q48=""Defense"",""%"",Q48=""CraftSPeed"",""%"",Q48=""LifeSteal"",""%"",Q48=""MaxInventoryWeight"",""+"",Q48=""MoveSpeed"",""%"",REGEXMATCH(Q48,""ElementAddItemDrop_""),""%"",Q48=""Logging"",""+"",Q48"&amp;"=""Mining"",""+"",Q48=""Maxhp"",""%"",REGEXMATCH(Q48,""TemperatureResist_""),""+"",REGEXMATCH(Q48,""ElementResist_""),""%"",REGEXMATCH(Q48,""TemperatureInvalid_""),""bool"",REGEXMATCH(Q48,""BodyPartsWeakDamage""),""%"",REGEXMATCH(Q48,""ElementBoost_""),"""&amp;"%"",AND(REGEXMATCH(J48,""GiveA""),REGEXMATCH(Q48,""Element"")),""bool"")"),"#N/A")</f>
        <v>#N/A</v>
      </c>
      <c r="S48" s="6" t="n">
        <v>0</v>
      </c>
      <c r="T48" s="6"/>
      <c r="U48" s="319" t="b">
        <f aca="false">FALSE()</f>
        <v>0</v>
      </c>
      <c r="V48" s="319" t="b">
        <f aca="false">FALSE()</f>
        <v>0</v>
      </c>
      <c r="W48" s="319" t="b">
        <f aca="false">FALSE()</f>
        <v>0</v>
      </c>
      <c r="X48" s="319" t="b">
        <f aca="false">FALSE()</f>
        <v>0</v>
      </c>
      <c r="Y48" s="319" t="b">
        <f aca="false">FALSE()</f>
        <v>0</v>
      </c>
      <c r="Z48" s="319" t="b">
        <f aca="false">FALSE()</f>
        <v>0</v>
      </c>
      <c r="AA48" s="319" t="b">
        <f aca="false">FALSE()</f>
        <v>0</v>
      </c>
      <c r="AB48" s="319" t="b">
        <f aca="false">FALSE()</f>
        <v>0</v>
      </c>
      <c r="AC48" s="319" t="b">
        <f aca="false">FALSE()</f>
        <v>0</v>
      </c>
      <c r="AD48" s="319" t="b">
        <f aca="false">FALSE()</f>
        <v>0</v>
      </c>
      <c r="AE48" s="319" t="b">
        <f aca="false">FALSE()</f>
        <v>0</v>
      </c>
      <c r="AF48" s="319" t="b">
        <f aca="false">FALSE()</f>
        <v>0</v>
      </c>
      <c r="AG48" s="6" t="s">
        <v>182</v>
      </c>
      <c r="AH48" s="6" t="s">
        <v>182</v>
      </c>
    </row>
    <row r="49" customFormat="false" ht="15.75" hidden="false" customHeight="false" outlineLevel="0" collapsed="false">
      <c r="A49" s="3" t="s">
        <v>1953</v>
      </c>
      <c r="B49" s="6" t="s">
        <v>2019</v>
      </c>
      <c r="C49" s="3"/>
      <c r="D49" s="6" t="str">
        <f aca="false">I49   &amp; IF(ISBLANK(M49),, ". "&amp; M49 &amp; IF(ISBLANK(Q49),, ". "&amp; Q49))</f>
        <v>ShotAttack</v>
      </c>
      <c r="E49" s="6" t="str">
        <f aca="false">I49  &amp;": # on "&amp; L49  &amp; IF(ISBLANK(M49),, ". "&amp; M49 &amp;": # on "&amp; P49 &amp; IF(ISBLANK(Q49),, ". "&amp; Q49 &amp;": # on "&amp; T49))</f>
        <v>ShotAttack: # on Self</v>
      </c>
      <c r="F49" s="6" t="str">
        <f aca="false">IF(U49,"active pal",)  &amp; IF(V49,"working",) &amp; IF(W49,"mounted",) &amp; IF(Y49,"in party (buff)",)  &amp; IF(Z49,"always",)</f>
        <v/>
      </c>
      <c r="G49" s="6" t="n">
        <v>-3</v>
      </c>
      <c r="H49" s="6" t="s">
        <v>182</v>
      </c>
      <c r="I49" s="6" t="s">
        <v>659</v>
      </c>
      <c r="J49" s="6" t="str">
        <f aca="false">IFERROR(__xludf.dummyfunction("IFS(I49=""ShotAttack"",""%"",I49=""MeleeAttack"",""%"", I49=""Defense"",""%"",I49=""CraftSPeed"",""%"",I49=""LifeSteal"",""%"",I49=""MaxInventoryWeight"",""+"",I49=""MoveSpeed"",""%"",REGEXMATCH(I49,""ElementAddItemDrop_""),""%"",I49=""Logging"",""+"",I49"&amp;"=""Mining"",""+"",I49=""Maxhp"",""%"",REGEXMATCH(I49,""TemperatureResist_""),""+"",REGEXMATCH(I49,""ElementResist_""),""%"",REGEXMATCH(I49,""TemperatureInvalid_""),""bool"",REGEXMATCH(I49,""BodyPartsWeakDamage""),""%"",REGEXMATCH(I49,""ElementBoost_""),"""&amp;"%"",AND(REGEXMATCH(B49,""GiveA""),REGEXMATCH(I49,""Element"")),""bool"")"),"%")</f>
        <v>%</v>
      </c>
      <c r="K49" s="6" t="n">
        <v>-20</v>
      </c>
      <c r="L49" s="6" t="s">
        <v>1956</v>
      </c>
      <c r="M49" s="6"/>
      <c r="N49" s="6" t="str">
        <f aca="false">IFERROR(__xludf.dummyfunction("IFS(M49=""ShotAttack"",""%"",M49=""MeleeAttack"",""%"", M49=""Defense"",""%"",M49=""CraftSPeed"",""%"",M49=""LifeSteal"",""%"",M49=""MaxInventoryWeight"",""+"",M49=""MoveSpeed"",""%"",REGEXMATCH(M49,""ElementAddItemDrop_""),""%"",M49=""Logging"",""+"",M49"&amp;"=""Mining"",""+"",M49=""Maxhp"",""%"",REGEXMATCH(M49,""TemperatureResist_""),""+"",REGEXMATCH(M49,""ElementResist_""),""%"",REGEXMATCH(M49,""TemperatureInvalid_""),""bool"",REGEXMATCH(M49,""BodyPartsWeakDamage""),""%"",REGEXMATCH(M49,""ElementBoost_""),"""&amp;"%"",AND(REGEXMATCH(F49,""GiveA""),REGEXMATCH(M49,""Element"")),""bool"")"),"#N/A")</f>
        <v>#N/A</v>
      </c>
      <c r="O49" s="6" t="n">
        <v>0</v>
      </c>
      <c r="P49" s="6"/>
      <c r="Q49" s="6"/>
      <c r="R49" s="6" t="str">
        <f aca="false">IFERROR(__xludf.dummyfunction("IFS(Q49=""ShotAttack"",""%"",Q49=""MeleeAttack"",""%"", Q49=""Defense"",""%"",Q49=""CraftSPeed"",""%"",Q49=""LifeSteal"",""%"",Q49=""MaxInventoryWeight"",""+"",Q49=""MoveSpeed"",""%"",REGEXMATCH(Q49,""ElementAddItemDrop_""),""%"",Q49=""Logging"",""+"",Q49"&amp;"=""Mining"",""+"",Q49=""Maxhp"",""%"",REGEXMATCH(Q49,""TemperatureResist_""),""+"",REGEXMATCH(Q49,""ElementResist_""),""%"",REGEXMATCH(Q49,""TemperatureInvalid_""),""bool"",REGEXMATCH(Q49,""BodyPartsWeakDamage""),""%"",REGEXMATCH(Q49,""ElementBoost_""),"""&amp;"%"",AND(REGEXMATCH(J49,""GiveA""),REGEXMATCH(Q49,""Element"")),""bool"")"),"#N/A")</f>
        <v>#N/A</v>
      </c>
      <c r="S49" s="6" t="n">
        <v>0</v>
      </c>
      <c r="T49" s="6"/>
      <c r="U49" s="319" t="b">
        <f aca="false">FALSE()</f>
        <v>0</v>
      </c>
      <c r="V49" s="319" t="b">
        <f aca="false">FALSE()</f>
        <v>0</v>
      </c>
      <c r="W49" s="319" t="b">
        <f aca="false">FALSE()</f>
        <v>0</v>
      </c>
      <c r="X49" s="319" t="b">
        <f aca="false">FALSE()</f>
        <v>0</v>
      </c>
      <c r="Y49" s="319" t="b">
        <f aca="false">FALSE()</f>
        <v>0</v>
      </c>
      <c r="Z49" s="319" t="b">
        <f aca="false">FALSE()</f>
        <v>0</v>
      </c>
      <c r="AA49" s="319" t="b">
        <f aca="false">FALSE()</f>
        <v>0</v>
      </c>
      <c r="AB49" s="319" t="b">
        <f aca="false">FALSE()</f>
        <v>0</v>
      </c>
      <c r="AC49" s="319" t="b">
        <f aca="false">FALSE()</f>
        <v>0</v>
      </c>
      <c r="AD49" s="319" t="b">
        <f aca="false">FALSE()</f>
        <v>0</v>
      </c>
      <c r="AE49" s="319" t="b">
        <f aca="false">FALSE()</f>
        <v>0</v>
      </c>
      <c r="AF49" s="319" t="b">
        <f aca="false">FALSE()</f>
        <v>0</v>
      </c>
      <c r="AG49" s="6" t="s">
        <v>182</v>
      </c>
      <c r="AH49" s="6" t="s">
        <v>182</v>
      </c>
    </row>
    <row r="50" customFormat="false" ht="15.75" hidden="false" customHeight="false" outlineLevel="0" collapsed="false">
      <c r="A50" s="3" t="s">
        <v>2020</v>
      </c>
      <c r="B50" s="6" t="s">
        <v>2021</v>
      </c>
      <c r="C50" s="311" t="b">
        <f aca="false">TRUE()</f>
        <v>1</v>
      </c>
      <c r="D50" s="6" t="str">
        <f aca="false">I50   &amp; IF(ISBLANK(M50),, ". "&amp; M50 &amp; IF(ISBLANK(Q50),, ". "&amp; Q50))</f>
        <v>Defense</v>
      </c>
      <c r="E50" s="6" t="str">
        <f aca="false">I50  &amp;": # on "&amp; L50  &amp; IF(ISBLANK(M50),, ". "&amp; M50 &amp;": # on "&amp; P50 &amp; IF(ISBLANK(Q50),, ". "&amp; Q50 &amp;": # on "&amp; T50))</f>
        <v>Defense: # on Self</v>
      </c>
      <c r="F50" s="6" t="str">
        <f aca="false">IF(U50,"active pal",)  &amp; IF(V50,"working",) &amp; IF(W50,"mounted",) &amp; IF(Y50,"in party (buff)",)  &amp; IF(Z50,"always",)</f>
        <v>always</v>
      </c>
      <c r="G50" s="6" t="n">
        <v>3</v>
      </c>
      <c r="H50" s="6" t="s">
        <v>182</v>
      </c>
      <c r="I50" s="6" t="s">
        <v>175</v>
      </c>
      <c r="J50" s="6" t="str">
        <f aca="false">IFERROR(__xludf.dummyfunction("IFS(I50=""ShotAttack"",""%"",I50=""MeleeAttack"",""%"", I50=""Defense"",""%"",I50=""CraftSPeed"",""%"",I50=""LifeSteal"",""%"",I50=""MaxInventoryWeight"",""+"",I50=""MoveSpeed"",""%"",REGEXMATCH(I50,""ElementAddItemDrop_""),""%"",I50=""Logging"",""+"",I50"&amp;"=""Mining"",""+"",I50=""Maxhp"",""%"",REGEXMATCH(I50,""TemperatureResist_""),""+"",REGEXMATCH(I50,""ElementResist_""),""%"",REGEXMATCH(I50,""TemperatureInvalid_""),""bool"",REGEXMATCH(I50,""BodyPartsWeakDamage""),""%"",REGEXMATCH(I50,""ElementBoost_""),"""&amp;"%"",AND(REGEXMATCH(B50,""GiveA""),REGEXMATCH(I50,""Element"")),""bool"")"),"%")</f>
        <v>%</v>
      </c>
      <c r="K50" s="6" t="n">
        <v>20</v>
      </c>
      <c r="L50" s="6" t="s">
        <v>1956</v>
      </c>
      <c r="M50" s="6"/>
      <c r="N50" s="6" t="str">
        <f aca="false">IFERROR(__xludf.dummyfunction("IFS(M50=""ShotAttack"",""%"",M50=""MeleeAttack"",""%"", M50=""Defense"",""%"",M50=""CraftSPeed"",""%"",M50=""LifeSteal"",""%"",M50=""MaxInventoryWeight"",""+"",M50=""MoveSpeed"",""%"",REGEXMATCH(M50,""ElementAddItemDrop_""),""%"",M50=""Logging"",""+"",M50"&amp;"=""Mining"",""+"",M50=""Maxhp"",""%"",REGEXMATCH(M50,""TemperatureResist_""),""+"",REGEXMATCH(M50,""ElementResist_""),""%"",REGEXMATCH(M50,""TemperatureInvalid_""),""bool"",REGEXMATCH(M50,""BodyPartsWeakDamage""),""%"",REGEXMATCH(M50,""ElementBoost_""),"""&amp;"%"",AND(REGEXMATCH(F50,""GiveA""),REGEXMATCH(M50,""Element"")),""bool"")"),"#N/A")</f>
        <v>#N/A</v>
      </c>
      <c r="O50" s="6" t="n">
        <v>0</v>
      </c>
      <c r="P50" s="6"/>
      <c r="Q50" s="6"/>
      <c r="R50" s="6" t="str">
        <f aca="false">IFERROR(__xludf.dummyfunction("IFS(Q50=""ShotAttack"",""%"",Q50=""MeleeAttack"",""%"", Q50=""Defense"",""%"",Q50=""CraftSPeed"",""%"",Q50=""LifeSteal"",""%"",Q50=""MaxInventoryWeight"",""+"",Q50=""MoveSpeed"",""%"",REGEXMATCH(Q50,""ElementAddItemDrop_""),""%"",Q50=""Logging"",""+"",Q50"&amp;"=""Mining"",""+"",Q50=""Maxhp"",""%"",REGEXMATCH(Q50,""TemperatureResist_""),""+"",REGEXMATCH(Q50,""ElementResist_""),""%"",REGEXMATCH(Q50,""TemperatureInvalid_""),""bool"",REGEXMATCH(Q50,""BodyPartsWeakDamage""),""%"",REGEXMATCH(Q50,""ElementBoost_""),"""&amp;"%"",AND(REGEXMATCH(J50,""GiveA""),REGEXMATCH(Q50,""Element"")),""bool"")"),"#N/A")</f>
        <v>#N/A</v>
      </c>
      <c r="S50" s="6" t="n">
        <v>0</v>
      </c>
      <c r="T50" s="6"/>
      <c r="U50" s="319" t="b">
        <f aca="false">FALSE()</f>
        <v>0</v>
      </c>
      <c r="V50" s="319" t="b">
        <f aca="false">FALSE()</f>
        <v>0</v>
      </c>
      <c r="W50" s="319" t="b">
        <f aca="false">FALSE()</f>
        <v>0</v>
      </c>
      <c r="X50" s="319" t="b">
        <f aca="false">FALSE()</f>
        <v>0</v>
      </c>
      <c r="Y50" s="319" t="b">
        <f aca="false">FALSE()</f>
        <v>0</v>
      </c>
      <c r="Z50" s="319" t="b">
        <f aca="false">TRUE()</f>
        <v>1</v>
      </c>
      <c r="AA50" s="319" t="b">
        <f aca="false">TRUE()</f>
        <v>1</v>
      </c>
      <c r="AB50" s="319" t="b">
        <f aca="false">FALSE()</f>
        <v>0</v>
      </c>
      <c r="AC50" s="319" t="b">
        <f aca="false">FALSE()</f>
        <v>0</v>
      </c>
      <c r="AD50" s="319" t="b">
        <f aca="false">FALSE()</f>
        <v>0</v>
      </c>
      <c r="AE50" s="319" t="b">
        <f aca="false">FALSE()</f>
        <v>0</v>
      </c>
      <c r="AF50" s="319" t="b">
        <f aca="false">FALSE()</f>
        <v>0</v>
      </c>
      <c r="AG50" s="6" t="s">
        <v>182</v>
      </c>
      <c r="AH50" s="6" t="s">
        <v>182</v>
      </c>
    </row>
    <row r="51" customFormat="false" ht="15.75" hidden="false" customHeight="false" outlineLevel="0" collapsed="false">
      <c r="A51" s="3" t="s">
        <v>2022</v>
      </c>
      <c r="B51" s="6" t="s">
        <v>802</v>
      </c>
      <c r="C51" s="311" t="b">
        <f aca="false">TRUE()</f>
        <v>1</v>
      </c>
      <c r="D51" s="6" t="str">
        <f aca="false">I51   &amp; IF(ISBLANK(M51),, ". "&amp; M51 &amp; IF(ISBLANK(Q51),, ". "&amp; Q51))</f>
        <v>Defense</v>
      </c>
      <c r="E51" s="6" t="str">
        <f aca="false">I51  &amp;": # on "&amp; L51  &amp; IF(ISBLANK(M51),, ". "&amp; M51 &amp;": # on "&amp; P51 &amp; IF(ISBLANK(Q51),, ". "&amp; Q51 &amp;": # on "&amp; T51))</f>
        <v>Defense: # on Self</v>
      </c>
      <c r="F51" s="6" t="str">
        <f aca="false">IF(U51,"active pal",)  &amp; IF(V51,"working",) &amp; IF(W51,"mounted",) &amp; IF(Y51,"in party (buff)",)  &amp; IF(Z51,"always",)</f>
        <v>always</v>
      </c>
      <c r="G51" s="6" t="n">
        <v>1</v>
      </c>
      <c r="H51" s="6" t="s">
        <v>182</v>
      </c>
      <c r="I51" s="6" t="s">
        <v>175</v>
      </c>
      <c r="J51" s="6" t="str">
        <f aca="false">IFERROR(__xludf.dummyfunction("IFS(I51=""ShotAttack"",""%"",I51=""MeleeAttack"",""%"", I51=""Defense"",""%"",I51=""CraftSPeed"",""%"",I51=""LifeSteal"",""%"",I51=""MaxInventoryWeight"",""+"",I51=""MoveSpeed"",""%"",REGEXMATCH(I51,""ElementAddItemDrop_""),""%"",I51=""Logging"",""+"",I51"&amp;"=""Mining"",""+"",I51=""Maxhp"",""%"",REGEXMATCH(I51,""TemperatureResist_""),""+"",REGEXMATCH(I51,""ElementResist_""),""%"",REGEXMATCH(I51,""TemperatureInvalid_""),""bool"",REGEXMATCH(I51,""BodyPartsWeakDamage""),""%"",REGEXMATCH(I51,""ElementBoost_""),"""&amp;"%"",AND(REGEXMATCH(B51,""GiveA""),REGEXMATCH(I51,""Element"")),""bool"")"),"%")</f>
        <v>%</v>
      </c>
      <c r="K51" s="6" t="n">
        <v>10</v>
      </c>
      <c r="L51" s="6" t="s">
        <v>1956</v>
      </c>
      <c r="M51" s="6"/>
      <c r="N51" s="6" t="str">
        <f aca="false">IFERROR(__xludf.dummyfunction("IFS(M51=""ShotAttack"",""%"",M51=""MeleeAttack"",""%"", M51=""Defense"",""%"",M51=""CraftSPeed"",""%"",M51=""LifeSteal"",""%"",M51=""MaxInventoryWeight"",""+"",M51=""MoveSpeed"",""%"",REGEXMATCH(M51,""ElementAddItemDrop_""),""%"",M51=""Logging"",""+"",M51"&amp;"=""Mining"",""+"",M51=""Maxhp"",""%"",REGEXMATCH(M51,""TemperatureResist_""),""+"",REGEXMATCH(M51,""ElementResist_""),""%"",REGEXMATCH(M51,""TemperatureInvalid_""),""bool"",REGEXMATCH(M51,""BodyPartsWeakDamage""),""%"",REGEXMATCH(M51,""ElementBoost_""),"""&amp;"%"",AND(REGEXMATCH(F51,""GiveA""),REGEXMATCH(M51,""Element"")),""bool"")"),"#N/A")</f>
        <v>#N/A</v>
      </c>
      <c r="O51" s="6" t="n">
        <v>0</v>
      </c>
      <c r="P51" s="6"/>
      <c r="Q51" s="6"/>
      <c r="R51" s="6" t="str">
        <f aca="false">IFERROR(__xludf.dummyfunction("IFS(Q51=""ShotAttack"",""%"",Q51=""MeleeAttack"",""%"", Q51=""Defense"",""%"",Q51=""CraftSPeed"",""%"",Q51=""LifeSteal"",""%"",Q51=""MaxInventoryWeight"",""+"",Q51=""MoveSpeed"",""%"",REGEXMATCH(Q51,""ElementAddItemDrop_""),""%"",Q51=""Logging"",""+"",Q51"&amp;"=""Mining"",""+"",Q51=""Maxhp"",""%"",REGEXMATCH(Q51,""TemperatureResist_""),""+"",REGEXMATCH(Q51,""ElementResist_""),""%"",REGEXMATCH(Q51,""TemperatureInvalid_""),""bool"",REGEXMATCH(Q51,""BodyPartsWeakDamage""),""%"",REGEXMATCH(Q51,""ElementBoost_""),"""&amp;"%"",AND(REGEXMATCH(J51,""GiveA""),REGEXMATCH(Q51,""Element"")),""bool"")"),"#N/A")</f>
        <v>#N/A</v>
      </c>
      <c r="S51" s="6" t="n">
        <v>0</v>
      </c>
      <c r="T51" s="6"/>
      <c r="U51" s="319" t="b">
        <f aca="false">FALSE()</f>
        <v>0</v>
      </c>
      <c r="V51" s="319" t="b">
        <f aca="false">FALSE()</f>
        <v>0</v>
      </c>
      <c r="W51" s="319" t="b">
        <f aca="false">FALSE()</f>
        <v>0</v>
      </c>
      <c r="X51" s="319" t="b">
        <f aca="false">FALSE()</f>
        <v>0</v>
      </c>
      <c r="Y51" s="319" t="b">
        <f aca="false">FALSE()</f>
        <v>0</v>
      </c>
      <c r="Z51" s="319" t="b">
        <f aca="false">TRUE()</f>
        <v>1</v>
      </c>
      <c r="AA51" s="319" t="b">
        <f aca="false">TRUE()</f>
        <v>1</v>
      </c>
      <c r="AB51" s="319" t="b">
        <f aca="false">FALSE()</f>
        <v>0</v>
      </c>
      <c r="AC51" s="319" t="b">
        <f aca="false">FALSE()</f>
        <v>0</v>
      </c>
      <c r="AD51" s="319" t="b">
        <f aca="false">FALSE()</f>
        <v>0</v>
      </c>
      <c r="AE51" s="319" t="b">
        <f aca="false">FALSE()</f>
        <v>0</v>
      </c>
      <c r="AF51" s="319" t="b">
        <f aca="false">FALSE()</f>
        <v>0</v>
      </c>
      <c r="AG51" s="6" t="s">
        <v>182</v>
      </c>
      <c r="AH51" s="6" t="s">
        <v>182</v>
      </c>
    </row>
    <row r="52" customFormat="false" ht="15.75" hidden="false" customHeight="false" outlineLevel="0" collapsed="false">
      <c r="A52" s="3" t="s">
        <v>2023</v>
      </c>
      <c r="B52" s="6" t="s">
        <v>2024</v>
      </c>
      <c r="C52" s="311" t="b">
        <f aca="false">TRUE()</f>
        <v>1</v>
      </c>
      <c r="D52" s="6" t="str">
        <f aca="false">I52   &amp; IF(ISBLANK(M52),, ". "&amp; M52 &amp; IF(ISBLANK(Q52),, ". "&amp; Q52))</f>
        <v>Defense</v>
      </c>
      <c r="E52" s="6" t="str">
        <f aca="false">I52  &amp;": # on "&amp; L52  &amp; IF(ISBLANK(M52),, ". "&amp; M52 &amp;": # on "&amp; P52 &amp; IF(ISBLANK(Q52),, ". "&amp; Q52 &amp;": # on "&amp; T52))</f>
        <v>Defense: # on Self</v>
      </c>
      <c r="F52" s="6" t="str">
        <f aca="false">IF(U52,"active pal",)  &amp; IF(V52,"working",) &amp; IF(W52,"mounted",) &amp; IF(Y52,"in party (buff)",)  &amp; IF(Z52,"always",)</f>
        <v>always</v>
      </c>
      <c r="G52" s="6" t="n">
        <v>-1</v>
      </c>
      <c r="H52" s="6" t="s">
        <v>182</v>
      </c>
      <c r="I52" s="6" t="s">
        <v>175</v>
      </c>
      <c r="J52" s="6" t="str">
        <f aca="false">IFERROR(__xludf.dummyfunction("IFS(I52=""ShotAttack"",""%"",I52=""MeleeAttack"",""%"", I52=""Defense"",""%"",I52=""CraftSPeed"",""%"",I52=""LifeSteal"",""%"",I52=""MaxInventoryWeight"",""+"",I52=""MoveSpeed"",""%"",REGEXMATCH(I52,""ElementAddItemDrop_""),""%"",I52=""Logging"",""+"",I52"&amp;"=""Mining"",""+"",I52=""Maxhp"",""%"",REGEXMATCH(I52,""TemperatureResist_""),""+"",REGEXMATCH(I52,""ElementResist_""),""%"",REGEXMATCH(I52,""TemperatureInvalid_""),""bool"",REGEXMATCH(I52,""BodyPartsWeakDamage""),""%"",REGEXMATCH(I52,""ElementBoost_""),"""&amp;"%"",AND(REGEXMATCH(B52,""GiveA""),REGEXMATCH(I52,""Element"")),""bool"")"),"%")</f>
        <v>%</v>
      </c>
      <c r="K52" s="6" t="n">
        <v>-10</v>
      </c>
      <c r="L52" s="6" t="s">
        <v>1956</v>
      </c>
      <c r="M52" s="6"/>
      <c r="N52" s="6" t="str">
        <f aca="false">IFERROR(__xludf.dummyfunction("IFS(M52=""ShotAttack"",""%"",M52=""MeleeAttack"",""%"", M52=""Defense"",""%"",M52=""CraftSPeed"",""%"",M52=""LifeSteal"",""%"",M52=""MaxInventoryWeight"",""+"",M52=""MoveSpeed"",""%"",REGEXMATCH(M52,""ElementAddItemDrop_""),""%"",M52=""Logging"",""+"",M52"&amp;"=""Mining"",""+"",M52=""Maxhp"",""%"",REGEXMATCH(M52,""TemperatureResist_""),""+"",REGEXMATCH(M52,""ElementResist_""),""%"",REGEXMATCH(M52,""TemperatureInvalid_""),""bool"",REGEXMATCH(M52,""BodyPartsWeakDamage""),""%"",REGEXMATCH(M52,""ElementBoost_""),"""&amp;"%"",AND(REGEXMATCH(F52,""GiveA""),REGEXMATCH(M52,""Element"")),""bool"")"),"#N/A")</f>
        <v>#N/A</v>
      </c>
      <c r="O52" s="6" t="n">
        <v>0</v>
      </c>
      <c r="P52" s="6"/>
      <c r="Q52" s="6"/>
      <c r="R52" s="6" t="str">
        <f aca="false">IFERROR(__xludf.dummyfunction("IFS(Q52=""ShotAttack"",""%"",Q52=""MeleeAttack"",""%"", Q52=""Defense"",""%"",Q52=""CraftSPeed"",""%"",Q52=""LifeSteal"",""%"",Q52=""MaxInventoryWeight"",""+"",Q52=""MoveSpeed"",""%"",REGEXMATCH(Q52,""ElementAddItemDrop_""),""%"",Q52=""Logging"",""+"",Q52"&amp;"=""Mining"",""+"",Q52=""Maxhp"",""%"",REGEXMATCH(Q52,""TemperatureResist_""),""+"",REGEXMATCH(Q52,""ElementResist_""),""%"",REGEXMATCH(Q52,""TemperatureInvalid_""),""bool"",REGEXMATCH(Q52,""BodyPartsWeakDamage""),""%"",REGEXMATCH(Q52,""ElementBoost_""),"""&amp;"%"",AND(REGEXMATCH(J52,""GiveA""),REGEXMATCH(Q52,""Element"")),""bool"")"),"#N/A")</f>
        <v>#N/A</v>
      </c>
      <c r="S52" s="6" t="n">
        <v>0</v>
      </c>
      <c r="T52" s="6"/>
      <c r="U52" s="319" t="b">
        <f aca="false">FALSE()</f>
        <v>0</v>
      </c>
      <c r="V52" s="319" t="b">
        <f aca="false">FALSE()</f>
        <v>0</v>
      </c>
      <c r="W52" s="319" t="b">
        <f aca="false">FALSE()</f>
        <v>0</v>
      </c>
      <c r="X52" s="319" t="b">
        <f aca="false">FALSE()</f>
        <v>0</v>
      </c>
      <c r="Y52" s="319" t="b">
        <f aca="false">FALSE()</f>
        <v>0</v>
      </c>
      <c r="Z52" s="319" t="b">
        <f aca="false">TRUE()</f>
        <v>1</v>
      </c>
      <c r="AA52" s="319" t="b">
        <f aca="false">TRUE()</f>
        <v>1</v>
      </c>
      <c r="AB52" s="319" t="b">
        <f aca="false">FALSE()</f>
        <v>0</v>
      </c>
      <c r="AC52" s="319" t="b">
        <f aca="false">FALSE()</f>
        <v>0</v>
      </c>
      <c r="AD52" s="319" t="b">
        <f aca="false">FALSE()</f>
        <v>0</v>
      </c>
      <c r="AE52" s="319" t="b">
        <f aca="false">FALSE()</f>
        <v>0</v>
      </c>
      <c r="AF52" s="319" t="b">
        <f aca="false">FALSE()</f>
        <v>0</v>
      </c>
      <c r="AG52" s="6" t="s">
        <v>182</v>
      </c>
      <c r="AH52" s="6" t="s">
        <v>182</v>
      </c>
    </row>
    <row r="53" customFormat="false" ht="15.75" hidden="false" customHeight="false" outlineLevel="0" collapsed="false">
      <c r="A53" s="3" t="s">
        <v>2025</v>
      </c>
      <c r="B53" s="6" t="s">
        <v>2026</v>
      </c>
      <c r="C53" s="311" t="b">
        <f aca="false">TRUE()</f>
        <v>1</v>
      </c>
      <c r="D53" s="6" t="str">
        <f aca="false">I53   &amp; IF(ISBLANK(M53),, ". "&amp; M53 &amp; IF(ISBLANK(Q53),, ". "&amp; Q53))</f>
        <v>Defense</v>
      </c>
      <c r="E53" s="6" t="str">
        <f aca="false">I53  &amp;": # on "&amp; L53  &amp; IF(ISBLANK(M53),, ". "&amp; M53 &amp;": # on "&amp; P53 &amp; IF(ISBLANK(Q53),, ". "&amp; Q53 &amp;": # on "&amp; T53))</f>
        <v>Defense: # on Self</v>
      </c>
      <c r="F53" s="6" t="str">
        <f aca="false">IF(U53,"active pal",)  &amp; IF(V53,"working",) &amp; IF(W53,"mounted",) &amp; IF(Y53,"in party (buff)",)  &amp; IF(Z53,"always",)</f>
        <v>always</v>
      </c>
      <c r="G53" s="6" t="n">
        <v>-3</v>
      </c>
      <c r="H53" s="6" t="s">
        <v>182</v>
      </c>
      <c r="I53" s="6" t="s">
        <v>175</v>
      </c>
      <c r="J53" s="6" t="str">
        <f aca="false">IFERROR(__xludf.dummyfunction("IFS(I53=""ShotAttack"",""%"",I53=""MeleeAttack"",""%"", I53=""Defense"",""%"",I53=""CraftSPeed"",""%"",I53=""LifeSteal"",""%"",I53=""MaxInventoryWeight"",""+"",I53=""MoveSpeed"",""%"",REGEXMATCH(I53,""ElementAddItemDrop_""),""%"",I53=""Logging"",""+"",I53"&amp;"=""Mining"",""+"",I53=""Maxhp"",""%"",REGEXMATCH(I53,""TemperatureResist_""),""+"",REGEXMATCH(I53,""ElementResist_""),""%"",REGEXMATCH(I53,""TemperatureInvalid_""),""bool"",REGEXMATCH(I53,""BodyPartsWeakDamage""),""%"",REGEXMATCH(I53,""ElementBoost_""),"""&amp;"%"",AND(REGEXMATCH(B53,""GiveA""),REGEXMATCH(I53,""Element"")),""bool"")"),"%")</f>
        <v>%</v>
      </c>
      <c r="K53" s="6" t="n">
        <v>-20</v>
      </c>
      <c r="L53" s="6" t="s">
        <v>1956</v>
      </c>
      <c r="M53" s="6"/>
      <c r="N53" s="6" t="str">
        <f aca="false">IFERROR(__xludf.dummyfunction("IFS(M53=""ShotAttack"",""%"",M53=""MeleeAttack"",""%"", M53=""Defense"",""%"",M53=""CraftSPeed"",""%"",M53=""LifeSteal"",""%"",M53=""MaxInventoryWeight"",""+"",M53=""MoveSpeed"",""%"",REGEXMATCH(M53,""ElementAddItemDrop_""),""%"",M53=""Logging"",""+"",M53"&amp;"=""Mining"",""+"",M53=""Maxhp"",""%"",REGEXMATCH(M53,""TemperatureResist_""),""+"",REGEXMATCH(M53,""ElementResist_""),""%"",REGEXMATCH(M53,""TemperatureInvalid_""),""bool"",REGEXMATCH(M53,""BodyPartsWeakDamage""),""%"",REGEXMATCH(M53,""ElementBoost_""),"""&amp;"%"",AND(REGEXMATCH(F53,""GiveA""),REGEXMATCH(M53,""Element"")),""bool"")"),"#N/A")</f>
        <v>#N/A</v>
      </c>
      <c r="O53" s="6" t="n">
        <v>0</v>
      </c>
      <c r="P53" s="6"/>
      <c r="Q53" s="6"/>
      <c r="R53" s="6" t="str">
        <f aca="false">IFERROR(__xludf.dummyfunction("IFS(Q53=""ShotAttack"",""%"",Q53=""MeleeAttack"",""%"", Q53=""Defense"",""%"",Q53=""CraftSPeed"",""%"",Q53=""LifeSteal"",""%"",Q53=""MaxInventoryWeight"",""+"",Q53=""MoveSpeed"",""%"",REGEXMATCH(Q53,""ElementAddItemDrop_""),""%"",Q53=""Logging"",""+"",Q53"&amp;"=""Mining"",""+"",Q53=""Maxhp"",""%"",REGEXMATCH(Q53,""TemperatureResist_""),""+"",REGEXMATCH(Q53,""ElementResist_""),""%"",REGEXMATCH(Q53,""TemperatureInvalid_""),""bool"",REGEXMATCH(Q53,""BodyPartsWeakDamage""),""%"",REGEXMATCH(Q53,""ElementBoost_""),"""&amp;"%"",AND(REGEXMATCH(J53,""GiveA""),REGEXMATCH(Q53,""Element"")),""bool"")"),"#N/A")</f>
        <v>#N/A</v>
      </c>
      <c r="S53" s="6" t="n">
        <v>0</v>
      </c>
      <c r="T53" s="6"/>
      <c r="U53" s="319" t="b">
        <f aca="false">FALSE()</f>
        <v>0</v>
      </c>
      <c r="V53" s="319" t="b">
        <f aca="false">FALSE()</f>
        <v>0</v>
      </c>
      <c r="W53" s="319" t="b">
        <f aca="false">FALSE()</f>
        <v>0</v>
      </c>
      <c r="X53" s="319" t="b">
        <f aca="false">FALSE()</f>
        <v>0</v>
      </c>
      <c r="Y53" s="319" t="b">
        <f aca="false">FALSE()</f>
        <v>0</v>
      </c>
      <c r="Z53" s="319" t="b">
        <f aca="false">TRUE()</f>
        <v>1</v>
      </c>
      <c r="AA53" s="319" t="b">
        <f aca="false">TRUE()</f>
        <v>1</v>
      </c>
      <c r="AB53" s="319" t="b">
        <f aca="false">FALSE()</f>
        <v>0</v>
      </c>
      <c r="AC53" s="319" t="b">
        <f aca="false">FALSE()</f>
        <v>0</v>
      </c>
      <c r="AD53" s="319" t="b">
        <f aca="false">FALSE()</f>
        <v>0</v>
      </c>
      <c r="AE53" s="319" t="b">
        <f aca="false">FALSE()</f>
        <v>0</v>
      </c>
      <c r="AF53" s="319" t="b">
        <f aca="false">FALSE()</f>
        <v>0</v>
      </c>
      <c r="AG53" s="6" t="s">
        <v>182</v>
      </c>
      <c r="AH53" s="6" t="s">
        <v>182</v>
      </c>
    </row>
    <row r="54" customFormat="false" ht="15.75" hidden="false" customHeight="false" outlineLevel="0" collapsed="false">
      <c r="A54" s="3" t="s">
        <v>1953</v>
      </c>
      <c r="B54" s="6" t="s">
        <v>2027</v>
      </c>
      <c r="C54" s="3"/>
      <c r="D54" s="6" t="str">
        <f aca="false">I54   &amp; IF(ISBLANK(M54),, ". "&amp; M54 &amp; IF(ISBLANK(Q54),, ". "&amp; Q54))</f>
        <v>Defense</v>
      </c>
      <c r="E54" s="6" t="str">
        <f aca="false">I54  &amp;": # on "&amp; L54  &amp; IF(ISBLANK(M54),, ". "&amp; M54 &amp;": # on "&amp; P54 &amp; IF(ISBLANK(Q54),, ". "&amp; Q54 &amp;": # on "&amp; T54))</f>
        <v>Defense: # on Self</v>
      </c>
      <c r="F54" s="6" t="str">
        <f aca="false">IF(U54,"active pal",)  &amp; IF(V54,"working",) &amp; IF(W54,"mounted",) &amp; IF(Y54,"in party (buff)",)  &amp; IF(Z54,"always",)</f>
        <v/>
      </c>
      <c r="G54" s="6" t="n">
        <v>0</v>
      </c>
      <c r="H54" s="6" t="s">
        <v>182</v>
      </c>
      <c r="I54" s="6" t="s">
        <v>175</v>
      </c>
      <c r="J54" s="6" t="str">
        <f aca="false">IFERROR(__xludf.dummyfunction("IFS(I54=""ShotAttack"",""%"",I54=""MeleeAttack"",""%"", I54=""Defense"",""%"",I54=""CraftSPeed"",""%"",I54=""LifeSteal"",""%"",I54=""MaxInventoryWeight"",""+"",I54=""MoveSpeed"",""%"",REGEXMATCH(I54,""ElementAddItemDrop_""),""%"",I54=""Logging"",""+"",I54"&amp;"=""Mining"",""+"",I54=""Maxhp"",""%"",REGEXMATCH(I54,""TemperatureResist_""),""+"",REGEXMATCH(I54,""ElementResist_""),""%"",REGEXMATCH(I54,""TemperatureInvalid_""),""bool"",REGEXMATCH(I54,""BodyPartsWeakDamage""),""%"",REGEXMATCH(I54,""ElementBoost_""),"""&amp;"%"",AND(REGEXMATCH(B54,""GiveA""),REGEXMATCH(I54,""Element"")),""bool"")"),"%")</f>
        <v>%</v>
      </c>
      <c r="K54" s="6" t="n">
        <v>5</v>
      </c>
      <c r="L54" s="6" t="s">
        <v>1956</v>
      </c>
      <c r="M54" s="6"/>
      <c r="N54" s="6" t="str">
        <f aca="false">IFERROR(__xludf.dummyfunction("IFS(M54=""ShotAttack"",""%"",M54=""MeleeAttack"",""%"", M54=""Defense"",""%"",M54=""CraftSPeed"",""%"",M54=""LifeSteal"",""%"",M54=""MaxInventoryWeight"",""+"",M54=""MoveSpeed"",""%"",REGEXMATCH(M54,""ElementAddItemDrop_""),""%"",M54=""Logging"",""+"",M54"&amp;"=""Mining"",""+"",M54=""Maxhp"",""%"",REGEXMATCH(M54,""TemperatureResist_""),""+"",REGEXMATCH(M54,""ElementResist_""),""%"",REGEXMATCH(M54,""TemperatureInvalid_""),""bool"",REGEXMATCH(M54,""BodyPartsWeakDamage""),""%"",REGEXMATCH(M54,""ElementBoost_""),"""&amp;"%"",AND(REGEXMATCH(F54,""GiveA""),REGEXMATCH(M54,""Element"")),""bool"")"),"#N/A")</f>
        <v>#N/A</v>
      </c>
      <c r="O54" s="6" t="n">
        <v>0</v>
      </c>
      <c r="P54" s="6"/>
      <c r="Q54" s="6"/>
      <c r="R54" s="6" t="str">
        <f aca="false">IFERROR(__xludf.dummyfunction("IFS(Q54=""ShotAttack"",""%"",Q54=""MeleeAttack"",""%"", Q54=""Defense"",""%"",Q54=""CraftSPeed"",""%"",Q54=""LifeSteal"",""%"",Q54=""MaxInventoryWeight"",""+"",Q54=""MoveSpeed"",""%"",REGEXMATCH(Q54,""ElementAddItemDrop_""),""%"",Q54=""Logging"",""+"",Q54"&amp;"=""Mining"",""+"",Q54=""Maxhp"",""%"",REGEXMATCH(Q54,""TemperatureResist_""),""+"",REGEXMATCH(Q54,""ElementResist_""),""%"",REGEXMATCH(Q54,""TemperatureInvalid_""),""bool"",REGEXMATCH(Q54,""BodyPartsWeakDamage""),""%"",REGEXMATCH(Q54,""ElementBoost_""),"""&amp;"%"",AND(REGEXMATCH(J54,""GiveA""),REGEXMATCH(Q54,""Element"")),""bool"")"),"#N/A")</f>
        <v>#N/A</v>
      </c>
      <c r="S54" s="6" t="n">
        <v>0</v>
      </c>
      <c r="T54" s="6"/>
      <c r="U54" s="319" t="b">
        <f aca="false">FALSE()</f>
        <v>0</v>
      </c>
      <c r="V54" s="319" t="b">
        <f aca="false">FALSE()</f>
        <v>0</v>
      </c>
      <c r="W54" s="319" t="b">
        <f aca="false">FALSE()</f>
        <v>0</v>
      </c>
      <c r="X54" s="319" t="b">
        <f aca="false">FALSE()</f>
        <v>0</v>
      </c>
      <c r="Y54" s="319" t="b">
        <f aca="false">FALSE()</f>
        <v>0</v>
      </c>
      <c r="Z54" s="319" t="b">
        <f aca="false">FALSE()</f>
        <v>0</v>
      </c>
      <c r="AA54" s="319" t="b">
        <f aca="false">FALSE()</f>
        <v>0</v>
      </c>
      <c r="AB54" s="319" t="b">
        <f aca="false">FALSE()</f>
        <v>0</v>
      </c>
      <c r="AC54" s="319" t="b">
        <f aca="false">FALSE()</f>
        <v>0</v>
      </c>
      <c r="AD54" s="319" t="b">
        <f aca="false">FALSE()</f>
        <v>0</v>
      </c>
      <c r="AE54" s="319" t="b">
        <f aca="false">FALSE()</f>
        <v>0</v>
      </c>
      <c r="AF54" s="319" t="b">
        <f aca="false">FALSE()</f>
        <v>0</v>
      </c>
      <c r="AG54" s="6" t="s">
        <v>182</v>
      </c>
      <c r="AH54" s="6" t="s">
        <v>182</v>
      </c>
    </row>
    <row r="55" customFormat="false" ht="15.75" hidden="false" customHeight="false" outlineLevel="0" collapsed="false">
      <c r="A55" s="3" t="s">
        <v>1953</v>
      </c>
      <c r="B55" s="6" t="s">
        <v>2028</v>
      </c>
      <c r="C55" s="3"/>
      <c r="D55" s="6" t="str">
        <f aca="false">I55   &amp; IF(ISBLANK(M55),, ". "&amp; M55 &amp; IF(ISBLANK(Q55),, ". "&amp; Q55))</f>
        <v>Support</v>
      </c>
      <c r="E55" s="6" t="str">
        <f aca="false">I55  &amp;": # on "&amp; L55  &amp; IF(ISBLANK(M55),, ". "&amp; M55 &amp;": # on "&amp; P55 &amp; IF(ISBLANK(Q55),, ". "&amp; Q55 &amp;": # on "&amp; T55))</f>
        <v>Support: # on Self</v>
      </c>
      <c r="F55" s="6" t="str">
        <f aca="false">IF(U55,"active pal",)  &amp; IF(V55,"working",) &amp; IF(W55,"mounted",) &amp; IF(Y55,"in party (buff)",)  &amp; IF(Z55,"always",)</f>
        <v/>
      </c>
      <c r="G55" s="6" t="n">
        <v>2</v>
      </c>
      <c r="H55" s="6" t="s">
        <v>182</v>
      </c>
      <c r="I55" s="6" t="s">
        <v>660</v>
      </c>
      <c r="J55" s="6" t="str">
        <f aca="false">IFERROR(__xludf.dummyfunction("IFS(I55=""ShotAttack"",""%"",I55=""MeleeAttack"",""%"", I55=""Defense"",""%"",I55=""CraftSPeed"",""%"",I55=""LifeSteal"",""%"",I55=""MaxInventoryWeight"",""+"",I55=""MoveSpeed"",""%"",REGEXMATCH(I55,""ElementAddItemDrop_""),""%"",I55=""Logging"",""+"",I55"&amp;"=""Mining"",""+"",I55=""Maxhp"",""%"",REGEXMATCH(I55,""TemperatureResist_""),""+"",REGEXMATCH(I55,""ElementResist_""),""%"",REGEXMATCH(I55,""TemperatureInvalid_""),""bool"",REGEXMATCH(I55,""BodyPartsWeakDamage""),""%"",REGEXMATCH(I55,""ElementBoost_""),"""&amp;"%"",AND(REGEXMATCH(B55,""GiveA""),REGEXMATCH(I55,""Element"")),""bool"")"),"#N/A")</f>
        <v>#N/A</v>
      </c>
      <c r="K55" s="6" t="n">
        <v>20</v>
      </c>
      <c r="L55" s="6" t="s">
        <v>1956</v>
      </c>
      <c r="M55" s="6"/>
      <c r="N55" s="6" t="str">
        <f aca="false">IFERROR(__xludf.dummyfunction("IFS(M55=""ShotAttack"",""%"",M55=""MeleeAttack"",""%"", M55=""Defense"",""%"",M55=""CraftSPeed"",""%"",M55=""LifeSteal"",""%"",M55=""MaxInventoryWeight"",""+"",M55=""MoveSpeed"",""%"",REGEXMATCH(M55,""ElementAddItemDrop_""),""%"",M55=""Logging"",""+"",M55"&amp;"=""Mining"",""+"",M55=""Maxhp"",""%"",REGEXMATCH(M55,""TemperatureResist_""),""+"",REGEXMATCH(M55,""ElementResist_""),""%"",REGEXMATCH(M55,""TemperatureInvalid_""),""bool"",REGEXMATCH(M55,""BodyPartsWeakDamage""),""%"",REGEXMATCH(M55,""ElementBoost_""),"""&amp;"%"",AND(REGEXMATCH(F55,""GiveA""),REGEXMATCH(M55,""Element"")),""bool"")"),"#N/A")</f>
        <v>#N/A</v>
      </c>
      <c r="O55" s="6" t="n">
        <v>0</v>
      </c>
      <c r="P55" s="6"/>
      <c r="Q55" s="6"/>
      <c r="R55" s="6" t="str">
        <f aca="false">IFERROR(__xludf.dummyfunction("IFS(Q55=""ShotAttack"",""%"",Q55=""MeleeAttack"",""%"", Q55=""Defense"",""%"",Q55=""CraftSPeed"",""%"",Q55=""LifeSteal"",""%"",Q55=""MaxInventoryWeight"",""+"",Q55=""MoveSpeed"",""%"",REGEXMATCH(Q55,""ElementAddItemDrop_""),""%"",Q55=""Logging"",""+"",Q55"&amp;"=""Mining"",""+"",Q55=""Maxhp"",""%"",REGEXMATCH(Q55,""TemperatureResist_""),""+"",REGEXMATCH(Q55,""ElementResist_""),""%"",REGEXMATCH(Q55,""TemperatureInvalid_""),""bool"",REGEXMATCH(Q55,""BodyPartsWeakDamage""),""%"",REGEXMATCH(Q55,""ElementBoost_""),"""&amp;"%"",AND(REGEXMATCH(J55,""GiveA""),REGEXMATCH(Q55,""Element"")),""bool"")"),"#N/A")</f>
        <v>#N/A</v>
      </c>
      <c r="S55" s="6" t="n">
        <v>0</v>
      </c>
      <c r="T55" s="6"/>
      <c r="U55" s="319" t="b">
        <f aca="false">FALSE()</f>
        <v>0</v>
      </c>
      <c r="V55" s="319" t="b">
        <f aca="false">FALSE()</f>
        <v>0</v>
      </c>
      <c r="W55" s="319" t="b">
        <f aca="false">FALSE()</f>
        <v>0</v>
      </c>
      <c r="X55" s="319" t="b">
        <f aca="false">FALSE()</f>
        <v>0</v>
      </c>
      <c r="Y55" s="319" t="b">
        <f aca="false">FALSE()</f>
        <v>0</v>
      </c>
      <c r="Z55" s="319" t="b">
        <f aca="false">FALSE()</f>
        <v>0</v>
      </c>
      <c r="AA55" s="319" t="b">
        <f aca="false">FALSE()</f>
        <v>0</v>
      </c>
      <c r="AB55" s="319" t="b">
        <f aca="false">FALSE()</f>
        <v>0</v>
      </c>
      <c r="AC55" s="319" t="b">
        <f aca="false">FALSE()</f>
        <v>0</v>
      </c>
      <c r="AD55" s="319" t="b">
        <f aca="false">FALSE()</f>
        <v>0</v>
      </c>
      <c r="AE55" s="319" t="b">
        <f aca="false">FALSE()</f>
        <v>0</v>
      </c>
      <c r="AF55" s="319" t="b">
        <f aca="false">FALSE()</f>
        <v>0</v>
      </c>
      <c r="AG55" s="6" t="s">
        <v>182</v>
      </c>
      <c r="AH55" s="6" t="s">
        <v>182</v>
      </c>
    </row>
    <row r="56" customFormat="false" ht="15.75" hidden="false" customHeight="false" outlineLevel="0" collapsed="false">
      <c r="A56" s="3" t="s">
        <v>1953</v>
      </c>
      <c r="B56" s="6" t="s">
        <v>2029</v>
      </c>
      <c r="C56" s="3"/>
      <c r="D56" s="6" t="str">
        <f aca="false">I56   &amp; IF(ISBLANK(M56),, ". "&amp; M56 &amp; IF(ISBLANK(Q56),, ". "&amp; Q56))</f>
        <v>Support</v>
      </c>
      <c r="E56" s="6" t="str">
        <f aca="false">I56  &amp;": # on "&amp; L56  &amp; IF(ISBLANK(M56),, ". "&amp; M56 &amp;": # on "&amp; P56 &amp; IF(ISBLANK(Q56),, ". "&amp; Q56 &amp;": # on "&amp; T56))</f>
        <v>Support: # on Self</v>
      </c>
      <c r="F56" s="6" t="str">
        <f aca="false">IF(U56,"active pal",)  &amp; IF(V56,"working",) &amp; IF(W56,"mounted",) &amp; IF(Y56,"in party (buff)",)  &amp; IF(Z56,"always",)</f>
        <v/>
      </c>
      <c r="G56" s="6" t="n">
        <v>-1</v>
      </c>
      <c r="H56" s="6" t="s">
        <v>182</v>
      </c>
      <c r="I56" s="6" t="s">
        <v>660</v>
      </c>
      <c r="J56" s="6" t="str">
        <f aca="false">IFERROR(__xludf.dummyfunction("IFS(I56=""ShotAttack"",""%"",I56=""MeleeAttack"",""%"", I56=""Defense"",""%"",I56=""CraftSPeed"",""%"",I56=""LifeSteal"",""%"",I56=""MaxInventoryWeight"",""+"",I56=""MoveSpeed"",""%"",REGEXMATCH(I56,""ElementAddItemDrop_""),""%"",I56=""Logging"",""+"",I56"&amp;"=""Mining"",""+"",I56=""Maxhp"",""%"",REGEXMATCH(I56,""TemperatureResist_""),""+"",REGEXMATCH(I56,""ElementResist_""),""%"",REGEXMATCH(I56,""TemperatureInvalid_""),""bool"",REGEXMATCH(I56,""BodyPartsWeakDamage""),""%"",REGEXMATCH(I56,""ElementBoost_""),"""&amp;"%"",AND(REGEXMATCH(B56,""GiveA""),REGEXMATCH(I56,""Element"")),""bool"")"),"#N/A")</f>
        <v>#N/A</v>
      </c>
      <c r="K56" s="6" t="n">
        <v>-10</v>
      </c>
      <c r="L56" s="6" t="s">
        <v>1956</v>
      </c>
      <c r="M56" s="6"/>
      <c r="N56" s="6" t="str">
        <f aca="false">IFERROR(__xludf.dummyfunction("IFS(M56=""ShotAttack"",""%"",M56=""MeleeAttack"",""%"", M56=""Defense"",""%"",M56=""CraftSPeed"",""%"",M56=""LifeSteal"",""%"",M56=""MaxInventoryWeight"",""+"",M56=""MoveSpeed"",""%"",REGEXMATCH(M56,""ElementAddItemDrop_""),""%"",M56=""Logging"",""+"",M56"&amp;"=""Mining"",""+"",M56=""Maxhp"",""%"",REGEXMATCH(M56,""TemperatureResist_""),""+"",REGEXMATCH(M56,""ElementResist_""),""%"",REGEXMATCH(M56,""TemperatureInvalid_""),""bool"",REGEXMATCH(M56,""BodyPartsWeakDamage""),""%"",REGEXMATCH(M56,""ElementBoost_""),"""&amp;"%"",AND(REGEXMATCH(F56,""GiveA""),REGEXMATCH(M56,""Element"")),""bool"")"),"#N/A")</f>
        <v>#N/A</v>
      </c>
      <c r="O56" s="6" t="n">
        <v>0</v>
      </c>
      <c r="P56" s="6"/>
      <c r="Q56" s="6"/>
      <c r="R56" s="6" t="str">
        <f aca="false">IFERROR(__xludf.dummyfunction("IFS(Q56=""ShotAttack"",""%"",Q56=""MeleeAttack"",""%"", Q56=""Defense"",""%"",Q56=""CraftSPeed"",""%"",Q56=""LifeSteal"",""%"",Q56=""MaxInventoryWeight"",""+"",Q56=""MoveSpeed"",""%"",REGEXMATCH(Q56,""ElementAddItemDrop_""),""%"",Q56=""Logging"",""+"",Q56"&amp;"=""Mining"",""+"",Q56=""Maxhp"",""%"",REGEXMATCH(Q56,""TemperatureResist_""),""+"",REGEXMATCH(Q56,""ElementResist_""),""%"",REGEXMATCH(Q56,""TemperatureInvalid_""),""bool"",REGEXMATCH(Q56,""BodyPartsWeakDamage""),""%"",REGEXMATCH(Q56,""ElementBoost_""),"""&amp;"%"",AND(REGEXMATCH(J56,""GiveA""),REGEXMATCH(Q56,""Element"")),""bool"")"),"#N/A")</f>
        <v>#N/A</v>
      </c>
      <c r="S56" s="6" t="n">
        <v>0</v>
      </c>
      <c r="T56" s="6"/>
      <c r="U56" s="319" t="b">
        <f aca="false">FALSE()</f>
        <v>0</v>
      </c>
      <c r="V56" s="319" t="b">
        <f aca="false">FALSE()</f>
        <v>0</v>
      </c>
      <c r="W56" s="319" t="b">
        <f aca="false">FALSE()</f>
        <v>0</v>
      </c>
      <c r="X56" s="319" t="b">
        <f aca="false">FALSE()</f>
        <v>0</v>
      </c>
      <c r="Y56" s="319" t="b">
        <f aca="false">FALSE()</f>
        <v>0</v>
      </c>
      <c r="Z56" s="319" t="b">
        <f aca="false">FALSE()</f>
        <v>0</v>
      </c>
      <c r="AA56" s="319" t="b">
        <f aca="false">FALSE()</f>
        <v>0</v>
      </c>
      <c r="AB56" s="319" t="b">
        <f aca="false">FALSE()</f>
        <v>0</v>
      </c>
      <c r="AC56" s="319" t="b">
        <f aca="false">FALSE()</f>
        <v>0</v>
      </c>
      <c r="AD56" s="319" t="b">
        <f aca="false">FALSE()</f>
        <v>0</v>
      </c>
      <c r="AE56" s="319" t="b">
        <f aca="false">FALSE()</f>
        <v>0</v>
      </c>
      <c r="AF56" s="319" t="b">
        <f aca="false">FALSE()</f>
        <v>0</v>
      </c>
      <c r="AG56" s="6" t="s">
        <v>182</v>
      </c>
      <c r="AH56" s="6" t="s">
        <v>182</v>
      </c>
    </row>
    <row r="57" customFormat="false" ht="15.75" hidden="false" customHeight="false" outlineLevel="0" collapsed="false">
      <c r="A57" s="3" t="s">
        <v>1953</v>
      </c>
      <c r="B57" s="6" t="s">
        <v>2030</v>
      </c>
      <c r="C57" s="3"/>
      <c r="D57" s="6" t="str">
        <f aca="false">I57   &amp; IF(ISBLANK(M57),, ". "&amp; M57 &amp; IF(ISBLANK(Q57),, ". "&amp; Q57))</f>
        <v>Support</v>
      </c>
      <c r="E57" s="6" t="str">
        <f aca="false">I57  &amp;": # on "&amp; L57  &amp; IF(ISBLANK(M57),, ". "&amp; M57 &amp;": # on "&amp; P57 &amp; IF(ISBLANK(Q57),, ". "&amp; Q57 &amp;": # on "&amp; T57))</f>
        <v>Support: # on Self</v>
      </c>
      <c r="F57" s="6" t="str">
        <f aca="false">IF(U57,"active pal",)  &amp; IF(V57,"working",) &amp; IF(W57,"mounted",) &amp; IF(Y57,"in party (buff)",)  &amp; IF(Z57,"always",)</f>
        <v/>
      </c>
      <c r="G57" s="6" t="n">
        <v>-3</v>
      </c>
      <c r="H57" s="6" t="s">
        <v>182</v>
      </c>
      <c r="I57" s="6" t="s">
        <v>660</v>
      </c>
      <c r="J57" s="6" t="str">
        <f aca="false">IFERROR(__xludf.dummyfunction("IFS(I57=""ShotAttack"",""%"",I57=""MeleeAttack"",""%"", I57=""Defense"",""%"",I57=""CraftSPeed"",""%"",I57=""LifeSteal"",""%"",I57=""MaxInventoryWeight"",""+"",I57=""MoveSpeed"",""%"",REGEXMATCH(I57,""ElementAddItemDrop_""),""%"",I57=""Logging"",""+"",I57"&amp;"=""Mining"",""+"",I57=""Maxhp"",""%"",REGEXMATCH(I57,""TemperatureResist_""),""+"",REGEXMATCH(I57,""ElementResist_""),""%"",REGEXMATCH(I57,""TemperatureInvalid_""),""bool"",REGEXMATCH(I57,""BodyPartsWeakDamage""),""%"",REGEXMATCH(I57,""ElementBoost_""),"""&amp;"%"",AND(REGEXMATCH(B57,""GiveA""),REGEXMATCH(I57,""Element"")),""bool"")"),"#N/A")</f>
        <v>#N/A</v>
      </c>
      <c r="K57" s="6" t="n">
        <v>-30</v>
      </c>
      <c r="L57" s="6" t="s">
        <v>1956</v>
      </c>
      <c r="M57" s="6"/>
      <c r="N57" s="6" t="str">
        <f aca="false">IFERROR(__xludf.dummyfunction("IFS(M57=""ShotAttack"",""%"",M57=""MeleeAttack"",""%"", M57=""Defense"",""%"",M57=""CraftSPeed"",""%"",M57=""LifeSteal"",""%"",M57=""MaxInventoryWeight"",""+"",M57=""MoveSpeed"",""%"",REGEXMATCH(M57,""ElementAddItemDrop_""),""%"",M57=""Logging"",""+"",M57"&amp;"=""Mining"",""+"",M57=""Maxhp"",""%"",REGEXMATCH(M57,""TemperatureResist_""),""+"",REGEXMATCH(M57,""ElementResist_""),""%"",REGEXMATCH(M57,""TemperatureInvalid_""),""bool"",REGEXMATCH(M57,""BodyPartsWeakDamage""),""%"",REGEXMATCH(M57,""ElementBoost_""),"""&amp;"%"",AND(REGEXMATCH(F57,""GiveA""),REGEXMATCH(M57,""Element"")),""bool"")"),"#N/A")</f>
        <v>#N/A</v>
      </c>
      <c r="O57" s="6" t="n">
        <v>0</v>
      </c>
      <c r="P57" s="6"/>
      <c r="Q57" s="6"/>
      <c r="R57" s="6" t="str">
        <f aca="false">IFERROR(__xludf.dummyfunction("IFS(Q57=""ShotAttack"",""%"",Q57=""MeleeAttack"",""%"", Q57=""Defense"",""%"",Q57=""CraftSPeed"",""%"",Q57=""LifeSteal"",""%"",Q57=""MaxInventoryWeight"",""+"",Q57=""MoveSpeed"",""%"",REGEXMATCH(Q57,""ElementAddItemDrop_""),""%"",Q57=""Logging"",""+"",Q57"&amp;"=""Mining"",""+"",Q57=""Maxhp"",""%"",REGEXMATCH(Q57,""TemperatureResist_""),""+"",REGEXMATCH(Q57,""ElementResist_""),""%"",REGEXMATCH(Q57,""TemperatureInvalid_""),""bool"",REGEXMATCH(Q57,""BodyPartsWeakDamage""),""%"",REGEXMATCH(Q57,""ElementBoost_""),"""&amp;"%"",AND(REGEXMATCH(J57,""GiveA""),REGEXMATCH(Q57,""Element"")),""bool"")"),"#N/A")</f>
        <v>#N/A</v>
      </c>
      <c r="S57" s="6" t="n">
        <v>0</v>
      </c>
      <c r="T57" s="6"/>
      <c r="U57" s="319" t="b">
        <f aca="false">FALSE()</f>
        <v>0</v>
      </c>
      <c r="V57" s="319" t="b">
        <f aca="false">FALSE()</f>
        <v>0</v>
      </c>
      <c r="W57" s="319" t="b">
        <f aca="false">FALSE()</f>
        <v>0</v>
      </c>
      <c r="X57" s="319" t="b">
        <f aca="false">FALSE()</f>
        <v>0</v>
      </c>
      <c r="Y57" s="319" t="b">
        <f aca="false">FALSE()</f>
        <v>0</v>
      </c>
      <c r="Z57" s="319" t="b">
        <f aca="false">FALSE()</f>
        <v>0</v>
      </c>
      <c r="AA57" s="319" t="b">
        <f aca="false">FALSE()</f>
        <v>0</v>
      </c>
      <c r="AB57" s="319" t="b">
        <f aca="false">FALSE()</f>
        <v>0</v>
      </c>
      <c r="AC57" s="319" t="b">
        <f aca="false">FALSE()</f>
        <v>0</v>
      </c>
      <c r="AD57" s="319" t="b">
        <f aca="false">FALSE()</f>
        <v>0</v>
      </c>
      <c r="AE57" s="319" t="b">
        <f aca="false">FALSE()</f>
        <v>0</v>
      </c>
      <c r="AF57" s="319" t="b">
        <f aca="false">FALSE()</f>
        <v>0</v>
      </c>
      <c r="AG57" s="6" t="s">
        <v>182</v>
      </c>
      <c r="AH57" s="6" t="s">
        <v>182</v>
      </c>
    </row>
    <row r="58" customFormat="false" ht="15.75" hidden="false" customHeight="false" outlineLevel="0" collapsed="false">
      <c r="A58" s="3" t="s">
        <v>2031</v>
      </c>
      <c r="B58" s="6" t="s">
        <v>2032</v>
      </c>
      <c r="C58" s="311" t="b">
        <f aca="false">TRUE()</f>
        <v>1</v>
      </c>
      <c r="D58" s="6" t="str">
        <f aca="false">I58   &amp; IF(ISBLANK(M58),, ". "&amp; M58 &amp; IF(ISBLANK(Q58),, ". "&amp; Q58))</f>
        <v>ShotAttack. CraftSpeed</v>
      </c>
      <c r="E58" s="6" t="str">
        <f aca="false">I58  &amp;": # on "&amp; L58  &amp; IF(ISBLANK(M58),, ". "&amp; M58 &amp;": # on "&amp; P58 &amp; IF(ISBLANK(Q58),, ". "&amp; Q58 &amp;": # on "&amp; T58))</f>
        <v>ShotAttack: # on Self. CraftSpeed: # on Self</v>
      </c>
      <c r="F58" s="6" t="str">
        <f aca="false">IF(U58,"active pal",)  &amp; IF(V58,"working",) &amp; IF(W58,"mounted",) &amp; IF(Y58,"in party (buff)",)  &amp; IF(Z58,"always",)</f>
        <v>always</v>
      </c>
      <c r="G58" s="6" t="n">
        <v>2</v>
      </c>
      <c r="H58" s="6" t="s">
        <v>182</v>
      </c>
      <c r="I58" s="6" t="s">
        <v>659</v>
      </c>
      <c r="J58" s="6" t="str">
        <f aca="false">IFERROR(__xludf.dummyfunction("IFS(I58=""ShotAttack"",""%"",I58=""MeleeAttack"",""%"", I58=""Defense"",""%"",I58=""CraftSPeed"",""%"",I58=""LifeSteal"",""%"",I58=""MaxInventoryWeight"",""+"",I58=""MoveSpeed"",""%"",REGEXMATCH(I58,""ElementAddItemDrop_""),""%"",I58=""Logging"",""+"",I58"&amp;"=""Mining"",""+"",I58=""Maxhp"",""%"",REGEXMATCH(I58,""TemperatureResist_""),""+"",REGEXMATCH(I58,""ElementResist_""),""%"",REGEXMATCH(I58,""TemperatureInvalid_""),""bool"",REGEXMATCH(I58,""BodyPartsWeakDamage""),""%"",REGEXMATCH(I58,""ElementBoost_""),"""&amp;"%"",AND(REGEXMATCH(B58,""GiveA""),REGEXMATCH(I58,""Element"")),""bool"")"),"%")</f>
        <v>%</v>
      </c>
      <c r="K58" s="6" t="n">
        <v>30</v>
      </c>
      <c r="L58" s="6" t="s">
        <v>1956</v>
      </c>
      <c r="M58" s="6" t="s">
        <v>661</v>
      </c>
      <c r="N58" s="6" t="str">
        <f aca="false">IFERROR(__xludf.dummyfunction("IFS(M58=""ShotAttack"",""%"",M58=""MeleeAttack"",""%"", M58=""Defense"",""%"",M58=""CraftSPeed"",""%"",M58=""LifeSteal"",""%"",M58=""MaxInventoryWeight"",""+"",M58=""MoveSpeed"",""%"",REGEXMATCH(M58,""ElementAddItemDrop_""),""%"",M58=""Logging"",""+"",M58"&amp;"=""Mining"",""+"",M58=""Maxhp"",""%"",REGEXMATCH(M58,""TemperatureResist_""),""+"",REGEXMATCH(M58,""ElementResist_""),""%"",REGEXMATCH(M58,""TemperatureInvalid_""),""bool"",REGEXMATCH(M58,""BodyPartsWeakDamage""),""%"",REGEXMATCH(M58,""ElementBoost_""),"""&amp;"%"",AND(REGEXMATCH(F58,""GiveA""),REGEXMATCH(M58,""Element"")),""bool"")"),"%")</f>
        <v>%</v>
      </c>
      <c r="O58" s="6" t="n">
        <v>-50</v>
      </c>
      <c r="P58" s="6" t="s">
        <v>1956</v>
      </c>
      <c r="Q58" s="6"/>
      <c r="R58" s="6" t="str">
        <f aca="false">IFERROR(__xludf.dummyfunction("IFS(Q58=""ShotAttack"",""%"",Q58=""MeleeAttack"",""%"", Q58=""Defense"",""%"",Q58=""CraftSPeed"",""%"",Q58=""LifeSteal"",""%"",Q58=""MaxInventoryWeight"",""+"",Q58=""MoveSpeed"",""%"",REGEXMATCH(Q58,""ElementAddItemDrop_""),""%"",Q58=""Logging"",""+"",Q58"&amp;"=""Mining"",""+"",Q58=""Maxhp"",""%"",REGEXMATCH(Q58,""TemperatureResist_""),""+"",REGEXMATCH(Q58,""ElementResist_""),""%"",REGEXMATCH(Q58,""TemperatureInvalid_""),""bool"",REGEXMATCH(Q58,""BodyPartsWeakDamage""),""%"",REGEXMATCH(Q58,""ElementBoost_""),"""&amp;"%"",AND(REGEXMATCH(J58,""GiveA""),REGEXMATCH(Q58,""Element"")),""bool"")"),"#N/A")</f>
        <v>#N/A</v>
      </c>
      <c r="S58" s="6" t="n">
        <v>0</v>
      </c>
      <c r="T58" s="6"/>
      <c r="U58" s="319" t="b">
        <f aca="false">FALSE()</f>
        <v>0</v>
      </c>
      <c r="V58" s="319" t="b">
        <f aca="false">FALSE()</f>
        <v>0</v>
      </c>
      <c r="W58" s="319" t="b">
        <f aca="false">FALSE()</f>
        <v>0</v>
      </c>
      <c r="X58" s="319" t="b">
        <f aca="false">FALSE()</f>
        <v>0</v>
      </c>
      <c r="Y58" s="319" t="b">
        <f aca="false">FALSE()</f>
        <v>0</v>
      </c>
      <c r="Z58" s="319" t="b">
        <f aca="false">TRUE()</f>
        <v>1</v>
      </c>
      <c r="AA58" s="319" t="b">
        <f aca="false">TRUE()</f>
        <v>1</v>
      </c>
      <c r="AB58" s="319" t="b">
        <f aca="false">FALSE()</f>
        <v>0</v>
      </c>
      <c r="AC58" s="319" t="b">
        <f aca="false">FALSE()</f>
        <v>0</v>
      </c>
      <c r="AD58" s="319" t="b">
        <f aca="false">FALSE()</f>
        <v>0</v>
      </c>
      <c r="AE58" s="319" t="b">
        <f aca="false">FALSE()</f>
        <v>0</v>
      </c>
      <c r="AF58" s="319" t="b">
        <f aca="false">FALSE()</f>
        <v>0</v>
      </c>
      <c r="AG58" s="6" t="s">
        <v>182</v>
      </c>
      <c r="AH58" s="6" t="s">
        <v>182</v>
      </c>
    </row>
    <row r="59" customFormat="false" ht="15.75" hidden="false" customHeight="false" outlineLevel="0" collapsed="false">
      <c r="A59" s="3" t="s">
        <v>1953</v>
      </c>
      <c r="B59" s="6" t="s">
        <v>1064</v>
      </c>
      <c r="C59" s="3"/>
      <c r="D59" s="6" t="str">
        <f aca="false">I59   &amp; IF(ISBLANK(M59),, ". "&amp; M59 &amp; IF(ISBLANK(Q59),, ". "&amp; Q59))</f>
        <v>ElementFire</v>
      </c>
      <c r="E59" s="6" t="str">
        <f aca="false">I59  &amp;": # on "&amp; L59  &amp; IF(ISBLANK(M59),, ". "&amp; M59 &amp;": # on "&amp; P59 &amp; IF(ISBLANK(Q59),, ". "&amp; Q59 &amp;": # on "&amp; T59))</f>
        <v>ElementFire: # on Trainer</v>
      </c>
      <c r="F59" s="6" t="str">
        <f aca="false">IF(U59,"active pal",)  &amp; IF(V59,"working",) &amp; IF(W59,"mounted",) &amp; IF(Y59,"in party (buff)",)  &amp; IF(Z59,"always",)</f>
        <v>active pal</v>
      </c>
      <c r="G59" s="6" t="n">
        <v>1</v>
      </c>
      <c r="H59" s="6" t="s">
        <v>182</v>
      </c>
      <c r="I59" s="6" t="s">
        <v>2033</v>
      </c>
      <c r="J59" s="6" t="str">
        <f aca="false">IFERROR(__xludf.dummyfunction("IFS(I59=""ShotAttack"",""%"",I59=""MeleeAttack"",""%"", I59=""Defense"",""%"",I59=""CraftSPeed"",""%"",I59=""LifeSteal"",""%"",I59=""MaxInventoryWeight"",""+"",I59=""MoveSpeed"",""%"",REGEXMATCH(I59,""ElementAddItemDrop_""),""%"",I59=""Logging"",""+"",I59"&amp;"=""Mining"",""+"",I59=""Maxhp"",""%"",REGEXMATCH(I59,""TemperatureResist_""),""+"",REGEXMATCH(I59,""ElementResist_""),""%"",REGEXMATCH(I59,""TemperatureInvalid_""),""bool"",REGEXMATCH(I59,""BodyPartsWeakDamage""),""%"",REGEXMATCH(I59,""ElementBoost_""),"""&amp;"%"",AND(REGEXMATCH(B59,""GiveA""),REGEXMATCH(I59,""Element"")),""bool"")"),"bool")</f>
        <v>bool</v>
      </c>
      <c r="K59" s="6" t="n">
        <v>1</v>
      </c>
      <c r="L59" s="6" t="s">
        <v>2034</v>
      </c>
      <c r="M59" s="6"/>
      <c r="N59" s="6" t="str">
        <f aca="false">IFERROR(__xludf.dummyfunction("IFS(M59=""ShotAttack"",""%"",M59=""MeleeAttack"",""%"", M59=""Defense"",""%"",M59=""CraftSPeed"",""%"",M59=""LifeSteal"",""%"",M59=""MaxInventoryWeight"",""+"",M59=""MoveSpeed"",""%"",REGEXMATCH(M59,""ElementAddItemDrop_""),""%"",M59=""Logging"",""+"",M59"&amp;"=""Mining"",""+"",M59=""Maxhp"",""%"",REGEXMATCH(M59,""TemperatureResist_""),""+"",REGEXMATCH(M59,""ElementResist_""),""%"",REGEXMATCH(M59,""TemperatureInvalid_""),""bool"",REGEXMATCH(M59,""BodyPartsWeakDamage""),""%"",REGEXMATCH(M59,""ElementBoost_""),"""&amp;"%"",AND(REGEXMATCH(F59,""GiveA""),REGEXMATCH(M59,""Element"")),""bool"")"),"#N/A")</f>
        <v>#N/A</v>
      </c>
      <c r="O59" s="6" t="n">
        <v>0</v>
      </c>
      <c r="P59" s="6"/>
      <c r="Q59" s="6"/>
      <c r="R59" s="6" t="str">
        <f aca="false">IFERROR(__xludf.dummyfunction("IFS(Q59=""ShotAttack"",""%"",Q59=""MeleeAttack"",""%"", Q59=""Defense"",""%"",Q59=""CraftSPeed"",""%"",Q59=""LifeSteal"",""%"",Q59=""MaxInventoryWeight"",""+"",Q59=""MoveSpeed"",""%"",REGEXMATCH(Q59,""ElementAddItemDrop_""),""%"",Q59=""Logging"",""+"",Q59"&amp;"=""Mining"",""+"",Q59=""Maxhp"",""%"",REGEXMATCH(Q59,""TemperatureResist_""),""+"",REGEXMATCH(Q59,""ElementResist_""),""%"",REGEXMATCH(Q59,""TemperatureInvalid_""),""bool"",REGEXMATCH(Q59,""BodyPartsWeakDamage""),""%"",REGEXMATCH(Q59,""ElementBoost_""),"""&amp;"%"",AND(REGEXMATCH(J59,""GiveA""),REGEXMATCH(Q59,""Element"")),""bool"")"),"#N/A")</f>
        <v>#N/A</v>
      </c>
      <c r="S59" s="6" t="n">
        <v>0</v>
      </c>
      <c r="T59" s="6"/>
      <c r="U59" s="319" t="b">
        <f aca="false">TRUE()</f>
        <v>1</v>
      </c>
      <c r="V59" s="319" t="b">
        <f aca="false">FALSE()</f>
        <v>0</v>
      </c>
      <c r="W59" s="319" t="b">
        <f aca="false">FALSE()</f>
        <v>0</v>
      </c>
      <c r="X59" s="319" t="b">
        <f aca="false">FALSE()</f>
        <v>0</v>
      </c>
      <c r="Y59" s="319" t="b">
        <f aca="false">FALSE()</f>
        <v>0</v>
      </c>
      <c r="Z59" s="319" t="b">
        <f aca="false">FALSE()</f>
        <v>0</v>
      </c>
      <c r="AA59" s="319" t="b">
        <f aca="false">FALSE()</f>
        <v>0</v>
      </c>
      <c r="AB59" s="319" t="b">
        <f aca="false">FALSE()</f>
        <v>0</v>
      </c>
      <c r="AC59" s="319" t="b">
        <f aca="false">FALSE()</f>
        <v>0</v>
      </c>
      <c r="AD59" s="319" t="b">
        <f aca="false">FALSE()</f>
        <v>0</v>
      </c>
      <c r="AE59" s="319" t="b">
        <f aca="false">FALSE()</f>
        <v>0</v>
      </c>
      <c r="AF59" s="319" t="b">
        <f aca="false">FALSE()</f>
        <v>0</v>
      </c>
      <c r="AG59" s="6" t="s">
        <v>182</v>
      </c>
      <c r="AH59" s="6" t="s">
        <v>182</v>
      </c>
    </row>
    <row r="60" customFormat="false" ht="15.75" hidden="false" customHeight="false" outlineLevel="0" collapsed="false">
      <c r="A60" s="1" t="e">
        <f aca="false">#N/A</f>
        <v>#N/A</v>
      </c>
      <c r="B60" s="6" t="s">
        <v>910</v>
      </c>
      <c r="C60" s="3"/>
      <c r="D60" s="6" t="str">
        <f aca="false">I60   &amp; IF(ISBLANK(M60),, ". "&amp; M60 &amp; IF(ISBLANK(Q60),, ". "&amp; Q60))</f>
        <v>ElementFire</v>
      </c>
      <c r="E60" s="6" t="str">
        <f aca="false">I60  &amp;": # on "&amp; L60  &amp; IF(ISBLANK(M60),, ". "&amp; M60 &amp;": # on "&amp; P60 &amp; IF(ISBLANK(Q60),, ". "&amp; Q60 &amp;": # on "&amp; T60))</f>
        <v>ElementFire: # on Trainer</v>
      </c>
      <c r="F60" s="6" t="str">
        <f aca="false">IF(U60,"active pal",)  &amp; IF(V60,"working",) &amp; IF(W60,"mounted",) &amp; IF(Y60,"in party (buff)",)  &amp; IF(Z60,"always",)</f>
        <v>mounted</v>
      </c>
      <c r="G60" s="6" t="n">
        <v>1</v>
      </c>
      <c r="H60" s="6" t="s">
        <v>182</v>
      </c>
      <c r="I60" s="6" t="s">
        <v>2033</v>
      </c>
      <c r="J60" s="6" t="str">
        <f aca="false">IFERROR(__xludf.dummyfunction("IFS(I60=""ShotAttack"",""%"",I60=""MeleeAttack"",""%"", I60=""Defense"",""%"",I60=""CraftSPeed"",""%"",I60=""LifeSteal"",""%"",I60=""MaxInventoryWeight"",""+"",I60=""MoveSpeed"",""%"",REGEXMATCH(I60,""ElementAddItemDrop_""),""%"",I60=""Logging"",""+"",I60"&amp;"=""Mining"",""+"",I60=""Maxhp"",""%"",REGEXMATCH(I60,""TemperatureResist_""),""+"",REGEXMATCH(I60,""ElementResist_""),""%"",REGEXMATCH(I60,""TemperatureInvalid_""),""bool"",REGEXMATCH(I60,""BodyPartsWeakDamage""),""%"",REGEXMATCH(I60,""ElementBoost_""),"""&amp;"%"",AND(REGEXMATCH(B60,""GiveA""),REGEXMATCH(I60,""Element"")),""bool"")"),"bool")</f>
        <v>bool</v>
      </c>
      <c r="K60" s="6" t="n">
        <v>1</v>
      </c>
      <c r="L60" s="6" t="s">
        <v>2034</v>
      </c>
      <c r="M60" s="6"/>
      <c r="N60" s="6" t="str">
        <f aca="false">IFERROR(__xludf.dummyfunction("IFS(M60=""ShotAttack"",""%"",M60=""MeleeAttack"",""%"", M60=""Defense"",""%"",M60=""CraftSPeed"",""%"",M60=""LifeSteal"",""%"",M60=""MaxInventoryWeight"",""+"",M60=""MoveSpeed"",""%"",REGEXMATCH(M60,""ElementAddItemDrop_""),""%"",M60=""Logging"",""+"",M60"&amp;"=""Mining"",""+"",M60=""Maxhp"",""%"",REGEXMATCH(M60,""TemperatureResist_""),""+"",REGEXMATCH(M60,""ElementResist_""),""%"",REGEXMATCH(M60,""TemperatureInvalid_""),""bool"",REGEXMATCH(M60,""BodyPartsWeakDamage""),""%"",REGEXMATCH(M60,""ElementBoost_""),"""&amp;"%"",AND(REGEXMATCH(F60,""GiveA""),REGEXMATCH(M60,""Element"")),""bool"")"),"#N/A")</f>
        <v>#N/A</v>
      </c>
      <c r="O60" s="6" t="n">
        <v>0</v>
      </c>
      <c r="P60" s="6"/>
      <c r="Q60" s="6"/>
      <c r="R60" s="6" t="str">
        <f aca="false">IFERROR(__xludf.dummyfunction("IFS(Q60=""ShotAttack"",""%"",Q60=""MeleeAttack"",""%"", Q60=""Defense"",""%"",Q60=""CraftSPeed"",""%"",Q60=""LifeSteal"",""%"",Q60=""MaxInventoryWeight"",""+"",Q60=""MoveSpeed"",""%"",REGEXMATCH(Q60,""ElementAddItemDrop_""),""%"",Q60=""Logging"",""+"",Q60"&amp;"=""Mining"",""+"",Q60=""Maxhp"",""%"",REGEXMATCH(Q60,""TemperatureResist_""),""+"",REGEXMATCH(Q60,""ElementResist_""),""%"",REGEXMATCH(Q60,""TemperatureInvalid_""),""bool"",REGEXMATCH(Q60,""BodyPartsWeakDamage""),""%"",REGEXMATCH(Q60,""ElementBoost_""),"""&amp;"%"",AND(REGEXMATCH(J60,""GiveA""),REGEXMATCH(Q60,""Element"")),""bool"")"),"#N/A")</f>
        <v>#N/A</v>
      </c>
      <c r="S60" s="6" t="n">
        <v>0</v>
      </c>
      <c r="T60" s="6"/>
      <c r="U60" s="319" t="b">
        <f aca="false">FALSE()</f>
        <v>0</v>
      </c>
      <c r="V60" s="319" t="b">
        <f aca="false">FALSE()</f>
        <v>0</v>
      </c>
      <c r="W60" s="319" t="b">
        <f aca="false">TRUE()</f>
        <v>1</v>
      </c>
      <c r="X60" s="319" t="b">
        <f aca="false">FALSE()</f>
        <v>0</v>
      </c>
      <c r="Y60" s="319" t="b">
        <f aca="false">FALSE()</f>
        <v>0</v>
      </c>
      <c r="Z60" s="319" t="b">
        <f aca="false">FALSE()</f>
        <v>0</v>
      </c>
      <c r="AA60" s="319" t="b">
        <f aca="false">FALSE()</f>
        <v>0</v>
      </c>
      <c r="AB60" s="319" t="b">
        <f aca="false">FALSE()</f>
        <v>0</v>
      </c>
      <c r="AC60" s="319" t="b">
        <f aca="false">FALSE()</f>
        <v>0</v>
      </c>
      <c r="AD60" s="319" t="b">
        <f aca="false">FALSE()</f>
        <v>0</v>
      </c>
      <c r="AE60" s="319" t="b">
        <f aca="false">FALSE()</f>
        <v>0</v>
      </c>
      <c r="AF60" s="319" t="b">
        <f aca="false">FALSE()</f>
        <v>0</v>
      </c>
      <c r="AG60" s="6" t="s">
        <v>182</v>
      </c>
      <c r="AH60" s="6" t="s">
        <v>182</v>
      </c>
    </row>
    <row r="61" customFormat="false" ht="15.75" hidden="false" customHeight="false" outlineLevel="0" collapsed="false">
      <c r="A61" s="3" t="s">
        <v>1953</v>
      </c>
      <c r="B61" s="6" t="s">
        <v>2035</v>
      </c>
      <c r="C61" s="3"/>
      <c r="D61" s="6" t="str">
        <f aca="false">I61   &amp; IF(ISBLANK(M61),, ". "&amp; M61 &amp; IF(ISBLANK(Q61),, ". "&amp; Q61))</f>
        <v>ElementWater</v>
      </c>
      <c r="E61" s="6" t="str">
        <f aca="false">I61  &amp;": # on "&amp; L61  &amp; IF(ISBLANK(M61),, ". "&amp; M61 &amp;": # on "&amp; P61 &amp; IF(ISBLANK(Q61),, ". "&amp; Q61 &amp;": # on "&amp; T61))</f>
        <v>ElementWater: # on Trainer</v>
      </c>
      <c r="F61" s="6" t="str">
        <f aca="false">IF(U61,"active pal",)  &amp; IF(V61,"working",) &amp; IF(W61,"mounted",) &amp; IF(Y61,"in party (buff)",)  &amp; IF(Z61,"always",)</f>
        <v>active pal</v>
      </c>
      <c r="G61" s="6" t="n">
        <v>1</v>
      </c>
      <c r="H61" s="6" t="s">
        <v>182</v>
      </c>
      <c r="I61" s="6" t="s">
        <v>2036</v>
      </c>
      <c r="J61" s="6" t="str">
        <f aca="false">IFERROR(__xludf.dummyfunction("IFS(I61=""ShotAttack"",""%"",I61=""MeleeAttack"",""%"", I61=""Defense"",""%"",I61=""CraftSPeed"",""%"",I61=""LifeSteal"",""%"",I61=""MaxInventoryWeight"",""+"",I61=""MoveSpeed"",""%"",REGEXMATCH(I61,""ElementAddItemDrop_""),""%"",I61=""Logging"",""+"",I61"&amp;"=""Mining"",""+"",I61=""Maxhp"",""%"",REGEXMATCH(I61,""TemperatureResist_""),""+"",REGEXMATCH(I61,""ElementResist_""),""%"",REGEXMATCH(I61,""TemperatureInvalid_""),""bool"",REGEXMATCH(I61,""BodyPartsWeakDamage""),""%"",REGEXMATCH(I61,""ElementBoost_""),"""&amp;"%"",AND(REGEXMATCH(B61,""GiveA""),REGEXMATCH(I61,""Element"")),""bool"")"),"bool")</f>
        <v>bool</v>
      </c>
      <c r="K61" s="6" t="n">
        <v>1</v>
      </c>
      <c r="L61" s="6" t="s">
        <v>2034</v>
      </c>
      <c r="M61" s="6"/>
      <c r="N61" s="6" t="str">
        <f aca="false">IFERROR(__xludf.dummyfunction("IFS(M61=""ShotAttack"",""%"",M61=""MeleeAttack"",""%"", M61=""Defense"",""%"",M61=""CraftSPeed"",""%"",M61=""LifeSteal"",""%"",M61=""MaxInventoryWeight"",""+"",M61=""MoveSpeed"",""%"",REGEXMATCH(M61,""ElementAddItemDrop_""),""%"",M61=""Logging"",""+"",M61"&amp;"=""Mining"",""+"",M61=""Maxhp"",""%"",REGEXMATCH(M61,""TemperatureResist_""),""+"",REGEXMATCH(M61,""ElementResist_""),""%"",REGEXMATCH(M61,""TemperatureInvalid_""),""bool"",REGEXMATCH(M61,""BodyPartsWeakDamage""),""%"",REGEXMATCH(M61,""ElementBoost_""),"""&amp;"%"",AND(REGEXMATCH(F61,""GiveA""),REGEXMATCH(M61,""Element"")),""bool"")"),"#N/A")</f>
        <v>#N/A</v>
      </c>
      <c r="O61" s="6" t="n">
        <v>0</v>
      </c>
      <c r="P61" s="6"/>
      <c r="Q61" s="6"/>
      <c r="R61" s="6" t="str">
        <f aca="false">IFERROR(__xludf.dummyfunction("IFS(Q61=""ShotAttack"",""%"",Q61=""MeleeAttack"",""%"", Q61=""Defense"",""%"",Q61=""CraftSPeed"",""%"",Q61=""LifeSteal"",""%"",Q61=""MaxInventoryWeight"",""+"",Q61=""MoveSpeed"",""%"",REGEXMATCH(Q61,""ElementAddItemDrop_""),""%"",Q61=""Logging"",""+"",Q61"&amp;"=""Mining"",""+"",Q61=""Maxhp"",""%"",REGEXMATCH(Q61,""TemperatureResist_""),""+"",REGEXMATCH(Q61,""ElementResist_""),""%"",REGEXMATCH(Q61,""TemperatureInvalid_""),""bool"",REGEXMATCH(Q61,""BodyPartsWeakDamage""),""%"",REGEXMATCH(Q61,""ElementBoost_""),"""&amp;"%"",AND(REGEXMATCH(J61,""GiveA""),REGEXMATCH(Q61,""Element"")),""bool"")"),"#N/A")</f>
        <v>#N/A</v>
      </c>
      <c r="S61" s="6" t="n">
        <v>0</v>
      </c>
      <c r="T61" s="6"/>
      <c r="U61" s="319" t="b">
        <f aca="false">TRUE()</f>
        <v>1</v>
      </c>
      <c r="V61" s="319" t="b">
        <f aca="false">FALSE()</f>
        <v>0</v>
      </c>
      <c r="W61" s="319" t="b">
        <f aca="false">FALSE()</f>
        <v>0</v>
      </c>
      <c r="X61" s="319" t="b">
        <f aca="false">FALSE()</f>
        <v>0</v>
      </c>
      <c r="Y61" s="319" t="b">
        <f aca="false">FALSE()</f>
        <v>0</v>
      </c>
      <c r="Z61" s="319" t="b">
        <f aca="false">FALSE()</f>
        <v>0</v>
      </c>
      <c r="AA61" s="319" t="b">
        <f aca="false">FALSE()</f>
        <v>0</v>
      </c>
      <c r="AB61" s="319" t="b">
        <f aca="false">FALSE()</f>
        <v>0</v>
      </c>
      <c r="AC61" s="319" t="b">
        <f aca="false">FALSE()</f>
        <v>0</v>
      </c>
      <c r="AD61" s="319" t="b">
        <f aca="false">FALSE()</f>
        <v>0</v>
      </c>
      <c r="AE61" s="319" t="b">
        <f aca="false">FALSE()</f>
        <v>0</v>
      </c>
      <c r="AF61" s="319" t="b">
        <f aca="false">FALSE()</f>
        <v>0</v>
      </c>
      <c r="AG61" s="6" t="s">
        <v>182</v>
      </c>
      <c r="AH61" s="6" t="s">
        <v>182</v>
      </c>
    </row>
    <row r="62" customFormat="false" ht="15.75" hidden="false" customHeight="false" outlineLevel="0" collapsed="false">
      <c r="A62" s="1" t="e">
        <f aca="false">#N/A</f>
        <v>#N/A</v>
      </c>
      <c r="B62" s="6" t="s">
        <v>951</v>
      </c>
      <c r="C62" s="3"/>
      <c r="D62" s="6" t="str">
        <f aca="false">I62   &amp; IF(ISBLANK(M62),, ". "&amp; M62 &amp; IF(ISBLANK(Q62),, ". "&amp; Q62))</f>
        <v>ElementWater</v>
      </c>
      <c r="E62" s="6" t="str">
        <f aca="false">I62  &amp;": # on "&amp; L62  &amp; IF(ISBLANK(M62),, ". "&amp; M62 &amp;": # on "&amp; P62 &amp; IF(ISBLANK(Q62),, ". "&amp; Q62 &amp;": # on "&amp; T62))</f>
        <v>ElementWater: # on Trainer</v>
      </c>
      <c r="F62" s="6" t="str">
        <f aca="false">IF(U62,"active pal",)  &amp; IF(V62,"working",) &amp; IF(W62,"mounted",) &amp; IF(Y62,"in party (buff)",)  &amp; IF(Z62,"always",)</f>
        <v>mounted</v>
      </c>
      <c r="G62" s="6" t="n">
        <v>1</v>
      </c>
      <c r="H62" s="6" t="s">
        <v>182</v>
      </c>
      <c r="I62" s="6" t="s">
        <v>2036</v>
      </c>
      <c r="J62" s="6" t="str">
        <f aca="false">IFERROR(__xludf.dummyfunction("IFS(I62=""ShotAttack"",""%"",I62=""MeleeAttack"",""%"", I62=""Defense"",""%"",I62=""CraftSPeed"",""%"",I62=""LifeSteal"",""%"",I62=""MaxInventoryWeight"",""+"",I62=""MoveSpeed"",""%"",REGEXMATCH(I62,""ElementAddItemDrop_""),""%"",I62=""Logging"",""+"",I62"&amp;"=""Mining"",""+"",I62=""Maxhp"",""%"",REGEXMATCH(I62,""TemperatureResist_""),""+"",REGEXMATCH(I62,""ElementResist_""),""%"",REGEXMATCH(I62,""TemperatureInvalid_""),""bool"",REGEXMATCH(I62,""BodyPartsWeakDamage""),""%"",REGEXMATCH(I62,""ElementBoost_""),"""&amp;"%"",AND(REGEXMATCH(B62,""GiveA""),REGEXMATCH(I62,""Element"")),""bool"")"),"bool")</f>
        <v>bool</v>
      </c>
      <c r="K62" s="6" t="n">
        <v>1</v>
      </c>
      <c r="L62" s="6" t="s">
        <v>2034</v>
      </c>
      <c r="M62" s="6"/>
      <c r="N62" s="6" t="str">
        <f aca="false">IFERROR(__xludf.dummyfunction("IFS(M62=""ShotAttack"",""%"",M62=""MeleeAttack"",""%"", M62=""Defense"",""%"",M62=""CraftSPeed"",""%"",M62=""LifeSteal"",""%"",M62=""MaxInventoryWeight"",""+"",M62=""MoveSpeed"",""%"",REGEXMATCH(M62,""ElementAddItemDrop_""),""%"",M62=""Logging"",""+"",M62"&amp;"=""Mining"",""+"",M62=""Maxhp"",""%"",REGEXMATCH(M62,""TemperatureResist_""),""+"",REGEXMATCH(M62,""ElementResist_""),""%"",REGEXMATCH(M62,""TemperatureInvalid_""),""bool"",REGEXMATCH(M62,""BodyPartsWeakDamage""),""%"",REGEXMATCH(M62,""ElementBoost_""),"""&amp;"%"",AND(REGEXMATCH(F62,""GiveA""),REGEXMATCH(M62,""Element"")),""bool"")"),"#N/A")</f>
        <v>#N/A</v>
      </c>
      <c r="O62" s="6" t="n">
        <v>0</v>
      </c>
      <c r="P62" s="6"/>
      <c r="Q62" s="6"/>
      <c r="R62" s="6" t="str">
        <f aca="false">IFERROR(__xludf.dummyfunction("IFS(Q62=""ShotAttack"",""%"",Q62=""MeleeAttack"",""%"", Q62=""Defense"",""%"",Q62=""CraftSPeed"",""%"",Q62=""LifeSteal"",""%"",Q62=""MaxInventoryWeight"",""+"",Q62=""MoveSpeed"",""%"",REGEXMATCH(Q62,""ElementAddItemDrop_""),""%"",Q62=""Logging"",""+"",Q62"&amp;"=""Mining"",""+"",Q62=""Maxhp"",""%"",REGEXMATCH(Q62,""TemperatureResist_""),""+"",REGEXMATCH(Q62,""ElementResist_""),""%"",REGEXMATCH(Q62,""TemperatureInvalid_""),""bool"",REGEXMATCH(Q62,""BodyPartsWeakDamage""),""%"",REGEXMATCH(Q62,""ElementBoost_""),"""&amp;"%"",AND(REGEXMATCH(J62,""GiveA""),REGEXMATCH(Q62,""Element"")),""bool"")"),"#N/A")</f>
        <v>#N/A</v>
      </c>
      <c r="S62" s="6" t="n">
        <v>0</v>
      </c>
      <c r="T62" s="6"/>
      <c r="U62" s="319" t="b">
        <f aca="false">FALSE()</f>
        <v>0</v>
      </c>
      <c r="V62" s="319" t="b">
        <f aca="false">FALSE()</f>
        <v>0</v>
      </c>
      <c r="W62" s="319" t="b">
        <f aca="false">TRUE()</f>
        <v>1</v>
      </c>
      <c r="X62" s="319" t="b">
        <f aca="false">FALSE()</f>
        <v>0</v>
      </c>
      <c r="Y62" s="319" t="b">
        <f aca="false">FALSE()</f>
        <v>0</v>
      </c>
      <c r="Z62" s="319" t="b">
        <f aca="false">FALSE()</f>
        <v>0</v>
      </c>
      <c r="AA62" s="319" t="b">
        <f aca="false">FALSE()</f>
        <v>0</v>
      </c>
      <c r="AB62" s="319" t="b">
        <f aca="false">FALSE()</f>
        <v>0</v>
      </c>
      <c r="AC62" s="319" t="b">
        <f aca="false">FALSE()</f>
        <v>0</v>
      </c>
      <c r="AD62" s="319" t="b">
        <f aca="false">FALSE()</f>
        <v>0</v>
      </c>
      <c r="AE62" s="319" t="b">
        <f aca="false">FALSE()</f>
        <v>0</v>
      </c>
      <c r="AF62" s="319" t="b">
        <f aca="false">FALSE()</f>
        <v>0</v>
      </c>
      <c r="AG62" s="6" t="s">
        <v>182</v>
      </c>
      <c r="AH62" s="6" t="s">
        <v>182</v>
      </c>
    </row>
    <row r="63" customFormat="false" ht="15.75" hidden="false" customHeight="false" outlineLevel="0" collapsed="false">
      <c r="A63" s="3" t="s">
        <v>1953</v>
      </c>
      <c r="B63" s="6" t="s">
        <v>1128</v>
      </c>
      <c r="C63" s="3"/>
      <c r="D63" s="6" t="str">
        <f aca="false">I63   &amp; IF(ISBLANK(M63),, ". "&amp; M63 &amp; IF(ISBLANK(Q63),, ". "&amp; Q63))</f>
        <v>ElementLeaf</v>
      </c>
      <c r="E63" s="6" t="str">
        <f aca="false">I63  &amp;": # on "&amp; L63  &amp; IF(ISBLANK(M63),, ". "&amp; M63 &amp;": # on "&amp; P63 &amp; IF(ISBLANK(Q63),, ". "&amp; Q63 &amp;": # on "&amp; T63))</f>
        <v>ElementLeaf: # on Trainer</v>
      </c>
      <c r="F63" s="6" t="str">
        <f aca="false">IF(U63,"active pal",)  &amp; IF(V63,"working",) &amp; IF(W63,"mounted",) &amp; IF(Y63,"in party (buff)",)  &amp; IF(Z63,"always",)</f>
        <v>active pal</v>
      </c>
      <c r="G63" s="6" t="n">
        <v>1</v>
      </c>
      <c r="H63" s="6" t="s">
        <v>182</v>
      </c>
      <c r="I63" s="6" t="s">
        <v>2037</v>
      </c>
      <c r="J63" s="6" t="str">
        <f aca="false">IFERROR(__xludf.dummyfunction("IFS(I63=""ShotAttack"",""%"",I63=""MeleeAttack"",""%"", I63=""Defense"",""%"",I63=""CraftSPeed"",""%"",I63=""LifeSteal"",""%"",I63=""MaxInventoryWeight"",""+"",I63=""MoveSpeed"",""%"",REGEXMATCH(I63,""ElementAddItemDrop_""),""%"",I63=""Logging"",""+"",I63"&amp;"=""Mining"",""+"",I63=""Maxhp"",""%"",REGEXMATCH(I63,""TemperatureResist_""),""+"",REGEXMATCH(I63,""ElementResist_""),""%"",REGEXMATCH(I63,""TemperatureInvalid_""),""bool"",REGEXMATCH(I63,""BodyPartsWeakDamage""),""%"",REGEXMATCH(I63,""ElementBoost_""),"""&amp;"%"",AND(REGEXMATCH(B63,""GiveA""),REGEXMATCH(I63,""Element"")),""bool"")"),"bool")</f>
        <v>bool</v>
      </c>
      <c r="K63" s="6" t="n">
        <v>1</v>
      </c>
      <c r="L63" s="6" t="s">
        <v>2034</v>
      </c>
      <c r="M63" s="6"/>
      <c r="N63" s="6" t="str">
        <f aca="false">IFERROR(__xludf.dummyfunction("IFS(M63=""ShotAttack"",""%"",M63=""MeleeAttack"",""%"", M63=""Defense"",""%"",M63=""CraftSPeed"",""%"",M63=""LifeSteal"",""%"",M63=""MaxInventoryWeight"",""+"",M63=""MoveSpeed"",""%"",REGEXMATCH(M63,""ElementAddItemDrop_""),""%"",M63=""Logging"",""+"",M63"&amp;"=""Mining"",""+"",M63=""Maxhp"",""%"",REGEXMATCH(M63,""TemperatureResist_""),""+"",REGEXMATCH(M63,""ElementResist_""),""%"",REGEXMATCH(M63,""TemperatureInvalid_""),""bool"",REGEXMATCH(M63,""BodyPartsWeakDamage""),""%"",REGEXMATCH(M63,""ElementBoost_""),"""&amp;"%"",AND(REGEXMATCH(F63,""GiveA""),REGEXMATCH(M63,""Element"")),""bool"")"),"#N/A")</f>
        <v>#N/A</v>
      </c>
      <c r="O63" s="6" t="n">
        <v>0</v>
      </c>
      <c r="P63" s="6"/>
      <c r="Q63" s="6"/>
      <c r="R63" s="6" t="str">
        <f aca="false">IFERROR(__xludf.dummyfunction("IFS(Q63=""ShotAttack"",""%"",Q63=""MeleeAttack"",""%"", Q63=""Defense"",""%"",Q63=""CraftSPeed"",""%"",Q63=""LifeSteal"",""%"",Q63=""MaxInventoryWeight"",""+"",Q63=""MoveSpeed"",""%"",REGEXMATCH(Q63,""ElementAddItemDrop_""),""%"",Q63=""Logging"",""+"",Q63"&amp;"=""Mining"",""+"",Q63=""Maxhp"",""%"",REGEXMATCH(Q63,""TemperatureResist_""),""+"",REGEXMATCH(Q63,""ElementResist_""),""%"",REGEXMATCH(Q63,""TemperatureInvalid_""),""bool"",REGEXMATCH(Q63,""BodyPartsWeakDamage""),""%"",REGEXMATCH(Q63,""ElementBoost_""),"""&amp;"%"",AND(REGEXMATCH(J63,""GiveA""),REGEXMATCH(Q63,""Element"")),""bool"")"),"#N/A")</f>
        <v>#N/A</v>
      </c>
      <c r="S63" s="6" t="n">
        <v>0</v>
      </c>
      <c r="T63" s="6"/>
      <c r="U63" s="319" t="b">
        <f aca="false">TRUE()</f>
        <v>1</v>
      </c>
      <c r="V63" s="319" t="b">
        <f aca="false">FALSE()</f>
        <v>0</v>
      </c>
      <c r="W63" s="319" t="b">
        <f aca="false">FALSE()</f>
        <v>0</v>
      </c>
      <c r="X63" s="319" t="b">
        <f aca="false">FALSE()</f>
        <v>0</v>
      </c>
      <c r="Y63" s="319" t="b">
        <f aca="false">FALSE()</f>
        <v>0</v>
      </c>
      <c r="Z63" s="319" t="b">
        <f aca="false">FALSE()</f>
        <v>0</v>
      </c>
      <c r="AA63" s="319" t="b">
        <f aca="false">FALSE()</f>
        <v>0</v>
      </c>
      <c r="AB63" s="319" t="b">
        <f aca="false">FALSE()</f>
        <v>0</v>
      </c>
      <c r="AC63" s="319" t="b">
        <f aca="false">FALSE()</f>
        <v>0</v>
      </c>
      <c r="AD63" s="319" t="b">
        <f aca="false">FALSE()</f>
        <v>0</v>
      </c>
      <c r="AE63" s="319" t="b">
        <f aca="false">FALSE()</f>
        <v>0</v>
      </c>
      <c r="AF63" s="319" t="b">
        <f aca="false">FALSE()</f>
        <v>0</v>
      </c>
      <c r="AG63" s="6" t="s">
        <v>182</v>
      </c>
      <c r="AH63" s="6" t="s">
        <v>182</v>
      </c>
    </row>
    <row r="64" customFormat="false" ht="15.75" hidden="false" customHeight="false" outlineLevel="0" collapsed="false">
      <c r="A64" s="1" t="e">
        <f aca="false">#N/A</f>
        <v>#N/A</v>
      </c>
      <c r="B64" s="6" t="s">
        <v>2038</v>
      </c>
      <c r="C64" s="3"/>
      <c r="D64" s="6" t="str">
        <f aca="false">I64   &amp; IF(ISBLANK(M64),, ". "&amp; M64 &amp; IF(ISBLANK(Q64),, ". "&amp; Q64))</f>
        <v>ElementLeaf</v>
      </c>
      <c r="E64" s="6" t="str">
        <f aca="false">I64  &amp;": # on "&amp; L64  &amp; IF(ISBLANK(M64),, ". "&amp; M64 &amp;": # on "&amp; P64 &amp; IF(ISBLANK(Q64),, ". "&amp; Q64 &amp;": # on "&amp; T64))</f>
        <v>ElementLeaf: # on Trainer</v>
      </c>
      <c r="F64" s="6" t="str">
        <f aca="false">IF(U64,"active pal",)  &amp; IF(V64,"working",) &amp; IF(W64,"mounted",) &amp; IF(Y64,"in party (buff)",)  &amp; IF(Z64,"always",)</f>
        <v>mounted</v>
      </c>
      <c r="G64" s="6" t="n">
        <v>1</v>
      </c>
      <c r="H64" s="6" t="s">
        <v>182</v>
      </c>
      <c r="I64" s="6" t="s">
        <v>2037</v>
      </c>
      <c r="J64" s="6" t="str">
        <f aca="false">IFERROR(__xludf.dummyfunction("IFS(I64=""ShotAttack"",""%"",I64=""MeleeAttack"",""%"", I64=""Defense"",""%"",I64=""CraftSPeed"",""%"",I64=""LifeSteal"",""%"",I64=""MaxInventoryWeight"",""+"",I64=""MoveSpeed"",""%"",REGEXMATCH(I64,""ElementAddItemDrop_""),""%"",I64=""Logging"",""+"",I64"&amp;"=""Mining"",""+"",I64=""Maxhp"",""%"",REGEXMATCH(I64,""TemperatureResist_""),""+"",REGEXMATCH(I64,""ElementResist_""),""%"",REGEXMATCH(I64,""TemperatureInvalid_""),""bool"",REGEXMATCH(I64,""BodyPartsWeakDamage""),""%"",REGEXMATCH(I64,""ElementBoost_""),"""&amp;"%"",AND(REGEXMATCH(B64,""GiveA""),REGEXMATCH(I64,""Element"")),""bool"")"),"bool")</f>
        <v>bool</v>
      </c>
      <c r="K64" s="6" t="n">
        <v>1</v>
      </c>
      <c r="L64" s="6" t="s">
        <v>2034</v>
      </c>
      <c r="M64" s="6"/>
      <c r="N64" s="6" t="str">
        <f aca="false">IFERROR(__xludf.dummyfunction("IFS(M64=""ShotAttack"",""%"",M64=""MeleeAttack"",""%"", M64=""Defense"",""%"",M64=""CraftSPeed"",""%"",M64=""LifeSteal"",""%"",M64=""MaxInventoryWeight"",""+"",M64=""MoveSpeed"",""%"",REGEXMATCH(M64,""ElementAddItemDrop_""),""%"",M64=""Logging"",""+"",M64"&amp;"=""Mining"",""+"",M64=""Maxhp"",""%"",REGEXMATCH(M64,""TemperatureResist_""),""+"",REGEXMATCH(M64,""ElementResist_""),""%"",REGEXMATCH(M64,""TemperatureInvalid_""),""bool"",REGEXMATCH(M64,""BodyPartsWeakDamage""),""%"",REGEXMATCH(M64,""ElementBoost_""),"""&amp;"%"",AND(REGEXMATCH(F64,""GiveA""),REGEXMATCH(M64,""Element"")),""bool"")"),"#N/A")</f>
        <v>#N/A</v>
      </c>
      <c r="O64" s="6" t="n">
        <v>0</v>
      </c>
      <c r="P64" s="6"/>
      <c r="Q64" s="6"/>
      <c r="R64" s="6" t="str">
        <f aca="false">IFERROR(__xludf.dummyfunction("IFS(Q64=""ShotAttack"",""%"",Q64=""MeleeAttack"",""%"", Q64=""Defense"",""%"",Q64=""CraftSPeed"",""%"",Q64=""LifeSteal"",""%"",Q64=""MaxInventoryWeight"",""+"",Q64=""MoveSpeed"",""%"",REGEXMATCH(Q64,""ElementAddItemDrop_""),""%"",Q64=""Logging"",""+"",Q64"&amp;"=""Mining"",""+"",Q64=""Maxhp"",""%"",REGEXMATCH(Q64,""TemperatureResist_""),""+"",REGEXMATCH(Q64,""ElementResist_""),""%"",REGEXMATCH(Q64,""TemperatureInvalid_""),""bool"",REGEXMATCH(Q64,""BodyPartsWeakDamage""),""%"",REGEXMATCH(Q64,""ElementBoost_""),"""&amp;"%"",AND(REGEXMATCH(J64,""GiveA""),REGEXMATCH(Q64,""Element"")),""bool"")"),"#N/A")</f>
        <v>#N/A</v>
      </c>
      <c r="S64" s="6" t="n">
        <v>0</v>
      </c>
      <c r="T64" s="6"/>
      <c r="U64" s="319" t="b">
        <f aca="false">FALSE()</f>
        <v>0</v>
      </c>
      <c r="V64" s="319" t="b">
        <f aca="false">FALSE()</f>
        <v>0</v>
      </c>
      <c r="W64" s="319" t="b">
        <f aca="false">TRUE()</f>
        <v>1</v>
      </c>
      <c r="X64" s="319" t="b">
        <f aca="false">FALSE()</f>
        <v>0</v>
      </c>
      <c r="Y64" s="319" t="b">
        <f aca="false">FALSE()</f>
        <v>0</v>
      </c>
      <c r="Z64" s="319" t="b">
        <f aca="false">FALSE()</f>
        <v>0</v>
      </c>
      <c r="AA64" s="319" t="b">
        <f aca="false">FALSE()</f>
        <v>0</v>
      </c>
      <c r="AB64" s="319" t="b">
        <f aca="false">FALSE()</f>
        <v>0</v>
      </c>
      <c r="AC64" s="319" t="b">
        <f aca="false">FALSE()</f>
        <v>0</v>
      </c>
      <c r="AD64" s="319" t="b">
        <f aca="false">FALSE()</f>
        <v>0</v>
      </c>
      <c r="AE64" s="319" t="b">
        <f aca="false">FALSE()</f>
        <v>0</v>
      </c>
      <c r="AF64" s="319" t="b">
        <f aca="false">FALSE()</f>
        <v>0</v>
      </c>
      <c r="AG64" s="6" t="s">
        <v>182</v>
      </c>
      <c r="AH64" s="6" t="s">
        <v>182</v>
      </c>
    </row>
    <row r="65" customFormat="false" ht="15.75" hidden="false" customHeight="false" outlineLevel="0" collapsed="false">
      <c r="A65" s="3" t="s">
        <v>1953</v>
      </c>
      <c r="B65" s="6" t="s">
        <v>2039</v>
      </c>
      <c r="C65" s="3"/>
      <c r="D65" s="6" t="str">
        <f aca="false">I65   &amp; IF(ISBLANK(M65),, ". "&amp; M65 &amp; IF(ISBLANK(Q65),, ". "&amp; Q65))</f>
        <v>ElementElectricity</v>
      </c>
      <c r="E65" s="6" t="str">
        <f aca="false">I65  &amp;": # on "&amp; L65  &amp; IF(ISBLANK(M65),, ". "&amp; M65 &amp;": # on "&amp; P65 &amp; IF(ISBLANK(Q65),, ". "&amp; Q65 &amp;": # on "&amp; T65))</f>
        <v>ElementElectricity: # on Trainer</v>
      </c>
      <c r="F65" s="6" t="str">
        <f aca="false">IF(U65,"active pal",)  &amp; IF(V65,"working",) &amp; IF(W65,"mounted",) &amp; IF(Y65,"in party (buff)",)  &amp; IF(Z65,"always",)</f>
        <v>active pal</v>
      </c>
      <c r="G65" s="6" t="n">
        <v>1</v>
      </c>
      <c r="H65" s="6" t="s">
        <v>182</v>
      </c>
      <c r="I65" s="6" t="s">
        <v>2040</v>
      </c>
      <c r="J65" s="6" t="str">
        <f aca="false">IFERROR(__xludf.dummyfunction("IFS(I65=""ShotAttack"",""%"",I65=""MeleeAttack"",""%"", I65=""Defense"",""%"",I65=""CraftSPeed"",""%"",I65=""LifeSteal"",""%"",I65=""MaxInventoryWeight"",""+"",I65=""MoveSpeed"",""%"",REGEXMATCH(I65,""ElementAddItemDrop_""),""%"",I65=""Logging"",""+"",I65"&amp;"=""Mining"",""+"",I65=""Maxhp"",""%"",REGEXMATCH(I65,""TemperatureResist_""),""+"",REGEXMATCH(I65,""ElementResist_""),""%"",REGEXMATCH(I65,""TemperatureInvalid_""),""bool"",REGEXMATCH(I65,""BodyPartsWeakDamage""),""%"",REGEXMATCH(I65,""ElementBoost_""),"""&amp;"%"",AND(REGEXMATCH(B65,""GiveA""),REGEXMATCH(I65,""Element"")),""bool"")"),"bool")</f>
        <v>bool</v>
      </c>
      <c r="K65" s="6" t="n">
        <v>1</v>
      </c>
      <c r="L65" s="6" t="s">
        <v>2034</v>
      </c>
      <c r="M65" s="6"/>
      <c r="N65" s="6" t="str">
        <f aca="false">IFERROR(__xludf.dummyfunction("IFS(M65=""ShotAttack"",""%"",M65=""MeleeAttack"",""%"", M65=""Defense"",""%"",M65=""CraftSPeed"",""%"",M65=""LifeSteal"",""%"",M65=""MaxInventoryWeight"",""+"",M65=""MoveSpeed"",""%"",REGEXMATCH(M65,""ElementAddItemDrop_""),""%"",M65=""Logging"",""+"",M65"&amp;"=""Mining"",""+"",M65=""Maxhp"",""%"",REGEXMATCH(M65,""TemperatureResist_""),""+"",REGEXMATCH(M65,""ElementResist_""),""%"",REGEXMATCH(M65,""TemperatureInvalid_""),""bool"",REGEXMATCH(M65,""BodyPartsWeakDamage""),""%"",REGEXMATCH(M65,""ElementBoost_""),"""&amp;"%"",AND(REGEXMATCH(F65,""GiveA""),REGEXMATCH(M65,""Element"")),""bool"")"),"#N/A")</f>
        <v>#N/A</v>
      </c>
      <c r="O65" s="6" t="n">
        <v>0</v>
      </c>
      <c r="P65" s="6"/>
      <c r="Q65" s="6"/>
      <c r="R65" s="6" t="str">
        <f aca="false">IFERROR(__xludf.dummyfunction("IFS(Q65=""ShotAttack"",""%"",Q65=""MeleeAttack"",""%"", Q65=""Defense"",""%"",Q65=""CraftSPeed"",""%"",Q65=""LifeSteal"",""%"",Q65=""MaxInventoryWeight"",""+"",Q65=""MoveSpeed"",""%"",REGEXMATCH(Q65,""ElementAddItemDrop_""),""%"",Q65=""Logging"",""+"",Q65"&amp;"=""Mining"",""+"",Q65=""Maxhp"",""%"",REGEXMATCH(Q65,""TemperatureResist_""),""+"",REGEXMATCH(Q65,""ElementResist_""),""%"",REGEXMATCH(Q65,""TemperatureInvalid_""),""bool"",REGEXMATCH(Q65,""BodyPartsWeakDamage""),""%"",REGEXMATCH(Q65,""ElementBoost_""),"""&amp;"%"",AND(REGEXMATCH(J65,""GiveA""),REGEXMATCH(Q65,""Element"")),""bool"")"),"#N/A")</f>
        <v>#N/A</v>
      </c>
      <c r="S65" s="6" t="n">
        <v>0</v>
      </c>
      <c r="T65" s="6"/>
      <c r="U65" s="319" t="b">
        <f aca="false">TRUE()</f>
        <v>1</v>
      </c>
      <c r="V65" s="319" t="b">
        <f aca="false">FALSE()</f>
        <v>0</v>
      </c>
      <c r="W65" s="319" t="b">
        <f aca="false">FALSE()</f>
        <v>0</v>
      </c>
      <c r="X65" s="319" t="b">
        <f aca="false">FALSE()</f>
        <v>0</v>
      </c>
      <c r="Y65" s="319" t="b">
        <f aca="false">FALSE()</f>
        <v>0</v>
      </c>
      <c r="Z65" s="319" t="b">
        <f aca="false">FALSE()</f>
        <v>0</v>
      </c>
      <c r="AA65" s="319" t="b">
        <f aca="false">FALSE()</f>
        <v>0</v>
      </c>
      <c r="AB65" s="319" t="b">
        <f aca="false">FALSE()</f>
        <v>0</v>
      </c>
      <c r="AC65" s="319" t="b">
        <f aca="false">FALSE()</f>
        <v>0</v>
      </c>
      <c r="AD65" s="319" t="b">
        <f aca="false">FALSE()</f>
        <v>0</v>
      </c>
      <c r="AE65" s="319" t="b">
        <f aca="false">FALSE()</f>
        <v>0</v>
      </c>
      <c r="AF65" s="319" t="b">
        <f aca="false">FALSE()</f>
        <v>0</v>
      </c>
      <c r="AG65" s="6" t="s">
        <v>182</v>
      </c>
      <c r="AH65" s="6" t="s">
        <v>182</v>
      </c>
    </row>
    <row r="66" customFormat="false" ht="15.75" hidden="false" customHeight="false" outlineLevel="0" collapsed="false">
      <c r="A66" s="1" t="e">
        <f aca="false">#N/A</f>
        <v>#N/A</v>
      </c>
      <c r="B66" s="6" t="s">
        <v>838</v>
      </c>
      <c r="C66" s="3"/>
      <c r="D66" s="6" t="str">
        <f aca="false">I66   &amp; IF(ISBLANK(M66),, ". "&amp; M66 &amp; IF(ISBLANK(Q66),, ". "&amp; Q66))</f>
        <v>ElementElectricity</v>
      </c>
      <c r="E66" s="6" t="str">
        <f aca="false">I66  &amp;": # on "&amp; L66  &amp; IF(ISBLANK(M66),, ". "&amp; M66 &amp;": # on "&amp; P66 &amp; IF(ISBLANK(Q66),, ". "&amp; Q66 &amp;": # on "&amp; T66))</f>
        <v>ElementElectricity: # on Trainer</v>
      </c>
      <c r="F66" s="6" t="str">
        <f aca="false">IF(U66,"active pal",)  &amp; IF(V66,"working",) &amp; IF(W66,"mounted",) &amp; IF(Y66,"in party (buff)",)  &amp; IF(Z66,"always",)</f>
        <v>mounted</v>
      </c>
      <c r="G66" s="6" t="n">
        <v>1</v>
      </c>
      <c r="H66" s="6" t="s">
        <v>182</v>
      </c>
      <c r="I66" s="6" t="s">
        <v>2040</v>
      </c>
      <c r="J66" s="6" t="str">
        <f aca="false">IFERROR(__xludf.dummyfunction("IFS(I66=""ShotAttack"",""%"",I66=""MeleeAttack"",""%"", I66=""Defense"",""%"",I66=""CraftSPeed"",""%"",I66=""LifeSteal"",""%"",I66=""MaxInventoryWeight"",""+"",I66=""MoveSpeed"",""%"",REGEXMATCH(I66,""ElementAddItemDrop_""),""%"",I66=""Logging"",""+"",I66"&amp;"=""Mining"",""+"",I66=""Maxhp"",""%"",REGEXMATCH(I66,""TemperatureResist_""),""+"",REGEXMATCH(I66,""ElementResist_""),""%"",REGEXMATCH(I66,""TemperatureInvalid_""),""bool"",REGEXMATCH(I66,""BodyPartsWeakDamage""),""%"",REGEXMATCH(I66,""ElementBoost_""),"""&amp;"%"",AND(REGEXMATCH(B66,""GiveA""),REGEXMATCH(I66,""Element"")),""bool"")"),"bool")</f>
        <v>bool</v>
      </c>
      <c r="K66" s="6" t="n">
        <v>1</v>
      </c>
      <c r="L66" s="6" t="s">
        <v>2034</v>
      </c>
      <c r="M66" s="6"/>
      <c r="N66" s="6" t="str">
        <f aca="false">IFERROR(__xludf.dummyfunction("IFS(M66=""ShotAttack"",""%"",M66=""MeleeAttack"",""%"", M66=""Defense"",""%"",M66=""CraftSPeed"",""%"",M66=""LifeSteal"",""%"",M66=""MaxInventoryWeight"",""+"",M66=""MoveSpeed"",""%"",REGEXMATCH(M66,""ElementAddItemDrop_""),""%"",M66=""Logging"",""+"",M66"&amp;"=""Mining"",""+"",M66=""Maxhp"",""%"",REGEXMATCH(M66,""TemperatureResist_""),""+"",REGEXMATCH(M66,""ElementResist_""),""%"",REGEXMATCH(M66,""TemperatureInvalid_""),""bool"",REGEXMATCH(M66,""BodyPartsWeakDamage""),""%"",REGEXMATCH(M66,""ElementBoost_""),"""&amp;"%"",AND(REGEXMATCH(F66,""GiveA""),REGEXMATCH(M66,""Element"")),""bool"")"),"#N/A")</f>
        <v>#N/A</v>
      </c>
      <c r="O66" s="6" t="n">
        <v>0</v>
      </c>
      <c r="P66" s="6"/>
      <c r="Q66" s="6"/>
      <c r="R66" s="6" t="str">
        <f aca="false">IFERROR(__xludf.dummyfunction("IFS(Q66=""ShotAttack"",""%"",Q66=""MeleeAttack"",""%"", Q66=""Defense"",""%"",Q66=""CraftSPeed"",""%"",Q66=""LifeSteal"",""%"",Q66=""MaxInventoryWeight"",""+"",Q66=""MoveSpeed"",""%"",REGEXMATCH(Q66,""ElementAddItemDrop_""),""%"",Q66=""Logging"",""+"",Q66"&amp;"=""Mining"",""+"",Q66=""Maxhp"",""%"",REGEXMATCH(Q66,""TemperatureResist_""),""+"",REGEXMATCH(Q66,""ElementResist_""),""%"",REGEXMATCH(Q66,""TemperatureInvalid_""),""bool"",REGEXMATCH(Q66,""BodyPartsWeakDamage""),""%"",REGEXMATCH(Q66,""ElementBoost_""),"""&amp;"%"",AND(REGEXMATCH(J66,""GiveA""),REGEXMATCH(Q66,""Element"")),""bool"")"),"#N/A")</f>
        <v>#N/A</v>
      </c>
      <c r="S66" s="6" t="n">
        <v>0</v>
      </c>
      <c r="T66" s="6"/>
      <c r="U66" s="319" t="b">
        <f aca="false">FALSE()</f>
        <v>0</v>
      </c>
      <c r="V66" s="319" t="b">
        <f aca="false">FALSE()</f>
        <v>0</v>
      </c>
      <c r="W66" s="319" t="b">
        <f aca="false">TRUE()</f>
        <v>1</v>
      </c>
      <c r="X66" s="319" t="b">
        <f aca="false">FALSE()</f>
        <v>0</v>
      </c>
      <c r="Y66" s="319" t="b">
        <f aca="false">FALSE()</f>
        <v>0</v>
      </c>
      <c r="Z66" s="319" t="b">
        <f aca="false">FALSE()</f>
        <v>0</v>
      </c>
      <c r="AA66" s="319" t="b">
        <f aca="false">FALSE()</f>
        <v>0</v>
      </c>
      <c r="AB66" s="319" t="b">
        <f aca="false">FALSE()</f>
        <v>0</v>
      </c>
      <c r="AC66" s="319" t="b">
        <f aca="false">FALSE()</f>
        <v>0</v>
      </c>
      <c r="AD66" s="319" t="b">
        <f aca="false">FALSE()</f>
        <v>0</v>
      </c>
      <c r="AE66" s="319" t="b">
        <f aca="false">FALSE()</f>
        <v>0</v>
      </c>
      <c r="AF66" s="319" t="b">
        <f aca="false">FALSE()</f>
        <v>0</v>
      </c>
      <c r="AG66" s="6" t="s">
        <v>182</v>
      </c>
      <c r="AH66" s="6" t="s">
        <v>182</v>
      </c>
    </row>
    <row r="67" customFormat="false" ht="15.75" hidden="false" customHeight="false" outlineLevel="0" collapsed="false">
      <c r="A67" s="3" t="s">
        <v>1953</v>
      </c>
      <c r="B67" s="6" t="s">
        <v>2041</v>
      </c>
      <c r="C67" s="3"/>
      <c r="D67" s="6" t="str">
        <f aca="false">I67   &amp; IF(ISBLANK(M67),, ". "&amp; M67 &amp; IF(ISBLANK(Q67),, ". "&amp; Q67))</f>
        <v>ElementIce</v>
      </c>
      <c r="E67" s="6" t="str">
        <f aca="false">I67  &amp;": # on "&amp; L67  &amp; IF(ISBLANK(M67),, ". "&amp; M67 &amp;": # on "&amp; P67 &amp; IF(ISBLANK(Q67),, ". "&amp; Q67 &amp;": # on "&amp; T67))</f>
        <v>ElementIce: # on Trainer</v>
      </c>
      <c r="F67" s="6" t="str">
        <f aca="false">IF(U67,"active pal",)  &amp; IF(V67,"working",) &amp; IF(W67,"mounted",) &amp; IF(Y67,"in party (buff)",)  &amp; IF(Z67,"always",)</f>
        <v>active pal</v>
      </c>
      <c r="G67" s="6" t="n">
        <v>1</v>
      </c>
      <c r="H67" s="6" t="s">
        <v>182</v>
      </c>
      <c r="I67" s="6" t="s">
        <v>2042</v>
      </c>
      <c r="J67" s="6" t="str">
        <f aca="false">IFERROR(__xludf.dummyfunction("IFS(I67=""ShotAttack"",""%"",I67=""MeleeAttack"",""%"", I67=""Defense"",""%"",I67=""CraftSPeed"",""%"",I67=""LifeSteal"",""%"",I67=""MaxInventoryWeight"",""+"",I67=""MoveSpeed"",""%"",REGEXMATCH(I67,""ElementAddItemDrop_""),""%"",I67=""Logging"",""+"",I67"&amp;"=""Mining"",""+"",I67=""Maxhp"",""%"",REGEXMATCH(I67,""TemperatureResist_""),""+"",REGEXMATCH(I67,""ElementResist_""),""%"",REGEXMATCH(I67,""TemperatureInvalid_""),""bool"",REGEXMATCH(I67,""BodyPartsWeakDamage""),""%"",REGEXMATCH(I67,""ElementBoost_""),"""&amp;"%"",AND(REGEXMATCH(B67,""GiveA""),REGEXMATCH(I67,""Element"")),""bool"")"),"bool")</f>
        <v>bool</v>
      </c>
      <c r="K67" s="6" t="n">
        <v>1</v>
      </c>
      <c r="L67" s="6" t="s">
        <v>2034</v>
      </c>
      <c r="M67" s="6"/>
      <c r="N67" s="6" t="str">
        <f aca="false">IFERROR(__xludf.dummyfunction("IFS(M67=""ShotAttack"",""%"",M67=""MeleeAttack"",""%"", M67=""Defense"",""%"",M67=""CraftSPeed"",""%"",M67=""LifeSteal"",""%"",M67=""MaxInventoryWeight"",""+"",M67=""MoveSpeed"",""%"",REGEXMATCH(M67,""ElementAddItemDrop_""),""%"",M67=""Logging"",""+"",M67"&amp;"=""Mining"",""+"",M67=""Maxhp"",""%"",REGEXMATCH(M67,""TemperatureResist_""),""+"",REGEXMATCH(M67,""ElementResist_""),""%"",REGEXMATCH(M67,""TemperatureInvalid_""),""bool"",REGEXMATCH(M67,""BodyPartsWeakDamage""),""%"",REGEXMATCH(M67,""ElementBoost_""),"""&amp;"%"",AND(REGEXMATCH(F67,""GiveA""),REGEXMATCH(M67,""Element"")),""bool"")"),"#N/A")</f>
        <v>#N/A</v>
      </c>
      <c r="O67" s="6" t="n">
        <v>0</v>
      </c>
      <c r="P67" s="6"/>
      <c r="Q67" s="6"/>
      <c r="R67" s="6" t="str">
        <f aca="false">IFERROR(__xludf.dummyfunction("IFS(Q67=""ShotAttack"",""%"",Q67=""MeleeAttack"",""%"", Q67=""Defense"",""%"",Q67=""CraftSPeed"",""%"",Q67=""LifeSteal"",""%"",Q67=""MaxInventoryWeight"",""+"",Q67=""MoveSpeed"",""%"",REGEXMATCH(Q67,""ElementAddItemDrop_""),""%"",Q67=""Logging"",""+"",Q67"&amp;"=""Mining"",""+"",Q67=""Maxhp"",""%"",REGEXMATCH(Q67,""TemperatureResist_""),""+"",REGEXMATCH(Q67,""ElementResist_""),""%"",REGEXMATCH(Q67,""TemperatureInvalid_""),""bool"",REGEXMATCH(Q67,""BodyPartsWeakDamage""),""%"",REGEXMATCH(Q67,""ElementBoost_""),"""&amp;"%"",AND(REGEXMATCH(J67,""GiveA""),REGEXMATCH(Q67,""Element"")),""bool"")"),"#N/A")</f>
        <v>#N/A</v>
      </c>
      <c r="S67" s="6" t="n">
        <v>0</v>
      </c>
      <c r="T67" s="6"/>
      <c r="U67" s="319" t="b">
        <f aca="false">TRUE()</f>
        <v>1</v>
      </c>
      <c r="V67" s="319" t="b">
        <f aca="false">FALSE()</f>
        <v>0</v>
      </c>
      <c r="W67" s="319" t="b">
        <f aca="false">FALSE()</f>
        <v>0</v>
      </c>
      <c r="X67" s="319" t="b">
        <f aca="false">FALSE()</f>
        <v>0</v>
      </c>
      <c r="Y67" s="319" t="b">
        <f aca="false">FALSE()</f>
        <v>0</v>
      </c>
      <c r="Z67" s="319" t="b">
        <f aca="false">FALSE()</f>
        <v>0</v>
      </c>
      <c r="AA67" s="319" t="b">
        <f aca="false">FALSE()</f>
        <v>0</v>
      </c>
      <c r="AB67" s="319" t="b">
        <f aca="false">FALSE()</f>
        <v>0</v>
      </c>
      <c r="AC67" s="319" t="b">
        <f aca="false">FALSE()</f>
        <v>0</v>
      </c>
      <c r="AD67" s="319" t="b">
        <f aca="false">FALSE()</f>
        <v>0</v>
      </c>
      <c r="AE67" s="319" t="b">
        <f aca="false">FALSE()</f>
        <v>0</v>
      </c>
      <c r="AF67" s="319" t="b">
        <f aca="false">FALSE()</f>
        <v>0</v>
      </c>
      <c r="AG67" s="6" t="s">
        <v>182</v>
      </c>
      <c r="AH67" s="6" t="s">
        <v>182</v>
      </c>
    </row>
    <row r="68" customFormat="false" ht="15.75" hidden="false" customHeight="false" outlineLevel="0" collapsed="false">
      <c r="A68" s="1" t="e">
        <f aca="false">#N/A</f>
        <v>#N/A</v>
      </c>
      <c r="B68" s="6" t="s">
        <v>1009</v>
      </c>
      <c r="C68" s="3"/>
      <c r="D68" s="6" t="str">
        <f aca="false">I68   &amp; IF(ISBLANK(M68),, ". "&amp; M68 &amp; IF(ISBLANK(Q68),, ". "&amp; Q68))</f>
        <v>ElementIce</v>
      </c>
      <c r="E68" s="6" t="str">
        <f aca="false">I68  &amp;": # on "&amp; L68  &amp; IF(ISBLANK(M68),, ". "&amp; M68 &amp;": # on "&amp; P68 &amp; IF(ISBLANK(Q68),, ". "&amp; Q68 &amp;": # on "&amp; T68))</f>
        <v>ElementIce: # on Trainer</v>
      </c>
      <c r="F68" s="6" t="str">
        <f aca="false">IF(U68,"active pal",)  &amp; IF(V68,"working",) &amp; IF(W68,"mounted",) &amp; IF(Y68,"in party (buff)",)  &amp; IF(Z68,"always",)</f>
        <v>mounted</v>
      </c>
      <c r="G68" s="6" t="n">
        <v>1</v>
      </c>
      <c r="H68" s="6" t="s">
        <v>182</v>
      </c>
      <c r="I68" s="6" t="s">
        <v>2042</v>
      </c>
      <c r="J68" s="6" t="str">
        <f aca="false">IFERROR(__xludf.dummyfunction("IFS(I68=""ShotAttack"",""%"",I68=""MeleeAttack"",""%"", I68=""Defense"",""%"",I68=""CraftSPeed"",""%"",I68=""LifeSteal"",""%"",I68=""MaxInventoryWeight"",""+"",I68=""MoveSpeed"",""%"",REGEXMATCH(I68,""ElementAddItemDrop_""),""%"",I68=""Logging"",""+"",I68"&amp;"=""Mining"",""+"",I68=""Maxhp"",""%"",REGEXMATCH(I68,""TemperatureResist_""),""+"",REGEXMATCH(I68,""ElementResist_""),""%"",REGEXMATCH(I68,""TemperatureInvalid_""),""bool"",REGEXMATCH(I68,""BodyPartsWeakDamage""),""%"",REGEXMATCH(I68,""ElementBoost_""),"""&amp;"%"",AND(REGEXMATCH(B68,""GiveA""),REGEXMATCH(I68,""Element"")),""bool"")"),"bool")</f>
        <v>bool</v>
      </c>
      <c r="K68" s="6" t="n">
        <v>1</v>
      </c>
      <c r="L68" s="6" t="s">
        <v>2034</v>
      </c>
      <c r="M68" s="6"/>
      <c r="N68" s="6" t="str">
        <f aca="false">IFERROR(__xludf.dummyfunction("IFS(M68=""ShotAttack"",""%"",M68=""MeleeAttack"",""%"", M68=""Defense"",""%"",M68=""CraftSPeed"",""%"",M68=""LifeSteal"",""%"",M68=""MaxInventoryWeight"",""+"",M68=""MoveSpeed"",""%"",REGEXMATCH(M68,""ElementAddItemDrop_""),""%"",M68=""Logging"",""+"",M68"&amp;"=""Mining"",""+"",M68=""Maxhp"",""%"",REGEXMATCH(M68,""TemperatureResist_""),""+"",REGEXMATCH(M68,""ElementResist_""),""%"",REGEXMATCH(M68,""TemperatureInvalid_""),""bool"",REGEXMATCH(M68,""BodyPartsWeakDamage""),""%"",REGEXMATCH(M68,""ElementBoost_""),"""&amp;"%"",AND(REGEXMATCH(F68,""GiveA""),REGEXMATCH(M68,""Element"")),""bool"")"),"#N/A")</f>
        <v>#N/A</v>
      </c>
      <c r="O68" s="6" t="n">
        <v>0</v>
      </c>
      <c r="P68" s="6"/>
      <c r="Q68" s="6"/>
      <c r="R68" s="6" t="str">
        <f aca="false">IFERROR(__xludf.dummyfunction("IFS(Q68=""ShotAttack"",""%"",Q68=""MeleeAttack"",""%"", Q68=""Defense"",""%"",Q68=""CraftSPeed"",""%"",Q68=""LifeSteal"",""%"",Q68=""MaxInventoryWeight"",""+"",Q68=""MoveSpeed"",""%"",REGEXMATCH(Q68,""ElementAddItemDrop_""),""%"",Q68=""Logging"",""+"",Q68"&amp;"=""Mining"",""+"",Q68=""Maxhp"",""%"",REGEXMATCH(Q68,""TemperatureResist_""),""+"",REGEXMATCH(Q68,""ElementResist_""),""%"",REGEXMATCH(Q68,""TemperatureInvalid_""),""bool"",REGEXMATCH(Q68,""BodyPartsWeakDamage""),""%"",REGEXMATCH(Q68,""ElementBoost_""),"""&amp;"%"",AND(REGEXMATCH(J68,""GiveA""),REGEXMATCH(Q68,""Element"")),""bool"")"),"#N/A")</f>
        <v>#N/A</v>
      </c>
      <c r="S68" s="6" t="n">
        <v>0</v>
      </c>
      <c r="T68" s="6"/>
      <c r="U68" s="319" t="b">
        <f aca="false">FALSE()</f>
        <v>0</v>
      </c>
      <c r="V68" s="319" t="b">
        <f aca="false">FALSE()</f>
        <v>0</v>
      </c>
      <c r="W68" s="319" t="b">
        <f aca="false">TRUE()</f>
        <v>1</v>
      </c>
      <c r="X68" s="319" t="b">
        <f aca="false">FALSE()</f>
        <v>0</v>
      </c>
      <c r="Y68" s="319" t="b">
        <f aca="false">FALSE()</f>
        <v>0</v>
      </c>
      <c r="Z68" s="319" t="b">
        <f aca="false">FALSE()</f>
        <v>0</v>
      </c>
      <c r="AA68" s="319" t="b">
        <f aca="false">FALSE()</f>
        <v>0</v>
      </c>
      <c r="AB68" s="319" t="b">
        <f aca="false">FALSE()</f>
        <v>0</v>
      </c>
      <c r="AC68" s="319" t="b">
        <f aca="false">FALSE()</f>
        <v>0</v>
      </c>
      <c r="AD68" s="319" t="b">
        <f aca="false">FALSE()</f>
        <v>0</v>
      </c>
      <c r="AE68" s="319" t="b">
        <f aca="false">FALSE()</f>
        <v>0</v>
      </c>
      <c r="AF68" s="319" t="b">
        <f aca="false">FALSE()</f>
        <v>0</v>
      </c>
      <c r="AG68" s="6" t="s">
        <v>182</v>
      </c>
      <c r="AH68" s="6" t="s">
        <v>182</v>
      </c>
    </row>
    <row r="69" customFormat="false" ht="15.75" hidden="false" customHeight="false" outlineLevel="0" collapsed="false">
      <c r="A69" s="3" t="s">
        <v>1953</v>
      </c>
      <c r="B69" s="6" t="s">
        <v>751</v>
      </c>
      <c r="C69" s="3"/>
      <c r="D69" s="6" t="str">
        <f aca="false">I69   &amp; IF(ISBLANK(M69),, ". "&amp; M69 &amp; IF(ISBLANK(Q69),, ". "&amp; Q69))</f>
        <v>ElementEarth</v>
      </c>
      <c r="E69" s="6" t="str">
        <f aca="false">I69  &amp;": # on "&amp; L69  &amp; IF(ISBLANK(M69),, ". "&amp; M69 &amp;": # on "&amp; P69 &amp; IF(ISBLANK(Q69),, ". "&amp; Q69 &amp;": # on "&amp; T69))</f>
        <v>ElementEarth: # on Trainer</v>
      </c>
      <c r="F69" s="6" t="str">
        <f aca="false">IF(U69,"active pal",)  &amp; IF(V69,"working",) &amp; IF(W69,"mounted",) &amp; IF(Y69,"in party (buff)",)  &amp; IF(Z69,"always",)</f>
        <v>active pal</v>
      </c>
      <c r="G69" s="6" t="n">
        <v>1</v>
      </c>
      <c r="H69" s="6" t="s">
        <v>182</v>
      </c>
      <c r="I69" s="6" t="s">
        <v>2043</v>
      </c>
      <c r="J69" s="6" t="str">
        <f aca="false">IFERROR(__xludf.dummyfunction("IFS(I69=""ShotAttack"",""%"",I69=""MeleeAttack"",""%"", I69=""Defense"",""%"",I69=""CraftSPeed"",""%"",I69=""LifeSteal"",""%"",I69=""MaxInventoryWeight"",""+"",I69=""MoveSpeed"",""%"",REGEXMATCH(I69,""ElementAddItemDrop_""),""%"",I69=""Logging"",""+"",I69"&amp;"=""Mining"",""+"",I69=""Maxhp"",""%"",REGEXMATCH(I69,""TemperatureResist_""),""+"",REGEXMATCH(I69,""ElementResist_""),""%"",REGEXMATCH(I69,""TemperatureInvalid_""),""bool"",REGEXMATCH(I69,""BodyPartsWeakDamage""),""%"",REGEXMATCH(I69,""ElementBoost_""),"""&amp;"%"",AND(REGEXMATCH(B69,""GiveA""),REGEXMATCH(I69,""Element"")),""bool"")"),"bool")</f>
        <v>bool</v>
      </c>
      <c r="K69" s="6" t="n">
        <v>1</v>
      </c>
      <c r="L69" s="6" t="s">
        <v>2034</v>
      </c>
      <c r="M69" s="6"/>
      <c r="N69" s="6" t="str">
        <f aca="false">IFERROR(__xludf.dummyfunction("IFS(M69=""ShotAttack"",""%"",M69=""MeleeAttack"",""%"", M69=""Defense"",""%"",M69=""CraftSPeed"",""%"",M69=""LifeSteal"",""%"",M69=""MaxInventoryWeight"",""+"",M69=""MoveSpeed"",""%"",REGEXMATCH(M69,""ElementAddItemDrop_""),""%"",M69=""Logging"",""+"",M69"&amp;"=""Mining"",""+"",M69=""Maxhp"",""%"",REGEXMATCH(M69,""TemperatureResist_""),""+"",REGEXMATCH(M69,""ElementResist_""),""%"",REGEXMATCH(M69,""TemperatureInvalid_""),""bool"",REGEXMATCH(M69,""BodyPartsWeakDamage""),""%"",REGEXMATCH(M69,""ElementBoost_""),"""&amp;"%"",AND(REGEXMATCH(F69,""GiveA""),REGEXMATCH(M69,""Element"")),""bool"")"),"#N/A")</f>
        <v>#N/A</v>
      </c>
      <c r="O69" s="6" t="n">
        <v>0</v>
      </c>
      <c r="P69" s="6"/>
      <c r="Q69" s="6"/>
      <c r="R69" s="6" t="str">
        <f aca="false">IFERROR(__xludf.dummyfunction("IFS(Q69=""ShotAttack"",""%"",Q69=""MeleeAttack"",""%"", Q69=""Defense"",""%"",Q69=""CraftSPeed"",""%"",Q69=""LifeSteal"",""%"",Q69=""MaxInventoryWeight"",""+"",Q69=""MoveSpeed"",""%"",REGEXMATCH(Q69,""ElementAddItemDrop_""),""%"",Q69=""Logging"",""+"",Q69"&amp;"=""Mining"",""+"",Q69=""Maxhp"",""%"",REGEXMATCH(Q69,""TemperatureResist_""),""+"",REGEXMATCH(Q69,""ElementResist_""),""%"",REGEXMATCH(Q69,""TemperatureInvalid_""),""bool"",REGEXMATCH(Q69,""BodyPartsWeakDamage""),""%"",REGEXMATCH(Q69,""ElementBoost_""),"""&amp;"%"",AND(REGEXMATCH(J69,""GiveA""),REGEXMATCH(Q69,""Element"")),""bool"")"),"#N/A")</f>
        <v>#N/A</v>
      </c>
      <c r="S69" s="6" t="n">
        <v>0</v>
      </c>
      <c r="T69" s="6"/>
      <c r="U69" s="319" t="b">
        <f aca="false">TRUE()</f>
        <v>1</v>
      </c>
      <c r="V69" s="319" t="b">
        <f aca="false">FALSE()</f>
        <v>0</v>
      </c>
      <c r="W69" s="319" t="b">
        <f aca="false">FALSE()</f>
        <v>0</v>
      </c>
      <c r="X69" s="319" t="b">
        <f aca="false">FALSE()</f>
        <v>0</v>
      </c>
      <c r="Y69" s="319" t="b">
        <f aca="false">FALSE()</f>
        <v>0</v>
      </c>
      <c r="Z69" s="319" t="b">
        <f aca="false">FALSE()</f>
        <v>0</v>
      </c>
      <c r="AA69" s="319" t="b">
        <f aca="false">FALSE()</f>
        <v>0</v>
      </c>
      <c r="AB69" s="319" t="b">
        <f aca="false">FALSE()</f>
        <v>0</v>
      </c>
      <c r="AC69" s="319" t="b">
        <f aca="false">FALSE()</f>
        <v>0</v>
      </c>
      <c r="AD69" s="319" t="b">
        <f aca="false">FALSE()</f>
        <v>0</v>
      </c>
      <c r="AE69" s="319" t="b">
        <f aca="false">FALSE()</f>
        <v>0</v>
      </c>
      <c r="AF69" s="319" t="b">
        <f aca="false">FALSE()</f>
        <v>0</v>
      </c>
      <c r="AG69" s="6" t="s">
        <v>182</v>
      </c>
      <c r="AH69" s="6" t="s">
        <v>182</v>
      </c>
    </row>
    <row r="70" customFormat="false" ht="15.75" hidden="false" customHeight="false" outlineLevel="0" collapsed="false">
      <c r="A70" s="1" t="e">
        <f aca="false">#N/A</f>
        <v>#N/A</v>
      </c>
      <c r="B70" s="6" t="s">
        <v>2044</v>
      </c>
      <c r="C70" s="3"/>
      <c r="D70" s="6" t="str">
        <f aca="false">I70   &amp; IF(ISBLANK(M70),, ". "&amp; M70 &amp; IF(ISBLANK(Q70),, ". "&amp; Q70))</f>
        <v>ElementEarth</v>
      </c>
      <c r="E70" s="6" t="str">
        <f aca="false">I70  &amp;": # on "&amp; L70  &amp; IF(ISBLANK(M70),, ". "&amp; M70 &amp;": # on "&amp; P70 &amp; IF(ISBLANK(Q70),, ". "&amp; Q70 &amp;": # on "&amp; T70))</f>
        <v>ElementEarth: # on Trainer</v>
      </c>
      <c r="F70" s="6" t="str">
        <f aca="false">IF(U70,"active pal",)  &amp; IF(V70,"working",) &amp; IF(W70,"mounted",) &amp; IF(Y70,"in party (buff)",)  &amp; IF(Z70,"always",)</f>
        <v>mounted</v>
      </c>
      <c r="G70" s="6" t="n">
        <v>1</v>
      </c>
      <c r="H70" s="6" t="s">
        <v>182</v>
      </c>
      <c r="I70" s="6" t="s">
        <v>2043</v>
      </c>
      <c r="J70" s="6" t="str">
        <f aca="false">IFERROR(__xludf.dummyfunction("IFS(I70=""ShotAttack"",""%"",I70=""MeleeAttack"",""%"", I70=""Defense"",""%"",I70=""CraftSPeed"",""%"",I70=""LifeSteal"",""%"",I70=""MaxInventoryWeight"",""+"",I70=""MoveSpeed"",""%"",REGEXMATCH(I70,""ElementAddItemDrop_""),""%"",I70=""Logging"",""+"",I70"&amp;"=""Mining"",""+"",I70=""Maxhp"",""%"",REGEXMATCH(I70,""TemperatureResist_""),""+"",REGEXMATCH(I70,""ElementResist_""),""%"",REGEXMATCH(I70,""TemperatureInvalid_""),""bool"",REGEXMATCH(I70,""BodyPartsWeakDamage""),""%"",REGEXMATCH(I70,""ElementBoost_""),"""&amp;"%"",AND(REGEXMATCH(B70,""GiveA""),REGEXMATCH(I70,""Element"")),""bool"")"),"bool")</f>
        <v>bool</v>
      </c>
      <c r="K70" s="6" t="n">
        <v>1</v>
      </c>
      <c r="L70" s="6" t="s">
        <v>2034</v>
      </c>
      <c r="M70" s="6"/>
      <c r="N70" s="6" t="str">
        <f aca="false">IFERROR(__xludf.dummyfunction("IFS(M70=""ShotAttack"",""%"",M70=""MeleeAttack"",""%"", M70=""Defense"",""%"",M70=""CraftSPeed"",""%"",M70=""LifeSteal"",""%"",M70=""MaxInventoryWeight"",""+"",M70=""MoveSpeed"",""%"",REGEXMATCH(M70,""ElementAddItemDrop_""),""%"",M70=""Logging"",""+"",M70"&amp;"=""Mining"",""+"",M70=""Maxhp"",""%"",REGEXMATCH(M70,""TemperatureResist_""),""+"",REGEXMATCH(M70,""ElementResist_""),""%"",REGEXMATCH(M70,""TemperatureInvalid_""),""bool"",REGEXMATCH(M70,""BodyPartsWeakDamage""),""%"",REGEXMATCH(M70,""ElementBoost_""),"""&amp;"%"",AND(REGEXMATCH(F70,""GiveA""),REGEXMATCH(M70,""Element"")),""bool"")"),"#N/A")</f>
        <v>#N/A</v>
      </c>
      <c r="O70" s="6" t="n">
        <v>0</v>
      </c>
      <c r="P70" s="6"/>
      <c r="Q70" s="6"/>
      <c r="R70" s="6" t="str">
        <f aca="false">IFERROR(__xludf.dummyfunction("IFS(Q70=""ShotAttack"",""%"",Q70=""MeleeAttack"",""%"", Q70=""Defense"",""%"",Q70=""CraftSPeed"",""%"",Q70=""LifeSteal"",""%"",Q70=""MaxInventoryWeight"",""+"",Q70=""MoveSpeed"",""%"",REGEXMATCH(Q70,""ElementAddItemDrop_""),""%"",Q70=""Logging"",""+"",Q70"&amp;"=""Mining"",""+"",Q70=""Maxhp"",""%"",REGEXMATCH(Q70,""TemperatureResist_""),""+"",REGEXMATCH(Q70,""ElementResist_""),""%"",REGEXMATCH(Q70,""TemperatureInvalid_""),""bool"",REGEXMATCH(Q70,""BodyPartsWeakDamage""),""%"",REGEXMATCH(Q70,""ElementBoost_""),"""&amp;"%"",AND(REGEXMATCH(J70,""GiveA""),REGEXMATCH(Q70,""Element"")),""bool"")"),"#N/A")</f>
        <v>#N/A</v>
      </c>
      <c r="S70" s="6" t="n">
        <v>0</v>
      </c>
      <c r="T70" s="6"/>
      <c r="U70" s="319" t="b">
        <f aca="false">FALSE()</f>
        <v>0</v>
      </c>
      <c r="V70" s="319" t="b">
        <f aca="false">FALSE()</f>
        <v>0</v>
      </c>
      <c r="W70" s="319" t="b">
        <f aca="false">TRUE()</f>
        <v>1</v>
      </c>
      <c r="X70" s="319" t="b">
        <f aca="false">FALSE()</f>
        <v>0</v>
      </c>
      <c r="Y70" s="319" t="b">
        <f aca="false">FALSE()</f>
        <v>0</v>
      </c>
      <c r="Z70" s="319" t="b">
        <f aca="false">FALSE()</f>
        <v>0</v>
      </c>
      <c r="AA70" s="319" t="b">
        <f aca="false">FALSE()</f>
        <v>0</v>
      </c>
      <c r="AB70" s="319" t="b">
        <f aca="false">FALSE()</f>
        <v>0</v>
      </c>
      <c r="AC70" s="319" t="b">
        <f aca="false">FALSE()</f>
        <v>0</v>
      </c>
      <c r="AD70" s="319" t="b">
        <f aca="false">FALSE()</f>
        <v>0</v>
      </c>
      <c r="AE70" s="319" t="b">
        <f aca="false">FALSE()</f>
        <v>0</v>
      </c>
      <c r="AF70" s="319" t="b">
        <f aca="false">FALSE()</f>
        <v>0</v>
      </c>
      <c r="AG70" s="6" t="s">
        <v>182</v>
      </c>
      <c r="AH70" s="6" t="s">
        <v>182</v>
      </c>
    </row>
    <row r="71" customFormat="false" ht="15.75" hidden="false" customHeight="false" outlineLevel="0" collapsed="false">
      <c r="A71" s="3" t="s">
        <v>1953</v>
      </c>
      <c r="B71" s="6" t="s">
        <v>1192</v>
      </c>
      <c r="C71" s="3"/>
      <c r="D71" s="6" t="str">
        <f aca="false">I71   &amp; IF(ISBLANK(M71),, ". "&amp; M71 &amp; IF(ISBLANK(Q71),, ". "&amp; Q71))</f>
        <v>ElementDark</v>
      </c>
      <c r="E71" s="6" t="str">
        <f aca="false">I71  &amp;": # on "&amp; L71  &amp; IF(ISBLANK(M71),, ". "&amp; M71 &amp;": # on "&amp; P71 &amp; IF(ISBLANK(Q71),, ". "&amp; Q71 &amp;": # on "&amp; T71))</f>
        <v>ElementDark: # on Trainer</v>
      </c>
      <c r="F71" s="6" t="str">
        <f aca="false">IF(U71,"active pal",)  &amp; IF(V71,"working",) &amp; IF(W71,"mounted",) &amp; IF(Y71,"in party (buff)",)  &amp; IF(Z71,"always",)</f>
        <v>active pal</v>
      </c>
      <c r="G71" s="6" t="n">
        <v>1</v>
      </c>
      <c r="H71" s="6" t="s">
        <v>182</v>
      </c>
      <c r="I71" s="6" t="s">
        <v>2045</v>
      </c>
      <c r="J71" s="6" t="str">
        <f aca="false">IFERROR(__xludf.dummyfunction("IFS(I71=""ShotAttack"",""%"",I71=""MeleeAttack"",""%"", I71=""Defense"",""%"",I71=""CraftSPeed"",""%"",I71=""LifeSteal"",""%"",I71=""MaxInventoryWeight"",""+"",I71=""MoveSpeed"",""%"",REGEXMATCH(I71,""ElementAddItemDrop_""),""%"",I71=""Logging"",""+"",I71"&amp;"=""Mining"",""+"",I71=""Maxhp"",""%"",REGEXMATCH(I71,""TemperatureResist_""),""+"",REGEXMATCH(I71,""ElementResist_""),""%"",REGEXMATCH(I71,""TemperatureInvalid_""),""bool"",REGEXMATCH(I71,""BodyPartsWeakDamage""),""%"",REGEXMATCH(I71,""ElementBoost_""),"""&amp;"%"",AND(REGEXMATCH(B71,""GiveA""),REGEXMATCH(I71,""Element"")),""bool"")"),"bool")</f>
        <v>bool</v>
      </c>
      <c r="K71" s="6" t="n">
        <v>1</v>
      </c>
      <c r="L71" s="6" t="s">
        <v>2034</v>
      </c>
      <c r="M71" s="6"/>
      <c r="N71" s="6" t="str">
        <f aca="false">IFERROR(__xludf.dummyfunction("IFS(M71=""ShotAttack"",""%"",M71=""MeleeAttack"",""%"", M71=""Defense"",""%"",M71=""CraftSPeed"",""%"",M71=""LifeSteal"",""%"",M71=""MaxInventoryWeight"",""+"",M71=""MoveSpeed"",""%"",REGEXMATCH(M71,""ElementAddItemDrop_""),""%"",M71=""Logging"",""+"",M71"&amp;"=""Mining"",""+"",M71=""Maxhp"",""%"",REGEXMATCH(M71,""TemperatureResist_""),""+"",REGEXMATCH(M71,""ElementResist_""),""%"",REGEXMATCH(M71,""TemperatureInvalid_""),""bool"",REGEXMATCH(M71,""BodyPartsWeakDamage""),""%"",REGEXMATCH(M71,""ElementBoost_""),"""&amp;"%"",AND(REGEXMATCH(F71,""GiveA""),REGEXMATCH(M71,""Element"")),""bool"")"),"#N/A")</f>
        <v>#N/A</v>
      </c>
      <c r="O71" s="6" t="n">
        <v>0</v>
      </c>
      <c r="P71" s="6"/>
      <c r="Q71" s="6"/>
      <c r="R71" s="6" t="str">
        <f aca="false">IFERROR(__xludf.dummyfunction("IFS(Q71=""ShotAttack"",""%"",Q71=""MeleeAttack"",""%"", Q71=""Defense"",""%"",Q71=""CraftSPeed"",""%"",Q71=""LifeSteal"",""%"",Q71=""MaxInventoryWeight"",""+"",Q71=""MoveSpeed"",""%"",REGEXMATCH(Q71,""ElementAddItemDrop_""),""%"",Q71=""Logging"",""+"",Q71"&amp;"=""Mining"",""+"",Q71=""Maxhp"",""%"",REGEXMATCH(Q71,""TemperatureResist_""),""+"",REGEXMATCH(Q71,""ElementResist_""),""%"",REGEXMATCH(Q71,""TemperatureInvalid_""),""bool"",REGEXMATCH(Q71,""BodyPartsWeakDamage""),""%"",REGEXMATCH(Q71,""ElementBoost_""),"""&amp;"%"",AND(REGEXMATCH(J71,""GiveA""),REGEXMATCH(Q71,""Element"")),""bool"")"),"#N/A")</f>
        <v>#N/A</v>
      </c>
      <c r="S71" s="6" t="n">
        <v>0</v>
      </c>
      <c r="T71" s="6"/>
      <c r="U71" s="319" t="b">
        <f aca="false">TRUE()</f>
        <v>1</v>
      </c>
      <c r="V71" s="319" t="b">
        <f aca="false">FALSE()</f>
        <v>0</v>
      </c>
      <c r="W71" s="319" t="b">
        <f aca="false">FALSE()</f>
        <v>0</v>
      </c>
      <c r="X71" s="319" t="b">
        <f aca="false">FALSE()</f>
        <v>0</v>
      </c>
      <c r="Y71" s="319" t="b">
        <f aca="false">FALSE()</f>
        <v>0</v>
      </c>
      <c r="Z71" s="319" t="b">
        <f aca="false">FALSE()</f>
        <v>0</v>
      </c>
      <c r="AA71" s="319" t="b">
        <f aca="false">FALSE()</f>
        <v>0</v>
      </c>
      <c r="AB71" s="319" t="b">
        <f aca="false">FALSE()</f>
        <v>0</v>
      </c>
      <c r="AC71" s="319" t="b">
        <f aca="false">FALSE()</f>
        <v>0</v>
      </c>
      <c r="AD71" s="319" t="b">
        <f aca="false">FALSE()</f>
        <v>0</v>
      </c>
      <c r="AE71" s="319" t="b">
        <f aca="false">FALSE()</f>
        <v>0</v>
      </c>
      <c r="AF71" s="319" t="b">
        <f aca="false">FALSE()</f>
        <v>0</v>
      </c>
      <c r="AG71" s="6" t="s">
        <v>182</v>
      </c>
      <c r="AH71" s="6" t="s">
        <v>182</v>
      </c>
    </row>
    <row r="72" customFormat="false" ht="15.75" hidden="false" customHeight="false" outlineLevel="0" collapsed="false">
      <c r="A72" s="1" t="e">
        <f aca="false">#N/A</f>
        <v>#N/A</v>
      </c>
      <c r="B72" s="6" t="s">
        <v>912</v>
      </c>
      <c r="C72" s="3"/>
      <c r="D72" s="6" t="str">
        <f aca="false">I72   &amp; IF(ISBLANK(M72),, ". "&amp; M72 &amp; IF(ISBLANK(Q72),, ". "&amp; Q72))</f>
        <v>ElementDark</v>
      </c>
      <c r="E72" s="6" t="str">
        <f aca="false">I72  &amp;": # on "&amp; L72  &amp; IF(ISBLANK(M72),, ". "&amp; M72 &amp;": # on "&amp; P72 &amp; IF(ISBLANK(Q72),, ". "&amp; Q72 &amp;": # on "&amp; T72))</f>
        <v>ElementDark: # on Trainer</v>
      </c>
      <c r="F72" s="6" t="str">
        <f aca="false">IF(U72,"active pal",)  &amp; IF(V72,"working",) &amp; IF(W72,"mounted",) &amp; IF(Y72,"in party (buff)",)  &amp; IF(Z72,"always",)</f>
        <v>mounted</v>
      </c>
      <c r="G72" s="6" t="n">
        <v>1</v>
      </c>
      <c r="H72" s="6" t="s">
        <v>182</v>
      </c>
      <c r="I72" s="6" t="s">
        <v>2045</v>
      </c>
      <c r="J72" s="6" t="str">
        <f aca="false">IFERROR(__xludf.dummyfunction("IFS(I72=""ShotAttack"",""%"",I72=""MeleeAttack"",""%"", I72=""Defense"",""%"",I72=""CraftSPeed"",""%"",I72=""LifeSteal"",""%"",I72=""MaxInventoryWeight"",""+"",I72=""MoveSpeed"",""%"",REGEXMATCH(I72,""ElementAddItemDrop_""),""%"",I72=""Logging"",""+"",I72"&amp;"=""Mining"",""+"",I72=""Maxhp"",""%"",REGEXMATCH(I72,""TemperatureResist_""),""+"",REGEXMATCH(I72,""ElementResist_""),""%"",REGEXMATCH(I72,""TemperatureInvalid_""),""bool"",REGEXMATCH(I72,""BodyPartsWeakDamage""),""%"",REGEXMATCH(I72,""ElementBoost_""),"""&amp;"%"",AND(REGEXMATCH(B72,""GiveA""),REGEXMATCH(I72,""Element"")),""bool"")"),"bool")</f>
        <v>bool</v>
      </c>
      <c r="K72" s="6" t="n">
        <v>1</v>
      </c>
      <c r="L72" s="6" t="s">
        <v>2034</v>
      </c>
      <c r="M72" s="6"/>
      <c r="N72" s="6" t="str">
        <f aca="false">IFERROR(__xludf.dummyfunction("IFS(M72=""ShotAttack"",""%"",M72=""MeleeAttack"",""%"", M72=""Defense"",""%"",M72=""CraftSPeed"",""%"",M72=""LifeSteal"",""%"",M72=""MaxInventoryWeight"",""+"",M72=""MoveSpeed"",""%"",REGEXMATCH(M72,""ElementAddItemDrop_""),""%"",M72=""Logging"",""+"",M72"&amp;"=""Mining"",""+"",M72=""Maxhp"",""%"",REGEXMATCH(M72,""TemperatureResist_""),""+"",REGEXMATCH(M72,""ElementResist_""),""%"",REGEXMATCH(M72,""TemperatureInvalid_""),""bool"",REGEXMATCH(M72,""BodyPartsWeakDamage""),""%"",REGEXMATCH(M72,""ElementBoost_""),"""&amp;"%"",AND(REGEXMATCH(F72,""GiveA""),REGEXMATCH(M72,""Element"")),""bool"")"),"#N/A")</f>
        <v>#N/A</v>
      </c>
      <c r="O72" s="6" t="n">
        <v>0</v>
      </c>
      <c r="P72" s="6"/>
      <c r="Q72" s="6"/>
      <c r="R72" s="6" t="str">
        <f aca="false">IFERROR(__xludf.dummyfunction("IFS(Q72=""ShotAttack"",""%"",Q72=""MeleeAttack"",""%"", Q72=""Defense"",""%"",Q72=""CraftSPeed"",""%"",Q72=""LifeSteal"",""%"",Q72=""MaxInventoryWeight"",""+"",Q72=""MoveSpeed"",""%"",REGEXMATCH(Q72,""ElementAddItemDrop_""),""%"",Q72=""Logging"",""+"",Q72"&amp;"=""Mining"",""+"",Q72=""Maxhp"",""%"",REGEXMATCH(Q72,""TemperatureResist_""),""+"",REGEXMATCH(Q72,""ElementResist_""),""%"",REGEXMATCH(Q72,""TemperatureInvalid_""),""bool"",REGEXMATCH(Q72,""BodyPartsWeakDamage""),""%"",REGEXMATCH(Q72,""ElementBoost_""),"""&amp;"%"",AND(REGEXMATCH(J72,""GiveA""),REGEXMATCH(Q72,""Element"")),""bool"")"),"#N/A")</f>
        <v>#N/A</v>
      </c>
      <c r="S72" s="6" t="n">
        <v>0</v>
      </c>
      <c r="T72" s="6"/>
      <c r="U72" s="319" t="b">
        <f aca="false">FALSE()</f>
        <v>0</v>
      </c>
      <c r="V72" s="319" t="b">
        <f aca="false">FALSE()</f>
        <v>0</v>
      </c>
      <c r="W72" s="319" t="b">
        <f aca="false">TRUE()</f>
        <v>1</v>
      </c>
      <c r="X72" s="319" t="b">
        <f aca="false">FALSE()</f>
        <v>0</v>
      </c>
      <c r="Y72" s="319" t="b">
        <f aca="false">FALSE()</f>
        <v>0</v>
      </c>
      <c r="Z72" s="319" t="b">
        <f aca="false">FALSE()</f>
        <v>0</v>
      </c>
      <c r="AA72" s="319" t="b">
        <f aca="false">FALSE()</f>
        <v>0</v>
      </c>
      <c r="AB72" s="319" t="b">
        <f aca="false">FALSE()</f>
        <v>0</v>
      </c>
      <c r="AC72" s="319" t="b">
        <f aca="false">FALSE()</f>
        <v>0</v>
      </c>
      <c r="AD72" s="319" t="b">
        <f aca="false">FALSE()</f>
        <v>0</v>
      </c>
      <c r="AE72" s="319" t="b">
        <f aca="false">FALSE()</f>
        <v>0</v>
      </c>
      <c r="AF72" s="319" t="b">
        <f aca="false">FALSE()</f>
        <v>0</v>
      </c>
      <c r="AG72" s="6" t="s">
        <v>182</v>
      </c>
      <c r="AH72" s="6" t="s">
        <v>182</v>
      </c>
    </row>
    <row r="73" customFormat="false" ht="15.75" hidden="false" customHeight="false" outlineLevel="0" collapsed="false">
      <c r="A73" s="3" t="s">
        <v>1953</v>
      </c>
      <c r="B73" s="6" t="s">
        <v>2046</v>
      </c>
      <c r="C73" s="3"/>
      <c r="D73" s="6" t="str">
        <f aca="false">I73   &amp; IF(ISBLANK(M73),, ". "&amp; M73 &amp; IF(ISBLANK(Q73),, ". "&amp; Q73))</f>
        <v>ElementDragon</v>
      </c>
      <c r="E73" s="6" t="str">
        <f aca="false">I73  &amp;": # on "&amp; L73  &amp; IF(ISBLANK(M73),, ". "&amp; M73 &amp;": # on "&amp; P73 &amp; IF(ISBLANK(Q73),, ". "&amp; Q73 &amp;": # on "&amp; T73))</f>
        <v>ElementDragon: # on Trainer</v>
      </c>
      <c r="F73" s="6" t="str">
        <f aca="false">IF(U73,"active pal",)  &amp; IF(V73,"working",) &amp; IF(W73,"mounted",) &amp; IF(Y73,"in party (buff)",)  &amp; IF(Z73,"always",)</f>
        <v>active pal</v>
      </c>
      <c r="G73" s="6" t="n">
        <v>1</v>
      </c>
      <c r="H73" s="6" t="s">
        <v>182</v>
      </c>
      <c r="I73" s="6" t="s">
        <v>2047</v>
      </c>
      <c r="J73" s="6" t="str">
        <f aca="false">IFERROR(__xludf.dummyfunction("IFS(I73=""ShotAttack"",""%"",I73=""MeleeAttack"",""%"", I73=""Defense"",""%"",I73=""CraftSPeed"",""%"",I73=""LifeSteal"",""%"",I73=""MaxInventoryWeight"",""+"",I73=""MoveSpeed"",""%"",REGEXMATCH(I73,""ElementAddItemDrop_""),""%"",I73=""Logging"",""+"",I73"&amp;"=""Mining"",""+"",I73=""Maxhp"",""%"",REGEXMATCH(I73,""TemperatureResist_""),""+"",REGEXMATCH(I73,""ElementResist_""),""%"",REGEXMATCH(I73,""TemperatureInvalid_""),""bool"",REGEXMATCH(I73,""BodyPartsWeakDamage""),""%"",REGEXMATCH(I73,""ElementBoost_""),"""&amp;"%"",AND(REGEXMATCH(B73,""GiveA""),REGEXMATCH(I73,""Element"")),""bool"")"),"bool")</f>
        <v>bool</v>
      </c>
      <c r="K73" s="6" t="n">
        <v>1</v>
      </c>
      <c r="L73" s="6" t="s">
        <v>2034</v>
      </c>
      <c r="M73" s="6"/>
      <c r="N73" s="6" t="str">
        <f aca="false">IFERROR(__xludf.dummyfunction("IFS(M73=""ShotAttack"",""%"",M73=""MeleeAttack"",""%"", M73=""Defense"",""%"",M73=""CraftSPeed"",""%"",M73=""LifeSteal"",""%"",M73=""MaxInventoryWeight"",""+"",M73=""MoveSpeed"",""%"",REGEXMATCH(M73,""ElementAddItemDrop_""),""%"",M73=""Logging"",""+"",M73"&amp;"=""Mining"",""+"",M73=""Maxhp"",""%"",REGEXMATCH(M73,""TemperatureResist_""),""+"",REGEXMATCH(M73,""ElementResist_""),""%"",REGEXMATCH(M73,""TemperatureInvalid_""),""bool"",REGEXMATCH(M73,""BodyPartsWeakDamage""),""%"",REGEXMATCH(M73,""ElementBoost_""),"""&amp;"%"",AND(REGEXMATCH(F73,""GiveA""),REGEXMATCH(M73,""Element"")),""bool"")"),"#N/A")</f>
        <v>#N/A</v>
      </c>
      <c r="O73" s="6" t="n">
        <v>0</v>
      </c>
      <c r="P73" s="6"/>
      <c r="Q73" s="6"/>
      <c r="R73" s="6" t="str">
        <f aca="false">IFERROR(__xludf.dummyfunction("IFS(Q73=""ShotAttack"",""%"",Q73=""MeleeAttack"",""%"", Q73=""Defense"",""%"",Q73=""CraftSPeed"",""%"",Q73=""LifeSteal"",""%"",Q73=""MaxInventoryWeight"",""+"",Q73=""MoveSpeed"",""%"",REGEXMATCH(Q73,""ElementAddItemDrop_""),""%"",Q73=""Logging"",""+"",Q73"&amp;"=""Mining"",""+"",Q73=""Maxhp"",""%"",REGEXMATCH(Q73,""TemperatureResist_""),""+"",REGEXMATCH(Q73,""ElementResist_""),""%"",REGEXMATCH(Q73,""TemperatureInvalid_""),""bool"",REGEXMATCH(Q73,""BodyPartsWeakDamage""),""%"",REGEXMATCH(Q73,""ElementBoost_""),"""&amp;"%"",AND(REGEXMATCH(J73,""GiveA""),REGEXMATCH(Q73,""Element"")),""bool"")"),"#N/A")</f>
        <v>#N/A</v>
      </c>
      <c r="S73" s="6" t="n">
        <v>0</v>
      </c>
      <c r="T73" s="6"/>
      <c r="U73" s="319" t="b">
        <f aca="false">TRUE()</f>
        <v>1</v>
      </c>
      <c r="V73" s="319" t="b">
        <f aca="false">FALSE()</f>
        <v>0</v>
      </c>
      <c r="W73" s="319" t="b">
        <f aca="false">FALSE()</f>
        <v>0</v>
      </c>
      <c r="X73" s="319" t="b">
        <f aca="false">FALSE()</f>
        <v>0</v>
      </c>
      <c r="Y73" s="319" t="b">
        <f aca="false">FALSE()</f>
        <v>0</v>
      </c>
      <c r="Z73" s="319" t="b">
        <f aca="false">FALSE()</f>
        <v>0</v>
      </c>
      <c r="AA73" s="319" t="b">
        <f aca="false">FALSE()</f>
        <v>0</v>
      </c>
      <c r="AB73" s="319" t="b">
        <f aca="false">FALSE()</f>
        <v>0</v>
      </c>
      <c r="AC73" s="319" t="b">
        <f aca="false">FALSE()</f>
        <v>0</v>
      </c>
      <c r="AD73" s="319" t="b">
        <f aca="false">FALSE()</f>
        <v>0</v>
      </c>
      <c r="AE73" s="319" t="b">
        <f aca="false">FALSE()</f>
        <v>0</v>
      </c>
      <c r="AF73" s="319" t="b">
        <f aca="false">FALSE()</f>
        <v>0</v>
      </c>
      <c r="AG73" s="6" t="s">
        <v>182</v>
      </c>
      <c r="AH73" s="6" t="s">
        <v>182</v>
      </c>
    </row>
    <row r="74" customFormat="false" ht="15.75" hidden="false" customHeight="false" outlineLevel="0" collapsed="false">
      <c r="A74" s="1" t="e">
        <f aca="false">#N/A</f>
        <v>#N/A</v>
      </c>
      <c r="B74" s="6" t="s">
        <v>1196</v>
      </c>
      <c r="C74" s="3"/>
      <c r="D74" s="6" t="str">
        <f aca="false">I74   &amp; IF(ISBLANK(M74),, ". "&amp; M74 &amp; IF(ISBLANK(Q74),, ". "&amp; Q74))</f>
        <v>ElementDragon</v>
      </c>
      <c r="E74" s="6" t="str">
        <f aca="false">I74  &amp;": # on "&amp; L74  &amp; IF(ISBLANK(M74),, ". "&amp; M74 &amp;": # on "&amp; P74 &amp; IF(ISBLANK(Q74),, ". "&amp; Q74 &amp;": # on "&amp; T74))</f>
        <v>ElementDragon: # on Trainer</v>
      </c>
      <c r="F74" s="6" t="str">
        <f aca="false">IF(U74,"active pal",)  &amp; IF(V74,"working",) &amp; IF(W74,"mounted",) &amp; IF(Y74,"in party (buff)",)  &amp; IF(Z74,"always",)</f>
        <v>mounted</v>
      </c>
      <c r="G74" s="6" t="n">
        <v>1</v>
      </c>
      <c r="H74" s="6" t="s">
        <v>182</v>
      </c>
      <c r="I74" s="6" t="s">
        <v>2047</v>
      </c>
      <c r="J74" s="6" t="str">
        <f aca="false">IFERROR(__xludf.dummyfunction("IFS(I74=""ShotAttack"",""%"",I74=""MeleeAttack"",""%"", I74=""Defense"",""%"",I74=""CraftSPeed"",""%"",I74=""LifeSteal"",""%"",I74=""MaxInventoryWeight"",""+"",I74=""MoveSpeed"",""%"",REGEXMATCH(I74,""ElementAddItemDrop_""),""%"",I74=""Logging"",""+"",I74"&amp;"=""Mining"",""+"",I74=""Maxhp"",""%"",REGEXMATCH(I74,""TemperatureResist_""),""+"",REGEXMATCH(I74,""ElementResist_""),""%"",REGEXMATCH(I74,""TemperatureInvalid_""),""bool"",REGEXMATCH(I74,""BodyPartsWeakDamage""),""%"",REGEXMATCH(I74,""ElementBoost_""),"""&amp;"%"",AND(REGEXMATCH(B74,""GiveA""),REGEXMATCH(I74,""Element"")),""bool"")"),"bool")</f>
        <v>bool</v>
      </c>
      <c r="K74" s="6" t="n">
        <v>1</v>
      </c>
      <c r="L74" s="6" t="s">
        <v>2034</v>
      </c>
      <c r="M74" s="6"/>
      <c r="N74" s="6" t="str">
        <f aca="false">IFERROR(__xludf.dummyfunction("IFS(M74=""ShotAttack"",""%"",M74=""MeleeAttack"",""%"", M74=""Defense"",""%"",M74=""CraftSPeed"",""%"",M74=""LifeSteal"",""%"",M74=""MaxInventoryWeight"",""+"",M74=""MoveSpeed"",""%"",REGEXMATCH(M74,""ElementAddItemDrop_""),""%"",M74=""Logging"",""+"",M74"&amp;"=""Mining"",""+"",M74=""Maxhp"",""%"",REGEXMATCH(M74,""TemperatureResist_""),""+"",REGEXMATCH(M74,""ElementResist_""),""%"",REGEXMATCH(M74,""TemperatureInvalid_""),""bool"",REGEXMATCH(M74,""BodyPartsWeakDamage""),""%"",REGEXMATCH(M74,""ElementBoost_""),"""&amp;"%"",AND(REGEXMATCH(F74,""GiveA""),REGEXMATCH(M74,""Element"")),""bool"")"),"#N/A")</f>
        <v>#N/A</v>
      </c>
      <c r="O74" s="6" t="n">
        <v>0</v>
      </c>
      <c r="P74" s="6"/>
      <c r="Q74" s="6"/>
      <c r="R74" s="6" t="str">
        <f aca="false">IFERROR(__xludf.dummyfunction("IFS(Q74=""ShotAttack"",""%"",Q74=""MeleeAttack"",""%"", Q74=""Defense"",""%"",Q74=""CraftSPeed"",""%"",Q74=""LifeSteal"",""%"",Q74=""MaxInventoryWeight"",""+"",Q74=""MoveSpeed"",""%"",REGEXMATCH(Q74,""ElementAddItemDrop_""),""%"",Q74=""Logging"",""+"",Q74"&amp;"=""Mining"",""+"",Q74=""Maxhp"",""%"",REGEXMATCH(Q74,""TemperatureResist_""),""+"",REGEXMATCH(Q74,""ElementResist_""),""%"",REGEXMATCH(Q74,""TemperatureInvalid_""),""bool"",REGEXMATCH(Q74,""BodyPartsWeakDamage""),""%"",REGEXMATCH(Q74,""ElementBoost_""),"""&amp;"%"",AND(REGEXMATCH(J74,""GiveA""),REGEXMATCH(Q74,""Element"")),""bool"")"),"#N/A")</f>
        <v>#N/A</v>
      </c>
      <c r="S74" s="6" t="n">
        <v>0</v>
      </c>
      <c r="T74" s="6"/>
      <c r="U74" s="319" t="b">
        <f aca="false">FALSE()</f>
        <v>0</v>
      </c>
      <c r="V74" s="319" t="b">
        <f aca="false">FALSE()</f>
        <v>0</v>
      </c>
      <c r="W74" s="319" t="b">
        <f aca="false">TRUE()</f>
        <v>1</v>
      </c>
      <c r="X74" s="319" t="b">
        <f aca="false">FALSE()</f>
        <v>0</v>
      </c>
      <c r="Y74" s="319" t="b">
        <f aca="false">FALSE()</f>
        <v>0</v>
      </c>
      <c r="Z74" s="319" t="b">
        <f aca="false">FALSE()</f>
        <v>0</v>
      </c>
      <c r="AA74" s="319" t="b">
        <f aca="false">FALSE()</f>
        <v>0</v>
      </c>
      <c r="AB74" s="319" t="b">
        <f aca="false">FALSE()</f>
        <v>0</v>
      </c>
      <c r="AC74" s="319" t="b">
        <f aca="false">FALSE()</f>
        <v>0</v>
      </c>
      <c r="AD74" s="319" t="b">
        <f aca="false">FALSE()</f>
        <v>0</v>
      </c>
      <c r="AE74" s="319" t="b">
        <f aca="false">FALSE()</f>
        <v>0</v>
      </c>
      <c r="AF74" s="319" t="b">
        <f aca="false">FALSE()</f>
        <v>0</v>
      </c>
      <c r="AG74" s="6" t="s">
        <v>182</v>
      </c>
      <c r="AH74" s="6" t="s">
        <v>182</v>
      </c>
    </row>
    <row r="75" customFormat="false" ht="15.75" hidden="false" customHeight="false" outlineLevel="0" collapsed="false">
      <c r="A75" s="3" t="s">
        <v>1953</v>
      </c>
      <c r="B75" s="6" t="s">
        <v>2048</v>
      </c>
      <c r="C75" s="3"/>
      <c r="D75" s="6" t="str">
        <f aca="false">I75   &amp; IF(ISBLANK(M75),, ". "&amp; M75 &amp; IF(ISBLANK(Q75),, ". "&amp; Q75))</f>
        <v>CollectItem</v>
      </c>
      <c r="E75" s="6" t="str">
        <f aca="false">I75  &amp;": # on "&amp; L75  &amp; IF(ISBLANK(M75),, ". "&amp; M75 &amp;": # on "&amp; P75 &amp; IF(ISBLANK(Q75),, ". "&amp; Q75 &amp;": # on "&amp; T75))</f>
        <v>CollectItem: # on Self</v>
      </c>
      <c r="F75" s="6" t="str">
        <f aca="false">IF(U75,"active pal",)  &amp; IF(V75,"working",) &amp; IF(W75,"mounted",) &amp; IF(Y75,"in party (buff)",)  &amp; IF(Z75,"always",)</f>
        <v/>
      </c>
      <c r="G75" s="6" t="n">
        <v>1</v>
      </c>
      <c r="H75" s="6" t="s">
        <v>182</v>
      </c>
      <c r="I75" s="6" t="s">
        <v>2048</v>
      </c>
      <c r="J75" s="6" t="str">
        <f aca="false">IFERROR(__xludf.dummyfunction("IFS(I75=""ShotAttack"",""%"",I75=""MeleeAttack"",""%"", I75=""Defense"",""%"",I75=""CraftSPeed"",""%"",I75=""LifeSteal"",""%"",I75=""MaxInventoryWeight"",""+"",I75=""MoveSpeed"",""%"",REGEXMATCH(I75,""ElementAddItemDrop_""),""%"",I75=""Logging"",""+"",I75"&amp;"=""Mining"",""+"",I75=""Maxhp"",""%"",REGEXMATCH(I75,""TemperatureResist_""),""+"",REGEXMATCH(I75,""ElementResist_""),""%"",REGEXMATCH(I75,""TemperatureInvalid_""),""bool"",REGEXMATCH(I75,""BodyPartsWeakDamage""),""%"",REGEXMATCH(I75,""ElementBoost_""),"""&amp;"%"",AND(REGEXMATCH(B75,""GiveA""),REGEXMATCH(I75,""Element"")),""bool"")"),"#N/A")</f>
        <v>#N/A</v>
      </c>
      <c r="K75" s="6" t="n">
        <v>0</v>
      </c>
      <c r="L75" s="6" t="s">
        <v>1956</v>
      </c>
      <c r="M75" s="6"/>
      <c r="N75" s="6" t="str">
        <f aca="false">IFERROR(__xludf.dummyfunction("IFS(M75=""ShotAttack"",""%"",M75=""MeleeAttack"",""%"", M75=""Defense"",""%"",M75=""CraftSPeed"",""%"",M75=""LifeSteal"",""%"",M75=""MaxInventoryWeight"",""+"",M75=""MoveSpeed"",""%"",REGEXMATCH(M75,""ElementAddItemDrop_""),""%"",M75=""Logging"",""+"",M75"&amp;"=""Mining"",""+"",M75=""Maxhp"",""%"",REGEXMATCH(M75,""TemperatureResist_""),""+"",REGEXMATCH(M75,""ElementResist_""),""%"",REGEXMATCH(M75,""TemperatureInvalid_""),""bool"",REGEXMATCH(M75,""BodyPartsWeakDamage""),""%"",REGEXMATCH(M75,""ElementBoost_""),"""&amp;"%"",AND(REGEXMATCH(F75,""GiveA""),REGEXMATCH(M75,""Element"")),""bool"")"),"#N/A")</f>
        <v>#N/A</v>
      </c>
      <c r="O75" s="6" t="n">
        <v>0</v>
      </c>
      <c r="P75" s="6"/>
      <c r="Q75" s="6"/>
      <c r="R75" s="6" t="str">
        <f aca="false">IFERROR(__xludf.dummyfunction("IFS(Q75=""ShotAttack"",""%"",Q75=""MeleeAttack"",""%"", Q75=""Defense"",""%"",Q75=""CraftSPeed"",""%"",Q75=""LifeSteal"",""%"",Q75=""MaxInventoryWeight"",""+"",Q75=""MoveSpeed"",""%"",REGEXMATCH(Q75,""ElementAddItemDrop_""),""%"",Q75=""Logging"",""+"",Q75"&amp;"=""Mining"",""+"",Q75=""Maxhp"",""%"",REGEXMATCH(Q75,""TemperatureResist_""),""+"",REGEXMATCH(Q75,""ElementResist_""),""%"",REGEXMATCH(Q75,""TemperatureInvalid_""),""bool"",REGEXMATCH(Q75,""BodyPartsWeakDamage""),""%"",REGEXMATCH(Q75,""ElementBoost_""),"""&amp;"%"",AND(REGEXMATCH(J75,""GiveA""),REGEXMATCH(Q75,""Element"")),""bool"")"),"#N/A")</f>
        <v>#N/A</v>
      </c>
      <c r="S75" s="6" t="n">
        <v>0</v>
      </c>
      <c r="T75" s="6"/>
      <c r="U75" s="319" t="b">
        <f aca="false">FALSE()</f>
        <v>0</v>
      </c>
      <c r="V75" s="319" t="b">
        <f aca="false">FALSE()</f>
        <v>0</v>
      </c>
      <c r="W75" s="319" t="b">
        <f aca="false">FALSE()</f>
        <v>0</v>
      </c>
      <c r="X75" s="319" t="b">
        <f aca="false">FALSE()</f>
        <v>0</v>
      </c>
      <c r="Y75" s="319" t="b">
        <f aca="false">FALSE()</f>
        <v>0</v>
      </c>
      <c r="Z75" s="319" t="b">
        <f aca="false">FALSE()</f>
        <v>0</v>
      </c>
      <c r="AA75" s="319" t="b">
        <f aca="false">FALSE()</f>
        <v>0</v>
      </c>
      <c r="AB75" s="319" t="b">
        <f aca="false">FALSE()</f>
        <v>0</v>
      </c>
      <c r="AC75" s="319" t="b">
        <f aca="false">FALSE()</f>
        <v>0</v>
      </c>
      <c r="AD75" s="319" t="b">
        <f aca="false">FALSE()</f>
        <v>0</v>
      </c>
      <c r="AE75" s="319" t="b">
        <f aca="false">FALSE()</f>
        <v>0</v>
      </c>
      <c r="AF75" s="319" t="b">
        <f aca="false">FALSE()</f>
        <v>0</v>
      </c>
      <c r="AG75" s="6" t="s">
        <v>182</v>
      </c>
      <c r="AH75" s="6" t="s">
        <v>182</v>
      </c>
    </row>
    <row r="76" customFormat="false" ht="15.75" hidden="false" customHeight="false" outlineLevel="0" collapsed="false">
      <c r="A76" s="3" t="s">
        <v>2049</v>
      </c>
      <c r="B76" s="6" t="s">
        <v>2050</v>
      </c>
      <c r="C76" s="3"/>
      <c r="D76" s="6" t="str">
        <f aca="false">I76   &amp; IF(ISBLANK(M76),, ". "&amp; M76 &amp; IF(ISBLANK(Q76),, ". "&amp; Q76))</f>
        <v>CollectItem</v>
      </c>
      <c r="E76" s="6" t="str">
        <f aca="false">I76  &amp;": # on "&amp; L76  &amp; IF(ISBLANK(M76),, ". "&amp; M76 &amp;": # on "&amp; P76 &amp; IF(ISBLANK(Q76),, ". "&amp; Q76 &amp;": # on "&amp; T76))</f>
        <v>CollectItem: # on Self</v>
      </c>
      <c r="F76" s="6" t="str">
        <f aca="false">IF(U76,"active pal",)  &amp; IF(V76,"working",) &amp; IF(W76,"mounted",) &amp; IF(Y76,"in party (buff)",)  &amp; IF(Z76,"always",)</f>
        <v/>
      </c>
      <c r="G76" s="6" t="n">
        <v>1</v>
      </c>
      <c r="H76" s="6" t="s">
        <v>182</v>
      </c>
      <c r="I76" s="6" t="s">
        <v>2048</v>
      </c>
      <c r="J76" s="6" t="str">
        <f aca="false">IFERROR(__xludf.dummyfunction("IFS(I76=""ShotAttack"",""%"",I76=""MeleeAttack"",""%"", I76=""Defense"",""%"",I76=""CraftSPeed"",""%"",I76=""LifeSteal"",""%"",I76=""MaxInventoryWeight"",""+"",I76=""MoveSpeed"",""%"",REGEXMATCH(I76,""ElementAddItemDrop_""),""%"",I76=""Logging"",""+"",I76"&amp;"=""Mining"",""+"",I76=""Maxhp"",""%"",REGEXMATCH(I76,""TemperatureResist_""),""+"",REGEXMATCH(I76,""ElementResist_""),""%"",REGEXMATCH(I76,""TemperatureInvalid_""),""bool"",REGEXMATCH(I76,""BodyPartsWeakDamage""),""%"",REGEXMATCH(I76,""ElementBoost_""),"""&amp;"%"",AND(REGEXMATCH(B76,""GiveA""),REGEXMATCH(I76,""Element"")),""bool"")"),"#N/A")</f>
        <v>#N/A</v>
      </c>
      <c r="K76" s="6" t="n">
        <v>0</v>
      </c>
      <c r="L76" s="6" t="s">
        <v>1956</v>
      </c>
      <c r="M76" s="6"/>
      <c r="N76" s="6" t="str">
        <f aca="false">IFERROR(__xludf.dummyfunction("IFS(M76=""ShotAttack"",""%"",M76=""MeleeAttack"",""%"", M76=""Defense"",""%"",M76=""CraftSPeed"",""%"",M76=""LifeSteal"",""%"",M76=""MaxInventoryWeight"",""+"",M76=""MoveSpeed"",""%"",REGEXMATCH(M76,""ElementAddItemDrop_""),""%"",M76=""Logging"",""+"",M76"&amp;"=""Mining"",""+"",M76=""Maxhp"",""%"",REGEXMATCH(M76,""TemperatureResist_""),""+"",REGEXMATCH(M76,""ElementResist_""),""%"",REGEXMATCH(M76,""TemperatureInvalid_""),""bool"",REGEXMATCH(M76,""BodyPartsWeakDamage""),""%"",REGEXMATCH(M76,""ElementBoost_""),"""&amp;"%"",AND(REGEXMATCH(F76,""GiveA""),REGEXMATCH(M76,""Element"")),""bool"")"),"#N/A")</f>
        <v>#N/A</v>
      </c>
      <c r="O76" s="6" t="n">
        <v>0</v>
      </c>
      <c r="P76" s="6"/>
      <c r="Q76" s="6"/>
      <c r="R76" s="6" t="str">
        <f aca="false">IFERROR(__xludf.dummyfunction("IFS(Q76=""ShotAttack"",""%"",Q76=""MeleeAttack"",""%"", Q76=""Defense"",""%"",Q76=""CraftSPeed"",""%"",Q76=""LifeSteal"",""%"",Q76=""MaxInventoryWeight"",""+"",Q76=""MoveSpeed"",""%"",REGEXMATCH(Q76,""ElementAddItemDrop_""),""%"",Q76=""Logging"",""+"",Q76"&amp;"=""Mining"",""+"",Q76=""Maxhp"",""%"",REGEXMATCH(Q76,""TemperatureResist_""),""+"",REGEXMATCH(Q76,""ElementResist_""),""%"",REGEXMATCH(Q76,""TemperatureInvalid_""),""bool"",REGEXMATCH(Q76,""BodyPartsWeakDamage""),""%"",REGEXMATCH(Q76,""ElementBoost_""),"""&amp;"%"",AND(REGEXMATCH(J76,""GiveA""),REGEXMATCH(Q76,""Element"")),""bool"")"),"#N/A")</f>
        <v>#N/A</v>
      </c>
      <c r="S76" s="6" t="n">
        <v>0</v>
      </c>
      <c r="T76" s="6"/>
      <c r="U76" s="319" t="b">
        <f aca="false">FALSE()</f>
        <v>0</v>
      </c>
      <c r="V76" s="319" t="b">
        <f aca="false">FALSE()</f>
        <v>0</v>
      </c>
      <c r="W76" s="319" t="b">
        <f aca="false">FALSE()</f>
        <v>0</v>
      </c>
      <c r="X76" s="319" t="b">
        <f aca="false">FALSE()</f>
        <v>0</v>
      </c>
      <c r="Y76" s="319" t="b">
        <f aca="false">FALSE()</f>
        <v>0</v>
      </c>
      <c r="Z76" s="319" t="b">
        <f aca="false">FALSE()</f>
        <v>0</v>
      </c>
      <c r="AA76" s="319" t="b">
        <f aca="false">FALSE()</f>
        <v>0</v>
      </c>
      <c r="AB76" s="319" t="b">
        <f aca="false">FALSE()</f>
        <v>0</v>
      </c>
      <c r="AC76" s="319" t="b">
        <f aca="false">FALSE()</f>
        <v>0</v>
      </c>
      <c r="AD76" s="319" t="b">
        <f aca="false">FALSE()</f>
        <v>0</v>
      </c>
      <c r="AE76" s="319" t="b">
        <f aca="false">FALSE()</f>
        <v>0</v>
      </c>
      <c r="AF76" s="319" t="b">
        <f aca="false">FALSE()</f>
        <v>0</v>
      </c>
      <c r="AG76" s="6" t="s">
        <v>182</v>
      </c>
      <c r="AH76" s="6" t="s">
        <v>182</v>
      </c>
    </row>
    <row r="77" customFormat="false" ht="15.75" hidden="false" customHeight="false" outlineLevel="0" collapsed="false">
      <c r="A77" s="3" t="s">
        <v>2051</v>
      </c>
      <c r="B77" s="6" t="s">
        <v>2052</v>
      </c>
      <c r="C77" s="3"/>
      <c r="D77" s="6" t="str">
        <f aca="false">I77   &amp; IF(ISBLANK(M77),, ". "&amp; M77 &amp; IF(ISBLANK(Q77),, ". "&amp; Q77))</f>
        <v>CollectItem</v>
      </c>
      <c r="E77" s="6" t="str">
        <f aca="false">I77  &amp;": # on "&amp; L77  &amp; IF(ISBLANK(M77),, ". "&amp; M77 &amp;": # on "&amp; P77 &amp; IF(ISBLANK(Q77),, ". "&amp; Q77 &amp;": # on "&amp; T77))</f>
        <v>CollectItem: # on Self</v>
      </c>
      <c r="F77" s="6" t="str">
        <f aca="false">IF(U77,"active pal",)  &amp; IF(V77,"working",) &amp; IF(W77,"mounted",) &amp; IF(Y77,"in party (buff)",)  &amp; IF(Z77,"always",)</f>
        <v/>
      </c>
      <c r="G77" s="6" t="n">
        <v>1</v>
      </c>
      <c r="H77" s="6" t="s">
        <v>182</v>
      </c>
      <c r="I77" s="6" t="s">
        <v>2048</v>
      </c>
      <c r="J77" s="6" t="str">
        <f aca="false">IFERROR(__xludf.dummyfunction("IFS(I77=""ShotAttack"",""%"",I77=""MeleeAttack"",""%"", I77=""Defense"",""%"",I77=""CraftSPeed"",""%"",I77=""LifeSteal"",""%"",I77=""MaxInventoryWeight"",""+"",I77=""MoveSpeed"",""%"",REGEXMATCH(I77,""ElementAddItemDrop_""),""%"",I77=""Logging"",""+"",I77"&amp;"=""Mining"",""+"",I77=""Maxhp"",""%"",REGEXMATCH(I77,""TemperatureResist_""),""+"",REGEXMATCH(I77,""ElementResist_""),""%"",REGEXMATCH(I77,""TemperatureInvalid_""),""bool"",REGEXMATCH(I77,""BodyPartsWeakDamage""),""%"",REGEXMATCH(I77,""ElementBoost_""),"""&amp;"%"",AND(REGEXMATCH(B77,""GiveA""),REGEXMATCH(I77,""Element"")),""bool"")"),"#N/A")</f>
        <v>#N/A</v>
      </c>
      <c r="K77" s="6" t="n">
        <v>0</v>
      </c>
      <c r="L77" s="6" t="s">
        <v>1956</v>
      </c>
      <c r="M77" s="6"/>
      <c r="N77" s="6" t="str">
        <f aca="false">IFERROR(__xludf.dummyfunction("IFS(M77=""ShotAttack"",""%"",M77=""MeleeAttack"",""%"", M77=""Defense"",""%"",M77=""CraftSPeed"",""%"",M77=""LifeSteal"",""%"",M77=""MaxInventoryWeight"",""+"",M77=""MoveSpeed"",""%"",REGEXMATCH(M77,""ElementAddItemDrop_""),""%"",M77=""Logging"",""+"",M77"&amp;"=""Mining"",""+"",M77=""Maxhp"",""%"",REGEXMATCH(M77,""TemperatureResist_""),""+"",REGEXMATCH(M77,""ElementResist_""),""%"",REGEXMATCH(M77,""TemperatureInvalid_""),""bool"",REGEXMATCH(M77,""BodyPartsWeakDamage""),""%"",REGEXMATCH(M77,""ElementBoost_""),"""&amp;"%"",AND(REGEXMATCH(F77,""GiveA""),REGEXMATCH(M77,""Element"")),""bool"")"),"#N/A")</f>
        <v>#N/A</v>
      </c>
      <c r="O77" s="6" t="n">
        <v>0</v>
      </c>
      <c r="P77" s="6"/>
      <c r="Q77" s="6"/>
      <c r="R77" s="6" t="str">
        <f aca="false">IFERROR(__xludf.dummyfunction("IFS(Q77=""ShotAttack"",""%"",Q77=""MeleeAttack"",""%"", Q77=""Defense"",""%"",Q77=""CraftSPeed"",""%"",Q77=""LifeSteal"",""%"",Q77=""MaxInventoryWeight"",""+"",Q77=""MoveSpeed"",""%"",REGEXMATCH(Q77,""ElementAddItemDrop_""),""%"",Q77=""Logging"",""+"",Q77"&amp;"=""Mining"",""+"",Q77=""Maxhp"",""%"",REGEXMATCH(Q77,""TemperatureResist_""),""+"",REGEXMATCH(Q77,""ElementResist_""),""%"",REGEXMATCH(Q77,""TemperatureInvalid_""),""bool"",REGEXMATCH(Q77,""BodyPartsWeakDamage""),""%"",REGEXMATCH(Q77,""ElementBoost_""),"""&amp;"%"",AND(REGEXMATCH(J77,""GiveA""),REGEXMATCH(Q77,""Element"")),""bool"")"),"#N/A")</f>
        <v>#N/A</v>
      </c>
      <c r="S77" s="6" t="n">
        <v>0</v>
      </c>
      <c r="T77" s="6"/>
      <c r="U77" s="319" t="b">
        <f aca="false">FALSE()</f>
        <v>0</v>
      </c>
      <c r="V77" s="319" t="b">
        <f aca="false">FALSE()</f>
        <v>0</v>
      </c>
      <c r="W77" s="319" t="b">
        <f aca="false">FALSE()</f>
        <v>0</v>
      </c>
      <c r="X77" s="319" t="b">
        <f aca="false">FALSE()</f>
        <v>0</v>
      </c>
      <c r="Y77" s="319" t="b">
        <f aca="false">FALSE()</f>
        <v>0</v>
      </c>
      <c r="Z77" s="319" t="b">
        <f aca="false">FALSE()</f>
        <v>0</v>
      </c>
      <c r="AA77" s="319" t="b">
        <f aca="false">FALSE()</f>
        <v>0</v>
      </c>
      <c r="AB77" s="319" t="b">
        <f aca="false">FALSE()</f>
        <v>0</v>
      </c>
      <c r="AC77" s="319" t="b">
        <f aca="false">FALSE()</f>
        <v>0</v>
      </c>
      <c r="AD77" s="319" t="b">
        <f aca="false">FALSE()</f>
        <v>0</v>
      </c>
      <c r="AE77" s="319" t="b">
        <f aca="false">FALSE()</f>
        <v>0</v>
      </c>
      <c r="AF77" s="319" t="b">
        <f aca="false">FALSE()</f>
        <v>0</v>
      </c>
      <c r="AG77" s="6" t="s">
        <v>182</v>
      </c>
      <c r="AH77" s="6" t="s">
        <v>182</v>
      </c>
    </row>
    <row r="78" customFormat="false" ht="15.75" hidden="false" customHeight="false" outlineLevel="0" collapsed="false">
      <c r="A78" s="3" t="s">
        <v>2053</v>
      </c>
      <c r="B78" s="6" t="s">
        <v>2054</v>
      </c>
      <c r="C78" s="3"/>
      <c r="D78" s="6" t="str">
        <f aca="false">I78   &amp; IF(ISBLANK(M78),, ". "&amp; M78 &amp; IF(ISBLANK(Q78),, ". "&amp; Q78))</f>
        <v>CollectItem</v>
      </c>
      <c r="E78" s="6" t="str">
        <f aca="false">I78  &amp;": # on "&amp; L78  &amp; IF(ISBLANK(M78),, ". "&amp; M78 &amp;": # on "&amp; P78 &amp; IF(ISBLANK(Q78),, ". "&amp; Q78 &amp;": # on "&amp; T78))</f>
        <v>CollectItem: # on Self</v>
      </c>
      <c r="F78" s="6" t="str">
        <f aca="false">IF(U78,"active pal",)  &amp; IF(V78,"working",) &amp; IF(W78,"mounted",) &amp; IF(Y78,"in party (buff)",)  &amp; IF(Z78,"always",)</f>
        <v/>
      </c>
      <c r="G78" s="6" t="n">
        <v>1</v>
      </c>
      <c r="H78" s="6" t="s">
        <v>182</v>
      </c>
      <c r="I78" s="6" t="s">
        <v>2048</v>
      </c>
      <c r="J78" s="6" t="str">
        <f aca="false">IFERROR(__xludf.dummyfunction("IFS(I78=""ShotAttack"",""%"",I78=""MeleeAttack"",""%"", I78=""Defense"",""%"",I78=""CraftSPeed"",""%"",I78=""LifeSteal"",""%"",I78=""MaxInventoryWeight"",""+"",I78=""MoveSpeed"",""%"",REGEXMATCH(I78,""ElementAddItemDrop_""),""%"",I78=""Logging"",""+"",I78"&amp;"=""Mining"",""+"",I78=""Maxhp"",""%"",REGEXMATCH(I78,""TemperatureResist_""),""+"",REGEXMATCH(I78,""ElementResist_""),""%"",REGEXMATCH(I78,""TemperatureInvalid_""),""bool"",REGEXMATCH(I78,""BodyPartsWeakDamage""),""%"",REGEXMATCH(I78,""ElementBoost_""),"""&amp;"%"",AND(REGEXMATCH(B78,""GiveA""),REGEXMATCH(I78,""Element"")),""bool"")"),"#N/A")</f>
        <v>#N/A</v>
      </c>
      <c r="K78" s="6" t="n">
        <v>0</v>
      </c>
      <c r="L78" s="6" t="s">
        <v>1956</v>
      </c>
      <c r="M78" s="6"/>
      <c r="N78" s="6" t="str">
        <f aca="false">IFERROR(__xludf.dummyfunction("IFS(M78=""ShotAttack"",""%"",M78=""MeleeAttack"",""%"", M78=""Defense"",""%"",M78=""CraftSPeed"",""%"",M78=""LifeSteal"",""%"",M78=""MaxInventoryWeight"",""+"",M78=""MoveSpeed"",""%"",REGEXMATCH(M78,""ElementAddItemDrop_""),""%"",M78=""Logging"",""+"",M78"&amp;"=""Mining"",""+"",M78=""Maxhp"",""%"",REGEXMATCH(M78,""TemperatureResist_""),""+"",REGEXMATCH(M78,""ElementResist_""),""%"",REGEXMATCH(M78,""TemperatureInvalid_""),""bool"",REGEXMATCH(M78,""BodyPartsWeakDamage""),""%"",REGEXMATCH(M78,""ElementBoost_""),"""&amp;"%"",AND(REGEXMATCH(F78,""GiveA""),REGEXMATCH(M78,""Element"")),""bool"")"),"#N/A")</f>
        <v>#N/A</v>
      </c>
      <c r="O78" s="6" t="n">
        <v>0</v>
      </c>
      <c r="P78" s="6"/>
      <c r="Q78" s="6"/>
      <c r="R78" s="6" t="str">
        <f aca="false">IFERROR(__xludf.dummyfunction("IFS(Q78=""ShotAttack"",""%"",Q78=""MeleeAttack"",""%"", Q78=""Defense"",""%"",Q78=""CraftSPeed"",""%"",Q78=""LifeSteal"",""%"",Q78=""MaxInventoryWeight"",""+"",Q78=""MoveSpeed"",""%"",REGEXMATCH(Q78,""ElementAddItemDrop_""),""%"",Q78=""Logging"",""+"",Q78"&amp;"=""Mining"",""+"",Q78=""Maxhp"",""%"",REGEXMATCH(Q78,""TemperatureResist_""),""+"",REGEXMATCH(Q78,""ElementResist_""),""%"",REGEXMATCH(Q78,""TemperatureInvalid_""),""bool"",REGEXMATCH(Q78,""BodyPartsWeakDamage""),""%"",REGEXMATCH(Q78,""ElementBoost_""),"""&amp;"%"",AND(REGEXMATCH(J78,""GiveA""),REGEXMATCH(Q78,""Element"")),""bool"")"),"#N/A")</f>
        <v>#N/A</v>
      </c>
      <c r="S78" s="6" t="n">
        <v>0</v>
      </c>
      <c r="T78" s="6"/>
      <c r="U78" s="319" t="b">
        <f aca="false">FALSE()</f>
        <v>0</v>
      </c>
      <c r="V78" s="319" t="b">
        <f aca="false">FALSE()</f>
        <v>0</v>
      </c>
      <c r="W78" s="319" t="b">
        <f aca="false">FALSE()</f>
        <v>0</v>
      </c>
      <c r="X78" s="319" t="b">
        <f aca="false">FALSE()</f>
        <v>0</v>
      </c>
      <c r="Y78" s="319" t="b">
        <f aca="false">FALSE()</f>
        <v>0</v>
      </c>
      <c r="Z78" s="319" t="b">
        <f aca="false">FALSE()</f>
        <v>0</v>
      </c>
      <c r="AA78" s="319" t="b">
        <f aca="false">FALSE()</f>
        <v>0</v>
      </c>
      <c r="AB78" s="319" t="b">
        <f aca="false">FALSE()</f>
        <v>0</v>
      </c>
      <c r="AC78" s="319" t="b">
        <f aca="false">FALSE()</f>
        <v>0</v>
      </c>
      <c r="AD78" s="319" t="b">
        <f aca="false">FALSE()</f>
        <v>0</v>
      </c>
      <c r="AE78" s="319" t="b">
        <f aca="false">FALSE()</f>
        <v>0</v>
      </c>
      <c r="AF78" s="319" t="b">
        <f aca="false">FALSE()</f>
        <v>0</v>
      </c>
      <c r="AG78" s="6" t="s">
        <v>182</v>
      </c>
      <c r="AH78" s="6" t="s">
        <v>182</v>
      </c>
    </row>
    <row r="79" customFormat="false" ht="15.75" hidden="false" customHeight="false" outlineLevel="0" collapsed="false">
      <c r="A79" s="3" t="s">
        <v>2055</v>
      </c>
      <c r="B79" s="6" t="s">
        <v>2056</v>
      </c>
      <c r="C79" s="3"/>
      <c r="D79" s="6" t="str">
        <f aca="false">I79   &amp; IF(ISBLANK(M79),, ". "&amp; M79 &amp; IF(ISBLANK(Q79),, ". "&amp; Q79))</f>
        <v>CollectItem</v>
      </c>
      <c r="E79" s="6" t="str">
        <f aca="false">I79  &amp;": # on "&amp; L79  &amp; IF(ISBLANK(M79),, ". "&amp; M79 &amp;": # on "&amp; P79 &amp; IF(ISBLANK(Q79),, ". "&amp; Q79 &amp;": # on "&amp; T79))</f>
        <v>CollectItem: # on Self</v>
      </c>
      <c r="F79" s="6" t="str">
        <f aca="false">IF(U79,"active pal",)  &amp; IF(V79,"working",) &amp; IF(W79,"mounted",) &amp; IF(Y79,"in party (buff)",)  &amp; IF(Z79,"always",)</f>
        <v/>
      </c>
      <c r="G79" s="6" t="n">
        <v>1</v>
      </c>
      <c r="H79" s="6" t="s">
        <v>182</v>
      </c>
      <c r="I79" s="6" t="s">
        <v>2048</v>
      </c>
      <c r="J79" s="6" t="str">
        <f aca="false">IFERROR(__xludf.dummyfunction("IFS(I79=""ShotAttack"",""%"",I79=""MeleeAttack"",""%"", I79=""Defense"",""%"",I79=""CraftSPeed"",""%"",I79=""LifeSteal"",""%"",I79=""MaxInventoryWeight"",""+"",I79=""MoveSpeed"",""%"",REGEXMATCH(I79,""ElementAddItemDrop_""),""%"",I79=""Logging"",""+"",I79"&amp;"=""Mining"",""+"",I79=""Maxhp"",""%"",REGEXMATCH(I79,""TemperatureResist_""),""+"",REGEXMATCH(I79,""ElementResist_""),""%"",REGEXMATCH(I79,""TemperatureInvalid_""),""bool"",REGEXMATCH(I79,""BodyPartsWeakDamage""),""%"",REGEXMATCH(I79,""ElementBoost_""),"""&amp;"%"",AND(REGEXMATCH(B79,""GiveA""),REGEXMATCH(I79,""Element"")),""bool"")"),"#N/A")</f>
        <v>#N/A</v>
      </c>
      <c r="K79" s="6" t="n">
        <v>0</v>
      </c>
      <c r="L79" s="6" t="s">
        <v>1956</v>
      </c>
      <c r="M79" s="6"/>
      <c r="N79" s="6" t="str">
        <f aca="false">IFERROR(__xludf.dummyfunction("IFS(M79=""ShotAttack"",""%"",M79=""MeleeAttack"",""%"", M79=""Defense"",""%"",M79=""CraftSPeed"",""%"",M79=""LifeSteal"",""%"",M79=""MaxInventoryWeight"",""+"",M79=""MoveSpeed"",""%"",REGEXMATCH(M79,""ElementAddItemDrop_""),""%"",M79=""Logging"",""+"",M79"&amp;"=""Mining"",""+"",M79=""Maxhp"",""%"",REGEXMATCH(M79,""TemperatureResist_""),""+"",REGEXMATCH(M79,""ElementResist_""),""%"",REGEXMATCH(M79,""TemperatureInvalid_""),""bool"",REGEXMATCH(M79,""BodyPartsWeakDamage""),""%"",REGEXMATCH(M79,""ElementBoost_""),"""&amp;"%"",AND(REGEXMATCH(F79,""GiveA""),REGEXMATCH(M79,""Element"")),""bool"")"),"#N/A")</f>
        <v>#N/A</v>
      </c>
      <c r="O79" s="6" t="n">
        <v>0</v>
      </c>
      <c r="P79" s="6"/>
      <c r="Q79" s="6"/>
      <c r="R79" s="6" t="str">
        <f aca="false">IFERROR(__xludf.dummyfunction("IFS(Q79=""ShotAttack"",""%"",Q79=""MeleeAttack"",""%"", Q79=""Defense"",""%"",Q79=""CraftSPeed"",""%"",Q79=""LifeSteal"",""%"",Q79=""MaxInventoryWeight"",""+"",Q79=""MoveSpeed"",""%"",REGEXMATCH(Q79,""ElementAddItemDrop_""),""%"",Q79=""Logging"",""+"",Q79"&amp;"=""Mining"",""+"",Q79=""Maxhp"",""%"",REGEXMATCH(Q79,""TemperatureResist_""),""+"",REGEXMATCH(Q79,""ElementResist_""),""%"",REGEXMATCH(Q79,""TemperatureInvalid_""),""bool"",REGEXMATCH(Q79,""BodyPartsWeakDamage""),""%"",REGEXMATCH(Q79,""ElementBoost_""),"""&amp;"%"",AND(REGEXMATCH(J79,""GiveA""),REGEXMATCH(Q79,""Element"")),""bool"")"),"#N/A")</f>
        <v>#N/A</v>
      </c>
      <c r="S79" s="6" t="n">
        <v>0</v>
      </c>
      <c r="T79" s="6"/>
      <c r="U79" s="319" t="b">
        <f aca="false">FALSE()</f>
        <v>0</v>
      </c>
      <c r="V79" s="319" t="b">
        <f aca="false">FALSE()</f>
        <v>0</v>
      </c>
      <c r="W79" s="319" t="b">
        <f aca="false">FALSE()</f>
        <v>0</v>
      </c>
      <c r="X79" s="319" t="b">
        <f aca="false">FALSE()</f>
        <v>0</v>
      </c>
      <c r="Y79" s="319" t="b">
        <f aca="false">FALSE()</f>
        <v>0</v>
      </c>
      <c r="Z79" s="319" t="b">
        <f aca="false">FALSE()</f>
        <v>0</v>
      </c>
      <c r="AA79" s="319" t="b">
        <f aca="false">FALSE()</f>
        <v>0</v>
      </c>
      <c r="AB79" s="319" t="b">
        <f aca="false">FALSE()</f>
        <v>0</v>
      </c>
      <c r="AC79" s="319" t="b">
        <f aca="false">FALSE()</f>
        <v>0</v>
      </c>
      <c r="AD79" s="319" t="b">
        <f aca="false">FALSE()</f>
        <v>0</v>
      </c>
      <c r="AE79" s="319" t="b">
        <f aca="false">FALSE()</f>
        <v>0</v>
      </c>
      <c r="AF79" s="319" t="b">
        <f aca="false">FALSE()</f>
        <v>0</v>
      </c>
      <c r="AG79" s="6" t="s">
        <v>182</v>
      </c>
      <c r="AH79" s="6" t="s">
        <v>182</v>
      </c>
    </row>
    <row r="80" customFormat="false" ht="15.75" hidden="false" customHeight="false" outlineLevel="0" collapsed="false">
      <c r="A80" s="3" t="s">
        <v>2057</v>
      </c>
      <c r="B80" s="6" t="s">
        <v>2058</v>
      </c>
      <c r="C80" s="3"/>
      <c r="D80" s="6" t="str">
        <f aca="false">I80   &amp; IF(ISBLANK(M80),, ". "&amp; M80 &amp; IF(ISBLANK(Q80),, ". "&amp; Q80))</f>
        <v>CollectItem</v>
      </c>
      <c r="E80" s="6" t="str">
        <f aca="false">I80  &amp;": # on "&amp; L80  &amp; IF(ISBLANK(M80),, ". "&amp; M80 &amp;": # on "&amp; P80 &amp; IF(ISBLANK(Q80),, ". "&amp; Q80 &amp;": # on "&amp; T80))</f>
        <v>CollectItem: # on Self</v>
      </c>
      <c r="F80" s="6" t="str">
        <f aca="false">IF(U80,"active pal",)  &amp; IF(V80,"working",) &amp; IF(W80,"mounted",) &amp; IF(Y80,"in party (buff)",)  &amp; IF(Z80,"always",)</f>
        <v/>
      </c>
      <c r="G80" s="6" t="n">
        <v>1</v>
      </c>
      <c r="H80" s="6" t="s">
        <v>182</v>
      </c>
      <c r="I80" s="6" t="s">
        <v>2048</v>
      </c>
      <c r="J80" s="6" t="str">
        <f aca="false">IFERROR(__xludf.dummyfunction("IFS(I80=""ShotAttack"",""%"",I80=""MeleeAttack"",""%"", I80=""Defense"",""%"",I80=""CraftSPeed"",""%"",I80=""LifeSteal"",""%"",I80=""MaxInventoryWeight"",""+"",I80=""MoveSpeed"",""%"",REGEXMATCH(I80,""ElementAddItemDrop_""),""%"",I80=""Logging"",""+"",I80"&amp;"=""Mining"",""+"",I80=""Maxhp"",""%"",REGEXMATCH(I80,""TemperatureResist_""),""+"",REGEXMATCH(I80,""ElementResist_""),""%"",REGEXMATCH(I80,""TemperatureInvalid_""),""bool"",REGEXMATCH(I80,""BodyPartsWeakDamage""),""%"",REGEXMATCH(I80,""ElementBoost_""),"""&amp;"%"",AND(REGEXMATCH(B80,""GiveA""),REGEXMATCH(I80,""Element"")),""bool"")"),"#N/A")</f>
        <v>#N/A</v>
      </c>
      <c r="K80" s="6" t="n">
        <v>0</v>
      </c>
      <c r="L80" s="6" t="s">
        <v>1956</v>
      </c>
      <c r="M80" s="6"/>
      <c r="N80" s="6" t="str">
        <f aca="false">IFERROR(__xludf.dummyfunction("IFS(M80=""ShotAttack"",""%"",M80=""MeleeAttack"",""%"", M80=""Defense"",""%"",M80=""CraftSPeed"",""%"",M80=""LifeSteal"",""%"",M80=""MaxInventoryWeight"",""+"",M80=""MoveSpeed"",""%"",REGEXMATCH(M80,""ElementAddItemDrop_""),""%"",M80=""Logging"",""+"",M80"&amp;"=""Mining"",""+"",M80=""Maxhp"",""%"",REGEXMATCH(M80,""TemperatureResist_""),""+"",REGEXMATCH(M80,""ElementResist_""),""%"",REGEXMATCH(M80,""TemperatureInvalid_""),""bool"",REGEXMATCH(M80,""BodyPartsWeakDamage""),""%"",REGEXMATCH(M80,""ElementBoost_""),"""&amp;"%"",AND(REGEXMATCH(F80,""GiveA""),REGEXMATCH(M80,""Element"")),""bool"")"),"#N/A")</f>
        <v>#N/A</v>
      </c>
      <c r="O80" s="6" t="n">
        <v>0</v>
      </c>
      <c r="P80" s="6"/>
      <c r="Q80" s="6"/>
      <c r="R80" s="6" t="str">
        <f aca="false">IFERROR(__xludf.dummyfunction("IFS(Q80=""ShotAttack"",""%"",Q80=""MeleeAttack"",""%"", Q80=""Defense"",""%"",Q80=""CraftSPeed"",""%"",Q80=""LifeSteal"",""%"",Q80=""MaxInventoryWeight"",""+"",Q80=""MoveSpeed"",""%"",REGEXMATCH(Q80,""ElementAddItemDrop_""),""%"",Q80=""Logging"",""+"",Q80"&amp;"=""Mining"",""+"",Q80=""Maxhp"",""%"",REGEXMATCH(Q80,""TemperatureResist_""),""+"",REGEXMATCH(Q80,""ElementResist_""),""%"",REGEXMATCH(Q80,""TemperatureInvalid_""),""bool"",REGEXMATCH(Q80,""BodyPartsWeakDamage""),""%"",REGEXMATCH(Q80,""ElementBoost_""),"""&amp;"%"",AND(REGEXMATCH(J80,""GiveA""),REGEXMATCH(Q80,""Element"")),""bool"")"),"#N/A")</f>
        <v>#N/A</v>
      </c>
      <c r="S80" s="6" t="n">
        <v>0</v>
      </c>
      <c r="T80" s="6"/>
      <c r="U80" s="319" t="b">
        <f aca="false">FALSE()</f>
        <v>0</v>
      </c>
      <c r="V80" s="319" t="b">
        <f aca="false">FALSE()</f>
        <v>0</v>
      </c>
      <c r="W80" s="319" t="b">
        <f aca="false">FALSE()</f>
        <v>0</v>
      </c>
      <c r="X80" s="319" t="b">
        <f aca="false">FALSE()</f>
        <v>0</v>
      </c>
      <c r="Y80" s="319" t="b">
        <f aca="false">FALSE()</f>
        <v>0</v>
      </c>
      <c r="Z80" s="319" t="b">
        <f aca="false">FALSE()</f>
        <v>0</v>
      </c>
      <c r="AA80" s="319" t="b">
        <f aca="false">FALSE()</f>
        <v>0</v>
      </c>
      <c r="AB80" s="319" t="b">
        <f aca="false">FALSE()</f>
        <v>0</v>
      </c>
      <c r="AC80" s="319" t="b">
        <f aca="false">FALSE()</f>
        <v>0</v>
      </c>
      <c r="AD80" s="319" t="b">
        <f aca="false">FALSE()</f>
        <v>0</v>
      </c>
      <c r="AE80" s="319" t="b">
        <f aca="false">FALSE()</f>
        <v>0</v>
      </c>
      <c r="AF80" s="319" t="b">
        <f aca="false">FALSE()</f>
        <v>0</v>
      </c>
      <c r="AG80" s="6" t="s">
        <v>182</v>
      </c>
      <c r="AH80" s="6" t="s">
        <v>182</v>
      </c>
    </row>
    <row r="81" customFormat="false" ht="15.75" hidden="false" customHeight="false" outlineLevel="0" collapsed="false">
      <c r="A81" s="3" t="s">
        <v>1953</v>
      </c>
      <c r="B81" s="6" t="s">
        <v>2059</v>
      </c>
      <c r="C81" s="3"/>
      <c r="D81" s="6" t="str">
        <f aca="false">I81   &amp; IF(ISBLANK(M81),, ". "&amp; M81 &amp; IF(ISBLANK(Q81),, ". "&amp; Q81))</f>
        <v>CollectItem</v>
      </c>
      <c r="E81" s="6" t="str">
        <f aca="false">I81  &amp;": # on "&amp; L81  &amp; IF(ISBLANK(M81),, ". "&amp; M81 &amp;": # on "&amp; P81 &amp; IF(ISBLANK(Q81),, ". "&amp; Q81 &amp;": # on "&amp; T81))</f>
        <v>CollectItem: # on Self</v>
      </c>
      <c r="F81" s="6" t="str">
        <f aca="false">IF(U81,"active pal",)  &amp; IF(V81,"working",) &amp; IF(W81,"mounted",) &amp; IF(Y81,"in party (buff)",)  &amp; IF(Z81,"always",)</f>
        <v/>
      </c>
      <c r="G81" s="6" t="n">
        <v>1</v>
      </c>
      <c r="H81" s="6" t="s">
        <v>182</v>
      </c>
      <c r="I81" s="6" t="s">
        <v>2048</v>
      </c>
      <c r="J81" s="6" t="str">
        <f aca="false">IFERROR(__xludf.dummyfunction("IFS(I81=""ShotAttack"",""%"",I81=""MeleeAttack"",""%"", I81=""Defense"",""%"",I81=""CraftSPeed"",""%"",I81=""LifeSteal"",""%"",I81=""MaxInventoryWeight"",""+"",I81=""MoveSpeed"",""%"",REGEXMATCH(I81,""ElementAddItemDrop_""),""%"",I81=""Logging"",""+"",I81"&amp;"=""Mining"",""+"",I81=""Maxhp"",""%"",REGEXMATCH(I81,""TemperatureResist_""),""+"",REGEXMATCH(I81,""ElementResist_""),""%"",REGEXMATCH(I81,""TemperatureInvalid_""),""bool"",REGEXMATCH(I81,""BodyPartsWeakDamage""),""%"",REGEXMATCH(I81,""ElementBoost_""),"""&amp;"%"",AND(REGEXMATCH(B81,""GiveA""),REGEXMATCH(I81,""Element"")),""bool"")"),"#N/A")</f>
        <v>#N/A</v>
      </c>
      <c r="K81" s="6" t="n">
        <v>0</v>
      </c>
      <c r="L81" s="6" t="s">
        <v>1956</v>
      </c>
      <c r="M81" s="6"/>
      <c r="N81" s="6" t="str">
        <f aca="false">IFERROR(__xludf.dummyfunction("IFS(M81=""ShotAttack"",""%"",M81=""MeleeAttack"",""%"", M81=""Defense"",""%"",M81=""CraftSPeed"",""%"",M81=""LifeSteal"",""%"",M81=""MaxInventoryWeight"",""+"",M81=""MoveSpeed"",""%"",REGEXMATCH(M81,""ElementAddItemDrop_""),""%"",M81=""Logging"",""+"",M81"&amp;"=""Mining"",""+"",M81=""Maxhp"",""%"",REGEXMATCH(M81,""TemperatureResist_""),""+"",REGEXMATCH(M81,""ElementResist_""),""%"",REGEXMATCH(M81,""TemperatureInvalid_""),""bool"",REGEXMATCH(M81,""BodyPartsWeakDamage""),""%"",REGEXMATCH(M81,""ElementBoost_""),"""&amp;"%"",AND(REGEXMATCH(F81,""GiveA""),REGEXMATCH(M81,""Element"")),""bool"")"),"#N/A")</f>
        <v>#N/A</v>
      </c>
      <c r="O81" s="6" t="n">
        <v>0</v>
      </c>
      <c r="P81" s="6"/>
      <c r="Q81" s="6"/>
      <c r="R81" s="6" t="str">
        <f aca="false">IFERROR(__xludf.dummyfunction("IFS(Q81=""ShotAttack"",""%"",Q81=""MeleeAttack"",""%"", Q81=""Defense"",""%"",Q81=""CraftSPeed"",""%"",Q81=""LifeSteal"",""%"",Q81=""MaxInventoryWeight"",""+"",Q81=""MoveSpeed"",""%"",REGEXMATCH(Q81,""ElementAddItemDrop_""),""%"",Q81=""Logging"",""+"",Q81"&amp;"=""Mining"",""+"",Q81=""Maxhp"",""%"",REGEXMATCH(Q81,""TemperatureResist_""),""+"",REGEXMATCH(Q81,""ElementResist_""),""%"",REGEXMATCH(Q81,""TemperatureInvalid_""),""bool"",REGEXMATCH(Q81,""BodyPartsWeakDamage""),""%"",REGEXMATCH(Q81,""ElementBoost_""),"""&amp;"%"",AND(REGEXMATCH(J81,""GiveA""),REGEXMATCH(Q81,""Element"")),""bool"")"),"#N/A")</f>
        <v>#N/A</v>
      </c>
      <c r="S81" s="6" t="n">
        <v>0</v>
      </c>
      <c r="T81" s="6"/>
      <c r="U81" s="319" t="b">
        <f aca="false">FALSE()</f>
        <v>0</v>
      </c>
      <c r="V81" s="319" t="b">
        <f aca="false">FALSE()</f>
        <v>0</v>
      </c>
      <c r="W81" s="319" t="b">
        <f aca="false">FALSE()</f>
        <v>0</v>
      </c>
      <c r="X81" s="319" t="b">
        <f aca="false">FALSE()</f>
        <v>0</v>
      </c>
      <c r="Y81" s="319" t="b">
        <f aca="false">FALSE()</f>
        <v>0</v>
      </c>
      <c r="Z81" s="319" t="b">
        <f aca="false">FALSE()</f>
        <v>0</v>
      </c>
      <c r="AA81" s="319" t="b">
        <f aca="false">FALSE()</f>
        <v>0</v>
      </c>
      <c r="AB81" s="319" t="b">
        <f aca="false">FALSE()</f>
        <v>0</v>
      </c>
      <c r="AC81" s="319" t="b">
        <f aca="false">FALSE()</f>
        <v>0</v>
      </c>
      <c r="AD81" s="319" t="b">
        <f aca="false">FALSE()</f>
        <v>0</v>
      </c>
      <c r="AE81" s="319" t="b">
        <f aca="false">FALSE()</f>
        <v>0</v>
      </c>
      <c r="AF81" s="319" t="b">
        <f aca="false">FALSE()</f>
        <v>0</v>
      </c>
      <c r="AG81" s="6" t="s">
        <v>182</v>
      </c>
      <c r="AH81" s="6" t="s">
        <v>182</v>
      </c>
    </row>
    <row r="82" customFormat="false" ht="15.75" hidden="false" customHeight="false" outlineLevel="0" collapsed="false">
      <c r="A82" s="3" t="s">
        <v>2060</v>
      </c>
      <c r="B82" s="6" t="s">
        <v>2061</v>
      </c>
      <c r="C82" s="3"/>
      <c r="D82" s="6" t="str">
        <f aca="false">I82   &amp; IF(ISBLANK(M82),, ". "&amp; M82 &amp; IF(ISBLANK(Q82),, ". "&amp; Q82))</f>
        <v>CollectItem</v>
      </c>
      <c r="E82" s="6" t="str">
        <f aca="false">I82  &amp;": # on "&amp; L82  &amp; IF(ISBLANK(M82),, ". "&amp; M82 &amp;": # on "&amp; P82 &amp; IF(ISBLANK(Q82),, ". "&amp; Q82 &amp;": # on "&amp; T82))</f>
        <v>CollectItem: # on Self</v>
      </c>
      <c r="F82" s="6" t="str">
        <f aca="false">IF(U82,"active pal",)  &amp; IF(V82,"working",) &amp; IF(W82,"mounted",) &amp; IF(Y82,"in party (buff)",)  &amp; IF(Z82,"always",)</f>
        <v/>
      </c>
      <c r="G82" s="6" t="n">
        <v>1</v>
      </c>
      <c r="H82" s="6" t="s">
        <v>182</v>
      </c>
      <c r="I82" s="6" t="s">
        <v>2048</v>
      </c>
      <c r="J82" s="6" t="str">
        <f aca="false">IFERROR(__xludf.dummyfunction("IFS(I82=""ShotAttack"",""%"",I82=""MeleeAttack"",""%"", I82=""Defense"",""%"",I82=""CraftSPeed"",""%"",I82=""LifeSteal"",""%"",I82=""MaxInventoryWeight"",""+"",I82=""MoveSpeed"",""%"",REGEXMATCH(I82,""ElementAddItemDrop_""),""%"",I82=""Logging"",""+"",I82"&amp;"=""Mining"",""+"",I82=""Maxhp"",""%"",REGEXMATCH(I82,""TemperatureResist_""),""+"",REGEXMATCH(I82,""ElementResist_""),""%"",REGEXMATCH(I82,""TemperatureInvalid_""),""bool"",REGEXMATCH(I82,""BodyPartsWeakDamage""),""%"",REGEXMATCH(I82,""ElementBoost_""),"""&amp;"%"",AND(REGEXMATCH(B82,""GiveA""),REGEXMATCH(I82,""Element"")),""bool"")"),"#N/A")</f>
        <v>#N/A</v>
      </c>
      <c r="K82" s="6" t="n">
        <v>0</v>
      </c>
      <c r="L82" s="6" t="s">
        <v>1956</v>
      </c>
      <c r="M82" s="6"/>
      <c r="N82" s="6" t="str">
        <f aca="false">IFERROR(__xludf.dummyfunction("IFS(M82=""ShotAttack"",""%"",M82=""MeleeAttack"",""%"", M82=""Defense"",""%"",M82=""CraftSPeed"",""%"",M82=""LifeSteal"",""%"",M82=""MaxInventoryWeight"",""+"",M82=""MoveSpeed"",""%"",REGEXMATCH(M82,""ElementAddItemDrop_""),""%"",M82=""Logging"",""+"",M82"&amp;"=""Mining"",""+"",M82=""Maxhp"",""%"",REGEXMATCH(M82,""TemperatureResist_""),""+"",REGEXMATCH(M82,""ElementResist_""),""%"",REGEXMATCH(M82,""TemperatureInvalid_""),""bool"",REGEXMATCH(M82,""BodyPartsWeakDamage""),""%"",REGEXMATCH(M82,""ElementBoost_""),"""&amp;"%"",AND(REGEXMATCH(F82,""GiveA""),REGEXMATCH(M82,""Element"")),""bool"")"),"#N/A")</f>
        <v>#N/A</v>
      </c>
      <c r="O82" s="6" t="n">
        <v>0</v>
      </c>
      <c r="P82" s="6"/>
      <c r="Q82" s="6"/>
      <c r="R82" s="6" t="str">
        <f aca="false">IFERROR(__xludf.dummyfunction("IFS(Q82=""ShotAttack"",""%"",Q82=""MeleeAttack"",""%"", Q82=""Defense"",""%"",Q82=""CraftSPeed"",""%"",Q82=""LifeSteal"",""%"",Q82=""MaxInventoryWeight"",""+"",Q82=""MoveSpeed"",""%"",REGEXMATCH(Q82,""ElementAddItemDrop_""),""%"",Q82=""Logging"",""+"",Q82"&amp;"=""Mining"",""+"",Q82=""Maxhp"",""%"",REGEXMATCH(Q82,""TemperatureResist_""),""+"",REGEXMATCH(Q82,""ElementResist_""),""%"",REGEXMATCH(Q82,""TemperatureInvalid_""),""bool"",REGEXMATCH(Q82,""BodyPartsWeakDamage""),""%"",REGEXMATCH(Q82,""ElementBoost_""),"""&amp;"%"",AND(REGEXMATCH(J82,""GiveA""),REGEXMATCH(Q82,""Element"")),""bool"")"),"#N/A")</f>
        <v>#N/A</v>
      </c>
      <c r="S82" s="6" t="n">
        <v>0</v>
      </c>
      <c r="T82" s="6"/>
      <c r="U82" s="319" t="b">
        <f aca="false">FALSE()</f>
        <v>0</v>
      </c>
      <c r="V82" s="319" t="b">
        <f aca="false">FALSE()</f>
        <v>0</v>
      </c>
      <c r="W82" s="319" t="b">
        <f aca="false">FALSE()</f>
        <v>0</v>
      </c>
      <c r="X82" s="319" t="b">
        <f aca="false">FALSE()</f>
        <v>0</v>
      </c>
      <c r="Y82" s="319" t="b">
        <f aca="false">FALSE()</f>
        <v>0</v>
      </c>
      <c r="Z82" s="319" t="b">
        <f aca="false">FALSE()</f>
        <v>0</v>
      </c>
      <c r="AA82" s="319" t="b">
        <f aca="false">FALSE()</f>
        <v>0</v>
      </c>
      <c r="AB82" s="319" t="b">
        <f aca="false">FALSE()</f>
        <v>0</v>
      </c>
      <c r="AC82" s="319" t="b">
        <f aca="false">FALSE()</f>
        <v>0</v>
      </c>
      <c r="AD82" s="319" t="b">
        <f aca="false">FALSE()</f>
        <v>0</v>
      </c>
      <c r="AE82" s="319" t="b">
        <f aca="false">FALSE()</f>
        <v>0</v>
      </c>
      <c r="AF82" s="319" t="b">
        <f aca="false">FALSE()</f>
        <v>0</v>
      </c>
      <c r="AG82" s="6" t="s">
        <v>182</v>
      </c>
      <c r="AH82" s="6" t="s">
        <v>182</v>
      </c>
    </row>
    <row r="83" customFormat="false" ht="15.75" hidden="false" customHeight="false" outlineLevel="0" collapsed="false">
      <c r="A83" s="3" t="s">
        <v>2060</v>
      </c>
      <c r="B83" s="6" t="s">
        <v>878</v>
      </c>
      <c r="C83" s="3"/>
      <c r="D83" s="6" t="str">
        <f aca="false">I83   &amp; IF(ISBLANK(M83),, ". "&amp; M83 &amp; IF(ISBLANK(Q83),, ". "&amp; Q83))</f>
        <v>CollectItem</v>
      </c>
      <c r="E83" s="6" t="str">
        <f aca="false">I83  &amp;": # on "&amp; L83  &amp; IF(ISBLANK(M83),, ". "&amp; M83 &amp;": # on "&amp; P83 &amp; IF(ISBLANK(Q83),, ". "&amp; Q83 &amp;": # on "&amp; T83))</f>
        <v>CollectItem: # on Self</v>
      </c>
      <c r="F83" s="6" t="str">
        <f aca="false">IF(U83,"active pal",)  &amp; IF(V83,"working",) &amp; IF(W83,"mounted",) &amp; IF(Y83,"in party (buff)",)  &amp; IF(Z83,"always",)</f>
        <v/>
      </c>
      <c r="G83" s="6" t="n">
        <v>1</v>
      </c>
      <c r="H83" s="6" t="s">
        <v>182</v>
      </c>
      <c r="I83" s="6" t="s">
        <v>2048</v>
      </c>
      <c r="J83" s="6" t="str">
        <f aca="false">IFERROR(__xludf.dummyfunction("IFS(I83=""ShotAttack"",""%"",I83=""MeleeAttack"",""%"", I83=""Defense"",""%"",I83=""CraftSPeed"",""%"",I83=""LifeSteal"",""%"",I83=""MaxInventoryWeight"",""+"",I83=""MoveSpeed"",""%"",REGEXMATCH(I83,""ElementAddItemDrop_""),""%"",I83=""Logging"",""+"",I83"&amp;"=""Mining"",""+"",I83=""Maxhp"",""%"",REGEXMATCH(I83,""TemperatureResist_""),""+"",REGEXMATCH(I83,""ElementResist_""),""%"",REGEXMATCH(I83,""TemperatureInvalid_""),""bool"",REGEXMATCH(I83,""BodyPartsWeakDamage""),""%"",REGEXMATCH(I83,""ElementBoost_""),"""&amp;"%"",AND(REGEXMATCH(B83,""GiveA""),REGEXMATCH(I83,""Element"")),""bool"")"),"#N/A")</f>
        <v>#N/A</v>
      </c>
      <c r="K83" s="6" t="n">
        <v>0</v>
      </c>
      <c r="L83" s="6" t="s">
        <v>1956</v>
      </c>
      <c r="M83" s="6"/>
      <c r="N83" s="6" t="str">
        <f aca="false">IFERROR(__xludf.dummyfunction("IFS(M83=""ShotAttack"",""%"",M83=""MeleeAttack"",""%"", M83=""Defense"",""%"",M83=""CraftSPeed"",""%"",M83=""LifeSteal"",""%"",M83=""MaxInventoryWeight"",""+"",M83=""MoveSpeed"",""%"",REGEXMATCH(M83,""ElementAddItemDrop_""),""%"",M83=""Logging"",""+"",M83"&amp;"=""Mining"",""+"",M83=""Maxhp"",""%"",REGEXMATCH(M83,""TemperatureResist_""),""+"",REGEXMATCH(M83,""ElementResist_""),""%"",REGEXMATCH(M83,""TemperatureInvalid_""),""bool"",REGEXMATCH(M83,""BodyPartsWeakDamage""),""%"",REGEXMATCH(M83,""ElementBoost_""),"""&amp;"%"",AND(REGEXMATCH(F83,""GiveA""),REGEXMATCH(M83,""Element"")),""bool"")"),"#N/A")</f>
        <v>#N/A</v>
      </c>
      <c r="O83" s="6" t="n">
        <v>0</v>
      </c>
      <c r="P83" s="6"/>
      <c r="Q83" s="6"/>
      <c r="R83" s="6" t="str">
        <f aca="false">IFERROR(__xludf.dummyfunction("IFS(Q83=""ShotAttack"",""%"",Q83=""MeleeAttack"",""%"", Q83=""Defense"",""%"",Q83=""CraftSPeed"",""%"",Q83=""LifeSteal"",""%"",Q83=""MaxInventoryWeight"",""+"",Q83=""MoveSpeed"",""%"",REGEXMATCH(Q83,""ElementAddItemDrop_""),""%"",Q83=""Logging"",""+"",Q83"&amp;"=""Mining"",""+"",Q83=""Maxhp"",""%"",REGEXMATCH(Q83,""TemperatureResist_""),""+"",REGEXMATCH(Q83,""ElementResist_""),""%"",REGEXMATCH(Q83,""TemperatureInvalid_""),""bool"",REGEXMATCH(Q83,""BodyPartsWeakDamage""),""%"",REGEXMATCH(Q83,""ElementBoost_""),"""&amp;"%"",AND(REGEXMATCH(J83,""GiveA""),REGEXMATCH(Q83,""Element"")),""bool"")"),"#N/A")</f>
        <v>#N/A</v>
      </c>
      <c r="S83" s="6" t="n">
        <v>0</v>
      </c>
      <c r="T83" s="6"/>
      <c r="U83" s="319" t="b">
        <f aca="false">FALSE()</f>
        <v>0</v>
      </c>
      <c r="V83" s="319" t="b">
        <f aca="false">FALSE()</f>
        <v>0</v>
      </c>
      <c r="W83" s="319" t="b">
        <f aca="false">FALSE()</f>
        <v>0</v>
      </c>
      <c r="X83" s="319" t="b">
        <f aca="false">FALSE()</f>
        <v>0</v>
      </c>
      <c r="Y83" s="319" t="b">
        <f aca="false">FALSE()</f>
        <v>0</v>
      </c>
      <c r="Z83" s="319" t="b">
        <f aca="false">FALSE()</f>
        <v>0</v>
      </c>
      <c r="AA83" s="319" t="b">
        <f aca="false">FALSE()</f>
        <v>0</v>
      </c>
      <c r="AB83" s="319" t="b">
        <f aca="false">FALSE()</f>
        <v>0</v>
      </c>
      <c r="AC83" s="319" t="b">
        <f aca="false">FALSE()</f>
        <v>0</v>
      </c>
      <c r="AD83" s="319" t="b">
        <f aca="false">FALSE()</f>
        <v>0</v>
      </c>
      <c r="AE83" s="319" t="b">
        <f aca="false">FALSE()</f>
        <v>0</v>
      </c>
      <c r="AF83" s="319" t="b">
        <f aca="false">FALSE()</f>
        <v>0</v>
      </c>
      <c r="AG83" s="6" t="s">
        <v>182</v>
      </c>
      <c r="AH83" s="6" t="s">
        <v>182</v>
      </c>
    </row>
    <row r="84" customFormat="false" ht="15.75" hidden="false" customHeight="false" outlineLevel="0" collapsed="false">
      <c r="A84" s="3" t="s">
        <v>2062</v>
      </c>
      <c r="B84" s="6" t="s">
        <v>2063</v>
      </c>
      <c r="C84" s="3"/>
      <c r="D84" s="6" t="str">
        <f aca="false">I84   &amp; IF(ISBLANK(M84),, ". "&amp; M84 &amp; IF(ISBLANK(Q84),, ". "&amp; Q84))</f>
        <v>CollectItem</v>
      </c>
      <c r="E84" s="6" t="str">
        <f aca="false">I84  &amp;": # on "&amp; L84  &amp; IF(ISBLANK(M84),, ". "&amp; M84 &amp;": # on "&amp; P84 &amp; IF(ISBLANK(Q84),, ". "&amp; Q84 &amp;": # on "&amp; T84))</f>
        <v>CollectItem: # on Self</v>
      </c>
      <c r="F84" s="6" t="str">
        <f aca="false">IF(U84,"active pal",)  &amp; IF(V84,"working",) &amp; IF(W84,"mounted",) &amp; IF(Y84,"in party (buff)",)  &amp; IF(Z84,"always",)</f>
        <v/>
      </c>
      <c r="G84" s="6" t="n">
        <v>1</v>
      </c>
      <c r="H84" s="6" t="s">
        <v>182</v>
      </c>
      <c r="I84" s="6" t="s">
        <v>2048</v>
      </c>
      <c r="J84" s="6" t="str">
        <f aca="false">IFERROR(__xludf.dummyfunction("IFS(I84=""ShotAttack"",""%"",I84=""MeleeAttack"",""%"", I84=""Defense"",""%"",I84=""CraftSPeed"",""%"",I84=""LifeSteal"",""%"",I84=""MaxInventoryWeight"",""+"",I84=""MoveSpeed"",""%"",REGEXMATCH(I84,""ElementAddItemDrop_""),""%"",I84=""Logging"",""+"",I84"&amp;"=""Mining"",""+"",I84=""Maxhp"",""%"",REGEXMATCH(I84,""TemperatureResist_""),""+"",REGEXMATCH(I84,""ElementResist_""),""%"",REGEXMATCH(I84,""TemperatureInvalid_""),""bool"",REGEXMATCH(I84,""BodyPartsWeakDamage""),""%"",REGEXMATCH(I84,""ElementBoost_""),"""&amp;"%"",AND(REGEXMATCH(B84,""GiveA""),REGEXMATCH(I84,""Element"")),""bool"")"),"#N/A")</f>
        <v>#N/A</v>
      </c>
      <c r="K84" s="6" t="n">
        <v>0</v>
      </c>
      <c r="L84" s="6" t="s">
        <v>1956</v>
      </c>
      <c r="M84" s="6"/>
      <c r="N84" s="6" t="str">
        <f aca="false">IFERROR(__xludf.dummyfunction("IFS(M84=""ShotAttack"",""%"",M84=""MeleeAttack"",""%"", M84=""Defense"",""%"",M84=""CraftSPeed"",""%"",M84=""LifeSteal"",""%"",M84=""MaxInventoryWeight"",""+"",M84=""MoveSpeed"",""%"",REGEXMATCH(M84,""ElementAddItemDrop_""),""%"",M84=""Logging"",""+"",M84"&amp;"=""Mining"",""+"",M84=""Maxhp"",""%"",REGEXMATCH(M84,""TemperatureResist_""),""+"",REGEXMATCH(M84,""ElementResist_""),""%"",REGEXMATCH(M84,""TemperatureInvalid_""),""bool"",REGEXMATCH(M84,""BodyPartsWeakDamage""),""%"",REGEXMATCH(M84,""ElementBoost_""),"""&amp;"%"",AND(REGEXMATCH(F84,""GiveA""),REGEXMATCH(M84,""Element"")),""bool"")"),"#N/A")</f>
        <v>#N/A</v>
      </c>
      <c r="O84" s="6" t="n">
        <v>0</v>
      </c>
      <c r="P84" s="6"/>
      <c r="Q84" s="6"/>
      <c r="R84" s="6" t="str">
        <f aca="false">IFERROR(__xludf.dummyfunction("IFS(Q84=""ShotAttack"",""%"",Q84=""MeleeAttack"",""%"", Q84=""Defense"",""%"",Q84=""CraftSPeed"",""%"",Q84=""LifeSteal"",""%"",Q84=""MaxInventoryWeight"",""+"",Q84=""MoveSpeed"",""%"",REGEXMATCH(Q84,""ElementAddItemDrop_""),""%"",Q84=""Logging"",""+"",Q84"&amp;"=""Mining"",""+"",Q84=""Maxhp"",""%"",REGEXMATCH(Q84,""TemperatureResist_""),""+"",REGEXMATCH(Q84,""ElementResist_""),""%"",REGEXMATCH(Q84,""TemperatureInvalid_""),""bool"",REGEXMATCH(Q84,""BodyPartsWeakDamage""),""%"",REGEXMATCH(Q84,""ElementBoost_""),"""&amp;"%"",AND(REGEXMATCH(J84,""GiveA""),REGEXMATCH(Q84,""Element"")),""bool"")"),"#N/A")</f>
        <v>#N/A</v>
      </c>
      <c r="S84" s="6" t="n">
        <v>0</v>
      </c>
      <c r="T84" s="6"/>
      <c r="U84" s="319" t="b">
        <f aca="false">FALSE()</f>
        <v>0</v>
      </c>
      <c r="V84" s="319" t="b">
        <f aca="false">FALSE()</f>
        <v>0</v>
      </c>
      <c r="W84" s="319" t="b">
        <f aca="false">FALSE()</f>
        <v>0</v>
      </c>
      <c r="X84" s="319" t="b">
        <f aca="false">FALSE()</f>
        <v>0</v>
      </c>
      <c r="Y84" s="319" t="b">
        <f aca="false">FALSE()</f>
        <v>0</v>
      </c>
      <c r="Z84" s="319" t="b">
        <f aca="false">FALSE()</f>
        <v>0</v>
      </c>
      <c r="AA84" s="319" t="b">
        <f aca="false">FALSE()</f>
        <v>0</v>
      </c>
      <c r="AB84" s="319" t="b">
        <f aca="false">FALSE()</f>
        <v>0</v>
      </c>
      <c r="AC84" s="319" t="b">
        <f aca="false">FALSE()</f>
        <v>0</v>
      </c>
      <c r="AD84" s="319" t="b">
        <f aca="false">FALSE()</f>
        <v>0</v>
      </c>
      <c r="AE84" s="319" t="b">
        <f aca="false">FALSE()</f>
        <v>0</v>
      </c>
      <c r="AF84" s="319" t="b">
        <f aca="false">FALSE()</f>
        <v>0</v>
      </c>
      <c r="AG84" s="6" t="s">
        <v>182</v>
      </c>
      <c r="AH84" s="6" t="s">
        <v>182</v>
      </c>
    </row>
    <row r="85" customFormat="false" ht="15.75" hidden="false" customHeight="false" outlineLevel="0" collapsed="false">
      <c r="A85" s="3" t="s">
        <v>1953</v>
      </c>
      <c r="B85" s="6" t="s">
        <v>2064</v>
      </c>
      <c r="C85" s="3"/>
      <c r="D85" s="6" t="str">
        <f aca="false">I85   &amp; IF(ISBLANK(M85),, ". "&amp; M85 &amp; IF(ISBLANK(Q85),, ". "&amp; Q85))</f>
        <v>Logging</v>
      </c>
      <c r="E85" s="6" t="str">
        <f aca="false">I85  &amp;": # on "&amp; L85  &amp; IF(ISBLANK(M85),, ". "&amp; M85 &amp;": # on "&amp; P85 &amp; IF(ISBLANK(Q85),, ". "&amp; Q85 &amp;": # on "&amp; T85))</f>
        <v>Logging: # on Self</v>
      </c>
      <c r="F85" s="6" t="str">
        <f aca="false">IF(U85,"active pal",)  &amp; IF(V85,"working",) &amp; IF(W85,"mounted",) &amp; IF(Y85,"in party (buff)",)  &amp; IF(Z85,"always",)</f>
        <v>active pal</v>
      </c>
      <c r="G85" s="6" t="n">
        <v>1</v>
      </c>
      <c r="H85" s="6" t="s">
        <v>182</v>
      </c>
      <c r="I85" s="6" t="s">
        <v>2065</v>
      </c>
      <c r="J85" s="6" t="str">
        <f aca="false">IFERROR(__xludf.dummyfunction("IFS(I85=""ShotAttack"",""%"",I85=""MeleeAttack"",""%"", I85=""Defense"",""%"",I85=""CraftSPeed"",""%"",I85=""LifeSteal"",""%"",I85=""MaxInventoryWeight"",""+"",I85=""MoveSpeed"",""%"",REGEXMATCH(I85,""ElementAddItemDrop_""),""%"",I85=""Logging"",""+"",I85"&amp;"=""Mining"",""+"",I85=""Maxhp"",""%"",REGEXMATCH(I85,""TemperatureResist_""),""+"",REGEXMATCH(I85,""ElementResist_""),""%"",REGEXMATCH(I85,""TemperatureInvalid_""),""bool"",REGEXMATCH(I85,""BodyPartsWeakDamage""),""%"",REGEXMATCH(I85,""ElementBoost_""),"""&amp;"%"",AND(REGEXMATCH(B85,""GiveA""),REGEXMATCH(I85,""Element"")),""bool"")"),"+")</f>
        <v>+</v>
      </c>
      <c r="K85" s="6" t="n">
        <v>100</v>
      </c>
      <c r="L85" s="6" t="s">
        <v>1956</v>
      </c>
      <c r="M85" s="6"/>
      <c r="N85" s="6" t="str">
        <f aca="false">IFERROR(__xludf.dummyfunction("IFS(M85=""ShotAttack"",""%"",M85=""MeleeAttack"",""%"", M85=""Defense"",""%"",M85=""CraftSPeed"",""%"",M85=""LifeSteal"",""%"",M85=""MaxInventoryWeight"",""+"",M85=""MoveSpeed"",""%"",REGEXMATCH(M85,""ElementAddItemDrop_""),""%"",M85=""Logging"",""+"",M85"&amp;"=""Mining"",""+"",M85=""Maxhp"",""%"",REGEXMATCH(M85,""TemperatureResist_""),""+"",REGEXMATCH(M85,""ElementResist_""),""%"",REGEXMATCH(M85,""TemperatureInvalid_""),""bool"",REGEXMATCH(M85,""BodyPartsWeakDamage""),""%"",REGEXMATCH(M85,""ElementBoost_""),"""&amp;"%"",AND(REGEXMATCH(F85,""GiveA""),REGEXMATCH(M85,""Element"")),""bool"")"),"#N/A")</f>
        <v>#N/A</v>
      </c>
      <c r="O85" s="6" t="n">
        <v>0</v>
      </c>
      <c r="P85" s="6"/>
      <c r="Q85" s="6"/>
      <c r="R85" s="6" t="str">
        <f aca="false">IFERROR(__xludf.dummyfunction("IFS(Q85=""ShotAttack"",""%"",Q85=""MeleeAttack"",""%"", Q85=""Defense"",""%"",Q85=""CraftSPeed"",""%"",Q85=""LifeSteal"",""%"",Q85=""MaxInventoryWeight"",""+"",Q85=""MoveSpeed"",""%"",REGEXMATCH(Q85,""ElementAddItemDrop_""),""%"",Q85=""Logging"",""+"",Q85"&amp;"=""Mining"",""+"",Q85=""Maxhp"",""%"",REGEXMATCH(Q85,""TemperatureResist_""),""+"",REGEXMATCH(Q85,""ElementResist_""),""%"",REGEXMATCH(Q85,""TemperatureInvalid_""),""bool"",REGEXMATCH(Q85,""BodyPartsWeakDamage""),""%"",REGEXMATCH(Q85,""ElementBoost_""),"""&amp;"%"",AND(REGEXMATCH(J85,""GiveA""),REGEXMATCH(Q85,""Element"")),""bool"")"),"#N/A")</f>
        <v>#N/A</v>
      </c>
      <c r="S85" s="6" t="n">
        <v>0</v>
      </c>
      <c r="T85" s="6"/>
      <c r="U85" s="319" t="b">
        <f aca="false">TRUE()</f>
        <v>1</v>
      </c>
      <c r="V85" s="319" t="b">
        <f aca="false">FALSE()</f>
        <v>0</v>
      </c>
      <c r="W85" s="319" t="b">
        <f aca="false">FALSE()</f>
        <v>0</v>
      </c>
      <c r="X85" s="319" t="b">
        <f aca="false">FALSE()</f>
        <v>0</v>
      </c>
      <c r="Y85" s="319" t="b">
        <f aca="false">FALSE()</f>
        <v>0</v>
      </c>
      <c r="Z85" s="319" t="b">
        <f aca="false">FALSE()</f>
        <v>0</v>
      </c>
      <c r="AA85" s="319" t="b">
        <f aca="false">FALSE()</f>
        <v>0</v>
      </c>
      <c r="AB85" s="319" t="b">
        <f aca="false">FALSE()</f>
        <v>0</v>
      </c>
      <c r="AC85" s="319" t="b">
        <f aca="false">FALSE()</f>
        <v>0</v>
      </c>
      <c r="AD85" s="319" t="b">
        <f aca="false">FALSE()</f>
        <v>0</v>
      </c>
      <c r="AE85" s="319" t="b">
        <f aca="false">FALSE()</f>
        <v>0</v>
      </c>
      <c r="AF85" s="319" t="b">
        <f aca="false">FALSE()</f>
        <v>0</v>
      </c>
      <c r="AG85" s="6" t="s">
        <v>182</v>
      </c>
      <c r="AH85" s="6" t="s">
        <v>182</v>
      </c>
    </row>
    <row r="86" customFormat="false" ht="15.75" hidden="false" customHeight="false" outlineLevel="0" collapsed="false">
      <c r="A86" s="3" t="s">
        <v>1953</v>
      </c>
      <c r="B86" s="6" t="s">
        <v>2066</v>
      </c>
      <c r="C86" s="3"/>
      <c r="D86" s="6" t="str">
        <f aca="false">I86   &amp; IF(ISBLANK(M86),, ". "&amp; M86 &amp; IF(ISBLANK(Q86),, ". "&amp; Q86))</f>
        <v>Logging</v>
      </c>
      <c r="E86" s="6" t="str">
        <f aca="false">I86  &amp;": # on "&amp; L86  &amp; IF(ISBLANK(M86),, ". "&amp; M86 &amp;": # on "&amp; P86 &amp; IF(ISBLANK(Q86),, ". "&amp; Q86 &amp;": # on "&amp; T86))</f>
        <v>Logging: # on Self</v>
      </c>
      <c r="F86" s="6" t="str">
        <f aca="false">IF(U86,"active pal",)  &amp; IF(V86,"working",) &amp; IF(W86,"mounted",) &amp; IF(Y86,"in party (buff)",)  &amp; IF(Z86,"always",)</f>
        <v>active pal</v>
      </c>
      <c r="G86" s="6" t="n">
        <v>2</v>
      </c>
      <c r="H86" s="6" t="s">
        <v>182</v>
      </c>
      <c r="I86" s="6" t="s">
        <v>2065</v>
      </c>
      <c r="J86" s="6" t="str">
        <f aca="false">IFERROR(__xludf.dummyfunction("IFS(I86=""ShotAttack"",""%"",I86=""MeleeAttack"",""%"", I86=""Defense"",""%"",I86=""CraftSPeed"",""%"",I86=""LifeSteal"",""%"",I86=""MaxInventoryWeight"",""+"",I86=""MoveSpeed"",""%"",REGEXMATCH(I86,""ElementAddItemDrop_""),""%"",I86=""Logging"",""+"",I86"&amp;"=""Mining"",""+"",I86=""Maxhp"",""%"",REGEXMATCH(I86,""TemperatureResist_""),""+"",REGEXMATCH(I86,""ElementResist_""),""%"",REGEXMATCH(I86,""TemperatureInvalid_""),""bool"",REGEXMATCH(I86,""BodyPartsWeakDamage""),""%"",REGEXMATCH(I86,""ElementBoost_""),"""&amp;"%"",AND(REGEXMATCH(B86,""GiveA""),REGEXMATCH(I86,""Element"")),""bool"")"),"+")</f>
        <v>+</v>
      </c>
      <c r="K86" s="6" t="n">
        <v>130</v>
      </c>
      <c r="L86" s="6" t="s">
        <v>1956</v>
      </c>
      <c r="M86" s="6"/>
      <c r="N86" s="6" t="str">
        <f aca="false">IFERROR(__xludf.dummyfunction("IFS(M86=""ShotAttack"",""%"",M86=""MeleeAttack"",""%"", M86=""Defense"",""%"",M86=""CraftSPeed"",""%"",M86=""LifeSteal"",""%"",M86=""MaxInventoryWeight"",""+"",M86=""MoveSpeed"",""%"",REGEXMATCH(M86,""ElementAddItemDrop_""),""%"",M86=""Logging"",""+"",M86"&amp;"=""Mining"",""+"",M86=""Maxhp"",""%"",REGEXMATCH(M86,""TemperatureResist_""),""+"",REGEXMATCH(M86,""ElementResist_""),""%"",REGEXMATCH(M86,""TemperatureInvalid_""),""bool"",REGEXMATCH(M86,""BodyPartsWeakDamage""),""%"",REGEXMATCH(M86,""ElementBoost_""),"""&amp;"%"",AND(REGEXMATCH(F86,""GiveA""),REGEXMATCH(M86,""Element"")),""bool"")"),"#N/A")</f>
        <v>#N/A</v>
      </c>
      <c r="O86" s="6" t="n">
        <v>0</v>
      </c>
      <c r="P86" s="6"/>
      <c r="Q86" s="6"/>
      <c r="R86" s="6" t="str">
        <f aca="false">IFERROR(__xludf.dummyfunction("IFS(Q86=""ShotAttack"",""%"",Q86=""MeleeAttack"",""%"", Q86=""Defense"",""%"",Q86=""CraftSPeed"",""%"",Q86=""LifeSteal"",""%"",Q86=""MaxInventoryWeight"",""+"",Q86=""MoveSpeed"",""%"",REGEXMATCH(Q86,""ElementAddItemDrop_""),""%"",Q86=""Logging"",""+"",Q86"&amp;"=""Mining"",""+"",Q86=""Maxhp"",""%"",REGEXMATCH(Q86,""TemperatureResist_""),""+"",REGEXMATCH(Q86,""ElementResist_""),""%"",REGEXMATCH(Q86,""TemperatureInvalid_""),""bool"",REGEXMATCH(Q86,""BodyPartsWeakDamage""),""%"",REGEXMATCH(Q86,""ElementBoost_""),"""&amp;"%"",AND(REGEXMATCH(J86,""GiveA""),REGEXMATCH(Q86,""Element"")),""bool"")"),"#N/A")</f>
        <v>#N/A</v>
      </c>
      <c r="S86" s="6" t="n">
        <v>0</v>
      </c>
      <c r="T86" s="6"/>
      <c r="U86" s="319" t="b">
        <f aca="false">TRUE()</f>
        <v>1</v>
      </c>
      <c r="V86" s="319" t="b">
        <f aca="false">FALSE()</f>
        <v>0</v>
      </c>
      <c r="W86" s="319" t="b">
        <f aca="false">FALSE()</f>
        <v>0</v>
      </c>
      <c r="X86" s="319" t="b">
        <f aca="false">FALSE()</f>
        <v>0</v>
      </c>
      <c r="Y86" s="319" t="b">
        <f aca="false">FALSE()</f>
        <v>0</v>
      </c>
      <c r="Z86" s="319" t="b">
        <f aca="false">FALSE()</f>
        <v>0</v>
      </c>
      <c r="AA86" s="319" t="b">
        <f aca="false">FALSE()</f>
        <v>0</v>
      </c>
      <c r="AB86" s="319" t="b">
        <f aca="false">FALSE()</f>
        <v>0</v>
      </c>
      <c r="AC86" s="319" t="b">
        <f aca="false">FALSE()</f>
        <v>0</v>
      </c>
      <c r="AD86" s="319" t="b">
        <f aca="false">FALSE()</f>
        <v>0</v>
      </c>
      <c r="AE86" s="319" t="b">
        <f aca="false">FALSE()</f>
        <v>0</v>
      </c>
      <c r="AF86" s="319" t="b">
        <f aca="false">FALSE()</f>
        <v>0</v>
      </c>
      <c r="AG86" s="6" t="s">
        <v>182</v>
      </c>
      <c r="AH86" s="6" t="s">
        <v>182</v>
      </c>
    </row>
    <row r="87" customFormat="false" ht="15.75" hidden="false" customHeight="false" outlineLevel="0" collapsed="false">
      <c r="A87" s="3" t="s">
        <v>1953</v>
      </c>
      <c r="B87" s="6" t="s">
        <v>2067</v>
      </c>
      <c r="C87" s="3"/>
      <c r="D87" s="6" t="str">
        <f aca="false">I87   &amp; IF(ISBLANK(M87),, ". "&amp; M87 &amp; IF(ISBLANK(Q87),, ". "&amp; Q87))</f>
        <v>Logging</v>
      </c>
      <c r="E87" s="6" t="str">
        <f aca="false">I87  &amp;": # on "&amp; L87  &amp; IF(ISBLANK(M87),, ". "&amp; M87 &amp;": # on "&amp; P87 &amp; IF(ISBLANK(Q87),, ". "&amp; Q87 &amp;": # on "&amp; T87))</f>
        <v>Logging: # on Self</v>
      </c>
      <c r="F87" s="6" t="str">
        <f aca="false">IF(U87,"active pal",)  &amp; IF(V87,"working",) &amp; IF(W87,"mounted",) &amp; IF(Y87,"in party (buff)",)  &amp; IF(Z87,"always",)</f>
        <v>active pal</v>
      </c>
      <c r="G87" s="6" t="n">
        <v>3</v>
      </c>
      <c r="H87" s="6" t="s">
        <v>182</v>
      </c>
      <c r="I87" s="6" t="s">
        <v>2065</v>
      </c>
      <c r="J87" s="6" t="str">
        <f aca="false">IFERROR(__xludf.dummyfunction("IFS(I87=""ShotAttack"",""%"",I87=""MeleeAttack"",""%"", I87=""Defense"",""%"",I87=""CraftSPeed"",""%"",I87=""LifeSteal"",""%"",I87=""MaxInventoryWeight"",""+"",I87=""MoveSpeed"",""%"",REGEXMATCH(I87,""ElementAddItemDrop_""),""%"",I87=""Logging"",""+"",I87"&amp;"=""Mining"",""+"",I87=""Maxhp"",""%"",REGEXMATCH(I87,""TemperatureResist_""),""+"",REGEXMATCH(I87,""ElementResist_""),""%"",REGEXMATCH(I87,""TemperatureInvalid_""),""bool"",REGEXMATCH(I87,""BodyPartsWeakDamage""),""%"",REGEXMATCH(I87,""ElementBoost_""),"""&amp;"%"",AND(REGEXMATCH(B87,""GiveA""),REGEXMATCH(I87,""Element"")),""bool"")"),"+")</f>
        <v>+</v>
      </c>
      <c r="K87" s="6" t="n">
        <v>160</v>
      </c>
      <c r="L87" s="6" t="s">
        <v>1956</v>
      </c>
      <c r="M87" s="6"/>
      <c r="N87" s="6" t="str">
        <f aca="false">IFERROR(__xludf.dummyfunction("IFS(M87=""ShotAttack"",""%"",M87=""MeleeAttack"",""%"", M87=""Defense"",""%"",M87=""CraftSPeed"",""%"",M87=""LifeSteal"",""%"",M87=""MaxInventoryWeight"",""+"",M87=""MoveSpeed"",""%"",REGEXMATCH(M87,""ElementAddItemDrop_""),""%"",M87=""Logging"",""+"",M87"&amp;"=""Mining"",""+"",M87=""Maxhp"",""%"",REGEXMATCH(M87,""TemperatureResist_""),""+"",REGEXMATCH(M87,""ElementResist_""),""%"",REGEXMATCH(M87,""TemperatureInvalid_""),""bool"",REGEXMATCH(M87,""BodyPartsWeakDamage""),""%"",REGEXMATCH(M87,""ElementBoost_""),"""&amp;"%"",AND(REGEXMATCH(F87,""GiveA""),REGEXMATCH(M87,""Element"")),""bool"")"),"#N/A")</f>
        <v>#N/A</v>
      </c>
      <c r="O87" s="6" t="n">
        <v>0</v>
      </c>
      <c r="P87" s="6"/>
      <c r="Q87" s="6"/>
      <c r="R87" s="6" t="str">
        <f aca="false">IFERROR(__xludf.dummyfunction("IFS(Q87=""ShotAttack"",""%"",Q87=""MeleeAttack"",""%"", Q87=""Defense"",""%"",Q87=""CraftSPeed"",""%"",Q87=""LifeSteal"",""%"",Q87=""MaxInventoryWeight"",""+"",Q87=""MoveSpeed"",""%"",REGEXMATCH(Q87,""ElementAddItemDrop_""),""%"",Q87=""Logging"",""+"",Q87"&amp;"=""Mining"",""+"",Q87=""Maxhp"",""%"",REGEXMATCH(Q87,""TemperatureResist_""),""+"",REGEXMATCH(Q87,""ElementResist_""),""%"",REGEXMATCH(Q87,""TemperatureInvalid_""),""bool"",REGEXMATCH(Q87,""BodyPartsWeakDamage""),""%"",REGEXMATCH(Q87,""ElementBoost_""),"""&amp;"%"",AND(REGEXMATCH(J87,""GiveA""),REGEXMATCH(Q87,""Element"")),""bool"")"),"#N/A")</f>
        <v>#N/A</v>
      </c>
      <c r="S87" s="6" t="n">
        <v>0</v>
      </c>
      <c r="T87" s="6"/>
      <c r="U87" s="319" t="b">
        <f aca="false">TRUE()</f>
        <v>1</v>
      </c>
      <c r="V87" s="319" t="b">
        <f aca="false">FALSE()</f>
        <v>0</v>
      </c>
      <c r="W87" s="319" t="b">
        <f aca="false">FALSE()</f>
        <v>0</v>
      </c>
      <c r="X87" s="319" t="b">
        <f aca="false">FALSE()</f>
        <v>0</v>
      </c>
      <c r="Y87" s="319" t="b">
        <f aca="false">FALSE()</f>
        <v>0</v>
      </c>
      <c r="Z87" s="319" t="b">
        <f aca="false">FALSE()</f>
        <v>0</v>
      </c>
      <c r="AA87" s="319" t="b">
        <f aca="false">FALSE()</f>
        <v>0</v>
      </c>
      <c r="AB87" s="319" t="b">
        <f aca="false">FALSE()</f>
        <v>0</v>
      </c>
      <c r="AC87" s="319" t="b">
        <f aca="false">FALSE()</f>
        <v>0</v>
      </c>
      <c r="AD87" s="319" t="b">
        <f aca="false">FALSE()</f>
        <v>0</v>
      </c>
      <c r="AE87" s="319" t="b">
        <f aca="false">FALSE()</f>
        <v>0</v>
      </c>
      <c r="AF87" s="319" t="b">
        <f aca="false">FALSE()</f>
        <v>0</v>
      </c>
      <c r="AG87" s="6" t="s">
        <v>182</v>
      </c>
      <c r="AH87" s="6" t="s">
        <v>182</v>
      </c>
    </row>
    <row r="88" customFormat="false" ht="15.75" hidden="false" customHeight="false" outlineLevel="0" collapsed="false">
      <c r="A88" s="3" t="s">
        <v>1953</v>
      </c>
      <c r="B88" s="6" t="s">
        <v>2068</v>
      </c>
      <c r="C88" s="3"/>
      <c r="D88" s="6" t="str">
        <f aca="false">I88   &amp; IF(ISBLANK(M88),, ". "&amp; M88 &amp; IF(ISBLANK(Q88),, ". "&amp; Q88))</f>
        <v>Logging</v>
      </c>
      <c r="E88" s="6" t="str">
        <f aca="false">I88  &amp;": # on "&amp; L88  &amp; IF(ISBLANK(M88),, ". "&amp; M88 &amp;": # on "&amp; P88 &amp; IF(ISBLANK(Q88),, ". "&amp; Q88 &amp;": # on "&amp; T88))</f>
        <v>Logging: # on Self</v>
      </c>
      <c r="F88" s="6" t="str">
        <f aca="false">IF(U88,"active pal",)  &amp; IF(V88,"working",) &amp; IF(W88,"mounted",) &amp; IF(Y88,"in party (buff)",)  &amp; IF(Z88,"always",)</f>
        <v>active pal</v>
      </c>
      <c r="G88" s="6" t="n">
        <v>4</v>
      </c>
      <c r="H88" s="6" t="s">
        <v>182</v>
      </c>
      <c r="I88" s="6" t="s">
        <v>2065</v>
      </c>
      <c r="J88" s="6" t="str">
        <f aca="false">IFERROR(__xludf.dummyfunction("IFS(I88=""ShotAttack"",""%"",I88=""MeleeAttack"",""%"", I88=""Defense"",""%"",I88=""CraftSPeed"",""%"",I88=""LifeSteal"",""%"",I88=""MaxInventoryWeight"",""+"",I88=""MoveSpeed"",""%"",REGEXMATCH(I88,""ElementAddItemDrop_""),""%"",I88=""Logging"",""+"",I88"&amp;"=""Mining"",""+"",I88=""Maxhp"",""%"",REGEXMATCH(I88,""TemperatureResist_""),""+"",REGEXMATCH(I88,""ElementResist_""),""%"",REGEXMATCH(I88,""TemperatureInvalid_""),""bool"",REGEXMATCH(I88,""BodyPartsWeakDamage""),""%"",REGEXMATCH(I88,""ElementBoost_""),"""&amp;"%"",AND(REGEXMATCH(B88,""GiveA""),REGEXMATCH(I88,""Element"")),""bool"")"),"+")</f>
        <v>+</v>
      </c>
      <c r="K88" s="6" t="n">
        <v>200</v>
      </c>
      <c r="L88" s="6" t="s">
        <v>1956</v>
      </c>
      <c r="M88" s="6"/>
      <c r="N88" s="6" t="str">
        <f aca="false">IFERROR(__xludf.dummyfunction("IFS(M88=""ShotAttack"",""%"",M88=""MeleeAttack"",""%"", M88=""Defense"",""%"",M88=""CraftSPeed"",""%"",M88=""LifeSteal"",""%"",M88=""MaxInventoryWeight"",""+"",M88=""MoveSpeed"",""%"",REGEXMATCH(M88,""ElementAddItemDrop_""),""%"",M88=""Logging"",""+"",M88"&amp;"=""Mining"",""+"",M88=""Maxhp"",""%"",REGEXMATCH(M88,""TemperatureResist_""),""+"",REGEXMATCH(M88,""ElementResist_""),""%"",REGEXMATCH(M88,""TemperatureInvalid_""),""bool"",REGEXMATCH(M88,""BodyPartsWeakDamage""),""%"",REGEXMATCH(M88,""ElementBoost_""),"""&amp;"%"",AND(REGEXMATCH(F88,""GiveA""),REGEXMATCH(M88,""Element"")),""bool"")"),"#N/A")</f>
        <v>#N/A</v>
      </c>
      <c r="O88" s="6" t="n">
        <v>0</v>
      </c>
      <c r="P88" s="6"/>
      <c r="Q88" s="6"/>
      <c r="R88" s="6" t="str">
        <f aca="false">IFERROR(__xludf.dummyfunction("IFS(Q88=""ShotAttack"",""%"",Q88=""MeleeAttack"",""%"", Q88=""Defense"",""%"",Q88=""CraftSPeed"",""%"",Q88=""LifeSteal"",""%"",Q88=""MaxInventoryWeight"",""+"",Q88=""MoveSpeed"",""%"",REGEXMATCH(Q88,""ElementAddItemDrop_""),""%"",Q88=""Logging"",""+"",Q88"&amp;"=""Mining"",""+"",Q88=""Maxhp"",""%"",REGEXMATCH(Q88,""TemperatureResist_""),""+"",REGEXMATCH(Q88,""ElementResist_""),""%"",REGEXMATCH(Q88,""TemperatureInvalid_""),""bool"",REGEXMATCH(Q88,""BodyPartsWeakDamage""),""%"",REGEXMATCH(Q88,""ElementBoost_""),"""&amp;"%"",AND(REGEXMATCH(J88,""GiveA""),REGEXMATCH(Q88,""Element"")),""bool"")"),"#N/A")</f>
        <v>#N/A</v>
      </c>
      <c r="S88" s="6" t="n">
        <v>0</v>
      </c>
      <c r="T88" s="6"/>
      <c r="U88" s="319" t="b">
        <f aca="false">TRUE()</f>
        <v>1</v>
      </c>
      <c r="V88" s="319" t="b">
        <f aca="false">FALSE()</f>
        <v>0</v>
      </c>
      <c r="W88" s="319" t="b">
        <f aca="false">FALSE()</f>
        <v>0</v>
      </c>
      <c r="X88" s="319" t="b">
        <f aca="false">FALSE()</f>
        <v>0</v>
      </c>
      <c r="Y88" s="319" t="b">
        <f aca="false">FALSE()</f>
        <v>0</v>
      </c>
      <c r="Z88" s="319" t="b">
        <f aca="false">FALSE()</f>
        <v>0</v>
      </c>
      <c r="AA88" s="319" t="b">
        <f aca="false">FALSE()</f>
        <v>0</v>
      </c>
      <c r="AB88" s="319" t="b">
        <f aca="false">FALSE()</f>
        <v>0</v>
      </c>
      <c r="AC88" s="319" t="b">
        <f aca="false">FALSE()</f>
        <v>0</v>
      </c>
      <c r="AD88" s="319" t="b">
        <f aca="false">FALSE()</f>
        <v>0</v>
      </c>
      <c r="AE88" s="319" t="b">
        <f aca="false">FALSE()</f>
        <v>0</v>
      </c>
      <c r="AF88" s="319" t="b">
        <f aca="false">FALSE()</f>
        <v>0</v>
      </c>
      <c r="AG88" s="6" t="s">
        <v>182</v>
      </c>
      <c r="AH88" s="6" t="s">
        <v>182</v>
      </c>
    </row>
    <row r="89" customFormat="false" ht="15.75" hidden="false" customHeight="false" outlineLevel="0" collapsed="false">
      <c r="A89" s="3" t="s">
        <v>1953</v>
      </c>
      <c r="B89" s="6" t="s">
        <v>2069</v>
      </c>
      <c r="C89" s="3"/>
      <c r="D89" s="6" t="str">
        <f aca="false">I89   &amp; IF(ISBLANK(M89),, ". "&amp; M89 &amp; IF(ISBLANK(Q89),, ". "&amp; Q89))</f>
        <v>Logging</v>
      </c>
      <c r="E89" s="6" t="str">
        <f aca="false">I89  &amp;": # on "&amp; L89  &amp; IF(ISBLANK(M89),, ". "&amp; M89 &amp;": # on "&amp; P89 &amp; IF(ISBLANK(Q89),, ". "&amp; Q89 &amp;": # on "&amp; T89))</f>
        <v>Logging: # on Self</v>
      </c>
      <c r="F89" s="6" t="str">
        <f aca="false">IF(U89,"active pal",)  &amp; IF(V89,"working",) &amp; IF(W89,"mounted",) &amp; IF(Y89,"in party (buff)",)  &amp; IF(Z89,"always",)</f>
        <v>active pal</v>
      </c>
      <c r="G89" s="6" t="n">
        <v>5</v>
      </c>
      <c r="H89" s="6" t="s">
        <v>182</v>
      </c>
      <c r="I89" s="6" t="s">
        <v>2065</v>
      </c>
      <c r="J89" s="6" t="str">
        <f aca="false">IFERROR(__xludf.dummyfunction("IFS(I89=""ShotAttack"",""%"",I89=""MeleeAttack"",""%"", I89=""Defense"",""%"",I89=""CraftSPeed"",""%"",I89=""LifeSteal"",""%"",I89=""MaxInventoryWeight"",""+"",I89=""MoveSpeed"",""%"",REGEXMATCH(I89,""ElementAddItemDrop_""),""%"",I89=""Logging"",""+"",I89"&amp;"=""Mining"",""+"",I89=""Maxhp"",""%"",REGEXMATCH(I89,""TemperatureResist_""),""+"",REGEXMATCH(I89,""ElementResist_""),""%"",REGEXMATCH(I89,""TemperatureInvalid_""),""bool"",REGEXMATCH(I89,""BodyPartsWeakDamage""),""%"",REGEXMATCH(I89,""ElementBoost_""),"""&amp;"%"",AND(REGEXMATCH(B89,""GiveA""),REGEXMATCH(I89,""Element"")),""bool"")"),"+")</f>
        <v>+</v>
      </c>
      <c r="K89" s="6" t="n">
        <v>250</v>
      </c>
      <c r="L89" s="6" t="s">
        <v>1956</v>
      </c>
      <c r="M89" s="6"/>
      <c r="N89" s="6" t="str">
        <f aca="false">IFERROR(__xludf.dummyfunction("IFS(M89=""ShotAttack"",""%"",M89=""MeleeAttack"",""%"", M89=""Defense"",""%"",M89=""CraftSPeed"",""%"",M89=""LifeSteal"",""%"",M89=""MaxInventoryWeight"",""+"",M89=""MoveSpeed"",""%"",REGEXMATCH(M89,""ElementAddItemDrop_""),""%"",M89=""Logging"",""+"",M89"&amp;"=""Mining"",""+"",M89=""Maxhp"",""%"",REGEXMATCH(M89,""TemperatureResist_""),""+"",REGEXMATCH(M89,""ElementResist_""),""%"",REGEXMATCH(M89,""TemperatureInvalid_""),""bool"",REGEXMATCH(M89,""BodyPartsWeakDamage""),""%"",REGEXMATCH(M89,""ElementBoost_""),"""&amp;"%"",AND(REGEXMATCH(F89,""GiveA""),REGEXMATCH(M89,""Element"")),""bool"")"),"#N/A")</f>
        <v>#N/A</v>
      </c>
      <c r="O89" s="6" t="n">
        <v>0</v>
      </c>
      <c r="P89" s="6"/>
      <c r="Q89" s="6"/>
      <c r="R89" s="6" t="str">
        <f aca="false">IFERROR(__xludf.dummyfunction("IFS(Q89=""ShotAttack"",""%"",Q89=""MeleeAttack"",""%"", Q89=""Defense"",""%"",Q89=""CraftSPeed"",""%"",Q89=""LifeSteal"",""%"",Q89=""MaxInventoryWeight"",""+"",Q89=""MoveSpeed"",""%"",REGEXMATCH(Q89,""ElementAddItemDrop_""),""%"",Q89=""Logging"",""+"",Q89"&amp;"=""Mining"",""+"",Q89=""Maxhp"",""%"",REGEXMATCH(Q89,""TemperatureResist_""),""+"",REGEXMATCH(Q89,""ElementResist_""),""%"",REGEXMATCH(Q89,""TemperatureInvalid_""),""bool"",REGEXMATCH(Q89,""BodyPartsWeakDamage""),""%"",REGEXMATCH(Q89,""ElementBoost_""),"""&amp;"%"",AND(REGEXMATCH(J89,""GiveA""),REGEXMATCH(Q89,""Element"")),""bool"")"),"#N/A")</f>
        <v>#N/A</v>
      </c>
      <c r="S89" s="6" t="n">
        <v>0</v>
      </c>
      <c r="T89" s="6"/>
      <c r="U89" s="319" t="b">
        <f aca="false">TRUE()</f>
        <v>1</v>
      </c>
      <c r="V89" s="319" t="b">
        <f aca="false">FALSE()</f>
        <v>0</v>
      </c>
      <c r="W89" s="319" t="b">
        <f aca="false">FALSE()</f>
        <v>0</v>
      </c>
      <c r="X89" s="319" t="b">
        <f aca="false">FALSE()</f>
        <v>0</v>
      </c>
      <c r="Y89" s="319" t="b">
        <f aca="false">FALSE()</f>
        <v>0</v>
      </c>
      <c r="Z89" s="319" t="b">
        <f aca="false">FALSE()</f>
        <v>0</v>
      </c>
      <c r="AA89" s="319" t="b">
        <f aca="false">FALSE()</f>
        <v>0</v>
      </c>
      <c r="AB89" s="319" t="b">
        <f aca="false">FALSE()</f>
        <v>0</v>
      </c>
      <c r="AC89" s="319" t="b">
        <f aca="false">FALSE()</f>
        <v>0</v>
      </c>
      <c r="AD89" s="319" t="b">
        <f aca="false">FALSE()</f>
        <v>0</v>
      </c>
      <c r="AE89" s="319" t="b">
        <f aca="false">FALSE()</f>
        <v>0</v>
      </c>
      <c r="AF89" s="319" t="b">
        <f aca="false">FALSE()</f>
        <v>0</v>
      </c>
      <c r="AG89" s="6" t="s">
        <v>182</v>
      </c>
      <c r="AH89" s="6" t="s">
        <v>182</v>
      </c>
    </row>
    <row r="90" customFormat="false" ht="15.75" hidden="false" customHeight="false" outlineLevel="0" collapsed="false">
      <c r="A90" s="3" t="s">
        <v>1953</v>
      </c>
      <c r="B90" s="6" t="s">
        <v>2070</v>
      </c>
      <c r="C90" s="3"/>
      <c r="D90" s="6" t="str">
        <f aca="false">I90   &amp; IF(ISBLANK(M90),, ". "&amp; M90 &amp; IF(ISBLANK(Q90),, ". "&amp; Q90))</f>
        <v>Logging</v>
      </c>
      <c r="E90" s="6" t="str">
        <f aca="false">I90  &amp;": # on "&amp; L90  &amp; IF(ISBLANK(M90),, ". "&amp; M90 &amp;": # on "&amp; P90 &amp; IF(ISBLANK(Q90),, ". "&amp; Q90 &amp;": # on "&amp; T90))</f>
        <v>Logging: # on Self</v>
      </c>
      <c r="F90" s="6" t="str">
        <f aca="false">IF(U90,"active pal",)  &amp; IF(V90,"working",) &amp; IF(W90,"mounted",) &amp; IF(Y90,"in party (buff)",)  &amp; IF(Z90,"always",)</f>
        <v/>
      </c>
      <c r="G90" s="6" t="n">
        <v>1</v>
      </c>
      <c r="H90" s="6" t="s">
        <v>182</v>
      </c>
      <c r="I90" s="6" t="s">
        <v>2065</v>
      </c>
      <c r="J90" s="6" t="str">
        <f aca="false">IFERROR(__xludf.dummyfunction("IFS(I90=""ShotAttack"",""%"",I90=""MeleeAttack"",""%"", I90=""Defense"",""%"",I90=""CraftSPeed"",""%"",I90=""LifeSteal"",""%"",I90=""MaxInventoryWeight"",""+"",I90=""MoveSpeed"",""%"",REGEXMATCH(I90,""ElementAddItemDrop_""),""%"",I90=""Logging"",""+"",I90"&amp;"=""Mining"",""+"",I90=""Maxhp"",""%"",REGEXMATCH(I90,""TemperatureResist_""),""+"",REGEXMATCH(I90,""ElementResist_""),""%"",REGEXMATCH(I90,""TemperatureInvalid_""),""bool"",REGEXMATCH(I90,""BodyPartsWeakDamage""),""%"",REGEXMATCH(I90,""ElementBoost_""),"""&amp;"%"",AND(REGEXMATCH(B90,""GiveA""),REGEXMATCH(I90,""Element"")),""bool"")"),"+")</f>
        <v>+</v>
      </c>
      <c r="K90" s="6" t="n">
        <v>200</v>
      </c>
      <c r="L90" s="6" t="s">
        <v>1956</v>
      </c>
      <c r="M90" s="6"/>
      <c r="N90" s="6" t="str">
        <f aca="false">IFERROR(__xludf.dummyfunction("IFS(M90=""ShotAttack"",""%"",M90=""MeleeAttack"",""%"", M90=""Defense"",""%"",M90=""CraftSPeed"",""%"",M90=""LifeSteal"",""%"",M90=""MaxInventoryWeight"",""+"",M90=""MoveSpeed"",""%"",REGEXMATCH(M90,""ElementAddItemDrop_""),""%"",M90=""Logging"",""+"",M90"&amp;"=""Mining"",""+"",M90=""Maxhp"",""%"",REGEXMATCH(M90,""TemperatureResist_""),""+"",REGEXMATCH(M90,""ElementResist_""),""%"",REGEXMATCH(M90,""TemperatureInvalid_""),""bool"",REGEXMATCH(M90,""BodyPartsWeakDamage""),""%"",REGEXMATCH(M90,""ElementBoost_""),"""&amp;"%"",AND(REGEXMATCH(F90,""GiveA""),REGEXMATCH(M90,""Element"")),""bool"")"),"#N/A")</f>
        <v>#N/A</v>
      </c>
      <c r="O90" s="6" t="n">
        <v>0</v>
      </c>
      <c r="P90" s="6"/>
      <c r="Q90" s="6"/>
      <c r="R90" s="6" t="str">
        <f aca="false">IFERROR(__xludf.dummyfunction("IFS(Q90=""ShotAttack"",""%"",Q90=""MeleeAttack"",""%"", Q90=""Defense"",""%"",Q90=""CraftSPeed"",""%"",Q90=""LifeSteal"",""%"",Q90=""MaxInventoryWeight"",""+"",Q90=""MoveSpeed"",""%"",REGEXMATCH(Q90,""ElementAddItemDrop_""),""%"",Q90=""Logging"",""+"",Q90"&amp;"=""Mining"",""+"",Q90=""Maxhp"",""%"",REGEXMATCH(Q90,""TemperatureResist_""),""+"",REGEXMATCH(Q90,""ElementResist_""),""%"",REGEXMATCH(Q90,""TemperatureInvalid_""),""bool"",REGEXMATCH(Q90,""BodyPartsWeakDamage""),""%"",REGEXMATCH(Q90,""ElementBoost_""),"""&amp;"%"",AND(REGEXMATCH(J90,""GiveA""),REGEXMATCH(Q90,""Element"")),""bool"")"),"#N/A")</f>
        <v>#N/A</v>
      </c>
      <c r="S90" s="6" t="n">
        <v>0</v>
      </c>
      <c r="T90" s="6"/>
      <c r="U90" s="319" t="b">
        <f aca="false">FALSE()</f>
        <v>0</v>
      </c>
      <c r="V90" s="319" t="b">
        <f aca="false">FALSE()</f>
        <v>0</v>
      </c>
      <c r="W90" s="319" t="b">
        <f aca="false">FALSE()</f>
        <v>0</v>
      </c>
      <c r="X90" s="319" t="b">
        <f aca="false">FALSE()</f>
        <v>0</v>
      </c>
      <c r="Y90" s="319" t="b">
        <f aca="false">FALSE()</f>
        <v>0</v>
      </c>
      <c r="Z90" s="319" t="b">
        <f aca="false">FALSE()</f>
        <v>0</v>
      </c>
      <c r="AA90" s="319" t="b">
        <f aca="false">FALSE()</f>
        <v>0</v>
      </c>
      <c r="AB90" s="319" t="b">
        <f aca="false">FALSE()</f>
        <v>0</v>
      </c>
      <c r="AC90" s="319" t="b">
        <f aca="false">FALSE()</f>
        <v>0</v>
      </c>
      <c r="AD90" s="319" t="b">
        <f aca="false">FALSE()</f>
        <v>0</v>
      </c>
      <c r="AE90" s="319" t="b">
        <f aca="false">FALSE()</f>
        <v>0</v>
      </c>
      <c r="AF90" s="319" t="b">
        <f aca="false">FALSE()</f>
        <v>0</v>
      </c>
      <c r="AG90" s="6" t="s">
        <v>182</v>
      </c>
      <c r="AH90" s="6" t="s">
        <v>182</v>
      </c>
    </row>
    <row r="91" customFormat="false" ht="15.75" hidden="false" customHeight="false" outlineLevel="0" collapsed="false">
      <c r="A91" s="3" t="s">
        <v>1953</v>
      </c>
      <c r="B91" s="6" t="s">
        <v>795</v>
      </c>
      <c r="C91" s="3"/>
      <c r="D91" s="6" t="str">
        <f aca="false">I91   &amp; IF(ISBLANK(M91),, ". "&amp; M91 &amp; IF(ISBLANK(Q91),, ". "&amp; Q91))</f>
        <v>Logging</v>
      </c>
      <c r="E91" s="6" t="str">
        <f aca="false">I91  &amp;": # on "&amp; L91  &amp; IF(ISBLANK(M91),, ". "&amp; M91 &amp;": # on "&amp; P91 &amp; IF(ISBLANK(Q91),, ". "&amp; Q91 &amp;": # on "&amp; T91))</f>
        <v>Logging: # on Self</v>
      </c>
      <c r="F91" s="6" t="str">
        <f aca="false">IF(U91,"active pal",)  &amp; IF(V91,"working",) &amp; IF(W91,"mounted",) &amp; IF(Y91,"in party (buff)",)  &amp; IF(Z91,"always",)</f>
        <v>mounted</v>
      </c>
      <c r="G91" s="6" t="n">
        <v>2</v>
      </c>
      <c r="H91" s="6" t="s">
        <v>182</v>
      </c>
      <c r="I91" s="6" t="s">
        <v>2065</v>
      </c>
      <c r="J91" s="6" t="str">
        <f aca="false">IFERROR(__xludf.dummyfunction("IFS(I91=""ShotAttack"",""%"",I91=""MeleeAttack"",""%"", I91=""Defense"",""%"",I91=""CraftSPeed"",""%"",I91=""LifeSteal"",""%"",I91=""MaxInventoryWeight"",""+"",I91=""MoveSpeed"",""%"",REGEXMATCH(I91,""ElementAddItemDrop_""),""%"",I91=""Logging"",""+"",I91"&amp;"=""Mining"",""+"",I91=""Maxhp"",""%"",REGEXMATCH(I91,""TemperatureResist_""),""+"",REGEXMATCH(I91,""ElementResist_""),""%"",REGEXMATCH(I91,""TemperatureInvalid_""),""bool"",REGEXMATCH(I91,""BodyPartsWeakDamage""),""%"",REGEXMATCH(I91,""ElementBoost_""),"""&amp;"%"",AND(REGEXMATCH(B91,""GiveA""),REGEXMATCH(I91,""Element"")),""bool"")"),"+")</f>
        <v>+</v>
      </c>
      <c r="K91" s="6" t="n">
        <v>220</v>
      </c>
      <c r="L91" s="6" t="s">
        <v>1956</v>
      </c>
      <c r="M91" s="6"/>
      <c r="N91" s="6" t="str">
        <f aca="false">IFERROR(__xludf.dummyfunction("IFS(M91=""ShotAttack"",""%"",M91=""MeleeAttack"",""%"", M91=""Defense"",""%"",M91=""CraftSPeed"",""%"",M91=""LifeSteal"",""%"",M91=""MaxInventoryWeight"",""+"",M91=""MoveSpeed"",""%"",REGEXMATCH(M91,""ElementAddItemDrop_""),""%"",M91=""Logging"",""+"",M91"&amp;"=""Mining"",""+"",M91=""Maxhp"",""%"",REGEXMATCH(M91,""TemperatureResist_""),""+"",REGEXMATCH(M91,""ElementResist_""),""%"",REGEXMATCH(M91,""TemperatureInvalid_""),""bool"",REGEXMATCH(M91,""BodyPartsWeakDamage""),""%"",REGEXMATCH(M91,""ElementBoost_""),"""&amp;"%"",AND(REGEXMATCH(F91,""GiveA""),REGEXMATCH(M91,""Element"")),""bool"")"),"#N/A")</f>
        <v>#N/A</v>
      </c>
      <c r="O91" s="6" t="n">
        <v>0</v>
      </c>
      <c r="P91" s="6"/>
      <c r="Q91" s="6"/>
      <c r="R91" s="6" t="str">
        <f aca="false">IFERROR(__xludf.dummyfunction("IFS(Q91=""ShotAttack"",""%"",Q91=""MeleeAttack"",""%"", Q91=""Defense"",""%"",Q91=""CraftSPeed"",""%"",Q91=""LifeSteal"",""%"",Q91=""MaxInventoryWeight"",""+"",Q91=""MoveSpeed"",""%"",REGEXMATCH(Q91,""ElementAddItemDrop_""),""%"",Q91=""Logging"",""+"",Q91"&amp;"=""Mining"",""+"",Q91=""Maxhp"",""%"",REGEXMATCH(Q91,""TemperatureResist_""),""+"",REGEXMATCH(Q91,""ElementResist_""),""%"",REGEXMATCH(Q91,""TemperatureInvalid_""),""bool"",REGEXMATCH(Q91,""BodyPartsWeakDamage""),""%"",REGEXMATCH(Q91,""ElementBoost_""),"""&amp;"%"",AND(REGEXMATCH(J91,""GiveA""),REGEXMATCH(Q91,""Element"")),""bool"")"),"#N/A")</f>
        <v>#N/A</v>
      </c>
      <c r="S91" s="6" t="n">
        <v>0</v>
      </c>
      <c r="T91" s="6"/>
      <c r="U91" s="319" t="b">
        <f aca="false">FALSE()</f>
        <v>0</v>
      </c>
      <c r="V91" s="319" t="b">
        <f aca="false">FALSE()</f>
        <v>0</v>
      </c>
      <c r="W91" s="319" t="b">
        <f aca="false">TRUE()</f>
        <v>1</v>
      </c>
      <c r="X91" s="319" t="b">
        <f aca="false">FALSE()</f>
        <v>0</v>
      </c>
      <c r="Y91" s="319" t="b">
        <f aca="false">FALSE()</f>
        <v>0</v>
      </c>
      <c r="Z91" s="319" t="b">
        <f aca="false">FALSE()</f>
        <v>0</v>
      </c>
      <c r="AA91" s="319" t="b">
        <f aca="false">FALSE()</f>
        <v>0</v>
      </c>
      <c r="AB91" s="319" t="b">
        <f aca="false">FALSE()</f>
        <v>0</v>
      </c>
      <c r="AC91" s="319" t="b">
        <f aca="false">FALSE()</f>
        <v>0</v>
      </c>
      <c r="AD91" s="319" t="b">
        <f aca="false">FALSE()</f>
        <v>0</v>
      </c>
      <c r="AE91" s="319" t="b">
        <f aca="false">FALSE()</f>
        <v>0</v>
      </c>
      <c r="AF91" s="319" t="b">
        <f aca="false">FALSE()</f>
        <v>0</v>
      </c>
      <c r="AG91" s="6" t="s">
        <v>182</v>
      </c>
      <c r="AH91" s="6" t="s">
        <v>182</v>
      </c>
    </row>
    <row r="92" customFormat="false" ht="15.75" hidden="false" customHeight="false" outlineLevel="0" collapsed="false">
      <c r="A92" s="1" t="e">
        <f aca="false">#N/A</f>
        <v>#N/A</v>
      </c>
      <c r="B92" s="6" t="s">
        <v>796</v>
      </c>
      <c r="C92" s="3"/>
      <c r="D92" s="6" t="str">
        <f aca="false">I92   &amp; IF(ISBLANK(M92),, ". "&amp; M92 &amp; IF(ISBLANK(Q92),, ". "&amp; Q92))</f>
        <v>Logging</v>
      </c>
      <c r="E92" s="6" t="str">
        <f aca="false">I92  &amp;": # on "&amp; L92  &amp; IF(ISBLANK(M92),, ". "&amp; M92 &amp;": # on "&amp; P92 &amp; IF(ISBLANK(Q92),, ". "&amp; Q92 &amp;": # on "&amp; T92))</f>
        <v>Logging: # on Self</v>
      </c>
      <c r="F92" s="6" t="str">
        <f aca="false">IF(U92,"active pal",)  &amp; IF(V92,"working",) &amp; IF(W92,"mounted",) &amp; IF(Y92,"in party (buff)",)  &amp; IF(Z92,"always",)</f>
        <v>mounted</v>
      </c>
      <c r="G92" s="6" t="n">
        <v>2</v>
      </c>
      <c r="H92" s="6" t="s">
        <v>182</v>
      </c>
      <c r="I92" s="6" t="s">
        <v>2065</v>
      </c>
      <c r="J92" s="6" t="str">
        <f aca="false">IFERROR(__xludf.dummyfunction("IFS(I92=""ShotAttack"",""%"",I92=""MeleeAttack"",""%"", I92=""Defense"",""%"",I92=""CraftSPeed"",""%"",I92=""LifeSteal"",""%"",I92=""MaxInventoryWeight"",""+"",I92=""MoveSpeed"",""%"",REGEXMATCH(I92,""ElementAddItemDrop_""),""%"",I92=""Logging"",""+"",I92"&amp;"=""Mining"",""+"",I92=""Maxhp"",""%"",REGEXMATCH(I92,""TemperatureResist_""),""+"",REGEXMATCH(I92,""ElementResist_""),""%"",REGEXMATCH(I92,""TemperatureInvalid_""),""bool"",REGEXMATCH(I92,""BodyPartsWeakDamage""),""%"",REGEXMATCH(I92,""ElementBoost_""),"""&amp;"%"",AND(REGEXMATCH(B92,""GiveA""),REGEXMATCH(I92,""Element"")),""bool"")"),"+")</f>
        <v>+</v>
      </c>
      <c r="K92" s="6" t="n">
        <v>260</v>
      </c>
      <c r="L92" s="6" t="s">
        <v>1956</v>
      </c>
      <c r="M92" s="6"/>
      <c r="N92" s="6" t="str">
        <f aca="false">IFERROR(__xludf.dummyfunction("IFS(M92=""ShotAttack"",""%"",M92=""MeleeAttack"",""%"", M92=""Defense"",""%"",M92=""CraftSPeed"",""%"",M92=""LifeSteal"",""%"",M92=""MaxInventoryWeight"",""+"",M92=""MoveSpeed"",""%"",REGEXMATCH(M92,""ElementAddItemDrop_""),""%"",M92=""Logging"",""+"",M92"&amp;"=""Mining"",""+"",M92=""Maxhp"",""%"",REGEXMATCH(M92,""TemperatureResist_""),""+"",REGEXMATCH(M92,""ElementResist_""),""%"",REGEXMATCH(M92,""TemperatureInvalid_""),""bool"",REGEXMATCH(M92,""BodyPartsWeakDamage""),""%"",REGEXMATCH(M92,""ElementBoost_""),"""&amp;"%"",AND(REGEXMATCH(F92,""GiveA""),REGEXMATCH(M92,""Element"")),""bool"")"),"#N/A")</f>
        <v>#N/A</v>
      </c>
      <c r="O92" s="6" t="n">
        <v>0</v>
      </c>
      <c r="P92" s="6"/>
      <c r="Q92" s="6"/>
      <c r="R92" s="6" t="str">
        <f aca="false">IFERROR(__xludf.dummyfunction("IFS(Q92=""ShotAttack"",""%"",Q92=""MeleeAttack"",""%"", Q92=""Defense"",""%"",Q92=""CraftSPeed"",""%"",Q92=""LifeSteal"",""%"",Q92=""MaxInventoryWeight"",""+"",Q92=""MoveSpeed"",""%"",REGEXMATCH(Q92,""ElementAddItemDrop_""),""%"",Q92=""Logging"",""+"",Q92"&amp;"=""Mining"",""+"",Q92=""Maxhp"",""%"",REGEXMATCH(Q92,""TemperatureResist_""),""+"",REGEXMATCH(Q92,""ElementResist_""),""%"",REGEXMATCH(Q92,""TemperatureInvalid_""),""bool"",REGEXMATCH(Q92,""BodyPartsWeakDamage""),""%"",REGEXMATCH(Q92,""ElementBoost_""),"""&amp;"%"",AND(REGEXMATCH(J92,""GiveA""),REGEXMATCH(Q92,""Element"")),""bool"")"),"#N/A")</f>
        <v>#N/A</v>
      </c>
      <c r="S92" s="6" t="n">
        <v>0</v>
      </c>
      <c r="T92" s="6"/>
      <c r="U92" s="319" t="b">
        <f aca="false">FALSE()</f>
        <v>0</v>
      </c>
      <c r="V92" s="319" t="b">
        <f aca="false">FALSE()</f>
        <v>0</v>
      </c>
      <c r="W92" s="319" t="b">
        <f aca="false">TRUE()</f>
        <v>1</v>
      </c>
      <c r="X92" s="319" t="b">
        <f aca="false">FALSE()</f>
        <v>0</v>
      </c>
      <c r="Y92" s="319" t="b">
        <f aca="false">FALSE()</f>
        <v>0</v>
      </c>
      <c r="Z92" s="319" t="b">
        <f aca="false">FALSE()</f>
        <v>0</v>
      </c>
      <c r="AA92" s="319" t="b">
        <f aca="false">FALSE()</f>
        <v>0</v>
      </c>
      <c r="AB92" s="319" t="b">
        <f aca="false">FALSE()</f>
        <v>0</v>
      </c>
      <c r="AC92" s="319" t="b">
        <f aca="false">FALSE()</f>
        <v>0</v>
      </c>
      <c r="AD92" s="319" t="b">
        <f aca="false">FALSE()</f>
        <v>0</v>
      </c>
      <c r="AE92" s="319" t="b">
        <f aca="false">FALSE()</f>
        <v>0</v>
      </c>
      <c r="AF92" s="319" t="b">
        <f aca="false">FALSE()</f>
        <v>0</v>
      </c>
      <c r="AG92" s="6" t="s">
        <v>182</v>
      </c>
      <c r="AH92" s="6" t="s">
        <v>182</v>
      </c>
    </row>
    <row r="93" customFormat="false" ht="15.75" hidden="false" customHeight="false" outlineLevel="0" collapsed="false">
      <c r="A93" s="1" t="e">
        <f aca="false">#N/A</f>
        <v>#N/A</v>
      </c>
      <c r="B93" s="6" t="s">
        <v>797</v>
      </c>
      <c r="C93" s="3"/>
      <c r="D93" s="6" t="str">
        <f aca="false">I93   &amp; IF(ISBLANK(M93),, ". "&amp; M93 &amp; IF(ISBLANK(Q93),, ". "&amp; Q93))</f>
        <v>Logging</v>
      </c>
      <c r="E93" s="6" t="str">
        <f aca="false">I93  &amp;": # on "&amp; L93  &amp; IF(ISBLANK(M93),, ". "&amp; M93 &amp;": # on "&amp; P93 &amp; IF(ISBLANK(Q93),, ". "&amp; Q93 &amp;": # on "&amp; T93))</f>
        <v>Logging: # on Self</v>
      </c>
      <c r="F93" s="6" t="str">
        <f aca="false">IF(U93,"active pal",)  &amp; IF(V93,"working",) &amp; IF(W93,"mounted",) &amp; IF(Y93,"in party (buff)",)  &amp; IF(Z93,"always",)</f>
        <v>mounted</v>
      </c>
      <c r="G93" s="6" t="n">
        <v>2</v>
      </c>
      <c r="H93" s="6" t="s">
        <v>182</v>
      </c>
      <c r="I93" s="6" t="s">
        <v>2065</v>
      </c>
      <c r="J93" s="6" t="str">
        <f aca="false">IFERROR(__xludf.dummyfunction("IFS(I93=""ShotAttack"",""%"",I93=""MeleeAttack"",""%"", I93=""Defense"",""%"",I93=""CraftSPeed"",""%"",I93=""LifeSteal"",""%"",I93=""MaxInventoryWeight"",""+"",I93=""MoveSpeed"",""%"",REGEXMATCH(I93,""ElementAddItemDrop_""),""%"",I93=""Logging"",""+"",I93"&amp;"=""Mining"",""+"",I93=""Maxhp"",""%"",REGEXMATCH(I93,""TemperatureResist_""),""+"",REGEXMATCH(I93,""ElementResist_""),""%"",REGEXMATCH(I93,""TemperatureInvalid_""),""bool"",REGEXMATCH(I93,""BodyPartsWeakDamage""),""%"",REGEXMATCH(I93,""ElementBoost_""),"""&amp;"%"",AND(REGEXMATCH(B93,""GiveA""),REGEXMATCH(I93,""Element"")),""bool"")"),"+")</f>
        <v>+</v>
      </c>
      <c r="K93" s="6" t="n">
        <v>320</v>
      </c>
      <c r="L93" s="6" t="s">
        <v>1956</v>
      </c>
      <c r="M93" s="6"/>
      <c r="N93" s="6" t="str">
        <f aca="false">IFERROR(__xludf.dummyfunction("IFS(M93=""ShotAttack"",""%"",M93=""MeleeAttack"",""%"", M93=""Defense"",""%"",M93=""CraftSPeed"",""%"",M93=""LifeSteal"",""%"",M93=""MaxInventoryWeight"",""+"",M93=""MoveSpeed"",""%"",REGEXMATCH(M93,""ElementAddItemDrop_""),""%"",M93=""Logging"",""+"",M93"&amp;"=""Mining"",""+"",M93=""Maxhp"",""%"",REGEXMATCH(M93,""TemperatureResist_""),""+"",REGEXMATCH(M93,""ElementResist_""),""%"",REGEXMATCH(M93,""TemperatureInvalid_""),""bool"",REGEXMATCH(M93,""BodyPartsWeakDamage""),""%"",REGEXMATCH(M93,""ElementBoost_""),"""&amp;"%"",AND(REGEXMATCH(F93,""GiveA""),REGEXMATCH(M93,""Element"")),""bool"")"),"#N/A")</f>
        <v>#N/A</v>
      </c>
      <c r="O93" s="6" t="n">
        <v>0</v>
      </c>
      <c r="P93" s="6"/>
      <c r="Q93" s="6"/>
      <c r="R93" s="6" t="str">
        <f aca="false">IFERROR(__xludf.dummyfunction("IFS(Q93=""ShotAttack"",""%"",Q93=""MeleeAttack"",""%"", Q93=""Defense"",""%"",Q93=""CraftSPeed"",""%"",Q93=""LifeSteal"",""%"",Q93=""MaxInventoryWeight"",""+"",Q93=""MoveSpeed"",""%"",REGEXMATCH(Q93,""ElementAddItemDrop_""),""%"",Q93=""Logging"",""+"",Q93"&amp;"=""Mining"",""+"",Q93=""Maxhp"",""%"",REGEXMATCH(Q93,""TemperatureResist_""),""+"",REGEXMATCH(Q93,""ElementResist_""),""%"",REGEXMATCH(Q93,""TemperatureInvalid_""),""bool"",REGEXMATCH(Q93,""BodyPartsWeakDamage""),""%"",REGEXMATCH(Q93,""ElementBoost_""),"""&amp;"%"",AND(REGEXMATCH(J93,""GiveA""),REGEXMATCH(Q93,""Element"")),""bool"")"),"#N/A")</f>
        <v>#N/A</v>
      </c>
      <c r="S93" s="6" t="n">
        <v>0</v>
      </c>
      <c r="T93" s="6"/>
      <c r="U93" s="319" t="b">
        <f aca="false">FALSE()</f>
        <v>0</v>
      </c>
      <c r="V93" s="319" t="b">
        <f aca="false">FALSE()</f>
        <v>0</v>
      </c>
      <c r="W93" s="319" t="b">
        <f aca="false">TRUE()</f>
        <v>1</v>
      </c>
      <c r="X93" s="319" t="b">
        <f aca="false">FALSE()</f>
        <v>0</v>
      </c>
      <c r="Y93" s="319" t="b">
        <f aca="false">FALSE()</f>
        <v>0</v>
      </c>
      <c r="Z93" s="319" t="b">
        <f aca="false">FALSE()</f>
        <v>0</v>
      </c>
      <c r="AA93" s="319" t="b">
        <f aca="false">FALSE()</f>
        <v>0</v>
      </c>
      <c r="AB93" s="319" t="b">
        <f aca="false">FALSE()</f>
        <v>0</v>
      </c>
      <c r="AC93" s="319" t="b">
        <f aca="false">FALSE()</f>
        <v>0</v>
      </c>
      <c r="AD93" s="319" t="b">
        <f aca="false">FALSE()</f>
        <v>0</v>
      </c>
      <c r="AE93" s="319" t="b">
        <f aca="false">FALSE()</f>
        <v>0</v>
      </c>
      <c r="AF93" s="319" t="b">
        <f aca="false">FALSE()</f>
        <v>0</v>
      </c>
      <c r="AG93" s="6" t="s">
        <v>182</v>
      </c>
      <c r="AH93" s="6" t="s">
        <v>182</v>
      </c>
    </row>
    <row r="94" customFormat="false" ht="15.75" hidden="false" customHeight="false" outlineLevel="0" collapsed="false">
      <c r="A94" s="1" t="e">
        <f aca="false">#N/A</f>
        <v>#N/A</v>
      </c>
      <c r="B94" s="6" t="s">
        <v>798</v>
      </c>
      <c r="C94" s="3"/>
      <c r="D94" s="6" t="str">
        <f aca="false">I94   &amp; IF(ISBLANK(M94),, ". "&amp; M94 &amp; IF(ISBLANK(Q94),, ". "&amp; Q94))</f>
        <v>Logging</v>
      </c>
      <c r="E94" s="6" t="str">
        <f aca="false">I94  &amp;": # on "&amp; L94  &amp; IF(ISBLANK(M94),, ". "&amp; M94 &amp;": # on "&amp; P94 &amp; IF(ISBLANK(Q94),, ". "&amp; Q94 &amp;": # on "&amp; T94))</f>
        <v>Logging: # on Self</v>
      </c>
      <c r="F94" s="6" t="str">
        <f aca="false">IF(U94,"active pal",)  &amp; IF(V94,"working",) &amp; IF(W94,"mounted",) &amp; IF(Y94,"in party (buff)",)  &amp; IF(Z94,"always",)</f>
        <v>mounted</v>
      </c>
      <c r="G94" s="6" t="n">
        <v>2</v>
      </c>
      <c r="H94" s="6" t="s">
        <v>182</v>
      </c>
      <c r="I94" s="6" t="s">
        <v>2065</v>
      </c>
      <c r="J94" s="6" t="str">
        <f aca="false">IFERROR(__xludf.dummyfunction("IFS(I94=""ShotAttack"",""%"",I94=""MeleeAttack"",""%"", I94=""Defense"",""%"",I94=""CraftSPeed"",""%"",I94=""LifeSteal"",""%"",I94=""MaxInventoryWeight"",""+"",I94=""MoveSpeed"",""%"",REGEXMATCH(I94,""ElementAddItemDrop_""),""%"",I94=""Logging"",""+"",I94"&amp;"=""Mining"",""+"",I94=""Maxhp"",""%"",REGEXMATCH(I94,""TemperatureResist_""),""+"",REGEXMATCH(I94,""ElementResist_""),""%"",REGEXMATCH(I94,""TemperatureInvalid_""),""bool"",REGEXMATCH(I94,""BodyPartsWeakDamage""),""%"",REGEXMATCH(I94,""ElementBoost_""),"""&amp;"%"",AND(REGEXMATCH(B94,""GiveA""),REGEXMATCH(I94,""Element"")),""bool"")"),"+")</f>
        <v>+</v>
      </c>
      <c r="K94" s="6" t="n">
        <v>400</v>
      </c>
      <c r="L94" s="6" t="s">
        <v>1956</v>
      </c>
      <c r="M94" s="6"/>
      <c r="N94" s="6" t="str">
        <f aca="false">IFERROR(__xludf.dummyfunction("IFS(M94=""ShotAttack"",""%"",M94=""MeleeAttack"",""%"", M94=""Defense"",""%"",M94=""CraftSPeed"",""%"",M94=""LifeSteal"",""%"",M94=""MaxInventoryWeight"",""+"",M94=""MoveSpeed"",""%"",REGEXMATCH(M94,""ElementAddItemDrop_""),""%"",M94=""Logging"",""+"",M94"&amp;"=""Mining"",""+"",M94=""Maxhp"",""%"",REGEXMATCH(M94,""TemperatureResist_""),""+"",REGEXMATCH(M94,""ElementResist_""),""%"",REGEXMATCH(M94,""TemperatureInvalid_""),""bool"",REGEXMATCH(M94,""BodyPartsWeakDamage""),""%"",REGEXMATCH(M94,""ElementBoost_""),"""&amp;"%"",AND(REGEXMATCH(F94,""GiveA""),REGEXMATCH(M94,""Element"")),""bool"")"),"#N/A")</f>
        <v>#N/A</v>
      </c>
      <c r="O94" s="6" t="n">
        <v>0</v>
      </c>
      <c r="P94" s="6"/>
      <c r="Q94" s="6"/>
      <c r="R94" s="6" t="str">
        <f aca="false">IFERROR(__xludf.dummyfunction("IFS(Q94=""ShotAttack"",""%"",Q94=""MeleeAttack"",""%"", Q94=""Defense"",""%"",Q94=""CraftSPeed"",""%"",Q94=""LifeSteal"",""%"",Q94=""MaxInventoryWeight"",""+"",Q94=""MoveSpeed"",""%"",REGEXMATCH(Q94,""ElementAddItemDrop_""),""%"",Q94=""Logging"",""+"",Q94"&amp;"=""Mining"",""+"",Q94=""Maxhp"",""%"",REGEXMATCH(Q94,""TemperatureResist_""),""+"",REGEXMATCH(Q94,""ElementResist_""),""%"",REGEXMATCH(Q94,""TemperatureInvalid_""),""bool"",REGEXMATCH(Q94,""BodyPartsWeakDamage""),""%"",REGEXMATCH(Q94,""ElementBoost_""),"""&amp;"%"",AND(REGEXMATCH(J94,""GiveA""),REGEXMATCH(Q94,""Element"")),""bool"")"),"#N/A")</f>
        <v>#N/A</v>
      </c>
      <c r="S94" s="6" t="n">
        <v>0</v>
      </c>
      <c r="T94" s="6"/>
      <c r="U94" s="319" t="b">
        <f aca="false">FALSE()</f>
        <v>0</v>
      </c>
      <c r="V94" s="319" t="b">
        <f aca="false">FALSE()</f>
        <v>0</v>
      </c>
      <c r="W94" s="319" t="b">
        <f aca="false">TRUE()</f>
        <v>1</v>
      </c>
      <c r="X94" s="319" t="b">
        <f aca="false">FALSE()</f>
        <v>0</v>
      </c>
      <c r="Y94" s="319" t="b">
        <f aca="false">FALSE()</f>
        <v>0</v>
      </c>
      <c r="Z94" s="319" t="b">
        <f aca="false">FALSE()</f>
        <v>0</v>
      </c>
      <c r="AA94" s="319" t="b">
        <f aca="false">FALSE()</f>
        <v>0</v>
      </c>
      <c r="AB94" s="319" t="b">
        <f aca="false">FALSE()</f>
        <v>0</v>
      </c>
      <c r="AC94" s="319" t="b">
        <f aca="false">FALSE()</f>
        <v>0</v>
      </c>
      <c r="AD94" s="319" t="b">
        <f aca="false">FALSE()</f>
        <v>0</v>
      </c>
      <c r="AE94" s="319" t="b">
        <f aca="false">FALSE()</f>
        <v>0</v>
      </c>
      <c r="AF94" s="319" t="b">
        <f aca="false">FALSE()</f>
        <v>0</v>
      </c>
      <c r="AG94" s="6" t="s">
        <v>182</v>
      </c>
      <c r="AH94" s="6" t="s">
        <v>182</v>
      </c>
    </row>
    <row r="95" customFormat="false" ht="15.75" hidden="false" customHeight="false" outlineLevel="0" collapsed="false">
      <c r="A95" s="1" t="e">
        <f aca="false">#N/A</f>
        <v>#N/A</v>
      </c>
      <c r="B95" s="6" t="s">
        <v>799</v>
      </c>
      <c r="C95" s="3"/>
      <c r="D95" s="6" t="str">
        <f aca="false">I95   &amp; IF(ISBLANK(M95),, ". "&amp; M95 &amp; IF(ISBLANK(Q95),, ". "&amp; Q95))</f>
        <v>Logging</v>
      </c>
      <c r="E95" s="6" t="str">
        <f aca="false">I95  &amp;": # on "&amp; L95  &amp; IF(ISBLANK(M95),, ". "&amp; M95 &amp;": # on "&amp; P95 &amp; IF(ISBLANK(Q95),, ". "&amp; Q95 &amp;": # on "&amp; T95))</f>
        <v>Logging: # on Self</v>
      </c>
      <c r="F95" s="6" t="str">
        <f aca="false">IF(U95,"active pal",)  &amp; IF(V95,"working",) &amp; IF(W95,"mounted",) &amp; IF(Y95,"in party (buff)",)  &amp; IF(Z95,"always",)</f>
        <v>mounted</v>
      </c>
      <c r="G95" s="6" t="n">
        <v>2</v>
      </c>
      <c r="H95" s="6" t="s">
        <v>182</v>
      </c>
      <c r="I95" s="6" t="s">
        <v>2065</v>
      </c>
      <c r="J95" s="6" t="str">
        <f aca="false">IFERROR(__xludf.dummyfunction("IFS(I95=""ShotAttack"",""%"",I95=""MeleeAttack"",""%"", I95=""Defense"",""%"",I95=""CraftSPeed"",""%"",I95=""LifeSteal"",""%"",I95=""MaxInventoryWeight"",""+"",I95=""MoveSpeed"",""%"",REGEXMATCH(I95,""ElementAddItemDrop_""),""%"",I95=""Logging"",""+"",I95"&amp;"=""Mining"",""+"",I95=""Maxhp"",""%"",REGEXMATCH(I95,""TemperatureResist_""),""+"",REGEXMATCH(I95,""ElementResist_""),""%"",REGEXMATCH(I95,""TemperatureInvalid_""),""bool"",REGEXMATCH(I95,""BodyPartsWeakDamage""),""%"",REGEXMATCH(I95,""ElementBoost_""),"""&amp;"%"",AND(REGEXMATCH(B95,""GiveA""),REGEXMATCH(I95,""Element"")),""bool"")"),"+")</f>
        <v>+</v>
      </c>
      <c r="K95" s="6" t="n">
        <v>500</v>
      </c>
      <c r="L95" s="6" t="s">
        <v>1956</v>
      </c>
      <c r="M95" s="6"/>
      <c r="N95" s="6" t="str">
        <f aca="false">IFERROR(__xludf.dummyfunction("IFS(M95=""ShotAttack"",""%"",M95=""MeleeAttack"",""%"", M95=""Defense"",""%"",M95=""CraftSPeed"",""%"",M95=""LifeSteal"",""%"",M95=""MaxInventoryWeight"",""+"",M95=""MoveSpeed"",""%"",REGEXMATCH(M95,""ElementAddItemDrop_""),""%"",M95=""Logging"",""+"",M95"&amp;"=""Mining"",""+"",M95=""Maxhp"",""%"",REGEXMATCH(M95,""TemperatureResist_""),""+"",REGEXMATCH(M95,""ElementResist_""),""%"",REGEXMATCH(M95,""TemperatureInvalid_""),""bool"",REGEXMATCH(M95,""BodyPartsWeakDamage""),""%"",REGEXMATCH(M95,""ElementBoost_""),"""&amp;"%"",AND(REGEXMATCH(F95,""GiveA""),REGEXMATCH(M95,""Element"")),""bool"")"),"#N/A")</f>
        <v>#N/A</v>
      </c>
      <c r="O95" s="6" t="n">
        <v>0</v>
      </c>
      <c r="P95" s="6"/>
      <c r="Q95" s="6"/>
      <c r="R95" s="6" t="str">
        <f aca="false">IFERROR(__xludf.dummyfunction("IFS(Q95=""ShotAttack"",""%"",Q95=""MeleeAttack"",""%"", Q95=""Defense"",""%"",Q95=""CraftSPeed"",""%"",Q95=""LifeSteal"",""%"",Q95=""MaxInventoryWeight"",""+"",Q95=""MoveSpeed"",""%"",REGEXMATCH(Q95,""ElementAddItemDrop_""),""%"",Q95=""Logging"",""+"",Q95"&amp;"=""Mining"",""+"",Q95=""Maxhp"",""%"",REGEXMATCH(Q95,""TemperatureResist_""),""+"",REGEXMATCH(Q95,""ElementResist_""),""%"",REGEXMATCH(Q95,""TemperatureInvalid_""),""bool"",REGEXMATCH(Q95,""BodyPartsWeakDamage""),""%"",REGEXMATCH(Q95,""ElementBoost_""),"""&amp;"%"",AND(REGEXMATCH(J95,""GiveA""),REGEXMATCH(Q95,""Element"")),""bool"")"),"#N/A")</f>
        <v>#N/A</v>
      </c>
      <c r="S95" s="6" t="n">
        <v>0</v>
      </c>
      <c r="T95" s="6"/>
      <c r="U95" s="319" t="b">
        <f aca="false">FALSE()</f>
        <v>0</v>
      </c>
      <c r="V95" s="319" t="b">
        <f aca="false">FALSE()</f>
        <v>0</v>
      </c>
      <c r="W95" s="319" t="b">
        <f aca="false">TRUE()</f>
        <v>1</v>
      </c>
      <c r="X95" s="319" t="b">
        <f aca="false">FALSE()</f>
        <v>0</v>
      </c>
      <c r="Y95" s="319" t="b">
        <f aca="false">FALSE()</f>
        <v>0</v>
      </c>
      <c r="Z95" s="319" t="b">
        <f aca="false">FALSE()</f>
        <v>0</v>
      </c>
      <c r="AA95" s="319" t="b">
        <f aca="false">FALSE()</f>
        <v>0</v>
      </c>
      <c r="AB95" s="319" t="b">
        <f aca="false">FALSE()</f>
        <v>0</v>
      </c>
      <c r="AC95" s="319" t="b">
        <f aca="false">FALSE()</f>
        <v>0</v>
      </c>
      <c r="AD95" s="319" t="b">
        <f aca="false">FALSE()</f>
        <v>0</v>
      </c>
      <c r="AE95" s="319" t="b">
        <f aca="false">FALSE()</f>
        <v>0</v>
      </c>
      <c r="AF95" s="319" t="b">
        <f aca="false">FALSE()</f>
        <v>0</v>
      </c>
      <c r="AG95" s="6" t="s">
        <v>182</v>
      </c>
      <c r="AH95" s="6" t="s">
        <v>182</v>
      </c>
    </row>
    <row r="96" customFormat="false" ht="15.75" hidden="false" customHeight="false" outlineLevel="0" collapsed="false">
      <c r="A96" s="3" t="s">
        <v>1953</v>
      </c>
      <c r="B96" s="6" t="s">
        <v>2071</v>
      </c>
      <c r="C96" s="3"/>
      <c r="D96" s="6" t="str">
        <f aca="false">I96   &amp; IF(ISBLANK(M96),, ". "&amp; M96 &amp; IF(ISBLANK(Q96),, ". "&amp; Q96))</f>
        <v>Mining</v>
      </c>
      <c r="E96" s="6" t="str">
        <f aca="false">I96  &amp;": # on "&amp; L96  &amp; IF(ISBLANK(M96),, ". "&amp; M96 &amp;": # on "&amp; P96 &amp; IF(ISBLANK(Q96),, ". "&amp; Q96 &amp;": # on "&amp; T96))</f>
        <v>Mining: # on Self</v>
      </c>
      <c r="F96" s="6" t="str">
        <f aca="false">IF(U96,"active pal",)  &amp; IF(V96,"working",) &amp; IF(W96,"mounted",) &amp; IF(Y96,"in party (buff)",)  &amp; IF(Z96,"always",)</f>
        <v>active pal</v>
      </c>
      <c r="G96" s="6" t="n">
        <v>1</v>
      </c>
      <c r="H96" s="6" t="s">
        <v>182</v>
      </c>
      <c r="I96" s="6" t="s">
        <v>2072</v>
      </c>
      <c r="J96" s="6" t="str">
        <f aca="false">IFERROR(__xludf.dummyfunction("IFS(I96=""ShotAttack"",""%"",I96=""MeleeAttack"",""%"", I96=""Defense"",""%"",I96=""CraftSPeed"",""%"",I96=""LifeSteal"",""%"",I96=""MaxInventoryWeight"",""+"",I96=""MoveSpeed"",""%"",REGEXMATCH(I96,""ElementAddItemDrop_""),""%"",I96=""Logging"",""+"",I96"&amp;"=""Mining"",""+"",I96=""Maxhp"",""%"",REGEXMATCH(I96,""TemperatureResist_""),""+"",REGEXMATCH(I96,""ElementResist_""),""%"",REGEXMATCH(I96,""TemperatureInvalid_""),""bool"",REGEXMATCH(I96,""BodyPartsWeakDamage""),""%"",REGEXMATCH(I96,""ElementBoost_""),"""&amp;"%"",AND(REGEXMATCH(B96,""GiveA""),REGEXMATCH(I96,""Element"")),""bool"")"),"+")</f>
        <v>+</v>
      </c>
      <c r="K96" s="6" t="n">
        <v>100</v>
      </c>
      <c r="L96" s="6" t="s">
        <v>1956</v>
      </c>
      <c r="M96" s="6"/>
      <c r="N96" s="6" t="str">
        <f aca="false">IFERROR(__xludf.dummyfunction("IFS(M96=""ShotAttack"",""%"",M96=""MeleeAttack"",""%"", M96=""Defense"",""%"",M96=""CraftSPeed"",""%"",M96=""LifeSteal"",""%"",M96=""MaxInventoryWeight"",""+"",M96=""MoveSpeed"",""%"",REGEXMATCH(M96,""ElementAddItemDrop_""),""%"",M96=""Logging"",""+"",M96"&amp;"=""Mining"",""+"",M96=""Maxhp"",""%"",REGEXMATCH(M96,""TemperatureResist_""),""+"",REGEXMATCH(M96,""ElementResist_""),""%"",REGEXMATCH(M96,""TemperatureInvalid_""),""bool"",REGEXMATCH(M96,""BodyPartsWeakDamage""),""%"",REGEXMATCH(M96,""ElementBoost_""),"""&amp;"%"",AND(REGEXMATCH(F96,""GiveA""),REGEXMATCH(M96,""Element"")),""bool"")"),"#N/A")</f>
        <v>#N/A</v>
      </c>
      <c r="O96" s="6" t="n">
        <v>0</v>
      </c>
      <c r="P96" s="6"/>
      <c r="Q96" s="6"/>
      <c r="R96" s="6" t="str">
        <f aca="false">IFERROR(__xludf.dummyfunction("IFS(Q96=""ShotAttack"",""%"",Q96=""MeleeAttack"",""%"", Q96=""Defense"",""%"",Q96=""CraftSPeed"",""%"",Q96=""LifeSteal"",""%"",Q96=""MaxInventoryWeight"",""+"",Q96=""MoveSpeed"",""%"",REGEXMATCH(Q96,""ElementAddItemDrop_""),""%"",Q96=""Logging"",""+"",Q96"&amp;"=""Mining"",""+"",Q96=""Maxhp"",""%"",REGEXMATCH(Q96,""TemperatureResist_""),""+"",REGEXMATCH(Q96,""ElementResist_""),""%"",REGEXMATCH(Q96,""TemperatureInvalid_""),""bool"",REGEXMATCH(Q96,""BodyPartsWeakDamage""),""%"",REGEXMATCH(Q96,""ElementBoost_""),"""&amp;"%"",AND(REGEXMATCH(J96,""GiveA""),REGEXMATCH(Q96,""Element"")),""bool"")"),"#N/A")</f>
        <v>#N/A</v>
      </c>
      <c r="S96" s="6" t="n">
        <v>0</v>
      </c>
      <c r="T96" s="6"/>
      <c r="U96" s="319" t="b">
        <f aca="false">TRUE()</f>
        <v>1</v>
      </c>
      <c r="V96" s="319" t="b">
        <f aca="false">FALSE()</f>
        <v>0</v>
      </c>
      <c r="W96" s="319" t="b">
        <f aca="false">FALSE()</f>
        <v>0</v>
      </c>
      <c r="X96" s="319" t="b">
        <f aca="false">FALSE()</f>
        <v>0</v>
      </c>
      <c r="Y96" s="319" t="b">
        <f aca="false">FALSE()</f>
        <v>0</v>
      </c>
      <c r="Z96" s="319" t="b">
        <f aca="false">FALSE()</f>
        <v>0</v>
      </c>
      <c r="AA96" s="319" t="b">
        <f aca="false">FALSE()</f>
        <v>0</v>
      </c>
      <c r="AB96" s="319" t="b">
        <f aca="false">FALSE()</f>
        <v>0</v>
      </c>
      <c r="AC96" s="319" t="b">
        <f aca="false">FALSE()</f>
        <v>0</v>
      </c>
      <c r="AD96" s="319" t="b">
        <f aca="false">FALSE()</f>
        <v>0</v>
      </c>
      <c r="AE96" s="319" t="b">
        <f aca="false">FALSE()</f>
        <v>0</v>
      </c>
      <c r="AF96" s="319" t="b">
        <f aca="false">FALSE()</f>
        <v>0</v>
      </c>
      <c r="AG96" s="6" t="s">
        <v>182</v>
      </c>
      <c r="AH96" s="6" t="s">
        <v>182</v>
      </c>
    </row>
    <row r="97" customFormat="false" ht="15.75" hidden="false" customHeight="false" outlineLevel="0" collapsed="false">
      <c r="A97" s="3" t="s">
        <v>1953</v>
      </c>
      <c r="B97" s="6" t="s">
        <v>2073</v>
      </c>
      <c r="C97" s="3"/>
      <c r="D97" s="6" t="str">
        <f aca="false">I97   &amp; IF(ISBLANK(M97),, ". "&amp; M97 &amp; IF(ISBLANK(Q97),, ". "&amp; Q97))</f>
        <v>Mining</v>
      </c>
      <c r="E97" s="6" t="str">
        <f aca="false">I97  &amp;": # on "&amp; L97  &amp; IF(ISBLANK(M97),, ". "&amp; M97 &amp;": # on "&amp; P97 &amp; IF(ISBLANK(Q97),, ". "&amp; Q97 &amp;": # on "&amp; T97))</f>
        <v>Mining: # on Self</v>
      </c>
      <c r="F97" s="6" t="str">
        <f aca="false">IF(U97,"active pal",)  &amp; IF(V97,"working",) &amp; IF(W97,"mounted",) &amp; IF(Y97,"in party (buff)",)  &amp; IF(Z97,"always",)</f>
        <v>active pal</v>
      </c>
      <c r="G97" s="6" t="n">
        <v>2</v>
      </c>
      <c r="H97" s="6" t="s">
        <v>182</v>
      </c>
      <c r="I97" s="6" t="s">
        <v>2072</v>
      </c>
      <c r="J97" s="6" t="str">
        <f aca="false">IFERROR(__xludf.dummyfunction("IFS(I97=""ShotAttack"",""%"",I97=""MeleeAttack"",""%"", I97=""Defense"",""%"",I97=""CraftSPeed"",""%"",I97=""LifeSteal"",""%"",I97=""MaxInventoryWeight"",""+"",I97=""MoveSpeed"",""%"",REGEXMATCH(I97,""ElementAddItemDrop_""),""%"",I97=""Logging"",""+"",I97"&amp;"=""Mining"",""+"",I97=""Maxhp"",""%"",REGEXMATCH(I97,""TemperatureResist_""),""+"",REGEXMATCH(I97,""ElementResist_""),""%"",REGEXMATCH(I97,""TemperatureInvalid_""),""bool"",REGEXMATCH(I97,""BodyPartsWeakDamage""),""%"",REGEXMATCH(I97,""ElementBoost_""),"""&amp;"%"",AND(REGEXMATCH(B97,""GiveA""),REGEXMATCH(I97,""Element"")),""bool"")"),"+")</f>
        <v>+</v>
      </c>
      <c r="K97" s="6" t="n">
        <v>130</v>
      </c>
      <c r="L97" s="6" t="s">
        <v>1956</v>
      </c>
      <c r="M97" s="6"/>
      <c r="N97" s="6" t="str">
        <f aca="false">IFERROR(__xludf.dummyfunction("IFS(M97=""ShotAttack"",""%"",M97=""MeleeAttack"",""%"", M97=""Defense"",""%"",M97=""CraftSPeed"",""%"",M97=""LifeSteal"",""%"",M97=""MaxInventoryWeight"",""+"",M97=""MoveSpeed"",""%"",REGEXMATCH(M97,""ElementAddItemDrop_""),""%"",M97=""Logging"",""+"",M97"&amp;"=""Mining"",""+"",M97=""Maxhp"",""%"",REGEXMATCH(M97,""TemperatureResist_""),""+"",REGEXMATCH(M97,""ElementResist_""),""%"",REGEXMATCH(M97,""TemperatureInvalid_""),""bool"",REGEXMATCH(M97,""BodyPartsWeakDamage""),""%"",REGEXMATCH(M97,""ElementBoost_""),"""&amp;"%"",AND(REGEXMATCH(F97,""GiveA""),REGEXMATCH(M97,""Element"")),""bool"")"),"#N/A")</f>
        <v>#N/A</v>
      </c>
      <c r="O97" s="6" t="n">
        <v>0</v>
      </c>
      <c r="P97" s="6"/>
      <c r="Q97" s="6"/>
      <c r="R97" s="6" t="str">
        <f aca="false">IFERROR(__xludf.dummyfunction("IFS(Q97=""ShotAttack"",""%"",Q97=""MeleeAttack"",""%"", Q97=""Defense"",""%"",Q97=""CraftSPeed"",""%"",Q97=""LifeSteal"",""%"",Q97=""MaxInventoryWeight"",""+"",Q97=""MoveSpeed"",""%"",REGEXMATCH(Q97,""ElementAddItemDrop_""),""%"",Q97=""Logging"",""+"",Q97"&amp;"=""Mining"",""+"",Q97=""Maxhp"",""%"",REGEXMATCH(Q97,""TemperatureResist_""),""+"",REGEXMATCH(Q97,""ElementResist_""),""%"",REGEXMATCH(Q97,""TemperatureInvalid_""),""bool"",REGEXMATCH(Q97,""BodyPartsWeakDamage""),""%"",REGEXMATCH(Q97,""ElementBoost_""),"""&amp;"%"",AND(REGEXMATCH(J97,""GiveA""),REGEXMATCH(Q97,""Element"")),""bool"")"),"#N/A")</f>
        <v>#N/A</v>
      </c>
      <c r="S97" s="6" t="n">
        <v>0</v>
      </c>
      <c r="T97" s="6"/>
      <c r="U97" s="319" t="b">
        <f aca="false">TRUE()</f>
        <v>1</v>
      </c>
      <c r="V97" s="319" t="b">
        <f aca="false">FALSE()</f>
        <v>0</v>
      </c>
      <c r="W97" s="319" t="b">
        <f aca="false">FALSE()</f>
        <v>0</v>
      </c>
      <c r="X97" s="319" t="b">
        <f aca="false">FALSE()</f>
        <v>0</v>
      </c>
      <c r="Y97" s="319" t="b">
        <f aca="false">FALSE()</f>
        <v>0</v>
      </c>
      <c r="Z97" s="319" t="b">
        <f aca="false">FALSE()</f>
        <v>0</v>
      </c>
      <c r="AA97" s="319" t="b">
        <f aca="false">FALSE()</f>
        <v>0</v>
      </c>
      <c r="AB97" s="319" t="b">
        <f aca="false">FALSE()</f>
        <v>0</v>
      </c>
      <c r="AC97" s="319" t="b">
        <f aca="false">FALSE()</f>
        <v>0</v>
      </c>
      <c r="AD97" s="319" t="b">
        <f aca="false">FALSE()</f>
        <v>0</v>
      </c>
      <c r="AE97" s="319" t="b">
        <f aca="false">FALSE()</f>
        <v>0</v>
      </c>
      <c r="AF97" s="319" t="b">
        <f aca="false">FALSE()</f>
        <v>0</v>
      </c>
      <c r="AG97" s="6" t="s">
        <v>182</v>
      </c>
      <c r="AH97" s="6" t="s">
        <v>182</v>
      </c>
    </row>
    <row r="98" customFormat="false" ht="15.75" hidden="false" customHeight="false" outlineLevel="0" collapsed="false">
      <c r="A98" s="3" t="s">
        <v>1953</v>
      </c>
      <c r="B98" s="6" t="s">
        <v>2074</v>
      </c>
      <c r="C98" s="3"/>
      <c r="D98" s="6" t="str">
        <f aca="false">I98   &amp; IF(ISBLANK(M98),, ". "&amp; M98 &amp; IF(ISBLANK(Q98),, ". "&amp; Q98))</f>
        <v>Mining</v>
      </c>
      <c r="E98" s="6" t="str">
        <f aca="false">I98  &amp;": # on "&amp; L98  &amp; IF(ISBLANK(M98),, ". "&amp; M98 &amp;": # on "&amp; P98 &amp; IF(ISBLANK(Q98),, ". "&amp; Q98 &amp;": # on "&amp; T98))</f>
        <v>Mining: # on Self</v>
      </c>
      <c r="F98" s="6" t="str">
        <f aca="false">IF(U98,"active pal",)  &amp; IF(V98,"working",) &amp; IF(W98,"mounted",) &amp; IF(Y98,"in party (buff)",)  &amp; IF(Z98,"always",)</f>
        <v>active pal</v>
      </c>
      <c r="G98" s="6" t="n">
        <v>3</v>
      </c>
      <c r="H98" s="6" t="s">
        <v>182</v>
      </c>
      <c r="I98" s="6" t="s">
        <v>2072</v>
      </c>
      <c r="J98" s="6" t="str">
        <f aca="false">IFERROR(__xludf.dummyfunction("IFS(I98=""ShotAttack"",""%"",I98=""MeleeAttack"",""%"", I98=""Defense"",""%"",I98=""CraftSPeed"",""%"",I98=""LifeSteal"",""%"",I98=""MaxInventoryWeight"",""+"",I98=""MoveSpeed"",""%"",REGEXMATCH(I98,""ElementAddItemDrop_""),""%"",I98=""Logging"",""+"",I98"&amp;"=""Mining"",""+"",I98=""Maxhp"",""%"",REGEXMATCH(I98,""TemperatureResist_""),""+"",REGEXMATCH(I98,""ElementResist_""),""%"",REGEXMATCH(I98,""TemperatureInvalid_""),""bool"",REGEXMATCH(I98,""BodyPartsWeakDamage""),""%"",REGEXMATCH(I98,""ElementBoost_""),"""&amp;"%"",AND(REGEXMATCH(B98,""GiveA""),REGEXMATCH(I98,""Element"")),""bool"")"),"+")</f>
        <v>+</v>
      </c>
      <c r="K98" s="6" t="n">
        <v>160</v>
      </c>
      <c r="L98" s="6" t="s">
        <v>1956</v>
      </c>
      <c r="M98" s="6"/>
      <c r="N98" s="6" t="str">
        <f aca="false">IFERROR(__xludf.dummyfunction("IFS(M98=""ShotAttack"",""%"",M98=""MeleeAttack"",""%"", M98=""Defense"",""%"",M98=""CraftSPeed"",""%"",M98=""LifeSteal"",""%"",M98=""MaxInventoryWeight"",""+"",M98=""MoveSpeed"",""%"",REGEXMATCH(M98,""ElementAddItemDrop_""),""%"",M98=""Logging"",""+"",M98"&amp;"=""Mining"",""+"",M98=""Maxhp"",""%"",REGEXMATCH(M98,""TemperatureResist_""),""+"",REGEXMATCH(M98,""ElementResist_""),""%"",REGEXMATCH(M98,""TemperatureInvalid_""),""bool"",REGEXMATCH(M98,""BodyPartsWeakDamage""),""%"",REGEXMATCH(M98,""ElementBoost_""),"""&amp;"%"",AND(REGEXMATCH(F98,""GiveA""),REGEXMATCH(M98,""Element"")),""bool"")"),"#N/A")</f>
        <v>#N/A</v>
      </c>
      <c r="O98" s="6" t="n">
        <v>0</v>
      </c>
      <c r="P98" s="6"/>
      <c r="Q98" s="6"/>
      <c r="R98" s="6" t="str">
        <f aca="false">IFERROR(__xludf.dummyfunction("IFS(Q98=""ShotAttack"",""%"",Q98=""MeleeAttack"",""%"", Q98=""Defense"",""%"",Q98=""CraftSPeed"",""%"",Q98=""LifeSteal"",""%"",Q98=""MaxInventoryWeight"",""+"",Q98=""MoveSpeed"",""%"",REGEXMATCH(Q98,""ElementAddItemDrop_""),""%"",Q98=""Logging"",""+"",Q98"&amp;"=""Mining"",""+"",Q98=""Maxhp"",""%"",REGEXMATCH(Q98,""TemperatureResist_""),""+"",REGEXMATCH(Q98,""ElementResist_""),""%"",REGEXMATCH(Q98,""TemperatureInvalid_""),""bool"",REGEXMATCH(Q98,""BodyPartsWeakDamage""),""%"",REGEXMATCH(Q98,""ElementBoost_""),"""&amp;"%"",AND(REGEXMATCH(J98,""GiveA""),REGEXMATCH(Q98,""Element"")),""bool"")"),"#N/A")</f>
        <v>#N/A</v>
      </c>
      <c r="S98" s="6" t="n">
        <v>0</v>
      </c>
      <c r="T98" s="6"/>
      <c r="U98" s="319" t="b">
        <f aca="false">TRUE()</f>
        <v>1</v>
      </c>
      <c r="V98" s="319" t="b">
        <f aca="false">FALSE()</f>
        <v>0</v>
      </c>
      <c r="W98" s="319" t="b">
        <f aca="false">FALSE()</f>
        <v>0</v>
      </c>
      <c r="X98" s="319" t="b">
        <f aca="false">FALSE()</f>
        <v>0</v>
      </c>
      <c r="Y98" s="319" t="b">
        <f aca="false">FALSE()</f>
        <v>0</v>
      </c>
      <c r="Z98" s="319" t="b">
        <f aca="false">FALSE()</f>
        <v>0</v>
      </c>
      <c r="AA98" s="319" t="b">
        <f aca="false">FALSE()</f>
        <v>0</v>
      </c>
      <c r="AB98" s="319" t="b">
        <f aca="false">FALSE()</f>
        <v>0</v>
      </c>
      <c r="AC98" s="319" t="b">
        <f aca="false">FALSE()</f>
        <v>0</v>
      </c>
      <c r="AD98" s="319" t="b">
        <f aca="false">FALSE()</f>
        <v>0</v>
      </c>
      <c r="AE98" s="319" t="b">
        <f aca="false">FALSE()</f>
        <v>0</v>
      </c>
      <c r="AF98" s="319" t="b">
        <f aca="false">FALSE()</f>
        <v>0</v>
      </c>
      <c r="AG98" s="6" t="s">
        <v>182</v>
      </c>
      <c r="AH98" s="6" t="s">
        <v>182</v>
      </c>
    </row>
    <row r="99" customFormat="false" ht="15.75" hidden="false" customHeight="false" outlineLevel="0" collapsed="false">
      <c r="A99" s="3" t="s">
        <v>1953</v>
      </c>
      <c r="B99" s="6" t="s">
        <v>2075</v>
      </c>
      <c r="C99" s="3"/>
      <c r="D99" s="6" t="str">
        <f aca="false">I99   &amp; IF(ISBLANK(M99),, ". "&amp; M99 &amp; IF(ISBLANK(Q99),, ". "&amp; Q99))</f>
        <v>Mining</v>
      </c>
      <c r="E99" s="6" t="str">
        <f aca="false">I99  &amp;": # on "&amp; L99  &amp; IF(ISBLANK(M99),, ". "&amp; M99 &amp;": # on "&amp; P99 &amp; IF(ISBLANK(Q99),, ". "&amp; Q99 &amp;": # on "&amp; T99))</f>
        <v>Mining: # on Self</v>
      </c>
      <c r="F99" s="6" t="str">
        <f aca="false">IF(U99,"active pal",)  &amp; IF(V99,"working",) &amp; IF(W99,"mounted",) &amp; IF(Y99,"in party (buff)",)  &amp; IF(Z99,"always",)</f>
        <v>active pal</v>
      </c>
      <c r="G99" s="6" t="n">
        <v>4</v>
      </c>
      <c r="H99" s="6" t="s">
        <v>182</v>
      </c>
      <c r="I99" s="6" t="s">
        <v>2072</v>
      </c>
      <c r="J99" s="6" t="str">
        <f aca="false">IFERROR(__xludf.dummyfunction("IFS(I99=""ShotAttack"",""%"",I99=""MeleeAttack"",""%"", I99=""Defense"",""%"",I99=""CraftSPeed"",""%"",I99=""LifeSteal"",""%"",I99=""MaxInventoryWeight"",""+"",I99=""MoveSpeed"",""%"",REGEXMATCH(I99,""ElementAddItemDrop_""),""%"",I99=""Logging"",""+"",I99"&amp;"=""Mining"",""+"",I99=""Maxhp"",""%"",REGEXMATCH(I99,""TemperatureResist_""),""+"",REGEXMATCH(I99,""ElementResist_""),""%"",REGEXMATCH(I99,""TemperatureInvalid_""),""bool"",REGEXMATCH(I99,""BodyPartsWeakDamage""),""%"",REGEXMATCH(I99,""ElementBoost_""),"""&amp;"%"",AND(REGEXMATCH(B99,""GiveA""),REGEXMATCH(I99,""Element"")),""bool"")"),"+")</f>
        <v>+</v>
      </c>
      <c r="K99" s="6" t="n">
        <v>200</v>
      </c>
      <c r="L99" s="6" t="s">
        <v>1956</v>
      </c>
      <c r="M99" s="6"/>
      <c r="N99" s="6" t="str">
        <f aca="false">IFERROR(__xludf.dummyfunction("IFS(M99=""ShotAttack"",""%"",M99=""MeleeAttack"",""%"", M99=""Defense"",""%"",M99=""CraftSPeed"",""%"",M99=""LifeSteal"",""%"",M99=""MaxInventoryWeight"",""+"",M99=""MoveSpeed"",""%"",REGEXMATCH(M99,""ElementAddItemDrop_""),""%"",M99=""Logging"",""+"",M99"&amp;"=""Mining"",""+"",M99=""Maxhp"",""%"",REGEXMATCH(M99,""TemperatureResist_""),""+"",REGEXMATCH(M99,""ElementResist_""),""%"",REGEXMATCH(M99,""TemperatureInvalid_""),""bool"",REGEXMATCH(M99,""BodyPartsWeakDamage""),""%"",REGEXMATCH(M99,""ElementBoost_""),"""&amp;"%"",AND(REGEXMATCH(F99,""GiveA""),REGEXMATCH(M99,""Element"")),""bool"")"),"#N/A")</f>
        <v>#N/A</v>
      </c>
      <c r="O99" s="6" t="n">
        <v>0</v>
      </c>
      <c r="P99" s="6"/>
      <c r="Q99" s="6"/>
      <c r="R99" s="6" t="str">
        <f aca="false">IFERROR(__xludf.dummyfunction("IFS(Q99=""ShotAttack"",""%"",Q99=""MeleeAttack"",""%"", Q99=""Defense"",""%"",Q99=""CraftSPeed"",""%"",Q99=""LifeSteal"",""%"",Q99=""MaxInventoryWeight"",""+"",Q99=""MoveSpeed"",""%"",REGEXMATCH(Q99,""ElementAddItemDrop_""),""%"",Q99=""Logging"",""+"",Q99"&amp;"=""Mining"",""+"",Q99=""Maxhp"",""%"",REGEXMATCH(Q99,""TemperatureResist_""),""+"",REGEXMATCH(Q99,""ElementResist_""),""%"",REGEXMATCH(Q99,""TemperatureInvalid_""),""bool"",REGEXMATCH(Q99,""BodyPartsWeakDamage""),""%"",REGEXMATCH(Q99,""ElementBoost_""),"""&amp;"%"",AND(REGEXMATCH(J99,""GiveA""),REGEXMATCH(Q99,""Element"")),""bool"")"),"#N/A")</f>
        <v>#N/A</v>
      </c>
      <c r="S99" s="6" t="n">
        <v>0</v>
      </c>
      <c r="T99" s="6"/>
      <c r="U99" s="319" t="b">
        <f aca="false">TRUE()</f>
        <v>1</v>
      </c>
      <c r="V99" s="319" t="b">
        <f aca="false">FALSE()</f>
        <v>0</v>
      </c>
      <c r="W99" s="319" t="b">
        <f aca="false">FALSE()</f>
        <v>0</v>
      </c>
      <c r="X99" s="319" t="b">
        <f aca="false">FALSE()</f>
        <v>0</v>
      </c>
      <c r="Y99" s="319" t="b">
        <f aca="false">FALSE()</f>
        <v>0</v>
      </c>
      <c r="Z99" s="319" t="b">
        <f aca="false">FALSE()</f>
        <v>0</v>
      </c>
      <c r="AA99" s="319" t="b">
        <f aca="false">FALSE()</f>
        <v>0</v>
      </c>
      <c r="AB99" s="319" t="b">
        <f aca="false">FALSE()</f>
        <v>0</v>
      </c>
      <c r="AC99" s="319" t="b">
        <f aca="false">FALSE()</f>
        <v>0</v>
      </c>
      <c r="AD99" s="319" t="b">
        <f aca="false">FALSE()</f>
        <v>0</v>
      </c>
      <c r="AE99" s="319" t="b">
        <f aca="false">FALSE()</f>
        <v>0</v>
      </c>
      <c r="AF99" s="319" t="b">
        <f aca="false">FALSE()</f>
        <v>0</v>
      </c>
      <c r="AG99" s="6" t="s">
        <v>182</v>
      </c>
      <c r="AH99" s="6" t="s">
        <v>182</v>
      </c>
    </row>
    <row r="100" customFormat="false" ht="15.75" hidden="false" customHeight="false" outlineLevel="0" collapsed="false">
      <c r="A100" s="3" t="s">
        <v>1953</v>
      </c>
      <c r="B100" s="6" t="s">
        <v>2076</v>
      </c>
      <c r="C100" s="3"/>
      <c r="D100" s="6" t="str">
        <f aca="false">I100   &amp; IF(ISBLANK(M100),, ". "&amp; M100 &amp; IF(ISBLANK(Q100),, ". "&amp; Q100))</f>
        <v>Mining</v>
      </c>
      <c r="E100" s="6" t="str">
        <f aca="false">I100  &amp;": # on "&amp; L100  &amp; IF(ISBLANK(M100),, ". "&amp; M100 &amp;": # on "&amp; P100 &amp; IF(ISBLANK(Q100),, ". "&amp; Q100 &amp;": # on "&amp; T100))</f>
        <v>Mining: # on Self</v>
      </c>
      <c r="F100" s="6" t="str">
        <f aca="false">IF(U100,"active pal",)  &amp; IF(V100,"working",) &amp; IF(W100,"mounted",) &amp; IF(Y100,"in party (buff)",)  &amp; IF(Z100,"always",)</f>
        <v>active pal</v>
      </c>
      <c r="G100" s="6" t="n">
        <v>5</v>
      </c>
      <c r="H100" s="6" t="s">
        <v>182</v>
      </c>
      <c r="I100" s="6" t="s">
        <v>2072</v>
      </c>
      <c r="J100" s="6" t="str">
        <f aca="false">IFERROR(__xludf.dummyfunction("IFS(I100=""ShotAttack"",""%"",I100=""MeleeAttack"",""%"", I100=""Defense"",""%"",I100=""CraftSPeed"",""%"",I100=""LifeSteal"",""%"",I100=""MaxInventoryWeight"",""+"",I100=""MoveSpeed"",""%"",REGEXMATCH(I100,""ElementAddItemDrop_""),""%"",I100=""Logging"","&amp;"""+"",I100=""Mining"",""+"",I100=""Maxhp"",""%"",REGEXMATCH(I100,""TemperatureResist_""),""+"",REGEXMATCH(I100,""ElementResist_""),""%"",REGEXMATCH(I100,""TemperatureInvalid_""),""bool"",REGEXMATCH(I100,""BodyPartsWeakDamage""),""%"",REGEXMATCH(I100,""Ele"&amp;"mentBoost_""),""%"",AND(REGEXMATCH(B100,""GiveA""),REGEXMATCH(I100,""Element"")),""bool"")"),"+")</f>
        <v>+</v>
      </c>
      <c r="K100" s="6" t="n">
        <v>250</v>
      </c>
      <c r="L100" s="6" t="s">
        <v>1956</v>
      </c>
      <c r="M100" s="6"/>
      <c r="N100" s="6" t="str">
        <f aca="false">IFERROR(__xludf.dummyfunction("IFS(M100=""ShotAttack"",""%"",M100=""MeleeAttack"",""%"", M100=""Defense"",""%"",M100=""CraftSPeed"",""%"",M100=""LifeSteal"",""%"",M100=""MaxInventoryWeight"",""+"",M100=""MoveSpeed"",""%"",REGEXMATCH(M100,""ElementAddItemDrop_""),""%"",M100=""Logging"","&amp;"""+"",M100=""Mining"",""+"",M100=""Maxhp"",""%"",REGEXMATCH(M100,""TemperatureResist_""),""+"",REGEXMATCH(M100,""ElementResist_""),""%"",REGEXMATCH(M100,""TemperatureInvalid_""),""bool"",REGEXMATCH(M100,""BodyPartsWeakDamage""),""%"",REGEXMATCH(M100,""Ele"&amp;"mentBoost_""),""%"",AND(REGEXMATCH(F100,""GiveA""),REGEXMATCH(M100,""Element"")),""bool"")"),"#N/A")</f>
        <v>#N/A</v>
      </c>
      <c r="O100" s="6" t="n">
        <v>0</v>
      </c>
      <c r="P100" s="6"/>
      <c r="Q100" s="6"/>
      <c r="R100" s="6" t="str">
        <f aca="false">IFERROR(__xludf.dummyfunction("IFS(Q100=""ShotAttack"",""%"",Q100=""MeleeAttack"",""%"", Q100=""Defense"",""%"",Q100=""CraftSPeed"",""%"",Q100=""LifeSteal"",""%"",Q100=""MaxInventoryWeight"",""+"",Q100=""MoveSpeed"",""%"",REGEXMATCH(Q100,""ElementAddItemDrop_""),""%"",Q100=""Logging"","&amp;"""+"",Q100=""Mining"",""+"",Q100=""Maxhp"",""%"",REGEXMATCH(Q100,""TemperatureResist_""),""+"",REGEXMATCH(Q100,""ElementResist_""),""%"",REGEXMATCH(Q100,""TemperatureInvalid_""),""bool"",REGEXMATCH(Q100,""BodyPartsWeakDamage""),""%"",REGEXMATCH(Q100,""Ele"&amp;"mentBoost_""),""%"",AND(REGEXMATCH(J100,""GiveA""),REGEXMATCH(Q100,""Element"")),""bool"")"),"#N/A")</f>
        <v>#N/A</v>
      </c>
      <c r="S100" s="6" t="n">
        <v>0</v>
      </c>
      <c r="T100" s="6"/>
      <c r="U100" s="319" t="b">
        <f aca="false">TRUE()</f>
        <v>1</v>
      </c>
      <c r="V100" s="319" t="b">
        <f aca="false">FALSE()</f>
        <v>0</v>
      </c>
      <c r="W100" s="319" t="b">
        <f aca="false">FALSE()</f>
        <v>0</v>
      </c>
      <c r="X100" s="319" t="b">
        <f aca="false">FALSE()</f>
        <v>0</v>
      </c>
      <c r="Y100" s="319" t="b">
        <f aca="false">FALSE()</f>
        <v>0</v>
      </c>
      <c r="Z100" s="319" t="b">
        <f aca="false">FALSE()</f>
        <v>0</v>
      </c>
      <c r="AA100" s="319" t="b">
        <f aca="false">FALSE()</f>
        <v>0</v>
      </c>
      <c r="AB100" s="319" t="b">
        <f aca="false">FALSE()</f>
        <v>0</v>
      </c>
      <c r="AC100" s="319" t="b">
        <f aca="false">FALSE()</f>
        <v>0</v>
      </c>
      <c r="AD100" s="319" t="b">
        <f aca="false">FALSE()</f>
        <v>0</v>
      </c>
      <c r="AE100" s="319" t="b">
        <f aca="false">FALSE()</f>
        <v>0</v>
      </c>
      <c r="AF100" s="319" t="b">
        <f aca="false">FALSE()</f>
        <v>0</v>
      </c>
      <c r="AG100" s="6" t="s">
        <v>182</v>
      </c>
      <c r="AH100" s="6" t="s">
        <v>182</v>
      </c>
    </row>
    <row r="101" customFormat="false" ht="15.75" hidden="false" customHeight="false" outlineLevel="0" collapsed="false">
      <c r="A101" s="1" t="e">
        <f aca="false">#N/A</f>
        <v>#N/A</v>
      </c>
      <c r="B101" s="6" t="s">
        <v>2077</v>
      </c>
      <c r="C101" s="3"/>
      <c r="D101" s="6" t="str">
        <f aca="false">I101   &amp; IF(ISBLANK(M101),, ". "&amp; M101 &amp; IF(ISBLANK(Q101),, ". "&amp; Q101))</f>
        <v>Mining</v>
      </c>
      <c r="E101" s="6" t="str">
        <f aca="false">I101  &amp;": # on "&amp; L101  &amp; IF(ISBLANK(M101),, ". "&amp; M101 &amp;": # on "&amp; P101 &amp; IF(ISBLANK(Q101),, ". "&amp; Q101 &amp;": # on "&amp; T101))</f>
        <v>Mining: # on Self</v>
      </c>
      <c r="F101" s="6" t="str">
        <f aca="false">IF(U101,"active pal",)  &amp; IF(V101,"working",) &amp; IF(W101,"mounted",) &amp; IF(Y101,"in party (buff)",)  &amp; IF(Z101,"always",)</f>
        <v>active pal</v>
      </c>
      <c r="G101" s="6" t="n">
        <v>5</v>
      </c>
      <c r="H101" s="6" t="s">
        <v>182</v>
      </c>
      <c r="I101" s="6" t="s">
        <v>2072</v>
      </c>
      <c r="J101" s="6" t="str">
        <f aca="false">IFERROR(__xludf.dummyfunction("IFS(I101=""ShotAttack"",""%"",I101=""MeleeAttack"",""%"", I101=""Defense"",""%"",I101=""CraftSPeed"",""%"",I101=""LifeSteal"",""%"",I101=""MaxInventoryWeight"",""+"",I101=""MoveSpeed"",""%"",REGEXMATCH(I101,""ElementAddItemDrop_""),""%"",I101=""Logging"","&amp;"""+"",I101=""Mining"",""+"",I101=""Maxhp"",""%"",REGEXMATCH(I101,""TemperatureResist_""),""+"",REGEXMATCH(I101,""ElementResist_""),""%"",REGEXMATCH(I101,""TemperatureInvalid_""),""bool"",REGEXMATCH(I101,""BodyPartsWeakDamage""),""%"",REGEXMATCH(I101,""Ele"&amp;"mentBoost_""),""%"",AND(REGEXMATCH(B101,""GiveA""),REGEXMATCH(I101,""Element"")),""bool"")"),"+")</f>
        <v>+</v>
      </c>
      <c r="K101" s="6" t="n">
        <v>300</v>
      </c>
      <c r="L101" s="6" t="s">
        <v>1956</v>
      </c>
      <c r="M101" s="6"/>
      <c r="N101" s="6" t="str">
        <f aca="false">IFERROR(__xludf.dummyfunction("IFS(M101=""ShotAttack"",""%"",M101=""MeleeAttack"",""%"", M101=""Defense"",""%"",M101=""CraftSPeed"",""%"",M101=""LifeSteal"",""%"",M101=""MaxInventoryWeight"",""+"",M101=""MoveSpeed"",""%"",REGEXMATCH(M101,""ElementAddItemDrop_""),""%"",M101=""Logging"","&amp;"""+"",M101=""Mining"",""+"",M101=""Maxhp"",""%"",REGEXMATCH(M101,""TemperatureResist_""),""+"",REGEXMATCH(M101,""ElementResist_""),""%"",REGEXMATCH(M101,""TemperatureInvalid_""),""bool"",REGEXMATCH(M101,""BodyPartsWeakDamage""),""%"",REGEXMATCH(M101,""Ele"&amp;"mentBoost_""),""%"",AND(REGEXMATCH(F101,""GiveA""),REGEXMATCH(M101,""Element"")),""bool"")"),"#N/A")</f>
        <v>#N/A</v>
      </c>
      <c r="O101" s="6" t="n">
        <v>0</v>
      </c>
      <c r="P101" s="6"/>
      <c r="Q101" s="6"/>
      <c r="R101" s="6" t="str">
        <f aca="false">IFERROR(__xludf.dummyfunction("IFS(Q101=""ShotAttack"",""%"",Q101=""MeleeAttack"",""%"", Q101=""Defense"",""%"",Q101=""CraftSPeed"",""%"",Q101=""LifeSteal"",""%"",Q101=""MaxInventoryWeight"",""+"",Q101=""MoveSpeed"",""%"",REGEXMATCH(Q101,""ElementAddItemDrop_""),""%"",Q101=""Logging"","&amp;"""+"",Q101=""Mining"",""+"",Q101=""Maxhp"",""%"",REGEXMATCH(Q101,""TemperatureResist_""),""+"",REGEXMATCH(Q101,""ElementResist_""),""%"",REGEXMATCH(Q101,""TemperatureInvalid_""),""bool"",REGEXMATCH(Q101,""BodyPartsWeakDamage""),""%"",REGEXMATCH(Q101,""Ele"&amp;"mentBoost_""),""%"",AND(REGEXMATCH(J101,""GiveA""),REGEXMATCH(Q101,""Element"")),""bool"")"),"#N/A")</f>
        <v>#N/A</v>
      </c>
      <c r="S101" s="6" t="n">
        <v>0</v>
      </c>
      <c r="T101" s="6"/>
      <c r="U101" s="319" t="b">
        <f aca="false">TRUE()</f>
        <v>1</v>
      </c>
      <c r="V101" s="319" t="b">
        <f aca="false">FALSE()</f>
        <v>0</v>
      </c>
      <c r="W101" s="319" t="b">
        <f aca="false">FALSE()</f>
        <v>0</v>
      </c>
      <c r="X101" s="319" t="b">
        <f aca="false">FALSE()</f>
        <v>0</v>
      </c>
      <c r="Y101" s="319" t="b">
        <f aca="false">FALSE()</f>
        <v>0</v>
      </c>
      <c r="Z101" s="319" t="b">
        <f aca="false">FALSE()</f>
        <v>0</v>
      </c>
      <c r="AA101" s="319" t="b">
        <f aca="false">FALSE()</f>
        <v>0</v>
      </c>
      <c r="AB101" s="319" t="b">
        <f aca="false">FALSE()</f>
        <v>0</v>
      </c>
      <c r="AC101" s="319" t="b">
        <f aca="false">FALSE()</f>
        <v>0</v>
      </c>
      <c r="AD101" s="319" t="b">
        <f aca="false">FALSE()</f>
        <v>0</v>
      </c>
      <c r="AE101" s="319" t="b">
        <f aca="false">FALSE()</f>
        <v>0</v>
      </c>
      <c r="AF101" s="319" t="b">
        <f aca="false">FALSE()</f>
        <v>0</v>
      </c>
      <c r="AG101" s="6" t="s">
        <v>182</v>
      </c>
      <c r="AH101" s="6" t="s">
        <v>182</v>
      </c>
    </row>
    <row r="102" customFormat="false" ht="15.75" hidden="false" customHeight="false" outlineLevel="0" collapsed="false">
      <c r="A102" s="1" t="e">
        <f aca="false">#N/A</f>
        <v>#N/A</v>
      </c>
      <c r="B102" s="6" t="s">
        <v>2078</v>
      </c>
      <c r="C102" s="3"/>
      <c r="D102" s="6" t="str">
        <f aca="false">I102   &amp; IF(ISBLANK(M102),, ". "&amp; M102 &amp; IF(ISBLANK(Q102),, ". "&amp; Q102))</f>
        <v>Mining</v>
      </c>
      <c r="E102" s="6" t="str">
        <f aca="false">I102  &amp;": # on "&amp; L102  &amp; IF(ISBLANK(M102),, ". "&amp; M102 &amp;": # on "&amp; P102 &amp; IF(ISBLANK(Q102),, ". "&amp; Q102 &amp;": # on "&amp; T102))</f>
        <v>Mining: # on Self</v>
      </c>
      <c r="F102" s="6" t="str">
        <f aca="false">IF(U102,"active pal",)  &amp; IF(V102,"working",) &amp; IF(W102,"mounted",) &amp; IF(Y102,"in party (buff)",)  &amp; IF(Z102,"always",)</f>
        <v>active pal</v>
      </c>
      <c r="G102" s="6" t="n">
        <v>5</v>
      </c>
      <c r="H102" s="6" t="s">
        <v>182</v>
      </c>
      <c r="I102" s="6" t="s">
        <v>2072</v>
      </c>
      <c r="J102" s="6" t="str">
        <f aca="false">IFERROR(__xludf.dummyfunction("IFS(I102=""ShotAttack"",""%"",I102=""MeleeAttack"",""%"", I102=""Defense"",""%"",I102=""CraftSPeed"",""%"",I102=""LifeSteal"",""%"",I102=""MaxInventoryWeight"",""+"",I102=""MoveSpeed"",""%"",REGEXMATCH(I102,""ElementAddItemDrop_""),""%"",I102=""Logging"","&amp;"""+"",I102=""Mining"",""+"",I102=""Maxhp"",""%"",REGEXMATCH(I102,""TemperatureResist_""),""+"",REGEXMATCH(I102,""ElementResist_""),""%"",REGEXMATCH(I102,""TemperatureInvalid_""),""bool"",REGEXMATCH(I102,""BodyPartsWeakDamage""),""%"",REGEXMATCH(I102,""Ele"&amp;"mentBoost_""),""%"",AND(REGEXMATCH(B102,""GiveA""),REGEXMATCH(I102,""Element"")),""bool"")"),"+")</f>
        <v>+</v>
      </c>
      <c r="K102" s="6" t="n">
        <v>350</v>
      </c>
      <c r="L102" s="6" t="s">
        <v>1956</v>
      </c>
      <c r="M102" s="6"/>
      <c r="N102" s="6" t="str">
        <f aca="false">IFERROR(__xludf.dummyfunction("IFS(M102=""ShotAttack"",""%"",M102=""MeleeAttack"",""%"", M102=""Defense"",""%"",M102=""CraftSPeed"",""%"",M102=""LifeSteal"",""%"",M102=""MaxInventoryWeight"",""+"",M102=""MoveSpeed"",""%"",REGEXMATCH(M102,""ElementAddItemDrop_""),""%"",M102=""Logging"","&amp;"""+"",M102=""Mining"",""+"",M102=""Maxhp"",""%"",REGEXMATCH(M102,""TemperatureResist_""),""+"",REGEXMATCH(M102,""ElementResist_""),""%"",REGEXMATCH(M102,""TemperatureInvalid_""),""bool"",REGEXMATCH(M102,""BodyPartsWeakDamage""),""%"",REGEXMATCH(M102,""Ele"&amp;"mentBoost_""),""%"",AND(REGEXMATCH(F102,""GiveA""),REGEXMATCH(M102,""Element"")),""bool"")"),"#N/A")</f>
        <v>#N/A</v>
      </c>
      <c r="O102" s="6" t="n">
        <v>0</v>
      </c>
      <c r="P102" s="6"/>
      <c r="Q102" s="6"/>
      <c r="R102" s="6" t="str">
        <f aca="false">IFERROR(__xludf.dummyfunction("IFS(Q102=""ShotAttack"",""%"",Q102=""MeleeAttack"",""%"", Q102=""Defense"",""%"",Q102=""CraftSPeed"",""%"",Q102=""LifeSteal"",""%"",Q102=""MaxInventoryWeight"",""+"",Q102=""MoveSpeed"",""%"",REGEXMATCH(Q102,""ElementAddItemDrop_""),""%"",Q102=""Logging"","&amp;"""+"",Q102=""Mining"",""+"",Q102=""Maxhp"",""%"",REGEXMATCH(Q102,""TemperatureResist_""),""+"",REGEXMATCH(Q102,""ElementResist_""),""%"",REGEXMATCH(Q102,""TemperatureInvalid_""),""bool"",REGEXMATCH(Q102,""BodyPartsWeakDamage""),""%"",REGEXMATCH(Q102,""Ele"&amp;"mentBoost_""),""%"",AND(REGEXMATCH(J102,""GiveA""),REGEXMATCH(Q102,""Element"")),""bool"")"),"#N/A")</f>
        <v>#N/A</v>
      </c>
      <c r="S102" s="6" t="n">
        <v>0</v>
      </c>
      <c r="T102" s="6"/>
      <c r="U102" s="319" t="b">
        <f aca="false">TRUE()</f>
        <v>1</v>
      </c>
      <c r="V102" s="319" t="b">
        <f aca="false">FALSE()</f>
        <v>0</v>
      </c>
      <c r="W102" s="319" t="b">
        <f aca="false">FALSE()</f>
        <v>0</v>
      </c>
      <c r="X102" s="319" t="b">
        <f aca="false">FALSE()</f>
        <v>0</v>
      </c>
      <c r="Y102" s="319" t="b">
        <f aca="false">FALSE()</f>
        <v>0</v>
      </c>
      <c r="Z102" s="319" t="b">
        <f aca="false">FALSE()</f>
        <v>0</v>
      </c>
      <c r="AA102" s="319" t="b">
        <f aca="false">FALSE()</f>
        <v>0</v>
      </c>
      <c r="AB102" s="319" t="b">
        <f aca="false">FALSE()</f>
        <v>0</v>
      </c>
      <c r="AC102" s="319" t="b">
        <f aca="false">FALSE()</f>
        <v>0</v>
      </c>
      <c r="AD102" s="319" t="b">
        <f aca="false">FALSE()</f>
        <v>0</v>
      </c>
      <c r="AE102" s="319" t="b">
        <f aca="false">FALSE()</f>
        <v>0</v>
      </c>
      <c r="AF102" s="319" t="b">
        <f aca="false">FALSE()</f>
        <v>0</v>
      </c>
      <c r="AG102" s="6" t="s">
        <v>182</v>
      </c>
      <c r="AH102" s="6" t="s">
        <v>182</v>
      </c>
    </row>
    <row r="103" customFormat="false" ht="15.75" hidden="false" customHeight="false" outlineLevel="0" collapsed="false">
      <c r="A103" s="1" t="e">
        <f aca="false">#N/A</f>
        <v>#N/A</v>
      </c>
      <c r="B103" s="6" t="s">
        <v>2079</v>
      </c>
      <c r="C103" s="3"/>
      <c r="D103" s="6" t="str">
        <f aca="false">I103   &amp; IF(ISBLANK(M103),, ". "&amp; M103 &amp; IF(ISBLANK(Q103),, ". "&amp; Q103))</f>
        <v>Mining</v>
      </c>
      <c r="E103" s="6" t="str">
        <f aca="false">I103  &amp;": # on "&amp; L103  &amp; IF(ISBLANK(M103),, ". "&amp; M103 &amp;": # on "&amp; P103 &amp; IF(ISBLANK(Q103),, ". "&amp; Q103 &amp;": # on "&amp; T103))</f>
        <v>Mining: # on Self</v>
      </c>
      <c r="F103" s="6" t="str">
        <f aca="false">IF(U103,"active pal",)  &amp; IF(V103,"working",) &amp; IF(W103,"mounted",) &amp; IF(Y103,"in party (buff)",)  &amp; IF(Z103,"always",)</f>
        <v>active pal</v>
      </c>
      <c r="G103" s="6" t="n">
        <v>5</v>
      </c>
      <c r="H103" s="6" t="s">
        <v>182</v>
      </c>
      <c r="I103" s="6" t="s">
        <v>2072</v>
      </c>
      <c r="J103" s="6" t="str">
        <f aca="false">IFERROR(__xludf.dummyfunction("IFS(I103=""ShotAttack"",""%"",I103=""MeleeAttack"",""%"", I103=""Defense"",""%"",I103=""CraftSPeed"",""%"",I103=""LifeSteal"",""%"",I103=""MaxInventoryWeight"",""+"",I103=""MoveSpeed"",""%"",REGEXMATCH(I103,""ElementAddItemDrop_""),""%"",I103=""Logging"","&amp;"""+"",I103=""Mining"",""+"",I103=""Maxhp"",""%"",REGEXMATCH(I103,""TemperatureResist_""),""+"",REGEXMATCH(I103,""ElementResist_""),""%"",REGEXMATCH(I103,""TemperatureInvalid_""),""bool"",REGEXMATCH(I103,""BodyPartsWeakDamage""),""%"",REGEXMATCH(I103,""Ele"&amp;"mentBoost_""),""%"",AND(REGEXMATCH(B103,""GiveA""),REGEXMATCH(I103,""Element"")),""bool"")"),"+")</f>
        <v>+</v>
      </c>
      <c r="K103" s="6" t="n">
        <v>400</v>
      </c>
      <c r="L103" s="6" t="s">
        <v>1956</v>
      </c>
      <c r="M103" s="6"/>
      <c r="N103" s="6" t="str">
        <f aca="false">IFERROR(__xludf.dummyfunction("IFS(M103=""ShotAttack"",""%"",M103=""MeleeAttack"",""%"", M103=""Defense"",""%"",M103=""CraftSPeed"",""%"",M103=""LifeSteal"",""%"",M103=""MaxInventoryWeight"",""+"",M103=""MoveSpeed"",""%"",REGEXMATCH(M103,""ElementAddItemDrop_""),""%"",M103=""Logging"","&amp;"""+"",M103=""Mining"",""+"",M103=""Maxhp"",""%"",REGEXMATCH(M103,""TemperatureResist_""),""+"",REGEXMATCH(M103,""ElementResist_""),""%"",REGEXMATCH(M103,""TemperatureInvalid_""),""bool"",REGEXMATCH(M103,""BodyPartsWeakDamage""),""%"",REGEXMATCH(M103,""Ele"&amp;"mentBoost_""),""%"",AND(REGEXMATCH(F103,""GiveA""),REGEXMATCH(M103,""Element"")),""bool"")"),"#N/A")</f>
        <v>#N/A</v>
      </c>
      <c r="O103" s="6" t="n">
        <v>0</v>
      </c>
      <c r="P103" s="6"/>
      <c r="Q103" s="6"/>
      <c r="R103" s="6" t="str">
        <f aca="false">IFERROR(__xludf.dummyfunction("IFS(Q103=""ShotAttack"",""%"",Q103=""MeleeAttack"",""%"", Q103=""Defense"",""%"",Q103=""CraftSPeed"",""%"",Q103=""LifeSteal"",""%"",Q103=""MaxInventoryWeight"",""+"",Q103=""MoveSpeed"",""%"",REGEXMATCH(Q103,""ElementAddItemDrop_""),""%"",Q103=""Logging"","&amp;"""+"",Q103=""Mining"",""+"",Q103=""Maxhp"",""%"",REGEXMATCH(Q103,""TemperatureResist_""),""+"",REGEXMATCH(Q103,""ElementResist_""),""%"",REGEXMATCH(Q103,""TemperatureInvalid_""),""bool"",REGEXMATCH(Q103,""BodyPartsWeakDamage""),""%"",REGEXMATCH(Q103,""Ele"&amp;"mentBoost_""),""%"",AND(REGEXMATCH(J103,""GiveA""),REGEXMATCH(Q103,""Element"")),""bool"")"),"#N/A")</f>
        <v>#N/A</v>
      </c>
      <c r="S103" s="6" t="n">
        <v>0</v>
      </c>
      <c r="T103" s="6"/>
      <c r="U103" s="319" t="b">
        <f aca="false">TRUE()</f>
        <v>1</v>
      </c>
      <c r="V103" s="319" t="b">
        <f aca="false">FALSE()</f>
        <v>0</v>
      </c>
      <c r="W103" s="319" t="b">
        <f aca="false">FALSE()</f>
        <v>0</v>
      </c>
      <c r="X103" s="319" t="b">
        <f aca="false">FALSE()</f>
        <v>0</v>
      </c>
      <c r="Y103" s="319" t="b">
        <f aca="false">FALSE()</f>
        <v>0</v>
      </c>
      <c r="Z103" s="319" t="b">
        <f aca="false">FALSE()</f>
        <v>0</v>
      </c>
      <c r="AA103" s="319" t="b">
        <f aca="false">FALSE()</f>
        <v>0</v>
      </c>
      <c r="AB103" s="319" t="b">
        <f aca="false">FALSE()</f>
        <v>0</v>
      </c>
      <c r="AC103" s="319" t="b">
        <f aca="false">FALSE()</f>
        <v>0</v>
      </c>
      <c r="AD103" s="319" t="b">
        <f aca="false">FALSE()</f>
        <v>0</v>
      </c>
      <c r="AE103" s="319" t="b">
        <f aca="false">FALSE()</f>
        <v>0</v>
      </c>
      <c r="AF103" s="319" t="b">
        <f aca="false">FALSE()</f>
        <v>0</v>
      </c>
      <c r="AG103" s="6" t="s">
        <v>182</v>
      </c>
      <c r="AH103" s="6" t="s">
        <v>182</v>
      </c>
    </row>
    <row r="104" customFormat="false" ht="15.75" hidden="false" customHeight="false" outlineLevel="0" collapsed="false">
      <c r="A104" s="1" t="e">
        <f aca="false">#N/A</f>
        <v>#N/A</v>
      </c>
      <c r="B104" s="6" t="s">
        <v>2080</v>
      </c>
      <c r="C104" s="3"/>
      <c r="D104" s="6" t="str">
        <f aca="false">I104   &amp; IF(ISBLANK(M104),, ". "&amp; M104 &amp; IF(ISBLANK(Q104),, ". "&amp; Q104))</f>
        <v>Mining</v>
      </c>
      <c r="E104" s="6" t="str">
        <f aca="false">I104  &amp;": # on "&amp; L104  &amp; IF(ISBLANK(M104),, ". "&amp; M104 &amp;": # on "&amp; P104 &amp; IF(ISBLANK(Q104),, ". "&amp; Q104 &amp;": # on "&amp; T104))</f>
        <v>Mining: # on Self</v>
      </c>
      <c r="F104" s="6" t="str">
        <f aca="false">IF(U104,"active pal",)  &amp; IF(V104,"working",) &amp; IF(W104,"mounted",) &amp; IF(Y104,"in party (buff)",)  &amp; IF(Z104,"always",)</f>
        <v>active pal</v>
      </c>
      <c r="G104" s="6" t="n">
        <v>5</v>
      </c>
      <c r="H104" s="6" t="s">
        <v>182</v>
      </c>
      <c r="I104" s="6" t="s">
        <v>2072</v>
      </c>
      <c r="J104" s="6" t="str">
        <f aca="false">IFERROR(__xludf.dummyfunction("IFS(I104=""ShotAttack"",""%"",I104=""MeleeAttack"",""%"", I104=""Defense"",""%"",I104=""CraftSPeed"",""%"",I104=""LifeSteal"",""%"",I104=""MaxInventoryWeight"",""+"",I104=""MoveSpeed"",""%"",REGEXMATCH(I104,""ElementAddItemDrop_""),""%"",I104=""Logging"","&amp;"""+"",I104=""Mining"",""+"",I104=""Maxhp"",""%"",REGEXMATCH(I104,""TemperatureResist_""),""+"",REGEXMATCH(I104,""ElementResist_""),""%"",REGEXMATCH(I104,""TemperatureInvalid_""),""bool"",REGEXMATCH(I104,""BodyPartsWeakDamage""),""%"",REGEXMATCH(I104,""Ele"&amp;"mentBoost_""),""%"",AND(REGEXMATCH(B104,""GiveA""),REGEXMATCH(I104,""Element"")),""bool"")"),"+")</f>
        <v>+</v>
      </c>
      <c r="K104" s="6" t="n">
        <v>450</v>
      </c>
      <c r="L104" s="6" t="s">
        <v>1956</v>
      </c>
      <c r="M104" s="6"/>
      <c r="N104" s="6" t="str">
        <f aca="false">IFERROR(__xludf.dummyfunction("IFS(M104=""ShotAttack"",""%"",M104=""MeleeAttack"",""%"", M104=""Defense"",""%"",M104=""CraftSPeed"",""%"",M104=""LifeSteal"",""%"",M104=""MaxInventoryWeight"",""+"",M104=""MoveSpeed"",""%"",REGEXMATCH(M104,""ElementAddItemDrop_""),""%"",M104=""Logging"","&amp;"""+"",M104=""Mining"",""+"",M104=""Maxhp"",""%"",REGEXMATCH(M104,""TemperatureResist_""),""+"",REGEXMATCH(M104,""ElementResist_""),""%"",REGEXMATCH(M104,""TemperatureInvalid_""),""bool"",REGEXMATCH(M104,""BodyPartsWeakDamage""),""%"",REGEXMATCH(M104,""Ele"&amp;"mentBoost_""),""%"",AND(REGEXMATCH(F104,""GiveA""),REGEXMATCH(M104,""Element"")),""bool"")"),"#N/A")</f>
        <v>#N/A</v>
      </c>
      <c r="O104" s="6" t="n">
        <v>0</v>
      </c>
      <c r="P104" s="6"/>
      <c r="Q104" s="6"/>
      <c r="R104" s="6" t="str">
        <f aca="false">IFERROR(__xludf.dummyfunction("IFS(Q104=""ShotAttack"",""%"",Q104=""MeleeAttack"",""%"", Q104=""Defense"",""%"",Q104=""CraftSPeed"",""%"",Q104=""LifeSteal"",""%"",Q104=""MaxInventoryWeight"",""+"",Q104=""MoveSpeed"",""%"",REGEXMATCH(Q104,""ElementAddItemDrop_""),""%"",Q104=""Logging"","&amp;"""+"",Q104=""Mining"",""+"",Q104=""Maxhp"",""%"",REGEXMATCH(Q104,""TemperatureResist_""),""+"",REGEXMATCH(Q104,""ElementResist_""),""%"",REGEXMATCH(Q104,""TemperatureInvalid_""),""bool"",REGEXMATCH(Q104,""BodyPartsWeakDamage""),""%"",REGEXMATCH(Q104,""Ele"&amp;"mentBoost_""),""%"",AND(REGEXMATCH(J104,""GiveA""),REGEXMATCH(Q104,""Element"")),""bool"")"),"#N/A")</f>
        <v>#N/A</v>
      </c>
      <c r="S104" s="6" t="n">
        <v>0</v>
      </c>
      <c r="T104" s="6"/>
      <c r="U104" s="319" t="b">
        <f aca="false">TRUE()</f>
        <v>1</v>
      </c>
      <c r="V104" s="319" t="b">
        <f aca="false">FALSE()</f>
        <v>0</v>
      </c>
      <c r="W104" s="319" t="b">
        <f aca="false">FALSE()</f>
        <v>0</v>
      </c>
      <c r="X104" s="319" t="b">
        <f aca="false">FALSE()</f>
        <v>0</v>
      </c>
      <c r="Y104" s="319" t="b">
        <f aca="false">FALSE()</f>
        <v>0</v>
      </c>
      <c r="Z104" s="319" t="b">
        <f aca="false">FALSE()</f>
        <v>0</v>
      </c>
      <c r="AA104" s="319" t="b">
        <f aca="false">FALSE()</f>
        <v>0</v>
      </c>
      <c r="AB104" s="319" t="b">
        <f aca="false">FALSE()</f>
        <v>0</v>
      </c>
      <c r="AC104" s="319" t="b">
        <f aca="false">FALSE()</f>
        <v>0</v>
      </c>
      <c r="AD104" s="319" t="b">
        <f aca="false">FALSE()</f>
        <v>0</v>
      </c>
      <c r="AE104" s="319" t="b">
        <f aca="false">FALSE()</f>
        <v>0</v>
      </c>
      <c r="AF104" s="319" t="b">
        <f aca="false">FALSE()</f>
        <v>0</v>
      </c>
      <c r="AG104" s="6" t="s">
        <v>182</v>
      </c>
      <c r="AH104" s="6" t="s">
        <v>182</v>
      </c>
    </row>
    <row r="105" customFormat="false" ht="15.75" hidden="false" customHeight="false" outlineLevel="0" collapsed="false">
      <c r="A105" s="1" t="e">
        <f aca="false">#N/A</f>
        <v>#N/A</v>
      </c>
      <c r="B105" s="6" t="s">
        <v>2081</v>
      </c>
      <c r="C105" s="3"/>
      <c r="D105" s="6" t="str">
        <f aca="false">I105   &amp; IF(ISBLANK(M105),, ". "&amp; M105 &amp; IF(ISBLANK(Q105),, ". "&amp; Q105))</f>
        <v>Mining</v>
      </c>
      <c r="E105" s="6" t="str">
        <f aca="false">I105  &amp;": # on "&amp; L105  &amp; IF(ISBLANK(M105),, ". "&amp; M105 &amp;": # on "&amp; P105 &amp; IF(ISBLANK(Q105),, ". "&amp; Q105 &amp;": # on "&amp; T105))</f>
        <v>Mining: # on Self</v>
      </c>
      <c r="F105" s="6" t="str">
        <f aca="false">IF(U105,"active pal",)  &amp; IF(V105,"working",) &amp; IF(W105,"mounted",) &amp; IF(Y105,"in party (buff)",)  &amp; IF(Z105,"always",)</f>
        <v>active pal</v>
      </c>
      <c r="G105" s="6" t="n">
        <v>5</v>
      </c>
      <c r="H105" s="6" t="s">
        <v>182</v>
      </c>
      <c r="I105" s="6" t="s">
        <v>2072</v>
      </c>
      <c r="J105" s="6" t="str">
        <f aca="false">IFERROR(__xludf.dummyfunction("IFS(I105=""ShotAttack"",""%"",I105=""MeleeAttack"",""%"", I105=""Defense"",""%"",I105=""CraftSPeed"",""%"",I105=""LifeSteal"",""%"",I105=""MaxInventoryWeight"",""+"",I105=""MoveSpeed"",""%"",REGEXMATCH(I105,""ElementAddItemDrop_""),""%"",I105=""Logging"","&amp;"""+"",I105=""Mining"",""+"",I105=""Maxhp"",""%"",REGEXMATCH(I105,""TemperatureResist_""),""+"",REGEXMATCH(I105,""ElementResist_""),""%"",REGEXMATCH(I105,""TemperatureInvalid_""),""bool"",REGEXMATCH(I105,""BodyPartsWeakDamage""),""%"",REGEXMATCH(I105,""Ele"&amp;"mentBoost_""),""%"",AND(REGEXMATCH(B105,""GiveA""),REGEXMATCH(I105,""Element"")),""bool"")"),"+")</f>
        <v>+</v>
      </c>
      <c r="K105" s="6" t="n">
        <v>500</v>
      </c>
      <c r="L105" s="6" t="s">
        <v>1956</v>
      </c>
      <c r="M105" s="6"/>
      <c r="N105" s="6" t="str">
        <f aca="false">IFERROR(__xludf.dummyfunction("IFS(M105=""ShotAttack"",""%"",M105=""MeleeAttack"",""%"", M105=""Defense"",""%"",M105=""CraftSPeed"",""%"",M105=""LifeSteal"",""%"",M105=""MaxInventoryWeight"",""+"",M105=""MoveSpeed"",""%"",REGEXMATCH(M105,""ElementAddItemDrop_""),""%"",M105=""Logging"","&amp;"""+"",M105=""Mining"",""+"",M105=""Maxhp"",""%"",REGEXMATCH(M105,""TemperatureResist_""),""+"",REGEXMATCH(M105,""ElementResist_""),""%"",REGEXMATCH(M105,""TemperatureInvalid_""),""bool"",REGEXMATCH(M105,""BodyPartsWeakDamage""),""%"",REGEXMATCH(M105,""Ele"&amp;"mentBoost_""),""%"",AND(REGEXMATCH(F105,""GiveA""),REGEXMATCH(M105,""Element"")),""bool"")"),"#N/A")</f>
        <v>#N/A</v>
      </c>
      <c r="O105" s="6" t="n">
        <v>0</v>
      </c>
      <c r="P105" s="6"/>
      <c r="Q105" s="6"/>
      <c r="R105" s="6" t="str">
        <f aca="false">IFERROR(__xludf.dummyfunction("IFS(Q105=""ShotAttack"",""%"",Q105=""MeleeAttack"",""%"", Q105=""Defense"",""%"",Q105=""CraftSPeed"",""%"",Q105=""LifeSteal"",""%"",Q105=""MaxInventoryWeight"",""+"",Q105=""MoveSpeed"",""%"",REGEXMATCH(Q105,""ElementAddItemDrop_""),""%"",Q105=""Logging"","&amp;"""+"",Q105=""Mining"",""+"",Q105=""Maxhp"",""%"",REGEXMATCH(Q105,""TemperatureResist_""),""+"",REGEXMATCH(Q105,""ElementResist_""),""%"",REGEXMATCH(Q105,""TemperatureInvalid_""),""bool"",REGEXMATCH(Q105,""BodyPartsWeakDamage""),""%"",REGEXMATCH(Q105,""Ele"&amp;"mentBoost_""),""%"",AND(REGEXMATCH(J105,""GiveA""),REGEXMATCH(Q105,""Element"")),""bool"")"),"#N/A")</f>
        <v>#N/A</v>
      </c>
      <c r="S105" s="6" t="n">
        <v>0</v>
      </c>
      <c r="T105" s="6"/>
      <c r="U105" s="319" t="b">
        <f aca="false">TRUE()</f>
        <v>1</v>
      </c>
      <c r="V105" s="319" t="b">
        <f aca="false">FALSE()</f>
        <v>0</v>
      </c>
      <c r="W105" s="319" t="b">
        <f aca="false">FALSE()</f>
        <v>0</v>
      </c>
      <c r="X105" s="319" t="b">
        <f aca="false">FALSE()</f>
        <v>0</v>
      </c>
      <c r="Y105" s="319" t="b">
        <f aca="false">FALSE()</f>
        <v>0</v>
      </c>
      <c r="Z105" s="319" t="b">
        <f aca="false">FALSE()</f>
        <v>0</v>
      </c>
      <c r="AA105" s="319" t="b">
        <f aca="false">FALSE()</f>
        <v>0</v>
      </c>
      <c r="AB105" s="319" t="b">
        <f aca="false">FALSE()</f>
        <v>0</v>
      </c>
      <c r="AC105" s="319" t="b">
        <f aca="false">FALSE()</f>
        <v>0</v>
      </c>
      <c r="AD105" s="319" t="b">
        <f aca="false">FALSE()</f>
        <v>0</v>
      </c>
      <c r="AE105" s="319" t="b">
        <f aca="false">FALSE()</f>
        <v>0</v>
      </c>
      <c r="AF105" s="319" t="b">
        <f aca="false">FALSE()</f>
        <v>0</v>
      </c>
      <c r="AG105" s="6" t="s">
        <v>182</v>
      </c>
      <c r="AH105" s="6" t="s">
        <v>182</v>
      </c>
    </row>
    <row r="106" customFormat="false" ht="15.75" hidden="false" customHeight="false" outlineLevel="0" collapsed="false">
      <c r="A106" s="3" t="s">
        <v>1953</v>
      </c>
      <c r="B106" s="6" t="s">
        <v>2082</v>
      </c>
      <c r="C106" s="3"/>
      <c r="D106" s="6" t="str">
        <f aca="false">I106   &amp; IF(ISBLANK(M106),, ". "&amp; M106 &amp; IF(ISBLANK(Q106),, ". "&amp; Q106))</f>
        <v>Mining</v>
      </c>
      <c r="E106" s="6" t="str">
        <f aca="false">I106  &amp;": # on "&amp; L106  &amp; IF(ISBLANK(M106),, ". "&amp; M106 &amp;": # on "&amp; P106 &amp; IF(ISBLANK(Q106),, ". "&amp; Q106 &amp;": # on "&amp; T106))</f>
        <v>Mining: # on Self</v>
      </c>
      <c r="F106" s="6" t="str">
        <f aca="false">IF(U106,"active pal",)  &amp; IF(V106,"working",) &amp; IF(W106,"mounted",) &amp; IF(Y106,"in party (buff)",)  &amp; IF(Z106,"always",)</f>
        <v>mounted</v>
      </c>
      <c r="G106" s="6" t="n">
        <v>1</v>
      </c>
      <c r="H106" s="6" t="s">
        <v>182</v>
      </c>
      <c r="I106" s="6" t="s">
        <v>2072</v>
      </c>
      <c r="J106" s="6" t="str">
        <f aca="false">IFERROR(__xludf.dummyfunction("IFS(I106=""ShotAttack"",""%"",I106=""MeleeAttack"",""%"", I106=""Defense"",""%"",I106=""CraftSPeed"",""%"",I106=""LifeSteal"",""%"",I106=""MaxInventoryWeight"",""+"",I106=""MoveSpeed"",""%"",REGEXMATCH(I106,""ElementAddItemDrop_""),""%"",I106=""Logging"","&amp;"""+"",I106=""Mining"",""+"",I106=""Maxhp"",""%"",REGEXMATCH(I106,""TemperatureResist_""),""+"",REGEXMATCH(I106,""ElementResist_""),""%"",REGEXMATCH(I106,""TemperatureInvalid_""),""bool"",REGEXMATCH(I106,""BodyPartsWeakDamage""),""%"",REGEXMATCH(I106,""Ele"&amp;"mentBoost_""),""%"",AND(REGEXMATCH(B106,""GiveA""),REGEXMATCH(I106,""Element"")),""bool"")"),"+")</f>
        <v>+</v>
      </c>
      <c r="K106" s="6" t="n">
        <v>300</v>
      </c>
      <c r="L106" s="6" t="s">
        <v>1956</v>
      </c>
      <c r="M106" s="6"/>
      <c r="N106" s="6" t="str">
        <f aca="false">IFERROR(__xludf.dummyfunction("IFS(M106=""ShotAttack"",""%"",M106=""MeleeAttack"",""%"", M106=""Defense"",""%"",M106=""CraftSPeed"",""%"",M106=""LifeSteal"",""%"",M106=""MaxInventoryWeight"",""+"",M106=""MoveSpeed"",""%"",REGEXMATCH(M106,""ElementAddItemDrop_""),""%"",M106=""Logging"","&amp;"""+"",M106=""Mining"",""+"",M106=""Maxhp"",""%"",REGEXMATCH(M106,""TemperatureResist_""),""+"",REGEXMATCH(M106,""ElementResist_""),""%"",REGEXMATCH(M106,""TemperatureInvalid_""),""bool"",REGEXMATCH(M106,""BodyPartsWeakDamage""),""%"",REGEXMATCH(M106,""Ele"&amp;"mentBoost_""),""%"",AND(REGEXMATCH(F106,""GiveA""),REGEXMATCH(M106,""Element"")),""bool"")"),"#N/A")</f>
        <v>#N/A</v>
      </c>
      <c r="O106" s="6" t="n">
        <v>0</v>
      </c>
      <c r="P106" s="6"/>
      <c r="Q106" s="6"/>
      <c r="R106" s="6" t="str">
        <f aca="false">IFERROR(__xludf.dummyfunction("IFS(Q106=""ShotAttack"",""%"",Q106=""MeleeAttack"",""%"", Q106=""Defense"",""%"",Q106=""CraftSPeed"",""%"",Q106=""LifeSteal"",""%"",Q106=""MaxInventoryWeight"",""+"",Q106=""MoveSpeed"",""%"",REGEXMATCH(Q106,""ElementAddItemDrop_""),""%"",Q106=""Logging"","&amp;"""+"",Q106=""Mining"",""+"",Q106=""Maxhp"",""%"",REGEXMATCH(Q106,""TemperatureResist_""),""+"",REGEXMATCH(Q106,""ElementResist_""),""%"",REGEXMATCH(Q106,""TemperatureInvalid_""),""bool"",REGEXMATCH(Q106,""BodyPartsWeakDamage""),""%"",REGEXMATCH(Q106,""Ele"&amp;"mentBoost_""),""%"",AND(REGEXMATCH(J106,""GiveA""),REGEXMATCH(Q106,""Element"")),""bool"")"),"#N/A")</f>
        <v>#N/A</v>
      </c>
      <c r="S106" s="6" t="n">
        <v>0</v>
      </c>
      <c r="T106" s="6"/>
      <c r="U106" s="319" t="b">
        <f aca="false">FALSE()</f>
        <v>0</v>
      </c>
      <c r="V106" s="319" t="b">
        <f aca="false">FALSE()</f>
        <v>0</v>
      </c>
      <c r="W106" s="319" t="b">
        <f aca="false">TRUE()</f>
        <v>1</v>
      </c>
      <c r="X106" s="319" t="b">
        <f aca="false">FALSE()</f>
        <v>0</v>
      </c>
      <c r="Y106" s="319" t="b">
        <f aca="false">FALSE()</f>
        <v>0</v>
      </c>
      <c r="Z106" s="319" t="b">
        <f aca="false">FALSE()</f>
        <v>0</v>
      </c>
      <c r="AA106" s="319" t="b">
        <f aca="false">FALSE()</f>
        <v>0</v>
      </c>
      <c r="AB106" s="319" t="b">
        <f aca="false">FALSE()</f>
        <v>0</v>
      </c>
      <c r="AC106" s="319" t="b">
        <f aca="false">FALSE()</f>
        <v>0</v>
      </c>
      <c r="AD106" s="319" t="b">
        <f aca="false">FALSE()</f>
        <v>0</v>
      </c>
      <c r="AE106" s="319" t="b">
        <f aca="false">FALSE()</f>
        <v>0</v>
      </c>
      <c r="AF106" s="319" t="b">
        <f aca="false">FALSE()</f>
        <v>0</v>
      </c>
      <c r="AG106" s="6" t="s">
        <v>182</v>
      </c>
      <c r="AH106" s="6" t="s">
        <v>182</v>
      </c>
    </row>
    <row r="107" customFormat="false" ht="15.75" hidden="false" customHeight="false" outlineLevel="0" collapsed="false">
      <c r="A107" s="3" t="s">
        <v>1953</v>
      </c>
      <c r="B107" s="6" t="s">
        <v>777</v>
      </c>
      <c r="C107" s="3"/>
      <c r="D107" s="6" t="str">
        <f aca="false">I107   &amp; IF(ISBLANK(M107),, ". "&amp; M107 &amp; IF(ISBLANK(Q107),, ". "&amp; Q107))</f>
        <v>Mining</v>
      </c>
      <c r="E107" s="6" t="str">
        <f aca="false">I107  &amp;": # on "&amp; L107  &amp; IF(ISBLANK(M107),, ". "&amp; M107 &amp;": # on "&amp; P107 &amp; IF(ISBLANK(Q107),, ". "&amp; Q107 &amp;": # on "&amp; T107))</f>
        <v>Mining: # on Self</v>
      </c>
      <c r="F107" s="6" t="str">
        <f aca="false">IF(U107,"active pal",)  &amp; IF(V107,"working",) &amp; IF(W107,"mounted",) &amp; IF(Y107,"in party (buff)",)  &amp; IF(Z107,"always",)</f>
        <v>mounted</v>
      </c>
      <c r="G107" s="6" t="n">
        <v>2</v>
      </c>
      <c r="H107" s="6" t="s">
        <v>182</v>
      </c>
      <c r="I107" s="6" t="s">
        <v>2072</v>
      </c>
      <c r="J107" s="6" t="str">
        <f aca="false">IFERROR(__xludf.dummyfunction("IFS(I107=""ShotAttack"",""%"",I107=""MeleeAttack"",""%"", I107=""Defense"",""%"",I107=""CraftSPeed"",""%"",I107=""LifeSteal"",""%"",I107=""MaxInventoryWeight"",""+"",I107=""MoveSpeed"",""%"",REGEXMATCH(I107,""ElementAddItemDrop_""),""%"",I107=""Logging"","&amp;"""+"",I107=""Mining"",""+"",I107=""Maxhp"",""%"",REGEXMATCH(I107,""TemperatureResist_""),""+"",REGEXMATCH(I107,""ElementResist_""),""%"",REGEXMATCH(I107,""TemperatureInvalid_""),""bool"",REGEXMATCH(I107,""BodyPartsWeakDamage""),""%"",REGEXMATCH(I107,""Ele"&amp;"mentBoost_""),""%"",AND(REGEXMATCH(B107,""GiveA""),REGEXMATCH(I107,""Element"")),""bool"")"),"+")</f>
        <v>+</v>
      </c>
      <c r="K107" s="6" t="n">
        <v>500</v>
      </c>
      <c r="L107" s="6" t="s">
        <v>1956</v>
      </c>
      <c r="M107" s="6"/>
      <c r="N107" s="6" t="str">
        <f aca="false">IFERROR(__xludf.dummyfunction("IFS(M107=""ShotAttack"",""%"",M107=""MeleeAttack"",""%"", M107=""Defense"",""%"",M107=""CraftSPeed"",""%"",M107=""LifeSteal"",""%"",M107=""MaxInventoryWeight"",""+"",M107=""MoveSpeed"",""%"",REGEXMATCH(M107,""ElementAddItemDrop_""),""%"",M107=""Logging"","&amp;"""+"",M107=""Mining"",""+"",M107=""Maxhp"",""%"",REGEXMATCH(M107,""TemperatureResist_""),""+"",REGEXMATCH(M107,""ElementResist_""),""%"",REGEXMATCH(M107,""TemperatureInvalid_""),""bool"",REGEXMATCH(M107,""BodyPartsWeakDamage""),""%"",REGEXMATCH(M107,""Ele"&amp;"mentBoost_""),""%"",AND(REGEXMATCH(F107,""GiveA""),REGEXMATCH(M107,""Element"")),""bool"")"),"#N/A")</f>
        <v>#N/A</v>
      </c>
      <c r="O107" s="6" t="n">
        <v>0</v>
      </c>
      <c r="P107" s="6"/>
      <c r="Q107" s="6"/>
      <c r="R107" s="6" t="str">
        <f aca="false">IFERROR(__xludf.dummyfunction("IFS(Q107=""ShotAttack"",""%"",Q107=""MeleeAttack"",""%"", Q107=""Defense"",""%"",Q107=""CraftSPeed"",""%"",Q107=""LifeSteal"",""%"",Q107=""MaxInventoryWeight"",""+"",Q107=""MoveSpeed"",""%"",REGEXMATCH(Q107,""ElementAddItemDrop_""),""%"",Q107=""Logging"","&amp;"""+"",Q107=""Mining"",""+"",Q107=""Maxhp"",""%"",REGEXMATCH(Q107,""TemperatureResist_""),""+"",REGEXMATCH(Q107,""ElementResist_""),""%"",REGEXMATCH(Q107,""TemperatureInvalid_""),""bool"",REGEXMATCH(Q107,""BodyPartsWeakDamage""),""%"",REGEXMATCH(Q107,""Ele"&amp;"mentBoost_""),""%"",AND(REGEXMATCH(J107,""GiveA""),REGEXMATCH(Q107,""Element"")),""bool"")"),"#N/A")</f>
        <v>#N/A</v>
      </c>
      <c r="S107" s="6" t="n">
        <v>0</v>
      </c>
      <c r="T107" s="6"/>
      <c r="U107" s="319" t="b">
        <f aca="false">FALSE()</f>
        <v>0</v>
      </c>
      <c r="V107" s="319" t="b">
        <f aca="false">FALSE()</f>
        <v>0</v>
      </c>
      <c r="W107" s="319" t="b">
        <f aca="false">TRUE()</f>
        <v>1</v>
      </c>
      <c r="X107" s="319" t="b">
        <f aca="false">FALSE()</f>
        <v>0</v>
      </c>
      <c r="Y107" s="319" t="b">
        <f aca="false">FALSE()</f>
        <v>0</v>
      </c>
      <c r="Z107" s="319" t="b">
        <f aca="false">FALSE()</f>
        <v>0</v>
      </c>
      <c r="AA107" s="319" t="b">
        <f aca="false">FALSE()</f>
        <v>0</v>
      </c>
      <c r="AB107" s="319" t="b">
        <f aca="false">FALSE()</f>
        <v>0</v>
      </c>
      <c r="AC107" s="319" t="b">
        <f aca="false">FALSE()</f>
        <v>0</v>
      </c>
      <c r="AD107" s="319" t="b">
        <f aca="false">FALSE()</f>
        <v>0</v>
      </c>
      <c r="AE107" s="319" t="b">
        <f aca="false">FALSE()</f>
        <v>0</v>
      </c>
      <c r="AF107" s="319" t="b">
        <f aca="false">FALSE()</f>
        <v>0</v>
      </c>
      <c r="AG107" s="6" t="s">
        <v>182</v>
      </c>
      <c r="AH107" s="6" t="s">
        <v>182</v>
      </c>
    </row>
    <row r="108" customFormat="false" ht="15.75" hidden="false" customHeight="false" outlineLevel="0" collapsed="false">
      <c r="A108" s="1" t="e">
        <f aca="false">#N/A</f>
        <v>#N/A</v>
      </c>
      <c r="B108" s="6" t="s">
        <v>778</v>
      </c>
      <c r="C108" s="3"/>
      <c r="D108" s="6" t="str">
        <f aca="false">I108   &amp; IF(ISBLANK(M108),, ". "&amp; M108 &amp; IF(ISBLANK(Q108),, ". "&amp; Q108))</f>
        <v>Mining</v>
      </c>
      <c r="E108" s="6" t="str">
        <f aca="false">I108  &amp;": # on "&amp; L108  &amp; IF(ISBLANK(M108),, ". "&amp; M108 &amp;": # on "&amp; P108 &amp; IF(ISBLANK(Q108),, ". "&amp; Q108 &amp;": # on "&amp; T108))</f>
        <v>Mining: # on Self</v>
      </c>
      <c r="F108" s="6" t="str">
        <f aca="false">IF(U108,"active pal",)  &amp; IF(V108,"working",) &amp; IF(W108,"mounted",) &amp; IF(Y108,"in party (buff)",)  &amp; IF(Z108,"always",)</f>
        <v>mounted</v>
      </c>
      <c r="G108" s="6" t="n">
        <v>2</v>
      </c>
      <c r="H108" s="6" t="s">
        <v>182</v>
      </c>
      <c r="I108" s="6" t="s">
        <v>2072</v>
      </c>
      <c r="J108" s="6" t="str">
        <f aca="false">IFERROR(__xludf.dummyfunction("IFS(I108=""ShotAttack"",""%"",I108=""MeleeAttack"",""%"", I108=""Defense"",""%"",I108=""CraftSPeed"",""%"",I108=""LifeSteal"",""%"",I108=""MaxInventoryWeight"",""+"",I108=""MoveSpeed"",""%"",REGEXMATCH(I108,""ElementAddItemDrop_""),""%"",I108=""Logging"","&amp;"""+"",I108=""Mining"",""+"",I108=""Maxhp"",""%"",REGEXMATCH(I108,""TemperatureResist_""),""+"",REGEXMATCH(I108,""ElementResist_""),""%"",REGEXMATCH(I108,""TemperatureInvalid_""),""bool"",REGEXMATCH(I108,""BodyPartsWeakDamage""),""%"",REGEXMATCH(I108,""Ele"&amp;"mentBoost_""),""%"",AND(REGEXMATCH(B108,""GiveA""),REGEXMATCH(I108,""Element"")),""bool"")"),"+")</f>
        <v>+</v>
      </c>
      <c r="K108" s="6" t="n">
        <v>750</v>
      </c>
      <c r="L108" s="6" t="s">
        <v>1956</v>
      </c>
      <c r="M108" s="6"/>
      <c r="N108" s="6" t="str">
        <f aca="false">IFERROR(__xludf.dummyfunction("IFS(M108=""ShotAttack"",""%"",M108=""MeleeAttack"",""%"", M108=""Defense"",""%"",M108=""CraftSPeed"",""%"",M108=""LifeSteal"",""%"",M108=""MaxInventoryWeight"",""+"",M108=""MoveSpeed"",""%"",REGEXMATCH(M108,""ElementAddItemDrop_""),""%"",M108=""Logging"","&amp;"""+"",M108=""Mining"",""+"",M108=""Maxhp"",""%"",REGEXMATCH(M108,""TemperatureResist_""),""+"",REGEXMATCH(M108,""ElementResist_""),""%"",REGEXMATCH(M108,""TemperatureInvalid_""),""bool"",REGEXMATCH(M108,""BodyPartsWeakDamage""),""%"",REGEXMATCH(M108,""Ele"&amp;"mentBoost_""),""%"",AND(REGEXMATCH(F108,""GiveA""),REGEXMATCH(M108,""Element"")),""bool"")"),"#N/A")</f>
        <v>#N/A</v>
      </c>
      <c r="O108" s="6" t="n">
        <v>0</v>
      </c>
      <c r="P108" s="6"/>
      <c r="Q108" s="6"/>
      <c r="R108" s="6" t="str">
        <f aca="false">IFERROR(__xludf.dummyfunction("IFS(Q108=""ShotAttack"",""%"",Q108=""MeleeAttack"",""%"", Q108=""Defense"",""%"",Q108=""CraftSPeed"",""%"",Q108=""LifeSteal"",""%"",Q108=""MaxInventoryWeight"",""+"",Q108=""MoveSpeed"",""%"",REGEXMATCH(Q108,""ElementAddItemDrop_""),""%"",Q108=""Logging"","&amp;"""+"",Q108=""Mining"",""+"",Q108=""Maxhp"",""%"",REGEXMATCH(Q108,""TemperatureResist_""),""+"",REGEXMATCH(Q108,""ElementResist_""),""%"",REGEXMATCH(Q108,""TemperatureInvalid_""),""bool"",REGEXMATCH(Q108,""BodyPartsWeakDamage""),""%"",REGEXMATCH(Q108,""Ele"&amp;"mentBoost_""),""%"",AND(REGEXMATCH(J108,""GiveA""),REGEXMATCH(Q108,""Element"")),""bool"")"),"#N/A")</f>
        <v>#N/A</v>
      </c>
      <c r="S108" s="6" t="n">
        <v>0</v>
      </c>
      <c r="T108" s="6"/>
      <c r="U108" s="319" t="b">
        <f aca="false">FALSE()</f>
        <v>0</v>
      </c>
      <c r="V108" s="319" t="b">
        <f aca="false">FALSE()</f>
        <v>0</v>
      </c>
      <c r="W108" s="319" t="b">
        <f aca="false">TRUE()</f>
        <v>1</v>
      </c>
      <c r="X108" s="319" t="b">
        <f aca="false">FALSE()</f>
        <v>0</v>
      </c>
      <c r="Y108" s="319" t="b">
        <f aca="false">FALSE()</f>
        <v>0</v>
      </c>
      <c r="Z108" s="319" t="b">
        <f aca="false">FALSE()</f>
        <v>0</v>
      </c>
      <c r="AA108" s="319" t="b">
        <f aca="false">FALSE()</f>
        <v>0</v>
      </c>
      <c r="AB108" s="319" t="b">
        <f aca="false">FALSE()</f>
        <v>0</v>
      </c>
      <c r="AC108" s="319" t="b">
        <f aca="false">FALSE()</f>
        <v>0</v>
      </c>
      <c r="AD108" s="319" t="b">
        <f aca="false">FALSE()</f>
        <v>0</v>
      </c>
      <c r="AE108" s="319" t="b">
        <f aca="false">FALSE()</f>
        <v>0</v>
      </c>
      <c r="AF108" s="319" t="b">
        <f aca="false">FALSE()</f>
        <v>0</v>
      </c>
      <c r="AG108" s="6" t="s">
        <v>182</v>
      </c>
      <c r="AH108" s="6" t="s">
        <v>182</v>
      </c>
    </row>
    <row r="109" customFormat="false" ht="15.75" hidden="false" customHeight="false" outlineLevel="0" collapsed="false">
      <c r="A109" s="1" t="e">
        <f aca="false">#N/A</f>
        <v>#N/A</v>
      </c>
      <c r="B109" s="6" t="s">
        <v>779</v>
      </c>
      <c r="C109" s="3"/>
      <c r="D109" s="6" t="str">
        <f aca="false">I109   &amp; IF(ISBLANK(M109),, ". "&amp; M109 &amp; IF(ISBLANK(Q109),, ". "&amp; Q109))</f>
        <v>Mining</v>
      </c>
      <c r="E109" s="6" t="str">
        <f aca="false">I109  &amp;": # on "&amp; L109  &amp; IF(ISBLANK(M109),, ". "&amp; M109 &amp;": # on "&amp; P109 &amp; IF(ISBLANK(Q109),, ". "&amp; Q109 &amp;": # on "&amp; T109))</f>
        <v>Mining: # on Self</v>
      </c>
      <c r="F109" s="6" t="str">
        <f aca="false">IF(U109,"active pal",)  &amp; IF(V109,"working",) &amp; IF(W109,"mounted",) &amp; IF(Y109,"in party (buff)",)  &amp; IF(Z109,"always",)</f>
        <v>mounted</v>
      </c>
      <c r="G109" s="6" t="n">
        <v>2</v>
      </c>
      <c r="H109" s="6" t="s">
        <v>182</v>
      </c>
      <c r="I109" s="6" t="s">
        <v>2072</v>
      </c>
      <c r="J109" s="6" t="str">
        <f aca="false">IFERROR(__xludf.dummyfunction("IFS(I109=""ShotAttack"",""%"",I109=""MeleeAttack"",""%"", I109=""Defense"",""%"",I109=""CraftSPeed"",""%"",I109=""LifeSteal"",""%"",I109=""MaxInventoryWeight"",""+"",I109=""MoveSpeed"",""%"",REGEXMATCH(I109,""ElementAddItemDrop_""),""%"",I109=""Logging"","&amp;"""+"",I109=""Mining"",""+"",I109=""Maxhp"",""%"",REGEXMATCH(I109,""TemperatureResist_""),""+"",REGEXMATCH(I109,""ElementResist_""),""%"",REGEXMATCH(I109,""TemperatureInvalid_""),""bool"",REGEXMATCH(I109,""BodyPartsWeakDamage""),""%"",REGEXMATCH(I109,""Ele"&amp;"mentBoost_""),""%"",AND(REGEXMATCH(B109,""GiveA""),REGEXMATCH(I109,""Element"")),""bool"")"),"+")</f>
        <v>+</v>
      </c>
      <c r="K109" s="6" t="n">
        <v>1100</v>
      </c>
      <c r="L109" s="6" t="s">
        <v>1956</v>
      </c>
      <c r="M109" s="6"/>
      <c r="N109" s="6" t="str">
        <f aca="false">IFERROR(__xludf.dummyfunction("IFS(M109=""ShotAttack"",""%"",M109=""MeleeAttack"",""%"", M109=""Defense"",""%"",M109=""CraftSPeed"",""%"",M109=""LifeSteal"",""%"",M109=""MaxInventoryWeight"",""+"",M109=""MoveSpeed"",""%"",REGEXMATCH(M109,""ElementAddItemDrop_""),""%"",M109=""Logging"","&amp;"""+"",M109=""Mining"",""+"",M109=""Maxhp"",""%"",REGEXMATCH(M109,""TemperatureResist_""),""+"",REGEXMATCH(M109,""ElementResist_""),""%"",REGEXMATCH(M109,""TemperatureInvalid_""),""bool"",REGEXMATCH(M109,""BodyPartsWeakDamage""),""%"",REGEXMATCH(M109,""Ele"&amp;"mentBoost_""),""%"",AND(REGEXMATCH(F109,""GiveA""),REGEXMATCH(M109,""Element"")),""bool"")"),"#N/A")</f>
        <v>#N/A</v>
      </c>
      <c r="O109" s="6" t="n">
        <v>0</v>
      </c>
      <c r="P109" s="6"/>
      <c r="Q109" s="6"/>
      <c r="R109" s="6" t="str">
        <f aca="false">IFERROR(__xludf.dummyfunction("IFS(Q109=""ShotAttack"",""%"",Q109=""MeleeAttack"",""%"", Q109=""Defense"",""%"",Q109=""CraftSPeed"",""%"",Q109=""LifeSteal"",""%"",Q109=""MaxInventoryWeight"",""+"",Q109=""MoveSpeed"",""%"",REGEXMATCH(Q109,""ElementAddItemDrop_""),""%"",Q109=""Logging"","&amp;"""+"",Q109=""Mining"",""+"",Q109=""Maxhp"",""%"",REGEXMATCH(Q109,""TemperatureResist_""),""+"",REGEXMATCH(Q109,""ElementResist_""),""%"",REGEXMATCH(Q109,""TemperatureInvalid_""),""bool"",REGEXMATCH(Q109,""BodyPartsWeakDamage""),""%"",REGEXMATCH(Q109,""Ele"&amp;"mentBoost_""),""%"",AND(REGEXMATCH(J109,""GiveA""),REGEXMATCH(Q109,""Element"")),""bool"")"),"#N/A")</f>
        <v>#N/A</v>
      </c>
      <c r="S109" s="6" t="n">
        <v>0</v>
      </c>
      <c r="T109" s="6"/>
      <c r="U109" s="319" t="b">
        <f aca="false">FALSE()</f>
        <v>0</v>
      </c>
      <c r="V109" s="319" t="b">
        <f aca="false">FALSE()</f>
        <v>0</v>
      </c>
      <c r="W109" s="319" t="b">
        <f aca="false">TRUE()</f>
        <v>1</v>
      </c>
      <c r="X109" s="319" t="b">
        <f aca="false">FALSE()</f>
        <v>0</v>
      </c>
      <c r="Y109" s="319" t="b">
        <f aca="false">FALSE()</f>
        <v>0</v>
      </c>
      <c r="Z109" s="319" t="b">
        <f aca="false">FALSE()</f>
        <v>0</v>
      </c>
      <c r="AA109" s="319" t="b">
        <f aca="false">FALSE()</f>
        <v>0</v>
      </c>
      <c r="AB109" s="319" t="b">
        <f aca="false">FALSE()</f>
        <v>0</v>
      </c>
      <c r="AC109" s="319" t="b">
        <f aca="false">FALSE()</f>
        <v>0</v>
      </c>
      <c r="AD109" s="319" t="b">
        <f aca="false">FALSE()</f>
        <v>0</v>
      </c>
      <c r="AE109" s="319" t="b">
        <f aca="false">FALSE()</f>
        <v>0</v>
      </c>
      <c r="AF109" s="319" t="b">
        <f aca="false">FALSE()</f>
        <v>0</v>
      </c>
      <c r="AG109" s="6" t="s">
        <v>182</v>
      </c>
      <c r="AH109" s="6" t="s">
        <v>182</v>
      </c>
    </row>
    <row r="110" customFormat="false" ht="15.75" hidden="false" customHeight="false" outlineLevel="0" collapsed="false">
      <c r="A110" s="1" t="e">
        <f aca="false">#N/A</f>
        <v>#N/A</v>
      </c>
      <c r="B110" s="6" t="s">
        <v>780</v>
      </c>
      <c r="C110" s="3"/>
      <c r="D110" s="6" t="str">
        <f aca="false">I110   &amp; IF(ISBLANK(M110),, ". "&amp; M110 &amp; IF(ISBLANK(Q110),, ". "&amp; Q110))</f>
        <v>Mining</v>
      </c>
      <c r="E110" s="6" t="str">
        <f aca="false">I110  &amp;": # on "&amp; L110  &amp; IF(ISBLANK(M110),, ". "&amp; M110 &amp;": # on "&amp; P110 &amp; IF(ISBLANK(Q110),, ". "&amp; Q110 &amp;": # on "&amp; T110))</f>
        <v>Mining: # on Self</v>
      </c>
      <c r="F110" s="6" t="str">
        <f aca="false">IF(U110,"active pal",)  &amp; IF(V110,"working",) &amp; IF(W110,"mounted",) &amp; IF(Y110,"in party (buff)",)  &amp; IF(Z110,"always",)</f>
        <v>mounted</v>
      </c>
      <c r="G110" s="6" t="n">
        <v>2</v>
      </c>
      <c r="H110" s="6" t="s">
        <v>182</v>
      </c>
      <c r="I110" s="6" t="s">
        <v>2072</v>
      </c>
      <c r="J110" s="6" t="str">
        <f aca="false">IFERROR(__xludf.dummyfunction("IFS(I110=""ShotAttack"",""%"",I110=""MeleeAttack"",""%"", I110=""Defense"",""%"",I110=""CraftSPeed"",""%"",I110=""LifeSteal"",""%"",I110=""MaxInventoryWeight"",""+"",I110=""MoveSpeed"",""%"",REGEXMATCH(I110,""ElementAddItemDrop_""),""%"",I110=""Logging"","&amp;"""+"",I110=""Mining"",""+"",I110=""Maxhp"",""%"",REGEXMATCH(I110,""TemperatureResist_""),""+"",REGEXMATCH(I110,""ElementResist_""),""%"",REGEXMATCH(I110,""TemperatureInvalid_""),""bool"",REGEXMATCH(I110,""BodyPartsWeakDamage""),""%"",REGEXMATCH(I110,""Ele"&amp;"mentBoost_""),""%"",AND(REGEXMATCH(B110,""GiveA""),REGEXMATCH(I110,""Element"")),""bool"")"),"+")</f>
        <v>+</v>
      </c>
      <c r="K110" s="6" t="n">
        <v>1500</v>
      </c>
      <c r="L110" s="6" t="s">
        <v>1956</v>
      </c>
      <c r="M110" s="6"/>
      <c r="N110" s="6" t="str">
        <f aca="false">IFERROR(__xludf.dummyfunction("IFS(M110=""ShotAttack"",""%"",M110=""MeleeAttack"",""%"", M110=""Defense"",""%"",M110=""CraftSPeed"",""%"",M110=""LifeSteal"",""%"",M110=""MaxInventoryWeight"",""+"",M110=""MoveSpeed"",""%"",REGEXMATCH(M110,""ElementAddItemDrop_""),""%"",M110=""Logging"","&amp;"""+"",M110=""Mining"",""+"",M110=""Maxhp"",""%"",REGEXMATCH(M110,""TemperatureResist_""),""+"",REGEXMATCH(M110,""ElementResist_""),""%"",REGEXMATCH(M110,""TemperatureInvalid_""),""bool"",REGEXMATCH(M110,""BodyPartsWeakDamage""),""%"",REGEXMATCH(M110,""Ele"&amp;"mentBoost_""),""%"",AND(REGEXMATCH(F110,""GiveA""),REGEXMATCH(M110,""Element"")),""bool"")"),"#N/A")</f>
        <v>#N/A</v>
      </c>
      <c r="O110" s="6" t="n">
        <v>0</v>
      </c>
      <c r="P110" s="6"/>
      <c r="Q110" s="6"/>
      <c r="R110" s="6" t="str">
        <f aca="false">IFERROR(__xludf.dummyfunction("IFS(Q110=""ShotAttack"",""%"",Q110=""MeleeAttack"",""%"", Q110=""Defense"",""%"",Q110=""CraftSPeed"",""%"",Q110=""LifeSteal"",""%"",Q110=""MaxInventoryWeight"",""+"",Q110=""MoveSpeed"",""%"",REGEXMATCH(Q110,""ElementAddItemDrop_""),""%"",Q110=""Logging"","&amp;"""+"",Q110=""Mining"",""+"",Q110=""Maxhp"",""%"",REGEXMATCH(Q110,""TemperatureResist_""),""+"",REGEXMATCH(Q110,""ElementResist_""),""%"",REGEXMATCH(Q110,""TemperatureInvalid_""),""bool"",REGEXMATCH(Q110,""BodyPartsWeakDamage""),""%"",REGEXMATCH(Q110,""Ele"&amp;"mentBoost_""),""%"",AND(REGEXMATCH(J110,""GiveA""),REGEXMATCH(Q110,""Element"")),""bool"")"),"#N/A")</f>
        <v>#N/A</v>
      </c>
      <c r="S110" s="6" t="n">
        <v>0</v>
      </c>
      <c r="T110" s="6"/>
      <c r="U110" s="319" t="b">
        <f aca="false">FALSE()</f>
        <v>0</v>
      </c>
      <c r="V110" s="319" t="b">
        <f aca="false">FALSE()</f>
        <v>0</v>
      </c>
      <c r="W110" s="319" t="b">
        <f aca="false">TRUE()</f>
        <v>1</v>
      </c>
      <c r="X110" s="319" t="b">
        <f aca="false">FALSE()</f>
        <v>0</v>
      </c>
      <c r="Y110" s="319" t="b">
        <f aca="false">FALSE()</f>
        <v>0</v>
      </c>
      <c r="Z110" s="319" t="b">
        <f aca="false">FALSE()</f>
        <v>0</v>
      </c>
      <c r="AA110" s="319" t="b">
        <f aca="false">FALSE()</f>
        <v>0</v>
      </c>
      <c r="AB110" s="319" t="b">
        <f aca="false">FALSE()</f>
        <v>0</v>
      </c>
      <c r="AC110" s="319" t="b">
        <f aca="false">FALSE()</f>
        <v>0</v>
      </c>
      <c r="AD110" s="319" t="b">
        <f aca="false">FALSE()</f>
        <v>0</v>
      </c>
      <c r="AE110" s="319" t="b">
        <f aca="false">FALSE()</f>
        <v>0</v>
      </c>
      <c r="AF110" s="319" t="b">
        <f aca="false">FALSE()</f>
        <v>0</v>
      </c>
      <c r="AG110" s="6" t="s">
        <v>182</v>
      </c>
      <c r="AH110" s="6" t="s">
        <v>182</v>
      </c>
    </row>
    <row r="111" customFormat="false" ht="15.75" hidden="false" customHeight="false" outlineLevel="0" collapsed="false">
      <c r="A111" s="1" t="e">
        <f aca="false">#N/A</f>
        <v>#N/A</v>
      </c>
      <c r="B111" s="6" t="s">
        <v>781</v>
      </c>
      <c r="C111" s="3"/>
      <c r="D111" s="6" t="str">
        <f aca="false">I111   &amp; IF(ISBLANK(M111),, ". "&amp; M111 &amp; IF(ISBLANK(Q111),, ". "&amp; Q111))</f>
        <v>Mining</v>
      </c>
      <c r="E111" s="6" t="str">
        <f aca="false">I111  &amp;": # on "&amp; L111  &amp; IF(ISBLANK(M111),, ". "&amp; M111 &amp;": # on "&amp; P111 &amp; IF(ISBLANK(Q111),, ". "&amp; Q111 &amp;": # on "&amp; T111))</f>
        <v>Mining: # on Self</v>
      </c>
      <c r="F111" s="6" t="str">
        <f aca="false">IF(U111,"active pal",)  &amp; IF(V111,"working",) &amp; IF(W111,"mounted",) &amp; IF(Y111,"in party (buff)",)  &amp; IF(Z111,"always",)</f>
        <v>mounted</v>
      </c>
      <c r="G111" s="6" t="n">
        <v>2</v>
      </c>
      <c r="H111" s="6" t="s">
        <v>182</v>
      </c>
      <c r="I111" s="6" t="s">
        <v>2072</v>
      </c>
      <c r="J111" s="6" t="str">
        <f aca="false">IFERROR(__xludf.dummyfunction("IFS(I111=""ShotAttack"",""%"",I111=""MeleeAttack"",""%"", I111=""Defense"",""%"",I111=""CraftSPeed"",""%"",I111=""LifeSteal"",""%"",I111=""MaxInventoryWeight"",""+"",I111=""MoveSpeed"",""%"",REGEXMATCH(I111,""ElementAddItemDrop_""),""%"",I111=""Logging"","&amp;"""+"",I111=""Mining"",""+"",I111=""Maxhp"",""%"",REGEXMATCH(I111,""TemperatureResist_""),""+"",REGEXMATCH(I111,""ElementResist_""),""%"",REGEXMATCH(I111,""TemperatureInvalid_""),""bool"",REGEXMATCH(I111,""BodyPartsWeakDamage""),""%"",REGEXMATCH(I111,""Ele"&amp;"mentBoost_""),""%"",AND(REGEXMATCH(B111,""GiveA""),REGEXMATCH(I111,""Element"")),""bool"")"),"+")</f>
        <v>+</v>
      </c>
      <c r="K111" s="6" t="n">
        <v>2000</v>
      </c>
      <c r="L111" s="6" t="s">
        <v>1956</v>
      </c>
      <c r="M111" s="6"/>
      <c r="N111" s="6" t="str">
        <f aca="false">IFERROR(__xludf.dummyfunction("IFS(M111=""ShotAttack"",""%"",M111=""MeleeAttack"",""%"", M111=""Defense"",""%"",M111=""CraftSPeed"",""%"",M111=""LifeSteal"",""%"",M111=""MaxInventoryWeight"",""+"",M111=""MoveSpeed"",""%"",REGEXMATCH(M111,""ElementAddItemDrop_""),""%"",M111=""Logging"","&amp;"""+"",M111=""Mining"",""+"",M111=""Maxhp"",""%"",REGEXMATCH(M111,""TemperatureResist_""),""+"",REGEXMATCH(M111,""ElementResist_""),""%"",REGEXMATCH(M111,""TemperatureInvalid_""),""bool"",REGEXMATCH(M111,""BodyPartsWeakDamage""),""%"",REGEXMATCH(M111,""Ele"&amp;"mentBoost_""),""%"",AND(REGEXMATCH(F111,""GiveA""),REGEXMATCH(M111,""Element"")),""bool"")"),"#N/A")</f>
        <v>#N/A</v>
      </c>
      <c r="O111" s="6" t="n">
        <v>0</v>
      </c>
      <c r="P111" s="6"/>
      <c r="Q111" s="6"/>
      <c r="R111" s="6" t="str">
        <f aca="false">IFERROR(__xludf.dummyfunction("IFS(Q111=""ShotAttack"",""%"",Q111=""MeleeAttack"",""%"", Q111=""Defense"",""%"",Q111=""CraftSPeed"",""%"",Q111=""LifeSteal"",""%"",Q111=""MaxInventoryWeight"",""+"",Q111=""MoveSpeed"",""%"",REGEXMATCH(Q111,""ElementAddItemDrop_""),""%"",Q111=""Logging"","&amp;"""+"",Q111=""Mining"",""+"",Q111=""Maxhp"",""%"",REGEXMATCH(Q111,""TemperatureResist_""),""+"",REGEXMATCH(Q111,""ElementResist_""),""%"",REGEXMATCH(Q111,""TemperatureInvalid_""),""bool"",REGEXMATCH(Q111,""BodyPartsWeakDamage""),""%"",REGEXMATCH(Q111,""Ele"&amp;"mentBoost_""),""%"",AND(REGEXMATCH(J111,""GiveA""),REGEXMATCH(Q111,""Element"")),""bool"")"),"#N/A")</f>
        <v>#N/A</v>
      </c>
      <c r="S111" s="6" t="n">
        <v>0</v>
      </c>
      <c r="T111" s="6"/>
      <c r="U111" s="319" t="b">
        <f aca="false">FALSE()</f>
        <v>0</v>
      </c>
      <c r="V111" s="319" t="b">
        <f aca="false">FALSE()</f>
        <v>0</v>
      </c>
      <c r="W111" s="319" t="b">
        <f aca="false">TRUE()</f>
        <v>1</v>
      </c>
      <c r="X111" s="319" t="b">
        <f aca="false">FALSE()</f>
        <v>0</v>
      </c>
      <c r="Y111" s="319" t="b">
        <f aca="false">FALSE()</f>
        <v>0</v>
      </c>
      <c r="Z111" s="319" t="b">
        <f aca="false">FALSE()</f>
        <v>0</v>
      </c>
      <c r="AA111" s="319" t="b">
        <f aca="false">FALSE()</f>
        <v>0</v>
      </c>
      <c r="AB111" s="319" t="b">
        <f aca="false">FALSE()</f>
        <v>0</v>
      </c>
      <c r="AC111" s="319" t="b">
        <f aca="false">FALSE()</f>
        <v>0</v>
      </c>
      <c r="AD111" s="319" t="b">
        <f aca="false">FALSE()</f>
        <v>0</v>
      </c>
      <c r="AE111" s="319" t="b">
        <f aca="false">FALSE()</f>
        <v>0</v>
      </c>
      <c r="AF111" s="319" t="b">
        <f aca="false">FALSE()</f>
        <v>0</v>
      </c>
      <c r="AG111" s="6" t="s">
        <v>182</v>
      </c>
      <c r="AH111" s="6" t="s">
        <v>182</v>
      </c>
    </row>
    <row r="112" customFormat="false" ht="15.75" hidden="false" customHeight="false" outlineLevel="0" collapsed="false">
      <c r="A112" s="1" t="e">
        <f aca="false">#N/A</f>
        <v>#N/A</v>
      </c>
      <c r="B112" s="6" t="s">
        <v>1125</v>
      </c>
      <c r="C112" s="3"/>
      <c r="D112" s="6" t="str">
        <f aca="false">I112   &amp; IF(ISBLANK(M112),, ". "&amp; M112 &amp; IF(ISBLANK(Q112),, ". "&amp; Q112))</f>
        <v>Mining</v>
      </c>
      <c r="E112" s="6" t="str">
        <f aca="false">I112  &amp;": # on "&amp; L112  &amp; IF(ISBLANK(M112),, ". "&amp; M112 &amp;": # on "&amp; P112 &amp; IF(ISBLANK(Q112),, ". "&amp; Q112 &amp;": # on "&amp; T112))</f>
        <v>Mining: # on Self</v>
      </c>
      <c r="F112" s="6" t="str">
        <f aca="false">IF(U112,"active pal",)  &amp; IF(V112,"working",) &amp; IF(W112,"mounted",) &amp; IF(Y112,"in party (buff)",)  &amp; IF(Z112,"always",)</f>
        <v>mounted</v>
      </c>
      <c r="G112" s="6" t="n">
        <v>2</v>
      </c>
      <c r="H112" s="6" t="s">
        <v>182</v>
      </c>
      <c r="I112" s="6" t="s">
        <v>2072</v>
      </c>
      <c r="J112" s="6" t="str">
        <f aca="false">IFERROR(__xludf.dummyfunction("IFS(I112=""ShotAttack"",""%"",I112=""MeleeAttack"",""%"", I112=""Defense"",""%"",I112=""CraftSPeed"",""%"",I112=""LifeSteal"",""%"",I112=""MaxInventoryWeight"",""+"",I112=""MoveSpeed"",""%"",REGEXMATCH(I112,""ElementAddItemDrop_""),""%"",I112=""Logging"","&amp;"""+"",I112=""Mining"",""+"",I112=""Maxhp"",""%"",REGEXMATCH(I112,""TemperatureResist_""),""+"",REGEXMATCH(I112,""ElementResist_""),""%"",REGEXMATCH(I112,""TemperatureInvalid_""),""bool"",REGEXMATCH(I112,""BodyPartsWeakDamage""),""%"",REGEXMATCH(I112,""Ele"&amp;"mentBoost_""),""%"",AND(REGEXMATCH(B112,""GiveA""),REGEXMATCH(I112,""Element"")),""bool"")"),"+")</f>
        <v>+</v>
      </c>
      <c r="K112" s="6" t="n">
        <v>2600</v>
      </c>
      <c r="L112" s="6" t="s">
        <v>1956</v>
      </c>
      <c r="M112" s="6"/>
      <c r="N112" s="6" t="str">
        <f aca="false">IFERROR(__xludf.dummyfunction("IFS(M112=""ShotAttack"",""%"",M112=""MeleeAttack"",""%"", M112=""Defense"",""%"",M112=""CraftSPeed"",""%"",M112=""LifeSteal"",""%"",M112=""MaxInventoryWeight"",""+"",M112=""MoveSpeed"",""%"",REGEXMATCH(M112,""ElementAddItemDrop_""),""%"",M112=""Logging"","&amp;"""+"",M112=""Mining"",""+"",M112=""Maxhp"",""%"",REGEXMATCH(M112,""TemperatureResist_""),""+"",REGEXMATCH(M112,""ElementResist_""),""%"",REGEXMATCH(M112,""TemperatureInvalid_""),""bool"",REGEXMATCH(M112,""BodyPartsWeakDamage""),""%"",REGEXMATCH(M112,""Ele"&amp;"mentBoost_""),""%"",AND(REGEXMATCH(F112,""GiveA""),REGEXMATCH(M112,""Element"")),""bool"")"),"#N/A")</f>
        <v>#N/A</v>
      </c>
      <c r="O112" s="6" t="n">
        <v>0</v>
      </c>
      <c r="P112" s="6"/>
      <c r="Q112" s="6"/>
      <c r="R112" s="6" t="str">
        <f aca="false">IFERROR(__xludf.dummyfunction("IFS(Q112=""ShotAttack"",""%"",Q112=""MeleeAttack"",""%"", Q112=""Defense"",""%"",Q112=""CraftSPeed"",""%"",Q112=""LifeSteal"",""%"",Q112=""MaxInventoryWeight"",""+"",Q112=""MoveSpeed"",""%"",REGEXMATCH(Q112,""ElementAddItemDrop_""),""%"",Q112=""Logging"","&amp;"""+"",Q112=""Mining"",""+"",Q112=""Maxhp"",""%"",REGEXMATCH(Q112,""TemperatureResist_""),""+"",REGEXMATCH(Q112,""ElementResist_""),""%"",REGEXMATCH(Q112,""TemperatureInvalid_""),""bool"",REGEXMATCH(Q112,""BodyPartsWeakDamage""),""%"",REGEXMATCH(Q112,""Ele"&amp;"mentBoost_""),""%"",AND(REGEXMATCH(J112,""GiveA""),REGEXMATCH(Q112,""Element"")),""bool"")"),"#N/A")</f>
        <v>#N/A</v>
      </c>
      <c r="S112" s="6" t="n">
        <v>0</v>
      </c>
      <c r="T112" s="6"/>
      <c r="U112" s="319" t="b">
        <f aca="false">FALSE()</f>
        <v>0</v>
      </c>
      <c r="V112" s="319" t="b">
        <f aca="false">FALSE()</f>
        <v>0</v>
      </c>
      <c r="W112" s="319" t="b">
        <f aca="false">TRUE()</f>
        <v>1</v>
      </c>
      <c r="X112" s="319" t="b">
        <f aca="false">FALSE()</f>
        <v>0</v>
      </c>
      <c r="Y112" s="319" t="b">
        <f aca="false">FALSE()</f>
        <v>0</v>
      </c>
      <c r="Z112" s="319" t="b">
        <f aca="false">FALSE()</f>
        <v>0</v>
      </c>
      <c r="AA112" s="319" t="b">
        <f aca="false">FALSE()</f>
        <v>0</v>
      </c>
      <c r="AB112" s="319" t="b">
        <f aca="false">FALSE()</f>
        <v>0</v>
      </c>
      <c r="AC112" s="319" t="b">
        <f aca="false">FALSE()</f>
        <v>0</v>
      </c>
      <c r="AD112" s="319" t="b">
        <f aca="false">FALSE()</f>
        <v>0</v>
      </c>
      <c r="AE112" s="319" t="b">
        <f aca="false">FALSE()</f>
        <v>0</v>
      </c>
      <c r="AF112" s="319" t="b">
        <f aca="false">FALSE()</f>
        <v>0</v>
      </c>
      <c r="AG112" s="6" t="s">
        <v>182</v>
      </c>
      <c r="AH112" s="6" t="s">
        <v>182</v>
      </c>
    </row>
    <row r="113" customFormat="false" ht="15.75" hidden="false" customHeight="false" outlineLevel="0" collapsed="false">
      <c r="A113" s="1" t="e">
        <f aca="false">#N/A</f>
        <v>#N/A</v>
      </c>
      <c r="B113" s="6" t="s">
        <v>1126</v>
      </c>
      <c r="C113" s="3"/>
      <c r="D113" s="6" t="str">
        <f aca="false">I113   &amp; IF(ISBLANK(M113),, ". "&amp; M113 &amp; IF(ISBLANK(Q113),, ". "&amp; Q113))</f>
        <v>Mining</v>
      </c>
      <c r="E113" s="6" t="str">
        <f aca="false">I113  &amp;": # on "&amp; L113  &amp; IF(ISBLANK(M113),, ". "&amp; M113 &amp;": # on "&amp; P113 &amp; IF(ISBLANK(Q113),, ". "&amp; Q113 &amp;": # on "&amp; T113))</f>
        <v>Mining: # on Self</v>
      </c>
      <c r="F113" s="6" t="str">
        <f aca="false">IF(U113,"active pal",)  &amp; IF(V113,"working",) &amp; IF(W113,"mounted",) &amp; IF(Y113,"in party (buff)",)  &amp; IF(Z113,"always",)</f>
        <v>mounted</v>
      </c>
      <c r="G113" s="6" t="n">
        <v>2</v>
      </c>
      <c r="H113" s="6" t="s">
        <v>182</v>
      </c>
      <c r="I113" s="6" t="s">
        <v>2072</v>
      </c>
      <c r="J113" s="6" t="str">
        <f aca="false">IFERROR(__xludf.dummyfunction("IFS(I113=""ShotAttack"",""%"",I113=""MeleeAttack"",""%"", I113=""Defense"",""%"",I113=""CraftSPeed"",""%"",I113=""LifeSteal"",""%"",I113=""MaxInventoryWeight"",""+"",I113=""MoveSpeed"",""%"",REGEXMATCH(I113,""ElementAddItemDrop_""),""%"",I113=""Logging"","&amp;"""+"",I113=""Mining"",""+"",I113=""Maxhp"",""%"",REGEXMATCH(I113,""TemperatureResist_""),""+"",REGEXMATCH(I113,""ElementResist_""),""%"",REGEXMATCH(I113,""TemperatureInvalid_""),""bool"",REGEXMATCH(I113,""BodyPartsWeakDamage""),""%"",REGEXMATCH(I113,""Ele"&amp;"mentBoost_""),""%"",AND(REGEXMATCH(B113,""GiveA""),REGEXMATCH(I113,""Element"")),""bool"")"),"+")</f>
        <v>+</v>
      </c>
      <c r="K113" s="6" t="n">
        <v>3300</v>
      </c>
      <c r="L113" s="6" t="s">
        <v>1956</v>
      </c>
      <c r="M113" s="6"/>
      <c r="N113" s="6" t="str">
        <f aca="false">IFERROR(__xludf.dummyfunction("IFS(M113=""ShotAttack"",""%"",M113=""MeleeAttack"",""%"", M113=""Defense"",""%"",M113=""CraftSPeed"",""%"",M113=""LifeSteal"",""%"",M113=""MaxInventoryWeight"",""+"",M113=""MoveSpeed"",""%"",REGEXMATCH(M113,""ElementAddItemDrop_""),""%"",M113=""Logging"","&amp;"""+"",M113=""Mining"",""+"",M113=""Maxhp"",""%"",REGEXMATCH(M113,""TemperatureResist_""),""+"",REGEXMATCH(M113,""ElementResist_""),""%"",REGEXMATCH(M113,""TemperatureInvalid_""),""bool"",REGEXMATCH(M113,""BodyPartsWeakDamage""),""%"",REGEXMATCH(M113,""Ele"&amp;"mentBoost_""),""%"",AND(REGEXMATCH(F113,""GiveA""),REGEXMATCH(M113,""Element"")),""bool"")"),"#N/A")</f>
        <v>#N/A</v>
      </c>
      <c r="O113" s="6" t="n">
        <v>0</v>
      </c>
      <c r="P113" s="6"/>
      <c r="Q113" s="6"/>
      <c r="R113" s="6" t="str">
        <f aca="false">IFERROR(__xludf.dummyfunction("IFS(Q113=""ShotAttack"",""%"",Q113=""MeleeAttack"",""%"", Q113=""Defense"",""%"",Q113=""CraftSPeed"",""%"",Q113=""LifeSteal"",""%"",Q113=""MaxInventoryWeight"",""+"",Q113=""MoveSpeed"",""%"",REGEXMATCH(Q113,""ElementAddItemDrop_""),""%"",Q113=""Logging"","&amp;"""+"",Q113=""Mining"",""+"",Q113=""Maxhp"",""%"",REGEXMATCH(Q113,""TemperatureResist_""),""+"",REGEXMATCH(Q113,""ElementResist_""),""%"",REGEXMATCH(Q113,""TemperatureInvalid_""),""bool"",REGEXMATCH(Q113,""BodyPartsWeakDamage""),""%"",REGEXMATCH(Q113,""Ele"&amp;"mentBoost_""),""%"",AND(REGEXMATCH(J113,""GiveA""),REGEXMATCH(Q113,""Element"")),""bool"")"),"#N/A")</f>
        <v>#N/A</v>
      </c>
      <c r="S113" s="6" t="n">
        <v>0</v>
      </c>
      <c r="T113" s="6"/>
      <c r="U113" s="319" t="b">
        <f aca="false">FALSE()</f>
        <v>0</v>
      </c>
      <c r="V113" s="319" t="b">
        <f aca="false">FALSE()</f>
        <v>0</v>
      </c>
      <c r="W113" s="319" t="b">
        <f aca="false">TRUE()</f>
        <v>1</v>
      </c>
      <c r="X113" s="319" t="b">
        <f aca="false">FALSE()</f>
        <v>0</v>
      </c>
      <c r="Y113" s="319" t="b">
        <f aca="false">FALSE()</f>
        <v>0</v>
      </c>
      <c r="Z113" s="319" t="b">
        <f aca="false">FALSE()</f>
        <v>0</v>
      </c>
      <c r="AA113" s="319" t="b">
        <f aca="false">FALSE()</f>
        <v>0</v>
      </c>
      <c r="AB113" s="319" t="b">
        <f aca="false">FALSE()</f>
        <v>0</v>
      </c>
      <c r="AC113" s="319" t="b">
        <f aca="false">FALSE()</f>
        <v>0</v>
      </c>
      <c r="AD113" s="319" t="b">
        <f aca="false">FALSE()</f>
        <v>0</v>
      </c>
      <c r="AE113" s="319" t="b">
        <f aca="false">FALSE()</f>
        <v>0</v>
      </c>
      <c r="AF113" s="319" t="b">
        <f aca="false">FALSE()</f>
        <v>0</v>
      </c>
      <c r="AG113" s="6" t="s">
        <v>182</v>
      </c>
      <c r="AH113" s="6" t="s">
        <v>182</v>
      </c>
    </row>
    <row r="114" customFormat="false" ht="15.75" hidden="false" customHeight="false" outlineLevel="0" collapsed="false">
      <c r="A114" s="1" t="e">
        <f aca="false">#N/A</f>
        <v>#N/A</v>
      </c>
      <c r="B114" s="6" t="s">
        <v>806</v>
      </c>
      <c r="C114" s="3"/>
      <c r="D114" s="6" t="str">
        <f aca="false">I114   &amp; IF(ISBLANK(M114),, ". "&amp; M114 &amp; IF(ISBLANK(Q114),, ". "&amp; Q114))</f>
        <v>Mining</v>
      </c>
      <c r="E114" s="6" t="str">
        <f aca="false">I114  &amp;": # on "&amp; L114  &amp; IF(ISBLANK(M114),, ". "&amp; M114 &amp;": # on "&amp; P114 &amp; IF(ISBLANK(Q114),, ". "&amp; Q114 &amp;": # on "&amp; T114))</f>
        <v>Mining: # on Self</v>
      </c>
      <c r="F114" s="6" t="str">
        <f aca="false">IF(U114,"active pal",)  &amp; IF(V114,"working",) &amp; IF(W114,"mounted",) &amp; IF(Y114,"in party (buff)",)  &amp; IF(Z114,"always",)</f>
        <v>active pal</v>
      </c>
      <c r="G114" s="6" t="n">
        <v>1</v>
      </c>
      <c r="H114" s="6" t="s">
        <v>182</v>
      </c>
      <c r="I114" s="6" t="s">
        <v>2072</v>
      </c>
      <c r="J114" s="6" t="str">
        <f aca="false">IFERROR(__xludf.dummyfunction("IFS(I114=""ShotAttack"",""%"",I114=""MeleeAttack"",""%"", I114=""Defense"",""%"",I114=""CraftSPeed"",""%"",I114=""LifeSteal"",""%"",I114=""MaxInventoryWeight"",""+"",I114=""MoveSpeed"",""%"",REGEXMATCH(I114,""ElementAddItemDrop_""),""%"",I114=""Logging"","&amp;"""+"",I114=""Mining"",""+"",I114=""Maxhp"",""%"",REGEXMATCH(I114,""TemperatureResist_""),""+"",REGEXMATCH(I114,""ElementResist_""),""%"",REGEXMATCH(I114,""TemperatureInvalid_""),""bool"",REGEXMATCH(I114,""BodyPartsWeakDamage""),""%"",REGEXMATCH(I114,""Ele"&amp;"mentBoost_""),""%"",AND(REGEXMATCH(B114,""GiveA""),REGEXMATCH(I114,""Element"")),""bool"")"),"+")</f>
        <v>+</v>
      </c>
      <c r="K114" s="6" t="n">
        <v>2500</v>
      </c>
      <c r="L114" s="6" t="s">
        <v>1956</v>
      </c>
      <c r="M114" s="6"/>
      <c r="N114" s="6" t="str">
        <f aca="false">IFERROR(__xludf.dummyfunction("IFS(M114=""ShotAttack"",""%"",M114=""MeleeAttack"",""%"", M114=""Defense"",""%"",M114=""CraftSPeed"",""%"",M114=""LifeSteal"",""%"",M114=""MaxInventoryWeight"",""+"",M114=""MoveSpeed"",""%"",REGEXMATCH(M114,""ElementAddItemDrop_""),""%"",M114=""Logging"","&amp;"""+"",M114=""Mining"",""+"",M114=""Maxhp"",""%"",REGEXMATCH(M114,""TemperatureResist_""),""+"",REGEXMATCH(M114,""ElementResist_""),""%"",REGEXMATCH(M114,""TemperatureInvalid_""),""bool"",REGEXMATCH(M114,""BodyPartsWeakDamage""),""%"",REGEXMATCH(M114,""Ele"&amp;"mentBoost_""),""%"",AND(REGEXMATCH(F114,""GiveA""),REGEXMATCH(M114,""Element"")),""bool"")"),"#N/A")</f>
        <v>#N/A</v>
      </c>
      <c r="O114" s="6" t="n">
        <v>0</v>
      </c>
      <c r="P114" s="6"/>
      <c r="Q114" s="6"/>
      <c r="R114" s="6" t="str">
        <f aca="false">IFERROR(__xludf.dummyfunction("IFS(Q114=""ShotAttack"",""%"",Q114=""MeleeAttack"",""%"", Q114=""Defense"",""%"",Q114=""CraftSPeed"",""%"",Q114=""LifeSteal"",""%"",Q114=""MaxInventoryWeight"",""+"",Q114=""MoveSpeed"",""%"",REGEXMATCH(Q114,""ElementAddItemDrop_""),""%"",Q114=""Logging"","&amp;"""+"",Q114=""Mining"",""+"",Q114=""Maxhp"",""%"",REGEXMATCH(Q114,""TemperatureResist_""),""+"",REGEXMATCH(Q114,""ElementResist_""),""%"",REGEXMATCH(Q114,""TemperatureInvalid_""),""bool"",REGEXMATCH(Q114,""BodyPartsWeakDamage""),""%"",REGEXMATCH(Q114,""Ele"&amp;"mentBoost_""),""%"",AND(REGEXMATCH(J114,""GiveA""),REGEXMATCH(Q114,""Element"")),""bool"")"),"#N/A")</f>
        <v>#N/A</v>
      </c>
      <c r="S114" s="6" t="n">
        <v>0</v>
      </c>
      <c r="T114" s="6"/>
      <c r="U114" s="319" t="b">
        <f aca="false">TRUE()</f>
        <v>1</v>
      </c>
      <c r="V114" s="319" t="b">
        <f aca="false">FALSE()</f>
        <v>0</v>
      </c>
      <c r="W114" s="319" t="b">
        <f aca="false">FALSE()</f>
        <v>0</v>
      </c>
      <c r="X114" s="319" t="b">
        <f aca="false">FALSE()</f>
        <v>0</v>
      </c>
      <c r="Y114" s="319" t="b">
        <f aca="false">FALSE()</f>
        <v>0</v>
      </c>
      <c r="Z114" s="319" t="b">
        <f aca="false">FALSE()</f>
        <v>0</v>
      </c>
      <c r="AA114" s="319" t="b">
        <f aca="false">FALSE()</f>
        <v>0</v>
      </c>
      <c r="AB114" s="319" t="b">
        <f aca="false">FALSE()</f>
        <v>0</v>
      </c>
      <c r="AC114" s="319" t="b">
        <f aca="false">FALSE()</f>
        <v>0</v>
      </c>
      <c r="AD114" s="319" t="b">
        <f aca="false">FALSE()</f>
        <v>0</v>
      </c>
      <c r="AE114" s="319" t="b">
        <f aca="false">FALSE()</f>
        <v>0</v>
      </c>
      <c r="AF114" s="319" t="b">
        <f aca="false">FALSE()</f>
        <v>0</v>
      </c>
      <c r="AG114" s="6" t="s">
        <v>182</v>
      </c>
      <c r="AH114" s="6" t="s">
        <v>182</v>
      </c>
    </row>
    <row r="115" customFormat="false" ht="15.75" hidden="false" customHeight="false" outlineLevel="0" collapsed="false">
      <c r="A115" s="3" t="s">
        <v>1953</v>
      </c>
      <c r="B115" s="6" t="s">
        <v>2083</v>
      </c>
      <c r="C115" s="3"/>
      <c r="D115" s="6" t="str">
        <f aca="false">I115   &amp; IF(ISBLANK(M115),, ". "&amp; M115 &amp; IF(ISBLANK(Q115),, ". "&amp; Q115))</f>
        <v>GainItemDrop</v>
      </c>
      <c r="E115" s="6" t="str">
        <f aca="false">I115  &amp;": # on "&amp; L115  &amp; IF(ISBLANK(M115),, ". "&amp; M115 &amp;": # on "&amp; P115 &amp; IF(ISBLANK(Q115),, ". "&amp; Q115 &amp;": # on "&amp; T115))</f>
        <v>GainItemDrop: # on SelfAndTrainer</v>
      </c>
      <c r="F115" s="6" t="str">
        <f aca="false">IF(U115,"active pal",)  &amp; IF(V115,"working",) &amp; IF(W115,"mounted",) &amp; IF(Y115,"in party (buff)",)  &amp; IF(Z115,"always",)</f>
        <v>active pal</v>
      </c>
      <c r="G115" s="6" t="n">
        <v>1</v>
      </c>
      <c r="H115" s="6" t="s">
        <v>182</v>
      </c>
      <c r="I115" s="6" t="s">
        <v>2084</v>
      </c>
      <c r="J115" s="6" t="str">
        <f aca="false">IFERROR(__xludf.dummyfunction("IFS(I115=""ShotAttack"",""%"",I115=""MeleeAttack"",""%"", I115=""Defense"",""%"",I115=""CraftSPeed"",""%"",I115=""LifeSteal"",""%"",I115=""MaxInventoryWeight"",""+"",I115=""MoveSpeed"",""%"",REGEXMATCH(I115,""ElementAddItemDrop_""),""%"",I115=""Logging"","&amp;"""+"",I115=""Mining"",""+"",I115=""Maxhp"",""%"",REGEXMATCH(I115,""TemperatureResist_""),""+"",REGEXMATCH(I115,""ElementResist_""),""%"",REGEXMATCH(I115,""TemperatureInvalid_""),""bool"",REGEXMATCH(I115,""BodyPartsWeakDamage""),""%"",REGEXMATCH(I115,""Ele"&amp;"mentBoost_""),""%"",AND(REGEXMATCH(B115,""GiveA""),REGEXMATCH(I115,""Element"")),""bool"")"),"#N/A")</f>
        <v>#N/A</v>
      </c>
      <c r="K115" s="6" t="n">
        <v>100</v>
      </c>
      <c r="L115" s="6" t="s">
        <v>2085</v>
      </c>
      <c r="M115" s="6"/>
      <c r="N115" s="6" t="str">
        <f aca="false">IFERROR(__xludf.dummyfunction("IFS(M115=""ShotAttack"",""%"",M115=""MeleeAttack"",""%"", M115=""Defense"",""%"",M115=""CraftSPeed"",""%"",M115=""LifeSteal"",""%"",M115=""MaxInventoryWeight"",""+"",M115=""MoveSpeed"",""%"",REGEXMATCH(M115,""ElementAddItemDrop_""),""%"",M115=""Logging"","&amp;"""+"",M115=""Mining"",""+"",M115=""Maxhp"",""%"",REGEXMATCH(M115,""TemperatureResist_""),""+"",REGEXMATCH(M115,""ElementResist_""),""%"",REGEXMATCH(M115,""TemperatureInvalid_""),""bool"",REGEXMATCH(M115,""BodyPartsWeakDamage""),""%"",REGEXMATCH(M115,""Ele"&amp;"mentBoost_""),""%"",AND(REGEXMATCH(F115,""GiveA""),REGEXMATCH(M115,""Element"")),""bool"")"),"#N/A")</f>
        <v>#N/A</v>
      </c>
      <c r="O115" s="6" t="n">
        <v>0</v>
      </c>
      <c r="P115" s="6"/>
      <c r="Q115" s="6"/>
      <c r="R115" s="6" t="str">
        <f aca="false">IFERROR(__xludf.dummyfunction("IFS(Q115=""ShotAttack"",""%"",Q115=""MeleeAttack"",""%"", Q115=""Defense"",""%"",Q115=""CraftSPeed"",""%"",Q115=""LifeSteal"",""%"",Q115=""MaxInventoryWeight"",""+"",Q115=""MoveSpeed"",""%"",REGEXMATCH(Q115,""ElementAddItemDrop_""),""%"",Q115=""Logging"","&amp;"""+"",Q115=""Mining"",""+"",Q115=""Maxhp"",""%"",REGEXMATCH(Q115,""TemperatureResist_""),""+"",REGEXMATCH(Q115,""ElementResist_""),""%"",REGEXMATCH(Q115,""TemperatureInvalid_""),""bool"",REGEXMATCH(Q115,""BodyPartsWeakDamage""),""%"",REGEXMATCH(Q115,""Ele"&amp;"mentBoost_""),""%"",AND(REGEXMATCH(J115,""GiveA""),REGEXMATCH(Q115,""Element"")),""bool"")"),"#N/A")</f>
        <v>#N/A</v>
      </c>
      <c r="S115" s="6" t="n">
        <v>0</v>
      </c>
      <c r="T115" s="6"/>
      <c r="U115" s="319" t="b">
        <f aca="false">TRUE()</f>
        <v>1</v>
      </c>
      <c r="V115" s="319" t="b">
        <f aca="false">FALSE()</f>
        <v>0</v>
      </c>
      <c r="W115" s="319" t="b">
        <f aca="false">FALSE()</f>
        <v>0</v>
      </c>
      <c r="X115" s="319" t="b">
        <f aca="false">FALSE()</f>
        <v>0</v>
      </c>
      <c r="Y115" s="319" t="b">
        <f aca="false">FALSE()</f>
        <v>0</v>
      </c>
      <c r="Z115" s="319" t="b">
        <f aca="false">FALSE()</f>
        <v>0</v>
      </c>
      <c r="AA115" s="319" t="b">
        <f aca="false">FALSE()</f>
        <v>0</v>
      </c>
      <c r="AB115" s="319" t="b">
        <f aca="false">FALSE()</f>
        <v>0</v>
      </c>
      <c r="AC115" s="319" t="b">
        <f aca="false">FALSE()</f>
        <v>0</v>
      </c>
      <c r="AD115" s="319" t="b">
        <f aca="false">FALSE()</f>
        <v>0</v>
      </c>
      <c r="AE115" s="319" t="b">
        <f aca="false">FALSE()</f>
        <v>0</v>
      </c>
      <c r="AF115" s="319" t="b">
        <f aca="false">FALSE()</f>
        <v>0</v>
      </c>
      <c r="AG115" s="6" t="s">
        <v>182</v>
      </c>
      <c r="AH115" s="6" t="s">
        <v>182</v>
      </c>
    </row>
    <row r="116" customFormat="false" ht="15.75" hidden="false" customHeight="false" outlineLevel="0" collapsed="false">
      <c r="A116" s="3" t="s">
        <v>1953</v>
      </c>
      <c r="B116" s="6" t="s">
        <v>2086</v>
      </c>
      <c r="C116" s="3"/>
      <c r="D116" s="6" t="str">
        <f aca="false">I116   &amp; IF(ISBLANK(M116),, ". "&amp; M116 &amp; IF(ISBLANK(Q116),, ". "&amp; Q116))</f>
        <v>GainItemDrop</v>
      </c>
      <c r="E116" s="6" t="str">
        <f aca="false">I116  &amp;": # on "&amp; L116  &amp; IF(ISBLANK(M116),, ". "&amp; M116 &amp;": # on "&amp; P116 &amp; IF(ISBLANK(Q116),, ". "&amp; Q116 &amp;": # on "&amp; T116))</f>
        <v>GainItemDrop: # on SelfAndTrainer</v>
      </c>
      <c r="F116" s="6" t="str">
        <f aca="false">IF(U116,"active pal",)  &amp; IF(V116,"working",) &amp; IF(W116,"mounted",) &amp; IF(Y116,"in party (buff)",)  &amp; IF(Z116,"always",)</f>
        <v>active pal</v>
      </c>
      <c r="G116" s="6" t="n">
        <v>2</v>
      </c>
      <c r="H116" s="6" t="s">
        <v>182</v>
      </c>
      <c r="I116" s="6" t="s">
        <v>2084</v>
      </c>
      <c r="J116" s="6" t="str">
        <f aca="false">IFERROR(__xludf.dummyfunction("IFS(I116=""ShotAttack"",""%"",I116=""MeleeAttack"",""%"", I116=""Defense"",""%"",I116=""CraftSPeed"",""%"",I116=""LifeSteal"",""%"",I116=""MaxInventoryWeight"",""+"",I116=""MoveSpeed"",""%"",REGEXMATCH(I116,""ElementAddItemDrop_""),""%"",I116=""Logging"","&amp;"""+"",I116=""Mining"",""+"",I116=""Maxhp"",""%"",REGEXMATCH(I116,""TemperatureResist_""),""+"",REGEXMATCH(I116,""ElementResist_""),""%"",REGEXMATCH(I116,""TemperatureInvalid_""),""bool"",REGEXMATCH(I116,""BodyPartsWeakDamage""),""%"",REGEXMATCH(I116,""Ele"&amp;"mentBoost_""),""%"",AND(REGEXMATCH(B116,""GiveA""),REGEXMATCH(I116,""Element"")),""bool"")"),"#N/A")</f>
        <v>#N/A</v>
      </c>
      <c r="K116" s="6" t="n">
        <v>150</v>
      </c>
      <c r="L116" s="6" t="s">
        <v>2085</v>
      </c>
      <c r="M116" s="6"/>
      <c r="N116" s="6" t="str">
        <f aca="false">IFERROR(__xludf.dummyfunction("IFS(M116=""ShotAttack"",""%"",M116=""MeleeAttack"",""%"", M116=""Defense"",""%"",M116=""CraftSPeed"",""%"",M116=""LifeSteal"",""%"",M116=""MaxInventoryWeight"",""+"",M116=""MoveSpeed"",""%"",REGEXMATCH(M116,""ElementAddItemDrop_""),""%"",M116=""Logging"","&amp;"""+"",M116=""Mining"",""+"",M116=""Maxhp"",""%"",REGEXMATCH(M116,""TemperatureResist_""),""+"",REGEXMATCH(M116,""ElementResist_""),""%"",REGEXMATCH(M116,""TemperatureInvalid_""),""bool"",REGEXMATCH(M116,""BodyPartsWeakDamage""),""%"",REGEXMATCH(M116,""Ele"&amp;"mentBoost_""),""%"",AND(REGEXMATCH(F116,""GiveA""),REGEXMATCH(M116,""Element"")),""bool"")"),"#N/A")</f>
        <v>#N/A</v>
      </c>
      <c r="O116" s="6" t="n">
        <v>0</v>
      </c>
      <c r="P116" s="6"/>
      <c r="Q116" s="6"/>
      <c r="R116" s="6" t="str">
        <f aca="false">IFERROR(__xludf.dummyfunction("IFS(Q116=""ShotAttack"",""%"",Q116=""MeleeAttack"",""%"", Q116=""Defense"",""%"",Q116=""CraftSPeed"",""%"",Q116=""LifeSteal"",""%"",Q116=""MaxInventoryWeight"",""+"",Q116=""MoveSpeed"",""%"",REGEXMATCH(Q116,""ElementAddItemDrop_""),""%"",Q116=""Logging"","&amp;"""+"",Q116=""Mining"",""+"",Q116=""Maxhp"",""%"",REGEXMATCH(Q116,""TemperatureResist_""),""+"",REGEXMATCH(Q116,""ElementResist_""),""%"",REGEXMATCH(Q116,""TemperatureInvalid_""),""bool"",REGEXMATCH(Q116,""BodyPartsWeakDamage""),""%"",REGEXMATCH(Q116,""Ele"&amp;"mentBoost_""),""%"",AND(REGEXMATCH(J116,""GiveA""),REGEXMATCH(Q116,""Element"")),""bool"")"),"#N/A")</f>
        <v>#N/A</v>
      </c>
      <c r="S116" s="6" t="n">
        <v>0</v>
      </c>
      <c r="T116" s="6"/>
      <c r="U116" s="319" t="b">
        <f aca="false">TRUE()</f>
        <v>1</v>
      </c>
      <c r="V116" s="319" t="b">
        <f aca="false">FALSE()</f>
        <v>0</v>
      </c>
      <c r="W116" s="319" t="b">
        <f aca="false">FALSE()</f>
        <v>0</v>
      </c>
      <c r="X116" s="319" t="b">
        <f aca="false">FALSE()</f>
        <v>0</v>
      </c>
      <c r="Y116" s="319" t="b">
        <f aca="false">FALSE()</f>
        <v>0</v>
      </c>
      <c r="Z116" s="319" t="b">
        <f aca="false">FALSE()</f>
        <v>0</v>
      </c>
      <c r="AA116" s="319" t="b">
        <f aca="false">FALSE()</f>
        <v>0</v>
      </c>
      <c r="AB116" s="319" t="b">
        <f aca="false">FALSE()</f>
        <v>0</v>
      </c>
      <c r="AC116" s="319" t="b">
        <f aca="false">FALSE()</f>
        <v>0</v>
      </c>
      <c r="AD116" s="319" t="b">
        <f aca="false">FALSE()</f>
        <v>0</v>
      </c>
      <c r="AE116" s="319" t="b">
        <f aca="false">FALSE()</f>
        <v>0</v>
      </c>
      <c r="AF116" s="319" t="b">
        <f aca="false">FALSE()</f>
        <v>0</v>
      </c>
      <c r="AG116" s="6" t="s">
        <v>182</v>
      </c>
      <c r="AH116" s="6" t="s">
        <v>182</v>
      </c>
    </row>
    <row r="117" customFormat="false" ht="15.75" hidden="false" customHeight="false" outlineLevel="0" collapsed="false">
      <c r="A117" s="3" t="s">
        <v>1953</v>
      </c>
      <c r="B117" s="6" t="s">
        <v>2087</v>
      </c>
      <c r="C117" s="3"/>
      <c r="D117" s="6" t="str">
        <f aca="false">I117   &amp; IF(ISBLANK(M117),, ". "&amp; M117 &amp; IF(ISBLANK(Q117),, ". "&amp; Q117))</f>
        <v>GainItemDrop</v>
      </c>
      <c r="E117" s="6" t="str">
        <f aca="false">I117  &amp;": # on "&amp; L117  &amp; IF(ISBLANK(M117),, ". "&amp; M117 &amp;": # on "&amp; P117 &amp; IF(ISBLANK(Q117),, ". "&amp; Q117 &amp;": # on "&amp; T117))</f>
        <v>GainItemDrop: # on SelfAndTrainer</v>
      </c>
      <c r="F117" s="6" t="str">
        <f aca="false">IF(U117,"active pal",)  &amp; IF(V117,"working",) &amp; IF(W117,"mounted",) &amp; IF(Y117,"in party (buff)",)  &amp; IF(Z117,"always",)</f>
        <v>active pal</v>
      </c>
      <c r="G117" s="6" t="n">
        <v>3</v>
      </c>
      <c r="H117" s="6" t="s">
        <v>182</v>
      </c>
      <c r="I117" s="6" t="s">
        <v>2084</v>
      </c>
      <c r="J117" s="6" t="str">
        <f aca="false">IFERROR(__xludf.dummyfunction("IFS(I117=""ShotAttack"",""%"",I117=""MeleeAttack"",""%"", I117=""Defense"",""%"",I117=""CraftSPeed"",""%"",I117=""LifeSteal"",""%"",I117=""MaxInventoryWeight"",""+"",I117=""MoveSpeed"",""%"",REGEXMATCH(I117,""ElementAddItemDrop_""),""%"",I117=""Logging"","&amp;"""+"",I117=""Mining"",""+"",I117=""Maxhp"",""%"",REGEXMATCH(I117,""TemperatureResist_""),""+"",REGEXMATCH(I117,""ElementResist_""),""%"",REGEXMATCH(I117,""TemperatureInvalid_""),""bool"",REGEXMATCH(I117,""BodyPartsWeakDamage""),""%"",REGEXMATCH(I117,""Ele"&amp;"mentBoost_""),""%"",AND(REGEXMATCH(B117,""GiveA""),REGEXMATCH(I117,""Element"")),""bool"")"),"#N/A")</f>
        <v>#N/A</v>
      </c>
      <c r="K117" s="6" t="n">
        <v>200</v>
      </c>
      <c r="L117" s="6" t="s">
        <v>2085</v>
      </c>
      <c r="M117" s="6"/>
      <c r="N117" s="6" t="str">
        <f aca="false">IFERROR(__xludf.dummyfunction("IFS(M117=""ShotAttack"",""%"",M117=""MeleeAttack"",""%"", M117=""Defense"",""%"",M117=""CraftSPeed"",""%"",M117=""LifeSteal"",""%"",M117=""MaxInventoryWeight"",""+"",M117=""MoveSpeed"",""%"",REGEXMATCH(M117,""ElementAddItemDrop_""),""%"",M117=""Logging"","&amp;"""+"",M117=""Mining"",""+"",M117=""Maxhp"",""%"",REGEXMATCH(M117,""TemperatureResist_""),""+"",REGEXMATCH(M117,""ElementResist_""),""%"",REGEXMATCH(M117,""TemperatureInvalid_""),""bool"",REGEXMATCH(M117,""BodyPartsWeakDamage""),""%"",REGEXMATCH(M117,""Ele"&amp;"mentBoost_""),""%"",AND(REGEXMATCH(F117,""GiveA""),REGEXMATCH(M117,""Element"")),""bool"")"),"#N/A")</f>
        <v>#N/A</v>
      </c>
      <c r="O117" s="6" t="n">
        <v>0</v>
      </c>
      <c r="P117" s="6"/>
      <c r="Q117" s="6"/>
      <c r="R117" s="6" t="str">
        <f aca="false">IFERROR(__xludf.dummyfunction("IFS(Q117=""ShotAttack"",""%"",Q117=""MeleeAttack"",""%"", Q117=""Defense"",""%"",Q117=""CraftSPeed"",""%"",Q117=""LifeSteal"",""%"",Q117=""MaxInventoryWeight"",""+"",Q117=""MoveSpeed"",""%"",REGEXMATCH(Q117,""ElementAddItemDrop_""),""%"",Q117=""Logging"","&amp;"""+"",Q117=""Mining"",""+"",Q117=""Maxhp"",""%"",REGEXMATCH(Q117,""TemperatureResist_""),""+"",REGEXMATCH(Q117,""ElementResist_""),""%"",REGEXMATCH(Q117,""TemperatureInvalid_""),""bool"",REGEXMATCH(Q117,""BodyPartsWeakDamage""),""%"",REGEXMATCH(Q117,""Ele"&amp;"mentBoost_""),""%"",AND(REGEXMATCH(J117,""GiveA""),REGEXMATCH(Q117,""Element"")),""bool"")"),"#N/A")</f>
        <v>#N/A</v>
      </c>
      <c r="S117" s="6" t="n">
        <v>0</v>
      </c>
      <c r="T117" s="6"/>
      <c r="U117" s="319" t="b">
        <f aca="false">TRUE()</f>
        <v>1</v>
      </c>
      <c r="V117" s="319" t="b">
        <f aca="false">FALSE()</f>
        <v>0</v>
      </c>
      <c r="W117" s="319" t="b">
        <f aca="false">FALSE()</f>
        <v>0</v>
      </c>
      <c r="X117" s="319" t="b">
        <f aca="false">FALSE()</f>
        <v>0</v>
      </c>
      <c r="Y117" s="319" t="b">
        <f aca="false">FALSE()</f>
        <v>0</v>
      </c>
      <c r="Z117" s="319" t="b">
        <f aca="false">FALSE()</f>
        <v>0</v>
      </c>
      <c r="AA117" s="319" t="b">
        <f aca="false">FALSE()</f>
        <v>0</v>
      </c>
      <c r="AB117" s="319" t="b">
        <f aca="false">FALSE()</f>
        <v>0</v>
      </c>
      <c r="AC117" s="319" t="b">
        <f aca="false">FALSE()</f>
        <v>0</v>
      </c>
      <c r="AD117" s="319" t="b">
        <f aca="false">FALSE()</f>
        <v>0</v>
      </c>
      <c r="AE117" s="319" t="b">
        <f aca="false">FALSE()</f>
        <v>0</v>
      </c>
      <c r="AF117" s="319" t="b">
        <f aca="false">FALSE()</f>
        <v>0</v>
      </c>
      <c r="AG117" s="6" t="s">
        <v>182</v>
      </c>
      <c r="AH117" s="6" t="s">
        <v>182</v>
      </c>
    </row>
    <row r="118" customFormat="false" ht="15.75" hidden="false" customHeight="false" outlineLevel="0" collapsed="false">
      <c r="A118" s="3" t="s">
        <v>1953</v>
      </c>
      <c r="B118" s="6" t="s">
        <v>2088</v>
      </c>
      <c r="C118" s="3"/>
      <c r="D118" s="6" t="str">
        <f aca="false">I118   &amp; IF(ISBLANK(M118),, ". "&amp; M118 &amp; IF(ISBLANK(Q118),, ". "&amp; Q118))</f>
        <v>GainItemDrop</v>
      </c>
      <c r="E118" s="6" t="str">
        <f aca="false">I118  &amp;": # on "&amp; L118  &amp; IF(ISBLANK(M118),, ". "&amp; M118 &amp;": # on "&amp; P118 &amp; IF(ISBLANK(Q118),, ". "&amp; Q118 &amp;": # on "&amp; T118))</f>
        <v>GainItemDrop: # on SelfAndTrainer</v>
      </c>
      <c r="F118" s="6" t="str">
        <f aca="false">IF(U118,"active pal",)  &amp; IF(V118,"working",) &amp; IF(W118,"mounted",) &amp; IF(Y118,"in party (buff)",)  &amp; IF(Z118,"always",)</f>
        <v>active pal</v>
      </c>
      <c r="G118" s="6" t="n">
        <v>4</v>
      </c>
      <c r="H118" s="6" t="s">
        <v>182</v>
      </c>
      <c r="I118" s="6" t="s">
        <v>2084</v>
      </c>
      <c r="J118" s="6" t="str">
        <f aca="false">IFERROR(__xludf.dummyfunction("IFS(I118=""ShotAttack"",""%"",I118=""MeleeAttack"",""%"", I118=""Defense"",""%"",I118=""CraftSPeed"",""%"",I118=""LifeSteal"",""%"",I118=""MaxInventoryWeight"",""+"",I118=""MoveSpeed"",""%"",REGEXMATCH(I118,""ElementAddItemDrop_""),""%"",I118=""Logging"","&amp;"""+"",I118=""Mining"",""+"",I118=""Maxhp"",""%"",REGEXMATCH(I118,""TemperatureResist_""),""+"",REGEXMATCH(I118,""ElementResist_""),""%"",REGEXMATCH(I118,""TemperatureInvalid_""),""bool"",REGEXMATCH(I118,""BodyPartsWeakDamage""),""%"",REGEXMATCH(I118,""Ele"&amp;"mentBoost_""),""%"",AND(REGEXMATCH(B118,""GiveA""),REGEXMATCH(I118,""Element"")),""bool"")"),"#N/A")</f>
        <v>#N/A</v>
      </c>
      <c r="K118" s="6" t="n">
        <v>250</v>
      </c>
      <c r="L118" s="6" t="s">
        <v>2085</v>
      </c>
      <c r="M118" s="6"/>
      <c r="N118" s="6" t="str">
        <f aca="false">IFERROR(__xludf.dummyfunction("IFS(M118=""ShotAttack"",""%"",M118=""MeleeAttack"",""%"", M118=""Defense"",""%"",M118=""CraftSPeed"",""%"",M118=""LifeSteal"",""%"",M118=""MaxInventoryWeight"",""+"",M118=""MoveSpeed"",""%"",REGEXMATCH(M118,""ElementAddItemDrop_""),""%"",M118=""Logging"","&amp;"""+"",M118=""Mining"",""+"",M118=""Maxhp"",""%"",REGEXMATCH(M118,""TemperatureResist_""),""+"",REGEXMATCH(M118,""ElementResist_""),""%"",REGEXMATCH(M118,""TemperatureInvalid_""),""bool"",REGEXMATCH(M118,""BodyPartsWeakDamage""),""%"",REGEXMATCH(M118,""Ele"&amp;"mentBoost_""),""%"",AND(REGEXMATCH(F118,""GiveA""),REGEXMATCH(M118,""Element"")),""bool"")"),"#N/A")</f>
        <v>#N/A</v>
      </c>
      <c r="O118" s="6" t="n">
        <v>0</v>
      </c>
      <c r="P118" s="6"/>
      <c r="Q118" s="6"/>
      <c r="R118" s="6" t="str">
        <f aca="false">IFERROR(__xludf.dummyfunction("IFS(Q118=""ShotAttack"",""%"",Q118=""MeleeAttack"",""%"", Q118=""Defense"",""%"",Q118=""CraftSPeed"",""%"",Q118=""LifeSteal"",""%"",Q118=""MaxInventoryWeight"",""+"",Q118=""MoveSpeed"",""%"",REGEXMATCH(Q118,""ElementAddItemDrop_""),""%"",Q118=""Logging"","&amp;"""+"",Q118=""Mining"",""+"",Q118=""Maxhp"",""%"",REGEXMATCH(Q118,""TemperatureResist_""),""+"",REGEXMATCH(Q118,""ElementResist_""),""%"",REGEXMATCH(Q118,""TemperatureInvalid_""),""bool"",REGEXMATCH(Q118,""BodyPartsWeakDamage""),""%"",REGEXMATCH(Q118,""Ele"&amp;"mentBoost_""),""%"",AND(REGEXMATCH(J118,""GiveA""),REGEXMATCH(Q118,""Element"")),""bool"")"),"#N/A")</f>
        <v>#N/A</v>
      </c>
      <c r="S118" s="6" t="n">
        <v>0</v>
      </c>
      <c r="T118" s="6"/>
      <c r="U118" s="319" t="b">
        <f aca="false">TRUE()</f>
        <v>1</v>
      </c>
      <c r="V118" s="319" t="b">
        <f aca="false">FALSE()</f>
        <v>0</v>
      </c>
      <c r="W118" s="319" t="b">
        <f aca="false">FALSE()</f>
        <v>0</v>
      </c>
      <c r="X118" s="319" t="b">
        <f aca="false">FALSE()</f>
        <v>0</v>
      </c>
      <c r="Y118" s="319" t="b">
        <f aca="false">FALSE()</f>
        <v>0</v>
      </c>
      <c r="Z118" s="319" t="b">
        <f aca="false">FALSE()</f>
        <v>0</v>
      </c>
      <c r="AA118" s="319" t="b">
        <f aca="false">FALSE()</f>
        <v>0</v>
      </c>
      <c r="AB118" s="319" t="b">
        <f aca="false">FALSE()</f>
        <v>0</v>
      </c>
      <c r="AC118" s="319" t="b">
        <f aca="false">FALSE()</f>
        <v>0</v>
      </c>
      <c r="AD118" s="319" t="b">
        <f aca="false">FALSE()</f>
        <v>0</v>
      </c>
      <c r="AE118" s="319" t="b">
        <f aca="false">FALSE()</f>
        <v>0</v>
      </c>
      <c r="AF118" s="319" t="b">
        <f aca="false">FALSE()</f>
        <v>0</v>
      </c>
      <c r="AG118" s="6" t="s">
        <v>182</v>
      </c>
      <c r="AH118" s="6" t="s">
        <v>182</v>
      </c>
    </row>
    <row r="119" customFormat="false" ht="15.75" hidden="false" customHeight="false" outlineLevel="0" collapsed="false">
      <c r="A119" s="3" t="s">
        <v>1953</v>
      </c>
      <c r="B119" s="6" t="s">
        <v>2089</v>
      </c>
      <c r="C119" s="3"/>
      <c r="D119" s="6" t="str">
        <f aca="false">I119   &amp; IF(ISBLANK(M119),, ". "&amp; M119 &amp; IF(ISBLANK(Q119),, ". "&amp; Q119))</f>
        <v>Mute</v>
      </c>
      <c r="E119" s="6" t="str">
        <f aca="false">I119  &amp;": # on "&amp; L119  &amp; IF(ISBLANK(M119),, ". "&amp; M119 &amp;": # on "&amp; P119 &amp; IF(ISBLANK(Q119),, ". "&amp; Q119 &amp;": # on "&amp; T119))</f>
        <v>Mute: # on SelfAndTrainer</v>
      </c>
      <c r="F119" s="6" t="str">
        <f aca="false">IF(U119,"active pal",)  &amp; IF(V119,"working",) &amp; IF(W119,"mounted",) &amp; IF(Y119,"in party (buff)",)  &amp; IF(Z119,"always",)</f>
        <v/>
      </c>
      <c r="G119" s="6" t="n">
        <v>1</v>
      </c>
      <c r="H119" s="6" t="s">
        <v>182</v>
      </c>
      <c r="I119" s="6" t="s">
        <v>2090</v>
      </c>
      <c r="J119" s="6" t="str">
        <f aca="false">IFERROR(__xludf.dummyfunction("IFS(I119=""ShotAttack"",""%"",I119=""MeleeAttack"",""%"", I119=""Defense"",""%"",I119=""CraftSPeed"",""%"",I119=""LifeSteal"",""%"",I119=""MaxInventoryWeight"",""+"",I119=""MoveSpeed"",""%"",REGEXMATCH(I119,""ElementAddItemDrop_""),""%"",I119=""Logging"","&amp;"""+"",I119=""Mining"",""+"",I119=""Maxhp"",""%"",REGEXMATCH(I119,""TemperatureResist_""),""+"",REGEXMATCH(I119,""ElementResist_""),""%"",REGEXMATCH(I119,""TemperatureInvalid_""),""bool"",REGEXMATCH(I119,""BodyPartsWeakDamage""),""%"",REGEXMATCH(I119,""Ele"&amp;"mentBoost_""),""%"",AND(REGEXMATCH(B119,""GiveA""),REGEXMATCH(I119,""Element"")),""bool"")"),"#N/A")</f>
        <v>#N/A</v>
      </c>
      <c r="K119" s="6" t="n">
        <v>-50</v>
      </c>
      <c r="L119" s="6" t="s">
        <v>2085</v>
      </c>
      <c r="M119" s="6"/>
      <c r="N119" s="6" t="str">
        <f aca="false">IFERROR(__xludf.dummyfunction("IFS(M119=""ShotAttack"",""%"",M119=""MeleeAttack"",""%"", M119=""Defense"",""%"",M119=""CraftSPeed"",""%"",M119=""LifeSteal"",""%"",M119=""MaxInventoryWeight"",""+"",M119=""MoveSpeed"",""%"",REGEXMATCH(M119,""ElementAddItemDrop_""),""%"",M119=""Logging"","&amp;"""+"",M119=""Mining"",""+"",M119=""Maxhp"",""%"",REGEXMATCH(M119,""TemperatureResist_""),""+"",REGEXMATCH(M119,""ElementResist_""),""%"",REGEXMATCH(M119,""TemperatureInvalid_""),""bool"",REGEXMATCH(M119,""BodyPartsWeakDamage""),""%"",REGEXMATCH(M119,""Ele"&amp;"mentBoost_""),""%"",AND(REGEXMATCH(F119,""GiveA""),REGEXMATCH(M119,""Element"")),""bool"")"),"#N/A")</f>
        <v>#N/A</v>
      </c>
      <c r="O119" s="6" t="n">
        <v>0</v>
      </c>
      <c r="P119" s="6"/>
      <c r="Q119" s="6"/>
      <c r="R119" s="6" t="str">
        <f aca="false">IFERROR(__xludf.dummyfunction("IFS(Q119=""ShotAttack"",""%"",Q119=""MeleeAttack"",""%"", Q119=""Defense"",""%"",Q119=""CraftSPeed"",""%"",Q119=""LifeSteal"",""%"",Q119=""MaxInventoryWeight"",""+"",Q119=""MoveSpeed"",""%"",REGEXMATCH(Q119,""ElementAddItemDrop_""),""%"",Q119=""Logging"","&amp;"""+"",Q119=""Mining"",""+"",Q119=""Maxhp"",""%"",REGEXMATCH(Q119,""TemperatureResist_""),""+"",REGEXMATCH(Q119,""ElementResist_""),""%"",REGEXMATCH(Q119,""TemperatureInvalid_""),""bool"",REGEXMATCH(Q119,""BodyPartsWeakDamage""),""%"",REGEXMATCH(Q119,""Ele"&amp;"mentBoost_""),""%"",AND(REGEXMATCH(J119,""GiveA""),REGEXMATCH(Q119,""Element"")),""bool"")"),"#N/A")</f>
        <v>#N/A</v>
      </c>
      <c r="S119" s="6" t="n">
        <v>0</v>
      </c>
      <c r="T119" s="6"/>
      <c r="U119" s="319" t="b">
        <f aca="false">FALSE()</f>
        <v>0</v>
      </c>
      <c r="V119" s="319" t="b">
        <f aca="false">FALSE()</f>
        <v>0</v>
      </c>
      <c r="W119" s="319" t="b">
        <f aca="false">FALSE()</f>
        <v>0</v>
      </c>
      <c r="X119" s="319" t="b">
        <f aca="false">FALSE()</f>
        <v>0</v>
      </c>
      <c r="Y119" s="319" t="b">
        <f aca="false">FALSE()</f>
        <v>0</v>
      </c>
      <c r="Z119" s="319" t="b">
        <f aca="false">FALSE()</f>
        <v>0</v>
      </c>
      <c r="AA119" s="319" t="b">
        <f aca="false">FALSE()</f>
        <v>0</v>
      </c>
      <c r="AB119" s="319" t="b">
        <f aca="false">FALSE()</f>
        <v>0</v>
      </c>
      <c r="AC119" s="319" t="b">
        <f aca="false">FALSE()</f>
        <v>0</v>
      </c>
      <c r="AD119" s="319" t="b">
        <f aca="false">FALSE()</f>
        <v>0</v>
      </c>
      <c r="AE119" s="319" t="b">
        <f aca="false">FALSE()</f>
        <v>0</v>
      </c>
      <c r="AF119" s="319" t="b">
        <f aca="false">FALSE()</f>
        <v>0</v>
      </c>
      <c r="AG119" s="6" t="s">
        <v>182</v>
      </c>
      <c r="AH119" s="6" t="s">
        <v>182</v>
      </c>
    </row>
    <row r="120" customFormat="false" ht="15.75" hidden="false" customHeight="false" outlineLevel="0" collapsed="false">
      <c r="A120" s="3" t="s">
        <v>1953</v>
      </c>
      <c r="B120" s="6" t="s">
        <v>2091</v>
      </c>
      <c r="C120" s="3"/>
      <c r="D120" s="6" t="str">
        <f aca="false">I120   &amp; IF(ISBLANK(M120),, ". "&amp; M120 &amp; IF(ISBLANK(Q120),, ". "&amp; Q120))</f>
        <v>Mute</v>
      </c>
      <c r="E120" s="6" t="str">
        <f aca="false">I120  &amp;": # on "&amp; L120  &amp; IF(ISBLANK(M120),, ". "&amp; M120 &amp;": # on "&amp; P120 &amp; IF(ISBLANK(Q120),, ". "&amp; Q120 &amp;": # on "&amp; T120))</f>
        <v>Mute: # on SelfAndTrainer</v>
      </c>
      <c r="F120" s="6" t="str">
        <f aca="false">IF(U120,"active pal",)  &amp; IF(V120,"working",) &amp; IF(W120,"mounted",) &amp; IF(Y120,"in party (buff)",)  &amp; IF(Z120,"always",)</f>
        <v/>
      </c>
      <c r="G120" s="6" t="n">
        <v>2</v>
      </c>
      <c r="H120" s="6" t="s">
        <v>182</v>
      </c>
      <c r="I120" s="6" t="s">
        <v>2090</v>
      </c>
      <c r="J120" s="6" t="str">
        <f aca="false">IFERROR(__xludf.dummyfunction("IFS(I120=""ShotAttack"",""%"",I120=""MeleeAttack"",""%"", I120=""Defense"",""%"",I120=""CraftSPeed"",""%"",I120=""LifeSteal"",""%"",I120=""MaxInventoryWeight"",""+"",I120=""MoveSpeed"",""%"",REGEXMATCH(I120,""ElementAddItemDrop_""),""%"",I120=""Logging"","&amp;"""+"",I120=""Mining"",""+"",I120=""Maxhp"",""%"",REGEXMATCH(I120,""TemperatureResist_""),""+"",REGEXMATCH(I120,""ElementResist_""),""%"",REGEXMATCH(I120,""TemperatureInvalid_""),""bool"",REGEXMATCH(I120,""BodyPartsWeakDamage""),""%"",REGEXMATCH(I120,""Ele"&amp;"mentBoost_""),""%"",AND(REGEXMATCH(B120,""GiveA""),REGEXMATCH(I120,""Element"")),""bool"")"),"#N/A")</f>
        <v>#N/A</v>
      </c>
      <c r="K120" s="6" t="n">
        <v>-60</v>
      </c>
      <c r="L120" s="6" t="s">
        <v>2085</v>
      </c>
      <c r="M120" s="6"/>
      <c r="N120" s="6" t="str">
        <f aca="false">IFERROR(__xludf.dummyfunction("IFS(M120=""ShotAttack"",""%"",M120=""MeleeAttack"",""%"", M120=""Defense"",""%"",M120=""CraftSPeed"",""%"",M120=""LifeSteal"",""%"",M120=""MaxInventoryWeight"",""+"",M120=""MoveSpeed"",""%"",REGEXMATCH(M120,""ElementAddItemDrop_""),""%"",M120=""Logging"","&amp;"""+"",M120=""Mining"",""+"",M120=""Maxhp"",""%"",REGEXMATCH(M120,""TemperatureResist_""),""+"",REGEXMATCH(M120,""ElementResist_""),""%"",REGEXMATCH(M120,""TemperatureInvalid_""),""bool"",REGEXMATCH(M120,""BodyPartsWeakDamage""),""%"",REGEXMATCH(M120,""Ele"&amp;"mentBoost_""),""%"",AND(REGEXMATCH(F120,""GiveA""),REGEXMATCH(M120,""Element"")),""bool"")"),"#N/A")</f>
        <v>#N/A</v>
      </c>
      <c r="O120" s="6" t="n">
        <v>0</v>
      </c>
      <c r="P120" s="6"/>
      <c r="Q120" s="6"/>
      <c r="R120" s="6" t="str">
        <f aca="false">IFERROR(__xludf.dummyfunction("IFS(Q120=""ShotAttack"",""%"",Q120=""MeleeAttack"",""%"", Q120=""Defense"",""%"",Q120=""CraftSPeed"",""%"",Q120=""LifeSteal"",""%"",Q120=""MaxInventoryWeight"",""+"",Q120=""MoveSpeed"",""%"",REGEXMATCH(Q120,""ElementAddItemDrop_""),""%"",Q120=""Logging"","&amp;"""+"",Q120=""Mining"",""+"",Q120=""Maxhp"",""%"",REGEXMATCH(Q120,""TemperatureResist_""),""+"",REGEXMATCH(Q120,""ElementResist_""),""%"",REGEXMATCH(Q120,""TemperatureInvalid_""),""bool"",REGEXMATCH(Q120,""BodyPartsWeakDamage""),""%"",REGEXMATCH(Q120,""Ele"&amp;"mentBoost_""),""%"",AND(REGEXMATCH(J120,""GiveA""),REGEXMATCH(Q120,""Element"")),""bool"")"),"#N/A")</f>
        <v>#N/A</v>
      </c>
      <c r="S120" s="6" t="n">
        <v>0</v>
      </c>
      <c r="T120" s="6"/>
      <c r="U120" s="319" t="b">
        <f aca="false">FALSE()</f>
        <v>0</v>
      </c>
      <c r="V120" s="319" t="b">
        <f aca="false">FALSE()</f>
        <v>0</v>
      </c>
      <c r="W120" s="319" t="b">
        <f aca="false">FALSE()</f>
        <v>0</v>
      </c>
      <c r="X120" s="319" t="b">
        <f aca="false">FALSE()</f>
        <v>0</v>
      </c>
      <c r="Y120" s="319" t="b">
        <f aca="false">FALSE()</f>
        <v>0</v>
      </c>
      <c r="Z120" s="319" t="b">
        <f aca="false">FALSE()</f>
        <v>0</v>
      </c>
      <c r="AA120" s="319" t="b">
        <f aca="false">FALSE()</f>
        <v>0</v>
      </c>
      <c r="AB120" s="319" t="b">
        <f aca="false">FALSE()</f>
        <v>0</v>
      </c>
      <c r="AC120" s="319" t="b">
        <f aca="false">FALSE()</f>
        <v>0</v>
      </c>
      <c r="AD120" s="319" t="b">
        <f aca="false">FALSE()</f>
        <v>0</v>
      </c>
      <c r="AE120" s="319" t="b">
        <f aca="false">FALSE()</f>
        <v>0</v>
      </c>
      <c r="AF120" s="319" t="b">
        <f aca="false">FALSE()</f>
        <v>0</v>
      </c>
      <c r="AG120" s="6" t="s">
        <v>182</v>
      </c>
      <c r="AH120" s="6" t="s">
        <v>182</v>
      </c>
    </row>
    <row r="121" customFormat="false" ht="15.75" hidden="false" customHeight="false" outlineLevel="0" collapsed="false">
      <c r="A121" s="3" t="s">
        <v>1953</v>
      </c>
      <c r="B121" s="6" t="s">
        <v>2092</v>
      </c>
      <c r="C121" s="3"/>
      <c r="D121" s="6" t="str">
        <f aca="false">I121   &amp; IF(ISBLANK(M121),, ". "&amp; M121 &amp; IF(ISBLANK(Q121),, ". "&amp; Q121))</f>
        <v>Mute</v>
      </c>
      <c r="E121" s="6" t="str">
        <f aca="false">I121  &amp;": # on "&amp; L121  &amp; IF(ISBLANK(M121),, ". "&amp; M121 &amp;": # on "&amp; P121 &amp; IF(ISBLANK(Q121),, ". "&amp; Q121 &amp;": # on "&amp; T121))</f>
        <v>Mute: # on SelfAndTrainer</v>
      </c>
      <c r="F121" s="6" t="str">
        <f aca="false">IF(U121,"active pal",)  &amp; IF(V121,"working",) &amp; IF(W121,"mounted",) &amp; IF(Y121,"in party (buff)",)  &amp; IF(Z121,"always",)</f>
        <v/>
      </c>
      <c r="G121" s="6" t="n">
        <v>3</v>
      </c>
      <c r="H121" s="6" t="s">
        <v>182</v>
      </c>
      <c r="I121" s="6" t="s">
        <v>2090</v>
      </c>
      <c r="J121" s="6" t="str">
        <f aca="false">IFERROR(__xludf.dummyfunction("IFS(I121=""ShotAttack"",""%"",I121=""MeleeAttack"",""%"", I121=""Defense"",""%"",I121=""CraftSPeed"",""%"",I121=""LifeSteal"",""%"",I121=""MaxInventoryWeight"",""+"",I121=""MoveSpeed"",""%"",REGEXMATCH(I121,""ElementAddItemDrop_""),""%"",I121=""Logging"","&amp;"""+"",I121=""Mining"",""+"",I121=""Maxhp"",""%"",REGEXMATCH(I121,""TemperatureResist_""),""+"",REGEXMATCH(I121,""ElementResist_""),""%"",REGEXMATCH(I121,""TemperatureInvalid_""),""bool"",REGEXMATCH(I121,""BodyPartsWeakDamage""),""%"",REGEXMATCH(I121,""Ele"&amp;"mentBoost_""),""%"",AND(REGEXMATCH(B121,""GiveA""),REGEXMATCH(I121,""Element"")),""bool"")"),"#N/A")</f>
        <v>#N/A</v>
      </c>
      <c r="K121" s="6" t="n">
        <v>-70</v>
      </c>
      <c r="L121" s="6" t="s">
        <v>2085</v>
      </c>
      <c r="M121" s="6"/>
      <c r="N121" s="6" t="str">
        <f aca="false">IFERROR(__xludf.dummyfunction("IFS(M121=""ShotAttack"",""%"",M121=""MeleeAttack"",""%"", M121=""Defense"",""%"",M121=""CraftSPeed"",""%"",M121=""LifeSteal"",""%"",M121=""MaxInventoryWeight"",""+"",M121=""MoveSpeed"",""%"",REGEXMATCH(M121,""ElementAddItemDrop_""),""%"",M121=""Logging"","&amp;"""+"",M121=""Mining"",""+"",M121=""Maxhp"",""%"",REGEXMATCH(M121,""TemperatureResist_""),""+"",REGEXMATCH(M121,""ElementResist_""),""%"",REGEXMATCH(M121,""TemperatureInvalid_""),""bool"",REGEXMATCH(M121,""BodyPartsWeakDamage""),""%"",REGEXMATCH(M121,""Ele"&amp;"mentBoost_""),""%"",AND(REGEXMATCH(F121,""GiveA""),REGEXMATCH(M121,""Element"")),""bool"")"),"#N/A")</f>
        <v>#N/A</v>
      </c>
      <c r="O121" s="6" t="n">
        <v>0</v>
      </c>
      <c r="P121" s="6"/>
      <c r="Q121" s="6"/>
      <c r="R121" s="6" t="str">
        <f aca="false">IFERROR(__xludf.dummyfunction("IFS(Q121=""ShotAttack"",""%"",Q121=""MeleeAttack"",""%"", Q121=""Defense"",""%"",Q121=""CraftSPeed"",""%"",Q121=""LifeSteal"",""%"",Q121=""MaxInventoryWeight"",""+"",Q121=""MoveSpeed"",""%"",REGEXMATCH(Q121,""ElementAddItemDrop_""),""%"",Q121=""Logging"","&amp;"""+"",Q121=""Mining"",""+"",Q121=""Maxhp"",""%"",REGEXMATCH(Q121,""TemperatureResist_""),""+"",REGEXMATCH(Q121,""ElementResist_""),""%"",REGEXMATCH(Q121,""TemperatureInvalid_""),""bool"",REGEXMATCH(Q121,""BodyPartsWeakDamage""),""%"",REGEXMATCH(Q121,""Ele"&amp;"mentBoost_""),""%"",AND(REGEXMATCH(J121,""GiveA""),REGEXMATCH(Q121,""Element"")),""bool"")"),"#N/A")</f>
        <v>#N/A</v>
      </c>
      <c r="S121" s="6" t="n">
        <v>0</v>
      </c>
      <c r="T121" s="6"/>
      <c r="U121" s="319" t="b">
        <f aca="false">FALSE()</f>
        <v>0</v>
      </c>
      <c r="V121" s="319" t="b">
        <f aca="false">FALSE()</f>
        <v>0</v>
      </c>
      <c r="W121" s="319" t="b">
        <f aca="false">FALSE()</f>
        <v>0</v>
      </c>
      <c r="X121" s="319" t="b">
        <f aca="false">FALSE()</f>
        <v>0</v>
      </c>
      <c r="Y121" s="319" t="b">
        <f aca="false">FALSE()</f>
        <v>0</v>
      </c>
      <c r="Z121" s="319" t="b">
        <f aca="false">FALSE()</f>
        <v>0</v>
      </c>
      <c r="AA121" s="319" t="b">
        <f aca="false">FALSE()</f>
        <v>0</v>
      </c>
      <c r="AB121" s="319" t="b">
        <f aca="false">FALSE()</f>
        <v>0</v>
      </c>
      <c r="AC121" s="319" t="b">
        <f aca="false">FALSE()</f>
        <v>0</v>
      </c>
      <c r="AD121" s="319" t="b">
        <f aca="false">FALSE()</f>
        <v>0</v>
      </c>
      <c r="AE121" s="319" t="b">
        <f aca="false">FALSE()</f>
        <v>0</v>
      </c>
      <c r="AF121" s="319" t="b">
        <f aca="false">FALSE()</f>
        <v>0</v>
      </c>
      <c r="AG121" s="6" t="s">
        <v>182</v>
      </c>
      <c r="AH121" s="6" t="s">
        <v>182</v>
      </c>
    </row>
    <row r="122" customFormat="false" ht="15.75" hidden="false" customHeight="false" outlineLevel="0" collapsed="false">
      <c r="A122" s="3" t="s">
        <v>1953</v>
      </c>
      <c r="B122" s="6" t="s">
        <v>2093</v>
      </c>
      <c r="C122" s="3"/>
      <c r="D122" s="6" t="str">
        <f aca="false">I122   &amp; IF(ISBLANK(M122),, ". "&amp; M122 &amp; IF(ISBLANK(Q122),, ". "&amp; Q122))</f>
        <v>Mute</v>
      </c>
      <c r="E122" s="6" t="str">
        <f aca="false">I122  &amp;": # on "&amp; L122  &amp; IF(ISBLANK(M122),, ". "&amp; M122 &amp;": # on "&amp; P122 &amp; IF(ISBLANK(Q122),, ". "&amp; Q122 &amp;": # on "&amp; T122))</f>
        <v>Mute: # on SelfAndTrainer</v>
      </c>
      <c r="F122" s="6" t="str">
        <f aca="false">IF(U122,"active pal",)  &amp; IF(V122,"working",) &amp; IF(W122,"mounted",) &amp; IF(Y122,"in party (buff)",)  &amp; IF(Z122,"always",)</f>
        <v/>
      </c>
      <c r="G122" s="6" t="n">
        <v>4</v>
      </c>
      <c r="H122" s="6" t="s">
        <v>182</v>
      </c>
      <c r="I122" s="6" t="s">
        <v>2090</v>
      </c>
      <c r="J122" s="6" t="str">
        <f aca="false">IFERROR(__xludf.dummyfunction("IFS(I122=""ShotAttack"",""%"",I122=""MeleeAttack"",""%"", I122=""Defense"",""%"",I122=""CraftSPeed"",""%"",I122=""LifeSteal"",""%"",I122=""MaxInventoryWeight"",""+"",I122=""MoveSpeed"",""%"",REGEXMATCH(I122,""ElementAddItemDrop_""),""%"",I122=""Logging"","&amp;"""+"",I122=""Mining"",""+"",I122=""Maxhp"",""%"",REGEXMATCH(I122,""TemperatureResist_""),""+"",REGEXMATCH(I122,""ElementResist_""),""%"",REGEXMATCH(I122,""TemperatureInvalid_""),""bool"",REGEXMATCH(I122,""BodyPartsWeakDamage""),""%"",REGEXMATCH(I122,""Ele"&amp;"mentBoost_""),""%"",AND(REGEXMATCH(B122,""GiveA""),REGEXMATCH(I122,""Element"")),""bool"")"),"#N/A")</f>
        <v>#N/A</v>
      </c>
      <c r="K122" s="6" t="n">
        <v>-80</v>
      </c>
      <c r="L122" s="6" t="s">
        <v>2085</v>
      </c>
      <c r="M122" s="6"/>
      <c r="N122" s="6" t="str">
        <f aca="false">IFERROR(__xludf.dummyfunction("IFS(M122=""ShotAttack"",""%"",M122=""MeleeAttack"",""%"", M122=""Defense"",""%"",M122=""CraftSPeed"",""%"",M122=""LifeSteal"",""%"",M122=""MaxInventoryWeight"",""+"",M122=""MoveSpeed"",""%"",REGEXMATCH(M122,""ElementAddItemDrop_""),""%"",M122=""Logging"","&amp;"""+"",M122=""Mining"",""+"",M122=""Maxhp"",""%"",REGEXMATCH(M122,""TemperatureResist_""),""+"",REGEXMATCH(M122,""ElementResist_""),""%"",REGEXMATCH(M122,""TemperatureInvalid_""),""bool"",REGEXMATCH(M122,""BodyPartsWeakDamage""),""%"",REGEXMATCH(M122,""Ele"&amp;"mentBoost_""),""%"",AND(REGEXMATCH(F122,""GiveA""),REGEXMATCH(M122,""Element"")),""bool"")"),"#N/A")</f>
        <v>#N/A</v>
      </c>
      <c r="O122" s="6" t="n">
        <v>0</v>
      </c>
      <c r="P122" s="6"/>
      <c r="Q122" s="6"/>
      <c r="R122" s="6" t="str">
        <f aca="false">IFERROR(__xludf.dummyfunction("IFS(Q122=""ShotAttack"",""%"",Q122=""MeleeAttack"",""%"", Q122=""Defense"",""%"",Q122=""CraftSPeed"",""%"",Q122=""LifeSteal"",""%"",Q122=""MaxInventoryWeight"",""+"",Q122=""MoveSpeed"",""%"",REGEXMATCH(Q122,""ElementAddItemDrop_""),""%"",Q122=""Logging"","&amp;"""+"",Q122=""Mining"",""+"",Q122=""Maxhp"",""%"",REGEXMATCH(Q122,""TemperatureResist_""),""+"",REGEXMATCH(Q122,""ElementResist_""),""%"",REGEXMATCH(Q122,""TemperatureInvalid_""),""bool"",REGEXMATCH(Q122,""BodyPartsWeakDamage""),""%"",REGEXMATCH(Q122,""Ele"&amp;"mentBoost_""),""%"",AND(REGEXMATCH(J122,""GiveA""),REGEXMATCH(Q122,""Element"")),""bool"")"),"#N/A")</f>
        <v>#N/A</v>
      </c>
      <c r="S122" s="6" t="n">
        <v>0</v>
      </c>
      <c r="T122" s="6"/>
      <c r="U122" s="319" t="b">
        <f aca="false">FALSE()</f>
        <v>0</v>
      </c>
      <c r="V122" s="319" t="b">
        <f aca="false">FALSE()</f>
        <v>0</v>
      </c>
      <c r="W122" s="319" t="b">
        <f aca="false">FALSE()</f>
        <v>0</v>
      </c>
      <c r="X122" s="319" t="b">
        <f aca="false">FALSE()</f>
        <v>0</v>
      </c>
      <c r="Y122" s="319" t="b">
        <f aca="false">FALSE()</f>
        <v>0</v>
      </c>
      <c r="Z122" s="319" t="b">
        <f aca="false">FALSE()</f>
        <v>0</v>
      </c>
      <c r="AA122" s="319" t="b">
        <f aca="false">FALSE()</f>
        <v>0</v>
      </c>
      <c r="AB122" s="319" t="b">
        <f aca="false">FALSE()</f>
        <v>0</v>
      </c>
      <c r="AC122" s="319" t="b">
        <f aca="false">FALSE()</f>
        <v>0</v>
      </c>
      <c r="AD122" s="319" t="b">
        <f aca="false">FALSE()</f>
        <v>0</v>
      </c>
      <c r="AE122" s="319" t="b">
        <f aca="false">FALSE()</f>
        <v>0</v>
      </c>
      <c r="AF122" s="319" t="b">
        <f aca="false">FALSE()</f>
        <v>0</v>
      </c>
      <c r="AG122" s="6" t="s">
        <v>182</v>
      </c>
      <c r="AH122" s="6" t="s">
        <v>182</v>
      </c>
    </row>
    <row r="123" customFormat="false" ht="15.75" hidden="false" customHeight="false" outlineLevel="0" collapsed="false">
      <c r="A123" s="3" t="s">
        <v>1953</v>
      </c>
      <c r="B123" s="6" t="s">
        <v>2094</v>
      </c>
      <c r="C123" s="3"/>
      <c r="D123" s="6" t="str">
        <f aca="false">I123   &amp; IF(ISBLANK(M123),, ". "&amp; M123 &amp; IF(ISBLANK(Q123),, ". "&amp; Q123))</f>
        <v>Mute</v>
      </c>
      <c r="E123" s="6" t="str">
        <f aca="false">I123  &amp;": # on "&amp; L123  &amp; IF(ISBLANK(M123),, ". "&amp; M123 &amp;": # on "&amp; P123 &amp; IF(ISBLANK(Q123),, ". "&amp; Q123 &amp;": # on "&amp; T123))</f>
        <v>Mute: # on SelfAndTrainer</v>
      </c>
      <c r="F123" s="6" t="str">
        <f aca="false">IF(U123,"active pal",)  &amp; IF(V123,"working",) &amp; IF(W123,"mounted",) &amp; IF(Y123,"in party (buff)",)  &amp; IF(Z123,"always",)</f>
        <v/>
      </c>
      <c r="G123" s="6" t="n">
        <v>5</v>
      </c>
      <c r="H123" s="6" t="s">
        <v>182</v>
      </c>
      <c r="I123" s="6" t="s">
        <v>2090</v>
      </c>
      <c r="J123" s="6" t="str">
        <f aca="false">IFERROR(__xludf.dummyfunction("IFS(I123=""ShotAttack"",""%"",I123=""MeleeAttack"",""%"", I123=""Defense"",""%"",I123=""CraftSPeed"",""%"",I123=""LifeSteal"",""%"",I123=""MaxInventoryWeight"",""+"",I123=""MoveSpeed"",""%"",REGEXMATCH(I123,""ElementAddItemDrop_""),""%"",I123=""Logging"","&amp;"""+"",I123=""Mining"",""+"",I123=""Maxhp"",""%"",REGEXMATCH(I123,""TemperatureResist_""),""+"",REGEXMATCH(I123,""ElementResist_""),""%"",REGEXMATCH(I123,""TemperatureInvalid_""),""bool"",REGEXMATCH(I123,""BodyPartsWeakDamage""),""%"",REGEXMATCH(I123,""Ele"&amp;"mentBoost_""),""%"",AND(REGEXMATCH(B123,""GiveA""),REGEXMATCH(I123,""Element"")),""bool"")"),"#N/A")</f>
        <v>#N/A</v>
      </c>
      <c r="K123" s="6" t="n">
        <v>-90</v>
      </c>
      <c r="L123" s="6" t="s">
        <v>2085</v>
      </c>
      <c r="M123" s="6"/>
      <c r="N123" s="6" t="str">
        <f aca="false">IFERROR(__xludf.dummyfunction("IFS(M123=""ShotAttack"",""%"",M123=""MeleeAttack"",""%"", M123=""Defense"",""%"",M123=""CraftSPeed"",""%"",M123=""LifeSteal"",""%"",M123=""MaxInventoryWeight"",""+"",M123=""MoveSpeed"",""%"",REGEXMATCH(M123,""ElementAddItemDrop_""),""%"",M123=""Logging"","&amp;"""+"",M123=""Mining"",""+"",M123=""Maxhp"",""%"",REGEXMATCH(M123,""TemperatureResist_""),""+"",REGEXMATCH(M123,""ElementResist_""),""%"",REGEXMATCH(M123,""TemperatureInvalid_""),""bool"",REGEXMATCH(M123,""BodyPartsWeakDamage""),""%"",REGEXMATCH(M123,""Ele"&amp;"mentBoost_""),""%"",AND(REGEXMATCH(F123,""GiveA""),REGEXMATCH(M123,""Element"")),""bool"")"),"#N/A")</f>
        <v>#N/A</v>
      </c>
      <c r="O123" s="6" t="n">
        <v>0</v>
      </c>
      <c r="P123" s="6"/>
      <c r="Q123" s="6"/>
      <c r="R123" s="6" t="str">
        <f aca="false">IFERROR(__xludf.dummyfunction("IFS(Q123=""ShotAttack"",""%"",Q123=""MeleeAttack"",""%"", Q123=""Defense"",""%"",Q123=""CraftSPeed"",""%"",Q123=""LifeSteal"",""%"",Q123=""MaxInventoryWeight"",""+"",Q123=""MoveSpeed"",""%"",REGEXMATCH(Q123,""ElementAddItemDrop_""),""%"",Q123=""Logging"","&amp;"""+"",Q123=""Mining"",""+"",Q123=""Maxhp"",""%"",REGEXMATCH(Q123,""TemperatureResist_""),""+"",REGEXMATCH(Q123,""ElementResist_""),""%"",REGEXMATCH(Q123,""TemperatureInvalid_""),""bool"",REGEXMATCH(Q123,""BodyPartsWeakDamage""),""%"",REGEXMATCH(Q123,""Ele"&amp;"mentBoost_""),""%"",AND(REGEXMATCH(J123,""GiveA""),REGEXMATCH(Q123,""Element"")),""bool"")"),"#N/A")</f>
        <v>#N/A</v>
      </c>
      <c r="S123" s="6" t="n">
        <v>0</v>
      </c>
      <c r="T123" s="6"/>
      <c r="U123" s="319" t="b">
        <f aca="false">FALSE()</f>
        <v>0</v>
      </c>
      <c r="V123" s="319" t="b">
        <f aca="false">FALSE()</f>
        <v>0</v>
      </c>
      <c r="W123" s="319" t="b">
        <f aca="false">FALSE()</f>
        <v>0</v>
      </c>
      <c r="X123" s="319" t="b">
        <f aca="false">FALSE()</f>
        <v>0</v>
      </c>
      <c r="Y123" s="319" t="b">
        <f aca="false">FALSE()</f>
        <v>0</v>
      </c>
      <c r="Z123" s="319" t="b">
        <f aca="false">FALSE()</f>
        <v>0</v>
      </c>
      <c r="AA123" s="319" t="b">
        <f aca="false">FALSE()</f>
        <v>0</v>
      </c>
      <c r="AB123" s="319" t="b">
        <f aca="false">FALSE()</f>
        <v>0</v>
      </c>
      <c r="AC123" s="319" t="b">
        <f aca="false">FALSE()</f>
        <v>0</v>
      </c>
      <c r="AD123" s="319" t="b">
        <f aca="false">FALSE()</f>
        <v>0</v>
      </c>
      <c r="AE123" s="319" t="b">
        <f aca="false">FALSE()</f>
        <v>0</v>
      </c>
      <c r="AF123" s="319" t="b">
        <f aca="false">FALSE()</f>
        <v>0</v>
      </c>
      <c r="AG123" s="6" t="s">
        <v>182</v>
      </c>
      <c r="AH123" s="6" t="s">
        <v>182</v>
      </c>
    </row>
    <row r="124" customFormat="false" ht="15.75" hidden="false" customHeight="false" outlineLevel="0" collapsed="false">
      <c r="A124" s="1" t="e">
        <f aca="false">#N/A</f>
        <v>#N/A</v>
      </c>
      <c r="B124" s="6" t="s">
        <v>1024</v>
      </c>
      <c r="C124" s="3"/>
      <c r="D124" s="6" t="str">
        <f aca="false">I124   &amp; IF(ISBLANK(M124),, ". "&amp; M124 &amp; IF(ISBLANK(Q124),, ". "&amp; Q124))</f>
        <v>LifeSteal</v>
      </c>
      <c r="E124" s="6" t="str">
        <f aca="false">I124  &amp;": # on "&amp; L124  &amp; IF(ISBLANK(M124),, ". "&amp; M124 &amp;": # on "&amp; P124 &amp; IF(ISBLANK(Q124),, ". "&amp; Q124 &amp;": # on "&amp; T124))</f>
        <v>LifeSteal: # on SelfAndTrainer</v>
      </c>
      <c r="F124" s="6" t="str">
        <f aca="false">IF(U124,"active pal",)  &amp; IF(V124,"working",) &amp; IF(W124,"mounted",) &amp; IF(Y124,"in party (buff)",)  &amp; IF(Z124,"always",)</f>
        <v>active pal</v>
      </c>
      <c r="G124" s="6" t="n">
        <v>1</v>
      </c>
      <c r="H124" s="6" t="s">
        <v>182</v>
      </c>
      <c r="I124" s="6" t="s">
        <v>2095</v>
      </c>
      <c r="J124" s="6" t="str">
        <f aca="false">IFERROR(__xludf.dummyfunction("IFS(I124=""ShotAttack"",""%"",I124=""MeleeAttack"",""%"", I124=""Defense"",""%"",I124=""CraftSPeed"",""%"",I124=""LifeSteal"",""%"",I124=""MaxInventoryWeight"",""+"",I124=""MoveSpeed"",""%"",REGEXMATCH(I124,""ElementAddItemDrop_""),""%"",I124=""Logging"","&amp;"""+"",I124=""Mining"",""+"",I124=""Maxhp"",""%"",REGEXMATCH(I124,""TemperatureResist_""),""+"",REGEXMATCH(I124,""ElementResist_""),""%"",REGEXMATCH(I124,""TemperatureInvalid_""),""bool"",REGEXMATCH(I124,""BodyPartsWeakDamage""),""%"",REGEXMATCH(I124,""Ele"&amp;"mentBoost_""),""%"",AND(REGEXMATCH(B124,""GiveA""),REGEXMATCH(I124,""Element"")),""bool"")"),"%")</f>
        <v>%</v>
      </c>
      <c r="K124" s="6" t="n">
        <v>2</v>
      </c>
      <c r="L124" s="6" t="s">
        <v>2085</v>
      </c>
      <c r="M124" s="6"/>
      <c r="N124" s="6" t="str">
        <f aca="false">IFERROR(__xludf.dummyfunction("IFS(M124=""ShotAttack"",""%"",M124=""MeleeAttack"",""%"", M124=""Defense"",""%"",M124=""CraftSPeed"",""%"",M124=""LifeSteal"",""%"",M124=""MaxInventoryWeight"",""+"",M124=""MoveSpeed"",""%"",REGEXMATCH(M124,""ElementAddItemDrop_""),""%"",M124=""Logging"","&amp;"""+"",M124=""Mining"",""+"",M124=""Maxhp"",""%"",REGEXMATCH(M124,""TemperatureResist_""),""+"",REGEXMATCH(M124,""ElementResist_""),""%"",REGEXMATCH(M124,""TemperatureInvalid_""),""bool"",REGEXMATCH(M124,""BodyPartsWeakDamage""),""%"",REGEXMATCH(M124,""Ele"&amp;"mentBoost_""),""%"",AND(REGEXMATCH(F124,""GiveA""),REGEXMATCH(M124,""Element"")),""bool"")"),"#N/A")</f>
        <v>#N/A</v>
      </c>
      <c r="O124" s="6" t="n">
        <v>0</v>
      </c>
      <c r="P124" s="6"/>
      <c r="Q124" s="6"/>
      <c r="R124" s="6" t="str">
        <f aca="false">IFERROR(__xludf.dummyfunction("IFS(Q124=""ShotAttack"",""%"",Q124=""MeleeAttack"",""%"", Q124=""Defense"",""%"",Q124=""CraftSPeed"",""%"",Q124=""LifeSteal"",""%"",Q124=""MaxInventoryWeight"",""+"",Q124=""MoveSpeed"",""%"",REGEXMATCH(Q124,""ElementAddItemDrop_""),""%"",Q124=""Logging"","&amp;"""+"",Q124=""Mining"",""+"",Q124=""Maxhp"",""%"",REGEXMATCH(Q124,""TemperatureResist_""),""+"",REGEXMATCH(Q124,""ElementResist_""),""%"",REGEXMATCH(Q124,""TemperatureInvalid_""),""bool"",REGEXMATCH(Q124,""BodyPartsWeakDamage""),""%"",REGEXMATCH(Q124,""Ele"&amp;"mentBoost_""),""%"",AND(REGEXMATCH(J124,""GiveA""),REGEXMATCH(Q124,""Element"")),""bool"")"),"#N/A")</f>
        <v>#N/A</v>
      </c>
      <c r="S124" s="6" t="n">
        <v>0</v>
      </c>
      <c r="T124" s="6"/>
      <c r="U124" s="319" t="b">
        <f aca="false">TRUE()</f>
        <v>1</v>
      </c>
      <c r="V124" s="319" t="b">
        <f aca="false">FALSE()</f>
        <v>0</v>
      </c>
      <c r="W124" s="319" t="b">
        <f aca="false">FALSE()</f>
        <v>0</v>
      </c>
      <c r="X124" s="319" t="b">
        <f aca="false">FALSE()</f>
        <v>0</v>
      </c>
      <c r="Y124" s="319" t="b">
        <f aca="false">FALSE()</f>
        <v>0</v>
      </c>
      <c r="Z124" s="319" t="b">
        <f aca="false">FALSE()</f>
        <v>0</v>
      </c>
      <c r="AA124" s="319" t="b">
        <f aca="false">FALSE()</f>
        <v>0</v>
      </c>
      <c r="AB124" s="319" t="b">
        <f aca="false">FALSE()</f>
        <v>0</v>
      </c>
      <c r="AC124" s="319" t="b">
        <f aca="false">FALSE()</f>
        <v>0</v>
      </c>
      <c r="AD124" s="319" t="b">
        <f aca="false">FALSE()</f>
        <v>0</v>
      </c>
      <c r="AE124" s="319" t="b">
        <f aca="false">FALSE()</f>
        <v>0</v>
      </c>
      <c r="AF124" s="319" t="b">
        <f aca="false">FALSE()</f>
        <v>0</v>
      </c>
      <c r="AG124" s="6" t="s">
        <v>182</v>
      </c>
      <c r="AH124" s="6" t="s">
        <v>182</v>
      </c>
    </row>
    <row r="125" customFormat="false" ht="15.75" hidden="false" customHeight="false" outlineLevel="0" collapsed="false">
      <c r="A125" s="1" t="e">
        <f aca="false">#N/A</f>
        <v>#N/A</v>
      </c>
      <c r="B125" s="6" t="s">
        <v>1025</v>
      </c>
      <c r="C125" s="3"/>
      <c r="D125" s="6" t="str">
        <f aca="false">I125   &amp; IF(ISBLANK(M125),, ". "&amp; M125 &amp; IF(ISBLANK(Q125),, ". "&amp; Q125))</f>
        <v>LifeSteal</v>
      </c>
      <c r="E125" s="6" t="str">
        <f aca="false">I125  &amp;": # on "&amp; L125  &amp; IF(ISBLANK(M125),, ". "&amp; M125 &amp;": # on "&amp; P125 &amp; IF(ISBLANK(Q125),, ". "&amp; Q125 &amp;": # on "&amp; T125))</f>
        <v>LifeSteal: # on SelfAndTrainer</v>
      </c>
      <c r="F125" s="6" t="str">
        <f aca="false">IF(U125,"active pal",)  &amp; IF(V125,"working",) &amp; IF(W125,"mounted",) &amp; IF(Y125,"in party (buff)",)  &amp; IF(Z125,"always",)</f>
        <v>active pal</v>
      </c>
      <c r="G125" s="6" t="n">
        <v>2</v>
      </c>
      <c r="H125" s="6" t="s">
        <v>182</v>
      </c>
      <c r="I125" s="6" t="s">
        <v>2095</v>
      </c>
      <c r="J125" s="6" t="str">
        <f aca="false">IFERROR(__xludf.dummyfunction("IFS(I125=""ShotAttack"",""%"",I125=""MeleeAttack"",""%"", I125=""Defense"",""%"",I125=""CraftSPeed"",""%"",I125=""LifeSteal"",""%"",I125=""MaxInventoryWeight"",""+"",I125=""MoveSpeed"",""%"",REGEXMATCH(I125,""ElementAddItemDrop_""),""%"",I125=""Logging"","&amp;"""+"",I125=""Mining"",""+"",I125=""Maxhp"",""%"",REGEXMATCH(I125,""TemperatureResist_""),""+"",REGEXMATCH(I125,""ElementResist_""),""%"",REGEXMATCH(I125,""TemperatureInvalid_""),""bool"",REGEXMATCH(I125,""BodyPartsWeakDamage""),""%"",REGEXMATCH(I125,""Ele"&amp;"mentBoost_""),""%"",AND(REGEXMATCH(B125,""GiveA""),REGEXMATCH(I125,""Element"")),""bool"")"),"%")</f>
        <v>%</v>
      </c>
      <c r="K125" s="6" t="n">
        <v>3</v>
      </c>
      <c r="L125" s="6" t="s">
        <v>2085</v>
      </c>
      <c r="M125" s="6"/>
      <c r="N125" s="6" t="str">
        <f aca="false">IFERROR(__xludf.dummyfunction("IFS(M125=""ShotAttack"",""%"",M125=""MeleeAttack"",""%"", M125=""Defense"",""%"",M125=""CraftSPeed"",""%"",M125=""LifeSteal"",""%"",M125=""MaxInventoryWeight"",""+"",M125=""MoveSpeed"",""%"",REGEXMATCH(M125,""ElementAddItemDrop_""),""%"",M125=""Logging"","&amp;"""+"",M125=""Mining"",""+"",M125=""Maxhp"",""%"",REGEXMATCH(M125,""TemperatureResist_""),""+"",REGEXMATCH(M125,""ElementResist_""),""%"",REGEXMATCH(M125,""TemperatureInvalid_""),""bool"",REGEXMATCH(M125,""BodyPartsWeakDamage""),""%"",REGEXMATCH(M125,""Ele"&amp;"mentBoost_""),""%"",AND(REGEXMATCH(F125,""GiveA""),REGEXMATCH(M125,""Element"")),""bool"")"),"#N/A")</f>
        <v>#N/A</v>
      </c>
      <c r="O125" s="6" t="n">
        <v>0</v>
      </c>
      <c r="P125" s="6"/>
      <c r="Q125" s="6"/>
      <c r="R125" s="6" t="str">
        <f aca="false">IFERROR(__xludf.dummyfunction("IFS(Q125=""ShotAttack"",""%"",Q125=""MeleeAttack"",""%"", Q125=""Defense"",""%"",Q125=""CraftSPeed"",""%"",Q125=""LifeSteal"",""%"",Q125=""MaxInventoryWeight"",""+"",Q125=""MoveSpeed"",""%"",REGEXMATCH(Q125,""ElementAddItemDrop_""),""%"",Q125=""Logging"","&amp;"""+"",Q125=""Mining"",""+"",Q125=""Maxhp"",""%"",REGEXMATCH(Q125,""TemperatureResist_""),""+"",REGEXMATCH(Q125,""ElementResist_""),""%"",REGEXMATCH(Q125,""TemperatureInvalid_""),""bool"",REGEXMATCH(Q125,""BodyPartsWeakDamage""),""%"",REGEXMATCH(Q125,""Ele"&amp;"mentBoost_""),""%"",AND(REGEXMATCH(J125,""GiveA""),REGEXMATCH(Q125,""Element"")),""bool"")"),"#N/A")</f>
        <v>#N/A</v>
      </c>
      <c r="S125" s="6" t="n">
        <v>0</v>
      </c>
      <c r="T125" s="6"/>
      <c r="U125" s="319" t="b">
        <f aca="false">TRUE()</f>
        <v>1</v>
      </c>
      <c r="V125" s="319" t="b">
        <f aca="false">FALSE()</f>
        <v>0</v>
      </c>
      <c r="W125" s="319" t="b">
        <f aca="false">FALSE()</f>
        <v>0</v>
      </c>
      <c r="X125" s="319" t="b">
        <f aca="false">FALSE()</f>
        <v>0</v>
      </c>
      <c r="Y125" s="319" t="b">
        <f aca="false">FALSE()</f>
        <v>0</v>
      </c>
      <c r="Z125" s="319" t="b">
        <f aca="false">FALSE()</f>
        <v>0</v>
      </c>
      <c r="AA125" s="319" t="b">
        <f aca="false">FALSE()</f>
        <v>0</v>
      </c>
      <c r="AB125" s="319" t="b">
        <f aca="false">FALSE()</f>
        <v>0</v>
      </c>
      <c r="AC125" s="319" t="b">
        <f aca="false">FALSE()</f>
        <v>0</v>
      </c>
      <c r="AD125" s="319" t="b">
        <f aca="false">FALSE()</f>
        <v>0</v>
      </c>
      <c r="AE125" s="319" t="b">
        <f aca="false">FALSE()</f>
        <v>0</v>
      </c>
      <c r="AF125" s="319" t="b">
        <f aca="false">FALSE()</f>
        <v>0</v>
      </c>
      <c r="AG125" s="6" t="s">
        <v>182</v>
      </c>
      <c r="AH125" s="6" t="s">
        <v>182</v>
      </c>
    </row>
    <row r="126" customFormat="false" ht="15.75" hidden="false" customHeight="false" outlineLevel="0" collapsed="false">
      <c r="A126" s="1" t="e">
        <f aca="false">#N/A</f>
        <v>#N/A</v>
      </c>
      <c r="B126" s="6" t="s">
        <v>1026</v>
      </c>
      <c r="C126" s="3"/>
      <c r="D126" s="6" t="str">
        <f aca="false">I126   &amp; IF(ISBLANK(M126),, ". "&amp; M126 &amp; IF(ISBLANK(Q126),, ". "&amp; Q126))</f>
        <v>LifeSteal</v>
      </c>
      <c r="E126" s="6" t="str">
        <f aca="false">I126  &amp;": # on "&amp; L126  &amp; IF(ISBLANK(M126),, ". "&amp; M126 &amp;": # on "&amp; P126 &amp; IF(ISBLANK(Q126),, ". "&amp; Q126 &amp;": # on "&amp; T126))</f>
        <v>LifeSteal: # on SelfAndTrainer</v>
      </c>
      <c r="F126" s="6" t="str">
        <f aca="false">IF(U126,"active pal",)  &amp; IF(V126,"working",) &amp; IF(W126,"mounted",) &amp; IF(Y126,"in party (buff)",)  &amp; IF(Z126,"always",)</f>
        <v>active pal</v>
      </c>
      <c r="G126" s="6" t="n">
        <v>3</v>
      </c>
      <c r="H126" s="6" t="s">
        <v>182</v>
      </c>
      <c r="I126" s="6" t="s">
        <v>2095</v>
      </c>
      <c r="J126" s="6" t="str">
        <f aca="false">IFERROR(__xludf.dummyfunction("IFS(I126=""ShotAttack"",""%"",I126=""MeleeAttack"",""%"", I126=""Defense"",""%"",I126=""CraftSPeed"",""%"",I126=""LifeSteal"",""%"",I126=""MaxInventoryWeight"",""+"",I126=""MoveSpeed"",""%"",REGEXMATCH(I126,""ElementAddItemDrop_""),""%"",I126=""Logging"","&amp;"""+"",I126=""Mining"",""+"",I126=""Maxhp"",""%"",REGEXMATCH(I126,""TemperatureResist_""),""+"",REGEXMATCH(I126,""ElementResist_""),""%"",REGEXMATCH(I126,""TemperatureInvalid_""),""bool"",REGEXMATCH(I126,""BodyPartsWeakDamage""),""%"",REGEXMATCH(I126,""Ele"&amp;"mentBoost_""),""%"",AND(REGEXMATCH(B126,""GiveA""),REGEXMATCH(I126,""Element"")),""bool"")"),"%")</f>
        <v>%</v>
      </c>
      <c r="K126" s="6" t="n">
        <v>4</v>
      </c>
      <c r="L126" s="6" t="s">
        <v>2085</v>
      </c>
      <c r="M126" s="6"/>
      <c r="N126" s="6" t="str">
        <f aca="false">IFERROR(__xludf.dummyfunction("IFS(M126=""ShotAttack"",""%"",M126=""MeleeAttack"",""%"", M126=""Defense"",""%"",M126=""CraftSPeed"",""%"",M126=""LifeSteal"",""%"",M126=""MaxInventoryWeight"",""+"",M126=""MoveSpeed"",""%"",REGEXMATCH(M126,""ElementAddItemDrop_""),""%"",M126=""Logging"","&amp;"""+"",M126=""Mining"",""+"",M126=""Maxhp"",""%"",REGEXMATCH(M126,""TemperatureResist_""),""+"",REGEXMATCH(M126,""ElementResist_""),""%"",REGEXMATCH(M126,""TemperatureInvalid_""),""bool"",REGEXMATCH(M126,""BodyPartsWeakDamage""),""%"",REGEXMATCH(M126,""Ele"&amp;"mentBoost_""),""%"",AND(REGEXMATCH(F126,""GiveA""),REGEXMATCH(M126,""Element"")),""bool"")"),"#N/A")</f>
        <v>#N/A</v>
      </c>
      <c r="O126" s="6" t="n">
        <v>0</v>
      </c>
      <c r="P126" s="6"/>
      <c r="Q126" s="6"/>
      <c r="R126" s="6" t="str">
        <f aca="false">IFERROR(__xludf.dummyfunction("IFS(Q126=""ShotAttack"",""%"",Q126=""MeleeAttack"",""%"", Q126=""Defense"",""%"",Q126=""CraftSPeed"",""%"",Q126=""LifeSteal"",""%"",Q126=""MaxInventoryWeight"",""+"",Q126=""MoveSpeed"",""%"",REGEXMATCH(Q126,""ElementAddItemDrop_""),""%"",Q126=""Logging"","&amp;"""+"",Q126=""Mining"",""+"",Q126=""Maxhp"",""%"",REGEXMATCH(Q126,""TemperatureResist_""),""+"",REGEXMATCH(Q126,""ElementResist_""),""%"",REGEXMATCH(Q126,""TemperatureInvalid_""),""bool"",REGEXMATCH(Q126,""BodyPartsWeakDamage""),""%"",REGEXMATCH(Q126,""Ele"&amp;"mentBoost_""),""%"",AND(REGEXMATCH(J126,""GiveA""),REGEXMATCH(Q126,""Element"")),""bool"")"),"#N/A")</f>
        <v>#N/A</v>
      </c>
      <c r="S126" s="6" t="n">
        <v>0</v>
      </c>
      <c r="T126" s="6"/>
      <c r="U126" s="319" t="b">
        <f aca="false">TRUE()</f>
        <v>1</v>
      </c>
      <c r="V126" s="319" t="b">
        <f aca="false">FALSE()</f>
        <v>0</v>
      </c>
      <c r="W126" s="319" t="b">
        <f aca="false">FALSE()</f>
        <v>0</v>
      </c>
      <c r="X126" s="319" t="b">
        <f aca="false">FALSE()</f>
        <v>0</v>
      </c>
      <c r="Y126" s="319" t="b">
        <f aca="false">FALSE()</f>
        <v>0</v>
      </c>
      <c r="Z126" s="319" t="b">
        <f aca="false">FALSE()</f>
        <v>0</v>
      </c>
      <c r="AA126" s="319" t="b">
        <f aca="false">FALSE()</f>
        <v>0</v>
      </c>
      <c r="AB126" s="319" t="b">
        <f aca="false">FALSE()</f>
        <v>0</v>
      </c>
      <c r="AC126" s="319" t="b">
        <f aca="false">FALSE()</f>
        <v>0</v>
      </c>
      <c r="AD126" s="319" t="b">
        <f aca="false">FALSE()</f>
        <v>0</v>
      </c>
      <c r="AE126" s="319" t="b">
        <f aca="false">FALSE()</f>
        <v>0</v>
      </c>
      <c r="AF126" s="319" t="b">
        <f aca="false">FALSE()</f>
        <v>0</v>
      </c>
      <c r="AG126" s="6" t="s">
        <v>182</v>
      </c>
      <c r="AH126" s="6" t="s">
        <v>182</v>
      </c>
    </row>
    <row r="127" customFormat="false" ht="15.75" hidden="false" customHeight="false" outlineLevel="0" collapsed="false">
      <c r="A127" s="1" t="e">
        <f aca="false">#N/A</f>
        <v>#N/A</v>
      </c>
      <c r="B127" s="6" t="s">
        <v>1027</v>
      </c>
      <c r="C127" s="3"/>
      <c r="D127" s="6" t="str">
        <f aca="false">I127   &amp; IF(ISBLANK(M127),, ". "&amp; M127 &amp; IF(ISBLANK(Q127),, ". "&amp; Q127))</f>
        <v>LifeSteal</v>
      </c>
      <c r="E127" s="6" t="str">
        <f aca="false">I127  &amp;": # on "&amp; L127  &amp; IF(ISBLANK(M127),, ". "&amp; M127 &amp;": # on "&amp; P127 &amp; IF(ISBLANK(Q127),, ". "&amp; Q127 &amp;": # on "&amp; T127))</f>
        <v>LifeSteal: # on SelfAndTrainer</v>
      </c>
      <c r="F127" s="6" t="str">
        <f aca="false">IF(U127,"active pal",)  &amp; IF(V127,"working",) &amp; IF(W127,"mounted",) &amp; IF(Y127,"in party (buff)",)  &amp; IF(Z127,"always",)</f>
        <v>active pal</v>
      </c>
      <c r="G127" s="6" t="n">
        <v>4</v>
      </c>
      <c r="H127" s="6" t="s">
        <v>182</v>
      </c>
      <c r="I127" s="6" t="s">
        <v>2095</v>
      </c>
      <c r="J127" s="6" t="str">
        <f aca="false">IFERROR(__xludf.dummyfunction("IFS(I127=""ShotAttack"",""%"",I127=""MeleeAttack"",""%"", I127=""Defense"",""%"",I127=""CraftSPeed"",""%"",I127=""LifeSteal"",""%"",I127=""MaxInventoryWeight"",""+"",I127=""MoveSpeed"",""%"",REGEXMATCH(I127,""ElementAddItemDrop_""),""%"",I127=""Logging"","&amp;"""+"",I127=""Mining"",""+"",I127=""Maxhp"",""%"",REGEXMATCH(I127,""TemperatureResist_""),""+"",REGEXMATCH(I127,""ElementResist_""),""%"",REGEXMATCH(I127,""TemperatureInvalid_""),""bool"",REGEXMATCH(I127,""BodyPartsWeakDamage""),""%"",REGEXMATCH(I127,""Ele"&amp;"mentBoost_""),""%"",AND(REGEXMATCH(B127,""GiveA""),REGEXMATCH(I127,""Element"")),""bool"")"),"%")</f>
        <v>%</v>
      </c>
      <c r="K127" s="6" t="n">
        <v>5</v>
      </c>
      <c r="L127" s="6" t="s">
        <v>2085</v>
      </c>
      <c r="M127" s="6"/>
      <c r="N127" s="6" t="str">
        <f aca="false">IFERROR(__xludf.dummyfunction("IFS(M127=""ShotAttack"",""%"",M127=""MeleeAttack"",""%"", M127=""Defense"",""%"",M127=""CraftSPeed"",""%"",M127=""LifeSteal"",""%"",M127=""MaxInventoryWeight"",""+"",M127=""MoveSpeed"",""%"",REGEXMATCH(M127,""ElementAddItemDrop_""),""%"",M127=""Logging"","&amp;"""+"",M127=""Mining"",""+"",M127=""Maxhp"",""%"",REGEXMATCH(M127,""TemperatureResist_""),""+"",REGEXMATCH(M127,""ElementResist_""),""%"",REGEXMATCH(M127,""TemperatureInvalid_""),""bool"",REGEXMATCH(M127,""BodyPartsWeakDamage""),""%"",REGEXMATCH(M127,""Ele"&amp;"mentBoost_""),""%"",AND(REGEXMATCH(F127,""GiveA""),REGEXMATCH(M127,""Element"")),""bool"")"),"#N/A")</f>
        <v>#N/A</v>
      </c>
      <c r="O127" s="6" t="n">
        <v>0</v>
      </c>
      <c r="P127" s="6"/>
      <c r="Q127" s="6"/>
      <c r="R127" s="6" t="str">
        <f aca="false">IFERROR(__xludf.dummyfunction("IFS(Q127=""ShotAttack"",""%"",Q127=""MeleeAttack"",""%"", Q127=""Defense"",""%"",Q127=""CraftSPeed"",""%"",Q127=""LifeSteal"",""%"",Q127=""MaxInventoryWeight"",""+"",Q127=""MoveSpeed"",""%"",REGEXMATCH(Q127,""ElementAddItemDrop_""),""%"",Q127=""Logging"","&amp;"""+"",Q127=""Mining"",""+"",Q127=""Maxhp"",""%"",REGEXMATCH(Q127,""TemperatureResist_""),""+"",REGEXMATCH(Q127,""ElementResist_""),""%"",REGEXMATCH(Q127,""TemperatureInvalid_""),""bool"",REGEXMATCH(Q127,""BodyPartsWeakDamage""),""%"",REGEXMATCH(Q127,""Ele"&amp;"mentBoost_""),""%"",AND(REGEXMATCH(J127,""GiveA""),REGEXMATCH(Q127,""Element"")),""bool"")"),"#N/A")</f>
        <v>#N/A</v>
      </c>
      <c r="S127" s="6" t="n">
        <v>0</v>
      </c>
      <c r="T127" s="6"/>
      <c r="U127" s="319" t="b">
        <f aca="false">TRUE()</f>
        <v>1</v>
      </c>
      <c r="V127" s="319" t="b">
        <f aca="false">FALSE()</f>
        <v>0</v>
      </c>
      <c r="W127" s="319" t="b">
        <f aca="false">FALSE()</f>
        <v>0</v>
      </c>
      <c r="X127" s="319" t="b">
        <f aca="false">FALSE()</f>
        <v>0</v>
      </c>
      <c r="Y127" s="319" t="b">
        <f aca="false">FALSE()</f>
        <v>0</v>
      </c>
      <c r="Z127" s="319" t="b">
        <f aca="false">FALSE()</f>
        <v>0</v>
      </c>
      <c r="AA127" s="319" t="b">
        <f aca="false">FALSE()</f>
        <v>0</v>
      </c>
      <c r="AB127" s="319" t="b">
        <f aca="false">FALSE()</f>
        <v>0</v>
      </c>
      <c r="AC127" s="319" t="b">
        <f aca="false">FALSE()</f>
        <v>0</v>
      </c>
      <c r="AD127" s="319" t="b">
        <f aca="false">FALSE()</f>
        <v>0</v>
      </c>
      <c r="AE127" s="319" t="b">
        <f aca="false">FALSE()</f>
        <v>0</v>
      </c>
      <c r="AF127" s="319" t="b">
        <f aca="false">FALSE()</f>
        <v>0</v>
      </c>
      <c r="AG127" s="6" t="s">
        <v>182</v>
      </c>
      <c r="AH127" s="6" t="s">
        <v>182</v>
      </c>
    </row>
    <row r="128" customFormat="false" ht="15.75" hidden="false" customHeight="false" outlineLevel="0" collapsed="false">
      <c r="A128" s="1" t="e">
        <f aca="false">#N/A</f>
        <v>#N/A</v>
      </c>
      <c r="B128" s="6" t="s">
        <v>1028</v>
      </c>
      <c r="C128" s="3"/>
      <c r="D128" s="6" t="str">
        <f aca="false">I128   &amp; IF(ISBLANK(M128),, ". "&amp; M128 &amp; IF(ISBLANK(Q128),, ". "&amp; Q128))</f>
        <v>LifeSteal</v>
      </c>
      <c r="E128" s="6" t="str">
        <f aca="false">I128  &amp;": # on "&amp; L128  &amp; IF(ISBLANK(M128),, ". "&amp; M128 &amp;": # on "&amp; P128 &amp; IF(ISBLANK(Q128),, ". "&amp; Q128 &amp;": # on "&amp; T128))</f>
        <v>LifeSteal: # on SelfAndTrainer</v>
      </c>
      <c r="F128" s="6" t="str">
        <f aca="false">IF(U128,"active pal",)  &amp; IF(V128,"working",) &amp; IF(W128,"mounted",) &amp; IF(Y128,"in party (buff)",)  &amp; IF(Z128,"always",)</f>
        <v>active pal</v>
      </c>
      <c r="G128" s="6" t="n">
        <v>5</v>
      </c>
      <c r="H128" s="6" t="s">
        <v>182</v>
      </c>
      <c r="I128" s="6" t="s">
        <v>2095</v>
      </c>
      <c r="J128" s="6" t="str">
        <f aca="false">IFERROR(__xludf.dummyfunction("IFS(I128=""ShotAttack"",""%"",I128=""MeleeAttack"",""%"", I128=""Defense"",""%"",I128=""CraftSPeed"",""%"",I128=""LifeSteal"",""%"",I128=""MaxInventoryWeight"",""+"",I128=""MoveSpeed"",""%"",REGEXMATCH(I128,""ElementAddItemDrop_""),""%"",I128=""Logging"","&amp;"""+"",I128=""Mining"",""+"",I128=""Maxhp"",""%"",REGEXMATCH(I128,""TemperatureResist_""),""+"",REGEXMATCH(I128,""ElementResist_""),""%"",REGEXMATCH(I128,""TemperatureInvalid_""),""bool"",REGEXMATCH(I128,""BodyPartsWeakDamage""),""%"",REGEXMATCH(I128,""Ele"&amp;"mentBoost_""),""%"",AND(REGEXMATCH(B128,""GiveA""),REGEXMATCH(I128,""Element"")),""bool"")"),"%")</f>
        <v>%</v>
      </c>
      <c r="K128" s="6" t="n">
        <v>6</v>
      </c>
      <c r="L128" s="6" t="s">
        <v>2085</v>
      </c>
      <c r="M128" s="6"/>
      <c r="N128" s="6" t="str">
        <f aca="false">IFERROR(__xludf.dummyfunction("IFS(M128=""ShotAttack"",""%"",M128=""MeleeAttack"",""%"", M128=""Defense"",""%"",M128=""CraftSPeed"",""%"",M128=""LifeSteal"",""%"",M128=""MaxInventoryWeight"",""+"",M128=""MoveSpeed"",""%"",REGEXMATCH(M128,""ElementAddItemDrop_""),""%"",M128=""Logging"","&amp;"""+"",M128=""Mining"",""+"",M128=""Maxhp"",""%"",REGEXMATCH(M128,""TemperatureResist_""),""+"",REGEXMATCH(M128,""ElementResist_""),""%"",REGEXMATCH(M128,""TemperatureInvalid_""),""bool"",REGEXMATCH(M128,""BodyPartsWeakDamage""),""%"",REGEXMATCH(M128,""Ele"&amp;"mentBoost_""),""%"",AND(REGEXMATCH(F128,""GiveA""),REGEXMATCH(M128,""Element"")),""bool"")"),"#N/A")</f>
        <v>#N/A</v>
      </c>
      <c r="O128" s="6" t="n">
        <v>0</v>
      </c>
      <c r="P128" s="6"/>
      <c r="Q128" s="6"/>
      <c r="R128" s="6" t="str">
        <f aca="false">IFERROR(__xludf.dummyfunction("IFS(Q128=""ShotAttack"",""%"",Q128=""MeleeAttack"",""%"", Q128=""Defense"",""%"",Q128=""CraftSPeed"",""%"",Q128=""LifeSteal"",""%"",Q128=""MaxInventoryWeight"",""+"",Q128=""MoveSpeed"",""%"",REGEXMATCH(Q128,""ElementAddItemDrop_""),""%"",Q128=""Logging"","&amp;"""+"",Q128=""Mining"",""+"",Q128=""Maxhp"",""%"",REGEXMATCH(Q128,""TemperatureResist_""),""+"",REGEXMATCH(Q128,""ElementResist_""),""%"",REGEXMATCH(Q128,""TemperatureInvalid_""),""bool"",REGEXMATCH(Q128,""BodyPartsWeakDamage""),""%"",REGEXMATCH(Q128,""Ele"&amp;"mentBoost_""),""%"",AND(REGEXMATCH(J128,""GiveA""),REGEXMATCH(Q128,""Element"")),""bool"")"),"#N/A")</f>
        <v>#N/A</v>
      </c>
      <c r="S128" s="6" t="n">
        <v>0</v>
      </c>
      <c r="T128" s="6"/>
      <c r="U128" s="319" t="b">
        <f aca="false">TRUE()</f>
        <v>1</v>
      </c>
      <c r="V128" s="319" t="b">
        <f aca="false">FALSE()</f>
        <v>0</v>
      </c>
      <c r="W128" s="319" t="b">
        <f aca="false">FALSE()</f>
        <v>0</v>
      </c>
      <c r="X128" s="319" t="b">
        <f aca="false">FALSE()</f>
        <v>0</v>
      </c>
      <c r="Y128" s="319" t="b">
        <f aca="false">FALSE()</f>
        <v>0</v>
      </c>
      <c r="Z128" s="319" t="b">
        <f aca="false">FALSE()</f>
        <v>0</v>
      </c>
      <c r="AA128" s="319" t="b">
        <f aca="false">FALSE()</f>
        <v>0</v>
      </c>
      <c r="AB128" s="319" t="b">
        <f aca="false">FALSE()</f>
        <v>0</v>
      </c>
      <c r="AC128" s="319" t="b">
        <f aca="false">FALSE()</f>
        <v>0</v>
      </c>
      <c r="AD128" s="319" t="b">
        <f aca="false">FALSE()</f>
        <v>0</v>
      </c>
      <c r="AE128" s="319" t="b">
        <f aca="false">FALSE()</f>
        <v>0</v>
      </c>
      <c r="AF128" s="319" t="b">
        <f aca="false">FALSE()</f>
        <v>0</v>
      </c>
      <c r="AG128" s="6" t="s">
        <v>182</v>
      </c>
      <c r="AH128" s="6" t="s">
        <v>182</v>
      </c>
    </row>
    <row r="129" customFormat="false" ht="15.75" hidden="false" customHeight="false" outlineLevel="0" collapsed="false">
      <c r="A129" s="3" t="s">
        <v>1953</v>
      </c>
      <c r="B129" s="6" t="s">
        <v>2096</v>
      </c>
      <c r="C129" s="3"/>
      <c r="D129" s="6" t="str">
        <f aca="false">I129   &amp; IF(ISBLANK(M129),, ". "&amp; M129 &amp; IF(ISBLANK(Q129),, ". "&amp; Q129))</f>
        <v>CraftSpeed</v>
      </c>
      <c r="E129" s="6" t="str">
        <f aca="false">I129  &amp;": # on "&amp; L129  &amp; IF(ISBLANK(M129),, ". "&amp; M129 &amp;": # on "&amp; P129 &amp; IF(ISBLANK(Q129),, ". "&amp; Q129 &amp;": # on "&amp; T129))</f>
        <v>CraftSpeed: # on Self</v>
      </c>
      <c r="F129" s="6" t="str">
        <f aca="false">IF(U129,"active pal",)  &amp; IF(V129,"working",) &amp; IF(W129,"mounted",) &amp; IF(Y129,"in party (buff)",)  &amp; IF(Z129,"always",)</f>
        <v/>
      </c>
      <c r="G129" s="6" t="n">
        <v>9</v>
      </c>
      <c r="H129" s="6" t="s">
        <v>182</v>
      </c>
      <c r="I129" s="6" t="s">
        <v>661</v>
      </c>
      <c r="J129" s="6" t="str">
        <f aca="false">IFERROR(__xludf.dummyfunction("IFS(I129=""ShotAttack"",""%"",I129=""MeleeAttack"",""%"", I129=""Defense"",""%"",I129=""CraftSPeed"",""%"",I129=""LifeSteal"",""%"",I129=""MaxInventoryWeight"",""+"",I129=""MoveSpeed"",""%"",REGEXMATCH(I129,""ElementAddItemDrop_""),""%"",I129=""Logging"","&amp;"""+"",I129=""Mining"",""+"",I129=""Maxhp"",""%"",REGEXMATCH(I129,""TemperatureResist_""),""+"",REGEXMATCH(I129,""ElementResist_""),""%"",REGEXMATCH(I129,""TemperatureInvalid_""),""bool"",REGEXMATCH(I129,""BodyPartsWeakDamage""),""%"",REGEXMATCH(I129,""Ele"&amp;"mentBoost_""),""%"",AND(REGEXMATCH(B129,""GiveA""),REGEXMATCH(I129,""Element"")),""bool"")"),"%")</f>
        <v>%</v>
      </c>
      <c r="K129" s="6" t="n">
        <v>200</v>
      </c>
      <c r="L129" s="6" t="s">
        <v>1956</v>
      </c>
      <c r="M129" s="6"/>
      <c r="N129" s="6" t="str">
        <f aca="false">IFERROR(__xludf.dummyfunction("IFS(M129=""ShotAttack"",""%"",M129=""MeleeAttack"",""%"", M129=""Defense"",""%"",M129=""CraftSPeed"",""%"",M129=""LifeSteal"",""%"",M129=""MaxInventoryWeight"",""+"",M129=""MoveSpeed"",""%"",REGEXMATCH(M129,""ElementAddItemDrop_""),""%"",M129=""Logging"","&amp;"""+"",M129=""Mining"",""+"",M129=""Maxhp"",""%"",REGEXMATCH(M129,""TemperatureResist_""),""+"",REGEXMATCH(M129,""ElementResist_""),""%"",REGEXMATCH(M129,""TemperatureInvalid_""),""bool"",REGEXMATCH(M129,""BodyPartsWeakDamage""),""%"",REGEXMATCH(M129,""Ele"&amp;"mentBoost_""),""%"",AND(REGEXMATCH(F129,""GiveA""),REGEXMATCH(M129,""Element"")),""bool"")"),"#N/A")</f>
        <v>#N/A</v>
      </c>
      <c r="O129" s="6" t="n">
        <v>0</v>
      </c>
      <c r="P129" s="6"/>
      <c r="Q129" s="6"/>
      <c r="R129" s="6" t="str">
        <f aca="false">IFERROR(__xludf.dummyfunction("IFS(Q129=""ShotAttack"",""%"",Q129=""MeleeAttack"",""%"", Q129=""Defense"",""%"",Q129=""CraftSPeed"",""%"",Q129=""LifeSteal"",""%"",Q129=""MaxInventoryWeight"",""+"",Q129=""MoveSpeed"",""%"",REGEXMATCH(Q129,""ElementAddItemDrop_""),""%"",Q129=""Logging"","&amp;"""+"",Q129=""Mining"",""+"",Q129=""Maxhp"",""%"",REGEXMATCH(Q129,""TemperatureResist_""),""+"",REGEXMATCH(Q129,""ElementResist_""),""%"",REGEXMATCH(Q129,""TemperatureInvalid_""),""bool"",REGEXMATCH(Q129,""BodyPartsWeakDamage""),""%"",REGEXMATCH(Q129,""Ele"&amp;"mentBoost_""),""%"",AND(REGEXMATCH(J129,""GiveA""),REGEXMATCH(Q129,""Element"")),""bool"")"),"#N/A")</f>
        <v>#N/A</v>
      </c>
      <c r="S129" s="6" t="n">
        <v>0</v>
      </c>
      <c r="T129" s="6"/>
      <c r="U129" s="319" t="b">
        <f aca="false">FALSE()</f>
        <v>0</v>
      </c>
      <c r="V129" s="319" t="b">
        <f aca="false">FALSE()</f>
        <v>0</v>
      </c>
      <c r="W129" s="319" t="b">
        <f aca="false">FALSE()</f>
        <v>0</v>
      </c>
      <c r="X129" s="319" t="b">
        <f aca="false">FALSE()</f>
        <v>0</v>
      </c>
      <c r="Y129" s="319" t="b">
        <f aca="false">FALSE()</f>
        <v>0</v>
      </c>
      <c r="Z129" s="319" t="b">
        <f aca="false">FALSE()</f>
        <v>0</v>
      </c>
      <c r="AA129" s="319" t="b">
        <f aca="false">FALSE()</f>
        <v>0</v>
      </c>
      <c r="AB129" s="319" t="b">
        <f aca="false">FALSE()</f>
        <v>0</v>
      </c>
      <c r="AC129" s="319" t="b">
        <f aca="false">FALSE()</f>
        <v>0</v>
      </c>
      <c r="AD129" s="319" t="b">
        <f aca="false">FALSE()</f>
        <v>0</v>
      </c>
      <c r="AE129" s="319" t="b">
        <f aca="false">FALSE()</f>
        <v>0</v>
      </c>
      <c r="AF129" s="319" t="b">
        <f aca="false">FALSE()</f>
        <v>0</v>
      </c>
      <c r="AG129" s="6" t="s">
        <v>182</v>
      </c>
      <c r="AH129" s="6" t="s">
        <v>182</v>
      </c>
    </row>
    <row r="130" customFormat="false" ht="15.75" hidden="false" customHeight="false" outlineLevel="0" collapsed="false">
      <c r="A130" s="3" t="s">
        <v>1953</v>
      </c>
      <c r="B130" s="6" t="s">
        <v>2097</v>
      </c>
      <c r="C130" s="3"/>
      <c r="D130" s="6" t="str">
        <f aca="false">I130   &amp; IF(ISBLANK(M130),, ". "&amp; M130 &amp; IF(ISBLANK(Q130),, ". "&amp; Q130))</f>
        <v>CraftSpeed</v>
      </c>
      <c r="E130" s="6" t="str">
        <f aca="false">I130  &amp;": # on "&amp; L130  &amp; IF(ISBLANK(M130),, ". "&amp; M130 &amp;": # on "&amp; P130 &amp; IF(ISBLANK(Q130),, ". "&amp; Q130 &amp;": # on "&amp; T130))</f>
        <v>CraftSpeed: # on Self</v>
      </c>
      <c r="F130" s="6" t="str">
        <f aca="false">IF(U130,"active pal",)  &amp; IF(V130,"working",) &amp; IF(W130,"mounted",) &amp; IF(Y130,"in party (buff)",)  &amp; IF(Z130,"always",)</f>
        <v/>
      </c>
      <c r="G130" s="6" t="n">
        <v>9</v>
      </c>
      <c r="H130" s="6" t="s">
        <v>182</v>
      </c>
      <c r="I130" s="6" t="s">
        <v>661</v>
      </c>
      <c r="J130" s="6" t="str">
        <f aca="false">IFERROR(__xludf.dummyfunction("IFS(I130=""ShotAttack"",""%"",I130=""MeleeAttack"",""%"", I130=""Defense"",""%"",I130=""CraftSPeed"",""%"",I130=""LifeSteal"",""%"",I130=""MaxInventoryWeight"",""+"",I130=""MoveSpeed"",""%"",REGEXMATCH(I130,""ElementAddItemDrop_""),""%"",I130=""Logging"","&amp;"""+"",I130=""Mining"",""+"",I130=""Maxhp"",""%"",REGEXMATCH(I130,""TemperatureResist_""),""+"",REGEXMATCH(I130,""ElementResist_""),""%"",REGEXMATCH(I130,""TemperatureInvalid_""),""bool"",REGEXMATCH(I130,""BodyPartsWeakDamage""),""%"",REGEXMATCH(I130,""Ele"&amp;"mentBoost_""),""%"",AND(REGEXMATCH(B130,""GiveA""),REGEXMATCH(I130,""Element"")),""bool"")"),"%")</f>
        <v>%</v>
      </c>
      <c r="K130" s="6" t="n">
        <v>400</v>
      </c>
      <c r="L130" s="6" t="s">
        <v>1956</v>
      </c>
      <c r="M130" s="6"/>
      <c r="N130" s="6" t="str">
        <f aca="false">IFERROR(__xludf.dummyfunction("IFS(M130=""ShotAttack"",""%"",M130=""MeleeAttack"",""%"", M130=""Defense"",""%"",M130=""CraftSPeed"",""%"",M130=""LifeSteal"",""%"",M130=""MaxInventoryWeight"",""+"",M130=""MoveSpeed"",""%"",REGEXMATCH(M130,""ElementAddItemDrop_""),""%"",M130=""Logging"","&amp;"""+"",M130=""Mining"",""+"",M130=""Maxhp"",""%"",REGEXMATCH(M130,""TemperatureResist_""),""+"",REGEXMATCH(M130,""ElementResist_""),""%"",REGEXMATCH(M130,""TemperatureInvalid_""),""bool"",REGEXMATCH(M130,""BodyPartsWeakDamage""),""%"",REGEXMATCH(M130,""Ele"&amp;"mentBoost_""),""%"",AND(REGEXMATCH(F130,""GiveA""),REGEXMATCH(M130,""Element"")),""bool"")"),"#N/A")</f>
        <v>#N/A</v>
      </c>
      <c r="O130" s="6" t="n">
        <v>0</v>
      </c>
      <c r="P130" s="6"/>
      <c r="Q130" s="6"/>
      <c r="R130" s="6" t="str">
        <f aca="false">IFERROR(__xludf.dummyfunction("IFS(Q130=""ShotAttack"",""%"",Q130=""MeleeAttack"",""%"", Q130=""Defense"",""%"",Q130=""CraftSPeed"",""%"",Q130=""LifeSteal"",""%"",Q130=""MaxInventoryWeight"",""+"",Q130=""MoveSpeed"",""%"",REGEXMATCH(Q130,""ElementAddItemDrop_""),""%"",Q130=""Logging"","&amp;"""+"",Q130=""Mining"",""+"",Q130=""Maxhp"",""%"",REGEXMATCH(Q130,""TemperatureResist_""),""+"",REGEXMATCH(Q130,""ElementResist_""),""%"",REGEXMATCH(Q130,""TemperatureInvalid_""),""bool"",REGEXMATCH(Q130,""BodyPartsWeakDamage""),""%"",REGEXMATCH(Q130,""Ele"&amp;"mentBoost_""),""%"",AND(REGEXMATCH(J130,""GiveA""),REGEXMATCH(Q130,""Element"")),""bool"")"),"#N/A")</f>
        <v>#N/A</v>
      </c>
      <c r="S130" s="6" t="n">
        <v>0</v>
      </c>
      <c r="T130" s="6"/>
      <c r="U130" s="319" t="b">
        <f aca="false">FALSE()</f>
        <v>0</v>
      </c>
      <c r="V130" s="319" t="b">
        <f aca="false">FALSE()</f>
        <v>0</v>
      </c>
      <c r="W130" s="319" t="b">
        <f aca="false">FALSE()</f>
        <v>0</v>
      </c>
      <c r="X130" s="319" t="b">
        <f aca="false">FALSE()</f>
        <v>0</v>
      </c>
      <c r="Y130" s="319" t="b">
        <f aca="false">FALSE()</f>
        <v>0</v>
      </c>
      <c r="Z130" s="319" t="b">
        <f aca="false">FALSE()</f>
        <v>0</v>
      </c>
      <c r="AA130" s="319" t="b">
        <f aca="false">FALSE()</f>
        <v>0</v>
      </c>
      <c r="AB130" s="319" t="b">
        <f aca="false">FALSE()</f>
        <v>0</v>
      </c>
      <c r="AC130" s="319" t="b">
        <f aca="false">FALSE()</f>
        <v>0</v>
      </c>
      <c r="AD130" s="319" t="b">
        <f aca="false">FALSE()</f>
        <v>0</v>
      </c>
      <c r="AE130" s="319" t="b">
        <f aca="false">FALSE()</f>
        <v>0</v>
      </c>
      <c r="AF130" s="319" t="b">
        <f aca="false">FALSE()</f>
        <v>0</v>
      </c>
      <c r="AG130" s="6" t="s">
        <v>182</v>
      </c>
      <c r="AH130" s="6" t="s">
        <v>182</v>
      </c>
    </row>
    <row r="131" customFormat="false" ht="15.75" hidden="false" customHeight="false" outlineLevel="0" collapsed="false">
      <c r="A131" s="3" t="s">
        <v>2098</v>
      </c>
      <c r="B131" s="6" t="s">
        <v>2099</v>
      </c>
      <c r="C131" s="3"/>
      <c r="D131" s="6" t="str">
        <f aca="false">I131   &amp; IF(ISBLANK(M131),, ". "&amp; M131 &amp; IF(ISBLANK(Q131),, ". "&amp; Q131))</f>
        <v>TemperatureResist_Heat</v>
      </c>
      <c r="E131" s="6" t="str">
        <f aca="false">I131  &amp;": # on "&amp; L131  &amp; IF(ISBLANK(M131),, ". "&amp; M131 &amp;": # on "&amp; P131 &amp; IF(ISBLANK(Q131),, ". "&amp; Q131 &amp;": # on "&amp; T131))</f>
        <v>TemperatureResist_Heat: # on Self</v>
      </c>
      <c r="F131" s="6" t="str">
        <f aca="false">IF(U131,"active pal",)  &amp; IF(V131,"working",) &amp; IF(W131,"mounted",) &amp; IF(Y131,"in party (buff)",)  &amp; IF(Z131,"always",)</f>
        <v/>
      </c>
      <c r="G131" s="6" t="n">
        <v>1</v>
      </c>
      <c r="H131" s="6" t="s">
        <v>182</v>
      </c>
      <c r="I131" s="6" t="s">
        <v>2100</v>
      </c>
      <c r="J131" s="6" t="str">
        <f aca="false">IFERROR(__xludf.dummyfunction("IFS(I131=""ShotAttack"",""%"",I131=""MeleeAttack"",""%"", I131=""Defense"",""%"",I131=""CraftSPeed"",""%"",I131=""LifeSteal"",""%"",I131=""MaxInventoryWeight"",""+"",I131=""MoveSpeed"",""%"",REGEXMATCH(I131,""ElementAddItemDrop_""),""%"",I131=""Logging"","&amp;"""+"",I131=""Mining"",""+"",I131=""Maxhp"",""%"",REGEXMATCH(I131,""TemperatureResist_""),""+"",REGEXMATCH(I131,""ElementResist_""),""%"",REGEXMATCH(I131,""TemperatureInvalid_""),""bool"",REGEXMATCH(I131,""BodyPartsWeakDamage""),""%"",REGEXMATCH(I131,""Ele"&amp;"mentBoost_""),""%"",AND(REGEXMATCH(B131,""GiveA""),REGEXMATCH(I131,""Element"")),""bool"")"),"+")</f>
        <v>+</v>
      </c>
      <c r="K131" s="6" t="n">
        <v>1</v>
      </c>
      <c r="L131" s="6" t="s">
        <v>1956</v>
      </c>
      <c r="M131" s="6"/>
      <c r="N131" s="6" t="str">
        <f aca="false">IFERROR(__xludf.dummyfunction("IFS(M131=""ShotAttack"",""%"",M131=""MeleeAttack"",""%"", M131=""Defense"",""%"",M131=""CraftSPeed"",""%"",M131=""LifeSteal"",""%"",M131=""MaxInventoryWeight"",""+"",M131=""MoveSpeed"",""%"",REGEXMATCH(M131,""ElementAddItemDrop_""),""%"",M131=""Logging"","&amp;"""+"",M131=""Mining"",""+"",M131=""Maxhp"",""%"",REGEXMATCH(M131,""TemperatureResist_""),""+"",REGEXMATCH(M131,""ElementResist_""),""%"",REGEXMATCH(M131,""TemperatureInvalid_""),""bool"",REGEXMATCH(M131,""BodyPartsWeakDamage""),""%"",REGEXMATCH(M131,""Ele"&amp;"mentBoost_""),""%"",AND(REGEXMATCH(F131,""GiveA""),REGEXMATCH(M131,""Element"")),""bool"")"),"#N/A")</f>
        <v>#N/A</v>
      </c>
      <c r="O131" s="6" t="n">
        <v>0</v>
      </c>
      <c r="P131" s="6"/>
      <c r="Q131" s="6"/>
      <c r="R131" s="6" t="str">
        <f aca="false">IFERROR(__xludf.dummyfunction("IFS(Q131=""ShotAttack"",""%"",Q131=""MeleeAttack"",""%"", Q131=""Defense"",""%"",Q131=""CraftSPeed"",""%"",Q131=""LifeSteal"",""%"",Q131=""MaxInventoryWeight"",""+"",Q131=""MoveSpeed"",""%"",REGEXMATCH(Q131,""ElementAddItemDrop_""),""%"",Q131=""Logging"","&amp;"""+"",Q131=""Mining"",""+"",Q131=""Maxhp"",""%"",REGEXMATCH(Q131,""TemperatureResist_""),""+"",REGEXMATCH(Q131,""ElementResist_""),""%"",REGEXMATCH(Q131,""TemperatureInvalid_""),""bool"",REGEXMATCH(Q131,""BodyPartsWeakDamage""),""%"",REGEXMATCH(Q131,""Ele"&amp;"mentBoost_""),""%"",AND(REGEXMATCH(J131,""GiveA""),REGEXMATCH(Q131,""Element"")),""bool"")"),"#N/A")</f>
        <v>#N/A</v>
      </c>
      <c r="S131" s="6" t="n">
        <v>0</v>
      </c>
      <c r="T131" s="6"/>
      <c r="U131" s="319" t="b">
        <f aca="false">FALSE()</f>
        <v>0</v>
      </c>
      <c r="V131" s="319" t="b">
        <f aca="false">FALSE()</f>
        <v>0</v>
      </c>
      <c r="W131" s="319" t="b">
        <f aca="false">FALSE()</f>
        <v>0</v>
      </c>
      <c r="X131" s="319" t="b">
        <f aca="false">FALSE()</f>
        <v>0</v>
      </c>
      <c r="Y131" s="319" t="b">
        <f aca="false">FALSE()</f>
        <v>0</v>
      </c>
      <c r="Z131" s="319" t="b">
        <f aca="false">FALSE()</f>
        <v>0</v>
      </c>
      <c r="AA131" s="319" t="b">
        <f aca="false">FALSE()</f>
        <v>0</v>
      </c>
      <c r="AB131" s="319" t="b">
        <f aca="false">FALSE()</f>
        <v>0</v>
      </c>
      <c r="AC131" s="319" t="b">
        <f aca="false">FALSE()</f>
        <v>0</v>
      </c>
      <c r="AD131" s="319" t="b">
        <f aca="false">FALSE()</f>
        <v>0</v>
      </c>
      <c r="AE131" s="319" t="b">
        <f aca="false">FALSE()</f>
        <v>0</v>
      </c>
      <c r="AF131" s="319" t="b">
        <f aca="false">FALSE()</f>
        <v>0</v>
      </c>
      <c r="AG131" s="6" t="s">
        <v>182</v>
      </c>
      <c r="AH131" s="6" t="s">
        <v>182</v>
      </c>
    </row>
    <row r="132" customFormat="false" ht="15.75" hidden="false" customHeight="false" outlineLevel="0" collapsed="false">
      <c r="A132" s="3" t="s">
        <v>2101</v>
      </c>
      <c r="B132" s="6" t="s">
        <v>2102</v>
      </c>
      <c r="C132" s="3"/>
      <c r="D132" s="6" t="str">
        <f aca="false">I132   &amp; IF(ISBLANK(M132),, ". "&amp; M132 &amp; IF(ISBLANK(Q132),, ". "&amp; Q132))</f>
        <v>TemperatureResist_Heat</v>
      </c>
      <c r="E132" s="6" t="str">
        <f aca="false">I132  &amp;": # on "&amp; L132  &amp; IF(ISBLANK(M132),, ". "&amp; M132 &amp;": # on "&amp; P132 &amp; IF(ISBLANK(Q132),, ". "&amp; Q132 &amp;": # on "&amp; T132))</f>
        <v>TemperatureResist_Heat: # on Self</v>
      </c>
      <c r="F132" s="6" t="str">
        <f aca="false">IF(U132,"active pal",)  &amp; IF(V132,"working",) &amp; IF(W132,"mounted",) &amp; IF(Y132,"in party (buff)",)  &amp; IF(Z132,"always",)</f>
        <v/>
      </c>
      <c r="G132" s="6" t="n">
        <v>2</v>
      </c>
      <c r="H132" s="6" t="s">
        <v>182</v>
      </c>
      <c r="I132" s="6" t="s">
        <v>2100</v>
      </c>
      <c r="J132" s="6" t="str">
        <f aca="false">IFERROR(__xludf.dummyfunction("IFS(I132=""ShotAttack"",""%"",I132=""MeleeAttack"",""%"", I132=""Defense"",""%"",I132=""CraftSPeed"",""%"",I132=""LifeSteal"",""%"",I132=""MaxInventoryWeight"",""+"",I132=""MoveSpeed"",""%"",REGEXMATCH(I132,""ElementAddItemDrop_""),""%"",I132=""Logging"","&amp;"""+"",I132=""Mining"",""+"",I132=""Maxhp"",""%"",REGEXMATCH(I132,""TemperatureResist_""),""+"",REGEXMATCH(I132,""ElementResist_""),""%"",REGEXMATCH(I132,""TemperatureInvalid_""),""bool"",REGEXMATCH(I132,""BodyPartsWeakDamage""),""%"",REGEXMATCH(I132,""Ele"&amp;"mentBoost_""),""%"",AND(REGEXMATCH(B132,""GiveA""),REGEXMATCH(I132,""Element"")),""bool"")"),"+")</f>
        <v>+</v>
      </c>
      <c r="K132" s="6" t="n">
        <v>2</v>
      </c>
      <c r="L132" s="6" t="s">
        <v>1956</v>
      </c>
      <c r="M132" s="6"/>
      <c r="N132" s="6" t="str">
        <f aca="false">IFERROR(__xludf.dummyfunction("IFS(M132=""ShotAttack"",""%"",M132=""MeleeAttack"",""%"", M132=""Defense"",""%"",M132=""CraftSPeed"",""%"",M132=""LifeSteal"",""%"",M132=""MaxInventoryWeight"",""+"",M132=""MoveSpeed"",""%"",REGEXMATCH(M132,""ElementAddItemDrop_""),""%"",M132=""Logging"","&amp;"""+"",M132=""Mining"",""+"",M132=""Maxhp"",""%"",REGEXMATCH(M132,""TemperatureResist_""),""+"",REGEXMATCH(M132,""ElementResist_""),""%"",REGEXMATCH(M132,""TemperatureInvalid_""),""bool"",REGEXMATCH(M132,""BodyPartsWeakDamage""),""%"",REGEXMATCH(M132,""Ele"&amp;"mentBoost_""),""%"",AND(REGEXMATCH(F132,""GiveA""),REGEXMATCH(M132,""Element"")),""bool"")"),"#N/A")</f>
        <v>#N/A</v>
      </c>
      <c r="O132" s="6" t="n">
        <v>0</v>
      </c>
      <c r="P132" s="6"/>
      <c r="Q132" s="6"/>
      <c r="R132" s="6" t="str">
        <f aca="false">IFERROR(__xludf.dummyfunction("IFS(Q132=""ShotAttack"",""%"",Q132=""MeleeAttack"",""%"", Q132=""Defense"",""%"",Q132=""CraftSPeed"",""%"",Q132=""LifeSteal"",""%"",Q132=""MaxInventoryWeight"",""+"",Q132=""MoveSpeed"",""%"",REGEXMATCH(Q132,""ElementAddItemDrop_""),""%"",Q132=""Logging"","&amp;"""+"",Q132=""Mining"",""+"",Q132=""Maxhp"",""%"",REGEXMATCH(Q132,""TemperatureResist_""),""+"",REGEXMATCH(Q132,""ElementResist_""),""%"",REGEXMATCH(Q132,""TemperatureInvalid_""),""bool"",REGEXMATCH(Q132,""BodyPartsWeakDamage""),""%"",REGEXMATCH(Q132,""Ele"&amp;"mentBoost_""),""%"",AND(REGEXMATCH(J132,""GiveA""),REGEXMATCH(Q132,""Element"")),""bool"")"),"#N/A")</f>
        <v>#N/A</v>
      </c>
      <c r="S132" s="6" t="n">
        <v>0</v>
      </c>
      <c r="T132" s="6"/>
      <c r="U132" s="319" t="b">
        <f aca="false">FALSE()</f>
        <v>0</v>
      </c>
      <c r="V132" s="319" t="b">
        <f aca="false">FALSE()</f>
        <v>0</v>
      </c>
      <c r="W132" s="319" t="b">
        <f aca="false">FALSE()</f>
        <v>0</v>
      </c>
      <c r="X132" s="319" t="b">
        <f aca="false">FALSE()</f>
        <v>0</v>
      </c>
      <c r="Y132" s="319" t="b">
        <f aca="false">FALSE()</f>
        <v>0</v>
      </c>
      <c r="Z132" s="319" t="b">
        <f aca="false">FALSE()</f>
        <v>0</v>
      </c>
      <c r="AA132" s="319" t="b">
        <f aca="false">FALSE()</f>
        <v>0</v>
      </c>
      <c r="AB132" s="319" t="b">
        <f aca="false">FALSE()</f>
        <v>0</v>
      </c>
      <c r="AC132" s="319" t="b">
        <f aca="false">FALSE()</f>
        <v>0</v>
      </c>
      <c r="AD132" s="319" t="b">
        <f aca="false">FALSE()</f>
        <v>0</v>
      </c>
      <c r="AE132" s="319" t="b">
        <f aca="false">FALSE()</f>
        <v>0</v>
      </c>
      <c r="AF132" s="319" t="b">
        <f aca="false">FALSE()</f>
        <v>0</v>
      </c>
      <c r="AG132" s="6" t="s">
        <v>182</v>
      </c>
      <c r="AH132" s="6" t="s">
        <v>182</v>
      </c>
    </row>
    <row r="133" customFormat="false" ht="15.75" hidden="false" customHeight="false" outlineLevel="0" collapsed="false">
      <c r="A133" s="3" t="s">
        <v>2103</v>
      </c>
      <c r="B133" s="6" t="s">
        <v>2104</v>
      </c>
      <c r="C133" s="3"/>
      <c r="D133" s="6" t="str">
        <f aca="false">I133   &amp; IF(ISBLANK(M133),, ". "&amp; M133 &amp; IF(ISBLANK(Q133),, ". "&amp; Q133))</f>
        <v>TemperatureResist_Heat</v>
      </c>
      <c r="E133" s="6" t="str">
        <f aca="false">I133  &amp;": # on "&amp; L133  &amp; IF(ISBLANK(M133),, ". "&amp; M133 &amp;": # on "&amp; P133 &amp; IF(ISBLANK(Q133),, ". "&amp; Q133 &amp;": # on "&amp; T133))</f>
        <v>TemperatureResist_Heat: # on Self</v>
      </c>
      <c r="F133" s="6" t="str">
        <f aca="false">IF(U133,"active pal",)  &amp; IF(V133,"working",) &amp; IF(W133,"mounted",) &amp; IF(Y133,"in party (buff)",)  &amp; IF(Z133,"always",)</f>
        <v/>
      </c>
      <c r="G133" s="6" t="n">
        <v>3</v>
      </c>
      <c r="H133" s="6" t="s">
        <v>182</v>
      </c>
      <c r="I133" s="6" t="s">
        <v>2100</v>
      </c>
      <c r="J133" s="6" t="str">
        <f aca="false">IFERROR(__xludf.dummyfunction("IFS(I133=""ShotAttack"",""%"",I133=""MeleeAttack"",""%"", I133=""Defense"",""%"",I133=""CraftSPeed"",""%"",I133=""LifeSteal"",""%"",I133=""MaxInventoryWeight"",""+"",I133=""MoveSpeed"",""%"",REGEXMATCH(I133,""ElementAddItemDrop_""),""%"",I133=""Logging"","&amp;"""+"",I133=""Mining"",""+"",I133=""Maxhp"",""%"",REGEXMATCH(I133,""TemperatureResist_""),""+"",REGEXMATCH(I133,""ElementResist_""),""%"",REGEXMATCH(I133,""TemperatureInvalid_""),""bool"",REGEXMATCH(I133,""BodyPartsWeakDamage""),""%"",REGEXMATCH(I133,""Ele"&amp;"mentBoost_""),""%"",AND(REGEXMATCH(B133,""GiveA""),REGEXMATCH(I133,""Element"")),""bool"")"),"+")</f>
        <v>+</v>
      </c>
      <c r="K133" s="6" t="n">
        <v>3</v>
      </c>
      <c r="L133" s="6" t="s">
        <v>1956</v>
      </c>
      <c r="M133" s="6"/>
      <c r="N133" s="6" t="str">
        <f aca="false">IFERROR(__xludf.dummyfunction("IFS(M133=""ShotAttack"",""%"",M133=""MeleeAttack"",""%"", M133=""Defense"",""%"",M133=""CraftSPeed"",""%"",M133=""LifeSteal"",""%"",M133=""MaxInventoryWeight"",""+"",M133=""MoveSpeed"",""%"",REGEXMATCH(M133,""ElementAddItemDrop_""),""%"",M133=""Logging"","&amp;"""+"",M133=""Mining"",""+"",M133=""Maxhp"",""%"",REGEXMATCH(M133,""TemperatureResist_""),""+"",REGEXMATCH(M133,""ElementResist_""),""%"",REGEXMATCH(M133,""TemperatureInvalid_""),""bool"",REGEXMATCH(M133,""BodyPartsWeakDamage""),""%"",REGEXMATCH(M133,""Ele"&amp;"mentBoost_""),""%"",AND(REGEXMATCH(F133,""GiveA""),REGEXMATCH(M133,""Element"")),""bool"")"),"#N/A")</f>
        <v>#N/A</v>
      </c>
      <c r="O133" s="6" t="n">
        <v>0</v>
      </c>
      <c r="P133" s="6"/>
      <c r="Q133" s="6"/>
      <c r="R133" s="6" t="str">
        <f aca="false">IFERROR(__xludf.dummyfunction("IFS(Q133=""ShotAttack"",""%"",Q133=""MeleeAttack"",""%"", Q133=""Defense"",""%"",Q133=""CraftSPeed"",""%"",Q133=""LifeSteal"",""%"",Q133=""MaxInventoryWeight"",""+"",Q133=""MoveSpeed"",""%"",REGEXMATCH(Q133,""ElementAddItemDrop_""),""%"",Q133=""Logging"","&amp;"""+"",Q133=""Mining"",""+"",Q133=""Maxhp"",""%"",REGEXMATCH(Q133,""TemperatureResist_""),""+"",REGEXMATCH(Q133,""ElementResist_""),""%"",REGEXMATCH(Q133,""TemperatureInvalid_""),""bool"",REGEXMATCH(Q133,""BodyPartsWeakDamage""),""%"",REGEXMATCH(Q133,""Ele"&amp;"mentBoost_""),""%"",AND(REGEXMATCH(J133,""GiveA""),REGEXMATCH(Q133,""Element"")),""bool"")"),"#N/A")</f>
        <v>#N/A</v>
      </c>
      <c r="S133" s="6" t="n">
        <v>0</v>
      </c>
      <c r="T133" s="6"/>
      <c r="U133" s="319" t="b">
        <f aca="false">FALSE()</f>
        <v>0</v>
      </c>
      <c r="V133" s="319" t="b">
        <f aca="false">FALSE()</f>
        <v>0</v>
      </c>
      <c r="W133" s="319" t="b">
        <f aca="false">FALSE()</f>
        <v>0</v>
      </c>
      <c r="X133" s="319" t="b">
        <f aca="false">FALSE()</f>
        <v>0</v>
      </c>
      <c r="Y133" s="319" t="b">
        <f aca="false">FALSE()</f>
        <v>0</v>
      </c>
      <c r="Z133" s="319" t="b">
        <f aca="false">FALSE()</f>
        <v>0</v>
      </c>
      <c r="AA133" s="319" t="b">
        <f aca="false">FALSE()</f>
        <v>0</v>
      </c>
      <c r="AB133" s="319" t="b">
        <f aca="false">FALSE()</f>
        <v>0</v>
      </c>
      <c r="AC133" s="319" t="b">
        <f aca="false">FALSE()</f>
        <v>0</v>
      </c>
      <c r="AD133" s="319" t="b">
        <f aca="false">FALSE()</f>
        <v>0</v>
      </c>
      <c r="AE133" s="319" t="b">
        <f aca="false">FALSE()</f>
        <v>0</v>
      </c>
      <c r="AF133" s="319" t="b">
        <f aca="false">FALSE()</f>
        <v>0</v>
      </c>
      <c r="AG133" s="6" t="s">
        <v>182</v>
      </c>
      <c r="AH133" s="6" t="s">
        <v>182</v>
      </c>
    </row>
    <row r="134" customFormat="false" ht="15.75" hidden="false" customHeight="false" outlineLevel="0" collapsed="false">
      <c r="A134" s="3" t="s">
        <v>2105</v>
      </c>
      <c r="B134" s="6" t="s">
        <v>2106</v>
      </c>
      <c r="C134" s="3"/>
      <c r="D134" s="6" t="str">
        <f aca="false">I134   &amp; IF(ISBLANK(M134),, ". "&amp; M134 &amp; IF(ISBLANK(Q134),, ". "&amp; Q134))</f>
        <v>TemperatureResist_Cold</v>
      </c>
      <c r="E134" s="6" t="str">
        <f aca="false">I134  &amp;": # on "&amp; L134  &amp; IF(ISBLANK(M134),, ". "&amp; M134 &amp;": # on "&amp; P134 &amp; IF(ISBLANK(Q134),, ". "&amp; Q134 &amp;": # on "&amp; T134))</f>
        <v>TemperatureResist_Cold: # on Self</v>
      </c>
      <c r="F134" s="6" t="str">
        <f aca="false">IF(U134,"active pal",)  &amp; IF(V134,"working",) &amp; IF(W134,"mounted",) &amp; IF(Y134,"in party (buff)",)  &amp; IF(Z134,"always",)</f>
        <v/>
      </c>
      <c r="G134" s="6" t="n">
        <v>1</v>
      </c>
      <c r="H134" s="6" t="s">
        <v>182</v>
      </c>
      <c r="I134" s="6" t="s">
        <v>2107</v>
      </c>
      <c r="J134" s="6" t="str">
        <f aca="false">IFERROR(__xludf.dummyfunction("IFS(I134=""ShotAttack"",""%"",I134=""MeleeAttack"",""%"", I134=""Defense"",""%"",I134=""CraftSPeed"",""%"",I134=""LifeSteal"",""%"",I134=""MaxInventoryWeight"",""+"",I134=""MoveSpeed"",""%"",REGEXMATCH(I134,""ElementAddItemDrop_""),""%"",I134=""Logging"","&amp;"""+"",I134=""Mining"",""+"",I134=""Maxhp"",""%"",REGEXMATCH(I134,""TemperatureResist_""),""+"",REGEXMATCH(I134,""ElementResist_""),""%"",REGEXMATCH(I134,""TemperatureInvalid_""),""bool"",REGEXMATCH(I134,""BodyPartsWeakDamage""),""%"",REGEXMATCH(I134,""Ele"&amp;"mentBoost_""),""%"",AND(REGEXMATCH(B134,""GiveA""),REGEXMATCH(I134,""Element"")),""bool"")"),"+")</f>
        <v>+</v>
      </c>
      <c r="K134" s="6" t="n">
        <v>1</v>
      </c>
      <c r="L134" s="6" t="s">
        <v>1956</v>
      </c>
      <c r="M134" s="6"/>
      <c r="N134" s="6" t="str">
        <f aca="false">IFERROR(__xludf.dummyfunction("IFS(M134=""ShotAttack"",""%"",M134=""MeleeAttack"",""%"", M134=""Defense"",""%"",M134=""CraftSPeed"",""%"",M134=""LifeSteal"",""%"",M134=""MaxInventoryWeight"",""+"",M134=""MoveSpeed"",""%"",REGEXMATCH(M134,""ElementAddItemDrop_""),""%"",M134=""Logging"","&amp;"""+"",M134=""Mining"",""+"",M134=""Maxhp"",""%"",REGEXMATCH(M134,""TemperatureResist_""),""+"",REGEXMATCH(M134,""ElementResist_""),""%"",REGEXMATCH(M134,""TemperatureInvalid_""),""bool"",REGEXMATCH(M134,""BodyPartsWeakDamage""),""%"",REGEXMATCH(M134,""Ele"&amp;"mentBoost_""),""%"",AND(REGEXMATCH(F134,""GiveA""),REGEXMATCH(M134,""Element"")),""bool"")"),"#N/A")</f>
        <v>#N/A</v>
      </c>
      <c r="O134" s="6" t="n">
        <v>0</v>
      </c>
      <c r="P134" s="6"/>
      <c r="Q134" s="6"/>
      <c r="R134" s="6" t="str">
        <f aca="false">IFERROR(__xludf.dummyfunction("IFS(Q134=""ShotAttack"",""%"",Q134=""MeleeAttack"",""%"", Q134=""Defense"",""%"",Q134=""CraftSPeed"",""%"",Q134=""LifeSteal"",""%"",Q134=""MaxInventoryWeight"",""+"",Q134=""MoveSpeed"",""%"",REGEXMATCH(Q134,""ElementAddItemDrop_""),""%"",Q134=""Logging"","&amp;"""+"",Q134=""Mining"",""+"",Q134=""Maxhp"",""%"",REGEXMATCH(Q134,""TemperatureResist_""),""+"",REGEXMATCH(Q134,""ElementResist_""),""%"",REGEXMATCH(Q134,""TemperatureInvalid_""),""bool"",REGEXMATCH(Q134,""BodyPartsWeakDamage""),""%"",REGEXMATCH(Q134,""Ele"&amp;"mentBoost_""),""%"",AND(REGEXMATCH(J134,""GiveA""),REGEXMATCH(Q134,""Element"")),""bool"")"),"#N/A")</f>
        <v>#N/A</v>
      </c>
      <c r="S134" s="6" t="n">
        <v>0</v>
      </c>
      <c r="T134" s="6"/>
      <c r="U134" s="319" t="b">
        <f aca="false">FALSE()</f>
        <v>0</v>
      </c>
      <c r="V134" s="319" t="b">
        <f aca="false">FALSE()</f>
        <v>0</v>
      </c>
      <c r="W134" s="319" t="b">
        <f aca="false">FALSE()</f>
        <v>0</v>
      </c>
      <c r="X134" s="319" t="b">
        <f aca="false">FALSE()</f>
        <v>0</v>
      </c>
      <c r="Y134" s="319" t="b">
        <f aca="false">FALSE()</f>
        <v>0</v>
      </c>
      <c r="Z134" s="319" t="b">
        <f aca="false">FALSE()</f>
        <v>0</v>
      </c>
      <c r="AA134" s="319" t="b">
        <f aca="false">FALSE()</f>
        <v>0</v>
      </c>
      <c r="AB134" s="319" t="b">
        <f aca="false">FALSE()</f>
        <v>0</v>
      </c>
      <c r="AC134" s="319" t="b">
        <f aca="false">FALSE()</f>
        <v>0</v>
      </c>
      <c r="AD134" s="319" t="b">
        <f aca="false">FALSE()</f>
        <v>0</v>
      </c>
      <c r="AE134" s="319" t="b">
        <f aca="false">FALSE()</f>
        <v>0</v>
      </c>
      <c r="AF134" s="319" t="b">
        <f aca="false">FALSE()</f>
        <v>0</v>
      </c>
      <c r="AG134" s="6" t="s">
        <v>182</v>
      </c>
      <c r="AH134" s="6" t="s">
        <v>182</v>
      </c>
    </row>
    <row r="135" customFormat="false" ht="15.75" hidden="false" customHeight="false" outlineLevel="0" collapsed="false">
      <c r="A135" s="3" t="s">
        <v>2108</v>
      </c>
      <c r="B135" s="6" t="s">
        <v>2109</v>
      </c>
      <c r="C135" s="3"/>
      <c r="D135" s="6" t="str">
        <f aca="false">I135   &amp; IF(ISBLANK(M135),, ". "&amp; M135 &amp; IF(ISBLANK(Q135),, ". "&amp; Q135))</f>
        <v>TemperatureResist_Cold</v>
      </c>
      <c r="E135" s="6" t="str">
        <f aca="false">I135  &amp;": # on "&amp; L135  &amp; IF(ISBLANK(M135),, ". "&amp; M135 &amp;": # on "&amp; P135 &amp; IF(ISBLANK(Q135),, ". "&amp; Q135 &amp;": # on "&amp; T135))</f>
        <v>TemperatureResist_Cold: # on Self</v>
      </c>
      <c r="F135" s="6" t="str">
        <f aca="false">IF(U135,"active pal",)  &amp; IF(V135,"working",) &amp; IF(W135,"mounted",) &amp; IF(Y135,"in party (buff)",)  &amp; IF(Z135,"always",)</f>
        <v/>
      </c>
      <c r="G135" s="6" t="n">
        <v>2</v>
      </c>
      <c r="H135" s="6" t="s">
        <v>182</v>
      </c>
      <c r="I135" s="6" t="s">
        <v>2107</v>
      </c>
      <c r="J135" s="6" t="str">
        <f aca="false">IFERROR(__xludf.dummyfunction("IFS(I135=""ShotAttack"",""%"",I135=""MeleeAttack"",""%"", I135=""Defense"",""%"",I135=""CraftSPeed"",""%"",I135=""LifeSteal"",""%"",I135=""MaxInventoryWeight"",""+"",I135=""MoveSpeed"",""%"",REGEXMATCH(I135,""ElementAddItemDrop_""),""%"",I135=""Logging"","&amp;"""+"",I135=""Mining"",""+"",I135=""Maxhp"",""%"",REGEXMATCH(I135,""TemperatureResist_""),""+"",REGEXMATCH(I135,""ElementResist_""),""%"",REGEXMATCH(I135,""TemperatureInvalid_""),""bool"",REGEXMATCH(I135,""BodyPartsWeakDamage""),""%"",REGEXMATCH(I135,""Ele"&amp;"mentBoost_""),""%"",AND(REGEXMATCH(B135,""GiveA""),REGEXMATCH(I135,""Element"")),""bool"")"),"+")</f>
        <v>+</v>
      </c>
      <c r="K135" s="6" t="n">
        <v>2</v>
      </c>
      <c r="L135" s="6" t="s">
        <v>1956</v>
      </c>
      <c r="M135" s="6"/>
      <c r="N135" s="6" t="str">
        <f aca="false">IFERROR(__xludf.dummyfunction("IFS(M135=""ShotAttack"",""%"",M135=""MeleeAttack"",""%"", M135=""Defense"",""%"",M135=""CraftSPeed"",""%"",M135=""LifeSteal"",""%"",M135=""MaxInventoryWeight"",""+"",M135=""MoveSpeed"",""%"",REGEXMATCH(M135,""ElementAddItemDrop_""),""%"",M135=""Logging"","&amp;"""+"",M135=""Mining"",""+"",M135=""Maxhp"",""%"",REGEXMATCH(M135,""TemperatureResist_""),""+"",REGEXMATCH(M135,""ElementResist_""),""%"",REGEXMATCH(M135,""TemperatureInvalid_""),""bool"",REGEXMATCH(M135,""BodyPartsWeakDamage""),""%"",REGEXMATCH(M135,""Ele"&amp;"mentBoost_""),""%"",AND(REGEXMATCH(F135,""GiveA""),REGEXMATCH(M135,""Element"")),""bool"")"),"#N/A")</f>
        <v>#N/A</v>
      </c>
      <c r="O135" s="6" t="n">
        <v>0</v>
      </c>
      <c r="P135" s="6"/>
      <c r="Q135" s="6"/>
      <c r="R135" s="6" t="str">
        <f aca="false">IFERROR(__xludf.dummyfunction("IFS(Q135=""ShotAttack"",""%"",Q135=""MeleeAttack"",""%"", Q135=""Defense"",""%"",Q135=""CraftSPeed"",""%"",Q135=""LifeSteal"",""%"",Q135=""MaxInventoryWeight"",""+"",Q135=""MoveSpeed"",""%"",REGEXMATCH(Q135,""ElementAddItemDrop_""),""%"",Q135=""Logging"","&amp;"""+"",Q135=""Mining"",""+"",Q135=""Maxhp"",""%"",REGEXMATCH(Q135,""TemperatureResist_""),""+"",REGEXMATCH(Q135,""ElementResist_""),""%"",REGEXMATCH(Q135,""TemperatureInvalid_""),""bool"",REGEXMATCH(Q135,""BodyPartsWeakDamage""),""%"",REGEXMATCH(Q135,""Ele"&amp;"mentBoost_""),""%"",AND(REGEXMATCH(J135,""GiveA""),REGEXMATCH(Q135,""Element"")),""bool"")"),"#N/A")</f>
        <v>#N/A</v>
      </c>
      <c r="S135" s="6" t="n">
        <v>0</v>
      </c>
      <c r="T135" s="6"/>
      <c r="U135" s="319" t="b">
        <f aca="false">FALSE()</f>
        <v>0</v>
      </c>
      <c r="V135" s="319" t="b">
        <f aca="false">FALSE()</f>
        <v>0</v>
      </c>
      <c r="W135" s="319" t="b">
        <f aca="false">FALSE()</f>
        <v>0</v>
      </c>
      <c r="X135" s="319" t="b">
        <f aca="false">FALSE()</f>
        <v>0</v>
      </c>
      <c r="Y135" s="319" t="b">
        <f aca="false">FALSE()</f>
        <v>0</v>
      </c>
      <c r="Z135" s="319" t="b">
        <f aca="false">FALSE()</f>
        <v>0</v>
      </c>
      <c r="AA135" s="319" t="b">
        <f aca="false">FALSE()</f>
        <v>0</v>
      </c>
      <c r="AB135" s="319" t="b">
        <f aca="false">FALSE()</f>
        <v>0</v>
      </c>
      <c r="AC135" s="319" t="b">
        <f aca="false">FALSE()</f>
        <v>0</v>
      </c>
      <c r="AD135" s="319" t="b">
        <f aca="false">FALSE()</f>
        <v>0</v>
      </c>
      <c r="AE135" s="319" t="b">
        <f aca="false">FALSE()</f>
        <v>0</v>
      </c>
      <c r="AF135" s="319" t="b">
        <f aca="false">FALSE()</f>
        <v>0</v>
      </c>
      <c r="AG135" s="6" t="s">
        <v>182</v>
      </c>
      <c r="AH135" s="6" t="s">
        <v>182</v>
      </c>
    </row>
    <row r="136" customFormat="false" ht="15.75" hidden="false" customHeight="false" outlineLevel="0" collapsed="false">
      <c r="A136" s="3" t="s">
        <v>2110</v>
      </c>
      <c r="B136" s="6" t="s">
        <v>2111</v>
      </c>
      <c r="C136" s="3"/>
      <c r="D136" s="6" t="str">
        <f aca="false">I136   &amp; IF(ISBLANK(M136),, ". "&amp; M136 &amp; IF(ISBLANK(Q136),, ". "&amp; Q136))</f>
        <v>TemperatureResist_Cold</v>
      </c>
      <c r="E136" s="6" t="str">
        <f aca="false">I136  &amp;": # on "&amp; L136  &amp; IF(ISBLANK(M136),, ". "&amp; M136 &amp;": # on "&amp; P136 &amp; IF(ISBLANK(Q136),, ". "&amp; Q136 &amp;": # on "&amp; T136))</f>
        <v>TemperatureResist_Cold: # on Self</v>
      </c>
      <c r="F136" s="6" t="str">
        <f aca="false">IF(U136,"active pal",)  &amp; IF(V136,"working",) &amp; IF(W136,"mounted",) &amp; IF(Y136,"in party (buff)",)  &amp; IF(Z136,"always",)</f>
        <v/>
      </c>
      <c r="G136" s="6" t="n">
        <v>3</v>
      </c>
      <c r="H136" s="6" t="s">
        <v>182</v>
      </c>
      <c r="I136" s="6" t="s">
        <v>2107</v>
      </c>
      <c r="J136" s="6" t="str">
        <f aca="false">IFERROR(__xludf.dummyfunction("IFS(I136=""ShotAttack"",""%"",I136=""MeleeAttack"",""%"", I136=""Defense"",""%"",I136=""CraftSPeed"",""%"",I136=""LifeSteal"",""%"",I136=""MaxInventoryWeight"",""+"",I136=""MoveSpeed"",""%"",REGEXMATCH(I136,""ElementAddItemDrop_""),""%"",I136=""Logging"","&amp;"""+"",I136=""Mining"",""+"",I136=""Maxhp"",""%"",REGEXMATCH(I136,""TemperatureResist_""),""+"",REGEXMATCH(I136,""ElementResist_""),""%"",REGEXMATCH(I136,""TemperatureInvalid_""),""bool"",REGEXMATCH(I136,""BodyPartsWeakDamage""),""%"",REGEXMATCH(I136,""Ele"&amp;"mentBoost_""),""%"",AND(REGEXMATCH(B136,""GiveA""),REGEXMATCH(I136,""Element"")),""bool"")"),"+")</f>
        <v>+</v>
      </c>
      <c r="K136" s="6" t="n">
        <v>3</v>
      </c>
      <c r="L136" s="6" t="s">
        <v>1956</v>
      </c>
      <c r="M136" s="6"/>
      <c r="N136" s="6" t="str">
        <f aca="false">IFERROR(__xludf.dummyfunction("IFS(M136=""ShotAttack"",""%"",M136=""MeleeAttack"",""%"", M136=""Defense"",""%"",M136=""CraftSPeed"",""%"",M136=""LifeSteal"",""%"",M136=""MaxInventoryWeight"",""+"",M136=""MoveSpeed"",""%"",REGEXMATCH(M136,""ElementAddItemDrop_""),""%"",M136=""Logging"","&amp;"""+"",M136=""Mining"",""+"",M136=""Maxhp"",""%"",REGEXMATCH(M136,""TemperatureResist_""),""+"",REGEXMATCH(M136,""ElementResist_""),""%"",REGEXMATCH(M136,""TemperatureInvalid_""),""bool"",REGEXMATCH(M136,""BodyPartsWeakDamage""),""%"",REGEXMATCH(M136,""Ele"&amp;"mentBoost_""),""%"",AND(REGEXMATCH(F136,""GiveA""),REGEXMATCH(M136,""Element"")),""bool"")"),"#N/A")</f>
        <v>#N/A</v>
      </c>
      <c r="O136" s="6" t="n">
        <v>0</v>
      </c>
      <c r="P136" s="6"/>
      <c r="Q136" s="6"/>
      <c r="R136" s="6" t="str">
        <f aca="false">IFERROR(__xludf.dummyfunction("IFS(Q136=""ShotAttack"",""%"",Q136=""MeleeAttack"",""%"", Q136=""Defense"",""%"",Q136=""CraftSPeed"",""%"",Q136=""LifeSteal"",""%"",Q136=""MaxInventoryWeight"",""+"",Q136=""MoveSpeed"",""%"",REGEXMATCH(Q136,""ElementAddItemDrop_""),""%"",Q136=""Logging"","&amp;"""+"",Q136=""Mining"",""+"",Q136=""Maxhp"",""%"",REGEXMATCH(Q136,""TemperatureResist_""),""+"",REGEXMATCH(Q136,""ElementResist_""),""%"",REGEXMATCH(Q136,""TemperatureInvalid_""),""bool"",REGEXMATCH(Q136,""BodyPartsWeakDamage""),""%"",REGEXMATCH(Q136,""Ele"&amp;"mentBoost_""),""%"",AND(REGEXMATCH(J136,""GiveA""),REGEXMATCH(Q136,""Element"")),""bool"")"),"#N/A")</f>
        <v>#N/A</v>
      </c>
      <c r="S136" s="6" t="n">
        <v>0</v>
      </c>
      <c r="T136" s="6"/>
      <c r="U136" s="319" t="b">
        <f aca="false">FALSE()</f>
        <v>0</v>
      </c>
      <c r="V136" s="319" t="b">
        <f aca="false">FALSE()</f>
        <v>0</v>
      </c>
      <c r="W136" s="319" t="b">
        <f aca="false">FALSE()</f>
        <v>0</v>
      </c>
      <c r="X136" s="319" t="b">
        <f aca="false">FALSE()</f>
        <v>0</v>
      </c>
      <c r="Y136" s="319" t="b">
        <f aca="false">FALSE()</f>
        <v>0</v>
      </c>
      <c r="Z136" s="319" t="b">
        <f aca="false">FALSE()</f>
        <v>0</v>
      </c>
      <c r="AA136" s="319" t="b">
        <f aca="false">FALSE()</f>
        <v>0</v>
      </c>
      <c r="AB136" s="319" t="b">
        <f aca="false">FALSE()</f>
        <v>0</v>
      </c>
      <c r="AC136" s="319" t="b">
        <f aca="false">FALSE()</f>
        <v>0</v>
      </c>
      <c r="AD136" s="319" t="b">
        <f aca="false">FALSE()</f>
        <v>0</v>
      </c>
      <c r="AE136" s="319" t="b">
        <f aca="false">FALSE()</f>
        <v>0</v>
      </c>
      <c r="AF136" s="319" t="b">
        <f aca="false">FALSE()</f>
        <v>0</v>
      </c>
      <c r="AG136" s="6" t="s">
        <v>182</v>
      </c>
      <c r="AH136" s="6" t="s">
        <v>182</v>
      </c>
    </row>
    <row r="137" customFormat="false" ht="15.75" hidden="false" customHeight="false" outlineLevel="0" collapsed="false">
      <c r="A137" s="3" t="s">
        <v>2112</v>
      </c>
      <c r="B137" s="6" t="s">
        <v>2113</v>
      </c>
      <c r="C137" s="311" t="b">
        <f aca="false">TRUE()</f>
        <v>1</v>
      </c>
      <c r="D137" s="6" t="str">
        <f aca="false">I137   &amp; IF(ISBLANK(M137),, ". "&amp; M137 &amp; IF(ISBLANK(Q137),, ". "&amp; Q137))</f>
        <v>CraftSpeed. ShotAttack</v>
      </c>
      <c r="E137" s="6" t="str">
        <f aca="false">I137  &amp;": # on "&amp; L137  &amp; IF(ISBLANK(M137),, ". "&amp; M137 &amp;": # on "&amp; P137 &amp; IF(ISBLANK(Q137),, ". "&amp; Q137 &amp;": # on "&amp; T137))</f>
        <v>CraftSpeed: # on Self. ShotAttack: # on Self</v>
      </c>
      <c r="F137" s="6" t="str">
        <f aca="false">IF(U137,"active pal",)  &amp; IF(V137,"working",) &amp; IF(W137,"mounted",) &amp; IF(Y137,"in party (buff)",)  &amp; IF(Z137,"always",)</f>
        <v>always</v>
      </c>
      <c r="G137" s="6" t="n">
        <v>3</v>
      </c>
      <c r="H137" s="6" t="s">
        <v>182</v>
      </c>
      <c r="I137" s="6" t="s">
        <v>661</v>
      </c>
      <c r="J137" s="6" t="str">
        <f aca="false">IFERROR(__xludf.dummyfunction("IFS(I137=""ShotAttack"",""%"",I137=""MeleeAttack"",""%"", I137=""Defense"",""%"",I137=""CraftSPeed"",""%"",I137=""LifeSteal"",""%"",I137=""MaxInventoryWeight"",""+"",I137=""MoveSpeed"",""%"",REGEXMATCH(I137,""ElementAddItemDrop_""),""%"",I137=""Logging"","&amp;"""+"",I137=""Mining"",""+"",I137=""Maxhp"",""%"",REGEXMATCH(I137,""TemperatureResist_""),""+"",REGEXMATCH(I137,""ElementResist_""),""%"",REGEXMATCH(I137,""TemperatureInvalid_""),""bool"",REGEXMATCH(I137,""BodyPartsWeakDamage""),""%"",REGEXMATCH(I137,""Ele"&amp;"mentBoost_""),""%"",AND(REGEXMATCH(B137,""GiveA""),REGEXMATCH(I137,""Element"")),""bool"")"),"%")</f>
        <v>%</v>
      </c>
      <c r="K137" s="6" t="n">
        <v>15</v>
      </c>
      <c r="L137" s="6" t="s">
        <v>1956</v>
      </c>
      <c r="M137" s="6" t="s">
        <v>659</v>
      </c>
      <c r="N137" s="6" t="str">
        <f aca="false">IFERROR(__xludf.dummyfunction("IFS(M137=""ShotAttack"",""%"",M137=""MeleeAttack"",""%"", M137=""Defense"",""%"",M137=""CraftSPeed"",""%"",M137=""LifeSteal"",""%"",M137=""MaxInventoryWeight"",""+"",M137=""MoveSpeed"",""%"",REGEXMATCH(M137,""ElementAddItemDrop_""),""%"",M137=""Logging"","&amp;"""+"",M137=""Mining"",""+"",M137=""Maxhp"",""%"",REGEXMATCH(M137,""TemperatureResist_""),""+"",REGEXMATCH(M137,""ElementResist_""),""%"",REGEXMATCH(M137,""TemperatureInvalid_""),""bool"",REGEXMATCH(M137,""BodyPartsWeakDamage""),""%"",REGEXMATCH(M137,""Ele"&amp;"mentBoost_""),""%"",AND(REGEXMATCH(F137,""GiveA""),REGEXMATCH(M137,""Element"")),""bool"")"),"%")</f>
        <v>%</v>
      </c>
      <c r="O137" s="6" t="n">
        <v>15</v>
      </c>
      <c r="P137" s="6" t="s">
        <v>1956</v>
      </c>
      <c r="Q137" s="6"/>
      <c r="R137" s="6" t="str">
        <f aca="false">IFERROR(__xludf.dummyfunction("IFS(Q137=""ShotAttack"",""%"",Q137=""MeleeAttack"",""%"", Q137=""Defense"",""%"",Q137=""CraftSPeed"",""%"",Q137=""LifeSteal"",""%"",Q137=""MaxInventoryWeight"",""+"",Q137=""MoveSpeed"",""%"",REGEXMATCH(Q137,""ElementAddItemDrop_""),""%"",Q137=""Logging"","&amp;"""+"",Q137=""Mining"",""+"",Q137=""Maxhp"",""%"",REGEXMATCH(Q137,""TemperatureResist_""),""+"",REGEXMATCH(Q137,""ElementResist_""),""%"",REGEXMATCH(Q137,""TemperatureInvalid_""),""bool"",REGEXMATCH(Q137,""BodyPartsWeakDamage""),""%"",REGEXMATCH(Q137,""Ele"&amp;"mentBoost_""),""%"",AND(REGEXMATCH(J137,""GiveA""),REGEXMATCH(Q137,""Element"")),""bool"")"),"#N/A")</f>
        <v>#N/A</v>
      </c>
      <c r="S137" s="6" t="n">
        <v>0</v>
      </c>
      <c r="T137" s="6"/>
      <c r="U137" s="319" t="b">
        <f aca="false">FALSE()</f>
        <v>0</v>
      </c>
      <c r="V137" s="319" t="b">
        <f aca="false">FALSE()</f>
        <v>0</v>
      </c>
      <c r="W137" s="319" t="b">
        <f aca="false">FALSE()</f>
        <v>0</v>
      </c>
      <c r="X137" s="319" t="b">
        <f aca="false">FALSE()</f>
        <v>0</v>
      </c>
      <c r="Y137" s="319" t="b">
        <f aca="false">FALSE()</f>
        <v>0</v>
      </c>
      <c r="Z137" s="319" t="b">
        <f aca="false">TRUE()</f>
        <v>1</v>
      </c>
      <c r="AA137" s="319" t="b">
        <f aca="false">FALSE()</f>
        <v>0</v>
      </c>
      <c r="AB137" s="319" t="b">
        <f aca="false">TRUE()</f>
        <v>1</v>
      </c>
      <c r="AC137" s="319" t="b">
        <f aca="false">FALSE()</f>
        <v>0</v>
      </c>
      <c r="AD137" s="319" t="b">
        <f aca="false">FALSE()</f>
        <v>0</v>
      </c>
      <c r="AE137" s="319" t="b">
        <f aca="false">FALSE()</f>
        <v>0</v>
      </c>
      <c r="AF137" s="319" t="b">
        <f aca="false">FALSE()</f>
        <v>0</v>
      </c>
      <c r="AG137" s="6" t="s">
        <v>182</v>
      </c>
      <c r="AH137" s="6" t="s">
        <v>182</v>
      </c>
    </row>
    <row r="138" customFormat="false" ht="15.75" hidden="false" customHeight="false" outlineLevel="0" collapsed="false">
      <c r="A138" s="3" t="s">
        <v>1006</v>
      </c>
      <c r="B138" s="6" t="s">
        <v>1006</v>
      </c>
      <c r="C138" s="311" t="b">
        <f aca="false">TRUE()</f>
        <v>1</v>
      </c>
      <c r="D138" s="6" t="str">
        <f aca="false">I138   &amp; IF(ISBLANK(M138),, ". "&amp; M138 &amp; IF(ISBLANK(Q138),, ". "&amp; Q138))</f>
        <v>ShotAttack. Defense. MoveSpeed</v>
      </c>
      <c r="E138" s="6" t="str">
        <f aca="false">I138  &amp;": # on "&amp; L138  &amp; IF(ISBLANK(M138),, ". "&amp; M138 &amp;": # on "&amp; P138 &amp; IF(ISBLANK(Q138),, ". "&amp; Q138 &amp;": # on "&amp; T138))</f>
        <v>ShotAttack: # on Self. Defense: # on Self. MoveSpeed: # on Self</v>
      </c>
      <c r="F138" s="6" t="str">
        <f aca="false">IF(U138,"active pal",)  &amp; IF(V138,"working",) &amp; IF(W138,"mounted",) &amp; IF(Y138,"in party (buff)",)  &amp; IF(Z138,"always",)</f>
        <v>always</v>
      </c>
      <c r="G138" s="6" t="n">
        <v>3</v>
      </c>
      <c r="H138" s="6" t="s">
        <v>2114</v>
      </c>
      <c r="I138" s="6" t="s">
        <v>659</v>
      </c>
      <c r="J138" s="6" t="str">
        <f aca="false">IFERROR(__xludf.dummyfunction("IFS(I138=""ShotAttack"",""%"",I138=""MeleeAttack"",""%"", I138=""Defense"",""%"",I138=""CraftSPeed"",""%"",I138=""LifeSteal"",""%"",I138=""MaxInventoryWeight"",""+"",I138=""MoveSpeed"",""%"",REGEXMATCH(I138,""ElementAddItemDrop_""),""%"",I138=""Logging"","&amp;"""+"",I138=""Mining"",""+"",I138=""Maxhp"",""%"",REGEXMATCH(I138,""TemperatureResist_""),""+"",REGEXMATCH(I138,""ElementResist_""),""%"",REGEXMATCH(I138,""TemperatureInvalid_""),""bool"",REGEXMATCH(I138,""BodyPartsWeakDamage""),""%"",REGEXMATCH(I138,""Ele"&amp;"mentBoost_""),""%"",AND(REGEXMATCH(B138,""GiveA""),REGEXMATCH(I138,""Element"")),""bool"")"),"%")</f>
        <v>%</v>
      </c>
      <c r="K138" s="6" t="n">
        <v>20</v>
      </c>
      <c r="L138" s="6" t="s">
        <v>1956</v>
      </c>
      <c r="M138" s="6" t="s">
        <v>175</v>
      </c>
      <c r="N138" s="6" t="str">
        <f aca="false">IFERROR(__xludf.dummyfunction("IFS(M138=""ShotAttack"",""%"",M138=""MeleeAttack"",""%"", M138=""Defense"",""%"",M138=""CraftSPeed"",""%"",M138=""LifeSteal"",""%"",M138=""MaxInventoryWeight"",""+"",M138=""MoveSpeed"",""%"",REGEXMATCH(M138,""ElementAddItemDrop_""),""%"",M138=""Logging"","&amp;"""+"",M138=""Mining"",""+"",M138=""Maxhp"",""%"",REGEXMATCH(M138,""TemperatureResist_""),""+"",REGEXMATCH(M138,""ElementResist_""),""%"",REGEXMATCH(M138,""TemperatureInvalid_""),""bool"",REGEXMATCH(M138,""BodyPartsWeakDamage""),""%"",REGEXMATCH(M138,""Ele"&amp;"mentBoost_""),""%"",AND(REGEXMATCH(F138,""GiveA""),REGEXMATCH(M138,""Element"")),""bool"")"),"%")</f>
        <v>%</v>
      </c>
      <c r="O138" s="6" t="n">
        <v>20</v>
      </c>
      <c r="P138" s="6" t="s">
        <v>1956</v>
      </c>
      <c r="Q138" s="6" t="s">
        <v>2115</v>
      </c>
      <c r="R138" s="6" t="str">
        <f aca="false">IFERROR(__xludf.dummyfunction("IFS(Q138=""ShotAttack"",""%"",Q138=""MeleeAttack"",""%"", Q138=""Defense"",""%"",Q138=""CraftSPeed"",""%"",Q138=""LifeSteal"",""%"",Q138=""MaxInventoryWeight"",""+"",Q138=""MoveSpeed"",""%"",REGEXMATCH(Q138,""ElementAddItemDrop_""),""%"",Q138=""Logging"","&amp;"""+"",Q138=""Mining"",""+"",Q138=""Maxhp"",""%"",REGEXMATCH(Q138,""TemperatureResist_""),""+"",REGEXMATCH(Q138,""ElementResist_""),""%"",REGEXMATCH(Q138,""TemperatureInvalid_""),""bool"",REGEXMATCH(Q138,""BodyPartsWeakDamage""),""%"",REGEXMATCH(Q138,""Ele"&amp;"mentBoost_""),""%"",AND(REGEXMATCH(J138,""GiveA""),REGEXMATCH(Q138,""Element"")),""bool"")"),"%")</f>
        <v>%</v>
      </c>
      <c r="S138" s="6" t="n">
        <v>15</v>
      </c>
      <c r="T138" s="6" t="s">
        <v>1956</v>
      </c>
      <c r="U138" s="319" t="b">
        <f aca="false">FALSE()</f>
        <v>0</v>
      </c>
      <c r="V138" s="319" t="b">
        <f aca="false">FALSE()</f>
        <v>0</v>
      </c>
      <c r="W138" s="319" t="b">
        <f aca="false">FALSE()</f>
        <v>0</v>
      </c>
      <c r="X138" s="319" t="b">
        <f aca="false">FALSE()</f>
        <v>0</v>
      </c>
      <c r="Y138" s="319" t="b">
        <f aca="false">FALSE()</f>
        <v>0</v>
      </c>
      <c r="Z138" s="319" t="b">
        <f aca="false">TRUE()</f>
        <v>1</v>
      </c>
      <c r="AA138" s="319" t="b">
        <f aca="false">FALSE()</f>
        <v>0</v>
      </c>
      <c r="AB138" s="319" t="b">
        <f aca="false">FALSE()</f>
        <v>0</v>
      </c>
      <c r="AC138" s="319" t="b">
        <f aca="false">FALSE()</f>
        <v>0</v>
      </c>
      <c r="AD138" s="319" t="b">
        <f aca="false">FALSE()</f>
        <v>0</v>
      </c>
      <c r="AE138" s="319" t="b">
        <f aca="false">FALSE()</f>
        <v>0</v>
      </c>
      <c r="AF138" s="319" t="b">
        <f aca="false">FALSE()</f>
        <v>0</v>
      </c>
      <c r="AG138" s="6" t="s">
        <v>182</v>
      </c>
      <c r="AH138" s="6" t="s">
        <v>182</v>
      </c>
    </row>
    <row r="139" customFormat="false" ht="15.75" hidden="false" customHeight="false" outlineLevel="0" collapsed="false">
      <c r="A139" s="3" t="s">
        <v>2116</v>
      </c>
      <c r="B139" s="6" t="s">
        <v>2117</v>
      </c>
      <c r="C139" s="3"/>
      <c r="D139" s="6" t="str">
        <f aca="false">I139   &amp; IF(ISBLANK(M139),, ". "&amp; M139 &amp; IF(ISBLANK(Q139),, ". "&amp; Q139))</f>
        <v>MaxInventoryWeight</v>
      </c>
      <c r="E139" s="6" t="str">
        <f aca="false">I139  &amp;": # on "&amp; L139  &amp; IF(ISBLANK(M139),, ". "&amp; M139 &amp;": # on "&amp; P139 &amp; IF(ISBLANK(Q139),, ". "&amp; Q139 &amp;": # on "&amp; T139))</f>
        <v>MaxInventoryWeight: # on Trainer</v>
      </c>
      <c r="F139" s="6" t="str">
        <f aca="false">IF(U139,"active pal",)  &amp; IF(V139,"working",) &amp; IF(W139,"mounted",) &amp; IF(Y139,"in party (buff)",)  &amp; IF(Z139,"always",)</f>
        <v>always</v>
      </c>
      <c r="G139" s="6" t="n">
        <v>3</v>
      </c>
      <c r="H139" s="6" t="s">
        <v>182</v>
      </c>
      <c r="I139" s="6" t="s">
        <v>2118</v>
      </c>
      <c r="J139" s="6" t="str">
        <f aca="false">IFERROR(__xludf.dummyfunction("IFS(I139=""ShotAttack"",""%"",I139=""MeleeAttack"",""%"", I139=""Defense"",""%"",I139=""CraftSPeed"",""%"",I139=""LifeSteal"",""%"",I139=""MaxInventoryWeight"",""+"",I139=""MoveSpeed"",""%"",REGEXMATCH(I139,""ElementAddItemDrop_""),""%"",I139=""Logging"","&amp;"""+"",I139=""Mining"",""+"",I139=""Maxhp"",""%"",REGEXMATCH(I139,""TemperatureResist_""),""+"",REGEXMATCH(I139,""ElementResist_""),""%"",REGEXMATCH(I139,""TemperatureInvalid_""),""bool"",REGEXMATCH(I139,""BodyPartsWeakDamage""),""%"",REGEXMATCH(I139,""Ele"&amp;"mentBoost_""),""%"",AND(REGEXMATCH(B139,""GiveA""),REGEXMATCH(I139,""Element"")),""bool"")"),"+")</f>
        <v>+</v>
      </c>
      <c r="K139" s="6" t="n">
        <v>50</v>
      </c>
      <c r="L139" s="6" t="s">
        <v>2034</v>
      </c>
      <c r="M139" s="6"/>
      <c r="N139" s="6" t="str">
        <f aca="false">IFERROR(__xludf.dummyfunction("IFS(M139=""ShotAttack"",""%"",M139=""MeleeAttack"",""%"", M139=""Defense"",""%"",M139=""CraftSPeed"",""%"",M139=""LifeSteal"",""%"",M139=""MaxInventoryWeight"",""+"",M139=""MoveSpeed"",""%"",REGEXMATCH(M139,""ElementAddItemDrop_""),""%"",M139=""Logging"","&amp;"""+"",M139=""Mining"",""+"",M139=""Maxhp"",""%"",REGEXMATCH(M139,""TemperatureResist_""),""+"",REGEXMATCH(M139,""ElementResist_""),""%"",REGEXMATCH(M139,""TemperatureInvalid_""),""bool"",REGEXMATCH(M139,""BodyPartsWeakDamage""),""%"",REGEXMATCH(M139,""Ele"&amp;"mentBoost_""),""%"",AND(REGEXMATCH(F139,""GiveA""),REGEXMATCH(M139,""Element"")),""bool"")"),"#N/A")</f>
        <v>#N/A</v>
      </c>
      <c r="O139" s="6" t="n">
        <v>0</v>
      </c>
      <c r="P139" s="6"/>
      <c r="Q139" s="6"/>
      <c r="R139" s="6" t="str">
        <f aca="false">IFERROR(__xludf.dummyfunction("IFS(Q139=""ShotAttack"",""%"",Q139=""MeleeAttack"",""%"", Q139=""Defense"",""%"",Q139=""CraftSPeed"",""%"",Q139=""LifeSteal"",""%"",Q139=""MaxInventoryWeight"",""+"",Q139=""MoveSpeed"",""%"",REGEXMATCH(Q139,""ElementAddItemDrop_""),""%"",Q139=""Logging"","&amp;"""+"",Q139=""Mining"",""+"",Q139=""Maxhp"",""%"",REGEXMATCH(Q139,""TemperatureResist_""),""+"",REGEXMATCH(Q139,""ElementResist_""),""%"",REGEXMATCH(Q139,""TemperatureInvalid_""),""bool"",REGEXMATCH(Q139,""BodyPartsWeakDamage""),""%"",REGEXMATCH(Q139,""Ele"&amp;"mentBoost_""),""%"",AND(REGEXMATCH(J139,""GiveA""),REGEXMATCH(Q139,""Element"")),""bool"")"),"#N/A")</f>
        <v>#N/A</v>
      </c>
      <c r="S139" s="6" t="n">
        <v>0</v>
      </c>
      <c r="T139" s="6"/>
      <c r="U139" s="319" t="b">
        <f aca="false">FALSE()</f>
        <v>0</v>
      </c>
      <c r="V139" s="319" t="b">
        <f aca="false">FALSE()</f>
        <v>0</v>
      </c>
      <c r="W139" s="319" t="b">
        <f aca="false">FALSE()</f>
        <v>0</v>
      </c>
      <c r="X139" s="319" t="b">
        <f aca="false">FALSE()</f>
        <v>0</v>
      </c>
      <c r="Y139" s="319" t="b">
        <f aca="false">FALSE()</f>
        <v>0</v>
      </c>
      <c r="Z139" s="319" t="b">
        <f aca="false">TRUE()</f>
        <v>1</v>
      </c>
      <c r="AA139" s="319" t="b">
        <f aca="false">FALSE()</f>
        <v>0</v>
      </c>
      <c r="AB139" s="319" t="b">
        <f aca="false">FALSE()</f>
        <v>0</v>
      </c>
      <c r="AC139" s="319" t="b">
        <f aca="false">FALSE()</f>
        <v>0</v>
      </c>
      <c r="AD139" s="319" t="b">
        <f aca="false">FALSE()</f>
        <v>0</v>
      </c>
      <c r="AE139" s="319" t="b">
        <f aca="false">FALSE()</f>
        <v>0</v>
      </c>
      <c r="AF139" s="319" t="b">
        <f aca="false">FALSE()</f>
        <v>0</v>
      </c>
      <c r="AG139" s="6" t="s">
        <v>182</v>
      </c>
      <c r="AH139" s="6" t="s">
        <v>182</v>
      </c>
    </row>
    <row r="140" customFormat="false" ht="15.75" hidden="false" customHeight="false" outlineLevel="0" collapsed="false">
      <c r="A140" s="3" t="s">
        <v>2119</v>
      </c>
      <c r="B140" s="6" t="s">
        <v>2120</v>
      </c>
      <c r="C140" s="3"/>
      <c r="D140" s="6" t="str">
        <f aca="false">I140   &amp; IF(ISBLANK(M140),, ". "&amp; M140 &amp; IF(ISBLANK(Q140),, ". "&amp; Q140))</f>
        <v>MaxInventoryWeight</v>
      </c>
      <c r="E140" s="6" t="str">
        <f aca="false">I140  &amp;": # on "&amp; L140  &amp; IF(ISBLANK(M140),, ". "&amp; M140 &amp;": # on "&amp; P140 &amp; IF(ISBLANK(Q140),, ". "&amp; Q140 &amp;": # on "&amp; T140))</f>
        <v>MaxInventoryWeight: # on Trainer</v>
      </c>
      <c r="F140" s="6" t="str">
        <f aca="false">IF(U140,"active pal",)  &amp; IF(V140,"working",) &amp; IF(W140,"mounted",) &amp; IF(Y140,"in party (buff)",)  &amp; IF(Z140,"always",)</f>
        <v>always</v>
      </c>
      <c r="G140" s="6" t="n">
        <v>-1</v>
      </c>
      <c r="H140" s="6" t="s">
        <v>182</v>
      </c>
      <c r="I140" s="6" t="s">
        <v>2118</v>
      </c>
      <c r="J140" s="6" t="str">
        <f aca="false">IFERROR(__xludf.dummyfunction("IFS(I140=""ShotAttack"",""%"",I140=""MeleeAttack"",""%"", I140=""Defense"",""%"",I140=""CraftSPeed"",""%"",I140=""LifeSteal"",""%"",I140=""MaxInventoryWeight"",""+"",I140=""MoveSpeed"",""%"",REGEXMATCH(I140,""ElementAddItemDrop_""),""%"",I140=""Logging"","&amp;"""+"",I140=""Mining"",""+"",I140=""Maxhp"",""%"",REGEXMATCH(I140,""TemperatureResist_""),""+"",REGEXMATCH(I140,""ElementResist_""),""%"",REGEXMATCH(I140,""TemperatureInvalid_""),""bool"",REGEXMATCH(I140,""BodyPartsWeakDamage""),""%"",REGEXMATCH(I140,""Ele"&amp;"mentBoost_""),""%"",AND(REGEXMATCH(B140,""GiveA""),REGEXMATCH(I140,""Element"")),""bool"")"),"+")</f>
        <v>+</v>
      </c>
      <c r="K140" s="6" t="n">
        <v>150</v>
      </c>
      <c r="L140" s="6" t="s">
        <v>2034</v>
      </c>
      <c r="M140" s="6"/>
      <c r="N140" s="6" t="str">
        <f aca="false">IFERROR(__xludf.dummyfunction("IFS(M140=""ShotAttack"",""%"",M140=""MeleeAttack"",""%"", M140=""Defense"",""%"",M140=""CraftSPeed"",""%"",M140=""LifeSteal"",""%"",M140=""MaxInventoryWeight"",""+"",M140=""MoveSpeed"",""%"",REGEXMATCH(M140,""ElementAddItemDrop_""),""%"",M140=""Logging"","&amp;"""+"",M140=""Mining"",""+"",M140=""Maxhp"",""%"",REGEXMATCH(M140,""TemperatureResist_""),""+"",REGEXMATCH(M140,""ElementResist_""),""%"",REGEXMATCH(M140,""TemperatureInvalid_""),""bool"",REGEXMATCH(M140,""BodyPartsWeakDamage""),""%"",REGEXMATCH(M140,""Ele"&amp;"mentBoost_""),""%"",AND(REGEXMATCH(F140,""GiveA""),REGEXMATCH(M140,""Element"")),""bool"")"),"#N/A")</f>
        <v>#N/A</v>
      </c>
      <c r="O140" s="6" t="n">
        <v>0</v>
      </c>
      <c r="P140" s="6"/>
      <c r="Q140" s="6"/>
      <c r="R140" s="6" t="str">
        <f aca="false">IFERROR(__xludf.dummyfunction("IFS(Q140=""ShotAttack"",""%"",Q140=""MeleeAttack"",""%"", Q140=""Defense"",""%"",Q140=""CraftSPeed"",""%"",Q140=""LifeSteal"",""%"",Q140=""MaxInventoryWeight"",""+"",Q140=""MoveSpeed"",""%"",REGEXMATCH(Q140,""ElementAddItemDrop_""),""%"",Q140=""Logging"","&amp;"""+"",Q140=""Mining"",""+"",Q140=""Maxhp"",""%"",REGEXMATCH(Q140,""TemperatureResist_""),""+"",REGEXMATCH(Q140,""ElementResist_""),""%"",REGEXMATCH(Q140,""TemperatureInvalid_""),""bool"",REGEXMATCH(Q140,""BodyPartsWeakDamage""),""%"",REGEXMATCH(Q140,""Ele"&amp;"mentBoost_""),""%"",AND(REGEXMATCH(J140,""GiveA""),REGEXMATCH(Q140,""Element"")),""bool"")"),"#N/A")</f>
        <v>#N/A</v>
      </c>
      <c r="S140" s="6" t="n">
        <v>0</v>
      </c>
      <c r="T140" s="6"/>
      <c r="U140" s="319" t="b">
        <f aca="false">FALSE()</f>
        <v>0</v>
      </c>
      <c r="V140" s="319" t="b">
        <f aca="false">FALSE()</f>
        <v>0</v>
      </c>
      <c r="W140" s="319" t="b">
        <f aca="false">FALSE()</f>
        <v>0</v>
      </c>
      <c r="X140" s="319" t="b">
        <f aca="false">FALSE()</f>
        <v>0</v>
      </c>
      <c r="Y140" s="319" t="b">
        <f aca="false">FALSE()</f>
        <v>0</v>
      </c>
      <c r="Z140" s="319" t="b">
        <f aca="false">TRUE()</f>
        <v>1</v>
      </c>
      <c r="AA140" s="319" t="b">
        <f aca="false">FALSE()</f>
        <v>0</v>
      </c>
      <c r="AB140" s="319" t="b">
        <f aca="false">FALSE()</f>
        <v>0</v>
      </c>
      <c r="AC140" s="319" t="b">
        <f aca="false">FALSE()</f>
        <v>0</v>
      </c>
      <c r="AD140" s="319" t="b">
        <f aca="false">FALSE()</f>
        <v>0</v>
      </c>
      <c r="AE140" s="319" t="b">
        <f aca="false">FALSE()</f>
        <v>0</v>
      </c>
      <c r="AF140" s="319" t="b">
        <f aca="false">FALSE()</f>
        <v>0</v>
      </c>
      <c r="AG140" s="6" t="s">
        <v>182</v>
      </c>
      <c r="AH140" s="6" t="s">
        <v>182</v>
      </c>
    </row>
    <row r="141" customFormat="false" ht="15.75" hidden="false" customHeight="false" outlineLevel="0" collapsed="false">
      <c r="A141" s="3" t="s">
        <v>2121</v>
      </c>
      <c r="B141" s="6" t="s">
        <v>2122</v>
      </c>
      <c r="C141" s="3"/>
      <c r="D141" s="6" t="str">
        <f aca="false">I141   &amp; IF(ISBLANK(M141),, ". "&amp; M141 &amp; IF(ISBLANK(Q141),, ". "&amp; Q141))</f>
        <v>MaxInventoryWeight</v>
      </c>
      <c r="E141" s="6" t="str">
        <f aca="false">I141  &amp;": # on "&amp; L141  &amp; IF(ISBLANK(M141),, ". "&amp; M141 &amp;": # on "&amp; P141 &amp; IF(ISBLANK(Q141),, ". "&amp; Q141 &amp;": # on "&amp; T141))</f>
        <v>MaxInventoryWeight: # on Trainer</v>
      </c>
      <c r="F141" s="6" t="str">
        <f aca="false">IF(U141,"active pal",)  &amp; IF(V141,"working",) &amp; IF(W141,"mounted",) &amp; IF(Y141,"in party (buff)",)  &amp; IF(Z141,"always",)</f>
        <v>always</v>
      </c>
      <c r="G141" s="6" t="n">
        <v>-1</v>
      </c>
      <c r="H141" s="6" t="s">
        <v>182</v>
      </c>
      <c r="I141" s="6" t="s">
        <v>2118</v>
      </c>
      <c r="J141" s="6" t="str">
        <f aca="false">IFERROR(__xludf.dummyfunction("IFS(I141=""ShotAttack"",""%"",I141=""MeleeAttack"",""%"", I141=""Defense"",""%"",I141=""CraftSPeed"",""%"",I141=""LifeSteal"",""%"",I141=""MaxInventoryWeight"",""+"",I141=""MoveSpeed"",""%"",REGEXMATCH(I141,""ElementAddItemDrop_""),""%"",I141=""Logging"","&amp;"""+"",I141=""Mining"",""+"",I141=""Maxhp"",""%"",REGEXMATCH(I141,""TemperatureResist_""),""+"",REGEXMATCH(I141,""ElementResist_""),""%"",REGEXMATCH(I141,""TemperatureInvalid_""),""bool"",REGEXMATCH(I141,""BodyPartsWeakDamage""),""%"",REGEXMATCH(I141,""Ele"&amp;"mentBoost_""),""%"",AND(REGEXMATCH(B141,""GiveA""),REGEXMATCH(I141,""Element"")),""bool"")"),"+")</f>
        <v>+</v>
      </c>
      <c r="K141" s="6" t="n">
        <v>200</v>
      </c>
      <c r="L141" s="6" t="s">
        <v>2034</v>
      </c>
      <c r="M141" s="6"/>
      <c r="N141" s="6" t="str">
        <f aca="false">IFERROR(__xludf.dummyfunction("IFS(M141=""ShotAttack"",""%"",M141=""MeleeAttack"",""%"", M141=""Defense"",""%"",M141=""CraftSPeed"",""%"",M141=""LifeSteal"",""%"",M141=""MaxInventoryWeight"",""+"",M141=""MoveSpeed"",""%"",REGEXMATCH(M141,""ElementAddItemDrop_""),""%"",M141=""Logging"","&amp;"""+"",M141=""Mining"",""+"",M141=""Maxhp"",""%"",REGEXMATCH(M141,""TemperatureResist_""),""+"",REGEXMATCH(M141,""ElementResist_""),""%"",REGEXMATCH(M141,""TemperatureInvalid_""),""bool"",REGEXMATCH(M141,""BodyPartsWeakDamage""),""%"",REGEXMATCH(M141,""Ele"&amp;"mentBoost_""),""%"",AND(REGEXMATCH(F141,""GiveA""),REGEXMATCH(M141,""Element"")),""bool"")"),"#N/A")</f>
        <v>#N/A</v>
      </c>
      <c r="O141" s="6" t="n">
        <v>0</v>
      </c>
      <c r="P141" s="6"/>
      <c r="Q141" s="6"/>
      <c r="R141" s="6" t="str">
        <f aca="false">IFERROR(__xludf.dummyfunction("IFS(Q141=""ShotAttack"",""%"",Q141=""MeleeAttack"",""%"", Q141=""Defense"",""%"",Q141=""CraftSPeed"",""%"",Q141=""LifeSteal"",""%"",Q141=""MaxInventoryWeight"",""+"",Q141=""MoveSpeed"",""%"",REGEXMATCH(Q141,""ElementAddItemDrop_""),""%"",Q141=""Logging"","&amp;"""+"",Q141=""Mining"",""+"",Q141=""Maxhp"",""%"",REGEXMATCH(Q141,""TemperatureResist_""),""+"",REGEXMATCH(Q141,""ElementResist_""),""%"",REGEXMATCH(Q141,""TemperatureInvalid_""),""bool"",REGEXMATCH(Q141,""BodyPartsWeakDamage""),""%"",REGEXMATCH(Q141,""Ele"&amp;"mentBoost_""),""%"",AND(REGEXMATCH(J141,""GiveA""),REGEXMATCH(Q141,""Element"")),""bool"")"),"#N/A")</f>
        <v>#N/A</v>
      </c>
      <c r="S141" s="6" t="n">
        <v>0</v>
      </c>
      <c r="T141" s="6"/>
      <c r="U141" s="319" t="b">
        <f aca="false">FALSE()</f>
        <v>0</v>
      </c>
      <c r="V141" s="319" t="b">
        <f aca="false">FALSE()</f>
        <v>0</v>
      </c>
      <c r="W141" s="319" t="b">
        <f aca="false">FALSE()</f>
        <v>0</v>
      </c>
      <c r="X141" s="319" t="b">
        <f aca="false">FALSE()</f>
        <v>0</v>
      </c>
      <c r="Y141" s="319" t="b">
        <f aca="false">FALSE()</f>
        <v>0</v>
      </c>
      <c r="Z141" s="319" t="b">
        <f aca="false">TRUE()</f>
        <v>1</v>
      </c>
      <c r="AA141" s="319" t="b">
        <f aca="false">FALSE()</f>
        <v>0</v>
      </c>
      <c r="AB141" s="319" t="b">
        <f aca="false">FALSE()</f>
        <v>0</v>
      </c>
      <c r="AC141" s="319" t="b">
        <f aca="false">FALSE()</f>
        <v>0</v>
      </c>
      <c r="AD141" s="319" t="b">
        <f aca="false">FALSE()</f>
        <v>0</v>
      </c>
      <c r="AE141" s="319" t="b">
        <f aca="false">FALSE()</f>
        <v>0</v>
      </c>
      <c r="AF141" s="319" t="b">
        <f aca="false">FALSE()</f>
        <v>0</v>
      </c>
      <c r="AG141" s="6" t="s">
        <v>182</v>
      </c>
      <c r="AH141" s="6" t="s">
        <v>182</v>
      </c>
    </row>
    <row r="142" customFormat="false" ht="15.75" hidden="false" customHeight="false" outlineLevel="0" collapsed="false">
      <c r="A142" s="1" t="e">
        <f aca="false">#N/A</f>
        <v>#N/A</v>
      </c>
      <c r="B142" s="6" t="s">
        <v>954</v>
      </c>
      <c r="C142" s="3"/>
      <c r="D142" s="6" t="str">
        <f aca="false">I142   &amp; IF(ISBLANK(M142),, ". "&amp; M142 &amp; IF(ISBLANK(Q142),, ". "&amp; Q142))</f>
        <v>MaxInventoryWeight</v>
      </c>
      <c r="E142" s="6" t="str">
        <f aca="false">I142  &amp;": # on "&amp; L142  &amp; IF(ISBLANK(M142),, ". "&amp; M142 &amp;": # on "&amp; P142 &amp; IF(ISBLANK(Q142),, ". "&amp; Q142 &amp;": # on "&amp; T142))</f>
        <v>MaxInventoryWeight: # on Trainer</v>
      </c>
      <c r="F142" s="6" t="str">
        <f aca="false">IF(U142,"active pal",)  &amp; IF(V142,"working",) &amp; IF(W142,"mounted",) &amp; IF(Y142,"in party (buff)",)  &amp; IF(Z142,"always",)</f>
        <v>always</v>
      </c>
      <c r="G142" s="6" t="n">
        <v>-1</v>
      </c>
      <c r="H142" s="6" t="s">
        <v>182</v>
      </c>
      <c r="I142" s="6" t="s">
        <v>2118</v>
      </c>
      <c r="J142" s="6" t="str">
        <f aca="false">IFERROR(__xludf.dummyfunction("IFS(I142=""ShotAttack"",""%"",I142=""MeleeAttack"",""%"", I142=""Defense"",""%"",I142=""CraftSPeed"",""%"",I142=""LifeSteal"",""%"",I142=""MaxInventoryWeight"",""+"",I142=""MoveSpeed"",""%"",REGEXMATCH(I142,""ElementAddItemDrop_""),""%"",I142=""Logging"","&amp;"""+"",I142=""Mining"",""+"",I142=""Maxhp"",""%"",REGEXMATCH(I142,""TemperatureResist_""),""+"",REGEXMATCH(I142,""ElementResist_""),""%"",REGEXMATCH(I142,""TemperatureInvalid_""),""bool"",REGEXMATCH(I142,""BodyPartsWeakDamage""),""%"",REGEXMATCH(I142,""Ele"&amp;"mentBoost_""),""%"",AND(REGEXMATCH(B142,""GiveA""),REGEXMATCH(I142,""Element"")),""bool"")"),"+")</f>
        <v>+</v>
      </c>
      <c r="K142" s="6" t="n">
        <v>50</v>
      </c>
      <c r="L142" s="6" t="s">
        <v>2034</v>
      </c>
      <c r="M142" s="6"/>
      <c r="N142" s="6" t="str">
        <f aca="false">IFERROR(__xludf.dummyfunction("IFS(M142=""ShotAttack"",""%"",M142=""MeleeAttack"",""%"", M142=""Defense"",""%"",M142=""CraftSPeed"",""%"",M142=""LifeSteal"",""%"",M142=""MaxInventoryWeight"",""+"",M142=""MoveSpeed"",""%"",REGEXMATCH(M142,""ElementAddItemDrop_""),""%"",M142=""Logging"","&amp;"""+"",M142=""Mining"",""+"",M142=""Maxhp"",""%"",REGEXMATCH(M142,""TemperatureResist_""),""+"",REGEXMATCH(M142,""ElementResist_""),""%"",REGEXMATCH(M142,""TemperatureInvalid_""),""bool"",REGEXMATCH(M142,""BodyPartsWeakDamage""),""%"",REGEXMATCH(M142,""Ele"&amp;"mentBoost_""),""%"",AND(REGEXMATCH(F142,""GiveA""),REGEXMATCH(M142,""Element"")),""bool"")"),"#N/A")</f>
        <v>#N/A</v>
      </c>
      <c r="O142" s="6" t="n">
        <v>0</v>
      </c>
      <c r="P142" s="6"/>
      <c r="Q142" s="6"/>
      <c r="R142" s="6" t="str">
        <f aca="false">IFERROR(__xludf.dummyfunction("IFS(Q142=""ShotAttack"",""%"",Q142=""MeleeAttack"",""%"", Q142=""Defense"",""%"",Q142=""CraftSPeed"",""%"",Q142=""LifeSteal"",""%"",Q142=""MaxInventoryWeight"",""+"",Q142=""MoveSpeed"",""%"",REGEXMATCH(Q142,""ElementAddItemDrop_""),""%"",Q142=""Logging"","&amp;"""+"",Q142=""Mining"",""+"",Q142=""Maxhp"",""%"",REGEXMATCH(Q142,""TemperatureResist_""),""+"",REGEXMATCH(Q142,""ElementResist_""),""%"",REGEXMATCH(Q142,""TemperatureInvalid_""),""bool"",REGEXMATCH(Q142,""BodyPartsWeakDamage""),""%"",REGEXMATCH(Q142,""Ele"&amp;"mentBoost_""),""%"",AND(REGEXMATCH(J142,""GiveA""),REGEXMATCH(Q142,""Element"")),""bool"")"),"#N/A")</f>
        <v>#N/A</v>
      </c>
      <c r="S142" s="6" t="n">
        <v>0</v>
      </c>
      <c r="T142" s="6"/>
      <c r="U142" s="319" t="b">
        <f aca="false">FALSE()</f>
        <v>0</v>
      </c>
      <c r="V142" s="319" t="b">
        <f aca="false">FALSE()</f>
        <v>0</v>
      </c>
      <c r="W142" s="319" t="b">
        <f aca="false">FALSE()</f>
        <v>0</v>
      </c>
      <c r="X142" s="319" t="b">
        <f aca="false">FALSE()</f>
        <v>0</v>
      </c>
      <c r="Y142" s="319" t="b">
        <f aca="false">FALSE()</f>
        <v>0</v>
      </c>
      <c r="Z142" s="319" t="b">
        <f aca="false">TRUE()</f>
        <v>1</v>
      </c>
      <c r="AA142" s="319" t="b">
        <f aca="false">FALSE()</f>
        <v>0</v>
      </c>
      <c r="AB142" s="319" t="b">
        <f aca="false">FALSE()</f>
        <v>0</v>
      </c>
      <c r="AC142" s="319" t="b">
        <f aca="false">FALSE()</f>
        <v>0</v>
      </c>
      <c r="AD142" s="319" t="b">
        <f aca="false">FALSE()</f>
        <v>0</v>
      </c>
      <c r="AE142" s="319" t="b">
        <f aca="false">FALSE()</f>
        <v>0</v>
      </c>
      <c r="AF142" s="319" t="b">
        <f aca="false">FALSE()</f>
        <v>0</v>
      </c>
      <c r="AG142" s="6" t="s">
        <v>182</v>
      </c>
      <c r="AH142" s="6" t="s">
        <v>182</v>
      </c>
    </row>
    <row r="143" customFormat="false" ht="15.75" hidden="false" customHeight="false" outlineLevel="0" collapsed="false">
      <c r="A143" s="1" t="e">
        <f aca="false">#N/A</f>
        <v>#N/A</v>
      </c>
      <c r="B143" s="6" t="s">
        <v>955</v>
      </c>
      <c r="C143" s="3"/>
      <c r="D143" s="6" t="str">
        <f aca="false">I143   &amp; IF(ISBLANK(M143),, ". "&amp; M143 &amp; IF(ISBLANK(Q143),, ". "&amp; Q143))</f>
        <v>MaxInventoryWeight</v>
      </c>
      <c r="E143" s="6" t="str">
        <f aca="false">I143  &amp;": # on "&amp; L143  &amp; IF(ISBLANK(M143),, ". "&amp; M143 &amp;": # on "&amp; P143 &amp; IF(ISBLANK(Q143),, ". "&amp; Q143 &amp;": # on "&amp; T143))</f>
        <v>MaxInventoryWeight: # on Trainer</v>
      </c>
      <c r="F143" s="6" t="str">
        <f aca="false">IF(U143,"active pal",)  &amp; IF(V143,"working",) &amp; IF(W143,"mounted",) &amp; IF(Y143,"in party (buff)",)  &amp; IF(Z143,"always",)</f>
        <v>always</v>
      </c>
      <c r="G143" s="6" t="n">
        <v>-1</v>
      </c>
      <c r="H143" s="6" t="s">
        <v>182</v>
      </c>
      <c r="I143" s="6" t="s">
        <v>2118</v>
      </c>
      <c r="J143" s="6" t="str">
        <f aca="false">IFERROR(__xludf.dummyfunction("IFS(I143=""ShotAttack"",""%"",I143=""MeleeAttack"",""%"", I143=""Defense"",""%"",I143=""CraftSPeed"",""%"",I143=""LifeSteal"",""%"",I143=""MaxInventoryWeight"",""+"",I143=""MoveSpeed"",""%"",REGEXMATCH(I143,""ElementAddItemDrop_""),""%"",I143=""Logging"","&amp;"""+"",I143=""Mining"",""+"",I143=""Maxhp"",""%"",REGEXMATCH(I143,""TemperatureResist_""),""+"",REGEXMATCH(I143,""ElementResist_""),""%"",REGEXMATCH(I143,""TemperatureInvalid_""),""bool"",REGEXMATCH(I143,""BodyPartsWeakDamage""),""%"",REGEXMATCH(I143,""Ele"&amp;"mentBoost_""),""%"",AND(REGEXMATCH(B143,""GiveA""),REGEXMATCH(I143,""Element"")),""bool"")"),"+")</f>
        <v>+</v>
      </c>
      <c r="K143" s="6" t="n">
        <v>60</v>
      </c>
      <c r="L143" s="6" t="s">
        <v>2034</v>
      </c>
      <c r="M143" s="6"/>
      <c r="N143" s="6" t="str">
        <f aca="false">IFERROR(__xludf.dummyfunction("IFS(M143=""ShotAttack"",""%"",M143=""MeleeAttack"",""%"", M143=""Defense"",""%"",M143=""CraftSPeed"",""%"",M143=""LifeSteal"",""%"",M143=""MaxInventoryWeight"",""+"",M143=""MoveSpeed"",""%"",REGEXMATCH(M143,""ElementAddItemDrop_""),""%"",M143=""Logging"","&amp;"""+"",M143=""Mining"",""+"",M143=""Maxhp"",""%"",REGEXMATCH(M143,""TemperatureResist_""),""+"",REGEXMATCH(M143,""ElementResist_""),""%"",REGEXMATCH(M143,""TemperatureInvalid_""),""bool"",REGEXMATCH(M143,""BodyPartsWeakDamage""),""%"",REGEXMATCH(M143,""Ele"&amp;"mentBoost_""),""%"",AND(REGEXMATCH(F143,""GiveA""),REGEXMATCH(M143,""Element"")),""bool"")"),"#N/A")</f>
        <v>#N/A</v>
      </c>
      <c r="O143" s="6" t="n">
        <v>0</v>
      </c>
      <c r="P143" s="6"/>
      <c r="Q143" s="6"/>
      <c r="R143" s="6" t="str">
        <f aca="false">IFERROR(__xludf.dummyfunction("IFS(Q143=""ShotAttack"",""%"",Q143=""MeleeAttack"",""%"", Q143=""Defense"",""%"",Q143=""CraftSPeed"",""%"",Q143=""LifeSteal"",""%"",Q143=""MaxInventoryWeight"",""+"",Q143=""MoveSpeed"",""%"",REGEXMATCH(Q143,""ElementAddItemDrop_""),""%"",Q143=""Logging"","&amp;"""+"",Q143=""Mining"",""+"",Q143=""Maxhp"",""%"",REGEXMATCH(Q143,""TemperatureResist_""),""+"",REGEXMATCH(Q143,""ElementResist_""),""%"",REGEXMATCH(Q143,""TemperatureInvalid_""),""bool"",REGEXMATCH(Q143,""BodyPartsWeakDamage""),""%"",REGEXMATCH(Q143,""Ele"&amp;"mentBoost_""),""%"",AND(REGEXMATCH(J143,""GiveA""),REGEXMATCH(Q143,""Element"")),""bool"")"),"#N/A")</f>
        <v>#N/A</v>
      </c>
      <c r="S143" s="6" t="n">
        <v>0</v>
      </c>
      <c r="T143" s="6"/>
      <c r="U143" s="319" t="b">
        <f aca="false">FALSE()</f>
        <v>0</v>
      </c>
      <c r="V143" s="319" t="b">
        <f aca="false">FALSE()</f>
        <v>0</v>
      </c>
      <c r="W143" s="319" t="b">
        <f aca="false">FALSE()</f>
        <v>0</v>
      </c>
      <c r="X143" s="319" t="b">
        <f aca="false">FALSE()</f>
        <v>0</v>
      </c>
      <c r="Y143" s="319" t="b">
        <f aca="false">FALSE()</f>
        <v>0</v>
      </c>
      <c r="Z143" s="319" t="b">
        <f aca="false">TRUE()</f>
        <v>1</v>
      </c>
      <c r="AA143" s="319" t="b">
        <f aca="false">FALSE()</f>
        <v>0</v>
      </c>
      <c r="AB143" s="319" t="b">
        <f aca="false">FALSE()</f>
        <v>0</v>
      </c>
      <c r="AC143" s="319" t="b">
        <f aca="false">FALSE()</f>
        <v>0</v>
      </c>
      <c r="AD143" s="319" t="b">
        <f aca="false">FALSE()</f>
        <v>0</v>
      </c>
      <c r="AE143" s="319" t="b">
        <f aca="false">FALSE()</f>
        <v>0</v>
      </c>
      <c r="AF143" s="319" t="b">
        <f aca="false">FALSE()</f>
        <v>0</v>
      </c>
      <c r="AG143" s="6" t="s">
        <v>182</v>
      </c>
      <c r="AH143" s="6" t="s">
        <v>182</v>
      </c>
    </row>
    <row r="144" customFormat="false" ht="15.75" hidden="false" customHeight="false" outlineLevel="0" collapsed="false">
      <c r="A144" s="1" t="e">
        <f aca="false">#N/A</f>
        <v>#N/A</v>
      </c>
      <c r="B144" s="6" t="s">
        <v>956</v>
      </c>
      <c r="C144" s="3"/>
      <c r="D144" s="6" t="str">
        <f aca="false">I144   &amp; IF(ISBLANK(M144),, ". "&amp; M144 &amp; IF(ISBLANK(Q144),, ". "&amp; Q144))</f>
        <v>MaxInventoryWeight</v>
      </c>
      <c r="E144" s="6" t="str">
        <f aca="false">I144  &amp;": # on "&amp; L144  &amp; IF(ISBLANK(M144),, ". "&amp; M144 &amp;": # on "&amp; P144 &amp; IF(ISBLANK(Q144),, ". "&amp; Q144 &amp;": # on "&amp; T144))</f>
        <v>MaxInventoryWeight: # on Trainer</v>
      </c>
      <c r="F144" s="6" t="str">
        <f aca="false">IF(U144,"active pal",)  &amp; IF(V144,"working",) &amp; IF(W144,"mounted",) &amp; IF(Y144,"in party (buff)",)  &amp; IF(Z144,"always",)</f>
        <v>always</v>
      </c>
      <c r="G144" s="6" t="n">
        <v>-1</v>
      </c>
      <c r="H144" s="6" t="s">
        <v>182</v>
      </c>
      <c r="I144" s="6" t="s">
        <v>2118</v>
      </c>
      <c r="J144" s="6" t="str">
        <f aca="false">IFERROR(__xludf.dummyfunction("IFS(I144=""ShotAttack"",""%"",I144=""MeleeAttack"",""%"", I144=""Defense"",""%"",I144=""CraftSPeed"",""%"",I144=""LifeSteal"",""%"",I144=""MaxInventoryWeight"",""+"",I144=""MoveSpeed"",""%"",REGEXMATCH(I144,""ElementAddItemDrop_""),""%"",I144=""Logging"","&amp;"""+"",I144=""Mining"",""+"",I144=""Maxhp"",""%"",REGEXMATCH(I144,""TemperatureResist_""),""+"",REGEXMATCH(I144,""ElementResist_""),""%"",REGEXMATCH(I144,""TemperatureInvalid_""),""bool"",REGEXMATCH(I144,""BodyPartsWeakDamage""),""%"",REGEXMATCH(I144,""Ele"&amp;"mentBoost_""),""%"",AND(REGEXMATCH(B144,""GiveA""),REGEXMATCH(I144,""Element"")),""bool"")"),"+")</f>
        <v>+</v>
      </c>
      <c r="K144" s="6" t="n">
        <v>70</v>
      </c>
      <c r="L144" s="6" t="s">
        <v>2034</v>
      </c>
      <c r="M144" s="6"/>
      <c r="N144" s="6" t="str">
        <f aca="false">IFERROR(__xludf.dummyfunction("IFS(M144=""ShotAttack"",""%"",M144=""MeleeAttack"",""%"", M144=""Defense"",""%"",M144=""CraftSPeed"",""%"",M144=""LifeSteal"",""%"",M144=""MaxInventoryWeight"",""+"",M144=""MoveSpeed"",""%"",REGEXMATCH(M144,""ElementAddItemDrop_""),""%"",M144=""Logging"","&amp;"""+"",M144=""Mining"",""+"",M144=""Maxhp"",""%"",REGEXMATCH(M144,""TemperatureResist_""),""+"",REGEXMATCH(M144,""ElementResist_""),""%"",REGEXMATCH(M144,""TemperatureInvalid_""),""bool"",REGEXMATCH(M144,""BodyPartsWeakDamage""),""%"",REGEXMATCH(M144,""Ele"&amp;"mentBoost_""),""%"",AND(REGEXMATCH(F144,""GiveA""),REGEXMATCH(M144,""Element"")),""bool"")"),"#N/A")</f>
        <v>#N/A</v>
      </c>
      <c r="O144" s="6" t="n">
        <v>0</v>
      </c>
      <c r="P144" s="6"/>
      <c r="Q144" s="6"/>
      <c r="R144" s="6" t="str">
        <f aca="false">IFERROR(__xludf.dummyfunction("IFS(Q144=""ShotAttack"",""%"",Q144=""MeleeAttack"",""%"", Q144=""Defense"",""%"",Q144=""CraftSPeed"",""%"",Q144=""LifeSteal"",""%"",Q144=""MaxInventoryWeight"",""+"",Q144=""MoveSpeed"",""%"",REGEXMATCH(Q144,""ElementAddItemDrop_""),""%"",Q144=""Logging"","&amp;"""+"",Q144=""Mining"",""+"",Q144=""Maxhp"",""%"",REGEXMATCH(Q144,""TemperatureResist_""),""+"",REGEXMATCH(Q144,""ElementResist_""),""%"",REGEXMATCH(Q144,""TemperatureInvalid_""),""bool"",REGEXMATCH(Q144,""BodyPartsWeakDamage""),""%"",REGEXMATCH(Q144,""Ele"&amp;"mentBoost_""),""%"",AND(REGEXMATCH(J144,""GiveA""),REGEXMATCH(Q144,""Element"")),""bool"")"),"#N/A")</f>
        <v>#N/A</v>
      </c>
      <c r="S144" s="6" t="n">
        <v>0</v>
      </c>
      <c r="T144" s="6"/>
      <c r="U144" s="319" t="b">
        <f aca="false">FALSE()</f>
        <v>0</v>
      </c>
      <c r="V144" s="319" t="b">
        <f aca="false">FALSE()</f>
        <v>0</v>
      </c>
      <c r="W144" s="319" t="b">
        <f aca="false">FALSE()</f>
        <v>0</v>
      </c>
      <c r="X144" s="319" t="b">
        <f aca="false">FALSE()</f>
        <v>0</v>
      </c>
      <c r="Y144" s="319" t="b">
        <f aca="false">FALSE()</f>
        <v>0</v>
      </c>
      <c r="Z144" s="319" t="b">
        <f aca="false">TRUE()</f>
        <v>1</v>
      </c>
      <c r="AA144" s="319" t="b">
        <f aca="false">FALSE()</f>
        <v>0</v>
      </c>
      <c r="AB144" s="319" t="b">
        <f aca="false">FALSE()</f>
        <v>0</v>
      </c>
      <c r="AC144" s="319" t="b">
        <f aca="false">FALSE()</f>
        <v>0</v>
      </c>
      <c r="AD144" s="319" t="b">
        <f aca="false">FALSE()</f>
        <v>0</v>
      </c>
      <c r="AE144" s="319" t="b">
        <f aca="false">FALSE()</f>
        <v>0</v>
      </c>
      <c r="AF144" s="319" t="b">
        <f aca="false">FALSE()</f>
        <v>0</v>
      </c>
      <c r="AG144" s="6" t="s">
        <v>182</v>
      </c>
      <c r="AH144" s="6" t="s">
        <v>182</v>
      </c>
    </row>
    <row r="145" customFormat="false" ht="15.75" hidden="false" customHeight="false" outlineLevel="0" collapsed="false">
      <c r="A145" s="1" t="e">
        <f aca="false">#N/A</f>
        <v>#N/A</v>
      </c>
      <c r="B145" s="6" t="s">
        <v>856</v>
      </c>
      <c r="C145" s="3"/>
      <c r="D145" s="6" t="str">
        <f aca="false">I145   &amp; IF(ISBLANK(M145),, ". "&amp; M145 &amp; IF(ISBLANK(Q145),, ". "&amp; Q145))</f>
        <v>MaxInventoryWeight</v>
      </c>
      <c r="E145" s="6" t="str">
        <f aca="false">I145  &amp;": # on "&amp; L145  &amp; IF(ISBLANK(M145),, ". "&amp; M145 &amp;": # on "&amp; P145 &amp; IF(ISBLANK(Q145),, ". "&amp; Q145 &amp;": # on "&amp; T145))</f>
        <v>MaxInventoryWeight: # on Trainer</v>
      </c>
      <c r="F145" s="6" t="str">
        <f aca="false">IF(U145,"active pal",)  &amp; IF(V145,"working",) &amp; IF(W145,"mounted",) &amp; IF(Y145,"in party (buff)",)  &amp; IF(Z145,"always",)</f>
        <v>always</v>
      </c>
      <c r="G145" s="6" t="n">
        <v>-1</v>
      </c>
      <c r="H145" s="6" t="s">
        <v>182</v>
      </c>
      <c r="I145" s="6" t="s">
        <v>2118</v>
      </c>
      <c r="J145" s="6" t="str">
        <f aca="false">IFERROR(__xludf.dummyfunction("IFS(I145=""ShotAttack"",""%"",I145=""MeleeAttack"",""%"", I145=""Defense"",""%"",I145=""CraftSPeed"",""%"",I145=""LifeSteal"",""%"",I145=""MaxInventoryWeight"",""+"",I145=""MoveSpeed"",""%"",REGEXMATCH(I145,""ElementAddItemDrop_""),""%"",I145=""Logging"","&amp;"""+"",I145=""Mining"",""+"",I145=""Maxhp"",""%"",REGEXMATCH(I145,""TemperatureResist_""),""+"",REGEXMATCH(I145,""ElementResist_""),""%"",REGEXMATCH(I145,""TemperatureInvalid_""),""bool"",REGEXMATCH(I145,""BodyPartsWeakDamage""),""%"",REGEXMATCH(I145,""Ele"&amp;"mentBoost_""),""%"",AND(REGEXMATCH(B145,""GiveA""),REGEXMATCH(I145,""Element"")),""bool"")"),"+")</f>
        <v>+</v>
      </c>
      <c r="K145" s="6" t="n">
        <v>80</v>
      </c>
      <c r="L145" s="6" t="s">
        <v>2034</v>
      </c>
      <c r="M145" s="6"/>
      <c r="N145" s="6" t="str">
        <f aca="false">IFERROR(__xludf.dummyfunction("IFS(M145=""ShotAttack"",""%"",M145=""MeleeAttack"",""%"", M145=""Defense"",""%"",M145=""CraftSPeed"",""%"",M145=""LifeSteal"",""%"",M145=""MaxInventoryWeight"",""+"",M145=""MoveSpeed"",""%"",REGEXMATCH(M145,""ElementAddItemDrop_""),""%"",M145=""Logging"","&amp;"""+"",M145=""Mining"",""+"",M145=""Maxhp"",""%"",REGEXMATCH(M145,""TemperatureResist_""),""+"",REGEXMATCH(M145,""ElementResist_""),""%"",REGEXMATCH(M145,""TemperatureInvalid_""),""bool"",REGEXMATCH(M145,""BodyPartsWeakDamage""),""%"",REGEXMATCH(M145,""Ele"&amp;"mentBoost_""),""%"",AND(REGEXMATCH(F145,""GiveA""),REGEXMATCH(M145,""Element"")),""bool"")"),"#N/A")</f>
        <v>#N/A</v>
      </c>
      <c r="O145" s="6" t="n">
        <v>0</v>
      </c>
      <c r="P145" s="6"/>
      <c r="Q145" s="6"/>
      <c r="R145" s="6" t="str">
        <f aca="false">IFERROR(__xludf.dummyfunction("IFS(Q145=""ShotAttack"",""%"",Q145=""MeleeAttack"",""%"", Q145=""Defense"",""%"",Q145=""CraftSPeed"",""%"",Q145=""LifeSteal"",""%"",Q145=""MaxInventoryWeight"",""+"",Q145=""MoveSpeed"",""%"",REGEXMATCH(Q145,""ElementAddItemDrop_""),""%"",Q145=""Logging"","&amp;"""+"",Q145=""Mining"",""+"",Q145=""Maxhp"",""%"",REGEXMATCH(Q145,""TemperatureResist_""),""+"",REGEXMATCH(Q145,""ElementResist_""),""%"",REGEXMATCH(Q145,""TemperatureInvalid_""),""bool"",REGEXMATCH(Q145,""BodyPartsWeakDamage""),""%"",REGEXMATCH(Q145,""Ele"&amp;"mentBoost_""),""%"",AND(REGEXMATCH(J145,""GiveA""),REGEXMATCH(Q145,""Element"")),""bool"")"),"#N/A")</f>
        <v>#N/A</v>
      </c>
      <c r="S145" s="6" t="n">
        <v>0</v>
      </c>
      <c r="T145" s="6"/>
      <c r="U145" s="319" t="b">
        <f aca="false">FALSE()</f>
        <v>0</v>
      </c>
      <c r="V145" s="319" t="b">
        <f aca="false">FALSE()</f>
        <v>0</v>
      </c>
      <c r="W145" s="319" t="b">
        <f aca="false">FALSE()</f>
        <v>0</v>
      </c>
      <c r="X145" s="319" t="b">
        <f aca="false">FALSE()</f>
        <v>0</v>
      </c>
      <c r="Y145" s="319" t="b">
        <f aca="false">FALSE()</f>
        <v>0</v>
      </c>
      <c r="Z145" s="319" t="b">
        <f aca="false">TRUE()</f>
        <v>1</v>
      </c>
      <c r="AA145" s="319" t="b">
        <f aca="false">FALSE()</f>
        <v>0</v>
      </c>
      <c r="AB145" s="319" t="b">
        <f aca="false">FALSE()</f>
        <v>0</v>
      </c>
      <c r="AC145" s="319" t="b">
        <f aca="false">FALSE()</f>
        <v>0</v>
      </c>
      <c r="AD145" s="319" t="b">
        <f aca="false">FALSE()</f>
        <v>0</v>
      </c>
      <c r="AE145" s="319" t="b">
        <f aca="false">FALSE()</f>
        <v>0</v>
      </c>
      <c r="AF145" s="319" t="b">
        <f aca="false">FALSE()</f>
        <v>0</v>
      </c>
      <c r="AG145" s="6" t="s">
        <v>182</v>
      </c>
      <c r="AH145" s="6" t="s">
        <v>182</v>
      </c>
    </row>
    <row r="146" customFormat="false" ht="15.75" hidden="false" customHeight="false" outlineLevel="0" collapsed="false">
      <c r="A146" s="1" t="e">
        <f aca="false">#N/A</f>
        <v>#N/A</v>
      </c>
      <c r="B146" s="6" t="s">
        <v>857</v>
      </c>
      <c r="C146" s="3"/>
      <c r="D146" s="6" t="str">
        <f aca="false">I146   &amp; IF(ISBLANK(M146),, ". "&amp; M146 &amp; IF(ISBLANK(Q146),, ". "&amp; Q146))</f>
        <v>MaxInventoryWeight</v>
      </c>
      <c r="E146" s="6" t="str">
        <f aca="false">I146  &amp;": # on "&amp; L146  &amp; IF(ISBLANK(M146),, ". "&amp; M146 &amp;": # on "&amp; P146 &amp; IF(ISBLANK(Q146),, ". "&amp; Q146 &amp;": # on "&amp; T146))</f>
        <v>MaxInventoryWeight: # on Trainer</v>
      </c>
      <c r="F146" s="6" t="str">
        <f aca="false">IF(U146,"active pal",)  &amp; IF(V146,"working",) &amp; IF(W146,"mounted",) &amp; IF(Y146,"in party (buff)",)  &amp; IF(Z146,"always",)</f>
        <v>always</v>
      </c>
      <c r="G146" s="6" t="n">
        <v>-1</v>
      </c>
      <c r="H146" s="6" t="s">
        <v>182</v>
      </c>
      <c r="I146" s="6" t="s">
        <v>2118</v>
      </c>
      <c r="J146" s="6" t="str">
        <f aca="false">IFERROR(__xludf.dummyfunction("IFS(I146=""ShotAttack"",""%"",I146=""MeleeAttack"",""%"", I146=""Defense"",""%"",I146=""CraftSPeed"",""%"",I146=""LifeSteal"",""%"",I146=""MaxInventoryWeight"",""+"",I146=""MoveSpeed"",""%"",REGEXMATCH(I146,""ElementAddItemDrop_""),""%"",I146=""Logging"","&amp;"""+"",I146=""Mining"",""+"",I146=""Maxhp"",""%"",REGEXMATCH(I146,""TemperatureResist_""),""+"",REGEXMATCH(I146,""ElementResist_""),""%"",REGEXMATCH(I146,""TemperatureInvalid_""),""bool"",REGEXMATCH(I146,""BodyPartsWeakDamage""),""%"",REGEXMATCH(I146,""Ele"&amp;"mentBoost_""),""%"",AND(REGEXMATCH(B146,""GiveA""),REGEXMATCH(I146,""Element"")),""bool"")"),"+")</f>
        <v>+</v>
      </c>
      <c r="K146" s="6" t="n">
        <v>90</v>
      </c>
      <c r="L146" s="6" t="s">
        <v>2034</v>
      </c>
      <c r="M146" s="6"/>
      <c r="N146" s="6" t="str">
        <f aca="false">IFERROR(__xludf.dummyfunction("IFS(M146=""ShotAttack"",""%"",M146=""MeleeAttack"",""%"", M146=""Defense"",""%"",M146=""CraftSPeed"",""%"",M146=""LifeSteal"",""%"",M146=""MaxInventoryWeight"",""+"",M146=""MoveSpeed"",""%"",REGEXMATCH(M146,""ElementAddItemDrop_""),""%"",M146=""Logging"","&amp;"""+"",M146=""Mining"",""+"",M146=""Maxhp"",""%"",REGEXMATCH(M146,""TemperatureResist_""),""+"",REGEXMATCH(M146,""ElementResist_""),""%"",REGEXMATCH(M146,""TemperatureInvalid_""),""bool"",REGEXMATCH(M146,""BodyPartsWeakDamage""),""%"",REGEXMATCH(M146,""Ele"&amp;"mentBoost_""),""%"",AND(REGEXMATCH(F146,""GiveA""),REGEXMATCH(M146,""Element"")),""bool"")"),"#N/A")</f>
        <v>#N/A</v>
      </c>
      <c r="O146" s="6" t="n">
        <v>0</v>
      </c>
      <c r="P146" s="6"/>
      <c r="Q146" s="6"/>
      <c r="R146" s="6" t="str">
        <f aca="false">IFERROR(__xludf.dummyfunction("IFS(Q146=""ShotAttack"",""%"",Q146=""MeleeAttack"",""%"", Q146=""Defense"",""%"",Q146=""CraftSPeed"",""%"",Q146=""LifeSteal"",""%"",Q146=""MaxInventoryWeight"",""+"",Q146=""MoveSpeed"",""%"",REGEXMATCH(Q146,""ElementAddItemDrop_""),""%"",Q146=""Logging"","&amp;"""+"",Q146=""Mining"",""+"",Q146=""Maxhp"",""%"",REGEXMATCH(Q146,""TemperatureResist_""),""+"",REGEXMATCH(Q146,""ElementResist_""),""%"",REGEXMATCH(Q146,""TemperatureInvalid_""),""bool"",REGEXMATCH(Q146,""BodyPartsWeakDamage""),""%"",REGEXMATCH(Q146,""Ele"&amp;"mentBoost_""),""%"",AND(REGEXMATCH(J146,""GiveA""),REGEXMATCH(Q146,""Element"")),""bool"")"),"#N/A")</f>
        <v>#N/A</v>
      </c>
      <c r="S146" s="6" t="n">
        <v>0</v>
      </c>
      <c r="T146" s="6"/>
      <c r="U146" s="319" t="b">
        <f aca="false">FALSE()</f>
        <v>0</v>
      </c>
      <c r="V146" s="319" t="b">
        <f aca="false">FALSE()</f>
        <v>0</v>
      </c>
      <c r="W146" s="319" t="b">
        <f aca="false">FALSE()</f>
        <v>0</v>
      </c>
      <c r="X146" s="319" t="b">
        <f aca="false">FALSE()</f>
        <v>0</v>
      </c>
      <c r="Y146" s="319" t="b">
        <f aca="false">FALSE()</f>
        <v>0</v>
      </c>
      <c r="Z146" s="319" t="b">
        <f aca="false">TRUE()</f>
        <v>1</v>
      </c>
      <c r="AA146" s="319" t="b">
        <f aca="false">FALSE()</f>
        <v>0</v>
      </c>
      <c r="AB146" s="319" t="b">
        <f aca="false">FALSE()</f>
        <v>0</v>
      </c>
      <c r="AC146" s="319" t="b">
        <f aca="false">FALSE()</f>
        <v>0</v>
      </c>
      <c r="AD146" s="319" t="b">
        <f aca="false">FALSE()</f>
        <v>0</v>
      </c>
      <c r="AE146" s="319" t="b">
        <f aca="false">FALSE()</f>
        <v>0</v>
      </c>
      <c r="AF146" s="319" t="b">
        <f aca="false">FALSE()</f>
        <v>0</v>
      </c>
      <c r="AG146" s="6" t="s">
        <v>182</v>
      </c>
      <c r="AH146" s="6" t="s">
        <v>182</v>
      </c>
    </row>
    <row r="147" customFormat="false" ht="15.75" hidden="false" customHeight="false" outlineLevel="0" collapsed="false">
      <c r="A147" s="1" t="e">
        <f aca="false">#N/A</f>
        <v>#N/A</v>
      </c>
      <c r="B147" s="6" t="s">
        <v>858</v>
      </c>
      <c r="C147" s="3"/>
      <c r="D147" s="6" t="str">
        <f aca="false">I147   &amp; IF(ISBLANK(M147),, ". "&amp; M147 &amp; IF(ISBLANK(Q147),, ". "&amp; Q147))</f>
        <v>MaxInventoryWeight</v>
      </c>
      <c r="E147" s="6" t="str">
        <f aca="false">I147  &amp;": # on "&amp; L147  &amp; IF(ISBLANK(M147),, ". "&amp; M147 &amp;": # on "&amp; P147 &amp; IF(ISBLANK(Q147),, ". "&amp; Q147 &amp;": # on "&amp; T147))</f>
        <v>MaxInventoryWeight: # on Trainer</v>
      </c>
      <c r="F147" s="6" t="str">
        <f aca="false">IF(U147,"active pal",)  &amp; IF(V147,"working",) &amp; IF(W147,"mounted",) &amp; IF(Y147,"in party (buff)",)  &amp; IF(Z147,"always",)</f>
        <v>always</v>
      </c>
      <c r="G147" s="6" t="n">
        <v>-1</v>
      </c>
      <c r="H147" s="6" t="s">
        <v>182</v>
      </c>
      <c r="I147" s="6" t="s">
        <v>2118</v>
      </c>
      <c r="J147" s="6" t="str">
        <f aca="false">IFERROR(__xludf.dummyfunction("IFS(I147=""ShotAttack"",""%"",I147=""MeleeAttack"",""%"", I147=""Defense"",""%"",I147=""CraftSPeed"",""%"",I147=""LifeSteal"",""%"",I147=""MaxInventoryWeight"",""+"",I147=""MoveSpeed"",""%"",REGEXMATCH(I147,""ElementAddItemDrop_""),""%"",I147=""Logging"","&amp;"""+"",I147=""Mining"",""+"",I147=""Maxhp"",""%"",REGEXMATCH(I147,""TemperatureResist_""),""+"",REGEXMATCH(I147,""ElementResist_""),""%"",REGEXMATCH(I147,""TemperatureInvalid_""),""bool"",REGEXMATCH(I147,""BodyPartsWeakDamage""),""%"",REGEXMATCH(I147,""Ele"&amp;"mentBoost_""),""%"",AND(REGEXMATCH(B147,""GiveA""),REGEXMATCH(I147,""Element"")),""bool"")"),"+")</f>
        <v>+</v>
      </c>
      <c r="K147" s="6" t="n">
        <v>100</v>
      </c>
      <c r="L147" s="6" t="s">
        <v>2034</v>
      </c>
      <c r="M147" s="6"/>
      <c r="N147" s="6" t="str">
        <f aca="false">IFERROR(__xludf.dummyfunction("IFS(M147=""ShotAttack"",""%"",M147=""MeleeAttack"",""%"", M147=""Defense"",""%"",M147=""CraftSPeed"",""%"",M147=""LifeSteal"",""%"",M147=""MaxInventoryWeight"",""+"",M147=""MoveSpeed"",""%"",REGEXMATCH(M147,""ElementAddItemDrop_""),""%"",M147=""Logging"","&amp;"""+"",M147=""Mining"",""+"",M147=""Maxhp"",""%"",REGEXMATCH(M147,""TemperatureResist_""),""+"",REGEXMATCH(M147,""ElementResist_""),""%"",REGEXMATCH(M147,""TemperatureInvalid_""),""bool"",REGEXMATCH(M147,""BodyPartsWeakDamage""),""%"",REGEXMATCH(M147,""Ele"&amp;"mentBoost_""),""%"",AND(REGEXMATCH(F147,""GiveA""),REGEXMATCH(M147,""Element"")),""bool"")"),"#N/A")</f>
        <v>#N/A</v>
      </c>
      <c r="O147" s="6" t="n">
        <v>0</v>
      </c>
      <c r="P147" s="6"/>
      <c r="Q147" s="6"/>
      <c r="R147" s="6" t="str">
        <f aca="false">IFERROR(__xludf.dummyfunction("IFS(Q147=""ShotAttack"",""%"",Q147=""MeleeAttack"",""%"", Q147=""Defense"",""%"",Q147=""CraftSPeed"",""%"",Q147=""LifeSteal"",""%"",Q147=""MaxInventoryWeight"",""+"",Q147=""MoveSpeed"",""%"",REGEXMATCH(Q147,""ElementAddItemDrop_""),""%"",Q147=""Logging"","&amp;"""+"",Q147=""Mining"",""+"",Q147=""Maxhp"",""%"",REGEXMATCH(Q147,""TemperatureResist_""),""+"",REGEXMATCH(Q147,""ElementResist_""),""%"",REGEXMATCH(Q147,""TemperatureInvalid_""),""bool"",REGEXMATCH(Q147,""BodyPartsWeakDamage""),""%"",REGEXMATCH(Q147,""Ele"&amp;"mentBoost_""),""%"",AND(REGEXMATCH(J147,""GiveA""),REGEXMATCH(Q147,""Element"")),""bool"")"),"#N/A")</f>
        <v>#N/A</v>
      </c>
      <c r="S147" s="6" t="n">
        <v>0</v>
      </c>
      <c r="T147" s="6"/>
      <c r="U147" s="319" t="b">
        <f aca="false">FALSE()</f>
        <v>0</v>
      </c>
      <c r="V147" s="319" t="b">
        <f aca="false">FALSE()</f>
        <v>0</v>
      </c>
      <c r="W147" s="319" t="b">
        <f aca="false">FALSE()</f>
        <v>0</v>
      </c>
      <c r="X147" s="319" t="b">
        <f aca="false">FALSE()</f>
        <v>0</v>
      </c>
      <c r="Y147" s="319" t="b">
        <f aca="false">FALSE()</f>
        <v>0</v>
      </c>
      <c r="Z147" s="319" t="b">
        <f aca="false">TRUE()</f>
        <v>1</v>
      </c>
      <c r="AA147" s="319" t="b">
        <f aca="false">FALSE()</f>
        <v>0</v>
      </c>
      <c r="AB147" s="319" t="b">
        <f aca="false">FALSE()</f>
        <v>0</v>
      </c>
      <c r="AC147" s="319" t="b">
        <f aca="false">FALSE()</f>
        <v>0</v>
      </c>
      <c r="AD147" s="319" t="b">
        <f aca="false">FALSE()</f>
        <v>0</v>
      </c>
      <c r="AE147" s="319" t="b">
        <f aca="false">FALSE()</f>
        <v>0</v>
      </c>
      <c r="AF147" s="319" t="b">
        <f aca="false">FALSE()</f>
        <v>0</v>
      </c>
      <c r="AG147" s="6" t="s">
        <v>182</v>
      </c>
      <c r="AH147" s="6" t="s">
        <v>182</v>
      </c>
    </row>
    <row r="148" customFormat="false" ht="15.75" hidden="false" customHeight="false" outlineLevel="0" collapsed="false">
      <c r="A148" s="1" t="e">
        <f aca="false">#N/A</f>
        <v>#N/A</v>
      </c>
      <c r="B148" s="6" t="s">
        <v>859</v>
      </c>
      <c r="C148" s="3"/>
      <c r="D148" s="6" t="str">
        <f aca="false">I148   &amp; IF(ISBLANK(M148),, ". "&amp; M148 &amp; IF(ISBLANK(Q148),, ". "&amp; Q148))</f>
        <v>MaxInventoryWeight</v>
      </c>
      <c r="E148" s="6" t="str">
        <f aca="false">I148  &amp;": # on "&amp; L148  &amp; IF(ISBLANK(M148),, ". "&amp; M148 &amp;": # on "&amp; P148 &amp; IF(ISBLANK(Q148),, ". "&amp; Q148 &amp;": # on "&amp; T148))</f>
        <v>MaxInventoryWeight: # on Trainer</v>
      </c>
      <c r="F148" s="6" t="str">
        <f aca="false">IF(U148,"active pal",)  &amp; IF(V148,"working",) &amp; IF(W148,"mounted",) &amp; IF(Y148,"in party (buff)",)  &amp; IF(Z148,"always",)</f>
        <v>always</v>
      </c>
      <c r="G148" s="6" t="n">
        <v>-1</v>
      </c>
      <c r="H148" s="6" t="s">
        <v>182</v>
      </c>
      <c r="I148" s="6" t="s">
        <v>2118</v>
      </c>
      <c r="J148" s="6" t="str">
        <f aca="false">IFERROR(__xludf.dummyfunction("IFS(I148=""ShotAttack"",""%"",I148=""MeleeAttack"",""%"", I148=""Defense"",""%"",I148=""CraftSPeed"",""%"",I148=""LifeSteal"",""%"",I148=""MaxInventoryWeight"",""+"",I148=""MoveSpeed"",""%"",REGEXMATCH(I148,""ElementAddItemDrop_""),""%"",I148=""Logging"","&amp;"""+"",I148=""Mining"",""+"",I148=""Maxhp"",""%"",REGEXMATCH(I148,""TemperatureResist_""),""+"",REGEXMATCH(I148,""ElementResist_""),""%"",REGEXMATCH(I148,""TemperatureInvalid_""),""bool"",REGEXMATCH(I148,""BodyPartsWeakDamage""),""%"",REGEXMATCH(I148,""Ele"&amp;"mentBoost_""),""%"",AND(REGEXMATCH(B148,""GiveA""),REGEXMATCH(I148,""Element"")),""bool"")"),"+")</f>
        <v>+</v>
      </c>
      <c r="K148" s="6" t="n">
        <v>110</v>
      </c>
      <c r="L148" s="6" t="s">
        <v>2034</v>
      </c>
      <c r="M148" s="6"/>
      <c r="N148" s="6" t="str">
        <f aca="false">IFERROR(__xludf.dummyfunction("IFS(M148=""ShotAttack"",""%"",M148=""MeleeAttack"",""%"", M148=""Defense"",""%"",M148=""CraftSPeed"",""%"",M148=""LifeSteal"",""%"",M148=""MaxInventoryWeight"",""+"",M148=""MoveSpeed"",""%"",REGEXMATCH(M148,""ElementAddItemDrop_""),""%"",M148=""Logging"","&amp;"""+"",M148=""Mining"",""+"",M148=""Maxhp"",""%"",REGEXMATCH(M148,""TemperatureResist_""),""+"",REGEXMATCH(M148,""ElementResist_""),""%"",REGEXMATCH(M148,""TemperatureInvalid_""),""bool"",REGEXMATCH(M148,""BodyPartsWeakDamage""),""%"",REGEXMATCH(M148,""Ele"&amp;"mentBoost_""),""%"",AND(REGEXMATCH(F148,""GiveA""),REGEXMATCH(M148,""Element"")),""bool"")"),"#N/A")</f>
        <v>#N/A</v>
      </c>
      <c r="O148" s="6" t="n">
        <v>0</v>
      </c>
      <c r="P148" s="6"/>
      <c r="Q148" s="6"/>
      <c r="R148" s="6" t="str">
        <f aca="false">IFERROR(__xludf.dummyfunction("IFS(Q148=""ShotAttack"",""%"",Q148=""MeleeAttack"",""%"", Q148=""Defense"",""%"",Q148=""CraftSPeed"",""%"",Q148=""LifeSteal"",""%"",Q148=""MaxInventoryWeight"",""+"",Q148=""MoveSpeed"",""%"",REGEXMATCH(Q148,""ElementAddItemDrop_""),""%"",Q148=""Logging"","&amp;"""+"",Q148=""Mining"",""+"",Q148=""Maxhp"",""%"",REGEXMATCH(Q148,""TemperatureResist_""),""+"",REGEXMATCH(Q148,""ElementResist_""),""%"",REGEXMATCH(Q148,""TemperatureInvalid_""),""bool"",REGEXMATCH(Q148,""BodyPartsWeakDamage""),""%"",REGEXMATCH(Q148,""Ele"&amp;"mentBoost_""),""%"",AND(REGEXMATCH(J148,""GiveA""),REGEXMATCH(Q148,""Element"")),""bool"")"),"#N/A")</f>
        <v>#N/A</v>
      </c>
      <c r="S148" s="6" t="n">
        <v>0</v>
      </c>
      <c r="T148" s="6"/>
      <c r="U148" s="319" t="b">
        <f aca="false">FALSE()</f>
        <v>0</v>
      </c>
      <c r="V148" s="319" t="b">
        <f aca="false">FALSE()</f>
        <v>0</v>
      </c>
      <c r="W148" s="319" t="b">
        <f aca="false">FALSE()</f>
        <v>0</v>
      </c>
      <c r="X148" s="319" t="b">
        <f aca="false">FALSE()</f>
        <v>0</v>
      </c>
      <c r="Y148" s="319" t="b">
        <f aca="false">FALSE()</f>
        <v>0</v>
      </c>
      <c r="Z148" s="319" t="b">
        <f aca="false">TRUE()</f>
        <v>1</v>
      </c>
      <c r="AA148" s="319" t="b">
        <f aca="false">FALSE()</f>
        <v>0</v>
      </c>
      <c r="AB148" s="319" t="b">
        <f aca="false">FALSE()</f>
        <v>0</v>
      </c>
      <c r="AC148" s="319" t="b">
        <f aca="false">FALSE()</f>
        <v>0</v>
      </c>
      <c r="AD148" s="319" t="b">
        <f aca="false">FALSE()</f>
        <v>0</v>
      </c>
      <c r="AE148" s="319" t="b">
        <f aca="false">FALSE()</f>
        <v>0</v>
      </c>
      <c r="AF148" s="319" t="b">
        <f aca="false">FALSE()</f>
        <v>0</v>
      </c>
      <c r="AG148" s="6" t="s">
        <v>182</v>
      </c>
      <c r="AH148" s="6" t="s">
        <v>182</v>
      </c>
    </row>
    <row r="149" customFormat="false" ht="15.75" hidden="false" customHeight="false" outlineLevel="0" collapsed="false">
      <c r="A149" s="1" t="e">
        <f aca="false">#N/A</f>
        <v>#N/A</v>
      </c>
      <c r="B149" s="6" t="s">
        <v>860</v>
      </c>
      <c r="C149" s="3"/>
      <c r="D149" s="6" t="str">
        <f aca="false">I149   &amp; IF(ISBLANK(M149),, ". "&amp; M149 &amp; IF(ISBLANK(Q149),, ". "&amp; Q149))</f>
        <v>MaxInventoryWeight</v>
      </c>
      <c r="E149" s="6" t="str">
        <f aca="false">I149  &amp;": # on "&amp; L149  &amp; IF(ISBLANK(M149),, ". "&amp; M149 &amp;": # on "&amp; P149 &amp; IF(ISBLANK(Q149),, ". "&amp; Q149 &amp;": # on "&amp; T149))</f>
        <v>MaxInventoryWeight: # on Trainer</v>
      </c>
      <c r="F149" s="6" t="str">
        <f aca="false">IF(U149,"active pal",)  &amp; IF(V149,"working",) &amp; IF(W149,"mounted",) &amp; IF(Y149,"in party (buff)",)  &amp; IF(Z149,"always",)</f>
        <v>always</v>
      </c>
      <c r="G149" s="6" t="n">
        <v>-1</v>
      </c>
      <c r="H149" s="6" t="s">
        <v>182</v>
      </c>
      <c r="I149" s="6" t="s">
        <v>2118</v>
      </c>
      <c r="J149" s="6" t="str">
        <f aca="false">IFERROR(__xludf.dummyfunction("IFS(I149=""ShotAttack"",""%"",I149=""MeleeAttack"",""%"", I149=""Defense"",""%"",I149=""CraftSPeed"",""%"",I149=""LifeSteal"",""%"",I149=""MaxInventoryWeight"",""+"",I149=""MoveSpeed"",""%"",REGEXMATCH(I149,""ElementAddItemDrop_""),""%"",I149=""Logging"","&amp;"""+"",I149=""Mining"",""+"",I149=""Maxhp"",""%"",REGEXMATCH(I149,""TemperatureResist_""),""+"",REGEXMATCH(I149,""ElementResist_""),""%"",REGEXMATCH(I149,""TemperatureInvalid_""),""bool"",REGEXMATCH(I149,""BodyPartsWeakDamage""),""%"",REGEXMATCH(I149,""Ele"&amp;"mentBoost_""),""%"",AND(REGEXMATCH(B149,""GiveA""),REGEXMATCH(I149,""Element"")),""bool"")"),"+")</f>
        <v>+</v>
      </c>
      <c r="K149" s="6" t="n">
        <v>120</v>
      </c>
      <c r="L149" s="6" t="s">
        <v>2034</v>
      </c>
      <c r="M149" s="6"/>
      <c r="N149" s="6" t="str">
        <f aca="false">IFERROR(__xludf.dummyfunction("IFS(M149=""ShotAttack"",""%"",M149=""MeleeAttack"",""%"", M149=""Defense"",""%"",M149=""CraftSPeed"",""%"",M149=""LifeSteal"",""%"",M149=""MaxInventoryWeight"",""+"",M149=""MoveSpeed"",""%"",REGEXMATCH(M149,""ElementAddItemDrop_""),""%"",M149=""Logging"","&amp;"""+"",M149=""Mining"",""+"",M149=""Maxhp"",""%"",REGEXMATCH(M149,""TemperatureResist_""),""+"",REGEXMATCH(M149,""ElementResist_""),""%"",REGEXMATCH(M149,""TemperatureInvalid_""),""bool"",REGEXMATCH(M149,""BodyPartsWeakDamage""),""%"",REGEXMATCH(M149,""Ele"&amp;"mentBoost_""),""%"",AND(REGEXMATCH(F149,""GiveA""),REGEXMATCH(M149,""Element"")),""bool"")"),"#N/A")</f>
        <v>#N/A</v>
      </c>
      <c r="O149" s="6" t="n">
        <v>0</v>
      </c>
      <c r="P149" s="6"/>
      <c r="Q149" s="6"/>
      <c r="R149" s="6" t="str">
        <f aca="false">IFERROR(__xludf.dummyfunction("IFS(Q149=""ShotAttack"",""%"",Q149=""MeleeAttack"",""%"", Q149=""Defense"",""%"",Q149=""CraftSPeed"",""%"",Q149=""LifeSteal"",""%"",Q149=""MaxInventoryWeight"",""+"",Q149=""MoveSpeed"",""%"",REGEXMATCH(Q149,""ElementAddItemDrop_""),""%"",Q149=""Logging"","&amp;"""+"",Q149=""Mining"",""+"",Q149=""Maxhp"",""%"",REGEXMATCH(Q149,""TemperatureResist_""),""+"",REGEXMATCH(Q149,""ElementResist_""),""%"",REGEXMATCH(Q149,""TemperatureInvalid_""),""bool"",REGEXMATCH(Q149,""BodyPartsWeakDamage""),""%"",REGEXMATCH(Q149,""Ele"&amp;"mentBoost_""),""%"",AND(REGEXMATCH(J149,""GiveA""),REGEXMATCH(Q149,""Element"")),""bool"")"),"#N/A")</f>
        <v>#N/A</v>
      </c>
      <c r="S149" s="6" t="n">
        <v>0</v>
      </c>
      <c r="T149" s="6"/>
      <c r="U149" s="319" t="b">
        <f aca="false">FALSE()</f>
        <v>0</v>
      </c>
      <c r="V149" s="319" t="b">
        <f aca="false">FALSE()</f>
        <v>0</v>
      </c>
      <c r="W149" s="319" t="b">
        <f aca="false">FALSE()</f>
        <v>0</v>
      </c>
      <c r="X149" s="319" t="b">
        <f aca="false">FALSE()</f>
        <v>0</v>
      </c>
      <c r="Y149" s="319" t="b">
        <f aca="false">FALSE()</f>
        <v>0</v>
      </c>
      <c r="Z149" s="319" t="b">
        <f aca="false">TRUE()</f>
        <v>1</v>
      </c>
      <c r="AA149" s="319" t="b">
        <f aca="false">FALSE()</f>
        <v>0</v>
      </c>
      <c r="AB149" s="319" t="b">
        <f aca="false">FALSE()</f>
        <v>0</v>
      </c>
      <c r="AC149" s="319" t="b">
        <f aca="false">FALSE()</f>
        <v>0</v>
      </c>
      <c r="AD149" s="319" t="b">
        <f aca="false">FALSE()</f>
        <v>0</v>
      </c>
      <c r="AE149" s="319" t="b">
        <f aca="false">FALSE()</f>
        <v>0</v>
      </c>
      <c r="AF149" s="319" t="b">
        <f aca="false">FALSE()</f>
        <v>0</v>
      </c>
      <c r="AG149" s="6" t="s">
        <v>182</v>
      </c>
      <c r="AH149" s="6" t="s">
        <v>182</v>
      </c>
    </row>
    <row r="150" customFormat="false" ht="15.75" hidden="false" customHeight="false" outlineLevel="0" collapsed="false">
      <c r="A150" s="1" t="e">
        <f aca="false">#N/A</f>
        <v>#N/A</v>
      </c>
      <c r="B150" s="6" t="s">
        <v>1030</v>
      </c>
      <c r="C150" s="3"/>
      <c r="D150" s="6" t="str">
        <f aca="false">I150   &amp; IF(ISBLANK(M150),, ". "&amp; M150 &amp; IF(ISBLANK(Q150),, ". "&amp; Q150))</f>
        <v>MaxInventoryWeight</v>
      </c>
      <c r="E150" s="6" t="str">
        <f aca="false">I150  &amp;": # on "&amp; L150  &amp; IF(ISBLANK(M150),, ". "&amp; M150 &amp;": # on "&amp; P150 &amp; IF(ISBLANK(Q150),, ". "&amp; Q150 &amp;": # on "&amp; T150))</f>
        <v>MaxInventoryWeight: # on Trainer</v>
      </c>
      <c r="F150" s="6" t="str">
        <f aca="false">IF(U150,"active pal",)  &amp; IF(V150,"working",) &amp; IF(W150,"mounted",) &amp; IF(Y150,"in party (buff)",)  &amp; IF(Z150,"always",)</f>
        <v>always</v>
      </c>
      <c r="G150" s="6" t="n">
        <v>-1</v>
      </c>
      <c r="H150" s="6" t="s">
        <v>182</v>
      </c>
      <c r="I150" s="6" t="s">
        <v>2118</v>
      </c>
      <c r="J150" s="6" t="str">
        <f aca="false">IFERROR(__xludf.dummyfunction("IFS(I150=""ShotAttack"",""%"",I150=""MeleeAttack"",""%"", I150=""Defense"",""%"",I150=""CraftSPeed"",""%"",I150=""LifeSteal"",""%"",I150=""MaxInventoryWeight"",""+"",I150=""MoveSpeed"",""%"",REGEXMATCH(I150,""ElementAddItemDrop_""),""%"",I150=""Logging"","&amp;"""+"",I150=""Mining"",""+"",I150=""Maxhp"",""%"",REGEXMATCH(I150,""TemperatureResist_""),""+"",REGEXMATCH(I150,""ElementResist_""),""%"",REGEXMATCH(I150,""TemperatureInvalid_""),""bool"",REGEXMATCH(I150,""BodyPartsWeakDamage""),""%"",REGEXMATCH(I150,""Ele"&amp;"mentBoost_""),""%"",AND(REGEXMATCH(B150,""GiveA""),REGEXMATCH(I150,""Element"")),""bool"")"),"+")</f>
        <v>+</v>
      </c>
      <c r="K150" s="6" t="n">
        <v>130</v>
      </c>
      <c r="L150" s="6" t="s">
        <v>2034</v>
      </c>
      <c r="M150" s="6"/>
      <c r="N150" s="6" t="str">
        <f aca="false">IFERROR(__xludf.dummyfunction("IFS(M150=""ShotAttack"",""%"",M150=""MeleeAttack"",""%"", M150=""Defense"",""%"",M150=""CraftSPeed"",""%"",M150=""LifeSteal"",""%"",M150=""MaxInventoryWeight"",""+"",M150=""MoveSpeed"",""%"",REGEXMATCH(M150,""ElementAddItemDrop_""),""%"",M150=""Logging"","&amp;"""+"",M150=""Mining"",""+"",M150=""Maxhp"",""%"",REGEXMATCH(M150,""TemperatureResist_""),""+"",REGEXMATCH(M150,""ElementResist_""),""%"",REGEXMATCH(M150,""TemperatureInvalid_""),""bool"",REGEXMATCH(M150,""BodyPartsWeakDamage""),""%"",REGEXMATCH(M150,""Ele"&amp;"mentBoost_""),""%"",AND(REGEXMATCH(F150,""GiveA""),REGEXMATCH(M150,""Element"")),""bool"")"),"#N/A")</f>
        <v>#N/A</v>
      </c>
      <c r="O150" s="6" t="n">
        <v>0</v>
      </c>
      <c r="P150" s="6"/>
      <c r="Q150" s="6"/>
      <c r="R150" s="6" t="str">
        <f aca="false">IFERROR(__xludf.dummyfunction("IFS(Q150=""ShotAttack"",""%"",Q150=""MeleeAttack"",""%"", Q150=""Defense"",""%"",Q150=""CraftSPeed"",""%"",Q150=""LifeSteal"",""%"",Q150=""MaxInventoryWeight"",""+"",Q150=""MoveSpeed"",""%"",REGEXMATCH(Q150,""ElementAddItemDrop_""),""%"",Q150=""Logging"","&amp;"""+"",Q150=""Mining"",""+"",Q150=""Maxhp"",""%"",REGEXMATCH(Q150,""TemperatureResist_""),""+"",REGEXMATCH(Q150,""ElementResist_""),""%"",REGEXMATCH(Q150,""TemperatureInvalid_""),""bool"",REGEXMATCH(Q150,""BodyPartsWeakDamage""),""%"",REGEXMATCH(Q150,""Ele"&amp;"mentBoost_""),""%"",AND(REGEXMATCH(J150,""GiveA""),REGEXMATCH(Q150,""Element"")),""bool"")"),"#N/A")</f>
        <v>#N/A</v>
      </c>
      <c r="S150" s="6" t="n">
        <v>0</v>
      </c>
      <c r="T150" s="6"/>
      <c r="U150" s="319" t="b">
        <f aca="false">FALSE()</f>
        <v>0</v>
      </c>
      <c r="V150" s="319" t="b">
        <f aca="false">FALSE()</f>
        <v>0</v>
      </c>
      <c r="W150" s="319" t="b">
        <f aca="false">FALSE()</f>
        <v>0</v>
      </c>
      <c r="X150" s="319" t="b">
        <f aca="false">FALSE()</f>
        <v>0</v>
      </c>
      <c r="Y150" s="319" t="b">
        <f aca="false">FALSE()</f>
        <v>0</v>
      </c>
      <c r="Z150" s="319" t="b">
        <f aca="false">TRUE()</f>
        <v>1</v>
      </c>
      <c r="AA150" s="319" t="b">
        <f aca="false">FALSE()</f>
        <v>0</v>
      </c>
      <c r="AB150" s="319" t="b">
        <f aca="false">FALSE()</f>
        <v>0</v>
      </c>
      <c r="AC150" s="319" t="b">
        <f aca="false">FALSE()</f>
        <v>0</v>
      </c>
      <c r="AD150" s="319" t="b">
        <f aca="false">FALSE()</f>
        <v>0</v>
      </c>
      <c r="AE150" s="319" t="b">
        <f aca="false">FALSE()</f>
        <v>0</v>
      </c>
      <c r="AF150" s="319" t="b">
        <f aca="false">FALSE()</f>
        <v>0</v>
      </c>
      <c r="AG150" s="6" t="s">
        <v>182</v>
      </c>
      <c r="AH150" s="6" t="s">
        <v>182</v>
      </c>
    </row>
    <row r="151" customFormat="false" ht="15.75" hidden="false" customHeight="false" outlineLevel="0" collapsed="false">
      <c r="A151" s="1" t="e">
        <f aca="false">#N/A</f>
        <v>#N/A</v>
      </c>
      <c r="B151" s="6" t="s">
        <v>1031</v>
      </c>
      <c r="C151" s="3"/>
      <c r="D151" s="6" t="str">
        <f aca="false">I151   &amp; IF(ISBLANK(M151),, ". "&amp; M151 &amp; IF(ISBLANK(Q151),, ". "&amp; Q151))</f>
        <v>MaxInventoryWeight</v>
      </c>
      <c r="E151" s="6" t="str">
        <f aca="false">I151  &amp;": # on "&amp; L151  &amp; IF(ISBLANK(M151),, ". "&amp; M151 &amp;": # on "&amp; P151 &amp; IF(ISBLANK(Q151),, ". "&amp; Q151 &amp;": # on "&amp; T151))</f>
        <v>MaxInventoryWeight: # on Trainer</v>
      </c>
      <c r="F151" s="6" t="str">
        <f aca="false">IF(U151,"active pal",)  &amp; IF(V151,"working",) &amp; IF(W151,"mounted",) &amp; IF(Y151,"in party (buff)",)  &amp; IF(Z151,"always",)</f>
        <v>always</v>
      </c>
      <c r="G151" s="6" t="n">
        <v>-1</v>
      </c>
      <c r="H151" s="6" t="s">
        <v>182</v>
      </c>
      <c r="I151" s="6" t="s">
        <v>2118</v>
      </c>
      <c r="J151" s="6" t="str">
        <f aca="false">IFERROR(__xludf.dummyfunction("IFS(I151=""ShotAttack"",""%"",I151=""MeleeAttack"",""%"", I151=""Defense"",""%"",I151=""CraftSPeed"",""%"",I151=""LifeSteal"",""%"",I151=""MaxInventoryWeight"",""+"",I151=""MoveSpeed"",""%"",REGEXMATCH(I151,""ElementAddItemDrop_""),""%"",I151=""Logging"","&amp;"""+"",I151=""Mining"",""+"",I151=""Maxhp"",""%"",REGEXMATCH(I151,""TemperatureResist_""),""+"",REGEXMATCH(I151,""ElementResist_""),""%"",REGEXMATCH(I151,""TemperatureInvalid_""),""bool"",REGEXMATCH(I151,""BodyPartsWeakDamage""),""%"",REGEXMATCH(I151,""Ele"&amp;"mentBoost_""),""%"",AND(REGEXMATCH(B151,""GiveA""),REGEXMATCH(I151,""Element"")),""bool"")"),"+")</f>
        <v>+</v>
      </c>
      <c r="K151" s="6" t="n">
        <v>140</v>
      </c>
      <c r="L151" s="6" t="s">
        <v>2034</v>
      </c>
      <c r="M151" s="6"/>
      <c r="N151" s="6" t="str">
        <f aca="false">IFERROR(__xludf.dummyfunction("IFS(M151=""ShotAttack"",""%"",M151=""MeleeAttack"",""%"", M151=""Defense"",""%"",M151=""CraftSPeed"",""%"",M151=""LifeSteal"",""%"",M151=""MaxInventoryWeight"",""+"",M151=""MoveSpeed"",""%"",REGEXMATCH(M151,""ElementAddItemDrop_""),""%"",M151=""Logging"","&amp;"""+"",M151=""Mining"",""+"",M151=""Maxhp"",""%"",REGEXMATCH(M151,""TemperatureResist_""),""+"",REGEXMATCH(M151,""ElementResist_""),""%"",REGEXMATCH(M151,""TemperatureInvalid_""),""bool"",REGEXMATCH(M151,""BodyPartsWeakDamage""),""%"",REGEXMATCH(M151,""Ele"&amp;"mentBoost_""),""%"",AND(REGEXMATCH(F151,""GiveA""),REGEXMATCH(M151,""Element"")),""bool"")"),"#N/A")</f>
        <v>#N/A</v>
      </c>
      <c r="O151" s="6" t="n">
        <v>0</v>
      </c>
      <c r="P151" s="6"/>
      <c r="Q151" s="6"/>
      <c r="R151" s="6" t="str">
        <f aca="false">IFERROR(__xludf.dummyfunction("IFS(Q151=""ShotAttack"",""%"",Q151=""MeleeAttack"",""%"", Q151=""Defense"",""%"",Q151=""CraftSPeed"",""%"",Q151=""LifeSteal"",""%"",Q151=""MaxInventoryWeight"",""+"",Q151=""MoveSpeed"",""%"",REGEXMATCH(Q151,""ElementAddItemDrop_""),""%"",Q151=""Logging"","&amp;"""+"",Q151=""Mining"",""+"",Q151=""Maxhp"",""%"",REGEXMATCH(Q151,""TemperatureResist_""),""+"",REGEXMATCH(Q151,""ElementResist_""),""%"",REGEXMATCH(Q151,""TemperatureInvalid_""),""bool"",REGEXMATCH(Q151,""BodyPartsWeakDamage""),""%"",REGEXMATCH(Q151,""Ele"&amp;"mentBoost_""),""%"",AND(REGEXMATCH(J151,""GiveA""),REGEXMATCH(Q151,""Element"")),""bool"")"),"#N/A")</f>
        <v>#N/A</v>
      </c>
      <c r="S151" s="6" t="n">
        <v>0</v>
      </c>
      <c r="T151" s="6"/>
      <c r="U151" s="319" t="b">
        <f aca="false">FALSE()</f>
        <v>0</v>
      </c>
      <c r="V151" s="319" t="b">
        <f aca="false">FALSE()</f>
        <v>0</v>
      </c>
      <c r="W151" s="319" t="b">
        <f aca="false">FALSE()</f>
        <v>0</v>
      </c>
      <c r="X151" s="319" t="b">
        <f aca="false">FALSE()</f>
        <v>0</v>
      </c>
      <c r="Y151" s="319" t="b">
        <f aca="false">FALSE()</f>
        <v>0</v>
      </c>
      <c r="Z151" s="319" t="b">
        <f aca="false">TRUE()</f>
        <v>1</v>
      </c>
      <c r="AA151" s="319" t="b">
        <f aca="false">FALSE()</f>
        <v>0</v>
      </c>
      <c r="AB151" s="319" t="b">
        <f aca="false">FALSE()</f>
        <v>0</v>
      </c>
      <c r="AC151" s="319" t="b">
        <f aca="false">FALSE()</f>
        <v>0</v>
      </c>
      <c r="AD151" s="319" t="b">
        <f aca="false">FALSE()</f>
        <v>0</v>
      </c>
      <c r="AE151" s="319" t="b">
        <f aca="false">FALSE()</f>
        <v>0</v>
      </c>
      <c r="AF151" s="319" t="b">
        <f aca="false">FALSE()</f>
        <v>0</v>
      </c>
      <c r="AG151" s="6" t="s">
        <v>182</v>
      </c>
      <c r="AH151" s="6" t="s">
        <v>182</v>
      </c>
    </row>
    <row r="152" customFormat="false" ht="15.75" hidden="false" customHeight="false" outlineLevel="0" collapsed="false">
      <c r="A152" s="1" t="e">
        <f aca="false">#N/A</f>
        <v>#N/A</v>
      </c>
      <c r="B152" s="6" t="s">
        <v>1083</v>
      </c>
      <c r="C152" s="3"/>
      <c r="D152" s="6" t="str">
        <f aca="false">I152   &amp; IF(ISBLANK(M152),, ". "&amp; M152 &amp; IF(ISBLANK(Q152),, ". "&amp; Q152))</f>
        <v>MaxInventoryWeight</v>
      </c>
      <c r="E152" s="6" t="str">
        <f aca="false">I152  &amp;": # on "&amp; L152  &amp; IF(ISBLANK(M152),, ". "&amp; M152 &amp;": # on "&amp; P152 &amp; IF(ISBLANK(Q152),, ". "&amp; Q152 &amp;": # on "&amp; T152))</f>
        <v>MaxInventoryWeight: # on Trainer</v>
      </c>
      <c r="F152" s="6" t="str">
        <f aca="false">IF(U152,"active pal",)  &amp; IF(V152,"working",) &amp; IF(W152,"mounted",) &amp; IF(Y152,"in party (buff)",)  &amp; IF(Z152,"always",)</f>
        <v>always</v>
      </c>
      <c r="G152" s="6" t="n">
        <v>-1</v>
      </c>
      <c r="H152" s="6" t="s">
        <v>182</v>
      </c>
      <c r="I152" s="6" t="s">
        <v>2118</v>
      </c>
      <c r="J152" s="6" t="str">
        <f aca="false">IFERROR(__xludf.dummyfunction("IFS(I152=""ShotAttack"",""%"",I152=""MeleeAttack"",""%"", I152=""Defense"",""%"",I152=""CraftSPeed"",""%"",I152=""LifeSteal"",""%"",I152=""MaxInventoryWeight"",""+"",I152=""MoveSpeed"",""%"",REGEXMATCH(I152,""ElementAddItemDrop_""),""%"",I152=""Logging"","&amp;"""+"",I152=""Mining"",""+"",I152=""Maxhp"",""%"",REGEXMATCH(I152,""TemperatureResist_""),""+"",REGEXMATCH(I152,""ElementResist_""),""%"",REGEXMATCH(I152,""TemperatureInvalid_""),""bool"",REGEXMATCH(I152,""BodyPartsWeakDamage""),""%"",REGEXMATCH(I152,""Ele"&amp;"mentBoost_""),""%"",AND(REGEXMATCH(B152,""GiveA""),REGEXMATCH(I152,""Element"")),""bool"")"),"+")</f>
        <v>+</v>
      </c>
      <c r="K152" s="6" t="n">
        <v>150</v>
      </c>
      <c r="L152" s="6" t="s">
        <v>2034</v>
      </c>
      <c r="M152" s="6"/>
      <c r="N152" s="6" t="str">
        <f aca="false">IFERROR(__xludf.dummyfunction("IFS(M152=""ShotAttack"",""%"",M152=""MeleeAttack"",""%"", M152=""Defense"",""%"",M152=""CraftSPeed"",""%"",M152=""LifeSteal"",""%"",M152=""MaxInventoryWeight"",""+"",M152=""MoveSpeed"",""%"",REGEXMATCH(M152,""ElementAddItemDrop_""),""%"",M152=""Logging"","&amp;"""+"",M152=""Mining"",""+"",M152=""Maxhp"",""%"",REGEXMATCH(M152,""TemperatureResist_""),""+"",REGEXMATCH(M152,""ElementResist_""),""%"",REGEXMATCH(M152,""TemperatureInvalid_""),""bool"",REGEXMATCH(M152,""BodyPartsWeakDamage""),""%"",REGEXMATCH(M152,""Ele"&amp;"mentBoost_""),""%"",AND(REGEXMATCH(F152,""GiveA""),REGEXMATCH(M152,""Element"")),""bool"")"),"#N/A")</f>
        <v>#N/A</v>
      </c>
      <c r="O152" s="6" t="n">
        <v>0</v>
      </c>
      <c r="P152" s="6"/>
      <c r="Q152" s="6"/>
      <c r="R152" s="6" t="str">
        <f aca="false">IFERROR(__xludf.dummyfunction("IFS(Q152=""ShotAttack"",""%"",Q152=""MeleeAttack"",""%"", Q152=""Defense"",""%"",Q152=""CraftSPeed"",""%"",Q152=""LifeSteal"",""%"",Q152=""MaxInventoryWeight"",""+"",Q152=""MoveSpeed"",""%"",REGEXMATCH(Q152,""ElementAddItemDrop_""),""%"",Q152=""Logging"","&amp;"""+"",Q152=""Mining"",""+"",Q152=""Maxhp"",""%"",REGEXMATCH(Q152,""TemperatureResist_""),""+"",REGEXMATCH(Q152,""ElementResist_""),""%"",REGEXMATCH(Q152,""TemperatureInvalid_""),""bool"",REGEXMATCH(Q152,""BodyPartsWeakDamage""),""%"",REGEXMATCH(Q152,""Ele"&amp;"mentBoost_""),""%"",AND(REGEXMATCH(J152,""GiveA""),REGEXMATCH(Q152,""Element"")),""bool"")"),"#N/A")</f>
        <v>#N/A</v>
      </c>
      <c r="S152" s="6" t="n">
        <v>0</v>
      </c>
      <c r="T152" s="6"/>
      <c r="U152" s="319" t="b">
        <f aca="false">FALSE()</f>
        <v>0</v>
      </c>
      <c r="V152" s="319" t="b">
        <f aca="false">FALSE()</f>
        <v>0</v>
      </c>
      <c r="W152" s="319" t="b">
        <f aca="false">FALSE()</f>
        <v>0</v>
      </c>
      <c r="X152" s="319" t="b">
        <f aca="false">FALSE()</f>
        <v>0</v>
      </c>
      <c r="Y152" s="319" t="b">
        <f aca="false">FALSE()</f>
        <v>0</v>
      </c>
      <c r="Z152" s="319" t="b">
        <f aca="false">TRUE()</f>
        <v>1</v>
      </c>
      <c r="AA152" s="319" t="b">
        <f aca="false">FALSE()</f>
        <v>0</v>
      </c>
      <c r="AB152" s="319" t="b">
        <f aca="false">FALSE()</f>
        <v>0</v>
      </c>
      <c r="AC152" s="319" t="b">
        <f aca="false">FALSE()</f>
        <v>0</v>
      </c>
      <c r="AD152" s="319" t="b">
        <f aca="false">FALSE()</f>
        <v>0</v>
      </c>
      <c r="AE152" s="319" t="b">
        <f aca="false">FALSE()</f>
        <v>0</v>
      </c>
      <c r="AF152" s="319" t="b">
        <f aca="false">FALSE()</f>
        <v>0</v>
      </c>
      <c r="AG152" s="6" t="s">
        <v>182</v>
      </c>
      <c r="AH152" s="6" t="s">
        <v>182</v>
      </c>
    </row>
    <row r="153" customFormat="false" ht="15.75" hidden="false" customHeight="false" outlineLevel="0" collapsed="false">
      <c r="A153" s="1" t="e">
        <f aca="false">#N/A</f>
        <v>#N/A</v>
      </c>
      <c r="B153" s="6" t="s">
        <v>1084</v>
      </c>
      <c r="C153" s="3"/>
      <c r="D153" s="6" t="str">
        <f aca="false">I153   &amp; IF(ISBLANK(M153),, ". "&amp; M153 &amp; IF(ISBLANK(Q153),, ". "&amp; Q153))</f>
        <v>MaxInventoryWeight</v>
      </c>
      <c r="E153" s="6" t="str">
        <f aca="false">I153  &amp;": # on "&amp; L153  &amp; IF(ISBLANK(M153),, ". "&amp; M153 &amp;": # on "&amp; P153 &amp; IF(ISBLANK(Q153),, ". "&amp; Q153 &amp;": # on "&amp; T153))</f>
        <v>MaxInventoryWeight: # on Trainer</v>
      </c>
      <c r="F153" s="6" t="str">
        <f aca="false">IF(U153,"active pal",)  &amp; IF(V153,"working",) &amp; IF(W153,"mounted",) &amp; IF(Y153,"in party (buff)",)  &amp; IF(Z153,"always",)</f>
        <v>always</v>
      </c>
      <c r="G153" s="6" t="n">
        <v>-1</v>
      </c>
      <c r="H153" s="6" t="s">
        <v>182</v>
      </c>
      <c r="I153" s="6" t="s">
        <v>2118</v>
      </c>
      <c r="J153" s="6" t="str">
        <f aca="false">IFERROR(__xludf.dummyfunction("IFS(I153=""ShotAttack"",""%"",I153=""MeleeAttack"",""%"", I153=""Defense"",""%"",I153=""CraftSPeed"",""%"",I153=""LifeSteal"",""%"",I153=""MaxInventoryWeight"",""+"",I153=""MoveSpeed"",""%"",REGEXMATCH(I153,""ElementAddItemDrop_""),""%"",I153=""Logging"","&amp;"""+"",I153=""Mining"",""+"",I153=""Maxhp"",""%"",REGEXMATCH(I153,""TemperatureResist_""),""+"",REGEXMATCH(I153,""ElementResist_""),""%"",REGEXMATCH(I153,""TemperatureInvalid_""),""bool"",REGEXMATCH(I153,""BodyPartsWeakDamage""),""%"",REGEXMATCH(I153,""Ele"&amp;"mentBoost_""),""%"",AND(REGEXMATCH(B153,""GiveA""),REGEXMATCH(I153,""Element"")),""bool"")"),"+")</f>
        <v>+</v>
      </c>
      <c r="K153" s="6" t="n">
        <v>160</v>
      </c>
      <c r="L153" s="6" t="s">
        <v>2034</v>
      </c>
      <c r="M153" s="6"/>
      <c r="N153" s="6" t="str">
        <f aca="false">IFERROR(__xludf.dummyfunction("IFS(M153=""ShotAttack"",""%"",M153=""MeleeAttack"",""%"", M153=""Defense"",""%"",M153=""CraftSPeed"",""%"",M153=""LifeSteal"",""%"",M153=""MaxInventoryWeight"",""+"",M153=""MoveSpeed"",""%"",REGEXMATCH(M153,""ElementAddItemDrop_""),""%"",M153=""Logging"","&amp;"""+"",M153=""Mining"",""+"",M153=""Maxhp"",""%"",REGEXMATCH(M153,""TemperatureResist_""),""+"",REGEXMATCH(M153,""ElementResist_""),""%"",REGEXMATCH(M153,""TemperatureInvalid_""),""bool"",REGEXMATCH(M153,""BodyPartsWeakDamage""),""%"",REGEXMATCH(M153,""Ele"&amp;"mentBoost_""),""%"",AND(REGEXMATCH(F153,""GiveA""),REGEXMATCH(M153,""Element"")),""bool"")"),"#N/A")</f>
        <v>#N/A</v>
      </c>
      <c r="O153" s="6" t="n">
        <v>0</v>
      </c>
      <c r="P153" s="6"/>
      <c r="Q153" s="6"/>
      <c r="R153" s="6" t="str">
        <f aca="false">IFERROR(__xludf.dummyfunction("IFS(Q153=""ShotAttack"",""%"",Q153=""MeleeAttack"",""%"", Q153=""Defense"",""%"",Q153=""CraftSPeed"",""%"",Q153=""LifeSteal"",""%"",Q153=""MaxInventoryWeight"",""+"",Q153=""MoveSpeed"",""%"",REGEXMATCH(Q153,""ElementAddItemDrop_""),""%"",Q153=""Logging"","&amp;"""+"",Q153=""Mining"",""+"",Q153=""Maxhp"",""%"",REGEXMATCH(Q153,""TemperatureResist_""),""+"",REGEXMATCH(Q153,""ElementResist_""),""%"",REGEXMATCH(Q153,""TemperatureInvalid_""),""bool"",REGEXMATCH(Q153,""BodyPartsWeakDamage""),""%"",REGEXMATCH(Q153,""Ele"&amp;"mentBoost_""),""%"",AND(REGEXMATCH(J153,""GiveA""),REGEXMATCH(Q153,""Element"")),""bool"")"),"#N/A")</f>
        <v>#N/A</v>
      </c>
      <c r="S153" s="6" t="n">
        <v>0</v>
      </c>
      <c r="T153" s="6"/>
      <c r="U153" s="319" t="b">
        <f aca="false">FALSE()</f>
        <v>0</v>
      </c>
      <c r="V153" s="319" t="b">
        <f aca="false">FALSE()</f>
        <v>0</v>
      </c>
      <c r="W153" s="319" t="b">
        <f aca="false">FALSE()</f>
        <v>0</v>
      </c>
      <c r="X153" s="319" t="b">
        <f aca="false">FALSE()</f>
        <v>0</v>
      </c>
      <c r="Y153" s="319" t="b">
        <f aca="false">FALSE()</f>
        <v>0</v>
      </c>
      <c r="Z153" s="319" t="b">
        <f aca="false">TRUE()</f>
        <v>1</v>
      </c>
      <c r="AA153" s="319" t="b">
        <f aca="false">FALSE()</f>
        <v>0</v>
      </c>
      <c r="AB153" s="319" t="b">
        <f aca="false">FALSE()</f>
        <v>0</v>
      </c>
      <c r="AC153" s="319" t="b">
        <f aca="false">FALSE()</f>
        <v>0</v>
      </c>
      <c r="AD153" s="319" t="b">
        <f aca="false">FALSE()</f>
        <v>0</v>
      </c>
      <c r="AE153" s="319" t="b">
        <f aca="false">FALSE()</f>
        <v>0</v>
      </c>
      <c r="AF153" s="319" t="b">
        <f aca="false">FALSE()</f>
        <v>0</v>
      </c>
      <c r="AG153" s="6" t="s">
        <v>182</v>
      </c>
      <c r="AH153" s="6" t="s">
        <v>182</v>
      </c>
    </row>
    <row r="154" customFormat="false" ht="15.75" hidden="false" customHeight="false" outlineLevel="0" collapsed="false">
      <c r="A154" s="3" t="s">
        <v>2123</v>
      </c>
      <c r="B154" s="6" t="s">
        <v>2124</v>
      </c>
      <c r="C154" s="311" t="b">
        <f aca="false">TRUE()</f>
        <v>1</v>
      </c>
      <c r="D154" s="6" t="str">
        <f aca="false">I154   &amp; IF(ISBLANK(M154),, ". "&amp; M154 &amp; IF(ISBLANK(Q154),, ". "&amp; Q154))</f>
        <v>ShotAttack</v>
      </c>
      <c r="E154" s="6" t="str">
        <f aca="false">I154  &amp;": # on "&amp; L154  &amp; IF(ISBLANK(M154),, ". "&amp; M154 &amp;": # on "&amp; P154 &amp; IF(ISBLANK(Q154),, ". "&amp; Q154 &amp;": # on "&amp; T154))</f>
        <v>ShotAttack: # on Self</v>
      </c>
      <c r="F154" s="6" t="str">
        <f aca="false">IF(U154,"active pal",)  &amp; IF(V154,"working",) &amp; IF(W154,"mounted",) &amp; IF(Y154,"in party (buff)",)  &amp; IF(Z154,"always",)</f>
        <v>always</v>
      </c>
      <c r="G154" s="6" t="n">
        <v>3</v>
      </c>
      <c r="H154" s="6" t="s">
        <v>182</v>
      </c>
      <c r="I154" s="6" t="s">
        <v>659</v>
      </c>
      <c r="J154" s="6" t="str">
        <f aca="false">IFERROR(__xludf.dummyfunction("IFS(I154=""ShotAttack"",""%"",I154=""MeleeAttack"",""%"", I154=""Defense"",""%"",I154=""CraftSPeed"",""%"",I154=""LifeSteal"",""%"",I154=""MaxInventoryWeight"",""+"",I154=""MoveSpeed"",""%"",REGEXMATCH(I154,""ElementAddItemDrop_""),""%"",I154=""Logging"","&amp;"""+"",I154=""Mining"",""+"",I154=""Maxhp"",""%"",REGEXMATCH(I154,""TemperatureResist_""),""+"",REGEXMATCH(I154,""ElementResist_""),""%"",REGEXMATCH(I154,""TemperatureInvalid_""),""bool"",REGEXMATCH(I154,""BodyPartsWeakDamage""),""%"",REGEXMATCH(I154,""Ele"&amp;"mentBoost_""),""%"",AND(REGEXMATCH(B154,""GiveA""),REGEXMATCH(I154,""Element"")),""bool"")"),"%")</f>
        <v>%</v>
      </c>
      <c r="K154" s="6" t="n">
        <v>20</v>
      </c>
      <c r="L154" s="6" t="s">
        <v>1956</v>
      </c>
      <c r="M154" s="6"/>
      <c r="N154" s="6" t="str">
        <f aca="false">IFERROR(__xludf.dummyfunction("IFS(M154=""ShotAttack"",""%"",M154=""MeleeAttack"",""%"", M154=""Defense"",""%"",M154=""CraftSPeed"",""%"",M154=""LifeSteal"",""%"",M154=""MaxInventoryWeight"",""+"",M154=""MoveSpeed"",""%"",REGEXMATCH(M154,""ElementAddItemDrop_""),""%"",M154=""Logging"","&amp;"""+"",M154=""Mining"",""+"",M154=""Maxhp"",""%"",REGEXMATCH(M154,""TemperatureResist_""),""+"",REGEXMATCH(M154,""ElementResist_""),""%"",REGEXMATCH(M154,""TemperatureInvalid_""),""bool"",REGEXMATCH(M154,""BodyPartsWeakDamage""),""%"",REGEXMATCH(M154,""Ele"&amp;"mentBoost_""),""%"",AND(REGEXMATCH(F154,""GiveA""),REGEXMATCH(M154,""Element"")),""bool"")"),"#N/A")</f>
        <v>#N/A</v>
      </c>
      <c r="O154" s="6" t="n">
        <v>0</v>
      </c>
      <c r="P154" s="6"/>
      <c r="Q154" s="6"/>
      <c r="R154" s="6" t="str">
        <f aca="false">IFERROR(__xludf.dummyfunction("IFS(Q154=""ShotAttack"",""%"",Q154=""MeleeAttack"",""%"", Q154=""Defense"",""%"",Q154=""CraftSPeed"",""%"",Q154=""LifeSteal"",""%"",Q154=""MaxInventoryWeight"",""+"",Q154=""MoveSpeed"",""%"",REGEXMATCH(Q154,""ElementAddItemDrop_""),""%"",Q154=""Logging"","&amp;"""+"",Q154=""Mining"",""+"",Q154=""Maxhp"",""%"",REGEXMATCH(Q154,""TemperatureResist_""),""+"",REGEXMATCH(Q154,""ElementResist_""),""%"",REGEXMATCH(Q154,""TemperatureInvalid_""),""bool"",REGEXMATCH(Q154,""BodyPartsWeakDamage""),""%"",REGEXMATCH(Q154,""Ele"&amp;"mentBoost_""),""%"",AND(REGEXMATCH(J154,""GiveA""),REGEXMATCH(Q154,""Element"")),""bool"")"),"#N/A")</f>
        <v>#N/A</v>
      </c>
      <c r="S154" s="6" t="n">
        <v>0</v>
      </c>
      <c r="T154" s="6"/>
      <c r="U154" s="319" t="b">
        <f aca="false">FALSE()</f>
        <v>0</v>
      </c>
      <c r="V154" s="319" t="b">
        <f aca="false">FALSE()</f>
        <v>0</v>
      </c>
      <c r="W154" s="319" t="b">
        <f aca="false">FALSE()</f>
        <v>0</v>
      </c>
      <c r="X154" s="319" t="b">
        <f aca="false">FALSE()</f>
        <v>0</v>
      </c>
      <c r="Y154" s="319" t="b">
        <f aca="false">FALSE()</f>
        <v>0</v>
      </c>
      <c r="Z154" s="319" t="b">
        <f aca="false">TRUE()</f>
        <v>1</v>
      </c>
      <c r="AA154" s="319" t="b">
        <f aca="false">TRUE()</f>
        <v>1</v>
      </c>
      <c r="AB154" s="319" t="b">
        <f aca="false">FALSE()</f>
        <v>0</v>
      </c>
      <c r="AC154" s="319" t="b">
        <f aca="false">FALSE()</f>
        <v>0</v>
      </c>
      <c r="AD154" s="319" t="b">
        <f aca="false">FALSE()</f>
        <v>0</v>
      </c>
      <c r="AE154" s="319" t="b">
        <f aca="false">FALSE()</f>
        <v>0</v>
      </c>
      <c r="AF154" s="319" t="b">
        <f aca="false">FALSE()</f>
        <v>0</v>
      </c>
      <c r="AG154" s="6" t="s">
        <v>182</v>
      </c>
      <c r="AH154" s="6" t="s">
        <v>182</v>
      </c>
    </row>
    <row r="155" customFormat="false" ht="15.75" hidden="false" customHeight="false" outlineLevel="0" collapsed="false">
      <c r="A155" s="3" t="s">
        <v>2125</v>
      </c>
      <c r="B155" s="6" t="s">
        <v>2126</v>
      </c>
      <c r="C155" s="311" t="b">
        <f aca="false">TRUE()</f>
        <v>1</v>
      </c>
      <c r="D155" s="6" t="str">
        <f aca="false">I155   &amp; IF(ISBLANK(M155),, ". "&amp; M155 &amp; IF(ISBLANK(Q155),, ". "&amp; Q155))</f>
        <v>ShotAttack</v>
      </c>
      <c r="E155" s="6" t="str">
        <f aca="false">I155  &amp;": # on "&amp; L155  &amp; IF(ISBLANK(M155),, ". "&amp; M155 &amp;": # on "&amp; P155 &amp; IF(ISBLANK(Q155),, ". "&amp; Q155 &amp;": # on "&amp; T155))</f>
        <v>ShotAttack: # on Self</v>
      </c>
      <c r="F155" s="6" t="str">
        <f aca="false">IF(U155,"active pal",)  &amp; IF(V155,"working",) &amp; IF(W155,"mounted",) &amp; IF(Y155,"in party (buff)",)  &amp; IF(Z155,"always",)</f>
        <v>always</v>
      </c>
      <c r="G155" s="6" t="n">
        <v>1</v>
      </c>
      <c r="H155" s="6" t="s">
        <v>182</v>
      </c>
      <c r="I155" s="6" t="s">
        <v>659</v>
      </c>
      <c r="J155" s="6" t="str">
        <f aca="false">IFERROR(__xludf.dummyfunction("IFS(I155=""ShotAttack"",""%"",I155=""MeleeAttack"",""%"", I155=""Defense"",""%"",I155=""CraftSPeed"",""%"",I155=""LifeSteal"",""%"",I155=""MaxInventoryWeight"",""+"",I155=""MoveSpeed"",""%"",REGEXMATCH(I155,""ElementAddItemDrop_""),""%"",I155=""Logging"","&amp;"""+"",I155=""Mining"",""+"",I155=""Maxhp"",""%"",REGEXMATCH(I155,""TemperatureResist_""),""+"",REGEXMATCH(I155,""ElementResist_""),""%"",REGEXMATCH(I155,""TemperatureInvalid_""),""bool"",REGEXMATCH(I155,""BodyPartsWeakDamage""),""%"",REGEXMATCH(I155,""Ele"&amp;"mentBoost_""),""%"",AND(REGEXMATCH(B155,""GiveA""),REGEXMATCH(I155,""Element"")),""bool"")"),"%")</f>
        <v>%</v>
      </c>
      <c r="K155" s="6" t="n">
        <v>10</v>
      </c>
      <c r="L155" s="6" t="s">
        <v>1956</v>
      </c>
      <c r="M155" s="6"/>
      <c r="N155" s="6" t="str">
        <f aca="false">IFERROR(__xludf.dummyfunction("IFS(M155=""ShotAttack"",""%"",M155=""MeleeAttack"",""%"", M155=""Defense"",""%"",M155=""CraftSPeed"",""%"",M155=""LifeSteal"",""%"",M155=""MaxInventoryWeight"",""+"",M155=""MoveSpeed"",""%"",REGEXMATCH(M155,""ElementAddItemDrop_""),""%"",M155=""Logging"","&amp;"""+"",M155=""Mining"",""+"",M155=""Maxhp"",""%"",REGEXMATCH(M155,""TemperatureResist_""),""+"",REGEXMATCH(M155,""ElementResist_""),""%"",REGEXMATCH(M155,""TemperatureInvalid_""),""bool"",REGEXMATCH(M155,""BodyPartsWeakDamage""),""%"",REGEXMATCH(M155,""Ele"&amp;"mentBoost_""),""%"",AND(REGEXMATCH(F155,""GiveA""),REGEXMATCH(M155,""Element"")),""bool"")"),"#N/A")</f>
        <v>#N/A</v>
      </c>
      <c r="O155" s="6" t="n">
        <v>0</v>
      </c>
      <c r="P155" s="6"/>
      <c r="Q155" s="6"/>
      <c r="R155" s="6" t="str">
        <f aca="false">IFERROR(__xludf.dummyfunction("IFS(Q155=""ShotAttack"",""%"",Q155=""MeleeAttack"",""%"", Q155=""Defense"",""%"",Q155=""CraftSPeed"",""%"",Q155=""LifeSteal"",""%"",Q155=""MaxInventoryWeight"",""+"",Q155=""MoveSpeed"",""%"",REGEXMATCH(Q155,""ElementAddItemDrop_""),""%"",Q155=""Logging"","&amp;"""+"",Q155=""Mining"",""+"",Q155=""Maxhp"",""%"",REGEXMATCH(Q155,""TemperatureResist_""),""+"",REGEXMATCH(Q155,""ElementResist_""),""%"",REGEXMATCH(Q155,""TemperatureInvalid_""),""bool"",REGEXMATCH(Q155,""BodyPartsWeakDamage""),""%"",REGEXMATCH(Q155,""Ele"&amp;"mentBoost_""),""%"",AND(REGEXMATCH(J155,""GiveA""),REGEXMATCH(Q155,""Element"")),""bool"")"),"#N/A")</f>
        <v>#N/A</v>
      </c>
      <c r="S155" s="6" t="n">
        <v>0</v>
      </c>
      <c r="T155" s="6"/>
      <c r="U155" s="319" t="b">
        <f aca="false">FALSE()</f>
        <v>0</v>
      </c>
      <c r="V155" s="319" t="b">
        <f aca="false">FALSE()</f>
        <v>0</v>
      </c>
      <c r="W155" s="319" t="b">
        <f aca="false">FALSE()</f>
        <v>0</v>
      </c>
      <c r="X155" s="319" t="b">
        <f aca="false">FALSE()</f>
        <v>0</v>
      </c>
      <c r="Y155" s="319" t="b">
        <f aca="false">FALSE()</f>
        <v>0</v>
      </c>
      <c r="Z155" s="319" t="b">
        <f aca="false">TRUE()</f>
        <v>1</v>
      </c>
      <c r="AA155" s="319" t="b">
        <f aca="false">TRUE()</f>
        <v>1</v>
      </c>
      <c r="AB155" s="319" t="b">
        <f aca="false">FALSE()</f>
        <v>0</v>
      </c>
      <c r="AC155" s="319" t="b">
        <f aca="false">FALSE()</f>
        <v>0</v>
      </c>
      <c r="AD155" s="319" t="b">
        <f aca="false">FALSE()</f>
        <v>0</v>
      </c>
      <c r="AE155" s="319" t="b">
        <f aca="false">FALSE()</f>
        <v>0</v>
      </c>
      <c r="AF155" s="319" t="b">
        <f aca="false">FALSE()</f>
        <v>0</v>
      </c>
      <c r="AG155" s="6" t="s">
        <v>182</v>
      </c>
      <c r="AH155" s="6" t="s">
        <v>182</v>
      </c>
    </row>
    <row r="156" customFormat="false" ht="15.75" hidden="false" customHeight="false" outlineLevel="0" collapsed="false">
      <c r="A156" s="3" t="s">
        <v>2127</v>
      </c>
      <c r="B156" s="6" t="s">
        <v>953</v>
      </c>
      <c r="C156" s="311" t="b">
        <f aca="false">TRUE()</f>
        <v>1</v>
      </c>
      <c r="D156" s="6" t="str">
        <f aca="false">I156   &amp; IF(ISBLANK(M156),, ". "&amp; M156 &amp; IF(ISBLANK(Q156),, ". "&amp; Q156))</f>
        <v>ShotAttack</v>
      </c>
      <c r="E156" s="6" t="str">
        <f aca="false">I156  &amp;": # on "&amp; L156  &amp; IF(ISBLANK(M156),, ". "&amp; M156 &amp;": # on "&amp; P156 &amp; IF(ISBLANK(Q156),, ". "&amp; Q156 &amp;": # on "&amp; T156))</f>
        <v>ShotAttack: # on Self</v>
      </c>
      <c r="F156" s="6" t="str">
        <f aca="false">IF(U156,"active pal",)  &amp; IF(V156,"working",) &amp; IF(W156,"mounted",) &amp; IF(Y156,"in party (buff)",)  &amp; IF(Z156,"always",)</f>
        <v>always</v>
      </c>
      <c r="G156" s="6" t="n">
        <v>-1</v>
      </c>
      <c r="H156" s="6" t="s">
        <v>182</v>
      </c>
      <c r="I156" s="6" t="s">
        <v>659</v>
      </c>
      <c r="J156" s="6" t="str">
        <f aca="false">IFERROR(__xludf.dummyfunction("IFS(I156=""ShotAttack"",""%"",I156=""MeleeAttack"",""%"", I156=""Defense"",""%"",I156=""CraftSPeed"",""%"",I156=""LifeSteal"",""%"",I156=""MaxInventoryWeight"",""+"",I156=""MoveSpeed"",""%"",REGEXMATCH(I156,""ElementAddItemDrop_""),""%"",I156=""Logging"","&amp;"""+"",I156=""Mining"",""+"",I156=""Maxhp"",""%"",REGEXMATCH(I156,""TemperatureResist_""),""+"",REGEXMATCH(I156,""ElementResist_""),""%"",REGEXMATCH(I156,""TemperatureInvalid_""),""bool"",REGEXMATCH(I156,""BodyPartsWeakDamage""),""%"",REGEXMATCH(I156,""Ele"&amp;"mentBoost_""),""%"",AND(REGEXMATCH(B156,""GiveA""),REGEXMATCH(I156,""Element"")),""bool"")"),"%")</f>
        <v>%</v>
      </c>
      <c r="K156" s="6" t="n">
        <v>-10</v>
      </c>
      <c r="L156" s="6" t="s">
        <v>1956</v>
      </c>
      <c r="M156" s="6"/>
      <c r="N156" s="6" t="str">
        <f aca="false">IFERROR(__xludf.dummyfunction("IFS(M156=""ShotAttack"",""%"",M156=""MeleeAttack"",""%"", M156=""Defense"",""%"",M156=""CraftSPeed"",""%"",M156=""LifeSteal"",""%"",M156=""MaxInventoryWeight"",""+"",M156=""MoveSpeed"",""%"",REGEXMATCH(M156,""ElementAddItemDrop_""),""%"",M156=""Logging"","&amp;"""+"",M156=""Mining"",""+"",M156=""Maxhp"",""%"",REGEXMATCH(M156,""TemperatureResist_""),""+"",REGEXMATCH(M156,""ElementResist_""),""%"",REGEXMATCH(M156,""TemperatureInvalid_""),""bool"",REGEXMATCH(M156,""BodyPartsWeakDamage""),""%"",REGEXMATCH(M156,""Ele"&amp;"mentBoost_""),""%"",AND(REGEXMATCH(F156,""GiveA""),REGEXMATCH(M156,""Element"")),""bool"")"),"#N/A")</f>
        <v>#N/A</v>
      </c>
      <c r="O156" s="6" t="n">
        <v>0</v>
      </c>
      <c r="P156" s="6"/>
      <c r="Q156" s="6"/>
      <c r="R156" s="6" t="str">
        <f aca="false">IFERROR(__xludf.dummyfunction("IFS(Q156=""ShotAttack"",""%"",Q156=""MeleeAttack"",""%"", Q156=""Defense"",""%"",Q156=""CraftSPeed"",""%"",Q156=""LifeSteal"",""%"",Q156=""MaxInventoryWeight"",""+"",Q156=""MoveSpeed"",""%"",REGEXMATCH(Q156,""ElementAddItemDrop_""),""%"",Q156=""Logging"","&amp;"""+"",Q156=""Mining"",""+"",Q156=""Maxhp"",""%"",REGEXMATCH(Q156,""TemperatureResist_""),""+"",REGEXMATCH(Q156,""ElementResist_""),""%"",REGEXMATCH(Q156,""TemperatureInvalid_""),""bool"",REGEXMATCH(Q156,""BodyPartsWeakDamage""),""%"",REGEXMATCH(Q156,""Ele"&amp;"mentBoost_""),""%"",AND(REGEXMATCH(J156,""GiveA""),REGEXMATCH(Q156,""Element"")),""bool"")"),"#N/A")</f>
        <v>#N/A</v>
      </c>
      <c r="S156" s="6" t="n">
        <v>0</v>
      </c>
      <c r="T156" s="6"/>
      <c r="U156" s="319" t="b">
        <f aca="false">FALSE()</f>
        <v>0</v>
      </c>
      <c r="V156" s="319" t="b">
        <f aca="false">FALSE()</f>
        <v>0</v>
      </c>
      <c r="W156" s="319" t="b">
        <f aca="false">FALSE()</f>
        <v>0</v>
      </c>
      <c r="X156" s="319" t="b">
        <f aca="false">FALSE()</f>
        <v>0</v>
      </c>
      <c r="Y156" s="319" t="b">
        <f aca="false">FALSE()</f>
        <v>0</v>
      </c>
      <c r="Z156" s="319" t="b">
        <f aca="false">TRUE()</f>
        <v>1</v>
      </c>
      <c r="AA156" s="319" t="b">
        <f aca="false">TRUE()</f>
        <v>1</v>
      </c>
      <c r="AB156" s="319" t="b">
        <f aca="false">FALSE()</f>
        <v>0</v>
      </c>
      <c r="AC156" s="319" t="b">
        <f aca="false">FALSE()</f>
        <v>0</v>
      </c>
      <c r="AD156" s="319" t="b">
        <f aca="false">FALSE()</f>
        <v>0</v>
      </c>
      <c r="AE156" s="319" t="b">
        <f aca="false">FALSE()</f>
        <v>0</v>
      </c>
      <c r="AF156" s="319" t="b">
        <f aca="false">FALSE()</f>
        <v>0</v>
      </c>
      <c r="AG156" s="6" t="s">
        <v>182</v>
      </c>
      <c r="AH156" s="6" t="s">
        <v>182</v>
      </c>
    </row>
    <row r="157" customFormat="false" ht="15.75" hidden="false" customHeight="false" outlineLevel="0" collapsed="false">
      <c r="A157" s="3" t="s">
        <v>2128</v>
      </c>
      <c r="B157" s="6" t="s">
        <v>2129</v>
      </c>
      <c r="C157" s="311" t="b">
        <f aca="false">TRUE()</f>
        <v>1</v>
      </c>
      <c r="D157" s="6" t="str">
        <f aca="false">I157   &amp; IF(ISBLANK(M157),, ". "&amp; M157 &amp; IF(ISBLANK(Q157),, ". "&amp; Q157))</f>
        <v>ShotAttack</v>
      </c>
      <c r="E157" s="6" t="str">
        <f aca="false">I157  &amp;": # on "&amp; L157  &amp; IF(ISBLANK(M157),, ". "&amp; M157 &amp;": # on "&amp; P157 &amp; IF(ISBLANK(Q157),, ". "&amp; Q157 &amp;": # on "&amp; T157))</f>
        <v>ShotAttack: # on Self</v>
      </c>
      <c r="F157" s="6" t="str">
        <f aca="false">IF(U157,"active pal",)  &amp; IF(V157,"working",) &amp; IF(W157,"mounted",) &amp; IF(Y157,"in party (buff)",)  &amp; IF(Z157,"always",)</f>
        <v>always</v>
      </c>
      <c r="G157" s="6" t="n">
        <v>-3</v>
      </c>
      <c r="H157" s="6" t="s">
        <v>182</v>
      </c>
      <c r="I157" s="6" t="s">
        <v>659</v>
      </c>
      <c r="J157" s="6" t="str">
        <f aca="false">IFERROR(__xludf.dummyfunction("IFS(I157=""ShotAttack"",""%"",I157=""MeleeAttack"",""%"", I157=""Defense"",""%"",I157=""CraftSPeed"",""%"",I157=""LifeSteal"",""%"",I157=""MaxInventoryWeight"",""+"",I157=""MoveSpeed"",""%"",REGEXMATCH(I157,""ElementAddItemDrop_""),""%"",I157=""Logging"","&amp;"""+"",I157=""Mining"",""+"",I157=""Maxhp"",""%"",REGEXMATCH(I157,""TemperatureResist_""),""+"",REGEXMATCH(I157,""ElementResist_""),""%"",REGEXMATCH(I157,""TemperatureInvalid_""),""bool"",REGEXMATCH(I157,""BodyPartsWeakDamage""),""%"",REGEXMATCH(I157,""Ele"&amp;"mentBoost_""),""%"",AND(REGEXMATCH(B157,""GiveA""),REGEXMATCH(I157,""Element"")),""bool"")"),"%")</f>
        <v>%</v>
      </c>
      <c r="K157" s="6" t="n">
        <v>-20</v>
      </c>
      <c r="L157" s="6" t="s">
        <v>1956</v>
      </c>
      <c r="M157" s="6"/>
      <c r="N157" s="6" t="str">
        <f aca="false">IFERROR(__xludf.dummyfunction("IFS(M157=""ShotAttack"",""%"",M157=""MeleeAttack"",""%"", M157=""Defense"",""%"",M157=""CraftSPeed"",""%"",M157=""LifeSteal"",""%"",M157=""MaxInventoryWeight"",""+"",M157=""MoveSpeed"",""%"",REGEXMATCH(M157,""ElementAddItemDrop_""),""%"",M157=""Logging"","&amp;"""+"",M157=""Mining"",""+"",M157=""Maxhp"",""%"",REGEXMATCH(M157,""TemperatureResist_""),""+"",REGEXMATCH(M157,""ElementResist_""),""%"",REGEXMATCH(M157,""TemperatureInvalid_""),""bool"",REGEXMATCH(M157,""BodyPartsWeakDamage""),""%"",REGEXMATCH(M157,""Ele"&amp;"mentBoost_""),""%"",AND(REGEXMATCH(F157,""GiveA""),REGEXMATCH(M157,""Element"")),""bool"")"),"#N/A")</f>
        <v>#N/A</v>
      </c>
      <c r="O157" s="6" t="n">
        <v>0</v>
      </c>
      <c r="P157" s="6"/>
      <c r="Q157" s="6"/>
      <c r="R157" s="6" t="str">
        <f aca="false">IFERROR(__xludf.dummyfunction("IFS(Q157=""ShotAttack"",""%"",Q157=""MeleeAttack"",""%"", Q157=""Defense"",""%"",Q157=""CraftSPeed"",""%"",Q157=""LifeSteal"",""%"",Q157=""MaxInventoryWeight"",""+"",Q157=""MoveSpeed"",""%"",REGEXMATCH(Q157,""ElementAddItemDrop_""),""%"",Q157=""Logging"","&amp;"""+"",Q157=""Mining"",""+"",Q157=""Maxhp"",""%"",REGEXMATCH(Q157,""TemperatureResist_""),""+"",REGEXMATCH(Q157,""ElementResist_""),""%"",REGEXMATCH(Q157,""TemperatureInvalid_""),""bool"",REGEXMATCH(Q157,""BodyPartsWeakDamage""),""%"",REGEXMATCH(Q157,""Ele"&amp;"mentBoost_""),""%"",AND(REGEXMATCH(J157,""GiveA""),REGEXMATCH(Q157,""Element"")),""bool"")"),"#N/A")</f>
        <v>#N/A</v>
      </c>
      <c r="S157" s="6" t="n">
        <v>0</v>
      </c>
      <c r="T157" s="6"/>
      <c r="U157" s="319" t="b">
        <f aca="false">FALSE()</f>
        <v>0</v>
      </c>
      <c r="V157" s="319" t="b">
        <f aca="false">FALSE()</f>
        <v>0</v>
      </c>
      <c r="W157" s="319" t="b">
        <f aca="false">FALSE()</f>
        <v>0</v>
      </c>
      <c r="X157" s="319" t="b">
        <f aca="false">FALSE()</f>
        <v>0</v>
      </c>
      <c r="Y157" s="319" t="b">
        <f aca="false">FALSE()</f>
        <v>0</v>
      </c>
      <c r="Z157" s="319" t="b">
        <f aca="false">TRUE()</f>
        <v>1</v>
      </c>
      <c r="AA157" s="319" t="b">
        <f aca="false">TRUE()</f>
        <v>1</v>
      </c>
      <c r="AB157" s="319" t="b">
        <f aca="false">FALSE()</f>
        <v>0</v>
      </c>
      <c r="AC157" s="319" t="b">
        <f aca="false">FALSE()</f>
        <v>0</v>
      </c>
      <c r="AD157" s="319" t="b">
        <f aca="false">FALSE()</f>
        <v>0</v>
      </c>
      <c r="AE157" s="319" t="b">
        <f aca="false">FALSE()</f>
        <v>0</v>
      </c>
      <c r="AF157" s="319" t="b">
        <f aca="false">FALSE()</f>
        <v>0</v>
      </c>
      <c r="AG157" s="6" t="s">
        <v>182</v>
      </c>
      <c r="AH157" s="6" t="s">
        <v>182</v>
      </c>
    </row>
    <row r="158" customFormat="false" ht="15.75" hidden="false" customHeight="false" outlineLevel="0" collapsed="false">
      <c r="A158" s="3" t="s">
        <v>2130</v>
      </c>
      <c r="B158" s="6" t="s">
        <v>824</v>
      </c>
      <c r="C158" s="311" t="b">
        <f aca="false">TRUE()</f>
        <v>1</v>
      </c>
      <c r="D158" s="6" t="str">
        <f aca="false">I158   &amp; IF(ISBLANK(M158),, ". "&amp; M158 &amp; IF(ISBLANK(Q158),, ". "&amp; Q158))</f>
        <v>ShotAttack. CraftSpeed</v>
      </c>
      <c r="E158" s="6" t="str">
        <f aca="false">I158  &amp;": # on "&amp; L158  &amp; IF(ISBLANK(M158),, ". "&amp; M158 &amp;": # on "&amp; P158 &amp; IF(ISBLANK(Q158),, ". "&amp; Q158 &amp;": # on "&amp; T158))</f>
        <v>ShotAttack: # on Self. CraftSpeed: # on Self</v>
      </c>
      <c r="F158" s="6" t="str">
        <f aca="false">IF(U158,"active pal",)  &amp; IF(V158,"working",) &amp; IF(W158,"mounted",) &amp; IF(Y158,"in party (buff)",)  &amp; IF(Z158,"always",)</f>
        <v>always</v>
      </c>
      <c r="G158" s="6" t="n">
        <v>1</v>
      </c>
      <c r="H158" s="6" t="s">
        <v>182</v>
      </c>
      <c r="I158" s="6" t="s">
        <v>659</v>
      </c>
      <c r="J158" s="6" t="str">
        <f aca="false">IFERROR(__xludf.dummyfunction("IFS(I158=""ShotAttack"",""%"",I158=""MeleeAttack"",""%"", I158=""Defense"",""%"",I158=""CraftSPeed"",""%"",I158=""LifeSteal"",""%"",I158=""MaxInventoryWeight"",""+"",I158=""MoveSpeed"",""%"",REGEXMATCH(I158,""ElementAddItemDrop_""),""%"",I158=""Logging"","&amp;"""+"",I158=""Mining"",""+"",I158=""Maxhp"",""%"",REGEXMATCH(I158,""TemperatureResist_""),""+"",REGEXMATCH(I158,""ElementResist_""),""%"",REGEXMATCH(I158,""TemperatureInvalid_""),""bool"",REGEXMATCH(I158,""BodyPartsWeakDamage""),""%"",REGEXMATCH(I158,""Ele"&amp;"mentBoost_""),""%"",AND(REGEXMATCH(B158,""GiveA""),REGEXMATCH(I158,""Element"")),""bool"")"),"%")</f>
        <v>%</v>
      </c>
      <c r="K158" s="6" t="n">
        <v>15</v>
      </c>
      <c r="L158" s="6" t="s">
        <v>1956</v>
      </c>
      <c r="M158" s="6" t="s">
        <v>661</v>
      </c>
      <c r="N158" s="6" t="str">
        <f aca="false">IFERROR(__xludf.dummyfunction("IFS(M158=""ShotAttack"",""%"",M158=""MeleeAttack"",""%"", M158=""Defense"",""%"",M158=""CraftSPeed"",""%"",M158=""LifeSteal"",""%"",M158=""MaxInventoryWeight"",""+"",M158=""MoveSpeed"",""%"",REGEXMATCH(M158,""ElementAddItemDrop_""),""%"",M158=""Logging"","&amp;"""+"",M158=""Mining"",""+"",M158=""Maxhp"",""%"",REGEXMATCH(M158,""TemperatureResist_""),""+"",REGEXMATCH(M158,""ElementResist_""),""%"",REGEXMATCH(M158,""TemperatureInvalid_""),""bool"",REGEXMATCH(M158,""BodyPartsWeakDamage""),""%"",REGEXMATCH(M158,""Ele"&amp;"mentBoost_""),""%"",AND(REGEXMATCH(F158,""GiveA""),REGEXMATCH(M158,""Element"")),""bool"")"),"%")</f>
        <v>%</v>
      </c>
      <c r="O158" s="6" t="n">
        <v>-10</v>
      </c>
      <c r="P158" s="6" t="s">
        <v>1956</v>
      </c>
      <c r="Q158" s="6"/>
      <c r="R158" s="6" t="str">
        <f aca="false">IFERROR(__xludf.dummyfunction("IFS(Q158=""ShotAttack"",""%"",Q158=""MeleeAttack"",""%"", Q158=""Defense"",""%"",Q158=""CraftSPeed"",""%"",Q158=""LifeSteal"",""%"",Q158=""MaxInventoryWeight"",""+"",Q158=""MoveSpeed"",""%"",REGEXMATCH(Q158,""ElementAddItemDrop_""),""%"",Q158=""Logging"","&amp;"""+"",Q158=""Mining"",""+"",Q158=""Maxhp"",""%"",REGEXMATCH(Q158,""TemperatureResist_""),""+"",REGEXMATCH(Q158,""ElementResist_""),""%"",REGEXMATCH(Q158,""TemperatureInvalid_""),""bool"",REGEXMATCH(Q158,""BodyPartsWeakDamage""),""%"",REGEXMATCH(Q158,""Ele"&amp;"mentBoost_""),""%"",AND(REGEXMATCH(J158,""GiveA""),REGEXMATCH(Q158,""Element"")),""bool"")"),"#N/A")</f>
        <v>#N/A</v>
      </c>
      <c r="S158" s="6" t="n">
        <v>0</v>
      </c>
      <c r="T158" s="6"/>
      <c r="U158" s="319" t="b">
        <f aca="false">FALSE()</f>
        <v>0</v>
      </c>
      <c r="V158" s="319" t="b">
        <f aca="false">FALSE()</f>
        <v>0</v>
      </c>
      <c r="W158" s="319" t="b">
        <f aca="false">FALSE()</f>
        <v>0</v>
      </c>
      <c r="X158" s="319" t="b">
        <f aca="false">FALSE()</f>
        <v>0</v>
      </c>
      <c r="Y158" s="319" t="b">
        <f aca="false">FALSE()</f>
        <v>0</v>
      </c>
      <c r="Z158" s="319" t="b">
        <f aca="false">TRUE()</f>
        <v>1</v>
      </c>
      <c r="AA158" s="319" t="b">
        <f aca="false">TRUE()</f>
        <v>1</v>
      </c>
      <c r="AB158" s="319" t="b">
        <f aca="false">FALSE()</f>
        <v>0</v>
      </c>
      <c r="AC158" s="319" t="b">
        <f aca="false">FALSE()</f>
        <v>0</v>
      </c>
      <c r="AD158" s="319" t="b">
        <f aca="false">FALSE()</f>
        <v>0</v>
      </c>
      <c r="AE158" s="319" t="b">
        <f aca="false">FALSE()</f>
        <v>0</v>
      </c>
      <c r="AF158" s="319" t="b">
        <f aca="false">FALSE()</f>
        <v>0</v>
      </c>
      <c r="AG158" s="6" t="s">
        <v>182</v>
      </c>
      <c r="AH158" s="6" t="s">
        <v>182</v>
      </c>
    </row>
    <row r="159" customFormat="false" ht="15.75" hidden="false" customHeight="false" outlineLevel="0" collapsed="false">
      <c r="A159" s="3" t="s">
        <v>2131</v>
      </c>
      <c r="B159" s="6" t="s">
        <v>2132</v>
      </c>
      <c r="C159" s="311" t="b">
        <f aca="false">TRUE()</f>
        <v>1</v>
      </c>
      <c r="D159" s="6" t="str">
        <f aca="false">I159   &amp; IF(ISBLANK(M159),, ". "&amp; M159 &amp; IF(ISBLANK(Q159),, ". "&amp; Q159))</f>
        <v>CraftSpeed. Defense</v>
      </c>
      <c r="E159" s="6" t="str">
        <f aca="false">I159  &amp;": # on "&amp; L159  &amp; IF(ISBLANK(M159),, ". "&amp; M159 &amp;": # on "&amp; P159 &amp; IF(ISBLANK(Q159),, ". "&amp; Q159 &amp;": # on "&amp; T159))</f>
        <v>CraftSpeed: # on Self. Defense: # on Self</v>
      </c>
      <c r="F159" s="6" t="str">
        <f aca="false">IF(U159,"active pal",)  &amp; IF(V159,"working",) &amp; IF(W159,"mounted",) &amp; IF(Y159,"in party (buff)",)  &amp; IF(Z159,"always",)</f>
        <v>always</v>
      </c>
      <c r="G159" s="6" t="n">
        <v>1</v>
      </c>
      <c r="H159" s="6" t="s">
        <v>182</v>
      </c>
      <c r="I159" s="6" t="s">
        <v>661</v>
      </c>
      <c r="J159" s="6" t="str">
        <f aca="false">IFERROR(__xludf.dummyfunction("IFS(I159=""ShotAttack"",""%"",I159=""MeleeAttack"",""%"", I159=""Defense"",""%"",I159=""CraftSPeed"",""%"",I159=""LifeSteal"",""%"",I159=""MaxInventoryWeight"",""+"",I159=""MoveSpeed"",""%"",REGEXMATCH(I159,""ElementAddItemDrop_""),""%"",I159=""Logging"","&amp;"""+"",I159=""Mining"",""+"",I159=""Maxhp"",""%"",REGEXMATCH(I159,""TemperatureResist_""),""+"",REGEXMATCH(I159,""ElementResist_""),""%"",REGEXMATCH(I159,""TemperatureInvalid_""),""bool"",REGEXMATCH(I159,""BodyPartsWeakDamage""),""%"",REGEXMATCH(I159,""Ele"&amp;"mentBoost_""),""%"",AND(REGEXMATCH(B159,""GiveA""),REGEXMATCH(I159,""Element"")),""bool"")"),"%")</f>
        <v>%</v>
      </c>
      <c r="K159" s="6" t="n">
        <v>10</v>
      </c>
      <c r="L159" s="6" t="s">
        <v>1956</v>
      </c>
      <c r="M159" s="6" t="s">
        <v>175</v>
      </c>
      <c r="N159" s="6" t="str">
        <f aca="false">IFERROR(__xludf.dummyfunction("IFS(M159=""ShotAttack"",""%"",M159=""MeleeAttack"",""%"", M159=""Defense"",""%"",M159=""CraftSPeed"",""%"",M159=""LifeSteal"",""%"",M159=""MaxInventoryWeight"",""+"",M159=""MoveSpeed"",""%"",REGEXMATCH(M159,""ElementAddItemDrop_""),""%"",M159=""Logging"","&amp;"""+"",M159=""Mining"",""+"",M159=""Maxhp"",""%"",REGEXMATCH(M159,""TemperatureResist_""),""+"",REGEXMATCH(M159,""ElementResist_""),""%"",REGEXMATCH(M159,""TemperatureInvalid_""),""bool"",REGEXMATCH(M159,""BodyPartsWeakDamage""),""%"",REGEXMATCH(M159,""Ele"&amp;"mentBoost_""),""%"",AND(REGEXMATCH(F159,""GiveA""),REGEXMATCH(M159,""Element"")),""bool"")"),"%")</f>
        <v>%</v>
      </c>
      <c r="O159" s="6" t="n">
        <v>-10</v>
      </c>
      <c r="P159" s="6" t="s">
        <v>1956</v>
      </c>
      <c r="Q159" s="6"/>
      <c r="R159" s="6" t="str">
        <f aca="false">IFERROR(__xludf.dummyfunction("IFS(Q159=""ShotAttack"",""%"",Q159=""MeleeAttack"",""%"", Q159=""Defense"",""%"",Q159=""CraftSPeed"",""%"",Q159=""LifeSteal"",""%"",Q159=""MaxInventoryWeight"",""+"",Q159=""MoveSpeed"",""%"",REGEXMATCH(Q159,""ElementAddItemDrop_""),""%"",Q159=""Logging"","&amp;"""+"",Q159=""Mining"",""+"",Q159=""Maxhp"",""%"",REGEXMATCH(Q159,""TemperatureResist_""),""+"",REGEXMATCH(Q159,""ElementResist_""),""%"",REGEXMATCH(Q159,""TemperatureInvalid_""),""bool"",REGEXMATCH(Q159,""BodyPartsWeakDamage""),""%"",REGEXMATCH(Q159,""Ele"&amp;"mentBoost_""),""%"",AND(REGEXMATCH(J159,""GiveA""),REGEXMATCH(Q159,""Element"")),""bool"")"),"#N/A")</f>
        <v>#N/A</v>
      </c>
      <c r="S159" s="6" t="n">
        <v>0</v>
      </c>
      <c r="T159" s="6"/>
      <c r="U159" s="319" t="b">
        <f aca="false">FALSE()</f>
        <v>0</v>
      </c>
      <c r="V159" s="319" t="b">
        <f aca="false">FALSE()</f>
        <v>0</v>
      </c>
      <c r="W159" s="319" t="b">
        <f aca="false">FALSE()</f>
        <v>0</v>
      </c>
      <c r="X159" s="319" t="b">
        <f aca="false">FALSE()</f>
        <v>0</v>
      </c>
      <c r="Y159" s="319" t="b">
        <f aca="false">FALSE()</f>
        <v>0</v>
      </c>
      <c r="Z159" s="319" t="b">
        <f aca="false">TRUE()</f>
        <v>1</v>
      </c>
      <c r="AA159" s="319" t="b">
        <f aca="false">TRUE()</f>
        <v>1</v>
      </c>
      <c r="AB159" s="319" t="b">
        <f aca="false">FALSE()</f>
        <v>0</v>
      </c>
      <c r="AC159" s="319" t="b">
        <f aca="false">FALSE()</f>
        <v>0</v>
      </c>
      <c r="AD159" s="319" t="b">
        <f aca="false">FALSE()</f>
        <v>0</v>
      </c>
      <c r="AE159" s="319" t="b">
        <f aca="false">FALSE()</f>
        <v>0</v>
      </c>
      <c r="AF159" s="319" t="b">
        <f aca="false">FALSE()</f>
        <v>0</v>
      </c>
      <c r="AG159" s="6" t="s">
        <v>182</v>
      </c>
      <c r="AH159" s="6" t="s">
        <v>182</v>
      </c>
    </row>
    <row r="160" customFormat="false" ht="15.75" hidden="false" customHeight="false" outlineLevel="0" collapsed="false">
      <c r="A160" s="3" t="s">
        <v>2133</v>
      </c>
      <c r="B160" s="6" t="s">
        <v>2134</v>
      </c>
      <c r="C160" s="311" t="b">
        <f aca="false">TRUE()</f>
        <v>1</v>
      </c>
      <c r="D160" s="6" t="str">
        <f aca="false">I160   &amp; IF(ISBLANK(M160),, ". "&amp; M160 &amp; IF(ISBLANK(Q160),, ". "&amp; Q160))</f>
        <v>CraftSpeed. Defense</v>
      </c>
      <c r="E160" s="6" t="str">
        <f aca="false">I160  &amp;": # on "&amp; L160  &amp; IF(ISBLANK(M160),, ". "&amp; M160 &amp;": # on "&amp; P160 &amp; IF(ISBLANK(Q160),, ". "&amp; Q160 &amp;": # on "&amp; T160))</f>
        <v>CraftSpeed: # on Self. Defense: # on Self</v>
      </c>
      <c r="F160" s="6" t="str">
        <f aca="false">IF(U160,"active pal",)  &amp; IF(V160,"working",) &amp; IF(W160,"mounted",) &amp; IF(Y160,"in party (buff)",)  &amp; IF(Z160,"always",)</f>
        <v>always</v>
      </c>
      <c r="G160" s="6" t="n">
        <v>-1</v>
      </c>
      <c r="H160" s="6" t="s">
        <v>182</v>
      </c>
      <c r="I160" s="6" t="s">
        <v>661</v>
      </c>
      <c r="J160" s="6" t="str">
        <f aca="false">IFERROR(__xludf.dummyfunction("IFS(I160=""ShotAttack"",""%"",I160=""MeleeAttack"",""%"", I160=""Defense"",""%"",I160=""CraftSPeed"",""%"",I160=""LifeSteal"",""%"",I160=""MaxInventoryWeight"",""+"",I160=""MoveSpeed"",""%"",REGEXMATCH(I160,""ElementAddItemDrop_""),""%"",I160=""Logging"","&amp;"""+"",I160=""Mining"",""+"",I160=""Maxhp"",""%"",REGEXMATCH(I160,""TemperatureResist_""),""+"",REGEXMATCH(I160,""ElementResist_""),""%"",REGEXMATCH(I160,""TemperatureInvalid_""),""bool"",REGEXMATCH(I160,""BodyPartsWeakDamage""),""%"",REGEXMATCH(I160,""Ele"&amp;"mentBoost_""),""%"",AND(REGEXMATCH(B160,""GiveA""),REGEXMATCH(I160,""Element"")),""bool"")"),"%")</f>
        <v>%</v>
      </c>
      <c r="K160" s="6" t="n">
        <v>-10</v>
      </c>
      <c r="L160" s="6" t="s">
        <v>1956</v>
      </c>
      <c r="M160" s="6" t="s">
        <v>175</v>
      </c>
      <c r="N160" s="6" t="str">
        <f aca="false">IFERROR(__xludf.dummyfunction("IFS(M160=""ShotAttack"",""%"",M160=""MeleeAttack"",""%"", M160=""Defense"",""%"",M160=""CraftSPeed"",""%"",M160=""LifeSteal"",""%"",M160=""MaxInventoryWeight"",""+"",M160=""MoveSpeed"",""%"",REGEXMATCH(M160,""ElementAddItemDrop_""),""%"",M160=""Logging"","&amp;"""+"",M160=""Mining"",""+"",M160=""Maxhp"",""%"",REGEXMATCH(M160,""TemperatureResist_""),""+"",REGEXMATCH(M160,""ElementResist_""),""%"",REGEXMATCH(M160,""TemperatureInvalid_""),""bool"",REGEXMATCH(M160,""BodyPartsWeakDamage""),""%"",REGEXMATCH(M160,""Ele"&amp;"mentBoost_""),""%"",AND(REGEXMATCH(F160,""GiveA""),REGEXMATCH(M160,""Element"")),""bool"")"),"%")</f>
        <v>%</v>
      </c>
      <c r="O160" s="6" t="n">
        <v>-10</v>
      </c>
      <c r="P160" s="6" t="s">
        <v>1956</v>
      </c>
      <c r="Q160" s="6"/>
      <c r="R160" s="6" t="str">
        <f aca="false">IFERROR(__xludf.dummyfunction("IFS(Q160=""ShotAttack"",""%"",Q160=""MeleeAttack"",""%"", Q160=""Defense"",""%"",Q160=""CraftSPeed"",""%"",Q160=""LifeSteal"",""%"",Q160=""MaxInventoryWeight"",""+"",Q160=""MoveSpeed"",""%"",REGEXMATCH(Q160,""ElementAddItemDrop_""),""%"",Q160=""Logging"","&amp;"""+"",Q160=""Mining"",""+"",Q160=""Maxhp"",""%"",REGEXMATCH(Q160,""TemperatureResist_""),""+"",REGEXMATCH(Q160,""ElementResist_""),""%"",REGEXMATCH(Q160,""TemperatureInvalid_""),""bool"",REGEXMATCH(Q160,""BodyPartsWeakDamage""),""%"",REGEXMATCH(Q160,""Ele"&amp;"mentBoost_""),""%"",AND(REGEXMATCH(J160,""GiveA""),REGEXMATCH(Q160,""Element"")),""bool"")"),"#N/A")</f>
        <v>#N/A</v>
      </c>
      <c r="S160" s="6" t="n">
        <v>0</v>
      </c>
      <c r="T160" s="6"/>
      <c r="U160" s="319" t="b">
        <f aca="false">FALSE()</f>
        <v>0</v>
      </c>
      <c r="V160" s="319" t="b">
        <f aca="false">FALSE()</f>
        <v>0</v>
      </c>
      <c r="W160" s="319" t="b">
        <f aca="false">FALSE()</f>
        <v>0</v>
      </c>
      <c r="X160" s="319" t="b">
        <f aca="false">FALSE()</f>
        <v>0</v>
      </c>
      <c r="Y160" s="319" t="b">
        <f aca="false">FALSE()</f>
        <v>0</v>
      </c>
      <c r="Z160" s="319" t="b">
        <f aca="false">TRUE()</f>
        <v>1</v>
      </c>
      <c r="AA160" s="319" t="b">
        <f aca="false">FALSE()</f>
        <v>0</v>
      </c>
      <c r="AB160" s="319" t="b">
        <f aca="false">FALSE()</f>
        <v>0</v>
      </c>
      <c r="AC160" s="319" t="b">
        <f aca="false">FALSE()</f>
        <v>0</v>
      </c>
      <c r="AD160" s="319" t="b">
        <f aca="false">FALSE()</f>
        <v>0</v>
      </c>
      <c r="AE160" s="319" t="b">
        <f aca="false">FALSE()</f>
        <v>0</v>
      </c>
      <c r="AF160" s="319" t="b">
        <f aca="false">FALSE()</f>
        <v>0</v>
      </c>
      <c r="AG160" s="6" t="s">
        <v>182</v>
      </c>
      <c r="AH160" s="6" t="s">
        <v>182</v>
      </c>
    </row>
    <row r="161" customFormat="false" ht="15.75" hidden="false" customHeight="false" outlineLevel="0" collapsed="false">
      <c r="A161" s="3" t="s">
        <v>2135</v>
      </c>
      <c r="B161" s="6" t="s">
        <v>2136</v>
      </c>
      <c r="C161" s="311" t="b">
        <f aca="false">TRUE()</f>
        <v>1</v>
      </c>
      <c r="D161" s="6" t="str">
        <f aca="false">I161   &amp; IF(ISBLANK(M161),, ". "&amp; M161 &amp; IF(ISBLANK(Q161),, ". "&amp; Q161))</f>
        <v>ShotAttack. Defense</v>
      </c>
      <c r="E161" s="6" t="str">
        <f aca="false">I161  &amp;": # on "&amp; L161  &amp; IF(ISBLANK(M161),, ". "&amp; M161 &amp;": # on "&amp; P161 &amp; IF(ISBLANK(Q161),, ". "&amp; Q161 &amp;": # on "&amp; T161))</f>
        <v>ShotAttack: # on Self. Defense: # on Self</v>
      </c>
      <c r="F161" s="6" t="str">
        <f aca="false">IF(U161,"active pal",)  &amp; IF(V161,"working",) &amp; IF(W161,"mounted",) &amp; IF(Y161,"in party (buff)",)  &amp; IF(Z161,"always",)</f>
        <v>always</v>
      </c>
      <c r="G161" s="6" t="n">
        <v>1</v>
      </c>
      <c r="H161" s="6" t="s">
        <v>182</v>
      </c>
      <c r="I161" s="6" t="s">
        <v>659</v>
      </c>
      <c r="J161" s="6" t="str">
        <f aca="false">IFERROR(__xludf.dummyfunction("IFS(I161=""ShotAttack"",""%"",I161=""MeleeAttack"",""%"", I161=""Defense"",""%"",I161=""CraftSPeed"",""%"",I161=""LifeSteal"",""%"",I161=""MaxInventoryWeight"",""+"",I161=""MoveSpeed"",""%"",REGEXMATCH(I161,""ElementAddItemDrop_""),""%"",I161=""Logging"","&amp;"""+"",I161=""Mining"",""+"",I161=""Maxhp"",""%"",REGEXMATCH(I161,""TemperatureResist_""),""+"",REGEXMATCH(I161,""ElementResist_""),""%"",REGEXMATCH(I161,""TemperatureInvalid_""),""bool"",REGEXMATCH(I161,""BodyPartsWeakDamage""),""%"",REGEXMATCH(I161,""Ele"&amp;"mentBoost_""),""%"",AND(REGEXMATCH(B161,""GiveA""),REGEXMATCH(I161,""Element"")),""bool"")"),"%")</f>
        <v>%</v>
      </c>
      <c r="K161" s="6" t="n">
        <v>15</v>
      </c>
      <c r="L161" s="6" t="s">
        <v>1956</v>
      </c>
      <c r="M161" s="6" t="s">
        <v>175</v>
      </c>
      <c r="N161" s="6" t="str">
        <f aca="false">IFERROR(__xludf.dummyfunction("IFS(M161=""ShotAttack"",""%"",M161=""MeleeAttack"",""%"", M161=""Defense"",""%"",M161=""CraftSPeed"",""%"",M161=""LifeSteal"",""%"",M161=""MaxInventoryWeight"",""+"",M161=""MoveSpeed"",""%"",REGEXMATCH(M161,""ElementAddItemDrop_""),""%"",M161=""Logging"","&amp;"""+"",M161=""Mining"",""+"",M161=""Maxhp"",""%"",REGEXMATCH(M161,""TemperatureResist_""),""+"",REGEXMATCH(M161,""ElementResist_""),""%"",REGEXMATCH(M161,""TemperatureInvalid_""),""bool"",REGEXMATCH(M161,""BodyPartsWeakDamage""),""%"",REGEXMATCH(M161,""Ele"&amp;"mentBoost_""),""%"",AND(REGEXMATCH(F161,""GiveA""),REGEXMATCH(M161,""Element"")),""bool"")"),"%")</f>
        <v>%</v>
      </c>
      <c r="O161" s="6" t="n">
        <v>-15</v>
      </c>
      <c r="P161" s="6" t="s">
        <v>1956</v>
      </c>
      <c r="Q161" s="6"/>
      <c r="R161" s="6" t="str">
        <f aca="false">IFERROR(__xludf.dummyfunction("IFS(Q161=""ShotAttack"",""%"",Q161=""MeleeAttack"",""%"", Q161=""Defense"",""%"",Q161=""CraftSPeed"",""%"",Q161=""LifeSteal"",""%"",Q161=""MaxInventoryWeight"",""+"",Q161=""MoveSpeed"",""%"",REGEXMATCH(Q161,""ElementAddItemDrop_""),""%"",Q161=""Logging"","&amp;"""+"",Q161=""Mining"",""+"",Q161=""Maxhp"",""%"",REGEXMATCH(Q161,""TemperatureResist_""),""+"",REGEXMATCH(Q161,""ElementResist_""),""%"",REGEXMATCH(Q161,""TemperatureInvalid_""),""bool"",REGEXMATCH(Q161,""BodyPartsWeakDamage""),""%"",REGEXMATCH(Q161,""Ele"&amp;"mentBoost_""),""%"",AND(REGEXMATCH(J161,""GiveA""),REGEXMATCH(Q161,""Element"")),""bool"")"),"#N/A")</f>
        <v>#N/A</v>
      </c>
      <c r="S161" s="6" t="n">
        <v>0</v>
      </c>
      <c r="T161" s="6"/>
      <c r="U161" s="319" t="b">
        <f aca="false">FALSE()</f>
        <v>0</v>
      </c>
      <c r="V161" s="319" t="b">
        <f aca="false">FALSE()</f>
        <v>0</v>
      </c>
      <c r="W161" s="319" t="b">
        <f aca="false">FALSE()</f>
        <v>0</v>
      </c>
      <c r="X161" s="319" t="b">
        <f aca="false">FALSE()</f>
        <v>0</v>
      </c>
      <c r="Y161" s="319" t="b">
        <f aca="false">FALSE()</f>
        <v>0</v>
      </c>
      <c r="Z161" s="319" t="b">
        <f aca="false">TRUE()</f>
        <v>1</v>
      </c>
      <c r="AA161" s="319" t="b">
        <f aca="false">TRUE()</f>
        <v>1</v>
      </c>
      <c r="AB161" s="319" t="b">
        <f aca="false">FALSE()</f>
        <v>0</v>
      </c>
      <c r="AC161" s="319" t="b">
        <f aca="false">FALSE()</f>
        <v>0</v>
      </c>
      <c r="AD161" s="319" t="b">
        <f aca="false">FALSE()</f>
        <v>0</v>
      </c>
      <c r="AE161" s="319" t="b">
        <f aca="false">FALSE()</f>
        <v>0</v>
      </c>
      <c r="AF161" s="319" t="b">
        <f aca="false">FALSE()</f>
        <v>0</v>
      </c>
      <c r="AG161" s="6" t="s">
        <v>182</v>
      </c>
      <c r="AH161" s="6" t="s">
        <v>182</v>
      </c>
    </row>
    <row r="162" customFormat="false" ht="15.75" hidden="false" customHeight="false" outlineLevel="0" collapsed="false">
      <c r="A162" s="3" t="s">
        <v>2137</v>
      </c>
      <c r="B162" s="6" t="s">
        <v>2138</v>
      </c>
      <c r="C162" s="311" t="b">
        <f aca="false">TRUE()</f>
        <v>1</v>
      </c>
      <c r="D162" s="6" t="str">
        <f aca="false">I162   &amp; IF(ISBLANK(M162),, ". "&amp; M162 &amp; IF(ISBLANK(Q162),, ". "&amp; Q162))</f>
        <v>Defense. ShotAttack</v>
      </c>
      <c r="E162" s="6" t="str">
        <f aca="false">I162  &amp;": # on "&amp; L162  &amp; IF(ISBLANK(M162),, ". "&amp; M162 &amp;": # on "&amp; P162 &amp; IF(ISBLANK(Q162),, ". "&amp; Q162 &amp;": # on "&amp; T162))</f>
        <v>Defense: # on Self. ShotAttack: # on Self</v>
      </c>
      <c r="F162" s="6" t="str">
        <f aca="false">IF(U162,"active pal",)  &amp; IF(V162,"working",) &amp; IF(W162,"mounted",) &amp; IF(Y162,"in party (buff)",)  &amp; IF(Z162,"always",)</f>
        <v>always</v>
      </c>
      <c r="G162" s="6" t="n">
        <v>1</v>
      </c>
      <c r="H162" s="6" t="s">
        <v>182</v>
      </c>
      <c r="I162" s="6" t="s">
        <v>175</v>
      </c>
      <c r="J162" s="6" t="str">
        <f aca="false">IFERROR(__xludf.dummyfunction("IFS(I162=""ShotAttack"",""%"",I162=""MeleeAttack"",""%"", I162=""Defense"",""%"",I162=""CraftSPeed"",""%"",I162=""LifeSteal"",""%"",I162=""MaxInventoryWeight"",""+"",I162=""MoveSpeed"",""%"",REGEXMATCH(I162,""ElementAddItemDrop_""),""%"",I162=""Logging"","&amp;"""+"",I162=""Mining"",""+"",I162=""Maxhp"",""%"",REGEXMATCH(I162,""TemperatureResist_""),""+"",REGEXMATCH(I162,""ElementResist_""),""%"",REGEXMATCH(I162,""TemperatureInvalid_""),""bool"",REGEXMATCH(I162,""BodyPartsWeakDamage""),""%"",REGEXMATCH(I162,""Ele"&amp;"mentBoost_""),""%"",AND(REGEXMATCH(B162,""GiveA""),REGEXMATCH(I162,""Element"")),""bool"")"),"%")</f>
        <v>%</v>
      </c>
      <c r="K162" s="6" t="n">
        <v>15</v>
      </c>
      <c r="L162" s="6" t="s">
        <v>1956</v>
      </c>
      <c r="M162" s="6" t="s">
        <v>659</v>
      </c>
      <c r="N162" s="6" t="str">
        <f aca="false">IFERROR(__xludf.dummyfunction("IFS(M162=""ShotAttack"",""%"",M162=""MeleeAttack"",""%"", M162=""Defense"",""%"",M162=""CraftSPeed"",""%"",M162=""LifeSteal"",""%"",M162=""MaxInventoryWeight"",""+"",M162=""MoveSpeed"",""%"",REGEXMATCH(M162,""ElementAddItemDrop_""),""%"",M162=""Logging"","&amp;"""+"",M162=""Mining"",""+"",M162=""Maxhp"",""%"",REGEXMATCH(M162,""TemperatureResist_""),""+"",REGEXMATCH(M162,""ElementResist_""),""%"",REGEXMATCH(M162,""TemperatureInvalid_""),""bool"",REGEXMATCH(M162,""BodyPartsWeakDamage""),""%"",REGEXMATCH(M162,""Ele"&amp;"mentBoost_""),""%"",AND(REGEXMATCH(F162,""GiveA""),REGEXMATCH(M162,""Element"")),""bool"")"),"%")</f>
        <v>%</v>
      </c>
      <c r="O162" s="6" t="n">
        <v>-15</v>
      </c>
      <c r="P162" s="6" t="s">
        <v>1956</v>
      </c>
      <c r="Q162" s="6"/>
      <c r="R162" s="6" t="str">
        <f aca="false">IFERROR(__xludf.dummyfunction("IFS(Q162=""ShotAttack"",""%"",Q162=""MeleeAttack"",""%"", Q162=""Defense"",""%"",Q162=""CraftSPeed"",""%"",Q162=""LifeSteal"",""%"",Q162=""MaxInventoryWeight"",""+"",Q162=""MoveSpeed"",""%"",REGEXMATCH(Q162,""ElementAddItemDrop_""),""%"",Q162=""Logging"","&amp;"""+"",Q162=""Mining"",""+"",Q162=""Maxhp"",""%"",REGEXMATCH(Q162,""TemperatureResist_""),""+"",REGEXMATCH(Q162,""ElementResist_""),""%"",REGEXMATCH(Q162,""TemperatureInvalid_""),""bool"",REGEXMATCH(Q162,""BodyPartsWeakDamage""),""%"",REGEXMATCH(Q162,""Ele"&amp;"mentBoost_""),""%"",AND(REGEXMATCH(J162,""GiveA""),REGEXMATCH(Q162,""Element"")),""bool"")"),"#N/A")</f>
        <v>#N/A</v>
      </c>
      <c r="S162" s="6" t="n">
        <v>0</v>
      </c>
      <c r="T162" s="6"/>
      <c r="U162" s="319" t="b">
        <f aca="false">FALSE()</f>
        <v>0</v>
      </c>
      <c r="V162" s="319" t="b">
        <f aca="false">FALSE()</f>
        <v>0</v>
      </c>
      <c r="W162" s="319" t="b">
        <f aca="false">FALSE()</f>
        <v>0</v>
      </c>
      <c r="X162" s="319" t="b">
        <f aca="false">FALSE()</f>
        <v>0</v>
      </c>
      <c r="Y162" s="319" t="b">
        <f aca="false">FALSE()</f>
        <v>0</v>
      </c>
      <c r="Z162" s="319" t="b">
        <f aca="false">TRUE()</f>
        <v>1</v>
      </c>
      <c r="AA162" s="319" t="b">
        <f aca="false">TRUE()</f>
        <v>1</v>
      </c>
      <c r="AB162" s="319" t="b">
        <f aca="false">FALSE()</f>
        <v>0</v>
      </c>
      <c r="AC162" s="319" t="b">
        <f aca="false">FALSE()</f>
        <v>0</v>
      </c>
      <c r="AD162" s="319" t="b">
        <f aca="false">FALSE()</f>
        <v>0</v>
      </c>
      <c r="AE162" s="319" t="b">
        <f aca="false">FALSE()</f>
        <v>0</v>
      </c>
      <c r="AF162" s="319" t="b">
        <f aca="false">FALSE()</f>
        <v>0</v>
      </c>
      <c r="AG162" s="6" t="s">
        <v>182</v>
      </c>
      <c r="AH162" s="6" t="s">
        <v>182</v>
      </c>
    </row>
    <row r="163" customFormat="false" ht="15.75" hidden="false" customHeight="false" outlineLevel="0" collapsed="false">
      <c r="A163" s="3" t="s">
        <v>2139</v>
      </c>
      <c r="B163" s="6" t="s">
        <v>2140</v>
      </c>
      <c r="C163" s="311" t="b">
        <f aca="false">TRUE()</f>
        <v>1</v>
      </c>
      <c r="D163" s="6" t="str">
        <f aca="false">I163   &amp; IF(ISBLANK(M163),, ". "&amp; M163 &amp; IF(ISBLANK(Q163),, ". "&amp; Q163))</f>
        <v>CraftSpeed. ShotAttack</v>
      </c>
      <c r="E163" s="6" t="str">
        <f aca="false">I163  &amp;": # on "&amp; L163  &amp; IF(ISBLANK(M163),, ". "&amp; M163 &amp;": # on "&amp; P163 &amp; IF(ISBLANK(Q163),, ". "&amp; Q163 &amp;": # on "&amp; T163))</f>
        <v>CraftSpeed: # on Self. ShotAttack: # on Self</v>
      </c>
      <c r="F163" s="6" t="str">
        <f aca="false">IF(U163,"active pal",)  &amp; IF(V163,"working",) &amp; IF(W163,"mounted",) &amp; IF(Y163,"in party (buff)",)  &amp; IF(Z163,"always",)</f>
        <v>always</v>
      </c>
      <c r="G163" s="6" t="n">
        <v>1</v>
      </c>
      <c r="H163" s="6" t="s">
        <v>182</v>
      </c>
      <c r="I163" s="6" t="s">
        <v>661</v>
      </c>
      <c r="J163" s="6" t="str">
        <f aca="false">IFERROR(__xludf.dummyfunction("IFS(I163=""ShotAttack"",""%"",I163=""MeleeAttack"",""%"", I163=""Defense"",""%"",I163=""CraftSPeed"",""%"",I163=""LifeSteal"",""%"",I163=""MaxInventoryWeight"",""+"",I163=""MoveSpeed"",""%"",REGEXMATCH(I163,""ElementAddItemDrop_""),""%"",I163=""Logging"","&amp;"""+"",I163=""Mining"",""+"",I163=""Maxhp"",""%"",REGEXMATCH(I163,""TemperatureResist_""),""+"",REGEXMATCH(I163,""ElementResist_""),""%"",REGEXMATCH(I163,""TemperatureInvalid_""),""bool"",REGEXMATCH(I163,""BodyPartsWeakDamage""),""%"",REGEXMATCH(I163,""Ele"&amp;"mentBoost_""),""%"",AND(REGEXMATCH(B163,""GiveA""),REGEXMATCH(I163,""Element"")),""bool"")"),"%")</f>
        <v>%</v>
      </c>
      <c r="K163" s="6" t="n">
        <v>30</v>
      </c>
      <c r="L163" s="6" t="s">
        <v>1956</v>
      </c>
      <c r="M163" s="6" t="s">
        <v>659</v>
      </c>
      <c r="N163" s="6" t="str">
        <f aca="false">IFERROR(__xludf.dummyfunction("IFS(M163=""ShotAttack"",""%"",M163=""MeleeAttack"",""%"", M163=""Defense"",""%"",M163=""CraftSPeed"",""%"",M163=""LifeSteal"",""%"",M163=""MaxInventoryWeight"",""+"",M163=""MoveSpeed"",""%"",REGEXMATCH(M163,""ElementAddItemDrop_""),""%"",M163=""Logging"","&amp;"""+"",M163=""Mining"",""+"",M163=""Maxhp"",""%"",REGEXMATCH(M163,""TemperatureResist_""),""+"",REGEXMATCH(M163,""ElementResist_""),""%"",REGEXMATCH(M163,""TemperatureInvalid_""),""bool"",REGEXMATCH(M163,""BodyPartsWeakDamage""),""%"",REGEXMATCH(M163,""Ele"&amp;"mentBoost_""),""%"",AND(REGEXMATCH(F163,""GiveA""),REGEXMATCH(M163,""Element"")),""bool"")"),"%")</f>
        <v>%</v>
      </c>
      <c r="O163" s="6" t="n">
        <v>-30</v>
      </c>
      <c r="P163" s="6" t="s">
        <v>1956</v>
      </c>
      <c r="Q163" s="6"/>
      <c r="R163" s="6" t="str">
        <f aca="false">IFERROR(__xludf.dummyfunction("IFS(Q163=""ShotAttack"",""%"",Q163=""MeleeAttack"",""%"", Q163=""Defense"",""%"",Q163=""CraftSPeed"",""%"",Q163=""LifeSteal"",""%"",Q163=""MaxInventoryWeight"",""+"",Q163=""MoveSpeed"",""%"",REGEXMATCH(Q163,""ElementAddItemDrop_""),""%"",Q163=""Logging"","&amp;"""+"",Q163=""Mining"",""+"",Q163=""Maxhp"",""%"",REGEXMATCH(Q163,""TemperatureResist_""),""+"",REGEXMATCH(Q163,""ElementResist_""),""%"",REGEXMATCH(Q163,""TemperatureInvalid_""),""bool"",REGEXMATCH(Q163,""BodyPartsWeakDamage""),""%"",REGEXMATCH(Q163,""Ele"&amp;"mentBoost_""),""%"",AND(REGEXMATCH(J163,""GiveA""),REGEXMATCH(Q163,""Element"")),""bool"")"),"#N/A")</f>
        <v>#N/A</v>
      </c>
      <c r="S163" s="6" t="n">
        <v>0</v>
      </c>
      <c r="T163" s="6"/>
      <c r="U163" s="319" t="b">
        <f aca="false">FALSE()</f>
        <v>0</v>
      </c>
      <c r="V163" s="319" t="b">
        <f aca="false">FALSE()</f>
        <v>0</v>
      </c>
      <c r="W163" s="319" t="b">
        <f aca="false">FALSE()</f>
        <v>0</v>
      </c>
      <c r="X163" s="319" t="b">
        <f aca="false">FALSE()</f>
        <v>0</v>
      </c>
      <c r="Y163" s="319" t="b">
        <f aca="false">FALSE()</f>
        <v>0</v>
      </c>
      <c r="Z163" s="319" t="b">
        <f aca="false">TRUE()</f>
        <v>1</v>
      </c>
      <c r="AA163" s="319" t="b">
        <f aca="false">TRUE()</f>
        <v>1</v>
      </c>
      <c r="AB163" s="319" t="b">
        <f aca="false">FALSE()</f>
        <v>0</v>
      </c>
      <c r="AC163" s="319" t="b">
        <f aca="false">FALSE()</f>
        <v>0</v>
      </c>
      <c r="AD163" s="319" t="b">
        <f aca="false">FALSE()</f>
        <v>0</v>
      </c>
      <c r="AE163" s="319" t="b">
        <f aca="false">FALSE()</f>
        <v>0</v>
      </c>
      <c r="AF163" s="319" t="b">
        <f aca="false">FALSE()</f>
        <v>0</v>
      </c>
      <c r="AG163" s="6" t="s">
        <v>182</v>
      </c>
      <c r="AH163" s="6" t="s">
        <v>182</v>
      </c>
    </row>
    <row r="164" customFormat="false" ht="15.75" hidden="false" customHeight="false" outlineLevel="0" collapsed="false">
      <c r="A164" s="3" t="s">
        <v>2141</v>
      </c>
      <c r="B164" s="6" t="s">
        <v>2142</v>
      </c>
      <c r="C164" s="311" t="b">
        <f aca="false">TRUE()</f>
        <v>1</v>
      </c>
      <c r="D164" s="6" t="str">
        <f aca="false">I164   &amp; IF(ISBLANK(M164),, ". "&amp; M164 &amp; IF(ISBLANK(Q164),, ". "&amp; Q164))</f>
        <v>ShotAttack. Defense</v>
      </c>
      <c r="E164" s="6" t="str">
        <f aca="false">I164  &amp;": # on "&amp; L164  &amp; IF(ISBLANK(M164),, ". "&amp; M164 &amp;": # on "&amp; P164 &amp; IF(ISBLANK(Q164),, ". "&amp; Q164 &amp;": # on "&amp; T164))</f>
        <v>ShotAttack: # on Self. Defense: # on Self</v>
      </c>
      <c r="F164" s="6" t="str">
        <f aca="false">IF(U164,"active pal",)  &amp; IF(V164,"working",) &amp; IF(W164,"mounted",) &amp; IF(Y164,"in party (buff)",)  &amp; IF(Z164,"always",)</f>
        <v>always</v>
      </c>
      <c r="G164" s="6" t="n">
        <v>1</v>
      </c>
      <c r="H164" s="6" t="s">
        <v>182</v>
      </c>
      <c r="I164" s="6" t="s">
        <v>659</v>
      </c>
      <c r="J164" s="6" t="str">
        <f aca="false">IFERROR(__xludf.dummyfunction("IFS(I164=""ShotAttack"",""%"",I164=""MeleeAttack"",""%"", I164=""Defense"",""%"",I164=""CraftSPeed"",""%"",I164=""LifeSteal"",""%"",I164=""MaxInventoryWeight"",""+"",I164=""MoveSpeed"",""%"",REGEXMATCH(I164,""ElementAddItemDrop_""),""%"",I164=""Logging"","&amp;"""+"",I164=""Mining"",""+"",I164=""Maxhp"",""%"",REGEXMATCH(I164,""TemperatureResist_""),""+"",REGEXMATCH(I164,""ElementResist_""),""%"",REGEXMATCH(I164,""TemperatureInvalid_""),""bool"",REGEXMATCH(I164,""BodyPartsWeakDamage""),""%"",REGEXMATCH(I164,""Ele"&amp;"mentBoost_""),""%"",AND(REGEXMATCH(B164,""GiveA""),REGEXMATCH(I164,""Element"")),""bool"")"),"%")</f>
        <v>%</v>
      </c>
      <c r="K164" s="6" t="n">
        <v>10</v>
      </c>
      <c r="L164" s="6" t="s">
        <v>1956</v>
      </c>
      <c r="M164" s="6" t="s">
        <v>175</v>
      </c>
      <c r="N164" s="6" t="str">
        <f aca="false">IFERROR(__xludf.dummyfunction("IFS(M164=""ShotAttack"",""%"",M164=""MeleeAttack"",""%"", M164=""Defense"",""%"",M164=""CraftSPeed"",""%"",M164=""LifeSteal"",""%"",M164=""MaxInventoryWeight"",""+"",M164=""MoveSpeed"",""%"",REGEXMATCH(M164,""ElementAddItemDrop_""),""%"",M164=""Logging"","&amp;"""+"",M164=""Mining"",""+"",M164=""Maxhp"",""%"",REGEXMATCH(M164,""TemperatureResist_""),""+"",REGEXMATCH(M164,""ElementResist_""),""%"",REGEXMATCH(M164,""TemperatureInvalid_""),""bool"",REGEXMATCH(M164,""BodyPartsWeakDamage""),""%"",REGEXMATCH(M164,""Ele"&amp;"mentBoost_""),""%"",AND(REGEXMATCH(F164,""GiveA""),REGEXMATCH(M164,""Element"")),""bool"")"),"%")</f>
        <v>%</v>
      </c>
      <c r="O164" s="6" t="n">
        <v>-10</v>
      </c>
      <c r="P164" s="6" t="s">
        <v>1956</v>
      </c>
      <c r="Q164" s="6"/>
      <c r="R164" s="6" t="str">
        <f aca="false">IFERROR(__xludf.dummyfunction("IFS(Q164=""ShotAttack"",""%"",Q164=""MeleeAttack"",""%"", Q164=""Defense"",""%"",Q164=""CraftSPeed"",""%"",Q164=""LifeSteal"",""%"",Q164=""MaxInventoryWeight"",""+"",Q164=""MoveSpeed"",""%"",REGEXMATCH(Q164,""ElementAddItemDrop_""),""%"",Q164=""Logging"","&amp;"""+"",Q164=""Mining"",""+"",Q164=""Maxhp"",""%"",REGEXMATCH(Q164,""TemperatureResist_""),""+"",REGEXMATCH(Q164,""ElementResist_""),""%"",REGEXMATCH(Q164,""TemperatureInvalid_""),""bool"",REGEXMATCH(Q164,""BodyPartsWeakDamage""),""%"",REGEXMATCH(Q164,""Ele"&amp;"mentBoost_""),""%"",AND(REGEXMATCH(J164,""GiveA""),REGEXMATCH(Q164,""Element"")),""bool"")"),"#N/A")</f>
        <v>#N/A</v>
      </c>
      <c r="S164" s="6" t="n">
        <v>0</v>
      </c>
      <c r="T164" s="6"/>
      <c r="U164" s="319" t="b">
        <f aca="false">FALSE()</f>
        <v>0</v>
      </c>
      <c r="V164" s="319" t="b">
        <f aca="false">FALSE()</f>
        <v>0</v>
      </c>
      <c r="W164" s="319" t="b">
        <f aca="false">FALSE()</f>
        <v>0</v>
      </c>
      <c r="X164" s="319" t="b">
        <f aca="false">FALSE()</f>
        <v>0</v>
      </c>
      <c r="Y164" s="319" t="b">
        <f aca="false">FALSE()</f>
        <v>0</v>
      </c>
      <c r="Z164" s="319" t="b">
        <f aca="false">TRUE()</f>
        <v>1</v>
      </c>
      <c r="AA164" s="319" t="b">
        <f aca="false">TRUE()</f>
        <v>1</v>
      </c>
      <c r="AB164" s="319" t="b">
        <f aca="false">FALSE()</f>
        <v>0</v>
      </c>
      <c r="AC164" s="319" t="b">
        <f aca="false">FALSE()</f>
        <v>0</v>
      </c>
      <c r="AD164" s="319" t="b">
        <f aca="false">FALSE()</f>
        <v>0</v>
      </c>
      <c r="AE164" s="319" t="b">
        <f aca="false">FALSE()</f>
        <v>0</v>
      </c>
      <c r="AF164" s="319" t="b">
        <f aca="false">FALSE()</f>
        <v>0</v>
      </c>
      <c r="AG164" s="6" t="s">
        <v>182</v>
      </c>
      <c r="AH164" s="6" t="s">
        <v>182</v>
      </c>
    </row>
    <row r="165" customFormat="false" ht="15.75" hidden="false" customHeight="false" outlineLevel="0" collapsed="false">
      <c r="A165" s="3" t="s">
        <v>1953</v>
      </c>
      <c r="B165" s="6" t="s">
        <v>850</v>
      </c>
      <c r="C165" s="3"/>
      <c r="D165" s="6" t="str">
        <f aca="false">I165   &amp; IF(ISBLANK(M165),, ". "&amp; M165 &amp; IF(ISBLANK(Q165),, ". "&amp; Q165))</f>
        <v>ShotAttack</v>
      </c>
      <c r="E165" s="6" t="str">
        <f aca="false">I165  &amp;": # on "&amp; L165  &amp; IF(ISBLANK(M165),, ". "&amp; M165 &amp;": # on "&amp; P165 &amp; IF(ISBLANK(Q165),, ". "&amp; Q165 &amp;": # on "&amp; T165))</f>
        <v>ShotAttack: # on Self</v>
      </c>
      <c r="F165" s="6" t="str">
        <f aca="false">IF(U165,"active pal",)  &amp; IF(V165,"working",) &amp; IF(W165,"mounted",) &amp; IF(Y165,"in party (buff)",)  &amp; IF(Z165,"always",)</f>
        <v>in party (buff)</v>
      </c>
      <c r="G165" s="6" t="n">
        <v>1</v>
      </c>
      <c r="H165" s="6" t="s">
        <v>182</v>
      </c>
      <c r="I165" s="6" t="s">
        <v>659</v>
      </c>
      <c r="J165" s="6" t="str">
        <f aca="false">IFERROR(__xludf.dummyfunction("IFS(I165=""ShotAttack"",""%"",I165=""MeleeAttack"",""%"", I165=""Defense"",""%"",I165=""CraftSPeed"",""%"",I165=""LifeSteal"",""%"",I165=""MaxInventoryWeight"",""+"",I165=""MoveSpeed"",""%"",REGEXMATCH(I165,""ElementAddItemDrop_""),""%"",I165=""Logging"","&amp;"""+"",I165=""Mining"",""+"",I165=""Maxhp"",""%"",REGEXMATCH(I165,""TemperatureResist_""),""+"",REGEXMATCH(I165,""ElementResist_""),""%"",REGEXMATCH(I165,""TemperatureInvalid_""),""bool"",REGEXMATCH(I165,""BodyPartsWeakDamage""),""%"",REGEXMATCH(I165,""Ele"&amp;"mentBoost_""),""%"",AND(REGEXMATCH(B165,""GiveA""),REGEXMATCH(I165,""Element"")),""bool"")"),"%")</f>
        <v>%</v>
      </c>
      <c r="K165" s="6" t="n">
        <v>10</v>
      </c>
      <c r="L165" s="6" t="s">
        <v>1956</v>
      </c>
      <c r="M165" s="6"/>
      <c r="N165" s="6" t="str">
        <f aca="false">IFERROR(__xludf.dummyfunction("IFS(M165=""ShotAttack"",""%"",M165=""MeleeAttack"",""%"", M165=""Defense"",""%"",M165=""CraftSPeed"",""%"",M165=""LifeSteal"",""%"",M165=""MaxInventoryWeight"",""+"",M165=""MoveSpeed"",""%"",REGEXMATCH(M165,""ElementAddItemDrop_""),""%"",M165=""Logging"","&amp;"""+"",M165=""Mining"",""+"",M165=""Maxhp"",""%"",REGEXMATCH(M165,""TemperatureResist_""),""+"",REGEXMATCH(M165,""ElementResist_""),""%"",REGEXMATCH(M165,""TemperatureInvalid_""),""bool"",REGEXMATCH(M165,""BodyPartsWeakDamage""),""%"",REGEXMATCH(M165,""Ele"&amp;"mentBoost_""),""%"",AND(REGEXMATCH(F165,""GiveA""),REGEXMATCH(M165,""Element"")),""bool"")"),"#N/A")</f>
        <v>#N/A</v>
      </c>
      <c r="O165" s="6" t="n">
        <v>0</v>
      </c>
      <c r="P165" s="6"/>
      <c r="Q165" s="6"/>
      <c r="R165" s="6" t="str">
        <f aca="false">IFERROR(__xludf.dummyfunction("IFS(Q165=""ShotAttack"",""%"",Q165=""MeleeAttack"",""%"", Q165=""Defense"",""%"",Q165=""CraftSPeed"",""%"",Q165=""LifeSteal"",""%"",Q165=""MaxInventoryWeight"",""+"",Q165=""MoveSpeed"",""%"",REGEXMATCH(Q165,""ElementAddItemDrop_""),""%"",Q165=""Logging"","&amp;"""+"",Q165=""Mining"",""+"",Q165=""Maxhp"",""%"",REGEXMATCH(Q165,""TemperatureResist_""),""+"",REGEXMATCH(Q165,""ElementResist_""),""%"",REGEXMATCH(Q165,""TemperatureInvalid_""),""bool"",REGEXMATCH(Q165,""BodyPartsWeakDamage""),""%"",REGEXMATCH(Q165,""Ele"&amp;"mentBoost_""),""%"",AND(REGEXMATCH(J165,""GiveA""),REGEXMATCH(Q165,""Element"")),""bool"")"),"#N/A")</f>
        <v>#N/A</v>
      </c>
      <c r="S165" s="6" t="n">
        <v>0</v>
      </c>
      <c r="T165" s="6"/>
      <c r="U165" s="319" t="b">
        <f aca="false">FALSE()</f>
        <v>0</v>
      </c>
      <c r="V165" s="319" t="b">
        <f aca="false">FALSE()</f>
        <v>0</v>
      </c>
      <c r="W165" s="319" t="b">
        <f aca="false">FALSE()</f>
        <v>0</v>
      </c>
      <c r="X165" s="319" t="b">
        <f aca="false">FALSE()</f>
        <v>0</v>
      </c>
      <c r="Y165" s="319" t="b">
        <f aca="false">TRUE()</f>
        <v>1</v>
      </c>
      <c r="Z165" s="319" t="b">
        <f aca="false">FALSE()</f>
        <v>0</v>
      </c>
      <c r="AA165" s="319" t="b">
        <f aca="false">FALSE()</f>
        <v>0</v>
      </c>
      <c r="AB165" s="319" t="b">
        <f aca="false">FALSE()</f>
        <v>0</v>
      </c>
      <c r="AC165" s="319" t="b">
        <f aca="false">FALSE()</f>
        <v>0</v>
      </c>
      <c r="AD165" s="319" t="b">
        <f aca="false">FALSE()</f>
        <v>0</v>
      </c>
      <c r="AE165" s="319" t="b">
        <f aca="false">FALSE()</f>
        <v>0</v>
      </c>
      <c r="AF165" s="319" t="b">
        <f aca="false">FALSE()</f>
        <v>0</v>
      </c>
      <c r="AG165" s="6" t="s">
        <v>182</v>
      </c>
      <c r="AH165" s="6" t="s">
        <v>182</v>
      </c>
    </row>
    <row r="166" customFormat="false" ht="15.75" hidden="false" customHeight="false" outlineLevel="0" collapsed="false">
      <c r="A166" s="1" t="e">
        <f aca="false">#N/A</f>
        <v>#N/A</v>
      </c>
      <c r="B166" s="6" t="s">
        <v>851</v>
      </c>
      <c r="C166" s="3"/>
      <c r="D166" s="6" t="str">
        <f aca="false">I166   &amp; IF(ISBLANK(M166),, ". "&amp; M166 &amp; IF(ISBLANK(Q166),, ". "&amp; Q166))</f>
        <v>ShotAttack</v>
      </c>
      <c r="E166" s="6" t="str">
        <f aca="false">I166  &amp;": # on "&amp; L166  &amp; IF(ISBLANK(M166),, ". "&amp; M166 &amp;": # on "&amp; P166 &amp; IF(ISBLANK(Q166),, ". "&amp; Q166 &amp;": # on "&amp; T166))</f>
        <v>ShotAttack: # on Self</v>
      </c>
      <c r="F166" s="6" t="str">
        <f aca="false">IF(U166,"active pal",)  &amp; IF(V166,"working",) &amp; IF(W166,"mounted",) &amp; IF(Y166,"in party (buff)",)  &amp; IF(Z166,"always",)</f>
        <v>in party (buff)</v>
      </c>
      <c r="G166" s="6" t="n">
        <v>1</v>
      </c>
      <c r="H166" s="6" t="s">
        <v>182</v>
      </c>
      <c r="I166" s="6" t="s">
        <v>659</v>
      </c>
      <c r="J166" s="6" t="str">
        <f aca="false">IFERROR(__xludf.dummyfunction("IFS(I166=""ShotAttack"",""%"",I166=""MeleeAttack"",""%"", I166=""Defense"",""%"",I166=""CraftSPeed"",""%"",I166=""LifeSteal"",""%"",I166=""MaxInventoryWeight"",""+"",I166=""MoveSpeed"",""%"",REGEXMATCH(I166,""ElementAddItemDrop_""),""%"",I166=""Logging"","&amp;"""+"",I166=""Mining"",""+"",I166=""Maxhp"",""%"",REGEXMATCH(I166,""TemperatureResist_""),""+"",REGEXMATCH(I166,""ElementResist_""),""%"",REGEXMATCH(I166,""TemperatureInvalid_""),""bool"",REGEXMATCH(I166,""BodyPartsWeakDamage""),""%"",REGEXMATCH(I166,""Ele"&amp;"mentBoost_""),""%"",AND(REGEXMATCH(B166,""GiveA""),REGEXMATCH(I166,""Element"")),""bool"")"),"%")</f>
        <v>%</v>
      </c>
      <c r="K166" s="6" t="n">
        <v>11</v>
      </c>
      <c r="L166" s="6" t="s">
        <v>1956</v>
      </c>
      <c r="M166" s="6"/>
      <c r="N166" s="6" t="str">
        <f aca="false">IFERROR(__xludf.dummyfunction("IFS(M166=""ShotAttack"",""%"",M166=""MeleeAttack"",""%"", M166=""Defense"",""%"",M166=""CraftSPeed"",""%"",M166=""LifeSteal"",""%"",M166=""MaxInventoryWeight"",""+"",M166=""MoveSpeed"",""%"",REGEXMATCH(M166,""ElementAddItemDrop_""),""%"",M166=""Logging"","&amp;"""+"",M166=""Mining"",""+"",M166=""Maxhp"",""%"",REGEXMATCH(M166,""TemperatureResist_""),""+"",REGEXMATCH(M166,""ElementResist_""),""%"",REGEXMATCH(M166,""TemperatureInvalid_""),""bool"",REGEXMATCH(M166,""BodyPartsWeakDamage""),""%"",REGEXMATCH(M166,""Ele"&amp;"mentBoost_""),""%"",AND(REGEXMATCH(F166,""GiveA""),REGEXMATCH(M166,""Element"")),""bool"")"),"#N/A")</f>
        <v>#N/A</v>
      </c>
      <c r="O166" s="6" t="n">
        <v>0</v>
      </c>
      <c r="P166" s="6"/>
      <c r="Q166" s="6"/>
      <c r="R166" s="6" t="str">
        <f aca="false">IFERROR(__xludf.dummyfunction("IFS(Q166=""ShotAttack"",""%"",Q166=""MeleeAttack"",""%"", Q166=""Defense"",""%"",Q166=""CraftSPeed"",""%"",Q166=""LifeSteal"",""%"",Q166=""MaxInventoryWeight"",""+"",Q166=""MoveSpeed"",""%"",REGEXMATCH(Q166,""ElementAddItemDrop_""),""%"",Q166=""Logging"","&amp;"""+"",Q166=""Mining"",""+"",Q166=""Maxhp"",""%"",REGEXMATCH(Q166,""TemperatureResist_""),""+"",REGEXMATCH(Q166,""ElementResist_""),""%"",REGEXMATCH(Q166,""TemperatureInvalid_""),""bool"",REGEXMATCH(Q166,""BodyPartsWeakDamage""),""%"",REGEXMATCH(Q166,""Ele"&amp;"mentBoost_""),""%"",AND(REGEXMATCH(J166,""GiveA""),REGEXMATCH(Q166,""Element"")),""bool"")"),"#N/A")</f>
        <v>#N/A</v>
      </c>
      <c r="S166" s="6" t="n">
        <v>0</v>
      </c>
      <c r="T166" s="6"/>
      <c r="U166" s="319" t="b">
        <f aca="false">FALSE()</f>
        <v>0</v>
      </c>
      <c r="V166" s="319" t="b">
        <f aca="false">FALSE()</f>
        <v>0</v>
      </c>
      <c r="W166" s="319" t="b">
        <f aca="false">FALSE()</f>
        <v>0</v>
      </c>
      <c r="X166" s="319" t="b">
        <f aca="false">FALSE()</f>
        <v>0</v>
      </c>
      <c r="Y166" s="319" t="b">
        <f aca="false">TRUE()</f>
        <v>1</v>
      </c>
      <c r="Z166" s="319" t="b">
        <f aca="false">FALSE()</f>
        <v>0</v>
      </c>
      <c r="AA166" s="319" t="b">
        <f aca="false">FALSE()</f>
        <v>0</v>
      </c>
      <c r="AB166" s="319" t="b">
        <f aca="false">FALSE()</f>
        <v>0</v>
      </c>
      <c r="AC166" s="319" t="b">
        <f aca="false">FALSE()</f>
        <v>0</v>
      </c>
      <c r="AD166" s="319" t="b">
        <f aca="false">FALSE()</f>
        <v>0</v>
      </c>
      <c r="AE166" s="319" t="b">
        <f aca="false">FALSE()</f>
        <v>0</v>
      </c>
      <c r="AF166" s="319" t="b">
        <f aca="false">FALSE()</f>
        <v>0</v>
      </c>
      <c r="AG166" s="6" t="s">
        <v>182</v>
      </c>
      <c r="AH166" s="6" t="s">
        <v>182</v>
      </c>
    </row>
    <row r="167" customFormat="false" ht="15.75" hidden="false" customHeight="false" outlineLevel="0" collapsed="false">
      <c r="A167" s="1" t="e">
        <f aca="false">#N/A</f>
        <v>#N/A</v>
      </c>
      <c r="B167" s="6" t="s">
        <v>852</v>
      </c>
      <c r="C167" s="3"/>
      <c r="D167" s="6" t="str">
        <f aca="false">I167   &amp; IF(ISBLANK(M167),, ". "&amp; M167 &amp; IF(ISBLANK(Q167),, ". "&amp; Q167))</f>
        <v>ShotAttack</v>
      </c>
      <c r="E167" s="6" t="str">
        <f aca="false">I167  &amp;": # on "&amp; L167  &amp; IF(ISBLANK(M167),, ". "&amp; M167 &amp;": # on "&amp; P167 &amp; IF(ISBLANK(Q167),, ". "&amp; Q167 &amp;": # on "&amp; T167))</f>
        <v>ShotAttack: # on Self</v>
      </c>
      <c r="F167" s="6" t="str">
        <f aca="false">IF(U167,"active pal",)  &amp; IF(V167,"working",) &amp; IF(W167,"mounted",) &amp; IF(Y167,"in party (buff)",)  &amp; IF(Z167,"always",)</f>
        <v>in party (buff)</v>
      </c>
      <c r="G167" s="6" t="n">
        <v>1</v>
      </c>
      <c r="H167" s="6" t="s">
        <v>182</v>
      </c>
      <c r="I167" s="6" t="s">
        <v>659</v>
      </c>
      <c r="J167" s="6" t="str">
        <f aca="false">IFERROR(__xludf.dummyfunction("IFS(I167=""ShotAttack"",""%"",I167=""MeleeAttack"",""%"", I167=""Defense"",""%"",I167=""CraftSPeed"",""%"",I167=""LifeSteal"",""%"",I167=""MaxInventoryWeight"",""+"",I167=""MoveSpeed"",""%"",REGEXMATCH(I167,""ElementAddItemDrop_""),""%"",I167=""Logging"","&amp;"""+"",I167=""Mining"",""+"",I167=""Maxhp"",""%"",REGEXMATCH(I167,""TemperatureResist_""),""+"",REGEXMATCH(I167,""ElementResist_""),""%"",REGEXMATCH(I167,""TemperatureInvalid_""),""bool"",REGEXMATCH(I167,""BodyPartsWeakDamage""),""%"",REGEXMATCH(I167,""Ele"&amp;"mentBoost_""),""%"",AND(REGEXMATCH(B167,""GiveA""),REGEXMATCH(I167,""Element"")),""bool"")"),"%")</f>
        <v>%</v>
      </c>
      <c r="K167" s="6" t="n">
        <v>13</v>
      </c>
      <c r="L167" s="6" t="s">
        <v>1956</v>
      </c>
      <c r="M167" s="6"/>
      <c r="N167" s="6" t="str">
        <f aca="false">IFERROR(__xludf.dummyfunction("IFS(M167=""ShotAttack"",""%"",M167=""MeleeAttack"",""%"", M167=""Defense"",""%"",M167=""CraftSPeed"",""%"",M167=""LifeSteal"",""%"",M167=""MaxInventoryWeight"",""+"",M167=""MoveSpeed"",""%"",REGEXMATCH(M167,""ElementAddItemDrop_""),""%"",M167=""Logging"","&amp;"""+"",M167=""Mining"",""+"",M167=""Maxhp"",""%"",REGEXMATCH(M167,""TemperatureResist_""),""+"",REGEXMATCH(M167,""ElementResist_""),""%"",REGEXMATCH(M167,""TemperatureInvalid_""),""bool"",REGEXMATCH(M167,""BodyPartsWeakDamage""),""%"",REGEXMATCH(M167,""Ele"&amp;"mentBoost_""),""%"",AND(REGEXMATCH(F167,""GiveA""),REGEXMATCH(M167,""Element"")),""bool"")"),"#N/A")</f>
        <v>#N/A</v>
      </c>
      <c r="O167" s="6" t="n">
        <v>0</v>
      </c>
      <c r="P167" s="6"/>
      <c r="Q167" s="6"/>
      <c r="R167" s="6" t="str">
        <f aca="false">IFERROR(__xludf.dummyfunction("IFS(Q167=""ShotAttack"",""%"",Q167=""MeleeAttack"",""%"", Q167=""Defense"",""%"",Q167=""CraftSPeed"",""%"",Q167=""LifeSteal"",""%"",Q167=""MaxInventoryWeight"",""+"",Q167=""MoveSpeed"",""%"",REGEXMATCH(Q167,""ElementAddItemDrop_""),""%"",Q167=""Logging"","&amp;"""+"",Q167=""Mining"",""+"",Q167=""Maxhp"",""%"",REGEXMATCH(Q167,""TemperatureResist_""),""+"",REGEXMATCH(Q167,""ElementResist_""),""%"",REGEXMATCH(Q167,""TemperatureInvalid_""),""bool"",REGEXMATCH(Q167,""BodyPartsWeakDamage""),""%"",REGEXMATCH(Q167,""Ele"&amp;"mentBoost_""),""%"",AND(REGEXMATCH(J167,""GiveA""),REGEXMATCH(Q167,""Element"")),""bool"")"),"#N/A")</f>
        <v>#N/A</v>
      </c>
      <c r="S167" s="6" t="n">
        <v>0</v>
      </c>
      <c r="T167" s="6"/>
      <c r="U167" s="319" t="b">
        <f aca="false">FALSE()</f>
        <v>0</v>
      </c>
      <c r="V167" s="319" t="b">
        <f aca="false">FALSE()</f>
        <v>0</v>
      </c>
      <c r="W167" s="319" t="b">
        <f aca="false">FALSE()</f>
        <v>0</v>
      </c>
      <c r="X167" s="319" t="b">
        <f aca="false">FALSE()</f>
        <v>0</v>
      </c>
      <c r="Y167" s="319" t="b">
        <f aca="false">TRUE()</f>
        <v>1</v>
      </c>
      <c r="Z167" s="319" t="b">
        <f aca="false">FALSE()</f>
        <v>0</v>
      </c>
      <c r="AA167" s="319" t="b">
        <f aca="false">FALSE()</f>
        <v>0</v>
      </c>
      <c r="AB167" s="319" t="b">
        <f aca="false">FALSE()</f>
        <v>0</v>
      </c>
      <c r="AC167" s="319" t="b">
        <f aca="false">FALSE()</f>
        <v>0</v>
      </c>
      <c r="AD167" s="319" t="b">
        <f aca="false">FALSE()</f>
        <v>0</v>
      </c>
      <c r="AE167" s="319" t="b">
        <f aca="false">FALSE()</f>
        <v>0</v>
      </c>
      <c r="AF167" s="319" t="b">
        <f aca="false">FALSE()</f>
        <v>0</v>
      </c>
      <c r="AG167" s="6" t="s">
        <v>182</v>
      </c>
      <c r="AH167" s="6" t="s">
        <v>182</v>
      </c>
    </row>
    <row r="168" customFormat="false" ht="15.75" hidden="false" customHeight="false" outlineLevel="0" collapsed="false">
      <c r="A168" s="1" t="e">
        <f aca="false">#N/A</f>
        <v>#N/A</v>
      </c>
      <c r="B168" s="6" t="s">
        <v>853</v>
      </c>
      <c r="C168" s="3"/>
      <c r="D168" s="6" t="str">
        <f aca="false">I168   &amp; IF(ISBLANK(M168),, ". "&amp; M168 &amp; IF(ISBLANK(Q168),, ". "&amp; Q168))</f>
        <v>ShotAttack</v>
      </c>
      <c r="E168" s="6" t="str">
        <f aca="false">I168  &amp;": # on "&amp; L168  &amp; IF(ISBLANK(M168),, ". "&amp; M168 &amp;": # on "&amp; P168 &amp; IF(ISBLANK(Q168),, ". "&amp; Q168 &amp;": # on "&amp; T168))</f>
        <v>ShotAttack: # on Self</v>
      </c>
      <c r="F168" s="6" t="str">
        <f aca="false">IF(U168,"active pal",)  &amp; IF(V168,"working",) &amp; IF(W168,"mounted",) &amp; IF(Y168,"in party (buff)",)  &amp; IF(Z168,"always",)</f>
        <v>in party (buff)</v>
      </c>
      <c r="G168" s="6" t="n">
        <v>1</v>
      </c>
      <c r="H168" s="6" t="s">
        <v>182</v>
      </c>
      <c r="I168" s="6" t="s">
        <v>659</v>
      </c>
      <c r="J168" s="6" t="str">
        <f aca="false">IFERROR(__xludf.dummyfunction("IFS(I168=""ShotAttack"",""%"",I168=""MeleeAttack"",""%"", I168=""Defense"",""%"",I168=""CraftSPeed"",""%"",I168=""LifeSteal"",""%"",I168=""MaxInventoryWeight"",""+"",I168=""MoveSpeed"",""%"",REGEXMATCH(I168,""ElementAddItemDrop_""),""%"",I168=""Logging"","&amp;"""+"",I168=""Mining"",""+"",I168=""Maxhp"",""%"",REGEXMATCH(I168,""TemperatureResist_""),""+"",REGEXMATCH(I168,""ElementResist_""),""%"",REGEXMATCH(I168,""TemperatureInvalid_""),""bool"",REGEXMATCH(I168,""BodyPartsWeakDamage""),""%"",REGEXMATCH(I168,""Ele"&amp;"mentBoost_""),""%"",AND(REGEXMATCH(B168,""GiveA""),REGEXMATCH(I168,""Element"")),""bool"")"),"%")</f>
        <v>%</v>
      </c>
      <c r="K168" s="6" t="n">
        <v>16</v>
      </c>
      <c r="L168" s="6" t="s">
        <v>1956</v>
      </c>
      <c r="M168" s="6"/>
      <c r="N168" s="6" t="str">
        <f aca="false">IFERROR(__xludf.dummyfunction("IFS(M168=""ShotAttack"",""%"",M168=""MeleeAttack"",""%"", M168=""Defense"",""%"",M168=""CraftSPeed"",""%"",M168=""LifeSteal"",""%"",M168=""MaxInventoryWeight"",""+"",M168=""MoveSpeed"",""%"",REGEXMATCH(M168,""ElementAddItemDrop_""),""%"",M168=""Logging"","&amp;"""+"",M168=""Mining"",""+"",M168=""Maxhp"",""%"",REGEXMATCH(M168,""TemperatureResist_""),""+"",REGEXMATCH(M168,""ElementResist_""),""%"",REGEXMATCH(M168,""TemperatureInvalid_""),""bool"",REGEXMATCH(M168,""BodyPartsWeakDamage""),""%"",REGEXMATCH(M168,""Ele"&amp;"mentBoost_""),""%"",AND(REGEXMATCH(F168,""GiveA""),REGEXMATCH(M168,""Element"")),""bool"")"),"#N/A")</f>
        <v>#N/A</v>
      </c>
      <c r="O168" s="6" t="n">
        <v>0</v>
      </c>
      <c r="P168" s="6"/>
      <c r="Q168" s="6"/>
      <c r="R168" s="6" t="str">
        <f aca="false">IFERROR(__xludf.dummyfunction("IFS(Q168=""ShotAttack"",""%"",Q168=""MeleeAttack"",""%"", Q168=""Defense"",""%"",Q168=""CraftSPeed"",""%"",Q168=""LifeSteal"",""%"",Q168=""MaxInventoryWeight"",""+"",Q168=""MoveSpeed"",""%"",REGEXMATCH(Q168,""ElementAddItemDrop_""),""%"",Q168=""Logging"","&amp;"""+"",Q168=""Mining"",""+"",Q168=""Maxhp"",""%"",REGEXMATCH(Q168,""TemperatureResist_""),""+"",REGEXMATCH(Q168,""ElementResist_""),""%"",REGEXMATCH(Q168,""TemperatureInvalid_""),""bool"",REGEXMATCH(Q168,""BodyPartsWeakDamage""),""%"",REGEXMATCH(Q168,""Ele"&amp;"mentBoost_""),""%"",AND(REGEXMATCH(J168,""GiveA""),REGEXMATCH(Q168,""Element"")),""bool"")"),"#N/A")</f>
        <v>#N/A</v>
      </c>
      <c r="S168" s="6" t="n">
        <v>0</v>
      </c>
      <c r="T168" s="6"/>
      <c r="U168" s="319" t="b">
        <f aca="false">FALSE()</f>
        <v>0</v>
      </c>
      <c r="V168" s="319" t="b">
        <f aca="false">FALSE()</f>
        <v>0</v>
      </c>
      <c r="W168" s="319" t="b">
        <f aca="false">FALSE()</f>
        <v>0</v>
      </c>
      <c r="X168" s="319" t="b">
        <f aca="false">FALSE()</f>
        <v>0</v>
      </c>
      <c r="Y168" s="319" t="b">
        <f aca="false">TRUE()</f>
        <v>1</v>
      </c>
      <c r="Z168" s="319" t="b">
        <f aca="false">FALSE()</f>
        <v>0</v>
      </c>
      <c r="AA168" s="319" t="b">
        <f aca="false">FALSE()</f>
        <v>0</v>
      </c>
      <c r="AB168" s="319" t="b">
        <f aca="false">FALSE()</f>
        <v>0</v>
      </c>
      <c r="AC168" s="319" t="b">
        <f aca="false">FALSE()</f>
        <v>0</v>
      </c>
      <c r="AD168" s="319" t="b">
        <f aca="false">FALSE()</f>
        <v>0</v>
      </c>
      <c r="AE168" s="319" t="b">
        <f aca="false">FALSE()</f>
        <v>0</v>
      </c>
      <c r="AF168" s="319" t="b">
        <f aca="false">FALSE()</f>
        <v>0</v>
      </c>
      <c r="AG168" s="6" t="s">
        <v>182</v>
      </c>
      <c r="AH168" s="6" t="s">
        <v>182</v>
      </c>
    </row>
    <row r="169" customFormat="false" ht="15.75" hidden="false" customHeight="false" outlineLevel="0" collapsed="false">
      <c r="A169" s="1" t="e">
        <f aca="false">#N/A</f>
        <v>#N/A</v>
      </c>
      <c r="B169" s="6" t="s">
        <v>854</v>
      </c>
      <c r="C169" s="3"/>
      <c r="D169" s="6" t="str">
        <f aca="false">I169   &amp; IF(ISBLANK(M169),, ". "&amp; M169 &amp; IF(ISBLANK(Q169),, ". "&amp; Q169))</f>
        <v>ShotAttack</v>
      </c>
      <c r="E169" s="6" t="str">
        <f aca="false">I169  &amp;": # on "&amp; L169  &amp; IF(ISBLANK(M169),, ". "&amp; M169 &amp;": # on "&amp; P169 &amp; IF(ISBLANK(Q169),, ". "&amp; Q169 &amp;": # on "&amp; T169))</f>
        <v>ShotAttack: # on Self</v>
      </c>
      <c r="F169" s="6" t="str">
        <f aca="false">IF(U169,"active pal",)  &amp; IF(V169,"working",) &amp; IF(W169,"mounted",) &amp; IF(Y169,"in party (buff)",)  &amp; IF(Z169,"always",)</f>
        <v>in party (buff)</v>
      </c>
      <c r="G169" s="6" t="n">
        <v>1</v>
      </c>
      <c r="H169" s="6" t="s">
        <v>182</v>
      </c>
      <c r="I169" s="6" t="s">
        <v>659</v>
      </c>
      <c r="J169" s="6" t="str">
        <f aca="false">IFERROR(__xludf.dummyfunction("IFS(I169=""ShotAttack"",""%"",I169=""MeleeAttack"",""%"", I169=""Defense"",""%"",I169=""CraftSPeed"",""%"",I169=""LifeSteal"",""%"",I169=""MaxInventoryWeight"",""+"",I169=""MoveSpeed"",""%"",REGEXMATCH(I169,""ElementAddItemDrop_""),""%"",I169=""Logging"","&amp;"""+"",I169=""Mining"",""+"",I169=""Maxhp"",""%"",REGEXMATCH(I169,""TemperatureResist_""),""+"",REGEXMATCH(I169,""ElementResist_""),""%"",REGEXMATCH(I169,""TemperatureInvalid_""),""bool"",REGEXMATCH(I169,""BodyPartsWeakDamage""),""%"",REGEXMATCH(I169,""Ele"&amp;"mentBoost_""),""%"",AND(REGEXMATCH(B169,""GiveA""),REGEXMATCH(I169,""Element"")),""bool"")"),"%")</f>
        <v>%</v>
      </c>
      <c r="K169" s="6" t="n">
        <v>20</v>
      </c>
      <c r="L169" s="6" t="s">
        <v>1956</v>
      </c>
      <c r="M169" s="6"/>
      <c r="N169" s="6" t="str">
        <f aca="false">IFERROR(__xludf.dummyfunction("IFS(M169=""ShotAttack"",""%"",M169=""MeleeAttack"",""%"", M169=""Defense"",""%"",M169=""CraftSPeed"",""%"",M169=""LifeSteal"",""%"",M169=""MaxInventoryWeight"",""+"",M169=""MoveSpeed"",""%"",REGEXMATCH(M169,""ElementAddItemDrop_""),""%"",M169=""Logging"","&amp;"""+"",M169=""Mining"",""+"",M169=""Maxhp"",""%"",REGEXMATCH(M169,""TemperatureResist_""),""+"",REGEXMATCH(M169,""ElementResist_""),""%"",REGEXMATCH(M169,""TemperatureInvalid_""),""bool"",REGEXMATCH(M169,""BodyPartsWeakDamage""),""%"",REGEXMATCH(M169,""Ele"&amp;"mentBoost_""),""%"",AND(REGEXMATCH(F169,""GiveA""),REGEXMATCH(M169,""Element"")),""bool"")"),"#N/A")</f>
        <v>#N/A</v>
      </c>
      <c r="O169" s="6" t="n">
        <v>0</v>
      </c>
      <c r="P169" s="6"/>
      <c r="Q169" s="6"/>
      <c r="R169" s="6" t="str">
        <f aca="false">IFERROR(__xludf.dummyfunction("IFS(Q169=""ShotAttack"",""%"",Q169=""MeleeAttack"",""%"", Q169=""Defense"",""%"",Q169=""CraftSPeed"",""%"",Q169=""LifeSteal"",""%"",Q169=""MaxInventoryWeight"",""+"",Q169=""MoveSpeed"",""%"",REGEXMATCH(Q169,""ElementAddItemDrop_""),""%"",Q169=""Logging"","&amp;"""+"",Q169=""Mining"",""+"",Q169=""Maxhp"",""%"",REGEXMATCH(Q169,""TemperatureResist_""),""+"",REGEXMATCH(Q169,""ElementResist_""),""%"",REGEXMATCH(Q169,""TemperatureInvalid_""),""bool"",REGEXMATCH(Q169,""BodyPartsWeakDamage""),""%"",REGEXMATCH(Q169,""Ele"&amp;"mentBoost_""),""%"",AND(REGEXMATCH(J169,""GiveA""),REGEXMATCH(Q169,""Element"")),""bool"")"),"#N/A")</f>
        <v>#N/A</v>
      </c>
      <c r="S169" s="6" t="n">
        <v>0</v>
      </c>
      <c r="T169" s="6"/>
      <c r="U169" s="319" t="b">
        <f aca="false">FALSE()</f>
        <v>0</v>
      </c>
      <c r="V169" s="319" t="b">
        <f aca="false">FALSE()</f>
        <v>0</v>
      </c>
      <c r="W169" s="319" t="b">
        <f aca="false">FALSE()</f>
        <v>0</v>
      </c>
      <c r="X169" s="319" t="b">
        <f aca="false">FALSE()</f>
        <v>0</v>
      </c>
      <c r="Y169" s="319" t="b">
        <f aca="false">TRUE()</f>
        <v>1</v>
      </c>
      <c r="Z169" s="319" t="b">
        <f aca="false">FALSE()</f>
        <v>0</v>
      </c>
      <c r="AA169" s="319" t="b">
        <f aca="false">FALSE()</f>
        <v>0</v>
      </c>
      <c r="AB169" s="319" t="b">
        <f aca="false">FALSE()</f>
        <v>0</v>
      </c>
      <c r="AC169" s="319" t="b">
        <f aca="false">FALSE()</f>
        <v>0</v>
      </c>
      <c r="AD169" s="319" t="b">
        <f aca="false">FALSE()</f>
        <v>0</v>
      </c>
      <c r="AE169" s="319" t="b">
        <f aca="false">FALSE()</f>
        <v>0</v>
      </c>
      <c r="AF169" s="319" t="b">
        <f aca="false">FALSE()</f>
        <v>0</v>
      </c>
      <c r="AG169" s="6" t="s">
        <v>182</v>
      </c>
      <c r="AH169" s="6" t="s">
        <v>182</v>
      </c>
    </row>
    <row r="170" customFormat="false" ht="15.75" hidden="false" customHeight="false" outlineLevel="0" collapsed="false">
      <c r="A170" s="3" t="s">
        <v>2143</v>
      </c>
      <c r="B170" s="6" t="s">
        <v>2144</v>
      </c>
      <c r="C170" s="3"/>
      <c r="D170" s="6" t="str">
        <f aca="false">I170   &amp; IF(ISBLANK(M170),, ". "&amp; M170 &amp; IF(ISBLANK(Q170),, ". "&amp; Q170))</f>
        <v>ElementResist_Normal</v>
      </c>
      <c r="E170" s="6" t="str">
        <f aca="false">I170  &amp;": # on "&amp; L170  &amp; IF(ISBLANK(M170),, ". "&amp; M170 &amp;": # on "&amp; P170 &amp; IF(ISBLANK(Q170),, ". "&amp; Q170 &amp;": # on "&amp; T170))</f>
        <v>ElementResist_Normal: # on Self</v>
      </c>
      <c r="F170" s="6" t="str">
        <f aca="false">IF(U170,"active pal",)  &amp; IF(V170,"working",) &amp; IF(W170,"mounted",) &amp; IF(Y170,"in party (buff)",)  &amp; IF(Z170,"always",)</f>
        <v>always</v>
      </c>
      <c r="G170" s="6" t="n">
        <v>1</v>
      </c>
      <c r="H170" s="6" t="s">
        <v>182</v>
      </c>
      <c r="I170" s="6" t="s">
        <v>2145</v>
      </c>
      <c r="J170" s="6" t="str">
        <f aca="false">IFERROR(__xludf.dummyfunction("IFS(I170=""ShotAttack"",""%"",I170=""MeleeAttack"",""%"", I170=""Defense"",""%"",I170=""CraftSPeed"",""%"",I170=""LifeSteal"",""%"",I170=""MaxInventoryWeight"",""+"",I170=""MoveSpeed"",""%"",REGEXMATCH(I170,""ElementAddItemDrop_""),""%"",I170=""Logging"","&amp;"""+"",I170=""Mining"",""+"",I170=""Maxhp"",""%"",REGEXMATCH(I170,""TemperatureResist_""),""+"",REGEXMATCH(I170,""ElementResist_""),""%"",REGEXMATCH(I170,""TemperatureInvalid_""),""bool"",REGEXMATCH(I170,""BodyPartsWeakDamage""),""%"",REGEXMATCH(I170,""Ele"&amp;"mentBoost_""),""%"",AND(REGEXMATCH(B170,""GiveA""),REGEXMATCH(I170,""Element"")),""bool"")"),"%")</f>
        <v>%</v>
      </c>
      <c r="K170" s="6" t="n">
        <v>15</v>
      </c>
      <c r="L170" s="6" t="s">
        <v>1956</v>
      </c>
      <c r="M170" s="6"/>
      <c r="N170" s="6" t="str">
        <f aca="false">IFERROR(__xludf.dummyfunction("IFS(M170=""ShotAttack"",""%"",M170=""MeleeAttack"",""%"", M170=""Defense"",""%"",M170=""CraftSPeed"",""%"",M170=""LifeSteal"",""%"",M170=""MaxInventoryWeight"",""+"",M170=""MoveSpeed"",""%"",REGEXMATCH(M170,""ElementAddItemDrop_""),""%"",M170=""Logging"","&amp;"""+"",M170=""Mining"",""+"",M170=""Maxhp"",""%"",REGEXMATCH(M170,""TemperatureResist_""),""+"",REGEXMATCH(M170,""ElementResist_""),""%"",REGEXMATCH(M170,""TemperatureInvalid_""),""bool"",REGEXMATCH(M170,""BodyPartsWeakDamage""),""%"",REGEXMATCH(M170,""Ele"&amp;"mentBoost_""),""%"",AND(REGEXMATCH(F170,""GiveA""),REGEXMATCH(M170,""Element"")),""bool"")"),"#N/A")</f>
        <v>#N/A</v>
      </c>
      <c r="O170" s="6" t="n">
        <v>0</v>
      </c>
      <c r="P170" s="6"/>
      <c r="Q170" s="6"/>
      <c r="R170" s="6" t="str">
        <f aca="false">IFERROR(__xludf.dummyfunction("IFS(Q170=""ShotAttack"",""%"",Q170=""MeleeAttack"",""%"", Q170=""Defense"",""%"",Q170=""CraftSPeed"",""%"",Q170=""LifeSteal"",""%"",Q170=""MaxInventoryWeight"",""+"",Q170=""MoveSpeed"",""%"",REGEXMATCH(Q170,""ElementAddItemDrop_""),""%"",Q170=""Logging"","&amp;"""+"",Q170=""Mining"",""+"",Q170=""Maxhp"",""%"",REGEXMATCH(Q170,""TemperatureResist_""),""+"",REGEXMATCH(Q170,""ElementResist_""),""%"",REGEXMATCH(Q170,""TemperatureInvalid_""),""bool"",REGEXMATCH(Q170,""BodyPartsWeakDamage""),""%"",REGEXMATCH(Q170,""Ele"&amp;"mentBoost_""),""%"",AND(REGEXMATCH(J170,""GiveA""),REGEXMATCH(Q170,""Element"")),""bool"")"),"#N/A")</f>
        <v>#N/A</v>
      </c>
      <c r="S170" s="6" t="n">
        <v>0</v>
      </c>
      <c r="T170" s="6"/>
      <c r="U170" s="319" t="b">
        <f aca="false">FALSE()</f>
        <v>0</v>
      </c>
      <c r="V170" s="319" t="b">
        <f aca="false">FALSE()</f>
        <v>0</v>
      </c>
      <c r="W170" s="319" t="b">
        <f aca="false">FALSE()</f>
        <v>0</v>
      </c>
      <c r="X170" s="319" t="b">
        <f aca="false">FALSE()</f>
        <v>0</v>
      </c>
      <c r="Y170" s="319" t="b">
        <f aca="false">FALSE()</f>
        <v>0</v>
      </c>
      <c r="Z170" s="319" t="b">
        <f aca="false">TRUE()</f>
        <v>1</v>
      </c>
      <c r="AA170" s="319" t="b">
        <f aca="false">FALSE()</f>
        <v>0</v>
      </c>
      <c r="AB170" s="319" t="b">
        <f aca="false">FALSE()</f>
        <v>0</v>
      </c>
      <c r="AC170" s="319" t="b">
        <f aca="false">FALSE()</f>
        <v>0</v>
      </c>
      <c r="AD170" s="319" t="b">
        <f aca="false">FALSE()</f>
        <v>0</v>
      </c>
      <c r="AE170" s="319" t="b">
        <f aca="false">FALSE()</f>
        <v>0</v>
      </c>
      <c r="AF170" s="319" t="b">
        <f aca="false">FALSE()</f>
        <v>0</v>
      </c>
      <c r="AG170" s="6" t="s">
        <v>182</v>
      </c>
      <c r="AH170" s="6" t="s">
        <v>182</v>
      </c>
    </row>
    <row r="171" customFormat="false" ht="15.75" hidden="false" customHeight="false" outlineLevel="0" collapsed="false">
      <c r="A171" s="3" t="s">
        <v>2146</v>
      </c>
      <c r="B171" s="6" t="s">
        <v>2147</v>
      </c>
      <c r="C171" s="3"/>
      <c r="D171" s="6" t="str">
        <f aca="false">I171   &amp; IF(ISBLANK(M171),, ". "&amp; M171 &amp; IF(ISBLANK(Q171),, ". "&amp; Q171))</f>
        <v>ElementResist_Fire</v>
      </c>
      <c r="E171" s="6" t="str">
        <f aca="false">I171  &amp;": # on "&amp; L171  &amp; IF(ISBLANK(M171),, ". "&amp; M171 &amp;": # on "&amp; P171 &amp; IF(ISBLANK(Q171),, ". "&amp; Q171 &amp;": # on "&amp; T171))</f>
        <v>ElementResist_Fire: # on Self</v>
      </c>
      <c r="F171" s="6" t="str">
        <f aca="false">IF(U171,"active pal",)  &amp; IF(V171,"working",) &amp; IF(W171,"mounted",) &amp; IF(Y171,"in party (buff)",)  &amp; IF(Z171,"always",)</f>
        <v>always</v>
      </c>
      <c r="G171" s="6" t="n">
        <v>1</v>
      </c>
      <c r="H171" s="6" t="s">
        <v>182</v>
      </c>
      <c r="I171" s="6" t="s">
        <v>2148</v>
      </c>
      <c r="J171" s="6" t="str">
        <f aca="false">IFERROR(__xludf.dummyfunction("IFS(I171=""ShotAttack"",""%"",I171=""MeleeAttack"",""%"", I171=""Defense"",""%"",I171=""CraftSPeed"",""%"",I171=""LifeSteal"",""%"",I171=""MaxInventoryWeight"",""+"",I171=""MoveSpeed"",""%"",REGEXMATCH(I171,""ElementAddItemDrop_""),""%"",I171=""Logging"","&amp;"""+"",I171=""Mining"",""+"",I171=""Maxhp"",""%"",REGEXMATCH(I171,""TemperatureResist_""),""+"",REGEXMATCH(I171,""ElementResist_""),""%"",REGEXMATCH(I171,""TemperatureInvalid_""),""bool"",REGEXMATCH(I171,""BodyPartsWeakDamage""),""%"",REGEXMATCH(I171,""Ele"&amp;"mentBoost_""),""%"",AND(REGEXMATCH(B171,""GiveA""),REGEXMATCH(I171,""Element"")),""bool"")"),"%")</f>
        <v>%</v>
      </c>
      <c r="K171" s="6" t="n">
        <v>15</v>
      </c>
      <c r="L171" s="6" t="s">
        <v>1956</v>
      </c>
      <c r="M171" s="6"/>
      <c r="N171" s="6" t="str">
        <f aca="false">IFERROR(__xludf.dummyfunction("IFS(M171=""ShotAttack"",""%"",M171=""MeleeAttack"",""%"", M171=""Defense"",""%"",M171=""CraftSPeed"",""%"",M171=""LifeSteal"",""%"",M171=""MaxInventoryWeight"",""+"",M171=""MoveSpeed"",""%"",REGEXMATCH(M171,""ElementAddItemDrop_""),""%"",M171=""Logging"","&amp;"""+"",M171=""Mining"",""+"",M171=""Maxhp"",""%"",REGEXMATCH(M171,""TemperatureResist_""),""+"",REGEXMATCH(M171,""ElementResist_""),""%"",REGEXMATCH(M171,""TemperatureInvalid_""),""bool"",REGEXMATCH(M171,""BodyPartsWeakDamage""),""%"",REGEXMATCH(M171,""Ele"&amp;"mentBoost_""),""%"",AND(REGEXMATCH(F171,""GiveA""),REGEXMATCH(M171,""Element"")),""bool"")"),"#N/A")</f>
        <v>#N/A</v>
      </c>
      <c r="O171" s="6" t="n">
        <v>0</v>
      </c>
      <c r="P171" s="6"/>
      <c r="Q171" s="6"/>
      <c r="R171" s="6" t="str">
        <f aca="false">IFERROR(__xludf.dummyfunction("IFS(Q171=""ShotAttack"",""%"",Q171=""MeleeAttack"",""%"", Q171=""Defense"",""%"",Q171=""CraftSPeed"",""%"",Q171=""LifeSteal"",""%"",Q171=""MaxInventoryWeight"",""+"",Q171=""MoveSpeed"",""%"",REGEXMATCH(Q171,""ElementAddItemDrop_""),""%"",Q171=""Logging"","&amp;"""+"",Q171=""Mining"",""+"",Q171=""Maxhp"",""%"",REGEXMATCH(Q171,""TemperatureResist_""),""+"",REGEXMATCH(Q171,""ElementResist_""),""%"",REGEXMATCH(Q171,""TemperatureInvalid_""),""bool"",REGEXMATCH(Q171,""BodyPartsWeakDamage""),""%"",REGEXMATCH(Q171,""Ele"&amp;"mentBoost_""),""%"",AND(REGEXMATCH(J171,""GiveA""),REGEXMATCH(Q171,""Element"")),""bool"")"),"#N/A")</f>
        <v>#N/A</v>
      </c>
      <c r="S171" s="6" t="n">
        <v>0</v>
      </c>
      <c r="T171" s="6"/>
      <c r="U171" s="319" t="b">
        <f aca="false">FALSE()</f>
        <v>0</v>
      </c>
      <c r="V171" s="319" t="b">
        <f aca="false">FALSE()</f>
        <v>0</v>
      </c>
      <c r="W171" s="319" t="b">
        <f aca="false">FALSE()</f>
        <v>0</v>
      </c>
      <c r="X171" s="319" t="b">
        <f aca="false">FALSE()</f>
        <v>0</v>
      </c>
      <c r="Y171" s="319" t="b">
        <f aca="false">FALSE()</f>
        <v>0</v>
      </c>
      <c r="Z171" s="319" t="b">
        <f aca="false">TRUE()</f>
        <v>1</v>
      </c>
      <c r="AA171" s="319" t="b">
        <f aca="false">FALSE()</f>
        <v>0</v>
      </c>
      <c r="AB171" s="319" t="b">
        <f aca="false">FALSE()</f>
        <v>0</v>
      </c>
      <c r="AC171" s="319" t="b">
        <f aca="false">FALSE()</f>
        <v>0</v>
      </c>
      <c r="AD171" s="319" t="b">
        <f aca="false">FALSE()</f>
        <v>0</v>
      </c>
      <c r="AE171" s="319" t="b">
        <f aca="false">FALSE()</f>
        <v>0</v>
      </c>
      <c r="AF171" s="319" t="b">
        <f aca="false">FALSE()</f>
        <v>0</v>
      </c>
      <c r="AG171" s="6" t="s">
        <v>182</v>
      </c>
      <c r="AH171" s="6" t="s">
        <v>182</v>
      </c>
    </row>
    <row r="172" customFormat="false" ht="15.75" hidden="false" customHeight="false" outlineLevel="0" collapsed="false">
      <c r="A172" s="3" t="s">
        <v>2149</v>
      </c>
      <c r="B172" s="6" t="s">
        <v>2150</v>
      </c>
      <c r="C172" s="3"/>
      <c r="D172" s="6" t="str">
        <f aca="false">I172   &amp; IF(ISBLANK(M172),, ". "&amp; M172 &amp; IF(ISBLANK(Q172),, ". "&amp; Q172))</f>
        <v>ElementResist_Water</v>
      </c>
      <c r="E172" s="6" t="str">
        <f aca="false">I172  &amp;": # on "&amp; L172  &amp; IF(ISBLANK(M172),, ". "&amp; M172 &amp;": # on "&amp; P172 &amp; IF(ISBLANK(Q172),, ". "&amp; Q172 &amp;": # on "&amp; T172))</f>
        <v>ElementResist_Water: # on Self</v>
      </c>
      <c r="F172" s="6" t="str">
        <f aca="false">IF(U172,"active pal",)  &amp; IF(V172,"working",) &amp; IF(W172,"mounted",) &amp; IF(Y172,"in party (buff)",)  &amp; IF(Z172,"always",)</f>
        <v>always</v>
      </c>
      <c r="G172" s="6" t="n">
        <v>1</v>
      </c>
      <c r="H172" s="6" t="s">
        <v>182</v>
      </c>
      <c r="I172" s="6" t="s">
        <v>2151</v>
      </c>
      <c r="J172" s="6" t="str">
        <f aca="false">IFERROR(__xludf.dummyfunction("IFS(I172=""ShotAttack"",""%"",I172=""MeleeAttack"",""%"", I172=""Defense"",""%"",I172=""CraftSPeed"",""%"",I172=""LifeSteal"",""%"",I172=""MaxInventoryWeight"",""+"",I172=""MoveSpeed"",""%"",REGEXMATCH(I172,""ElementAddItemDrop_""),""%"",I172=""Logging"","&amp;"""+"",I172=""Mining"",""+"",I172=""Maxhp"",""%"",REGEXMATCH(I172,""TemperatureResist_""),""+"",REGEXMATCH(I172,""ElementResist_""),""%"",REGEXMATCH(I172,""TemperatureInvalid_""),""bool"",REGEXMATCH(I172,""BodyPartsWeakDamage""),""%"",REGEXMATCH(I172,""Ele"&amp;"mentBoost_""),""%"",AND(REGEXMATCH(B172,""GiveA""),REGEXMATCH(I172,""Element"")),""bool"")"),"%")</f>
        <v>%</v>
      </c>
      <c r="K172" s="6" t="n">
        <v>15</v>
      </c>
      <c r="L172" s="6" t="s">
        <v>1956</v>
      </c>
      <c r="M172" s="6"/>
      <c r="N172" s="6" t="str">
        <f aca="false">IFERROR(__xludf.dummyfunction("IFS(M172=""ShotAttack"",""%"",M172=""MeleeAttack"",""%"", M172=""Defense"",""%"",M172=""CraftSPeed"",""%"",M172=""LifeSteal"",""%"",M172=""MaxInventoryWeight"",""+"",M172=""MoveSpeed"",""%"",REGEXMATCH(M172,""ElementAddItemDrop_""),""%"",M172=""Logging"","&amp;"""+"",M172=""Mining"",""+"",M172=""Maxhp"",""%"",REGEXMATCH(M172,""TemperatureResist_""),""+"",REGEXMATCH(M172,""ElementResist_""),""%"",REGEXMATCH(M172,""TemperatureInvalid_""),""bool"",REGEXMATCH(M172,""BodyPartsWeakDamage""),""%"",REGEXMATCH(M172,""Ele"&amp;"mentBoost_""),""%"",AND(REGEXMATCH(F172,""GiveA""),REGEXMATCH(M172,""Element"")),""bool"")"),"#N/A")</f>
        <v>#N/A</v>
      </c>
      <c r="O172" s="6" t="n">
        <v>0</v>
      </c>
      <c r="P172" s="6"/>
      <c r="Q172" s="6"/>
      <c r="R172" s="6" t="str">
        <f aca="false">IFERROR(__xludf.dummyfunction("IFS(Q172=""ShotAttack"",""%"",Q172=""MeleeAttack"",""%"", Q172=""Defense"",""%"",Q172=""CraftSPeed"",""%"",Q172=""LifeSteal"",""%"",Q172=""MaxInventoryWeight"",""+"",Q172=""MoveSpeed"",""%"",REGEXMATCH(Q172,""ElementAddItemDrop_""),""%"",Q172=""Logging"","&amp;"""+"",Q172=""Mining"",""+"",Q172=""Maxhp"",""%"",REGEXMATCH(Q172,""TemperatureResist_""),""+"",REGEXMATCH(Q172,""ElementResist_""),""%"",REGEXMATCH(Q172,""TemperatureInvalid_""),""bool"",REGEXMATCH(Q172,""BodyPartsWeakDamage""),""%"",REGEXMATCH(Q172,""Ele"&amp;"mentBoost_""),""%"",AND(REGEXMATCH(J172,""GiveA""),REGEXMATCH(Q172,""Element"")),""bool"")"),"#N/A")</f>
        <v>#N/A</v>
      </c>
      <c r="S172" s="6" t="n">
        <v>0</v>
      </c>
      <c r="T172" s="6"/>
      <c r="U172" s="319" t="b">
        <f aca="false">FALSE()</f>
        <v>0</v>
      </c>
      <c r="V172" s="319" t="b">
        <f aca="false">FALSE()</f>
        <v>0</v>
      </c>
      <c r="W172" s="319" t="b">
        <f aca="false">FALSE()</f>
        <v>0</v>
      </c>
      <c r="X172" s="319" t="b">
        <f aca="false">FALSE()</f>
        <v>0</v>
      </c>
      <c r="Y172" s="319" t="b">
        <f aca="false">FALSE()</f>
        <v>0</v>
      </c>
      <c r="Z172" s="319" t="b">
        <f aca="false">TRUE()</f>
        <v>1</v>
      </c>
      <c r="AA172" s="319" t="b">
        <f aca="false">FALSE()</f>
        <v>0</v>
      </c>
      <c r="AB172" s="319" t="b">
        <f aca="false">FALSE()</f>
        <v>0</v>
      </c>
      <c r="AC172" s="319" t="b">
        <f aca="false">FALSE()</f>
        <v>0</v>
      </c>
      <c r="AD172" s="319" t="b">
        <f aca="false">FALSE()</f>
        <v>0</v>
      </c>
      <c r="AE172" s="319" t="b">
        <f aca="false">FALSE()</f>
        <v>0</v>
      </c>
      <c r="AF172" s="319" t="b">
        <f aca="false">FALSE()</f>
        <v>0</v>
      </c>
      <c r="AG172" s="6" t="s">
        <v>182</v>
      </c>
      <c r="AH172" s="6" t="s">
        <v>182</v>
      </c>
    </row>
    <row r="173" customFormat="false" ht="15.75" hidden="false" customHeight="false" outlineLevel="0" collapsed="false">
      <c r="A173" s="3" t="s">
        <v>2152</v>
      </c>
      <c r="B173" s="6" t="s">
        <v>2153</v>
      </c>
      <c r="C173" s="3"/>
      <c r="D173" s="6" t="str">
        <f aca="false">I173   &amp; IF(ISBLANK(M173),, ". "&amp; M173 &amp; IF(ISBLANK(Q173),, ". "&amp; Q173))</f>
        <v>ElementResist_Electricity</v>
      </c>
      <c r="E173" s="6" t="str">
        <f aca="false">I173  &amp;": # on "&amp; L173  &amp; IF(ISBLANK(M173),, ". "&amp; M173 &amp;": # on "&amp; P173 &amp; IF(ISBLANK(Q173),, ". "&amp; Q173 &amp;": # on "&amp; T173))</f>
        <v>ElementResist_Electricity: # on Self</v>
      </c>
      <c r="F173" s="6" t="str">
        <f aca="false">IF(U173,"active pal",)  &amp; IF(V173,"working",) &amp; IF(W173,"mounted",) &amp; IF(Y173,"in party (buff)",)  &amp; IF(Z173,"always",)</f>
        <v>always</v>
      </c>
      <c r="G173" s="6" t="n">
        <v>1</v>
      </c>
      <c r="H173" s="6" t="s">
        <v>182</v>
      </c>
      <c r="I173" s="6" t="s">
        <v>2154</v>
      </c>
      <c r="J173" s="6" t="str">
        <f aca="false">IFERROR(__xludf.dummyfunction("IFS(I173=""ShotAttack"",""%"",I173=""MeleeAttack"",""%"", I173=""Defense"",""%"",I173=""CraftSPeed"",""%"",I173=""LifeSteal"",""%"",I173=""MaxInventoryWeight"",""+"",I173=""MoveSpeed"",""%"",REGEXMATCH(I173,""ElementAddItemDrop_""),""%"",I173=""Logging"","&amp;"""+"",I173=""Mining"",""+"",I173=""Maxhp"",""%"",REGEXMATCH(I173,""TemperatureResist_""),""+"",REGEXMATCH(I173,""ElementResist_""),""%"",REGEXMATCH(I173,""TemperatureInvalid_""),""bool"",REGEXMATCH(I173,""BodyPartsWeakDamage""),""%"",REGEXMATCH(I173,""Ele"&amp;"mentBoost_""),""%"",AND(REGEXMATCH(B173,""GiveA""),REGEXMATCH(I173,""Element"")),""bool"")"),"%")</f>
        <v>%</v>
      </c>
      <c r="K173" s="6" t="n">
        <v>15</v>
      </c>
      <c r="L173" s="6" t="s">
        <v>1956</v>
      </c>
      <c r="M173" s="6"/>
      <c r="N173" s="6" t="str">
        <f aca="false">IFERROR(__xludf.dummyfunction("IFS(M173=""ShotAttack"",""%"",M173=""MeleeAttack"",""%"", M173=""Defense"",""%"",M173=""CraftSPeed"",""%"",M173=""LifeSteal"",""%"",M173=""MaxInventoryWeight"",""+"",M173=""MoveSpeed"",""%"",REGEXMATCH(M173,""ElementAddItemDrop_""),""%"",M173=""Logging"","&amp;"""+"",M173=""Mining"",""+"",M173=""Maxhp"",""%"",REGEXMATCH(M173,""TemperatureResist_""),""+"",REGEXMATCH(M173,""ElementResist_""),""%"",REGEXMATCH(M173,""TemperatureInvalid_""),""bool"",REGEXMATCH(M173,""BodyPartsWeakDamage""),""%"",REGEXMATCH(M173,""Ele"&amp;"mentBoost_""),""%"",AND(REGEXMATCH(F173,""GiveA""),REGEXMATCH(M173,""Element"")),""bool"")"),"#N/A")</f>
        <v>#N/A</v>
      </c>
      <c r="O173" s="6" t="n">
        <v>0</v>
      </c>
      <c r="P173" s="6"/>
      <c r="Q173" s="6"/>
      <c r="R173" s="6" t="str">
        <f aca="false">IFERROR(__xludf.dummyfunction("IFS(Q173=""ShotAttack"",""%"",Q173=""MeleeAttack"",""%"", Q173=""Defense"",""%"",Q173=""CraftSPeed"",""%"",Q173=""LifeSteal"",""%"",Q173=""MaxInventoryWeight"",""+"",Q173=""MoveSpeed"",""%"",REGEXMATCH(Q173,""ElementAddItemDrop_""),""%"",Q173=""Logging"","&amp;"""+"",Q173=""Mining"",""+"",Q173=""Maxhp"",""%"",REGEXMATCH(Q173,""TemperatureResist_""),""+"",REGEXMATCH(Q173,""ElementResist_""),""%"",REGEXMATCH(Q173,""TemperatureInvalid_""),""bool"",REGEXMATCH(Q173,""BodyPartsWeakDamage""),""%"",REGEXMATCH(Q173,""Ele"&amp;"mentBoost_""),""%"",AND(REGEXMATCH(J173,""GiveA""),REGEXMATCH(Q173,""Element"")),""bool"")"),"#N/A")</f>
        <v>#N/A</v>
      </c>
      <c r="S173" s="6" t="n">
        <v>0</v>
      </c>
      <c r="T173" s="6"/>
      <c r="U173" s="319" t="b">
        <f aca="false">FALSE()</f>
        <v>0</v>
      </c>
      <c r="V173" s="319" t="b">
        <f aca="false">FALSE()</f>
        <v>0</v>
      </c>
      <c r="W173" s="319" t="b">
        <f aca="false">FALSE()</f>
        <v>0</v>
      </c>
      <c r="X173" s="319" t="b">
        <f aca="false">FALSE()</f>
        <v>0</v>
      </c>
      <c r="Y173" s="319" t="b">
        <f aca="false">FALSE()</f>
        <v>0</v>
      </c>
      <c r="Z173" s="319" t="b">
        <f aca="false">TRUE()</f>
        <v>1</v>
      </c>
      <c r="AA173" s="319" t="b">
        <f aca="false">FALSE()</f>
        <v>0</v>
      </c>
      <c r="AB173" s="319" t="b">
        <f aca="false">FALSE()</f>
        <v>0</v>
      </c>
      <c r="AC173" s="319" t="b">
        <f aca="false">FALSE()</f>
        <v>0</v>
      </c>
      <c r="AD173" s="319" t="b">
        <f aca="false">FALSE()</f>
        <v>0</v>
      </c>
      <c r="AE173" s="319" t="b">
        <f aca="false">FALSE()</f>
        <v>0</v>
      </c>
      <c r="AF173" s="319" t="b">
        <f aca="false">FALSE()</f>
        <v>0</v>
      </c>
      <c r="AG173" s="6" t="s">
        <v>182</v>
      </c>
      <c r="AH173" s="6" t="s">
        <v>182</v>
      </c>
    </row>
    <row r="174" customFormat="false" ht="15.75" hidden="false" customHeight="false" outlineLevel="0" collapsed="false">
      <c r="A174" s="3" t="s">
        <v>2155</v>
      </c>
      <c r="B174" s="6" t="s">
        <v>2156</v>
      </c>
      <c r="C174" s="3"/>
      <c r="D174" s="6" t="str">
        <f aca="false">I174   &amp; IF(ISBLANK(M174),, ". "&amp; M174 &amp; IF(ISBLANK(Q174),, ". "&amp; Q174))</f>
        <v>ElementResist_Leaf</v>
      </c>
      <c r="E174" s="6" t="str">
        <f aca="false">I174  &amp;": # on "&amp; L174  &amp; IF(ISBLANK(M174),, ". "&amp; M174 &amp;": # on "&amp; P174 &amp; IF(ISBLANK(Q174),, ". "&amp; Q174 &amp;": # on "&amp; T174))</f>
        <v>ElementResist_Leaf: # on Self</v>
      </c>
      <c r="F174" s="6" t="str">
        <f aca="false">IF(U174,"active pal",)  &amp; IF(V174,"working",) &amp; IF(W174,"mounted",) &amp; IF(Y174,"in party (buff)",)  &amp; IF(Z174,"always",)</f>
        <v>always</v>
      </c>
      <c r="G174" s="6" t="n">
        <v>1</v>
      </c>
      <c r="H174" s="6" t="s">
        <v>182</v>
      </c>
      <c r="I174" s="6" t="s">
        <v>2157</v>
      </c>
      <c r="J174" s="6" t="str">
        <f aca="false">IFERROR(__xludf.dummyfunction("IFS(I174=""ShotAttack"",""%"",I174=""MeleeAttack"",""%"", I174=""Defense"",""%"",I174=""CraftSPeed"",""%"",I174=""LifeSteal"",""%"",I174=""MaxInventoryWeight"",""+"",I174=""MoveSpeed"",""%"",REGEXMATCH(I174,""ElementAddItemDrop_""),""%"",I174=""Logging"","&amp;"""+"",I174=""Mining"",""+"",I174=""Maxhp"",""%"",REGEXMATCH(I174,""TemperatureResist_""),""+"",REGEXMATCH(I174,""ElementResist_""),""%"",REGEXMATCH(I174,""TemperatureInvalid_""),""bool"",REGEXMATCH(I174,""BodyPartsWeakDamage""),""%"",REGEXMATCH(I174,""Ele"&amp;"mentBoost_""),""%"",AND(REGEXMATCH(B174,""GiveA""),REGEXMATCH(I174,""Element"")),""bool"")"),"%")</f>
        <v>%</v>
      </c>
      <c r="K174" s="6" t="n">
        <v>15</v>
      </c>
      <c r="L174" s="6" t="s">
        <v>1956</v>
      </c>
      <c r="M174" s="6"/>
      <c r="N174" s="6" t="str">
        <f aca="false">IFERROR(__xludf.dummyfunction("IFS(M174=""ShotAttack"",""%"",M174=""MeleeAttack"",""%"", M174=""Defense"",""%"",M174=""CraftSPeed"",""%"",M174=""LifeSteal"",""%"",M174=""MaxInventoryWeight"",""+"",M174=""MoveSpeed"",""%"",REGEXMATCH(M174,""ElementAddItemDrop_""),""%"",M174=""Logging"","&amp;"""+"",M174=""Mining"",""+"",M174=""Maxhp"",""%"",REGEXMATCH(M174,""TemperatureResist_""),""+"",REGEXMATCH(M174,""ElementResist_""),""%"",REGEXMATCH(M174,""TemperatureInvalid_""),""bool"",REGEXMATCH(M174,""BodyPartsWeakDamage""),""%"",REGEXMATCH(M174,""Ele"&amp;"mentBoost_""),""%"",AND(REGEXMATCH(F174,""GiveA""),REGEXMATCH(M174,""Element"")),""bool"")"),"#N/A")</f>
        <v>#N/A</v>
      </c>
      <c r="O174" s="6" t="n">
        <v>0</v>
      </c>
      <c r="P174" s="6"/>
      <c r="Q174" s="6"/>
      <c r="R174" s="6" t="str">
        <f aca="false">IFERROR(__xludf.dummyfunction("IFS(Q174=""ShotAttack"",""%"",Q174=""MeleeAttack"",""%"", Q174=""Defense"",""%"",Q174=""CraftSPeed"",""%"",Q174=""LifeSteal"",""%"",Q174=""MaxInventoryWeight"",""+"",Q174=""MoveSpeed"",""%"",REGEXMATCH(Q174,""ElementAddItemDrop_""),""%"",Q174=""Logging"","&amp;"""+"",Q174=""Mining"",""+"",Q174=""Maxhp"",""%"",REGEXMATCH(Q174,""TemperatureResist_""),""+"",REGEXMATCH(Q174,""ElementResist_""),""%"",REGEXMATCH(Q174,""TemperatureInvalid_""),""bool"",REGEXMATCH(Q174,""BodyPartsWeakDamage""),""%"",REGEXMATCH(Q174,""Ele"&amp;"mentBoost_""),""%"",AND(REGEXMATCH(J174,""GiveA""),REGEXMATCH(Q174,""Element"")),""bool"")"),"#N/A")</f>
        <v>#N/A</v>
      </c>
      <c r="S174" s="6" t="n">
        <v>0</v>
      </c>
      <c r="T174" s="6"/>
      <c r="U174" s="319" t="b">
        <f aca="false">FALSE()</f>
        <v>0</v>
      </c>
      <c r="V174" s="319" t="b">
        <f aca="false">FALSE()</f>
        <v>0</v>
      </c>
      <c r="W174" s="319" t="b">
        <f aca="false">FALSE()</f>
        <v>0</v>
      </c>
      <c r="X174" s="319" t="b">
        <f aca="false">FALSE()</f>
        <v>0</v>
      </c>
      <c r="Y174" s="319" t="b">
        <f aca="false">FALSE()</f>
        <v>0</v>
      </c>
      <c r="Z174" s="319" t="b">
        <f aca="false">TRUE()</f>
        <v>1</v>
      </c>
      <c r="AA174" s="319" t="b">
        <f aca="false">FALSE()</f>
        <v>0</v>
      </c>
      <c r="AB174" s="319" t="b">
        <f aca="false">FALSE()</f>
        <v>0</v>
      </c>
      <c r="AC174" s="319" t="b">
        <f aca="false">FALSE()</f>
        <v>0</v>
      </c>
      <c r="AD174" s="319" t="b">
        <f aca="false">FALSE()</f>
        <v>0</v>
      </c>
      <c r="AE174" s="319" t="b">
        <f aca="false">FALSE()</f>
        <v>0</v>
      </c>
      <c r="AF174" s="319" t="b">
        <f aca="false">FALSE()</f>
        <v>0</v>
      </c>
      <c r="AG174" s="6" t="s">
        <v>182</v>
      </c>
      <c r="AH174" s="6" t="s">
        <v>182</v>
      </c>
    </row>
    <row r="175" customFormat="false" ht="15.75" hidden="false" customHeight="false" outlineLevel="0" collapsed="false">
      <c r="A175" s="3" t="s">
        <v>2158</v>
      </c>
      <c r="B175" s="6" t="s">
        <v>2159</v>
      </c>
      <c r="C175" s="3"/>
      <c r="D175" s="6" t="str">
        <f aca="false">I175   &amp; IF(ISBLANK(M175),, ". "&amp; M175 &amp; IF(ISBLANK(Q175),, ". "&amp; Q175))</f>
        <v>ElementResist_Ice</v>
      </c>
      <c r="E175" s="6" t="str">
        <f aca="false">I175  &amp;": # on "&amp; L175  &amp; IF(ISBLANK(M175),, ". "&amp; M175 &amp;": # on "&amp; P175 &amp; IF(ISBLANK(Q175),, ". "&amp; Q175 &amp;": # on "&amp; T175))</f>
        <v>ElementResist_Ice: # on Self</v>
      </c>
      <c r="F175" s="6" t="str">
        <f aca="false">IF(U175,"active pal",)  &amp; IF(V175,"working",) &amp; IF(W175,"mounted",) &amp; IF(Y175,"in party (buff)",)  &amp; IF(Z175,"always",)</f>
        <v>always</v>
      </c>
      <c r="G175" s="6" t="n">
        <v>1</v>
      </c>
      <c r="H175" s="6" t="s">
        <v>182</v>
      </c>
      <c r="I175" s="6" t="s">
        <v>2160</v>
      </c>
      <c r="J175" s="6" t="str">
        <f aca="false">IFERROR(__xludf.dummyfunction("IFS(I175=""ShotAttack"",""%"",I175=""MeleeAttack"",""%"", I175=""Defense"",""%"",I175=""CraftSPeed"",""%"",I175=""LifeSteal"",""%"",I175=""MaxInventoryWeight"",""+"",I175=""MoveSpeed"",""%"",REGEXMATCH(I175,""ElementAddItemDrop_""),""%"",I175=""Logging"","&amp;"""+"",I175=""Mining"",""+"",I175=""Maxhp"",""%"",REGEXMATCH(I175,""TemperatureResist_""),""+"",REGEXMATCH(I175,""ElementResist_""),""%"",REGEXMATCH(I175,""TemperatureInvalid_""),""bool"",REGEXMATCH(I175,""BodyPartsWeakDamage""),""%"",REGEXMATCH(I175,""Ele"&amp;"mentBoost_""),""%"",AND(REGEXMATCH(B175,""GiveA""),REGEXMATCH(I175,""Element"")),""bool"")"),"%")</f>
        <v>%</v>
      </c>
      <c r="K175" s="6" t="n">
        <v>15</v>
      </c>
      <c r="L175" s="6" t="s">
        <v>1956</v>
      </c>
      <c r="M175" s="6"/>
      <c r="N175" s="6" t="str">
        <f aca="false">IFERROR(__xludf.dummyfunction("IFS(M175=""ShotAttack"",""%"",M175=""MeleeAttack"",""%"", M175=""Defense"",""%"",M175=""CraftSPeed"",""%"",M175=""LifeSteal"",""%"",M175=""MaxInventoryWeight"",""+"",M175=""MoveSpeed"",""%"",REGEXMATCH(M175,""ElementAddItemDrop_""),""%"",M175=""Logging"","&amp;"""+"",M175=""Mining"",""+"",M175=""Maxhp"",""%"",REGEXMATCH(M175,""TemperatureResist_""),""+"",REGEXMATCH(M175,""ElementResist_""),""%"",REGEXMATCH(M175,""TemperatureInvalid_""),""bool"",REGEXMATCH(M175,""BodyPartsWeakDamage""),""%"",REGEXMATCH(M175,""Ele"&amp;"mentBoost_""),""%"",AND(REGEXMATCH(F175,""GiveA""),REGEXMATCH(M175,""Element"")),""bool"")"),"#N/A")</f>
        <v>#N/A</v>
      </c>
      <c r="O175" s="6" t="n">
        <v>0</v>
      </c>
      <c r="P175" s="6"/>
      <c r="Q175" s="6"/>
      <c r="R175" s="6" t="str">
        <f aca="false">IFERROR(__xludf.dummyfunction("IFS(Q175=""ShotAttack"",""%"",Q175=""MeleeAttack"",""%"", Q175=""Defense"",""%"",Q175=""CraftSPeed"",""%"",Q175=""LifeSteal"",""%"",Q175=""MaxInventoryWeight"",""+"",Q175=""MoveSpeed"",""%"",REGEXMATCH(Q175,""ElementAddItemDrop_""),""%"",Q175=""Logging"","&amp;"""+"",Q175=""Mining"",""+"",Q175=""Maxhp"",""%"",REGEXMATCH(Q175,""TemperatureResist_""),""+"",REGEXMATCH(Q175,""ElementResist_""),""%"",REGEXMATCH(Q175,""TemperatureInvalid_""),""bool"",REGEXMATCH(Q175,""BodyPartsWeakDamage""),""%"",REGEXMATCH(Q175,""Ele"&amp;"mentBoost_""),""%"",AND(REGEXMATCH(J175,""GiveA""),REGEXMATCH(Q175,""Element"")),""bool"")"),"#N/A")</f>
        <v>#N/A</v>
      </c>
      <c r="S175" s="6" t="n">
        <v>0</v>
      </c>
      <c r="T175" s="6"/>
      <c r="U175" s="319" t="b">
        <f aca="false">FALSE()</f>
        <v>0</v>
      </c>
      <c r="V175" s="319" t="b">
        <f aca="false">FALSE()</f>
        <v>0</v>
      </c>
      <c r="W175" s="319" t="b">
        <f aca="false">FALSE()</f>
        <v>0</v>
      </c>
      <c r="X175" s="319" t="b">
        <f aca="false">FALSE()</f>
        <v>0</v>
      </c>
      <c r="Y175" s="319" t="b">
        <f aca="false">FALSE()</f>
        <v>0</v>
      </c>
      <c r="Z175" s="319" t="b">
        <f aca="false">TRUE()</f>
        <v>1</v>
      </c>
      <c r="AA175" s="319" t="b">
        <f aca="false">FALSE()</f>
        <v>0</v>
      </c>
      <c r="AB175" s="319" t="b">
        <f aca="false">FALSE()</f>
        <v>0</v>
      </c>
      <c r="AC175" s="319" t="b">
        <f aca="false">FALSE()</f>
        <v>0</v>
      </c>
      <c r="AD175" s="319" t="b">
        <f aca="false">FALSE()</f>
        <v>0</v>
      </c>
      <c r="AE175" s="319" t="b">
        <f aca="false">FALSE()</f>
        <v>0</v>
      </c>
      <c r="AF175" s="319" t="b">
        <f aca="false">FALSE()</f>
        <v>0</v>
      </c>
      <c r="AG175" s="6" t="s">
        <v>182</v>
      </c>
      <c r="AH175" s="6" t="s">
        <v>182</v>
      </c>
    </row>
    <row r="176" customFormat="false" ht="15.75" hidden="false" customHeight="false" outlineLevel="0" collapsed="false">
      <c r="A176" s="3" t="s">
        <v>2161</v>
      </c>
      <c r="B176" s="6" t="s">
        <v>2162</v>
      </c>
      <c r="C176" s="3"/>
      <c r="D176" s="6" t="str">
        <f aca="false">I176   &amp; IF(ISBLANK(M176),, ". "&amp; M176 &amp; IF(ISBLANK(Q176),, ". "&amp; Q176))</f>
        <v>ElementResist_Earth</v>
      </c>
      <c r="E176" s="6" t="str">
        <f aca="false">I176  &amp;": # on "&amp; L176  &amp; IF(ISBLANK(M176),, ". "&amp; M176 &amp;": # on "&amp; P176 &amp; IF(ISBLANK(Q176),, ". "&amp; Q176 &amp;": # on "&amp; T176))</f>
        <v>ElementResist_Earth: # on Self</v>
      </c>
      <c r="F176" s="6" t="str">
        <f aca="false">IF(U176,"active pal",)  &amp; IF(V176,"working",) &amp; IF(W176,"mounted",) &amp; IF(Y176,"in party (buff)",)  &amp; IF(Z176,"always",)</f>
        <v>always</v>
      </c>
      <c r="G176" s="6" t="n">
        <v>1</v>
      </c>
      <c r="H176" s="6" t="s">
        <v>182</v>
      </c>
      <c r="I176" s="6" t="s">
        <v>2163</v>
      </c>
      <c r="J176" s="6" t="str">
        <f aca="false">IFERROR(__xludf.dummyfunction("IFS(I176=""ShotAttack"",""%"",I176=""MeleeAttack"",""%"", I176=""Defense"",""%"",I176=""CraftSPeed"",""%"",I176=""LifeSteal"",""%"",I176=""MaxInventoryWeight"",""+"",I176=""MoveSpeed"",""%"",REGEXMATCH(I176,""ElementAddItemDrop_""),""%"",I176=""Logging"","&amp;"""+"",I176=""Mining"",""+"",I176=""Maxhp"",""%"",REGEXMATCH(I176,""TemperatureResist_""),""+"",REGEXMATCH(I176,""ElementResist_""),""%"",REGEXMATCH(I176,""TemperatureInvalid_""),""bool"",REGEXMATCH(I176,""BodyPartsWeakDamage""),""%"",REGEXMATCH(I176,""Ele"&amp;"mentBoost_""),""%"",AND(REGEXMATCH(B176,""GiveA""),REGEXMATCH(I176,""Element"")),""bool"")"),"%")</f>
        <v>%</v>
      </c>
      <c r="K176" s="6" t="n">
        <v>15</v>
      </c>
      <c r="L176" s="6" t="s">
        <v>1956</v>
      </c>
      <c r="M176" s="6"/>
      <c r="N176" s="6" t="str">
        <f aca="false">IFERROR(__xludf.dummyfunction("IFS(M176=""ShotAttack"",""%"",M176=""MeleeAttack"",""%"", M176=""Defense"",""%"",M176=""CraftSPeed"",""%"",M176=""LifeSteal"",""%"",M176=""MaxInventoryWeight"",""+"",M176=""MoveSpeed"",""%"",REGEXMATCH(M176,""ElementAddItemDrop_""),""%"",M176=""Logging"","&amp;"""+"",M176=""Mining"",""+"",M176=""Maxhp"",""%"",REGEXMATCH(M176,""TemperatureResist_""),""+"",REGEXMATCH(M176,""ElementResist_""),""%"",REGEXMATCH(M176,""TemperatureInvalid_""),""bool"",REGEXMATCH(M176,""BodyPartsWeakDamage""),""%"",REGEXMATCH(M176,""Ele"&amp;"mentBoost_""),""%"",AND(REGEXMATCH(F176,""GiveA""),REGEXMATCH(M176,""Element"")),""bool"")"),"#N/A")</f>
        <v>#N/A</v>
      </c>
      <c r="O176" s="6" t="n">
        <v>0</v>
      </c>
      <c r="P176" s="6"/>
      <c r="Q176" s="6"/>
      <c r="R176" s="6" t="str">
        <f aca="false">IFERROR(__xludf.dummyfunction("IFS(Q176=""ShotAttack"",""%"",Q176=""MeleeAttack"",""%"", Q176=""Defense"",""%"",Q176=""CraftSPeed"",""%"",Q176=""LifeSteal"",""%"",Q176=""MaxInventoryWeight"",""+"",Q176=""MoveSpeed"",""%"",REGEXMATCH(Q176,""ElementAddItemDrop_""),""%"",Q176=""Logging"","&amp;"""+"",Q176=""Mining"",""+"",Q176=""Maxhp"",""%"",REGEXMATCH(Q176,""TemperatureResist_""),""+"",REGEXMATCH(Q176,""ElementResist_""),""%"",REGEXMATCH(Q176,""TemperatureInvalid_""),""bool"",REGEXMATCH(Q176,""BodyPartsWeakDamage""),""%"",REGEXMATCH(Q176,""Ele"&amp;"mentBoost_""),""%"",AND(REGEXMATCH(J176,""GiveA""),REGEXMATCH(Q176,""Element"")),""bool"")"),"#N/A")</f>
        <v>#N/A</v>
      </c>
      <c r="S176" s="6" t="n">
        <v>0</v>
      </c>
      <c r="T176" s="6"/>
      <c r="U176" s="319" t="b">
        <f aca="false">FALSE()</f>
        <v>0</v>
      </c>
      <c r="V176" s="319" t="b">
        <f aca="false">FALSE()</f>
        <v>0</v>
      </c>
      <c r="W176" s="319" t="b">
        <f aca="false">FALSE()</f>
        <v>0</v>
      </c>
      <c r="X176" s="319" t="b">
        <f aca="false">FALSE()</f>
        <v>0</v>
      </c>
      <c r="Y176" s="319" t="b">
        <f aca="false">FALSE()</f>
        <v>0</v>
      </c>
      <c r="Z176" s="319" t="b">
        <f aca="false">TRUE()</f>
        <v>1</v>
      </c>
      <c r="AA176" s="319" t="b">
        <f aca="false">FALSE()</f>
        <v>0</v>
      </c>
      <c r="AB176" s="319" t="b">
        <f aca="false">FALSE()</f>
        <v>0</v>
      </c>
      <c r="AC176" s="319" t="b">
        <f aca="false">FALSE()</f>
        <v>0</v>
      </c>
      <c r="AD176" s="319" t="b">
        <f aca="false">FALSE()</f>
        <v>0</v>
      </c>
      <c r="AE176" s="319" t="b">
        <f aca="false">FALSE()</f>
        <v>0</v>
      </c>
      <c r="AF176" s="319" t="b">
        <f aca="false">FALSE()</f>
        <v>0</v>
      </c>
      <c r="AG176" s="6" t="s">
        <v>182</v>
      </c>
      <c r="AH176" s="6" t="s">
        <v>182</v>
      </c>
    </row>
    <row r="177" customFormat="false" ht="15.75" hidden="false" customHeight="false" outlineLevel="0" collapsed="false">
      <c r="A177" s="3" t="s">
        <v>2164</v>
      </c>
      <c r="B177" s="6" t="s">
        <v>2165</v>
      </c>
      <c r="C177" s="3"/>
      <c r="D177" s="6" t="str">
        <f aca="false">I177   &amp; IF(ISBLANK(M177),, ". "&amp; M177 &amp; IF(ISBLANK(Q177),, ". "&amp; Q177))</f>
        <v>ElementResist_Dark</v>
      </c>
      <c r="E177" s="6" t="str">
        <f aca="false">I177  &amp;": # on "&amp; L177  &amp; IF(ISBLANK(M177),, ". "&amp; M177 &amp;": # on "&amp; P177 &amp; IF(ISBLANK(Q177),, ". "&amp; Q177 &amp;": # on "&amp; T177))</f>
        <v>ElementResist_Dark: # on Self</v>
      </c>
      <c r="F177" s="6" t="str">
        <f aca="false">IF(U177,"active pal",)  &amp; IF(V177,"working",) &amp; IF(W177,"mounted",) &amp; IF(Y177,"in party (buff)",)  &amp; IF(Z177,"always",)</f>
        <v>always</v>
      </c>
      <c r="G177" s="6" t="n">
        <v>1</v>
      </c>
      <c r="H177" s="6" t="s">
        <v>182</v>
      </c>
      <c r="I177" s="6" t="s">
        <v>2166</v>
      </c>
      <c r="J177" s="6" t="str">
        <f aca="false">IFERROR(__xludf.dummyfunction("IFS(I177=""ShotAttack"",""%"",I177=""MeleeAttack"",""%"", I177=""Defense"",""%"",I177=""CraftSPeed"",""%"",I177=""LifeSteal"",""%"",I177=""MaxInventoryWeight"",""+"",I177=""MoveSpeed"",""%"",REGEXMATCH(I177,""ElementAddItemDrop_""),""%"",I177=""Logging"","&amp;"""+"",I177=""Mining"",""+"",I177=""Maxhp"",""%"",REGEXMATCH(I177,""TemperatureResist_""),""+"",REGEXMATCH(I177,""ElementResist_""),""%"",REGEXMATCH(I177,""TemperatureInvalid_""),""bool"",REGEXMATCH(I177,""BodyPartsWeakDamage""),""%"",REGEXMATCH(I177,""Ele"&amp;"mentBoost_""),""%"",AND(REGEXMATCH(B177,""GiveA""),REGEXMATCH(I177,""Element"")),""bool"")"),"%")</f>
        <v>%</v>
      </c>
      <c r="K177" s="6" t="n">
        <v>15</v>
      </c>
      <c r="L177" s="6" t="s">
        <v>1956</v>
      </c>
      <c r="M177" s="6"/>
      <c r="N177" s="6" t="str">
        <f aca="false">IFERROR(__xludf.dummyfunction("IFS(M177=""ShotAttack"",""%"",M177=""MeleeAttack"",""%"", M177=""Defense"",""%"",M177=""CraftSPeed"",""%"",M177=""LifeSteal"",""%"",M177=""MaxInventoryWeight"",""+"",M177=""MoveSpeed"",""%"",REGEXMATCH(M177,""ElementAddItemDrop_""),""%"",M177=""Logging"","&amp;"""+"",M177=""Mining"",""+"",M177=""Maxhp"",""%"",REGEXMATCH(M177,""TemperatureResist_""),""+"",REGEXMATCH(M177,""ElementResist_""),""%"",REGEXMATCH(M177,""TemperatureInvalid_""),""bool"",REGEXMATCH(M177,""BodyPartsWeakDamage""),""%"",REGEXMATCH(M177,""Ele"&amp;"mentBoost_""),""%"",AND(REGEXMATCH(F177,""GiveA""),REGEXMATCH(M177,""Element"")),""bool"")"),"#N/A")</f>
        <v>#N/A</v>
      </c>
      <c r="O177" s="6" t="n">
        <v>0</v>
      </c>
      <c r="P177" s="6"/>
      <c r="Q177" s="6"/>
      <c r="R177" s="6" t="str">
        <f aca="false">IFERROR(__xludf.dummyfunction("IFS(Q177=""ShotAttack"",""%"",Q177=""MeleeAttack"",""%"", Q177=""Defense"",""%"",Q177=""CraftSPeed"",""%"",Q177=""LifeSteal"",""%"",Q177=""MaxInventoryWeight"",""+"",Q177=""MoveSpeed"",""%"",REGEXMATCH(Q177,""ElementAddItemDrop_""),""%"",Q177=""Logging"","&amp;"""+"",Q177=""Mining"",""+"",Q177=""Maxhp"",""%"",REGEXMATCH(Q177,""TemperatureResist_""),""+"",REGEXMATCH(Q177,""ElementResist_""),""%"",REGEXMATCH(Q177,""TemperatureInvalid_""),""bool"",REGEXMATCH(Q177,""BodyPartsWeakDamage""),""%"",REGEXMATCH(Q177,""Ele"&amp;"mentBoost_""),""%"",AND(REGEXMATCH(J177,""GiveA""),REGEXMATCH(Q177,""Element"")),""bool"")"),"#N/A")</f>
        <v>#N/A</v>
      </c>
      <c r="S177" s="6" t="n">
        <v>0</v>
      </c>
      <c r="T177" s="6"/>
      <c r="U177" s="319" t="b">
        <f aca="false">FALSE()</f>
        <v>0</v>
      </c>
      <c r="V177" s="319" t="b">
        <f aca="false">FALSE()</f>
        <v>0</v>
      </c>
      <c r="W177" s="319" t="b">
        <f aca="false">FALSE()</f>
        <v>0</v>
      </c>
      <c r="X177" s="319" t="b">
        <f aca="false">FALSE()</f>
        <v>0</v>
      </c>
      <c r="Y177" s="319" t="b">
        <f aca="false">FALSE()</f>
        <v>0</v>
      </c>
      <c r="Z177" s="319" t="b">
        <f aca="false">TRUE()</f>
        <v>1</v>
      </c>
      <c r="AA177" s="319" t="b">
        <f aca="false">FALSE()</f>
        <v>0</v>
      </c>
      <c r="AB177" s="319" t="b">
        <f aca="false">FALSE()</f>
        <v>0</v>
      </c>
      <c r="AC177" s="319" t="b">
        <f aca="false">FALSE()</f>
        <v>0</v>
      </c>
      <c r="AD177" s="319" t="b">
        <f aca="false">FALSE()</f>
        <v>0</v>
      </c>
      <c r="AE177" s="319" t="b">
        <f aca="false">FALSE()</f>
        <v>0</v>
      </c>
      <c r="AF177" s="319" t="b">
        <f aca="false">FALSE()</f>
        <v>0</v>
      </c>
      <c r="AG177" s="6" t="s">
        <v>182</v>
      </c>
      <c r="AH177" s="6" t="s">
        <v>182</v>
      </c>
    </row>
    <row r="178" customFormat="false" ht="15.75" hidden="false" customHeight="false" outlineLevel="0" collapsed="false">
      <c r="A178" s="3" t="s">
        <v>2167</v>
      </c>
      <c r="B178" s="6" t="s">
        <v>2168</v>
      </c>
      <c r="C178" s="3"/>
      <c r="D178" s="6" t="str">
        <f aca="false">I178   &amp; IF(ISBLANK(M178),, ". "&amp; M178 &amp; IF(ISBLANK(Q178),, ". "&amp; Q178))</f>
        <v>ElementResist_Dragon</v>
      </c>
      <c r="E178" s="6" t="str">
        <f aca="false">I178  &amp;": # on "&amp; L178  &amp; IF(ISBLANK(M178),, ". "&amp; M178 &amp;": # on "&amp; P178 &amp; IF(ISBLANK(Q178),, ". "&amp; Q178 &amp;": # on "&amp; T178))</f>
        <v>ElementResist_Dragon: # on Self</v>
      </c>
      <c r="F178" s="6" t="str">
        <f aca="false">IF(U178,"active pal",)  &amp; IF(V178,"working",) &amp; IF(W178,"mounted",) &amp; IF(Y178,"in party (buff)",)  &amp; IF(Z178,"always",)</f>
        <v>always</v>
      </c>
      <c r="G178" s="6" t="n">
        <v>1</v>
      </c>
      <c r="H178" s="6" t="s">
        <v>182</v>
      </c>
      <c r="I178" s="6" t="s">
        <v>2169</v>
      </c>
      <c r="J178" s="6" t="str">
        <f aca="false">IFERROR(__xludf.dummyfunction("IFS(I178=""ShotAttack"",""%"",I178=""MeleeAttack"",""%"", I178=""Defense"",""%"",I178=""CraftSPeed"",""%"",I178=""LifeSteal"",""%"",I178=""MaxInventoryWeight"",""+"",I178=""MoveSpeed"",""%"",REGEXMATCH(I178,""ElementAddItemDrop_""),""%"",I178=""Logging"","&amp;"""+"",I178=""Mining"",""+"",I178=""Maxhp"",""%"",REGEXMATCH(I178,""TemperatureResist_""),""+"",REGEXMATCH(I178,""ElementResist_""),""%"",REGEXMATCH(I178,""TemperatureInvalid_""),""bool"",REGEXMATCH(I178,""BodyPartsWeakDamage""),""%"",REGEXMATCH(I178,""Ele"&amp;"mentBoost_""),""%"",AND(REGEXMATCH(B178,""GiveA""),REGEXMATCH(I178,""Element"")),""bool"")"),"%")</f>
        <v>%</v>
      </c>
      <c r="K178" s="6" t="n">
        <v>15</v>
      </c>
      <c r="L178" s="6" t="s">
        <v>1956</v>
      </c>
      <c r="M178" s="6"/>
      <c r="N178" s="6" t="str">
        <f aca="false">IFERROR(__xludf.dummyfunction("IFS(M178=""ShotAttack"",""%"",M178=""MeleeAttack"",""%"", M178=""Defense"",""%"",M178=""CraftSPeed"",""%"",M178=""LifeSteal"",""%"",M178=""MaxInventoryWeight"",""+"",M178=""MoveSpeed"",""%"",REGEXMATCH(M178,""ElementAddItemDrop_""),""%"",M178=""Logging"","&amp;"""+"",M178=""Mining"",""+"",M178=""Maxhp"",""%"",REGEXMATCH(M178,""TemperatureResist_""),""+"",REGEXMATCH(M178,""ElementResist_""),""%"",REGEXMATCH(M178,""TemperatureInvalid_""),""bool"",REGEXMATCH(M178,""BodyPartsWeakDamage""),""%"",REGEXMATCH(M178,""Ele"&amp;"mentBoost_""),""%"",AND(REGEXMATCH(F178,""GiveA""),REGEXMATCH(M178,""Element"")),""bool"")"),"#N/A")</f>
        <v>#N/A</v>
      </c>
      <c r="O178" s="6" t="n">
        <v>0</v>
      </c>
      <c r="P178" s="6"/>
      <c r="Q178" s="6"/>
      <c r="R178" s="6" t="str">
        <f aca="false">IFERROR(__xludf.dummyfunction("IFS(Q178=""ShotAttack"",""%"",Q178=""MeleeAttack"",""%"", Q178=""Defense"",""%"",Q178=""CraftSPeed"",""%"",Q178=""LifeSteal"",""%"",Q178=""MaxInventoryWeight"",""+"",Q178=""MoveSpeed"",""%"",REGEXMATCH(Q178,""ElementAddItemDrop_""),""%"",Q178=""Logging"","&amp;"""+"",Q178=""Mining"",""+"",Q178=""Maxhp"",""%"",REGEXMATCH(Q178,""TemperatureResist_""),""+"",REGEXMATCH(Q178,""ElementResist_""),""%"",REGEXMATCH(Q178,""TemperatureInvalid_""),""bool"",REGEXMATCH(Q178,""BodyPartsWeakDamage""),""%"",REGEXMATCH(Q178,""Ele"&amp;"mentBoost_""),""%"",AND(REGEXMATCH(J178,""GiveA""),REGEXMATCH(Q178,""Element"")),""bool"")"),"#N/A")</f>
        <v>#N/A</v>
      </c>
      <c r="S178" s="6" t="n">
        <v>0</v>
      </c>
      <c r="T178" s="6"/>
      <c r="U178" s="319" t="b">
        <f aca="false">FALSE()</f>
        <v>0</v>
      </c>
      <c r="V178" s="319" t="b">
        <f aca="false">FALSE()</f>
        <v>0</v>
      </c>
      <c r="W178" s="319" t="b">
        <f aca="false">FALSE()</f>
        <v>0</v>
      </c>
      <c r="X178" s="319" t="b">
        <f aca="false">FALSE()</f>
        <v>0</v>
      </c>
      <c r="Y178" s="319" t="b">
        <f aca="false">FALSE()</f>
        <v>0</v>
      </c>
      <c r="Z178" s="319" t="b">
        <f aca="false">TRUE()</f>
        <v>1</v>
      </c>
      <c r="AA178" s="319" t="b">
        <f aca="false">FALSE()</f>
        <v>0</v>
      </c>
      <c r="AB178" s="319" t="b">
        <f aca="false">FALSE()</f>
        <v>0</v>
      </c>
      <c r="AC178" s="319" t="b">
        <f aca="false">FALSE()</f>
        <v>0</v>
      </c>
      <c r="AD178" s="319" t="b">
        <f aca="false">FALSE()</f>
        <v>0</v>
      </c>
      <c r="AE178" s="319" t="b">
        <f aca="false">FALSE()</f>
        <v>0</v>
      </c>
      <c r="AF178" s="319" t="b">
        <f aca="false">FALSE()</f>
        <v>0</v>
      </c>
      <c r="AG178" s="6" t="s">
        <v>182</v>
      </c>
      <c r="AH178" s="6" t="s">
        <v>182</v>
      </c>
    </row>
    <row r="179" customFormat="false" ht="15.75" hidden="false" customHeight="false" outlineLevel="0" collapsed="false">
      <c r="A179" s="3" t="s">
        <v>2170</v>
      </c>
      <c r="B179" s="6" t="s">
        <v>2171</v>
      </c>
      <c r="C179" s="3"/>
      <c r="D179" s="6" t="str">
        <f aca="false">I179   &amp; IF(ISBLANK(M179),, ". "&amp; M179 &amp; IF(ISBLANK(Q179),, ". "&amp; Q179))</f>
        <v>ElementResist_Normal</v>
      </c>
      <c r="E179" s="6" t="str">
        <f aca="false">I179  &amp;": # on "&amp; L179  &amp; IF(ISBLANK(M179),, ". "&amp; M179 &amp;": # on "&amp; P179 &amp; IF(ISBLANK(Q179),, ". "&amp; Q179 &amp;": # on "&amp; T179))</f>
        <v>ElementResist_Normal: # on Self</v>
      </c>
      <c r="F179" s="6" t="str">
        <f aca="false">IF(U179,"active pal",)  &amp; IF(V179,"working",) &amp; IF(W179,"mounted",) &amp; IF(Y179,"in party (buff)",)  &amp; IF(Z179,"always",)</f>
        <v>always</v>
      </c>
      <c r="G179" s="6" t="n">
        <v>2</v>
      </c>
      <c r="H179" s="6" t="s">
        <v>182</v>
      </c>
      <c r="I179" s="6" t="s">
        <v>2145</v>
      </c>
      <c r="J179" s="6" t="str">
        <f aca="false">IFERROR(__xludf.dummyfunction("IFS(I179=""ShotAttack"",""%"",I179=""MeleeAttack"",""%"", I179=""Defense"",""%"",I179=""CraftSPeed"",""%"",I179=""LifeSteal"",""%"",I179=""MaxInventoryWeight"",""+"",I179=""MoveSpeed"",""%"",REGEXMATCH(I179,""ElementAddItemDrop_""),""%"",I179=""Logging"","&amp;"""+"",I179=""Mining"",""+"",I179=""Maxhp"",""%"",REGEXMATCH(I179,""TemperatureResist_""),""+"",REGEXMATCH(I179,""ElementResist_""),""%"",REGEXMATCH(I179,""TemperatureInvalid_""),""bool"",REGEXMATCH(I179,""BodyPartsWeakDamage""),""%"",REGEXMATCH(I179,""Ele"&amp;"mentBoost_""),""%"",AND(REGEXMATCH(B179,""GiveA""),REGEXMATCH(I179,""Element"")),""bool"")"),"%")</f>
        <v>%</v>
      </c>
      <c r="K179" s="6" t="n">
        <v>25</v>
      </c>
      <c r="L179" s="6" t="s">
        <v>1956</v>
      </c>
      <c r="M179" s="6"/>
      <c r="N179" s="6" t="str">
        <f aca="false">IFERROR(__xludf.dummyfunction("IFS(M179=""ShotAttack"",""%"",M179=""MeleeAttack"",""%"", M179=""Defense"",""%"",M179=""CraftSPeed"",""%"",M179=""LifeSteal"",""%"",M179=""MaxInventoryWeight"",""+"",M179=""MoveSpeed"",""%"",REGEXMATCH(M179,""ElementAddItemDrop_""),""%"",M179=""Logging"","&amp;"""+"",M179=""Mining"",""+"",M179=""Maxhp"",""%"",REGEXMATCH(M179,""TemperatureResist_""),""+"",REGEXMATCH(M179,""ElementResist_""),""%"",REGEXMATCH(M179,""TemperatureInvalid_""),""bool"",REGEXMATCH(M179,""BodyPartsWeakDamage""),""%"",REGEXMATCH(M179,""Ele"&amp;"mentBoost_""),""%"",AND(REGEXMATCH(F179,""GiveA""),REGEXMATCH(M179,""Element"")),""bool"")"),"#N/A")</f>
        <v>#N/A</v>
      </c>
      <c r="O179" s="6" t="n">
        <v>0</v>
      </c>
      <c r="P179" s="6"/>
      <c r="Q179" s="6"/>
      <c r="R179" s="6" t="str">
        <f aca="false">IFERROR(__xludf.dummyfunction("IFS(Q179=""ShotAttack"",""%"",Q179=""MeleeAttack"",""%"", Q179=""Defense"",""%"",Q179=""CraftSPeed"",""%"",Q179=""LifeSteal"",""%"",Q179=""MaxInventoryWeight"",""+"",Q179=""MoveSpeed"",""%"",REGEXMATCH(Q179,""ElementAddItemDrop_""),""%"",Q179=""Logging"","&amp;"""+"",Q179=""Mining"",""+"",Q179=""Maxhp"",""%"",REGEXMATCH(Q179,""TemperatureResist_""),""+"",REGEXMATCH(Q179,""ElementResist_""),""%"",REGEXMATCH(Q179,""TemperatureInvalid_""),""bool"",REGEXMATCH(Q179,""BodyPartsWeakDamage""),""%"",REGEXMATCH(Q179,""Ele"&amp;"mentBoost_""),""%"",AND(REGEXMATCH(J179,""GiveA""),REGEXMATCH(Q179,""Element"")),""bool"")"),"#N/A")</f>
        <v>#N/A</v>
      </c>
      <c r="S179" s="6" t="n">
        <v>0</v>
      </c>
      <c r="T179" s="6"/>
      <c r="U179" s="319" t="b">
        <f aca="false">FALSE()</f>
        <v>0</v>
      </c>
      <c r="V179" s="319" t="b">
        <f aca="false">FALSE()</f>
        <v>0</v>
      </c>
      <c r="W179" s="319" t="b">
        <f aca="false">FALSE()</f>
        <v>0</v>
      </c>
      <c r="X179" s="319" t="b">
        <f aca="false">FALSE()</f>
        <v>0</v>
      </c>
      <c r="Y179" s="319" t="b">
        <f aca="false">FALSE()</f>
        <v>0</v>
      </c>
      <c r="Z179" s="319" t="b">
        <f aca="false">TRUE()</f>
        <v>1</v>
      </c>
      <c r="AA179" s="319" t="b">
        <f aca="false">FALSE()</f>
        <v>0</v>
      </c>
      <c r="AB179" s="319" t="b">
        <f aca="false">FALSE()</f>
        <v>0</v>
      </c>
      <c r="AC179" s="319" t="b">
        <f aca="false">FALSE()</f>
        <v>0</v>
      </c>
      <c r="AD179" s="319" t="b">
        <f aca="false">FALSE()</f>
        <v>0</v>
      </c>
      <c r="AE179" s="319" t="b">
        <f aca="false">FALSE()</f>
        <v>0</v>
      </c>
      <c r="AF179" s="319" t="b">
        <f aca="false">FALSE()</f>
        <v>0</v>
      </c>
      <c r="AG179" s="6" t="s">
        <v>182</v>
      </c>
      <c r="AH179" s="6" t="s">
        <v>182</v>
      </c>
    </row>
    <row r="180" customFormat="false" ht="15.75" hidden="false" customHeight="false" outlineLevel="0" collapsed="false">
      <c r="A180" s="3" t="s">
        <v>2172</v>
      </c>
      <c r="B180" s="6" t="s">
        <v>2173</v>
      </c>
      <c r="C180" s="3"/>
      <c r="D180" s="6" t="str">
        <f aca="false">I180   &amp; IF(ISBLANK(M180),, ". "&amp; M180 &amp; IF(ISBLANK(Q180),, ". "&amp; Q180))</f>
        <v>ElementResist_Fire</v>
      </c>
      <c r="E180" s="6" t="str">
        <f aca="false">I180  &amp;": # on "&amp; L180  &amp; IF(ISBLANK(M180),, ". "&amp; M180 &amp;": # on "&amp; P180 &amp; IF(ISBLANK(Q180),, ". "&amp; Q180 &amp;": # on "&amp; T180))</f>
        <v>ElementResist_Fire: # on Self</v>
      </c>
      <c r="F180" s="6" t="str">
        <f aca="false">IF(U180,"active pal",)  &amp; IF(V180,"working",) &amp; IF(W180,"mounted",) &amp; IF(Y180,"in party (buff)",)  &amp; IF(Z180,"always",)</f>
        <v>always</v>
      </c>
      <c r="G180" s="6" t="n">
        <v>2</v>
      </c>
      <c r="H180" s="6" t="s">
        <v>182</v>
      </c>
      <c r="I180" s="6" t="s">
        <v>2148</v>
      </c>
      <c r="J180" s="6" t="str">
        <f aca="false">IFERROR(__xludf.dummyfunction("IFS(I180=""ShotAttack"",""%"",I180=""MeleeAttack"",""%"", I180=""Defense"",""%"",I180=""CraftSPeed"",""%"",I180=""LifeSteal"",""%"",I180=""MaxInventoryWeight"",""+"",I180=""MoveSpeed"",""%"",REGEXMATCH(I180,""ElementAddItemDrop_""),""%"",I180=""Logging"","&amp;"""+"",I180=""Mining"",""+"",I180=""Maxhp"",""%"",REGEXMATCH(I180,""TemperatureResist_""),""+"",REGEXMATCH(I180,""ElementResist_""),""%"",REGEXMATCH(I180,""TemperatureInvalid_""),""bool"",REGEXMATCH(I180,""BodyPartsWeakDamage""),""%"",REGEXMATCH(I180,""Ele"&amp;"mentBoost_""),""%"",AND(REGEXMATCH(B180,""GiveA""),REGEXMATCH(I180,""Element"")),""bool"")"),"%")</f>
        <v>%</v>
      </c>
      <c r="K180" s="6" t="n">
        <v>25</v>
      </c>
      <c r="L180" s="6" t="s">
        <v>1956</v>
      </c>
      <c r="M180" s="6"/>
      <c r="N180" s="6" t="str">
        <f aca="false">IFERROR(__xludf.dummyfunction("IFS(M180=""ShotAttack"",""%"",M180=""MeleeAttack"",""%"", M180=""Defense"",""%"",M180=""CraftSPeed"",""%"",M180=""LifeSteal"",""%"",M180=""MaxInventoryWeight"",""+"",M180=""MoveSpeed"",""%"",REGEXMATCH(M180,""ElementAddItemDrop_""),""%"",M180=""Logging"","&amp;"""+"",M180=""Mining"",""+"",M180=""Maxhp"",""%"",REGEXMATCH(M180,""TemperatureResist_""),""+"",REGEXMATCH(M180,""ElementResist_""),""%"",REGEXMATCH(M180,""TemperatureInvalid_""),""bool"",REGEXMATCH(M180,""BodyPartsWeakDamage""),""%"",REGEXMATCH(M180,""Ele"&amp;"mentBoost_""),""%"",AND(REGEXMATCH(F180,""GiveA""),REGEXMATCH(M180,""Element"")),""bool"")"),"#N/A")</f>
        <v>#N/A</v>
      </c>
      <c r="O180" s="6" t="n">
        <v>0</v>
      </c>
      <c r="P180" s="6"/>
      <c r="Q180" s="6"/>
      <c r="R180" s="6" t="str">
        <f aca="false">IFERROR(__xludf.dummyfunction("IFS(Q180=""ShotAttack"",""%"",Q180=""MeleeAttack"",""%"", Q180=""Defense"",""%"",Q180=""CraftSPeed"",""%"",Q180=""LifeSteal"",""%"",Q180=""MaxInventoryWeight"",""+"",Q180=""MoveSpeed"",""%"",REGEXMATCH(Q180,""ElementAddItemDrop_""),""%"",Q180=""Logging"","&amp;"""+"",Q180=""Mining"",""+"",Q180=""Maxhp"",""%"",REGEXMATCH(Q180,""TemperatureResist_""),""+"",REGEXMATCH(Q180,""ElementResist_""),""%"",REGEXMATCH(Q180,""TemperatureInvalid_""),""bool"",REGEXMATCH(Q180,""BodyPartsWeakDamage""),""%"",REGEXMATCH(Q180,""Ele"&amp;"mentBoost_""),""%"",AND(REGEXMATCH(J180,""GiveA""),REGEXMATCH(Q180,""Element"")),""bool"")"),"#N/A")</f>
        <v>#N/A</v>
      </c>
      <c r="S180" s="6" t="n">
        <v>0</v>
      </c>
      <c r="T180" s="6"/>
      <c r="U180" s="319" t="b">
        <f aca="false">FALSE()</f>
        <v>0</v>
      </c>
      <c r="V180" s="319" t="b">
        <f aca="false">FALSE()</f>
        <v>0</v>
      </c>
      <c r="W180" s="319" t="b">
        <f aca="false">FALSE()</f>
        <v>0</v>
      </c>
      <c r="X180" s="319" t="b">
        <f aca="false">FALSE()</f>
        <v>0</v>
      </c>
      <c r="Y180" s="319" t="b">
        <f aca="false">FALSE()</f>
        <v>0</v>
      </c>
      <c r="Z180" s="319" t="b">
        <f aca="false">TRUE()</f>
        <v>1</v>
      </c>
      <c r="AA180" s="319" t="b">
        <f aca="false">FALSE()</f>
        <v>0</v>
      </c>
      <c r="AB180" s="319" t="b">
        <f aca="false">FALSE()</f>
        <v>0</v>
      </c>
      <c r="AC180" s="319" t="b">
        <f aca="false">FALSE()</f>
        <v>0</v>
      </c>
      <c r="AD180" s="319" t="b">
        <f aca="false">FALSE()</f>
        <v>0</v>
      </c>
      <c r="AE180" s="319" t="b">
        <f aca="false">FALSE()</f>
        <v>0</v>
      </c>
      <c r="AF180" s="319" t="b">
        <f aca="false">FALSE()</f>
        <v>0</v>
      </c>
      <c r="AG180" s="6" t="s">
        <v>182</v>
      </c>
      <c r="AH180" s="6" t="s">
        <v>182</v>
      </c>
    </row>
    <row r="181" customFormat="false" ht="15.75" hidden="false" customHeight="false" outlineLevel="0" collapsed="false">
      <c r="A181" s="3" t="s">
        <v>2174</v>
      </c>
      <c r="B181" s="6" t="s">
        <v>2175</v>
      </c>
      <c r="C181" s="3"/>
      <c r="D181" s="6" t="str">
        <f aca="false">I181   &amp; IF(ISBLANK(M181),, ". "&amp; M181 &amp; IF(ISBLANK(Q181),, ". "&amp; Q181))</f>
        <v>ElementResist_Water</v>
      </c>
      <c r="E181" s="6" t="str">
        <f aca="false">I181  &amp;": # on "&amp; L181  &amp; IF(ISBLANK(M181),, ". "&amp; M181 &amp;": # on "&amp; P181 &amp; IF(ISBLANK(Q181),, ". "&amp; Q181 &amp;": # on "&amp; T181))</f>
        <v>ElementResist_Water: # on Self</v>
      </c>
      <c r="F181" s="6" t="str">
        <f aca="false">IF(U181,"active pal",)  &amp; IF(V181,"working",) &amp; IF(W181,"mounted",) &amp; IF(Y181,"in party (buff)",)  &amp; IF(Z181,"always",)</f>
        <v>always</v>
      </c>
      <c r="G181" s="6" t="n">
        <v>2</v>
      </c>
      <c r="H181" s="6" t="s">
        <v>182</v>
      </c>
      <c r="I181" s="6" t="s">
        <v>2151</v>
      </c>
      <c r="J181" s="6" t="str">
        <f aca="false">IFERROR(__xludf.dummyfunction("IFS(I181=""ShotAttack"",""%"",I181=""MeleeAttack"",""%"", I181=""Defense"",""%"",I181=""CraftSPeed"",""%"",I181=""LifeSteal"",""%"",I181=""MaxInventoryWeight"",""+"",I181=""MoveSpeed"",""%"",REGEXMATCH(I181,""ElementAddItemDrop_""),""%"",I181=""Logging"","&amp;"""+"",I181=""Mining"",""+"",I181=""Maxhp"",""%"",REGEXMATCH(I181,""TemperatureResist_""),""+"",REGEXMATCH(I181,""ElementResist_""),""%"",REGEXMATCH(I181,""TemperatureInvalid_""),""bool"",REGEXMATCH(I181,""BodyPartsWeakDamage""),""%"",REGEXMATCH(I181,""Ele"&amp;"mentBoost_""),""%"",AND(REGEXMATCH(B181,""GiveA""),REGEXMATCH(I181,""Element"")),""bool"")"),"%")</f>
        <v>%</v>
      </c>
      <c r="K181" s="6" t="n">
        <v>25</v>
      </c>
      <c r="L181" s="6" t="s">
        <v>1956</v>
      </c>
      <c r="M181" s="6"/>
      <c r="N181" s="6" t="str">
        <f aca="false">IFERROR(__xludf.dummyfunction("IFS(M181=""ShotAttack"",""%"",M181=""MeleeAttack"",""%"", M181=""Defense"",""%"",M181=""CraftSPeed"",""%"",M181=""LifeSteal"",""%"",M181=""MaxInventoryWeight"",""+"",M181=""MoveSpeed"",""%"",REGEXMATCH(M181,""ElementAddItemDrop_""),""%"",M181=""Logging"","&amp;"""+"",M181=""Mining"",""+"",M181=""Maxhp"",""%"",REGEXMATCH(M181,""TemperatureResist_""),""+"",REGEXMATCH(M181,""ElementResist_""),""%"",REGEXMATCH(M181,""TemperatureInvalid_""),""bool"",REGEXMATCH(M181,""BodyPartsWeakDamage""),""%"",REGEXMATCH(M181,""Ele"&amp;"mentBoost_""),""%"",AND(REGEXMATCH(F181,""GiveA""),REGEXMATCH(M181,""Element"")),""bool"")"),"#N/A")</f>
        <v>#N/A</v>
      </c>
      <c r="O181" s="6" t="n">
        <v>0</v>
      </c>
      <c r="P181" s="6"/>
      <c r="Q181" s="6"/>
      <c r="R181" s="6" t="str">
        <f aca="false">IFERROR(__xludf.dummyfunction("IFS(Q181=""ShotAttack"",""%"",Q181=""MeleeAttack"",""%"", Q181=""Defense"",""%"",Q181=""CraftSPeed"",""%"",Q181=""LifeSteal"",""%"",Q181=""MaxInventoryWeight"",""+"",Q181=""MoveSpeed"",""%"",REGEXMATCH(Q181,""ElementAddItemDrop_""),""%"",Q181=""Logging"","&amp;"""+"",Q181=""Mining"",""+"",Q181=""Maxhp"",""%"",REGEXMATCH(Q181,""TemperatureResist_""),""+"",REGEXMATCH(Q181,""ElementResist_""),""%"",REGEXMATCH(Q181,""TemperatureInvalid_""),""bool"",REGEXMATCH(Q181,""BodyPartsWeakDamage""),""%"",REGEXMATCH(Q181,""Ele"&amp;"mentBoost_""),""%"",AND(REGEXMATCH(J181,""GiveA""),REGEXMATCH(Q181,""Element"")),""bool"")"),"#N/A")</f>
        <v>#N/A</v>
      </c>
      <c r="S181" s="6" t="n">
        <v>0</v>
      </c>
      <c r="T181" s="6"/>
      <c r="U181" s="319" t="b">
        <f aca="false">FALSE()</f>
        <v>0</v>
      </c>
      <c r="V181" s="319" t="b">
        <f aca="false">FALSE()</f>
        <v>0</v>
      </c>
      <c r="W181" s="319" t="b">
        <f aca="false">FALSE()</f>
        <v>0</v>
      </c>
      <c r="X181" s="319" t="b">
        <f aca="false">FALSE()</f>
        <v>0</v>
      </c>
      <c r="Y181" s="319" t="b">
        <f aca="false">FALSE()</f>
        <v>0</v>
      </c>
      <c r="Z181" s="319" t="b">
        <f aca="false">TRUE()</f>
        <v>1</v>
      </c>
      <c r="AA181" s="319" t="b">
        <f aca="false">FALSE()</f>
        <v>0</v>
      </c>
      <c r="AB181" s="319" t="b">
        <f aca="false">FALSE()</f>
        <v>0</v>
      </c>
      <c r="AC181" s="319" t="b">
        <f aca="false">FALSE()</f>
        <v>0</v>
      </c>
      <c r="AD181" s="319" t="b">
        <f aca="false">FALSE()</f>
        <v>0</v>
      </c>
      <c r="AE181" s="319" t="b">
        <f aca="false">FALSE()</f>
        <v>0</v>
      </c>
      <c r="AF181" s="319" t="b">
        <f aca="false">FALSE()</f>
        <v>0</v>
      </c>
      <c r="AG181" s="6" t="s">
        <v>182</v>
      </c>
      <c r="AH181" s="6" t="s">
        <v>182</v>
      </c>
    </row>
    <row r="182" customFormat="false" ht="15.75" hidden="false" customHeight="false" outlineLevel="0" collapsed="false">
      <c r="A182" s="3" t="s">
        <v>2176</v>
      </c>
      <c r="B182" s="6" t="s">
        <v>2177</v>
      </c>
      <c r="C182" s="3"/>
      <c r="D182" s="6" t="str">
        <f aca="false">I182   &amp; IF(ISBLANK(M182),, ". "&amp; M182 &amp; IF(ISBLANK(Q182),, ". "&amp; Q182))</f>
        <v>ElementResist_Electricity</v>
      </c>
      <c r="E182" s="6" t="str">
        <f aca="false">I182  &amp;": # on "&amp; L182  &amp; IF(ISBLANK(M182),, ". "&amp; M182 &amp;": # on "&amp; P182 &amp; IF(ISBLANK(Q182),, ". "&amp; Q182 &amp;": # on "&amp; T182))</f>
        <v>ElementResist_Electricity: # on Self</v>
      </c>
      <c r="F182" s="6" t="str">
        <f aca="false">IF(U182,"active pal",)  &amp; IF(V182,"working",) &amp; IF(W182,"mounted",) &amp; IF(Y182,"in party (buff)",)  &amp; IF(Z182,"always",)</f>
        <v>always</v>
      </c>
      <c r="G182" s="6" t="n">
        <v>2</v>
      </c>
      <c r="H182" s="6" t="s">
        <v>182</v>
      </c>
      <c r="I182" s="6" t="s">
        <v>2154</v>
      </c>
      <c r="J182" s="6" t="str">
        <f aca="false">IFERROR(__xludf.dummyfunction("IFS(I182=""ShotAttack"",""%"",I182=""MeleeAttack"",""%"", I182=""Defense"",""%"",I182=""CraftSPeed"",""%"",I182=""LifeSteal"",""%"",I182=""MaxInventoryWeight"",""+"",I182=""MoveSpeed"",""%"",REGEXMATCH(I182,""ElementAddItemDrop_""),""%"",I182=""Logging"","&amp;"""+"",I182=""Mining"",""+"",I182=""Maxhp"",""%"",REGEXMATCH(I182,""TemperatureResist_""),""+"",REGEXMATCH(I182,""ElementResist_""),""%"",REGEXMATCH(I182,""TemperatureInvalid_""),""bool"",REGEXMATCH(I182,""BodyPartsWeakDamage""),""%"",REGEXMATCH(I182,""Ele"&amp;"mentBoost_""),""%"",AND(REGEXMATCH(B182,""GiveA""),REGEXMATCH(I182,""Element"")),""bool"")"),"%")</f>
        <v>%</v>
      </c>
      <c r="K182" s="6" t="n">
        <v>25</v>
      </c>
      <c r="L182" s="6" t="s">
        <v>1956</v>
      </c>
      <c r="M182" s="6"/>
      <c r="N182" s="6" t="str">
        <f aca="false">IFERROR(__xludf.dummyfunction("IFS(M182=""ShotAttack"",""%"",M182=""MeleeAttack"",""%"", M182=""Defense"",""%"",M182=""CraftSPeed"",""%"",M182=""LifeSteal"",""%"",M182=""MaxInventoryWeight"",""+"",M182=""MoveSpeed"",""%"",REGEXMATCH(M182,""ElementAddItemDrop_""),""%"",M182=""Logging"","&amp;"""+"",M182=""Mining"",""+"",M182=""Maxhp"",""%"",REGEXMATCH(M182,""TemperatureResist_""),""+"",REGEXMATCH(M182,""ElementResist_""),""%"",REGEXMATCH(M182,""TemperatureInvalid_""),""bool"",REGEXMATCH(M182,""BodyPartsWeakDamage""),""%"",REGEXMATCH(M182,""Ele"&amp;"mentBoost_""),""%"",AND(REGEXMATCH(F182,""GiveA""),REGEXMATCH(M182,""Element"")),""bool"")"),"#N/A")</f>
        <v>#N/A</v>
      </c>
      <c r="O182" s="6" t="n">
        <v>0</v>
      </c>
      <c r="P182" s="6"/>
      <c r="Q182" s="6"/>
      <c r="R182" s="6" t="str">
        <f aca="false">IFERROR(__xludf.dummyfunction("IFS(Q182=""ShotAttack"",""%"",Q182=""MeleeAttack"",""%"", Q182=""Defense"",""%"",Q182=""CraftSPeed"",""%"",Q182=""LifeSteal"",""%"",Q182=""MaxInventoryWeight"",""+"",Q182=""MoveSpeed"",""%"",REGEXMATCH(Q182,""ElementAddItemDrop_""),""%"",Q182=""Logging"","&amp;"""+"",Q182=""Mining"",""+"",Q182=""Maxhp"",""%"",REGEXMATCH(Q182,""TemperatureResist_""),""+"",REGEXMATCH(Q182,""ElementResist_""),""%"",REGEXMATCH(Q182,""TemperatureInvalid_""),""bool"",REGEXMATCH(Q182,""BodyPartsWeakDamage""),""%"",REGEXMATCH(Q182,""Ele"&amp;"mentBoost_""),""%"",AND(REGEXMATCH(J182,""GiveA""),REGEXMATCH(Q182,""Element"")),""bool"")"),"#N/A")</f>
        <v>#N/A</v>
      </c>
      <c r="S182" s="6" t="n">
        <v>0</v>
      </c>
      <c r="T182" s="6"/>
      <c r="U182" s="319" t="b">
        <f aca="false">FALSE()</f>
        <v>0</v>
      </c>
      <c r="V182" s="319" t="b">
        <f aca="false">FALSE()</f>
        <v>0</v>
      </c>
      <c r="W182" s="319" t="b">
        <f aca="false">FALSE()</f>
        <v>0</v>
      </c>
      <c r="X182" s="319" t="b">
        <f aca="false">FALSE()</f>
        <v>0</v>
      </c>
      <c r="Y182" s="319" t="b">
        <f aca="false">FALSE()</f>
        <v>0</v>
      </c>
      <c r="Z182" s="319" t="b">
        <f aca="false">TRUE()</f>
        <v>1</v>
      </c>
      <c r="AA182" s="319" t="b">
        <f aca="false">FALSE()</f>
        <v>0</v>
      </c>
      <c r="AB182" s="319" t="b">
        <f aca="false">FALSE()</f>
        <v>0</v>
      </c>
      <c r="AC182" s="319" t="b">
        <f aca="false">FALSE()</f>
        <v>0</v>
      </c>
      <c r="AD182" s="319" t="b">
        <f aca="false">FALSE()</f>
        <v>0</v>
      </c>
      <c r="AE182" s="319" t="b">
        <f aca="false">FALSE()</f>
        <v>0</v>
      </c>
      <c r="AF182" s="319" t="b">
        <f aca="false">FALSE()</f>
        <v>0</v>
      </c>
      <c r="AG182" s="6" t="s">
        <v>182</v>
      </c>
      <c r="AH182" s="6" t="s">
        <v>182</v>
      </c>
    </row>
    <row r="183" customFormat="false" ht="15.75" hidden="false" customHeight="false" outlineLevel="0" collapsed="false">
      <c r="A183" s="3" t="s">
        <v>2178</v>
      </c>
      <c r="B183" s="6" t="s">
        <v>2179</v>
      </c>
      <c r="C183" s="3"/>
      <c r="D183" s="6" t="str">
        <f aca="false">I183   &amp; IF(ISBLANK(M183),, ". "&amp; M183 &amp; IF(ISBLANK(Q183),, ". "&amp; Q183))</f>
        <v>ElementResist_Leaf</v>
      </c>
      <c r="E183" s="6" t="str">
        <f aca="false">I183  &amp;": # on "&amp; L183  &amp; IF(ISBLANK(M183),, ". "&amp; M183 &amp;": # on "&amp; P183 &amp; IF(ISBLANK(Q183),, ". "&amp; Q183 &amp;": # on "&amp; T183))</f>
        <v>ElementResist_Leaf: # on Self</v>
      </c>
      <c r="F183" s="6" t="str">
        <f aca="false">IF(U183,"active pal",)  &amp; IF(V183,"working",) &amp; IF(W183,"mounted",) &amp; IF(Y183,"in party (buff)",)  &amp; IF(Z183,"always",)</f>
        <v>always</v>
      </c>
      <c r="G183" s="6" t="n">
        <v>2</v>
      </c>
      <c r="H183" s="6" t="s">
        <v>182</v>
      </c>
      <c r="I183" s="6" t="s">
        <v>2157</v>
      </c>
      <c r="J183" s="6" t="str">
        <f aca="false">IFERROR(__xludf.dummyfunction("IFS(I183=""ShotAttack"",""%"",I183=""MeleeAttack"",""%"", I183=""Defense"",""%"",I183=""CraftSPeed"",""%"",I183=""LifeSteal"",""%"",I183=""MaxInventoryWeight"",""+"",I183=""MoveSpeed"",""%"",REGEXMATCH(I183,""ElementAddItemDrop_""),""%"",I183=""Logging"","&amp;"""+"",I183=""Mining"",""+"",I183=""Maxhp"",""%"",REGEXMATCH(I183,""TemperatureResist_""),""+"",REGEXMATCH(I183,""ElementResist_""),""%"",REGEXMATCH(I183,""TemperatureInvalid_""),""bool"",REGEXMATCH(I183,""BodyPartsWeakDamage""),""%"",REGEXMATCH(I183,""Ele"&amp;"mentBoost_""),""%"",AND(REGEXMATCH(B183,""GiveA""),REGEXMATCH(I183,""Element"")),""bool"")"),"%")</f>
        <v>%</v>
      </c>
      <c r="K183" s="6" t="n">
        <v>25</v>
      </c>
      <c r="L183" s="6" t="s">
        <v>1956</v>
      </c>
      <c r="M183" s="6"/>
      <c r="N183" s="6" t="str">
        <f aca="false">IFERROR(__xludf.dummyfunction("IFS(M183=""ShotAttack"",""%"",M183=""MeleeAttack"",""%"", M183=""Defense"",""%"",M183=""CraftSPeed"",""%"",M183=""LifeSteal"",""%"",M183=""MaxInventoryWeight"",""+"",M183=""MoveSpeed"",""%"",REGEXMATCH(M183,""ElementAddItemDrop_""),""%"",M183=""Logging"","&amp;"""+"",M183=""Mining"",""+"",M183=""Maxhp"",""%"",REGEXMATCH(M183,""TemperatureResist_""),""+"",REGEXMATCH(M183,""ElementResist_""),""%"",REGEXMATCH(M183,""TemperatureInvalid_""),""bool"",REGEXMATCH(M183,""BodyPartsWeakDamage""),""%"",REGEXMATCH(M183,""Ele"&amp;"mentBoost_""),""%"",AND(REGEXMATCH(F183,""GiveA""),REGEXMATCH(M183,""Element"")),""bool"")"),"#N/A")</f>
        <v>#N/A</v>
      </c>
      <c r="O183" s="6" t="n">
        <v>0</v>
      </c>
      <c r="P183" s="6"/>
      <c r="Q183" s="6"/>
      <c r="R183" s="6" t="str">
        <f aca="false">IFERROR(__xludf.dummyfunction("IFS(Q183=""ShotAttack"",""%"",Q183=""MeleeAttack"",""%"", Q183=""Defense"",""%"",Q183=""CraftSPeed"",""%"",Q183=""LifeSteal"",""%"",Q183=""MaxInventoryWeight"",""+"",Q183=""MoveSpeed"",""%"",REGEXMATCH(Q183,""ElementAddItemDrop_""),""%"",Q183=""Logging"","&amp;"""+"",Q183=""Mining"",""+"",Q183=""Maxhp"",""%"",REGEXMATCH(Q183,""TemperatureResist_""),""+"",REGEXMATCH(Q183,""ElementResist_""),""%"",REGEXMATCH(Q183,""TemperatureInvalid_""),""bool"",REGEXMATCH(Q183,""BodyPartsWeakDamage""),""%"",REGEXMATCH(Q183,""Ele"&amp;"mentBoost_""),""%"",AND(REGEXMATCH(J183,""GiveA""),REGEXMATCH(Q183,""Element"")),""bool"")"),"#N/A")</f>
        <v>#N/A</v>
      </c>
      <c r="S183" s="6" t="n">
        <v>0</v>
      </c>
      <c r="T183" s="6"/>
      <c r="U183" s="319" t="b">
        <f aca="false">FALSE()</f>
        <v>0</v>
      </c>
      <c r="V183" s="319" t="b">
        <f aca="false">FALSE()</f>
        <v>0</v>
      </c>
      <c r="W183" s="319" t="b">
        <f aca="false">FALSE()</f>
        <v>0</v>
      </c>
      <c r="X183" s="319" t="b">
        <f aca="false">FALSE()</f>
        <v>0</v>
      </c>
      <c r="Y183" s="319" t="b">
        <f aca="false">FALSE()</f>
        <v>0</v>
      </c>
      <c r="Z183" s="319" t="b">
        <f aca="false">TRUE()</f>
        <v>1</v>
      </c>
      <c r="AA183" s="319" t="b">
        <f aca="false">FALSE()</f>
        <v>0</v>
      </c>
      <c r="AB183" s="319" t="b">
        <f aca="false">FALSE()</f>
        <v>0</v>
      </c>
      <c r="AC183" s="319" t="b">
        <f aca="false">FALSE()</f>
        <v>0</v>
      </c>
      <c r="AD183" s="319" t="b">
        <f aca="false">FALSE()</f>
        <v>0</v>
      </c>
      <c r="AE183" s="319" t="b">
        <f aca="false">FALSE()</f>
        <v>0</v>
      </c>
      <c r="AF183" s="319" t="b">
        <f aca="false">FALSE()</f>
        <v>0</v>
      </c>
      <c r="AG183" s="6" t="s">
        <v>182</v>
      </c>
      <c r="AH183" s="6" t="s">
        <v>182</v>
      </c>
    </row>
    <row r="184" customFormat="false" ht="15.75" hidden="false" customHeight="false" outlineLevel="0" collapsed="false">
      <c r="A184" s="3" t="s">
        <v>2180</v>
      </c>
      <c r="B184" s="6" t="s">
        <v>2181</v>
      </c>
      <c r="C184" s="3"/>
      <c r="D184" s="6" t="str">
        <f aca="false">I184   &amp; IF(ISBLANK(M184),, ". "&amp; M184 &amp; IF(ISBLANK(Q184),, ". "&amp; Q184))</f>
        <v>ElementResist_Ice</v>
      </c>
      <c r="E184" s="6" t="str">
        <f aca="false">I184  &amp;": # on "&amp; L184  &amp; IF(ISBLANK(M184),, ". "&amp; M184 &amp;": # on "&amp; P184 &amp; IF(ISBLANK(Q184),, ". "&amp; Q184 &amp;": # on "&amp; T184))</f>
        <v>ElementResist_Ice: # on Self</v>
      </c>
      <c r="F184" s="6" t="str">
        <f aca="false">IF(U184,"active pal",)  &amp; IF(V184,"working",) &amp; IF(W184,"mounted",) &amp; IF(Y184,"in party (buff)",)  &amp; IF(Z184,"always",)</f>
        <v>always</v>
      </c>
      <c r="G184" s="6" t="n">
        <v>2</v>
      </c>
      <c r="H184" s="6" t="s">
        <v>182</v>
      </c>
      <c r="I184" s="6" t="s">
        <v>2160</v>
      </c>
      <c r="J184" s="6" t="str">
        <f aca="false">IFERROR(__xludf.dummyfunction("IFS(I184=""ShotAttack"",""%"",I184=""MeleeAttack"",""%"", I184=""Defense"",""%"",I184=""CraftSPeed"",""%"",I184=""LifeSteal"",""%"",I184=""MaxInventoryWeight"",""+"",I184=""MoveSpeed"",""%"",REGEXMATCH(I184,""ElementAddItemDrop_""),""%"",I184=""Logging"","&amp;"""+"",I184=""Mining"",""+"",I184=""Maxhp"",""%"",REGEXMATCH(I184,""TemperatureResist_""),""+"",REGEXMATCH(I184,""ElementResist_""),""%"",REGEXMATCH(I184,""TemperatureInvalid_""),""bool"",REGEXMATCH(I184,""BodyPartsWeakDamage""),""%"",REGEXMATCH(I184,""Ele"&amp;"mentBoost_""),""%"",AND(REGEXMATCH(B184,""GiveA""),REGEXMATCH(I184,""Element"")),""bool"")"),"%")</f>
        <v>%</v>
      </c>
      <c r="K184" s="6" t="n">
        <v>25</v>
      </c>
      <c r="L184" s="6" t="s">
        <v>1956</v>
      </c>
      <c r="M184" s="6"/>
      <c r="N184" s="6" t="str">
        <f aca="false">IFERROR(__xludf.dummyfunction("IFS(M184=""ShotAttack"",""%"",M184=""MeleeAttack"",""%"", M184=""Defense"",""%"",M184=""CraftSPeed"",""%"",M184=""LifeSteal"",""%"",M184=""MaxInventoryWeight"",""+"",M184=""MoveSpeed"",""%"",REGEXMATCH(M184,""ElementAddItemDrop_""),""%"",M184=""Logging"","&amp;"""+"",M184=""Mining"",""+"",M184=""Maxhp"",""%"",REGEXMATCH(M184,""TemperatureResist_""),""+"",REGEXMATCH(M184,""ElementResist_""),""%"",REGEXMATCH(M184,""TemperatureInvalid_""),""bool"",REGEXMATCH(M184,""BodyPartsWeakDamage""),""%"",REGEXMATCH(M184,""Ele"&amp;"mentBoost_""),""%"",AND(REGEXMATCH(F184,""GiveA""),REGEXMATCH(M184,""Element"")),""bool"")"),"#N/A")</f>
        <v>#N/A</v>
      </c>
      <c r="O184" s="6" t="n">
        <v>0</v>
      </c>
      <c r="P184" s="6"/>
      <c r="Q184" s="6"/>
      <c r="R184" s="6" t="str">
        <f aca="false">IFERROR(__xludf.dummyfunction("IFS(Q184=""ShotAttack"",""%"",Q184=""MeleeAttack"",""%"", Q184=""Defense"",""%"",Q184=""CraftSPeed"",""%"",Q184=""LifeSteal"",""%"",Q184=""MaxInventoryWeight"",""+"",Q184=""MoveSpeed"",""%"",REGEXMATCH(Q184,""ElementAddItemDrop_""),""%"",Q184=""Logging"","&amp;"""+"",Q184=""Mining"",""+"",Q184=""Maxhp"",""%"",REGEXMATCH(Q184,""TemperatureResist_""),""+"",REGEXMATCH(Q184,""ElementResist_""),""%"",REGEXMATCH(Q184,""TemperatureInvalid_""),""bool"",REGEXMATCH(Q184,""BodyPartsWeakDamage""),""%"",REGEXMATCH(Q184,""Ele"&amp;"mentBoost_""),""%"",AND(REGEXMATCH(J184,""GiveA""),REGEXMATCH(Q184,""Element"")),""bool"")"),"#N/A")</f>
        <v>#N/A</v>
      </c>
      <c r="S184" s="6" t="n">
        <v>0</v>
      </c>
      <c r="T184" s="6"/>
      <c r="U184" s="319" t="b">
        <f aca="false">FALSE()</f>
        <v>0</v>
      </c>
      <c r="V184" s="319" t="b">
        <f aca="false">FALSE()</f>
        <v>0</v>
      </c>
      <c r="W184" s="319" t="b">
        <f aca="false">FALSE()</f>
        <v>0</v>
      </c>
      <c r="X184" s="319" t="b">
        <f aca="false">FALSE()</f>
        <v>0</v>
      </c>
      <c r="Y184" s="319" t="b">
        <f aca="false">FALSE()</f>
        <v>0</v>
      </c>
      <c r="Z184" s="319" t="b">
        <f aca="false">TRUE()</f>
        <v>1</v>
      </c>
      <c r="AA184" s="319" t="b">
        <f aca="false">FALSE()</f>
        <v>0</v>
      </c>
      <c r="AB184" s="319" t="b">
        <f aca="false">FALSE()</f>
        <v>0</v>
      </c>
      <c r="AC184" s="319" t="b">
        <f aca="false">FALSE()</f>
        <v>0</v>
      </c>
      <c r="AD184" s="319" t="b">
        <f aca="false">FALSE()</f>
        <v>0</v>
      </c>
      <c r="AE184" s="319" t="b">
        <f aca="false">FALSE()</f>
        <v>0</v>
      </c>
      <c r="AF184" s="319" t="b">
        <f aca="false">FALSE()</f>
        <v>0</v>
      </c>
      <c r="AG184" s="6" t="s">
        <v>182</v>
      </c>
      <c r="AH184" s="6" t="s">
        <v>182</v>
      </c>
    </row>
    <row r="185" customFormat="false" ht="15.75" hidden="false" customHeight="false" outlineLevel="0" collapsed="false">
      <c r="A185" s="3" t="s">
        <v>2182</v>
      </c>
      <c r="B185" s="6" t="s">
        <v>2183</v>
      </c>
      <c r="C185" s="3"/>
      <c r="D185" s="6" t="str">
        <f aca="false">I185   &amp; IF(ISBLANK(M185),, ". "&amp; M185 &amp; IF(ISBLANK(Q185),, ". "&amp; Q185))</f>
        <v>ElementResist_Earth</v>
      </c>
      <c r="E185" s="6" t="str">
        <f aca="false">I185  &amp;": # on "&amp; L185  &amp; IF(ISBLANK(M185),, ". "&amp; M185 &amp;": # on "&amp; P185 &amp; IF(ISBLANK(Q185),, ". "&amp; Q185 &amp;": # on "&amp; T185))</f>
        <v>ElementResist_Earth: # on Self</v>
      </c>
      <c r="F185" s="6" t="str">
        <f aca="false">IF(U185,"active pal",)  &amp; IF(V185,"working",) &amp; IF(W185,"mounted",) &amp; IF(Y185,"in party (buff)",)  &amp; IF(Z185,"always",)</f>
        <v>always</v>
      </c>
      <c r="G185" s="6" t="n">
        <v>2</v>
      </c>
      <c r="H185" s="6" t="s">
        <v>182</v>
      </c>
      <c r="I185" s="6" t="s">
        <v>2163</v>
      </c>
      <c r="J185" s="6" t="str">
        <f aca="false">IFERROR(__xludf.dummyfunction("IFS(I185=""ShotAttack"",""%"",I185=""MeleeAttack"",""%"", I185=""Defense"",""%"",I185=""CraftSPeed"",""%"",I185=""LifeSteal"",""%"",I185=""MaxInventoryWeight"",""+"",I185=""MoveSpeed"",""%"",REGEXMATCH(I185,""ElementAddItemDrop_""),""%"",I185=""Logging"","&amp;"""+"",I185=""Mining"",""+"",I185=""Maxhp"",""%"",REGEXMATCH(I185,""TemperatureResist_""),""+"",REGEXMATCH(I185,""ElementResist_""),""%"",REGEXMATCH(I185,""TemperatureInvalid_""),""bool"",REGEXMATCH(I185,""BodyPartsWeakDamage""),""%"",REGEXMATCH(I185,""Ele"&amp;"mentBoost_""),""%"",AND(REGEXMATCH(B185,""GiveA""),REGEXMATCH(I185,""Element"")),""bool"")"),"%")</f>
        <v>%</v>
      </c>
      <c r="K185" s="6" t="n">
        <v>25</v>
      </c>
      <c r="L185" s="6" t="s">
        <v>1956</v>
      </c>
      <c r="M185" s="6"/>
      <c r="N185" s="6" t="str">
        <f aca="false">IFERROR(__xludf.dummyfunction("IFS(M185=""ShotAttack"",""%"",M185=""MeleeAttack"",""%"", M185=""Defense"",""%"",M185=""CraftSPeed"",""%"",M185=""LifeSteal"",""%"",M185=""MaxInventoryWeight"",""+"",M185=""MoveSpeed"",""%"",REGEXMATCH(M185,""ElementAddItemDrop_""),""%"",M185=""Logging"","&amp;"""+"",M185=""Mining"",""+"",M185=""Maxhp"",""%"",REGEXMATCH(M185,""TemperatureResist_""),""+"",REGEXMATCH(M185,""ElementResist_""),""%"",REGEXMATCH(M185,""TemperatureInvalid_""),""bool"",REGEXMATCH(M185,""BodyPartsWeakDamage""),""%"",REGEXMATCH(M185,""Ele"&amp;"mentBoost_""),""%"",AND(REGEXMATCH(F185,""GiveA""),REGEXMATCH(M185,""Element"")),""bool"")"),"#N/A")</f>
        <v>#N/A</v>
      </c>
      <c r="O185" s="6" t="n">
        <v>0</v>
      </c>
      <c r="P185" s="6"/>
      <c r="Q185" s="6"/>
      <c r="R185" s="6" t="str">
        <f aca="false">IFERROR(__xludf.dummyfunction("IFS(Q185=""ShotAttack"",""%"",Q185=""MeleeAttack"",""%"", Q185=""Defense"",""%"",Q185=""CraftSPeed"",""%"",Q185=""LifeSteal"",""%"",Q185=""MaxInventoryWeight"",""+"",Q185=""MoveSpeed"",""%"",REGEXMATCH(Q185,""ElementAddItemDrop_""),""%"",Q185=""Logging"","&amp;"""+"",Q185=""Mining"",""+"",Q185=""Maxhp"",""%"",REGEXMATCH(Q185,""TemperatureResist_""),""+"",REGEXMATCH(Q185,""ElementResist_""),""%"",REGEXMATCH(Q185,""TemperatureInvalid_""),""bool"",REGEXMATCH(Q185,""BodyPartsWeakDamage""),""%"",REGEXMATCH(Q185,""Ele"&amp;"mentBoost_""),""%"",AND(REGEXMATCH(J185,""GiveA""),REGEXMATCH(Q185,""Element"")),""bool"")"),"#N/A")</f>
        <v>#N/A</v>
      </c>
      <c r="S185" s="6" t="n">
        <v>0</v>
      </c>
      <c r="T185" s="6"/>
      <c r="U185" s="319" t="b">
        <f aca="false">FALSE()</f>
        <v>0</v>
      </c>
      <c r="V185" s="319" t="b">
        <f aca="false">FALSE()</f>
        <v>0</v>
      </c>
      <c r="W185" s="319" t="b">
        <f aca="false">FALSE()</f>
        <v>0</v>
      </c>
      <c r="X185" s="319" t="b">
        <f aca="false">FALSE()</f>
        <v>0</v>
      </c>
      <c r="Y185" s="319" t="b">
        <f aca="false">FALSE()</f>
        <v>0</v>
      </c>
      <c r="Z185" s="319" t="b">
        <f aca="false">TRUE()</f>
        <v>1</v>
      </c>
      <c r="AA185" s="319" t="b">
        <f aca="false">FALSE()</f>
        <v>0</v>
      </c>
      <c r="AB185" s="319" t="b">
        <f aca="false">FALSE()</f>
        <v>0</v>
      </c>
      <c r="AC185" s="319" t="b">
        <f aca="false">FALSE()</f>
        <v>0</v>
      </c>
      <c r="AD185" s="319" t="b">
        <f aca="false">FALSE()</f>
        <v>0</v>
      </c>
      <c r="AE185" s="319" t="b">
        <f aca="false">FALSE()</f>
        <v>0</v>
      </c>
      <c r="AF185" s="319" t="b">
        <f aca="false">FALSE()</f>
        <v>0</v>
      </c>
      <c r="AG185" s="6" t="s">
        <v>182</v>
      </c>
      <c r="AH185" s="6" t="s">
        <v>182</v>
      </c>
    </row>
    <row r="186" customFormat="false" ht="15.75" hidden="false" customHeight="false" outlineLevel="0" collapsed="false">
      <c r="A186" s="3" t="s">
        <v>2184</v>
      </c>
      <c r="B186" s="6" t="s">
        <v>2185</v>
      </c>
      <c r="C186" s="3"/>
      <c r="D186" s="6" t="str">
        <f aca="false">I186   &amp; IF(ISBLANK(M186),, ". "&amp; M186 &amp; IF(ISBLANK(Q186),, ". "&amp; Q186))</f>
        <v>ElementResist_Dark</v>
      </c>
      <c r="E186" s="6" t="str">
        <f aca="false">I186  &amp;": # on "&amp; L186  &amp; IF(ISBLANK(M186),, ". "&amp; M186 &amp;": # on "&amp; P186 &amp; IF(ISBLANK(Q186),, ". "&amp; Q186 &amp;": # on "&amp; T186))</f>
        <v>ElementResist_Dark: # on Self</v>
      </c>
      <c r="F186" s="6" t="str">
        <f aca="false">IF(U186,"active pal",)  &amp; IF(V186,"working",) &amp; IF(W186,"mounted",) &amp; IF(Y186,"in party (buff)",)  &amp; IF(Z186,"always",)</f>
        <v>always</v>
      </c>
      <c r="G186" s="6" t="n">
        <v>2</v>
      </c>
      <c r="H186" s="6" t="s">
        <v>182</v>
      </c>
      <c r="I186" s="6" t="s">
        <v>2166</v>
      </c>
      <c r="J186" s="6" t="str">
        <f aca="false">IFERROR(__xludf.dummyfunction("IFS(I186=""ShotAttack"",""%"",I186=""MeleeAttack"",""%"", I186=""Defense"",""%"",I186=""CraftSPeed"",""%"",I186=""LifeSteal"",""%"",I186=""MaxInventoryWeight"",""+"",I186=""MoveSpeed"",""%"",REGEXMATCH(I186,""ElementAddItemDrop_""),""%"",I186=""Logging"","&amp;"""+"",I186=""Mining"",""+"",I186=""Maxhp"",""%"",REGEXMATCH(I186,""TemperatureResist_""),""+"",REGEXMATCH(I186,""ElementResist_""),""%"",REGEXMATCH(I186,""TemperatureInvalid_""),""bool"",REGEXMATCH(I186,""BodyPartsWeakDamage""),""%"",REGEXMATCH(I186,""Ele"&amp;"mentBoost_""),""%"",AND(REGEXMATCH(B186,""GiveA""),REGEXMATCH(I186,""Element"")),""bool"")"),"%")</f>
        <v>%</v>
      </c>
      <c r="K186" s="6" t="n">
        <v>25</v>
      </c>
      <c r="L186" s="6" t="s">
        <v>1956</v>
      </c>
      <c r="M186" s="6"/>
      <c r="N186" s="6" t="str">
        <f aca="false">IFERROR(__xludf.dummyfunction("IFS(M186=""ShotAttack"",""%"",M186=""MeleeAttack"",""%"", M186=""Defense"",""%"",M186=""CraftSPeed"",""%"",M186=""LifeSteal"",""%"",M186=""MaxInventoryWeight"",""+"",M186=""MoveSpeed"",""%"",REGEXMATCH(M186,""ElementAddItemDrop_""),""%"",M186=""Logging"","&amp;"""+"",M186=""Mining"",""+"",M186=""Maxhp"",""%"",REGEXMATCH(M186,""TemperatureResist_""),""+"",REGEXMATCH(M186,""ElementResist_""),""%"",REGEXMATCH(M186,""TemperatureInvalid_""),""bool"",REGEXMATCH(M186,""BodyPartsWeakDamage""),""%"",REGEXMATCH(M186,""Ele"&amp;"mentBoost_""),""%"",AND(REGEXMATCH(F186,""GiveA""),REGEXMATCH(M186,""Element"")),""bool"")"),"#N/A")</f>
        <v>#N/A</v>
      </c>
      <c r="O186" s="6" t="n">
        <v>0</v>
      </c>
      <c r="P186" s="6"/>
      <c r="Q186" s="6"/>
      <c r="R186" s="6" t="str">
        <f aca="false">IFERROR(__xludf.dummyfunction("IFS(Q186=""ShotAttack"",""%"",Q186=""MeleeAttack"",""%"", Q186=""Defense"",""%"",Q186=""CraftSPeed"",""%"",Q186=""LifeSteal"",""%"",Q186=""MaxInventoryWeight"",""+"",Q186=""MoveSpeed"",""%"",REGEXMATCH(Q186,""ElementAddItemDrop_""),""%"",Q186=""Logging"","&amp;"""+"",Q186=""Mining"",""+"",Q186=""Maxhp"",""%"",REGEXMATCH(Q186,""TemperatureResist_""),""+"",REGEXMATCH(Q186,""ElementResist_""),""%"",REGEXMATCH(Q186,""TemperatureInvalid_""),""bool"",REGEXMATCH(Q186,""BodyPartsWeakDamage""),""%"",REGEXMATCH(Q186,""Ele"&amp;"mentBoost_""),""%"",AND(REGEXMATCH(J186,""GiveA""),REGEXMATCH(Q186,""Element"")),""bool"")"),"#N/A")</f>
        <v>#N/A</v>
      </c>
      <c r="S186" s="6" t="n">
        <v>0</v>
      </c>
      <c r="T186" s="6"/>
      <c r="U186" s="319" t="b">
        <f aca="false">FALSE()</f>
        <v>0</v>
      </c>
      <c r="V186" s="319" t="b">
        <f aca="false">FALSE()</f>
        <v>0</v>
      </c>
      <c r="W186" s="319" t="b">
        <f aca="false">FALSE()</f>
        <v>0</v>
      </c>
      <c r="X186" s="319" t="b">
        <f aca="false">FALSE()</f>
        <v>0</v>
      </c>
      <c r="Y186" s="319" t="b">
        <f aca="false">FALSE()</f>
        <v>0</v>
      </c>
      <c r="Z186" s="319" t="b">
        <f aca="false">TRUE()</f>
        <v>1</v>
      </c>
      <c r="AA186" s="319" t="b">
        <f aca="false">FALSE()</f>
        <v>0</v>
      </c>
      <c r="AB186" s="319" t="b">
        <f aca="false">FALSE()</f>
        <v>0</v>
      </c>
      <c r="AC186" s="319" t="b">
        <f aca="false">FALSE()</f>
        <v>0</v>
      </c>
      <c r="AD186" s="319" t="b">
        <f aca="false">FALSE()</f>
        <v>0</v>
      </c>
      <c r="AE186" s="319" t="b">
        <f aca="false">FALSE()</f>
        <v>0</v>
      </c>
      <c r="AF186" s="319" t="b">
        <f aca="false">FALSE()</f>
        <v>0</v>
      </c>
      <c r="AG186" s="6" t="s">
        <v>182</v>
      </c>
      <c r="AH186" s="6" t="s">
        <v>182</v>
      </c>
    </row>
    <row r="187" customFormat="false" ht="15.75" hidden="false" customHeight="false" outlineLevel="0" collapsed="false">
      <c r="A187" s="3" t="s">
        <v>2186</v>
      </c>
      <c r="B187" s="6" t="s">
        <v>2187</v>
      </c>
      <c r="C187" s="3"/>
      <c r="D187" s="6" t="str">
        <f aca="false">I187   &amp; IF(ISBLANK(M187),, ". "&amp; M187 &amp; IF(ISBLANK(Q187),, ". "&amp; Q187))</f>
        <v>ElementResist_Dragon</v>
      </c>
      <c r="E187" s="6" t="str">
        <f aca="false">I187  &amp;": # on "&amp; L187  &amp; IF(ISBLANK(M187),, ". "&amp; M187 &amp;": # on "&amp; P187 &amp; IF(ISBLANK(Q187),, ". "&amp; Q187 &amp;": # on "&amp; T187))</f>
        <v>ElementResist_Dragon: # on Self</v>
      </c>
      <c r="F187" s="6" t="str">
        <f aca="false">IF(U187,"active pal",)  &amp; IF(V187,"working",) &amp; IF(W187,"mounted",) &amp; IF(Y187,"in party (buff)",)  &amp; IF(Z187,"always",)</f>
        <v>always</v>
      </c>
      <c r="G187" s="6" t="n">
        <v>2</v>
      </c>
      <c r="H187" s="6" t="s">
        <v>182</v>
      </c>
      <c r="I187" s="6" t="s">
        <v>2169</v>
      </c>
      <c r="J187" s="6" t="str">
        <f aca="false">IFERROR(__xludf.dummyfunction("IFS(I187=""ShotAttack"",""%"",I187=""MeleeAttack"",""%"", I187=""Defense"",""%"",I187=""CraftSPeed"",""%"",I187=""LifeSteal"",""%"",I187=""MaxInventoryWeight"",""+"",I187=""MoveSpeed"",""%"",REGEXMATCH(I187,""ElementAddItemDrop_""),""%"",I187=""Logging"","&amp;"""+"",I187=""Mining"",""+"",I187=""Maxhp"",""%"",REGEXMATCH(I187,""TemperatureResist_""),""+"",REGEXMATCH(I187,""ElementResist_""),""%"",REGEXMATCH(I187,""TemperatureInvalid_""),""bool"",REGEXMATCH(I187,""BodyPartsWeakDamage""),""%"",REGEXMATCH(I187,""Ele"&amp;"mentBoost_""),""%"",AND(REGEXMATCH(B187,""GiveA""),REGEXMATCH(I187,""Element"")),""bool"")"),"%")</f>
        <v>%</v>
      </c>
      <c r="K187" s="6" t="n">
        <v>25</v>
      </c>
      <c r="L187" s="6" t="s">
        <v>1956</v>
      </c>
      <c r="M187" s="6"/>
      <c r="N187" s="6" t="str">
        <f aca="false">IFERROR(__xludf.dummyfunction("IFS(M187=""ShotAttack"",""%"",M187=""MeleeAttack"",""%"", M187=""Defense"",""%"",M187=""CraftSPeed"",""%"",M187=""LifeSteal"",""%"",M187=""MaxInventoryWeight"",""+"",M187=""MoveSpeed"",""%"",REGEXMATCH(M187,""ElementAddItemDrop_""),""%"",M187=""Logging"","&amp;"""+"",M187=""Mining"",""+"",M187=""Maxhp"",""%"",REGEXMATCH(M187,""TemperatureResist_""),""+"",REGEXMATCH(M187,""ElementResist_""),""%"",REGEXMATCH(M187,""TemperatureInvalid_""),""bool"",REGEXMATCH(M187,""BodyPartsWeakDamage""),""%"",REGEXMATCH(M187,""Ele"&amp;"mentBoost_""),""%"",AND(REGEXMATCH(F187,""GiveA""),REGEXMATCH(M187,""Element"")),""bool"")"),"#N/A")</f>
        <v>#N/A</v>
      </c>
      <c r="O187" s="6" t="n">
        <v>0</v>
      </c>
      <c r="P187" s="6"/>
      <c r="Q187" s="6"/>
      <c r="R187" s="6" t="str">
        <f aca="false">IFERROR(__xludf.dummyfunction("IFS(Q187=""ShotAttack"",""%"",Q187=""MeleeAttack"",""%"", Q187=""Defense"",""%"",Q187=""CraftSPeed"",""%"",Q187=""LifeSteal"",""%"",Q187=""MaxInventoryWeight"",""+"",Q187=""MoveSpeed"",""%"",REGEXMATCH(Q187,""ElementAddItemDrop_""),""%"",Q187=""Logging"","&amp;"""+"",Q187=""Mining"",""+"",Q187=""Maxhp"",""%"",REGEXMATCH(Q187,""TemperatureResist_""),""+"",REGEXMATCH(Q187,""ElementResist_""),""%"",REGEXMATCH(Q187,""TemperatureInvalid_""),""bool"",REGEXMATCH(Q187,""BodyPartsWeakDamage""),""%"",REGEXMATCH(Q187,""Ele"&amp;"mentBoost_""),""%"",AND(REGEXMATCH(J187,""GiveA""),REGEXMATCH(Q187,""Element"")),""bool"")"),"#N/A")</f>
        <v>#N/A</v>
      </c>
      <c r="S187" s="6" t="n">
        <v>0</v>
      </c>
      <c r="T187" s="6"/>
      <c r="U187" s="319" t="b">
        <f aca="false">FALSE()</f>
        <v>0</v>
      </c>
      <c r="V187" s="319" t="b">
        <f aca="false">FALSE()</f>
        <v>0</v>
      </c>
      <c r="W187" s="319" t="b">
        <f aca="false">FALSE()</f>
        <v>0</v>
      </c>
      <c r="X187" s="319" t="b">
        <f aca="false">FALSE()</f>
        <v>0</v>
      </c>
      <c r="Y187" s="319" t="b">
        <f aca="false">FALSE()</f>
        <v>0</v>
      </c>
      <c r="Z187" s="319" t="b">
        <f aca="false">TRUE()</f>
        <v>1</v>
      </c>
      <c r="AA187" s="319" t="b">
        <f aca="false">FALSE()</f>
        <v>0</v>
      </c>
      <c r="AB187" s="319" t="b">
        <f aca="false">FALSE()</f>
        <v>0</v>
      </c>
      <c r="AC187" s="319" t="b">
        <f aca="false">FALSE()</f>
        <v>0</v>
      </c>
      <c r="AD187" s="319" t="b">
        <f aca="false">FALSE()</f>
        <v>0</v>
      </c>
      <c r="AE187" s="319" t="b">
        <f aca="false">FALSE()</f>
        <v>0</v>
      </c>
      <c r="AF187" s="319" t="b">
        <f aca="false">FALSE()</f>
        <v>0</v>
      </c>
      <c r="AG187" s="6" t="s">
        <v>182</v>
      </c>
      <c r="AH187" s="6" t="s">
        <v>182</v>
      </c>
    </row>
    <row r="188" customFormat="false" ht="15.75" hidden="false" customHeight="false" outlineLevel="0" collapsed="false">
      <c r="A188" s="3" t="s">
        <v>2188</v>
      </c>
      <c r="B188" s="6" t="s">
        <v>2189</v>
      </c>
      <c r="C188" s="3"/>
      <c r="D188" s="6" t="str">
        <f aca="false">I188   &amp; IF(ISBLANK(M188),, ". "&amp; M188 &amp; IF(ISBLANK(Q188),, ". "&amp; Q188))</f>
        <v>ElementResist_Normal</v>
      </c>
      <c r="E188" s="6" t="str">
        <f aca="false">I188  &amp;": # on "&amp; L188  &amp; IF(ISBLANK(M188),, ". "&amp; M188 &amp;": # on "&amp; P188 &amp; IF(ISBLANK(Q188),, ". "&amp; Q188 &amp;": # on "&amp; T188))</f>
        <v>ElementResist_Normal: # on Self</v>
      </c>
      <c r="F188" s="6" t="str">
        <f aca="false">IF(U188,"active pal",)  &amp; IF(V188,"working",) &amp; IF(W188,"mounted",) &amp; IF(Y188,"in party (buff)",)  &amp; IF(Z188,"always",)</f>
        <v>always</v>
      </c>
      <c r="G188" s="6" t="n">
        <v>3</v>
      </c>
      <c r="H188" s="6" t="s">
        <v>182</v>
      </c>
      <c r="I188" s="6" t="s">
        <v>2145</v>
      </c>
      <c r="J188" s="6" t="str">
        <f aca="false">IFERROR(__xludf.dummyfunction("IFS(I188=""ShotAttack"",""%"",I188=""MeleeAttack"",""%"", I188=""Defense"",""%"",I188=""CraftSPeed"",""%"",I188=""LifeSteal"",""%"",I188=""MaxInventoryWeight"",""+"",I188=""MoveSpeed"",""%"",REGEXMATCH(I188,""ElementAddItemDrop_""),""%"",I188=""Logging"","&amp;"""+"",I188=""Mining"",""+"",I188=""Maxhp"",""%"",REGEXMATCH(I188,""TemperatureResist_""),""+"",REGEXMATCH(I188,""ElementResist_""),""%"",REGEXMATCH(I188,""TemperatureInvalid_""),""bool"",REGEXMATCH(I188,""BodyPartsWeakDamage""),""%"",REGEXMATCH(I188,""Ele"&amp;"mentBoost_""),""%"",AND(REGEXMATCH(B188,""GiveA""),REGEXMATCH(I188,""Element"")),""bool"")"),"%")</f>
        <v>%</v>
      </c>
      <c r="K188" s="6" t="n">
        <v>35</v>
      </c>
      <c r="L188" s="6" t="s">
        <v>1956</v>
      </c>
      <c r="M188" s="6"/>
      <c r="N188" s="6" t="str">
        <f aca="false">IFERROR(__xludf.dummyfunction("IFS(M188=""ShotAttack"",""%"",M188=""MeleeAttack"",""%"", M188=""Defense"",""%"",M188=""CraftSPeed"",""%"",M188=""LifeSteal"",""%"",M188=""MaxInventoryWeight"",""+"",M188=""MoveSpeed"",""%"",REGEXMATCH(M188,""ElementAddItemDrop_""),""%"",M188=""Logging"","&amp;"""+"",M188=""Mining"",""+"",M188=""Maxhp"",""%"",REGEXMATCH(M188,""TemperatureResist_""),""+"",REGEXMATCH(M188,""ElementResist_""),""%"",REGEXMATCH(M188,""TemperatureInvalid_""),""bool"",REGEXMATCH(M188,""BodyPartsWeakDamage""),""%"",REGEXMATCH(M188,""Ele"&amp;"mentBoost_""),""%"",AND(REGEXMATCH(F188,""GiveA""),REGEXMATCH(M188,""Element"")),""bool"")"),"#N/A")</f>
        <v>#N/A</v>
      </c>
      <c r="O188" s="6" t="n">
        <v>0</v>
      </c>
      <c r="P188" s="6"/>
      <c r="Q188" s="6"/>
      <c r="R188" s="6" t="str">
        <f aca="false">IFERROR(__xludf.dummyfunction("IFS(Q188=""ShotAttack"",""%"",Q188=""MeleeAttack"",""%"", Q188=""Defense"",""%"",Q188=""CraftSPeed"",""%"",Q188=""LifeSteal"",""%"",Q188=""MaxInventoryWeight"",""+"",Q188=""MoveSpeed"",""%"",REGEXMATCH(Q188,""ElementAddItemDrop_""),""%"",Q188=""Logging"","&amp;"""+"",Q188=""Mining"",""+"",Q188=""Maxhp"",""%"",REGEXMATCH(Q188,""TemperatureResist_""),""+"",REGEXMATCH(Q188,""ElementResist_""),""%"",REGEXMATCH(Q188,""TemperatureInvalid_""),""bool"",REGEXMATCH(Q188,""BodyPartsWeakDamage""),""%"",REGEXMATCH(Q188,""Ele"&amp;"mentBoost_""),""%"",AND(REGEXMATCH(J188,""GiveA""),REGEXMATCH(Q188,""Element"")),""bool"")"),"#N/A")</f>
        <v>#N/A</v>
      </c>
      <c r="S188" s="6" t="n">
        <v>0</v>
      </c>
      <c r="T188" s="6"/>
      <c r="U188" s="319" t="b">
        <f aca="false">FALSE()</f>
        <v>0</v>
      </c>
      <c r="V188" s="319" t="b">
        <f aca="false">FALSE()</f>
        <v>0</v>
      </c>
      <c r="W188" s="319" t="b">
        <f aca="false">FALSE()</f>
        <v>0</v>
      </c>
      <c r="X188" s="319" t="b">
        <f aca="false">FALSE()</f>
        <v>0</v>
      </c>
      <c r="Y188" s="319" t="b">
        <f aca="false">FALSE()</f>
        <v>0</v>
      </c>
      <c r="Z188" s="319" t="b">
        <f aca="false">TRUE()</f>
        <v>1</v>
      </c>
      <c r="AA188" s="319" t="b">
        <f aca="false">FALSE()</f>
        <v>0</v>
      </c>
      <c r="AB188" s="319" t="b">
        <f aca="false">FALSE()</f>
        <v>0</v>
      </c>
      <c r="AC188" s="319" t="b">
        <f aca="false">FALSE()</f>
        <v>0</v>
      </c>
      <c r="AD188" s="319" t="b">
        <f aca="false">FALSE()</f>
        <v>0</v>
      </c>
      <c r="AE188" s="319" t="b">
        <f aca="false">FALSE()</f>
        <v>0</v>
      </c>
      <c r="AF188" s="319" t="b">
        <f aca="false">FALSE()</f>
        <v>0</v>
      </c>
      <c r="AG188" s="6" t="s">
        <v>182</v>
      </c>
      <c r="AH188" s="6" t="s">
        <v>182</v>
      </c>
    </row>
    <row r="189" customFormat="false" ht="15.75" hidden="false" customHeight="false" outlineLevel="0" collapsed="false">
      <c r="A189" s="3" t="s">
        <v>2190</v>
      </c>
      <c r="B189" s="6" t="s">
        <v>2191</v>
      </c>
      <c r="C189" s="3"/>
      <c r="D189" s="6" t="str">
        <f aca="false">I189   &amp; IF(ISBLANK(M189),, ". "&amp; M189 &amp; IF(ISBLANK(Q189),, ". "&amp; Q189))</f>
        <v>ElementResist_Fire</v>
      </c>
      <c r="E189" s="6" t="str">
        <f aca="false">I189  &amp;": # on "&amp; L189  &amp; IF(ISBLANK(M189),, ". "&amp; M189 &amp;": # on "&amp; P189 &amp; IF(ISBLANK(Q189),, ". "&amp; Q189 &amp;": # on "&amp; T189))</f>
        <v>ElementResist_Fire: # on Self</v>
      </c>
      <c r="F189" s="6" t="str">
        <f aca="false">IF(U189,"active pal",)  &amp; IF(V189,"working",) &amp; IF(W189,"mounted",) &amp; IF(Y189,"in party (buff)",)  &amp; IF(Z189,"always",)</f>
        <v>always</v>
      </c>
      <c r="G189" s="6" t="n">
        <v>3</v>
      </c>
      <c r="H189" s="6" t="s">
        <v>182</v>
      </c>
      <c r="I189" s="6" t="s">
        <v>2148</v>
      </c>
      <c r="J189" s="6" t="str">
        <f aca="false">IFERROR(__xludf.dummyfunction("IFS(I189=""ShotAttack"",""%"",I189=""MeleeAttack"",""%"", I189=""Defense"",""%"",I189=""CraftSPeed"",""%"",I189=""LifeSteal"",""%"",I189=""MaxInventoryWeight"",""+"",I189=""MoveSpeed"",""%"",REGEXMATCH(I189,""ElementAddItemDrop_""),""%"",I189=""Logging"","&amp;"""+"",I189=""Mining"",""+"",I189=""Maxhp"",""%"",REGEXMATCH(I189,""TemperatureResist_""),""+"",REGEXMATCH(I189,""ElementResist_""),""%"",REGEXMATCH(I189,""TemperatureInvalid_""),""bool"",REGEXMATCH(I189,""BodyPartsWeakDamage""),""%"",REGEXMATCH(I189,""Ele"&amp;"mentBoost_""),""%"",AND(REGEXMATCH(B189,""GiveA""),REGEXMATCH(I189,""Element"")),""bool"")"),"%")</f>
        <v>%</v>
      </c>
      <c r="K189" s="6" t="n">
        <v>35</v>
      </c>
      <c r="L189" s="6" t="s">
        <v>1956</v>
      </c>
      <c r="M189" s="6"/>
      <c r="N189" s="6" t="str">
        <f aca="false">IFERROR(__xludf.dummyfunction("IFS(M189=""ShotAttack"",""%"",M189=""MeleeAttack"",""%"", M189=""Defense"",""%"",M189=""CraftSPeed"",""%"",M189=""LifeSteal"",""%"",M189=""MaxInventoryWeight"",""+"",M189=""MoveSpeed"",""%"",REGEXMATCH(M189,""ElementAddItemDrop_""),""%"",M189=""Logging"","&amp;"""+"",M189=""Mining"",""+"",M189=""Maxhp"",""%"",REGEXMATCH(M189,""TemperatureResist_""),""+"",REGEXMATCH(M189,""ElementResist_""),""%"",REGEXMATCH(M189,""TemperatureInvalid_""),""bool"",REGEXMATCH(M189,""BodyPartsWeakDamage""),""%"",REGEXMATCH(M189,""Ele"&amp;"mentBoost_""),""%"",AND(REGEXMATCH(F189,""GiveA""),REGEXMATCH(M189,""Element"")),""bool"")"),"#N/A")</f>
        <v>#N/A</v>
      </c>
      <c r="O189" s="6" t="n">
        <v>0</v>
      </c>
      <c r="P189" s="6"/>
      <c r="Q189" s="6"/>
      <c r="R189" s="6" t="str">
        <f aca="false">IFERROR(__xludf.dummyfunction("IFS(Q189=""ShotAttack"",""%"",Q189=""MeleeAttack"",""%"", Q189=""Defense"",""%"",Q189=""CraftSPeed"",""%"",Q189=""LifeSteal"",""%"",Q189=""MaxInventoryWeight"",""+"",Q189=""MoveSpeed"",""%"",REGEXMATCH(Q189,""ElementAddItemDrop_""),""%"",Q189=""Logging"","&amp;"""+"",Q189=""Mining"",""+"",Q189=""Maxhp"",""%"",REGEXMATCH(Q189,""TemperatureResist_""),""+"",REGEXMATCH(Q189,""ElementResist_""),""%"",REGEXMATCH(Q189,""TemperatureInvalid_""),""bool"",REGEXMATCH(Q189,""BodyPartsWeakDamage""),""%"",REGEXMATCH(Q189,""Ele"&amp;"mentBoost_""),""%"",AND(REGEXMATCH(J189,""GiveA""),REGEXMATCH(Q189,""Element"")),""bool"")"),"#N/A")</f>
        <v>#N/A</v>
      </c>
      <c r="S189" s="6" t="n">
        <v>0</v>
      </c>
      <c r="T189" s="6"/>
      <c r="U189" s="319" t="b">
        <f aca="false">FALSE()</f>
        <v>0</v>
      </c>
      <c r="V189" s="319" t="b">
        <f aca="false">FALSE()</f>
        <v>0</v>
      </c>
      <c r="W189" s="319" t="b">
        <f aca="false">FALSE()</f>
        <v>0</v>
      </c>
      <c r="X189" s="319" t="b">
        <f aca="false">FALSE()</f>
        <v>0</v>
      </c>
      <c r="Y189" s="319" t="b">
        <f aca="false">FALSE()</f>
        <v>0</v>
      </c>
      <c r="Z189" s="319" t="b">
        <f aca="false">TRUE()</f>
        <v>1</v>
      </c>
      <c r="AA189" s="319" t="b">
        <f aca="false">FALSE()</f>
        <v>0</v>
      </c>
      <c r="AB189" s="319" t="b">
        <f aca="false">FALSE()</f>
        <v>0</v>
      </c>
      <c r="AC189" s="319" t="b">
        <f aca="false">FALSE()</f>
        <v>0</v>
      </c>
      <c r="AD189" s="319" t="b">
        <f aca="false">FALSE()</f>
        <v>0</v>
      </c>
      <c r="AE189" s="319" t="b">
        <f aca="false">FALSE()</f>
        <v>0</v>
      </c>
      <c r="AF189" s="319" t="b">
        <f aca="false">FALSE()</f>
        <v>0</v>
      </c>
      <c r="AG189" s="6" t="s">
        <v>182</v>
      </c>
      <c r="AH189" s="6" t="s">
        <v>182</v>
      </c>
    </row>
    <row r="190" customFormat="false" ht="15.75" hidden="false" customHeight="false" outlineLevel="0" collapsed="false">
      <c r="A190" s="3" t="s">
        <v>2192</v>
      </c>
      <c r="B190" s="6" t="s">
        <v>2193</v>
      </c>
      <c r="C190" s="3"/>
      <c r="D190" s="6" t="str">
        <f aca="false">I190   &amp; IF(ISBLANK(M190),, ". "&amp; M190 &amp; IF(ISBLANK(Q190),, ". "&amp; Q190))</f>
        <v>ElementResist_Water</v>
      </c>
      <c r="E190" s="6" t="str">
        <f aca="false">I190  &amp;": # on "&amp; L190  &amp; IF(ISBLANK(M190),, ". "&amp; M190 &amp;": # on "&amp; P190 &amp; IF(ISBLANK(Q190),, ". "&amp; Q190 &amp;": # on "&amp; T190))</f>
        <v>ElementResist_Water: # on Self</v>
      </c>
      <c r="F190" s="6" t="str">
        <f aca="false">IF(U190,"active pal",)  &amp; IF(V190,"working",) &amp; IF(W190,"mounted",) &amp; IF(Y190,"in party (buff)",)  &amp; IF(Z190,"always",)</f>
        <v>always</v>
      </c>
      <c r="G190" s="6" t="n">
        <v>3</v>
      </c>
      <c r="H190" s="6" t="s">
        <v>182</v>
      </c>
      <c r="I190" s="6" t="s">
        <v>2151</v>
      </c>
      <c r="J190" s="6" t="str">
        <f aca="false">IFERROR(__xludf.dummyfunction("IFS(I190=""ShotAttack"",""%"",I190=""MeleeAttack"",""%"", I190=""Defense"",""%"",I190=""CraftSPeed"",""%"",I190=""LifeSteal"",""%"",I190=""MaxInventoryWeight"",""+"",I190=""MoveSpeed"",""%"",REGEXMATCH(I190,""ElementAddItemDrop_""),""%"",I190=""Logging"","&amp;"""+"",I190=""Mining"",""+"",I190=""Maxhp"",""%"",REGEXMATCH(I190,""TemperatureResist_""),""+"",REGEXMATCH(I190,""ElementResist_""),""%"",REGEXMATCH(I190,""TemperatureInvalid_""),""bool"",REGEXMATCH(I190,""BodyPartsWeakDamage""),""%"",REGEXMATCH(I190,""Ele"&amp;"mentBoost_""),""%"",AND(REGEXMATCH(B190,""GiveA""),REGEXMATCH(I190,""Element"")),""bool"")"),"%")</f>
        <v>%</v>
      </c>
      <c r="K190" s="6" t="n">
        <v>35</v>
      </c>
      <c r="L190" s="6" t="s">
        <v>1956</v>
      </c>
      <c r="M190" s="6"/>
      <c r="N190" s="6" t="str">
        <f aca="false">IFERROR(__xludf.dummyfunction("IFS(M190=""ShotAttack"",""%"",M190=""MeleeAttack"",""%"", M190=""Defense"",""%"",M190=""CraftSPeed"",""%"",M190=""LifeSteal"",""%"",M190=""MaxInventoryWeight"",""+"",M190=""MoveSpeed"",""%"",REGEXMATCH(M190,""ElementAddItemDrop_""),""%"",M190=""Logging"","&amp;"""+"",M190=""Mining"",""+"",M190=""Maxhp"",""%"",REGEXMATCH(M190,""TemperatureResist_""),""+"",REGEXMATCH(M190,""ElementResist_""),""%"",REGEXMATCH(M190,""TemperatureInvalid_""),""bool"",REGEXMATCH(M190,""BodyPartsWeakDamage""),""%"",REGEXMATCH(M190,""Ele"&amp;"mentBoost_""),""%"",AND(REGEXMATCH(F190,""GiveA""),REGEXMATCH(M190,""Element"")),""bool"")"),"#N/A")</f>
        <v>#N/A</v>
      </c>
      <c r="O190" s="6" t="n">
        <v>0</v>
      </c>
      <c r="P190" s="6"/>
      <c r="Q190" s="6"/>
      <c r="R190" s="6" t="str">
        <f aca="false">IFERROR(__xludf.dummyfunction("IFS(Q190=""ShotAttack"",""%"",Q190=""MeleeAttack"",""%"", Q190=""Defense"",""%"",Q190=""CraftSPeed"",""%"",Q190=""LifeSteal"",""%"",Q190=""MaxInventoryWeight"",""+"",Q190=""MoveSpeed"",""%"",REGEXMATCH(Q190,""ElementAddItemDrop_""),""%"",Q190=""Logging"","&amp;"""+"",Q190=""Mining"",""+"",Q190=""Maxhp"",""%"",REGEXMATCH(Q190,""TemperatureResist_""),""+"",REGEXMATCH(Q190,""ElementResist_""),""%"",REGEXMATCH(Q190,""TemperatureInvalid_""),""bool"",REGEXMATCH(Q190,""BodyPartsWeakDamage""),""%"",REGEXMATCH(Q190,""Ele"&amp;"mentBoost_""),""%"",AND(REGEXMATCH(J190,""GiveA""),REGEXMATCH(Q190,""Element"")),""bool"")"),"#N/A")</f>
        <v>#N/A</v>
      </c>
      <c r="S190" s="6" t="n">
        <v>0</v>
      </c>
      <c r="T190" s="6"/>
      <c r="U190" s="319" t="b">
        <f aca="false">FALSE()</f>
        <v>0</v>
      </c>
      <c r="V190" s="319" t="b">
        <f aca="false">FALSE()</f>
        <v>0</v>
      </c>
      <c r="W190" s="319" t="b">
        <f aca="false">FALSE()</f>
        <v>0</v>
      </c>
      <c r="X190" s="319" t="b">
        <f aca="false">FALSE()</f>
        <v>0</v>
      </c>
      <c r="Y190" s="319" t="b">
        <f aca="false">FALSE()</f>
        <v>0</v>
      </c>
      <c r="Z190" s="319" t="b">
        <f aca="false">TRUE()</f>
        <v>1</v>
      </c>
      <c r="AA190" s="319" t="b">
        <f aca="false">FALSE()</f>
        <v>0</v>
      </c>
      <c r="AB190" s="319" t="b">
        <f aca="false">FALSE()</f>
        <v>0</v>
      </c>
      <c r="AC190" s="319" t="b">
        <f aca="false">FALSE()</f>
        <v>0</v>
      </c>
      <c r="AD190" s="319" t="b">
        <f aca="false">FALSE()</f>
        <v>0</v>
      </c>
      <c r="AE190" s="319" t="b">
        <f aca="false">FALSE()</f>
        <v>0</v>
      </c>
      <c r="AF190" s="319" t="b">
        <f aca="false">FALSE()</f>
        <v>0</v>
      </c>
      <c r="AG190" s="6" t="s">
        <v>182</v>
      </c>
      <c r="AH190" s="6" t="s">
        <v>182</v>
      </c>
    </row>
    <row r="191" customFormat="false" ht="15.75" hidden="false" customHeight="false" outlineLevel="0" collapsed="false">
      <c r="A191" s="3" t="s">
        <v>2194</v>
      </c>
      <c r="B191" s="6" t="s">
        <v>2195</v>
      </c>
      <c r="C191" s="3"/>
      <c r="D191" s="6" t="str">
        <f aca="false">I191   &amp; IF(ISBLANK(M191),, ". "&amp; M191 &amp; IF(ISBLANK(Q191),, ". "&amp; Q191))</f>
        <v>ElementResist_Electricity</v>
      </c>
      <c r="E191" s="6" t="str">
        <f aca="false">I191  &amp;": # on "&amp; L191  &amp; IF(ISBLANK(M191),, ". "&amp; M191 &amp;": # on "&amp; P191 &amp; IF(ISBLANK(Q191),, ". "&amp; Q191 &amp;": # on "&amp; T191))</f>
        <v>ElementResist_Electricity: # on Self</v>
      </c>
      <c r="F191" s="6" t="str">
        <f aca="false">IF(U191,"active pal",)  &amp; IF(V191,"working",) &amp; IF(W191,"mounted",) &amp; IF(Y191,"in party (buff)",)  &amp; IF(Z191,"always",)</f>
        <v>always</v>
      </c>
      <c r="G191" s="6" t="n">
        <v>3</v>
      </c>
      <c r="H191" s="6" t="s">
        <v>182</v>
      </c>
      <c r="I191" s="6" t="s">
        <v>2154</v>
      </c>
      <c r="J191" s="6" t="str">
        <f aca="false">IFERROR(__xludf.dummyfunction("IFS(I191=""ShotAttack"",""%"",I191=""MeleeAttack"",""%"", I191=""Defense"",""%"",I191=""CraftSPeed"",""%"",I191=""LifeSteal"",""%"",I191=""MaxInventoryWeight"",""+"",I191=""MoveSpeed"",""%"",REGEXMATCH(I191,""ElementAddItemDrop_""),""%"",I191=""Logging"","&amp;"""+"",I191=""Mining"",""+"",I191=""Maxhp"",""%"",REGEXMATCH(I191,""TemperatureResist_""),""+"",REGEXMATCH(I191,""ElementResist_""),""%"",REGEXMATCH(I191,""TemperatureInvalid_""),""bool"",REGEXMATCH(I191,""BodyPartsWeakDamage""),""%"",REGEXMATCH(I191,""Ele"&amp;"mentBoost_""),""%"",AND(REGEXMATCH(B191,""GiveA""),REGEXMATCH(I191,""Element"")),""bool"")"),"%")</f>
        <v>%</v>
      </c>
      <c r="K191" s="6" t="n">
        <v>35</v>
      </c>
      <c r="L191" s="6" t="s">
        <v>1956</v>
      </c>
      <c r="M191" s="6"/>
      <c r="N191" s="6" t="str">
        <f aca="false">IFERROR(__xludf.dummyfunction("IFS(M191=""ShotAttack"",""%"",M191=""MeleeAttack"",""%"", M191=""Defense"",""%"",M191=""CraftSPeed"",""%"",M191=""LifeSteal"",""%"",M191=""MaxInventoryWeight"",""+"",M191=""MoveSpeed"",""%"",REGEXMATCH(M191,""ElementAddItemDrop_""),""%"",M191=""Logging"","&amp;"""+"",M191=""Mining"",""+"",M191=""Maxhp"",""%"",REGEXMATCH(M191,""TemperatureResist_""),""+"",REGEXMATCH(M191,""ElementResist_""),""%"",REGEXMATCH(M191,""TemperatureInvalid_""),""bool"",REGEXMATCH(M191,""BodyPartsWeakDamage""),""%"",REGEXMATCH(M191,""Ele"&amp;"mentBoost_""),""%"",AND(REGEXMATCH(F191,""GiveA""),REGEXMATCH(M191,""Element"")),""bool"")"),"#N/A")</f>
        <v>#N/A</v>
      </c>
      <c r="O191" s="6" t="n">
        <v>0</v>
      </c>
      <c r="P191" s="6"/>
      <c r="Q191" s="6"/>
      <c r="R191" s="6" t="str">
        <f aca="false">IFERROR(__xludf.dummyfunction("IFS(Q191=""ShotAttack"",""%"",Q191=""MeleeAttack"",""%"", Q191=""Defense"",""%"",Q191=""CraftSPeed"",""%"",Q191=""LifeSteal"",""%"",Q191=""MaxInventoryWeight"",""+"",Q191=""MoveSpeed"",""%"",REGEXMATCH(Q191,""ElementAddItemDrop_""),""%"",Q191=""Logging"","&amp;"""+"",Q191=""Mining"",""+"",Q191=""Maxhp"",""%"",REGEXMATCH(Q191,""TemperatureResist_""),""+"",REGEXMATCH(Q191,""ElementResist_""),""%"",REGEXMATCH(Q191,""TemperatureInvalid_""),""bool"",REGEXMATCH(Q191,""BodyPartsWeakDamage""),""%"",REGEXMATCH(Q191,""Ele"&amp;"mentBoost_""),""%"",AND(REGEXMATCH(J191,""GiveA""),REGEXMATCH(Q191,""Element"")),""bool"")"),"#N/A")</f>
        <v>#N/A</v>
      </c>
      <c r="S191" s="6" t="n">
        <v>0</v>
      </c>
      <c r="T191" s="6"/>
      <c r="U191" s="319" t="b">
        <f aca="false">FALSE()</f>
        <v>0</v>
      </c>
      <c r="V191" s="319" t="b">
        <f aca="false">FALSE()</f>
        <v>0</v>
      </c>
      <c r="W191" s="319" t="b">
        <f aca="false">FALSE()</f>
        <v>0</v>
      </c>
      <c r="X191" s="319" t="b">
        <f aca="false">FALSE()</f>
        <v>0</v>
      </c>
      <c r="Y191" s="319" t="b">
        <f aca="false">FALSE()</f>
        <v>0</v>
      </c>
      <c r="Z191" s="319" t="b">
        <f aca="false">TRUE()</f>
        <v>1</v>
      </c>
      <c r="AA191" s="319" t="b">
        <f aca="false">FALSE()</f>
        <v>0</v>
      </c>
      <c r="AB191" s="319" t="b">
        <f aca="false">FALSE()</f>
        <v>0</v>
      </c>
      <c r="AC191" s="319" t="b">
        <f aca="false">FALSE()</f>
        <v>0</v>
      </c>
      <c r="AD191" s="319" t="b">
        <f aca="false">FALSE()</f>
        <v>0</v>
      </c>
      <c r="AE191" s="319" t="b">
        <f aca="false">FALSE()</f>
        <v>0</v>
      </c>
      <c r="AF191" s="319" t="b">
        <f aca="false">FALSE()</f>
        <v>0</v>
      </c>
      <c r="AG191" s="6" t="s">
        <v>182</v>
      </c>
      <c r="AH191" s="6" t="s">
        <v>182</v>
      </c>
    </row>
    <row r="192" customFormat="false" ht="15.75" hidden="false" customHeight="false" outlineLevel="0" collapsed="false">
      <c r="A192" s="3" t="s">
        <v>2196</v>
      </c>
      <c r="B192" s="6" t="s">
        <v>2197</v>
      </c>
      <c r="C192" s="3"/>
      <c r="D192" s="6" t="str">
        <f aca="false">I192   &amp; IF(ISBLANK(M192),, ". "&amp; M192 &amp; IF(ISBLANK(Q192),, ". "&amp; Q192))</f>
        <v>ElementResist_Leaf</v>
      </c>
      <c r="E192" s="6" t="str">
        <f aca="false">I192  &amp;": # on "&amp; L192  &amp; IF(ISBLANK(M192),, ". "&amp; M192 &amp;": # on "&amp; P192 &amp; IF(ISBLANK(Q192),, ". "&amp; Q192 &amp;": # on "&amp; T192))</f>
        <v>ElementResist_Leaf: # on Self</v>
      </c>
      <c r="F192" s="6" t="str">
        <f aca="false">IF(U192,"active pal",)  &amp; IF(V192,"working",) &amp; IF(W192,"mounted",) &amp; IF(Y192,"in party (buff)",)  &amp; IF(Z192,"always",)</f>
        <v>always</v>
      </c>
      <c r="G192" s="6" t="n">
        <v>3</v>
      </c>
      <c r="H192" s="6" t="s">
        <v>182</v>
      </c>
      <c r="I192" s="6" t="s">
        <v>2157</v>
      </c>
      <c r="J192" s="6" t="str">
        <f aca="false">IFERROR(__xludf.dummyfunction("IFS(I192=""ShotAttack"",""%"",I192=""MeleeAttack"",""%"", I192=""Defense"",""%"",I192=""CraftSPeed"",""%"",I192=""LifeSteal"",""%"",I192=""MaxInventoryWeight"",""+"",I192=""MoveSpeed"",""%"",REGEXMATCH(I192,""ElementAddItemDrop_""),""%"",I192=""Logging"","&amp;"""+"",I192=""Mining"",""+"",I192=""Maxhp"",""%"",REGEXMATCH(I192,""TemperatureResist_""),""+"",REGEXMATCH(I192,""ElementResist_""),""%"",REGEXMATCH(I192,""TemperatureInvalid_""),""bool"",REGEXMATCH(I192,""BodyPartsWeakDamage""),""%"",REGEXMATCH(I192,""Ele"&amp;"mentBoost_""),""%"",AND(REGEXMATCH(B192,""GiveA""),REGEXMATCH(I192,""Element"")),""bool"")"),"%")</f>
        <v>%</v>
      </c>
      <c r="K192" s="6" t="n">
        <v>35</v>
      </c>
      <c r="L192" s="6" t="s">
        <v>1956</v>
      </c>
      <c r="M192" s="6"/>
      <c r="N192" s="6" t="str">
        <f aca="false">IFERROR(__xludf.dummyfunction("IFS(M192=""ShotAttack"",""%"",M192=""MeleeAttack"",""%"", M192=""Defense"",""%"",M192=""CraftSPeed"",""%"",M192=""LifeSteal"",""%"",M192=""MaxInventoryWeight"",""+"",M192=""MoveSpeed"",""%"",REGEXMATCH(M192,""ElementAddItemDrop_""),""%"",M192=""Logging"","&amp;"""+"",M192=""Mining"",""+"",M192=""Maxhp"",""%"",REGEXMATCH(M192,""TemperatureResist_""),""+"",REGEXMATCH(M192,""ElementResist_""),""%"",REGEXMATCH(M192,""TemperatureInvalid_""),""bool"",REGEXMATCH(M192,""BodyPartsWeakDamage""),""%"",REGEXMATCH(M192,""Ele"&amp;"mentBoost_""),""%"",AND(REGEXMATCH(F192,""GiveA""),REGEXMATCH(M192,""Element"")),""bool"")"),"#N/A")</f>
        <v>#N/A</v>
      </c>
      <c r="O192" s="6" t="n">
        <v>0</v>
      </c>
      <c r="P192" s="6"/>
      <c r="Q192" s="6"/>
      <c r="R192" s="6" t="str">
        <f aca="false">IFERROR(__xludf.dummyfunction("IFS(Q192=""ShotAttack"",""%"",Q192=""MeleeAttack"",""%"", Q192=""Defense"",""%"",Q192=""CraftSPeed"",""%"",Q192=""LifeSteal"",""%"",Q192=""MaxInventoryWeight"",""+"",Q192=""MoveSpeed"",""%"",REGEXMATCH(Q192,""ElementAddItemDrop_""),""%"",Q192=""Logging"","&amp;"""+"",Q192=""Mining"",""+"",Q192=""Maxhp"",""%"",REGEXMATCH(Q192,""TemperatureResist_""),""+"",REGEXMATCH(Q192,""ElementResist_""),""%"",REGEXMATCH(Q192,""TemperatureInvalid_""),""bool"",REGEXMATCH(Q192,""BodyPartsWeakDamage""),""%"",REGEXMATCH(Q192,""Ele"&amp;"mentBoost_""),""%"",AND(REGEXMATCH(J192,""GiveA""),REGEXMATCH(Q192,""Element"")),""bool"")"),"#N/A")</f>
        <v>#N/A</v>
      </c>
      <c r="S192" s="6" t="n">
        <v>0</v>
      </c>
      <c r="T192" s="6"/>
      <c r="U192" s="319" t="b">
        <f aca="false">FALSE()</f>
        <v>0</v>
      </c>
      <c r="V192" s="319" t="b">
        <f aca="false">FALSE()</f>
        <v>0</v>
      </c>
      <c r="W192" s="319" t="b">
        <f aca="false">FALSE()</f>
        <v>0</v>
      </c>
      <c r="X192" s="319" t="b">
        <f aca="false">FALSE()</f>
        <v>0</v>
      </c>
      <c r="Y192" s="319" t="b">
        <f aca="false">FALSE()</f>
        <v>0</v>
      </c>
      <c r="Z192" s="319" t="b">
        <f aca="false">TRUE()</f>
        <v>1</v>
      </c>
      <c r="AA192" s="319" t="b">
        <f aca="false">FALSE()</f>
        <v>0</v>
      </c>
      <c r="AB192" s="319" t="b">
        <f aca="false">FALSE()</f>
        <v>0</v>
      </c>
      <c r="AC192" s="319" t="b">
        <f aca="false">FALSE()</f>
        <v>0</v>
      </c>
      <c r="AD192" s="319" t="b">
        <f aca="false">FALSE()</f>
        <v>0</v>
      </c>
      <c r="AE192" s="319" t="b">
        <f aca="false">FALSE()</f>
        <v>0</v>
      </c>
      <c r="AF192" s="319" t="b">
        <f aca="false">FALSE()</f>
        <v>0</v>
      </c>
      <c r="AG192" s="6" t="s">
        <v>182</v>
      </c>
      <c r="AH192" s="6" t="s">
        <v>182</v>
      </c>
    </row>
    <row r="193" customFormat="false" ht="15.75" hidden="false" customHeight="false" outlineLevel="0" collapsed="false">
      <c r="A193" s="3" t="s">
        <v>2198</v>
      </c>
      <c r="B193" s="6" t="s">
        <v>2199</v>
      </c>
      <c r="C193" s="3"/>
      <c r="D193" s="6" t="str">
        <f aca="false">I193   &amp; IF(ISBLANK(M193),, ". "&amp; M193 &amp; IF(ISBLANK(Q193),, ". "&amp; Q193))</f>
        <v>ElementResist_Ice</v>
      </c>
      <c r="E193" s="6" t="str">
        <f aca="false">I193  &amp;": # on "&amp; L193  &amp; IF(ISBLANK(M193),, ". "&amp; M193 &amp;": # on "&amp; P193 &amp; IF(ISBLANK(Q193),, ". "&amp; Q193 &amp;": # on "&amp; T193))</f>
        <v>ElementResist_Ice: # on Self</v>
      </c>
      <c r="F193" s="6" t="str">
        <f aca="false">IF(U193,"active pal",)  &amp; IF(V193,"working",) &amp; IF(W193,"mounted",) &amp; IF(Y193,"in party (buff)",)  &amp; IF(Z193,"always",)</f>
        <v>always</v>
      </c>
      <c r="G193" s="6" t="n">
        <v>3</v>
      </c>
      <c r="H193" s="6" t="s">
        <v>182</v>
      </c>
      <c r="I193" s="6" t="s">
        <v>2160</v>
      </c>
      <c r="J193" s="6" t="str">
        <f aca="false">IFERROR(__xludf.dummyfunction("IFS(I193=""ShotAttack"",""%"",I193=""MeleeAttack"",""%"", I193=""Defense"",""%"",I193=""CraftSPeed"",""%"",I193=""LifeSteal"",""%"",I193=""MaxInventoryWeight"",""+"",I193=""MoveSpeed"",""%"",REGEXMATCH(I193,""ElementAddItemDrop_""),""%"",I193=""Logging"","&amp;"""+"",I193=""Mining"",""+"",I193=""Maxhp"",""%"",REGEXMATCH(I193,""TemperatureResist_""),""+"",REGEXMATCH(I193,""ElementResist_""),""%"",REGEXMATCH(I193,""TemperatureInvalid_""),""bool"",REGEXMATCH(I193,""BodyPartsWeakDamage""),""%"",REGEXMATCH(I193,""Ele"&amp;"mentBoost_""),""%"",AND(REGEXMATCH(B193,""GiveA""),REGEXMATCH(I193,""Element"")),""bool"")"),"%")</f>
        <v>%</v>
      </c>
      <c r="K193" s="6" t="n">
        <v>35</v>
      </c>
      <c r="L193" s="6" t="s">
        <v>1956</v>
      </c>
      <c r="M193" s="6"/>
      <c r="N193" s="6" t="str">
        <f aca="false">IFERROR(__xludf.dummyfunction("IFS(M193=""ShotAttack"",""%"",M193=""MeleeAttack"",""%"", M193=""Defense"",""%"",M193=""CraftSPeed"",""%"",M193=""LifeSteal"",""%"",M193=""MaxInventoryWeight"",""+"",M193=""MoveSpeed"",""%"",REGEXMATCH(M193,""ElementAddItemDrop_""),""%"",M193=""Logging"","&amp;"""+"",M193=""Mining"",""+"",M193=""Maxhp"",""%"",REGEXMATCH(M193,""TemperatureResist_""),""+"",REGEXMATCH(M193,""ElementResist_""),""%"",REGEXMATCH(M193,""TemperatureInvalid_""),""bool"",REGEXMATCH(M193,""BodyPartsWeakDamage""),""%"",REGEXMATCH(M193,""Ele"&amp;"mentBoost_""),""%"",AND(REGEXMATCH(F193,""GiveA""),REGEXMATCH(M193,""Element"")),""bool"")"),"#N/A")</f>
        <v>#N/A</v>
      </c>
      <c r="O193" s="6" t="n">
        <v>0</v>
      </c>
      <c r="P193" s="6"/>
      <c r="Q193" s="6"/>
      <c r="R193" s="6" t="str">
        <f aca="false">IFERROR(__xludf.dummyfunction("IFS(Q193=""ShotAttack"",""%"",Q193=""MeleeAttack"",""%"", Q193=""Defense"",""%"",Q193=""CraftSPeed"",""%"",Q193=""LifeSteal"",""%"",Q193=""MaxInventoryWeight"",""+"",Q193=""MoveSpeed"",""%"",REGEXMATCH(Q193,""ElementAddItemDrop_""),""%"",Q193=""Logging"","&amp;"""+"",Q193=""Mining"",""+"",Q193=""Maxhp"",""%"",REGEXMATCH(Q193,""TemperatureResist_""),""+"",REGEXMATCH(Q193,""ElementResist_""),""%"",REGEXMATCH(Q193,""TemperatureInvalid_""),""bool"",REGEXMATCH(Q193,""BodyPartsWeakDamage""),""%"",REGEXMATCH(Q193,""Ele"&amp;"mentBoost_""),""%"",AND(REGEXMATCH(J193,""GiveA""),REGEXMATCH(Q193,""Element"")),""bool"")"),"#N/A")</f>
        <v>#N/A</v>
      </c>
      <c r="S193" s="6" t="n">
        <v>0</v>
      </c>
      <c r="T193" s="6"/>
      <c r="U193" s="319" t="b">
        <f aca="false">FALSE()</f>
        <v>0</v>
      </c>
      <c r="V193" s="319" t="b">
        <f aca="false">FALSE()</f>
        <v>0</v>
      </c>
      <c r="W193" s="319" t="b">
        <f aca="false">FALSE()</f>
        <v>0</v>
      </c>
      <c r="X193" s="319" t="b">
        <f aca="false">FALSE()</f>
        <v>0</v>
      </c>
      <c r="Y193" s="319" t="b">
        <f aca="false">FALSE()</f>
        <v>0</v>
      </c>
      <c r="Z193" s="319" t="b">
        <f aca="false">TRUE()</f>
        <v>1</v>
      </c>
      <c r="AA193" s="319" t="b">
        <f aca="false">FALSE()</f>
        <v>0</v>
      </c>
      <c r="AB193" s="319" t="b">
        <f aca="false">FALSE()</f>
        <v>0</v>
      </c>
      <c r="AC193" s="319" t="b">
        <f aca="false">FALSE()</f>
        <v>0</v>
      </c>
      <c r="AD193" s="319" t="b">
        <f aca="false">FALSE()</f>
        <v>0</v>
      </c>
      <c r="AE193" s="319" t="b">
        <f aca="false">FALSE()</f>
        <v>0</v>
      </c>
      <c r="AF193" s="319" t="b">
        <f aca="false">FALSE()</f>
        <v>0</v>
      </c>
      <c r="AG193" s="6" t="s">
        <v>182</v>
      </c>
      <c r="AH193" s="6" t="s">
        <v>182</v>
      </c>
    </row>
    <row r="194" customFormat="false" ht="15.75" hidden="false" customHeight="false" outlineLevel="0" collapsed="false">
      <c r="A194" s="3" t="s">
        <v>2200</v>
      </c>
      <c r="B194" s="6" t="s">
        <v>2201</v>
      </c>
      <c r="C194" s="3"/>
      <c r="D194" s="6" t="str">
        <f aca="false">I194   &amp; IF(ISBLANK(M194),, ". "&amp; M194 &amp; IF(ISBLANK(Q194),, ". "&amp; Q194))</f>
        <v>ElementResist_Earth</v>
      </c>
      <c r="E194" s="6" t="str">
        <f aca="false">I194  &amp;": # on "&amp; L194  &amp; IF(ISBLANK(M194),, ". "&amp; M194 &amp;": # on "&amp; P194 &amp; IF(ISBLANK(Q194),, ". "&amp; Q194 &amp;": # on "&amp; T194))</f>
        <v>ElementResist_Earth: # on Self</v>
      </c>
      <c r="F194" s="6" t="str">
        <f aca="false">IF(U194,"active pal",)  &amp; IF(V194,"working",) &amp; IF(W194,"mounted",) &amp; IF(Y194,"in party (buff)",)  &amp; IF(Z194,"always",)</f>
        <v>always</v>
      </c>
      <c r="G194" s="6" t="n">
        <v>3</v>
      </c>
      <c r="H194" s="6" t="s">
        <v>182</v>
      </c>
      <c r="I194" s="6" t="s">
        <v>2163</v>
      </c>
      <c r="J194" s="6" t="str">
        <f aca="false">IFERROR(__xludf.dummyfunction("IFS(I194=""ShotAttack"",""%"",I194=""MeleeAttack"",""%"", I194=""Defense"",""%"",I194=""CraftSPeed"",""%"",I194=""LifeSteal"",""%"",I194=""MaxInventoryWeight"",""+"",I194=""MoveSpeed"",""%"",REGEXMATCH(I194,""ElementAddItemDrop_""),""%"",I194=""Logging"","&amp;"""+"",I194=""Mining"",""+"",I194=""Maxhp"",""%"",REGEXMATCH(I194,""TemperatureResist_""),""+"",REGEXMATCH(I194,""ElementResist_""),""%"",REGEXMATCH(I194,""TemperatureInvalid_""),""bool"",REGEXMATCH(I194,""BodyPartsWeakDamage""),""%"",REGEXMATCH(I194,""Ele"&amp;"mentBoost_""),""%"",AND(REGEXMATCH(B194,""GiveA""),REGEXMATCH(I194,""Element"")),""bool"")"),"%")</f>
        <v>%</v>
      </c>
      <c r="K194" s="6" t="n">
        <v>35</v>
      </c>
      <c r="L194" s="6" t="s">
        <v>1956</v>
      </c>
      <c r="M194" s="6"/>
      <c r="N194" s="6" t="str">
        <f aca="false">IFERROR(__xludf.dummyfunction("IFS(M194=""ShotAttack"",""%"",M194=""MeleeAttack"",""%"", M194=""Defense"",""%"",M194=""CraftSPeed"",""%"",M194=""LifeSteal"",""%"",M194=""MaxInventoryWeight"",""+"",M194=""MoveSpeed"",""%"",REGEXMATCH(M194,""ElementAddItemDrop_""),""%"",M194=""Logging"","&amp;"""+"",M194=""Mining"",""+"",M194=""Maxhp"",""%"",REGEXMATCH(M194,""TemperatureResist_""),""+"",REGEXMATCH(M194,""ElementResist_""),""%"",REGEXMATCH(M194,""TemperatureInvalid_""),""bool"",REGEXMATCH(M194,""BodyPartsWeakDamage""),""%"",REGEXMATCH(M194,""Ele"&amp;"mentBoost_""),""%"",AND(REGEXMATCH(F194,""GiveA""),REGEXMATCH(M194,""Element"")),""bool"")"),"#N/A")</f>
        <v>#N/A</v>
      </c>
      <c r="O194" s="6" t="n">
        <v>0</v>
      </c>
      <c r="P194" s="6"/>
      <c r="Q194" s="6"/>
      <c r="R194" s="6" t="str">
        <f aca="false">IFERROR(__xludf.dummyfunction("IFS(Q194=""ShotAttack"",""%"",Q194=""MeleeAttack"",""%"", Q194=""Defense"",""%"",Q194=""CraftSPeed"",""%"",Q194=""LifeSteal"",""%"",Q194=""MaxInventoryWeight"",""+"",Q194=""MoveSpeed"",""%"",REGEXMATCH(Q194,""ElementAddItemDrop_""),""%"",Q194=""Logging"","&amp;"""+"",Q194=""Mining"",""+"",Q194=""Maxhp"",""%"",REGEXMATCH(Q194,""TemperatureResist_""),""+"",REGEXMATCH(Q194,""ElementResist_""),""%"",REGEXMATCH(Q194,""TemperatureInvalid_""),""bool"",REGEXMATCH(Q194,""BodyPartsWeakDamage""),""%"",REGEXMATCH(Q194,""Ele"&amp;"mentBoost_""),""%"",AND(REGEXMATCH(J194,""GiveA""),REGEXMATCH(Q194,""Element"")),""bool"")"),"#N/A")</f>
        <v>#N/A</v>
      </c>
      <c r="S194" s="6" t="n">
        <v>0</v>
      </c>
      <c r="T194" s="6"/>
      <c r="U194" s="319" t="b">
        <f aca="false">FALSE()</f>
        <v>0</v>
      </c>
      <c r="V194" s="319" t="b">
        <f aca="false">FALSE()</f>
        <v>0</v>
      </c>
      <c r="W194" s="319" t="b">
        <f aca="false">FALSE()</f>
        <v>0</v>
      </c>
      <c r="X194" s="319" t="b">
        <f aca="false">FALSE()</f>
        <v>0</v>
      </c>
      <c r="Y194" s="319" t="b">
        <f aca="false">FALSE()</f>
        <v>0</v>
      </c>
      <c r="Z194" s="319" t="b">
        <f aca="false">TRUE()</f>
        <v>1</v>
      </c>
      <c r="AA194" s="319" t="b">
        <f aca="false">FALSE()</f>
        <v>0</v>
      </c>
      <c r="AB194" s="319" t="b">
        <f aca="false">FALSE()</f>
        <v>0</v>
      </c>
      <c r="AC194" s="319" t="b">
        <f aca="false">FALSE()</f>
        <v>0</v>
      </c>
      <c r="AD194" s="319" t="b">
        <f aca="false">FALSE()</f>
        <v>0</v>
      </c>
      <c r="AE194" s="319" t="b">
        <f aca="false">FALSE()</f>
        <v>0</v>
      </c>
      <c r="AF194" s="319" t="b">
        <f aca="false">FALSE()</f>
        <v>0</v>
      </c>
      <c r="AG194" s="6" t="s">
        <v>182</v>
      </c>
      <c r="AH194" s="6" t="s">
        <v>182</v>
      </c>
    </row>
    <row r="195" customFormat="false" ht="15.75" hidden="false" customHeight="false" outlineLevel="0" collapsed="false">
      <c r="A195" s="3" t="s">
        <v>2202</v>
      </c>
      <c r="B195" s="6" t="s">
        <v>2203</v>
      </c>
      <c r="C195" s="3"/>
      <c r="D195" s="6" t="str">
        <f aca="false">I195   &amp; IF(ISBLANK(M195),, ". "&amp; M195 &amp; IF(ISBLANK(Q195),, ". "&amp; Q195))</f>
        <v>ElementResist_Dark</v>
      </c>
      <c r="E195" s="6" t="str">
        <f aca="false">I195  &amp;": # on "&amp; L195  &amp; IF(ISBLANK(M195),, ". "&amp; M195 &amp;": # on "&amp; P195 &amp; IF(ISBLANK(Q195),, ". "&amp; Q195 &amp;": # on "&amp; T195))</f>
        <v>ElementResist_Dark: # on Self</v>
      </c>
      <c r="F195" s="6" t="str">
        <f aca="false">IF(U195,"active pal",)  &amp; IF(V195,"working",) &amp; IF(W195,"mounted",) &amp; IF(Y195,"in party (buff)",)  &amp; IF(Z195,"always",)</f>
        <v>always</v>
      </c>
      <c r="G195" s="6" t="n">
        <v>3</v>
      </c>
      <c r="H195" s="6" t="s">
        <v>182</v>
      </c>
      <c r="I195" s="6" t="s">
        <v>2166</v>
      </c>
      <c r="J195" s="6" t="str">
        <f aca="false">IFERROR(__xludf.dummyfunction("IFS(I195=""ShotAttack"",""%"",I195=""MeleeAttack"",""%"", I195=""Defense"",""%"",I195=""CraftSPeed"",""%"",I195=""LifeSteal"",""%"",I195=""MaxInventoryWeight"",""+"",I195=""MoveSpeed"",""%"",REGEXMATCH(I195,""ElementAddItemDrop_""),""%"",I195=""Logging"","&amp;"""+"",I195=""Mining"",""+"",I195=""Maxhp"",""%"",REGEXMATCH(I195,""TemperatureResist_""),""+"",REGEXMATCH(I195,""ElementResist_""),""%"",REGEXMATCH(I195,""TemperatureInvalid_""),""bool"",REGEXMATCH(I195,""BodyPartsWeakDamage""),""%"",REGEXMATCH(I195,""Ele"&amp;"mentBoost_""),""%"",AND(REGEXMATCH(B195,""GiveA""),REGEXMATCH(I195,""Element"")),""bool"")"),"%")</f>
        <v>%</v>
      </c>
      <c r="K195" s="6" t="n">
        <v>35</v>
      </c>
      <c r="L195" s="6" t="s">
        <v>1956</v>
      </c>
      <c r="M195" s="6"/>
      <c r="N195" s="6" t="str">
        <f aca="false">IFERROR(__xludf.dummyfunction("IFS(M195=""ShotAttack"",""%"",M195=""MeleeAttack"",""%"", M195=""Defense"",""%"",M195=""CraftSPeed"",""%"",M195=""LifeSteal"",""%"",M195=""MaxInventoryWeight"",""+"",M195=""MoveSpeed"",""%"",REGEXMATCH(M195,""ElementAddItemDrop_""),""%"",M195=""Logging"","&amp;"""+"",M195=""Mining"",""+"",M195=""Maxhp"",""%"",REGEXMATCH(M195,""TemperatureResist_""),""+"",REGEXMATCH(M195,""ElementResist_""),""%"",REGEXMATCH(M195,""TemperatureInvalid_""),""bool"",REGEXMATCH(M195,""BodyPartsWeakDamage""),""%"",REGEXMATCH(M195,""Ele"&amp;"mentBoost_""),""%"",AND(REGEXMATCH(F195,""GiveA""),REGEXMATCH(M195,""Element"")),""bool"")"),"#N/A")</f>
        <v>#N/A</v>
      </c>
      <c r="O195" s="6" t="n">
        <v>0</v>
      </c>
      <c r="P195" s="6"/>
      <c r="Q195" s="6"/>
      <c r="R195" s="6" t="str">
        <f aca="false">IFERROR(__xludf.dummyfunction("IFS(Q195=""ShotAttack"",""%"",Q195=""MeleeAttack"",""%"", Q195=""Defense"",""%"",Q195=""CraftSPeed"",""%"",Q195=""LifeSteal"",""%"",Q195=""MaxInventoryWeight"",""+"",Q195=""MoveSpeed"",""%"",REGEXMATCH(Q195,""ElementAddItemDrop_""),""%"",Q195=""Logging"","&amp;"""+"",Q195=""Mining"",""+"",Q195=""Maxhp"",""%"",REGEXMATCH(Q195,""TemperatureResist_""),""+"",REGEXMATCH(Q195,""ElementResist_""),""%"",REGEXMATCH(Q195,""TemperatureInvalid_""),""bool"",REGEXMATCH(Q195,""BodyPartsWeakDamage""),""%"",REGEXMATCH(Q195,""Ele"&amp;"mentBoost_""),""%"",AND(REGEXMATCH(J195,""GiveA""),REGEXMATCH(Q195,""Element"")),""bool"")"),"#N/A")</f>
        <v>#N/A</v>
      </c>
      <c r="S195" s="6" t="n">
        <v>0</v>
      </c>
      <c r="T195" s="6"/>
      <c r="U195" s="319" t="b">
        <f aca="false">FALSE()</f>
        <v>0</v>
      </c>
      <c r="V195" s="319" t="b">
        <f aca="false">FALSE()</f>
        <v>0</v>
      </c>
      <c r="W195" s="319" t="b">
        <f aca="false">FALSE()</f>
        <v>0</v>
      </c>
      <c r="X195" s="319" t="b">
        <f aca="false">FALSE()</f>
        <v>0</v>
      </c>
      <c r="Y195" s="319" t="b">
        <f aca="false">FALSE()</f>
        <v>0</v>
      </c>
      <c r="Z195" s="319" t="b">
        <f aca="false">TRUE()</f>
        <v>1</v>
      </c>
      <c r="AA195" s="319" t="b">
        <f aca="false">FALSE()</f>
        <v>0</v>
      </c>
      <c r="AB195" s="319" t="b">
        <f aca="false">FALSE()</f>
        <v>0</v>
      </c>
      <c r="AC195" s="319" t="b">
        <f aca="false">FALSE()</f>
        <v>0</v>
      </c>
      <c r="AD195" s="319" t="b">
        <f aca="false">FALSE()</f>
        <v>0</v>
      </c>
      <c r="AE195" s="319" t="b">
        <f aca="false">FALSE()</f>
        <v>0</v>
      </c>
      <c r="AF195" s="319" t="b">
        <f aca="false">FALSE()</f>
        <v>0</v>
      </c>
      <c r="AG195" s="6" t="s">
        <v>182</v>
      </c>
      <c r="AH195" s="6" t="s">
        <v>182</v>
      </c>
    </row>
    <row r="196" customFormat="false" ht="15.75" hidden="false" customHeight="false" outlineLevel="0" collapsed="false">
      <c r="A196" s="3" t="s">
        <v>2204</v>
      </c>
      <c r="B196" s="6" t="s">
        <v>2205</v>
      </c>
      <c r="C196" s="3"/>
      <c r="D196" s="6" t="str">
        <f aca="false">I196   &amp; IF(ISBLANK(M196),, ". "&amp; M196 &amp; IF(ISBLANK(Q196),, ". "&amp; Q196))</f>
        <v>ElementResist_Dragon</v>
      </c>
      <c r="E196" s="6" t="str">
        <f aca="false">I196  &amp;": # on "&amp; L196  &amp; IF(ISBLANK(M196),, ". "&amp; M196 &amp;": # on "&amp; P196 &amp; IF(ISBLANK(Q196),, ". "&amp; Q196 &amp;": # on "&amp; T196))</f>
        <v>ElementResist_Dragon: # on Self</v>
      </c>
      <c r="F196" s="6" t="str">
        <f aca="false">IF(U196,"active pal",)  &amp; IF(V196,"working",) &amp; IF(W196,"mounted",) &amp; IF(Y196,"in party (buff)",)  &amp; IF(Z196,"always",)</f>
        <v>always</v>
      </c>
      <c r="G196" s="6" t="n">
        <v>3</v>
      </c>
      <c r="H196" s="6" t="s">
        <v>182</v>
      </c>
      <c r="I196" s="6" t="s">
        <v>2169</v>
      </c>
      <c r="J196" s="6" t="str">
        <f aca="false">IFERROR(__xludf.dummyfunction("IFS(I196=""ShotAttack"",""%"",I196=""MeleeAttack"",""%"", I196=""Defense"",""%"",I196=""CraftSPeed"",""%"",I196=""LifeSteal"",""%"",I196=""MaxInventoryWeight"",""+"",I196=""MoveSpeed"",""%"",REGEXMATCH(I196,""ElementAddItemDrop_""),""%"",I196=""Logging"","&amp;"""+"",I196=""Mining"",""+"",I196=""Maxhp"",""%"",REGEXMATCH(I196,""TemperatureResist_""),""+"",REGEXMATCH(I196,""ElementResist_""),""%"",REGEXMATCH(I196,""TemperatureInvalid_""),""bool"",REGEXMATCH(I196,""BodyPartsWeakDamage""),""%"",REGEXMATCH(I196,""Ele"&amp;"mentBoost_""),""%"",AND(REGEXMATCH(B196,""GiveA""),REGEXMATCH(I196,""Element"")),""bool"")"),"%")</f>
        <v>%</v>
      </c>
      <c r="K196" s="6" t="n">
        <v>35</v>
      </c>
      <c r="L196" s="6" t="s">
        <v>1956</v>
      </c>
      <c r="M196" s="6"/>
      <c r="N196" s="6" t="str">
        <f aca="false">IFERROR(__xludf.dummyfunction("IFS(M196=""ShotAttack"",""%"",M196=""MeleeAttack"",""%"", M196=""Defense"",""%"",M196=""CraftSPeed"",""%"",M196=""LifeSteal"",""%"",M196=""MaxInventoryWeight"",""+"",M196=""MoveSpeed"",""%"",REGEXMATCH(M196,""ElementAddItemDrop_""),""%"",M196=""Logging"","&amp;"""+"",M196=""Mining"",""+"",M196=""Maxhp"",""%"",REGEXMATCH(M196,""TemperatureResist_""),""+"",REGEXMATCH(M196,""ElementResist_""),""%"",REGEXMATCH(M196,""TemperatureInvalid_""),""bool"",REGEXMATCH(M196,""BodyPartsWeakDamage""),""%"",REGEXMATCH(M196,""Ele"&amp;"mentBoost_""),""%"",AND(REGEXMATCH(F196,""GiveA""),REGEXMATCH(M196,""Element"")),""bool"")"),"#N/A")</f>
        <v>#N/A</v>
      </c>
      <c r="O196" s="6" t="n">
        <v>0</v>
      </c>
      <c r="P196" s="6"/>
      <c r="Q196" s="6"/>
      <c r="R196" s="6" t="str">
        <f aca="false">IFERROR(__xludf.dummyfunction("IFS(Q196=""ShotAttack"",""%"",Q196=""MeleeAttack"",""%"", Q196=""Defense"",""%"",Q196=""CraftSPeed"",""%"",Q196=""LifeSteal"",""%"",Q196=""MaxInventoryWeight"",""+"",Q196=""MoveSpeed"",""%"",REGEXMATCH(Q196,""ElementAddItemDrop_""),""%"",Q196=""Logging"","&amp;"""+"",Q196=""Mining"",""+"",Q196=""Maxhp"",""%"",REGEXMATCH(Q196,""TemperatureResist_""),""+"",REGEXMATCH(Q196,""ElementResist_""),""%"",REGEXMATCH(Q196,""TemperatureInvalid_""),""bool"",REGEXMATCH(Q196,""BodyPartsWeakDamage""),""%"",REGEXMATCH(Q196,""Ele"&amp;"mentBoost_""),""%"",AND(REGEXMATCH(J196,""GiveA""),REGEXMATCH(Q196,""Element"")),""bool"")"),"#N/A")</f>
        <v>#N/A</v>
      </c>
      <c r="S196" s="6" t="n">
        <v>0</v>
      </c>
      <c r="T196" s="6"/>
      <c r="U196" s="319" t="b">
        <f aca="false">FALSE()</f>
        <v>0</v>
      </c>
      <c r="V196" s="319" t="b">
        <f aca="false">FALSE()</f>
        <v>0</v>
      </c>
      <c r="W196" s="319" t="b">
        <f aca="false">FALSE()</f>
        <v>0</v>
      </c>
      <c r="X196" s="319" t="b">
        <f aca="false">FALSE()</f>
        <v>0</v>
      </c>
      <c r="Y196" s="319" t="b">
        <f aca="false">FALSE()</f>
        <v>0</v>
      </c>
      <c r="Z196" s="319" t="b">
        <f aca="false">TRUE()</f>
        <v>1</v>
      </c>
      <c r="AA196" s="319" t="b">
        <f aca="false">FALSE()</f>
        <v>0</v>
      </c>
      <c r="AB196" s="319" t="b">
        <f aca="false">FALSE()</f>
        <v>0</v>
      </c>
      <c r="AC196" s="319" t="b">
        <f aca="false">FALSE()</f>
        <v>0</v>
      </c>
      <c r="AD196" s="319" t="b">
        <f aca="false">FALSE()</f>
        <v>0</v>
      </c>
      <c r="AE196" s="319" t="b">
        <f aca="false">FALSE()</f>
        <v>0</v>
      </c>
      <c r="AF196" s="319" t="b">
        <f aca="false">FALSE()</f>
        <v>0</v>
      </c>
      <c r="AG196" s="6" t="s">
        <v>182</v>
      </c>
      <c r="AH196" s="6" t="s">
        <v>182</v>
      </c>
    </row>
    <row r="197" customFormat="false" ht="15.75" hidden="false" customHeight="false" outlineLevel="0" collapsed="false">
      <c r="A197" s="3" t="s">
        <v>2206</v>
      </c>
      <c r="B197" s="6" t="s">
        <v>2207</v>
      </c>
      <c r="C197" s="311" t="b">
        <f aca="false">TRUE()</f>
        <v>1</v>
      </c>
      <c r="D197" s="6" t="str">
        <f aca="false">I197   &amp; IF(ISBLANK(M197),, ". "&amp; M197 &amp; IF(ISBLANK(Q197),, ". "&amp; Q197))</f>
        <v>ShotAttack</v>
      </c>
      <c r="E197" s="6" t="str">
        <f aca="false">I197  &amp;": # on "&amp; L197  &amp; IF(ISBLANK(M197),, ". "&amp; M197 &amp;": # on "&amp; P197 &amp; IF(ISBLANK(Q197),, ". "&amp; Q197 &amp;": # on "&amp; T197))</f>
        <v>ShotAttack: # on Trainer</v>
      </c>
      <c r="F197" s="6" t="str">
        <f aca="false">IF(U197,"active pal",)  &amp; IF(V197,"working",) &amp; IF(W197,"mounted",) &amp; IF(Y197,"in party (buff)",)  &amp; IF(Z197,"always",)</f>
        <v>always</v>
      </c>
      <c r="G197" s="6" t="n">
        <v>3</v>
      </c>
      <c r="H197" s="6" t="s">
        <v>2208</v>
      </c>
      <c r="I197" s="6" t="s">
        <v>659</v>
      </c>
      <c r="J197" s="6" t="str">
        <f aca="false">IFERROR(__xludf.dummyfunction("IFS(I197=""ShotAttack"",""%"",I197=""MeleeAttack"",""%"", I197=""Defense"",""%"",I197=""CraftSPeed"",""%"",I197=""LifeSteal"",""%"",I197=""MaxInventoryWeight"",""+"",I197=""MoveSpeed"",""%"",REGEXMATCH(I197,""ElementAddItemDrop_""),""%"",I197=""Logging"","&amp;"""+"",I197=""Mining"",""+"",I197=""Maxhp"",""%"",REGEXMATCH(I197,""TemperatureResist_""),""+"",REGEXMATCH(I197,""ElementResist_""),""%"",REGEXMATCH(I197,""TemperatureInvalid_""),""bool"",REGEXMATCH(I197,""BodyPartsWeakDamage""),""%"",REGEXMATCH(I197,""Ele"&amp;"mentBoost_""),""%"",AND(REGEXMATCH(B197,""GiveA""),REGEXMATCH(I197,""Element"")),""bool"")"),"%")</f>
        <v>%</v>
      </c>
      <c r="K197" s="6" t="n">
        <v>10</v>
      </c>
      <c r="L197" s="6" t="s">
        <v>2034</v>
      </c>
      <c r="M197" s="6"/>
      <c r="N197" s="6" t="str">
        <f aca="false">IFERROR(__xludf.dummyfunction("IFS(M197=""ShotAttack"",""%"",M197=""MeleeAttack"",""%"", M197=""Defense"",""%"",M197=""CraftSPeed"",""%"",M197=""LifeSteal"",""%"",M197=""MaxInventoryWeight"",""+"",M197=""MoveSpeed"",""%"",REGEXMATCH(M197,""ElementAddItemDrop_""),""%"",M197=""Logging"","&amp;"""+"",M197=""Mining"",""+"",M197=""Maxhp"",""%"",REGEXMATCH(M197,""TemperatureResist_""),""+"",REGEXMATCH(M197,""ElementResist_""),""%"",REGEXMATCH(M197,""TemperatureInvalid_""),""bool"",REGEXMATCH(M197,""BodyPartsWeakDamage""),""%"",REGEXMATCH(M197,""Ele"&amp;"mentBoost_""),""%"",AND(REGEXMATCH(F197,""GiveA""),REGEXMATCH(M197,""Element"")),""bool"")"),"#N/A")</f>
        <v>#N/A</v>
      </c>
      <c r="O197" s="6" t="n">
        <v>0</v>
      </c>
      <c r="P197" s="6"/>
      <c r="Q197" s="6"/>
      <c r="R197" s="6" t="str">
        <f aca="false">IFERROR(__xludf.dummyfunction("IFS(Q197=""ShotAttack"",""%"",Q197=""MeleeAttack"",""%"", Q197=""Defense"",""%"",Q197=""CraftSPeed"",""%"",Q197=""LifeSteal"",""%"",Q197=""MaxInventoryWeight"",""+"",Q197=""MoveSpeed"",""%"",REGEXMATCH(Q197,""ElementAddItemDrop_""),""%"",Q197=""Logging"","&amp;"""+"",Q197=""Mining"",""+"",Q197=""Maxhp"",""%"",REGEXMATCH(Q197,""TemperatureResist_""),""+"",REGEXMATCH(Q197,""ElementResist_""),""%"",REGEXMATCH(Q197,""TemperatureInvalid_""),""bool"",REGEXMATCH(Q197,""BodyPartsWeakDamage""),""%"",REGEXMATCH(Q197,""Ele"&amp;"mentBoost_""),""%"",AND(REGEXMATCH(J197,""GiveA""),REGEXMATCH(Q197,""Element"")),""bool"")"),"#N/A")</f>
        <v>#N/A</v>
      </c>
      <c r="S197" s="6" t="n">
        <v>0</v>
      </c>
      <c r="T197" s="6"/>
      <c r="U197" s="319" t="b">
        <f aca="false">FALSE()</f>
        <v>0</v>
      </c>
      <c r="V197" s="319" t="b">
        <f aca="false">FALSE()</f>
        <v>0</v>
      </c>
      <c r="W197" s="319" t="b">
        <f aca="false">FALSE()</f>
        <v>0</v>
      </c>
      <c r="X197" s="319" t="b">
        <f aca="false">FALSE()</f>
        <v>0</v>
      </c>
      <c r="Y197" s="319" t="b">
        <f aca="false">FALSE()</f>
        <v>0</v>
      </c>
      <c r="Z197" s="319" t="b">
        <f aca="false">TRUE()</f>
        <v>1</v>
      </c>
      <c r="AA197" s="319" t="b">
        <f aca="false">TRUE()</f>
        <v>1</v>
      </c>
      <c r="AB197" s="319" t="b">
        <f aca="false">FALSE()</f>
        <v>0</v>
      </c>
      <c r="AC197" s="319" t="b">
        <f aca="false">FALSE()</f>
        <v>0</v>
      </c>
      <c r="AD197" s="319" t="b">
        <f aca="false">FALSE()</f>
        <v>0</v>
      </c>
      <c r="AE197" s="319" t="b">
        <f aca="false">FALSE()</f>
        <v>0</v>
      </c>
      <c r="AF197" s="319" t="b">
        <f aca="false">FALSE()</f>
        <v>0</v>
      </c>
      <c r="AG197" s="6" t="s">
        <v>182</v>
      </c>
      <c r="AH197" s="6" t="s">
        <v>182</v>
      </c>
    </row>
    <row r="198" customFormat="false" ht="15.75" hidden="false" customHeight="false" outlineLevel="0" collapsed="false">
      <c r="A198" s="3" t="s">
        <v>2209</v>
      </c>
      <c r="B198" s="6" t="s">
        <v>2210</v>
      </c>
      <c r="C198" s="311" t="b">
        <f aca="false">TRUE()</f>
        <v>1</v>
      </c>
      <c r="D198" s="6" t="str">
        <f aca="false">I198   &amp; IF(ISBLANK(M198),, ". "&amp; M198 &amp; IF(ISBLANK(Q198),, ". "&amp; Q198))</f>
        <v>Defense</v>
      </c>
      <c r="E198" s="6" t="str">
        <f aca="false">I198  &amp;": # on "&amp; L198  &amp; IF(ISBLANK(M198),, ". "&amp; M198 &amp;": # on "&amp; P198 &amp; IF(ISBLANK(Q198),, ". "&amp; Q198 &amp;": # on "&amp; T198))</f>
        <v>Defense: # on Trainer</v>
      </c>
      <c r="F198" s="6" t="str">
        <f aca="false">IF(U198,"active pal",)  &amp; IF(V198,"working",) &amp; IF(W198,"mounted",) &amp; IF(Y198,"in party (buff)",)  &amp; IF(Z198,"always",)</f>
        <v>always</v>
      </c>
      <c r="G198" s="6" t="n">
        <v>3</v>
      </c>
      <c r="H198" s="6" t="s">
        <v>2211</v>
      </c>
      <c r="I198" s="6" t="s">
        <v>175</v>
      </c>
      <c r="J198" s="6" t="str">
        <f aca="false">IFERROR(__xludf.dummyfunction("IFS(I198=""ShotAttack"",""%"",I198=""MeleeAttack"",""%"", I198=""Defense"",""%"",I198=""CraftSPeed"",""%"",I198=""LifeSteal"",""%"",I198=""MaxInventoryWeight"",""+"",I198=""MoveSpeed"",""%"",REGEXMATCH(I198,""ElementAddItemDrop_""),""%"",I198=""Logging"","&amp;"""+"",I198=""Mining"",""+"",I198=""Maxhp"",""%"",REGEXMATCH(I198,""TemperatureResist_""),""+"",REGEXMATCH(I198,""ElementResist_""),""%"",REGEXMATCH(I198,""TemperatureInvalid_""),""bool"",REGEXMATCH(I198,""BodyPartsWeakDamage""),""%"",REGEXMATCH(I198,""Ele"&amp;"mentBoost_""),""%"",AND(REGEXMATCH(B198,""GiveA""),REGEXMATCH(I198,""Element"")),""bool"")"),"%")</f>
        <v>%</v>
      </c>
      <c r="K198" s="6" t="n">
        <v>10</v>
      </c>
      <c r="L198" s="6" t="s">
        <v>2034</v>
      </c>
      <c r="M198" s="6"/>
      <c r="N198" s="6" t="str">
        <f aca="false">IFERROR(__xludf.dummyfunction("IFS(M198=""ShotAttack"",""%"",M198=""MeleeAttack"",""%"", M198=""Defense"",""%"",M198=""CraftSPeed"",""%"",M198=""LifeSteal"",""%"",M198=""MaxInventoryWeight"",""+"",M198=""MoveSpeed"",""%"",REGEXMATCH(M198,""ElementAddItemDrop_""),""%"",M198=""Logging"","&amp;"""+"",M198=""Mining"",""+"",M198=""Maxhp"",""%"",REGEXMATCH(M198,""TemperatureResist_""),""+"",REGEXMATCH(M198,""ElementResist_""),""%"",REGEXMATCH(M198,""TemperatureInvalid_""),""bool"",REGEXMATCH(M198,""BodyPartsWeakDamage""),""%"",REGEXMATCH(M198,""Ele"&amp;"mentBoost_""),""%"",AND(REGEXMATCH(F198,""GiveA""),REGEXMATCH(M198,""Element"")),""bool"")"),"#N/A")</f>
        <v>#N/A</v>
      </c>
      <c r="O198" s="6" t="n">
        <v>0</v>
      </c>
      <c r="P198" s="6"/>
      <c r="Q198" s="6"/>
      <c r="R198" s="6" t="str">
        <f aca="false">IFERROR(__xludf.dummyfunction("IFS(Q198=""ShotAttack"",""%"",Q198=""MeleeAttack"",""%"", Q198=""Defense"",""%"",Q198=""CraftSPeed"",""%"",Q198=""LifeSteal"",""%"",Q198=""MaxInventoryWeight"",""+"",Q198=""MoveSpeed"",""%"",REGEXMATCH(Q198,""ElementAddItemDrop_""),""%"",Q198=""Logging"","&amp;"""+"",Q198=""Mining"",""+"",Q198=""Maxhp"",""%"",REGEXMATCH(Q198,""TemperatureResist_""),""+"",REGEXMATCH(Q198,""ElementResist_""),""%"",REGEXMATCH(Q198,""TemperatureInvalid_""),""bool"",REGEXMATCH(Q198,""BodyPartsWeakDamage""),""%"",REGEXMATCH(Q198,""Ele"&amp;"mentBoost_""),""%"",AND(REGEXMATCH(J198,""GiveA""),REGEXMATCH(Q198,""Element"")),""bool"")"),"#N/A")</f>
        <v>#N/A</v>
      </c>
      <c r="S198" s="6" t="n">
        <v>0</v>
      </c>
      <c r="T198" s="6"/>
      <c r="U198" s="319" t="b">
        <f aca="false">FALSE()</f>
        <v>0</v>
      </c>
      <c r="V198" s="319" t="b">
        <f aca="false">FALSE()</f>
        <v>0</v>
      </c>
      <c r="W198" s="319" t="b">
        <f aca="false">FALSE()</f>
        <v>0</v>
      </c>
      <c r="X198" s="319" t="b">
        <f aca="false">FALSE()</f>
        <v>0</v>
      </c>
      <c r="Y198" s="319" t="b">
        <f aca="false">FALSE()</f>
        <v>0</v>
      </c>
      <c r="Z198" s="319" t="b">
        <f aca="false">TRUE()</f>
        <v>1</v>
      </c>
      <c r="AA198" s="319" t="b">
        <f aca="false">TRUE()</f>
        <v>1</v>
      </c>
      <c r="AB198" s="319" t="b">
        <f aca="false">FALSE()</f>
        <v>0</v>
      </c>
      <c r="AC198" s="319" t="b">
        <f aca="false">FALSE()</f>
        <v>0</v>
      </c>
      <c r="AD198" s="319" t="b">
        <f aca="false">FALSE()</f>
        <v>0</v>
      </c>
      <c r="AE198" s="319" t="b">
        <f aca="false">FALSE()</f>
        <v>0</v>
      </c>
      <c r="AF198" s="319" t="b">
        <f aca="false">FALSE()</f>
        <v>0</v>
      </c>
      <c r="AG198" s="6" t="s">
        <v>182</v>
      </c>
      <c r="AH198" s="6" t="s">
        <v>182</v>
      </c>
    </row>
    <row r="199" customFormat="false" ht="15.75" hidden="false" customHeight="false" outlineLevel="0" collapsed="false">
      <c r="A199" s="3" t="s">
        <v>2212</v>
      </c>
      <c r="B199" s="6" t="s">
        <v>2213</v>
      </c>
      <c r="C199" s="311" t="b">
        <f aca="false">TRUE()</f>
        <v>1</v>
      </c>
      <c r="D199" s="6" t="str">
        <f aca="false">I199   &amp; IF(ISBLANK(M199),, ". "&amp; M199 &amp; IF(ISBLANK(Q199),, ". "&amp; Q199))</f>
        <v>CraftSpeed</v>
      </c>
      <c r="E199" s="6" t="str">
        <f aca="false">I199  &amp;": # on "&amp; L199  &amp; IF(ISBLANK(M199),, ". "&amp; M199 &amp;": # on "&amp; P199 &amp; IF(ISBLANK(Q199),, ". "&amp; Q199 &amp;": # on "&amp; T199))</f>
        <v>CraftSpeed: # on Trainer</v>
      </c>
      <c r="F199" s="6" t="str">
        <f aca="false">IF(U199,"active pal",)  &amp; IF(V199,"working",) &amp; IF(W199,"mounted",) &amp; IF(Y199,"in party (buff)",)  &amp; IF(Z199,"always",)</f>
        <v>always</v>
      </c>
      <c r="G199" s="6" t="n">
        <v>3</v>
      </c>
      <c r="H199" s="6" t="s">
        <v>2214</v>
      </c>
      <c r="I199" s="6" t="s">
        <v>661</v>
      </c>
      <c r="J199" s="6" t="str">
        <f aca="false">IFERROR(__xludf.dummyfunction("IFS(I199=""ShotAttack"",""%"",I199=""MeleeAttack"",""%"", I199=""Defense"",""%"",I199=""CraftSPeed"",""%"",I199=""LifeSteal"",""%"",I199=""MaxInventoryWeight"",""+"",I199=""MoveSpeed"",""%"",REGEXMATCH(I199,""ElementAddItemDrop_""),""%"",I199=""Logging"","&amp;"""+"",I199=""Mining"",""+"",I199=""Maxhp"",""%"",REGEXMATCH(I199,""TemperatureResist_""),""+"",REGEXMATCH(I199,""ElementResist_""),""%"",REGEXMATCH(I199,""TemperatureInvalid_""),""bool"",REGEXMATCH(I199,""BodyPartsWeakDamage""),""%"",REGEXMATCH(I199,""Ele"&amp;"mentBoost_""),""%"",AND(REGEXMATCH(B199,""GiveA""),REGEXMATCH(I199,""Element"")),""bool"")"),"%")</f>
        <v>%</v>
      </c>
      <c r="K199" s="6" t="n">
        <v>25</v>
      </c>
      <c r="L199" s="6" t="s">
        <v>2034</v>
      </c>
      <c r="M199" s="6"/>
      <c r="N199" s="6" t="str">
        <f aca="false">IFERROR(__xludf.dummyfunction("IFS(M199=""ShotAttack"",""%"",M199=""MeleeAttack"",""%"", M199=""Defense"",""%"",M199=""CraftSPeed"",""%"",M199=""LifeSteal"",""%"",M199=""MaxInventoryWeight"",""+"",M199=""MoveSpeed"",""%"",REGEXMATCH(M199,""ElementAddItemDrop_""),""%"",M199=""Logging"","&amp;"""+"",M199=""Mining"",""+"",M199=""Maxhp"",""%"",REGEXMATCH(M199,""TemperatureResist_""),""+"",REGEXMATCH(M199,""ElementResist_""),""%"",REGEXMATCH(M199,""TemperatureInvalid_""),""bool"",REGEXMATCH(M199,""BodyPartsWeakDamage""),""%"",REGEXMATCH(M199,""Ele"&amp;"mentBoost_""),""%"",AND(REGEXMATCH(F199,""GiveA""),REGEXMATCH(M199,""Element"")),""bool"")"),"#N/A")</f>
        <v>#N/A</v>
      </c>
      <c r="O199" s="6" t="n">
        <v>0</v>
      </c>
      <c r="P199" s="6"/>
      <c r="Q199" s="6"/>
      <c r="R199" s="6" t="str">
        <f aca="false">IFERROR(__xludf.dummyfunction("IFS(Q199=""ShotAttack"",""%"",Q199=""MeleeAttack"",""%"", Q199=""Defense"",""%"",Q199=""CraftSPeed"",""%"",Q199=""LifeSteal"",""%"",Q199=""MaxInventoryWeight"",""+"",Q199=""MoveSpeed"",""%"",REGEXMATCH(Q199,""ElementAddItemDrop_""),""%"",Q199=""Logging"","&amp;"""+"",Q199=""Mining"",""+"",Q199=""Maxhp"",""%"",REGEXMATCH(Q199,""TemperatureResist_""),""+"",REGEXMATCH(Q199,""ElementResist_""),""%"",REGEXMATCH(Q199,""TemperatureInvalid_""),""bool"",REGEXMATCH(Q199,""BodyPartsWeakDamage""),""%"",REGEXMATCH(Q199,""Ele"&amp;"mentBoost_""),""%"",AND(REGEXMATCH(J199,""GiveA""),REGEXMATCH(Q199,""Element"")),""bool"")"),"#N/A")</f>
        <v>#N/A</v>
      </c>
      <c r="S199" s="6" t="n">
        <v>0</v>
      </c>
      <c r="T199" s="6"/>
      <c r="U199" s="319" t="b">
        <f aca="false">FALSE()</f>
        <v>0</v>
      </c>
      <c r="V199" s="319" t="b">
        <f aca="false">FALSE()</f>
        <v>0</v>
      </c>
      <c r="W199" s="319" t="b">
        <f aca="false">FALSE()</f>
        <v>0</v>
      </c>
      <c r="X199" s="319" t="b">
        <f aca="false">FALSE()</f>
        <v>0</v>
      </c>
      <c r="Y199" s="319" t="b">
        <f aca="false">FALSE()</f>
        <v>0</v>
      </c>
      <c r="Z199" s="319" t="b">
        <f aca="false">TRUE()</f>
        <v>1</v>
      </c>
      <c r="AA199" s="319" t="b">
        <f aca="false">TRUE()</f>
        <v>1</v>
      </c>
      <c r="AB199" s="319" t="b">
        <f aca="false">FALSE()</f>
        <v>0</v>
      </c>
      <c r="AC199" s="319" t="b">
        <f aca="false">FALSE()</f>
        <v>0</v>
      </c>
      <c r="AD199" s="319" t="b">
        <f aca="false">FALSE()</f>
        <v>0</v>
      </c>
      <c r="AE199" s="319" t="b">
        <f aca="false">FALSE()</f>
        <v>0</v>
      </c>
      <c r="AF199" s="319" t="b">
        <f aca="false">FALSE()</f>
        <v>0</v>
      </c>
      <c r="AG199" s="6" t="s">
        <v>182</v>
      </c>
      <c r="AH199" s="6" t="s">
        <v>182</v>
      </c>
    </row>
    <row r="200" customFormat="false" ht="15.75" hidden="false" customHeight="false" outlineLevel="0" collapsed="false">
      <c r="A200" s="3" t="s">
        <v>2215</v>
      </c>
      <c r="B200" s="6" t="s">
        <v>2216</v>
      </c>
      <c r="C200" s="311" t="b">
        <f aca="false">TRUE()</f>
        <v>1</v>
      </c>
      <c r="D200" s="6" t="str">
        <f aca="false">I200   &amp; IF(ISBLANK(M200),, ". "&amp; M200 &amp; IF(ISBLANK(Q200),, ". "&amp; Q200))</f>
        <v>Mining</v>
      </c>
      <c r="E200" s="6" t="str">
        <f aca="false">I200  &amp;": # on "&amp; L200  &amp; IF(ISBLANK(M200),, ". "&amp; M200 &amp;": # on "&amp; P200 &amp; IF(ISBLANK(Q200),, ". "&amp; Q200 &amp;": # on "&amp; T200))</f>
        <v>Mining: # on Trainer</v>
      </c>
      <c r="F200" s="6" t="str">
        <f aca="false">IF(U200,"active pal",)  &amp; IF(V200,"working",) &amp; IF(W200,"mounted",) &amp; IF(Y200,"in party (buff)",)  &amp; IF(Z200,"always",)</f>
        <v>always</v>
      </c>
      <c r="G200" s="6" t="n">
        <v>3</v>
      </c>
      <c r="H200" s="6" t="s">
        <v>2217</v>
      </c>
      <c r="I200" s="6" t="s">
        <v>2072</v>
      </c>
      <c r="J200" s="6" t="str">
        <f aca="false">IFERROR(__xludf.dummyfunction("IFS(I200=""ShotAttack"",""%"",I200=""MeleeAttack"",""%"", I200=""Defense"",""%"",I200=""CraftSPeed"",""%"",I200=""LifeSteal"",""%"",I200=""MaxInventoryWeight"",""+"",I200=""MoveSpeed"",""%"",REGEXMATCH(I200,""ElementAddItemDrop_""),""%"",I200=""Logging"","&amp;"""+"",I200=""Mining"",""+"",I200=""Maxhp"",""%"",REGEXMATCH(I200,""TemperatureResist_""),""+"",REGEXMATCH(I200,""ElementResist_""),""%"",REGEXMATCH(I200,""TemperatureInvalid_""),""bool"",REGEXMATCH(I200,""BodyPartsWeakDamage""),""%"",REGEXMATCH(I200,""Ele"&amp;"mentBoost_""),""%"",AND(REGEXMATCH(B200,""GiveA""),REGEXMATCH(I200,""Element"")),""bool"")"),"+")</f>
        <v>+</v>
      </c>
      <c r="K200" s="6" t="n">
        <v>25</v>
      </c>
      <c r="L200" s="6" t="s">
        <v>2034</v>
      </c>
      <c r="M200" s="6"/>
      <c r="N200" s="6" t="str">
        <f aca="false">IFERROR(__xludf.dummyfunction("IFS(M200=""ShotAttack"",""%"",M200=""MeleeAttack"",""%"", M200=""Defense"",""%"",M200=""CraftSPeed"",""%"",M200=""LifeSteal"",""%"",M200=""MaxInventoryWeight"",""+"",M200=""MoveSpeed"",""%"",REGEXMATCH(M200,""ElementAddItemDrop_""),""%"",M200=""Logging"","&amp;"""+"",M200=""Mining"",""+"",M200=""Maxhp"",""%"",REGEXMATCH(M200,""TemperatureResist_""),""+"",REGEXMATCH(M200,""ElementResist_""),""%"",REGEXMATCH(M200,""TemperatureInvalid_""),""bool"",REGEXMATCH(M200,""BodyPartsWeakDamage""),""%"",REGEXMATCH(M200,""Ele"&amp;"mentBoost_""),""%"",AND(REGEXMATCH(F200,""GiveA""),REGEXMATCH(M200,""Element"")),""bool"")"),"#N/A")</f>
        <v>#N/A</v>
      </c>
      <c r="O200" s="6" t="n">
        <v>0</v>
      </c>
      <c r="P200" s="6"/>
      <c r="Q200" s="6"/>
      <c r="R200" s="6" t="str">
        <f aca="false">IFERROR(__xludf.dummyfunction("IFS(Q200=""ShotAttack"",""%"",Q200=""MeleeAttack"",""%"", Q200=""Defense"",""%"",Q200=""CraftSPeed"",""%"",Q200=""LifeSteal"",""%"",Q200=""MaxInventoryWeight"",""+"",Q200=""MoveSpeed"",""%"",REGEXMATCH(Q200,""ElementAddItemDrop_""),""%"",Q200=""Logging"","&amp;"""+"",Q200=""Mining"",""+"",Q200=""Maxhp"",""%"",REGEXMATCH(Q200,""TemperatureResist_""),""+"",REGEXMATCH(Q200,""ElementResist_""),""%"",REGEXMATCH(Q200,""TemperatureInvalid_""),""bool"",REGEXMATCH(Q200,""BodyPartsWeakDamage""),""%"",REGEXMATCH(Q200,""Ele"&amp;"mentBoost_""),""%"",AND(REGEXMATCH(J200,""GiveA""),REGEXMATCH(Q200,""Element"")),""bool"")"),"#N/A")</f>
        <v>#N/A</v>
      </c>
      <c r="S200" s="6" t="n">
        <v>0</v>
      </c>
      <c r="T200" s="6"/>
      <c r="U200" s="319" t="b">
        <f aca="false">FALSE()</f>
        <v>0</v>
      </c>
      <c r="V200" s="319" t="b">
        <f aca="false">FALSE()</f>
        <v>0</v>
      </c>
      <c r="W200" s="319" t="b">
        <f aca="false">FALSE()</f>
        <v>0</v>
      </c>
      <c r="X200" s="319" t="b">
        <f aca="false">FALSE()</f>
        <v>0</v>
      </c>
      <c r="Y200" s="319" t="b">
        <f aca="false">FALSE()</f>
        <v>0</v>
      </c>
      <c r="Z200" s="319" t="b">
        <f aca="false">TRUE()</f>
        <v>1</v>
      </c>
      <c r="AA200" s="319" t="b">
        <f aca="false">TRUE()</f>
        <v>1</v>
      </c>
      <c r="AB200" s="319" t="b">
        <f aca="false">FALSE()</f>
        <v>0</v>
      </c>
      <c r="AC200" s="319" t="b">
        <f aca="false">FALSE()</f>
        <v>0</v>
      </c>
      <c r="AD200" s="319" t="b">
        <f aca="false">FALSE()</f>
        <v>0</v>
      </c>
      <c r="AE200" s="319" t="b">
        <f aca="false">FALSE()</f>
        <v>0</v>
      </c>
      <c r="AF200" s="319" t="b">
        <f aca="false">FALSE()</f>
        <v>0</v>
      </c>
      <c r="AG200" s="6" t="s">
        <v>182</v>
      </c>
      <c r="AH200" s="6" t="s">
        <v>182</v>
      </c>
    </row>
    <row r="201" customFormat="false" ht="15.75" hidden="false" customHeight="false" outlineLevel="0" collapsed="false">
      <c r="A201" s="3" t="s">
        <v>2218</v>
      </c>
      <c r="B201" s="6" t="s">
        <v>2219</v>
      </c>
      <c r="C201" s="311" t="b">
        <f aca="false">TRUE()</f>
        <v>1</v>
      </c>
      <c r="D201" s="6" t="str">
        <f aca="false">I201   &amp; IF(ISBLANK(M201),, ". "&amp; M201 &amp; IF(ISBLANK(Q201),, ". "&amp; Q201))</f>
        <v>Logging</v>
      </c>
      <c r="E201" s="6" t="str">
        <f aca="false">I201  &amp;": # on "&amp; L201  &amp; IF(ISBLANK(M201),, ". "&amp; M201 &amp;": # on "&amp; P201 &amp; IF(ISBLANK(Q201),, ". "&amp; Q201 &amp;": # on "&amp; T201))</f>
        <v>Logging: # on Trainer</v>
      </c>
      <c r="F201" s="6" t="str">
        <f aca="false">IF(U201,"active pal",)  &amp; IF(V201,"working",) &amp; IF(W201,"mounted",) &amp; IF(Y201,"in party (buff)",)  &amp; IF(Z201,"always",)</f>
        <v>always</v>
      </c>
      <c r="G201" s="6" t="n">
        <v>3</v>
      </c>
      <c r="H201" s="6" t="s">
        <v>2220</v>
      </c>
      <c r="I201" s="6" t="s">
        <v>2065</v>
      </c>
      <c r="J201" s="6" t="str">
        <f aca="false">IFERROR(__xludf.dummyfunction("IFS(I201=""ShotAttack"",""%"",I201=""MeleeAttack"",""%"", I201=""Defense"",""%"",I201=""CraftSPeed"",""%"",I201=""LifeSteal"",""%"",I201=""MaxInventoryWeight"",""+"",I201=""MoveSpeed"",""%"",REGEXMATCH(I201,""ElementAddItemDrop_""),""%"",I201=""Logging"","&amp;"""+"",I201=""Mining"",""+"",I201=""Maxhp"",""%"",REGEXMATCH(I201,""TemperatureResist_""),""+"",REGEXMATCH(I201,""ElementResist_""),""%"",REGEXMATCH(I201,""TemperatureInvalid_""),""bool"",REGEXMATCH(I201,""BodyPartsWeakDamage""),""%"",REGEXMATCH(I201,""Ele"&amp;"mentBoost_""),""%"",AND(REGEXMATCH(B201,""GiveA""),REGEXMATCH(I201,""Element"")),""bool"")"),"+")</f>
        <v>+</v>
      </c>
      <c r="K201" s="6" t="n">
        <v>25</v>
      </c>
      <c r="L201" s="6" t="s">
        <v>2034</v>
      </c>
      <c r="M201" s="6"/>
      <c r="N201" s="6" t="str">
        <f aca="false">IFERROR(__xludf.dummyfunction("IFS(M201=""ShotAttack"",""%"",M201=""MeleeAttack"",""%"", M201=""Defense"",""%"",M201=""CraftSPeed"",""%"",M201=""LifeSteal"",""%"",M201=""MaxInventoryWeight"",""+"",M201=""MoveSpeed"",""%"",REGEXMATCH(M201,""ElementAddItemDrop_""),""%"",M201=""Logging"","&amp;"""+"",M201=""Mining"",""+"",M201=""Maxhp"",""%"",REGEXMATCH(M201,""TemperatureResist_""),""+"",REGEXMATCH(M201,""ElementResist_""),""%"",REGEXMATCH(M201,""TemperatureInvalid_""),""bool"",REGEXMATCH(M201,""BodyPartsWeakDamage""),""%"",REGEXMATCH(M201,""Ele"&amp;"mentBoost_""),""%"",AND(REGEXMATCH(F201,""GiveA""),REGEXMATCH(M201,""Element"")),""bool"")"),"#N/A")</f>
        <v>#N/A</v>
      </c>
      <c r="O201" s="6" t="n">
        <v>0</v>
      </c>
      <c r="P201" s="6"/>
      <c r="Q201" s="6"/>
      <c r="R201" s="6" t="str">
        <f aca="false">IFERROR(__xludf.dummyfunction("IFS(Q201=""ShotAttack"",""%"",Q201=""MeleeAttack"",""%"", Q201=""Defense"",""%"",Q201=""CraftSPeed"",""%"",Q201=""LifeSteal"",""%"",Q201=""MaxInventoryWeight"",""+"",Q201=""MoveSpeed"",""%"",REGEXMATCH(Q201,""ElementAddItemDrop_""),""%"",Q201=""Logging"","&amp;"""+"",Q201=""Mining"",""+"",Q201=""Maxhp"",""%"",REGEXMATCH(Q201,""TemperatureResist_""),""+"",REGEXMATCH(Q201,""ElementResist_""),""%"",REGEXMATCH(Q201,""TemperatureInvalid_""),""bool"",REGEXMATCH(Q201,""BodyPartsWeakDamage""),""%"",REGEXMATCH(Q201,""Ele"&amp;"mentBoost_""),""%"",AND(REGEXMATCH(J201,""GiveA""),REGEXMATCH(Q201,""Element"")),""bool"")"),"#N/A")</f>
        <v>#N/A</v>
      </c>
      <c r="S201" s="6" t="n">
        <v>0</v>
      </c>
      <c r="T201" s="6"/>
      <c r="U201" s="319" t="b">
        <f aca="false">FALSE()</f>
        <v>0</v>
      </c>
      <c r="V201" s="319" t="b">
        <f aca="false">FALSE()</f>
        <v>0</v>
      </c>
      <c r="W201" s="319" t="b">
        <f aca="false">FALSE()</f>
        <v>0</v>
      </c>
      <c r="X201" s="319" t="b">
        <f aca="false">FALSE()</f>
        <v>0</v>
      </c>
      <c r="Y201" s="319" t="b">
        <f aca="false">FALSE()</f>
        <v>0</v>
      </c>
      <c r="Z201" s="319" t="b">
        <f aca="false">TRUE()</f>
        <v>1</v>
      </c>
      <c r="AA201" s="319" t="b">
        <f aca="false">TRUE()</f>
        <v>1</v>
      </c>
      <c r="AB201" s="319" t="b">
        <f aca="false">FALSE()</f>
        <v>0</v>
      </c>
      <c r="AC201" s="319" t="b">
        <f aca="false">FALSE()</f>
        <v>0</v>
      </c>
      <c r="AD201" s="319" t="b">
        <f aca="false">FALSE()</f>
        <v>0</v>
      </c>
      <c r="AE201" s="319" t="b">
        <f aca="false">FALSE()</f>
        <v>0</v>
      </c>
      <c r="AF201" s="319" t="b">
        <f aca="false">FALSE()</f>
        <v>0</v>
      </c>
      <c r="AG201" s="6" t="s">
        <v>182</v>
      </c>
      <c r="AH201" s="6" t="s">
        <v>182</v>
      </c>
    </row>
    <row r="202" customFormat="false" ht="15.75" hidden="false" customHeight="false" outlineLevel="0" collapsed="false">
      <c r="A202" s="3" t="s">
        <v>1953</v>
      </c>
      <c r="B202" s="6" t="s">
        <v>1110</v>
      </c>
      <c r="C202" s="3"/>
      <c r="D202" s="6" t="str">
        <f aca="false">I202   &amp; IF(ISBLANK(M202),, ". "&amp; M202 &amp; IF(ISBLANK(Q202),, ". "&amp; Q202))</f>
        <v>ShotAttack. Defense</v>
      </c>
      <c r="E202" s="6" t="str">
        <f aca="false">I202  &amp;": # on "&amp; L202  &amp; IF(ISBLANK(M202),, ". "&amp; M202 &amp;": # on "&amp; P202 &amp; IF(ISBLANK(Q202),, ". "&amp; Q202 &amp;": # on "&amp; T202))</f>
        <v>ShotAttack: # on Self. Defense: # on Self</v>
      </c>
      <c r="F202" s="6" t="str">
        <f aca="false">IF(U202,"active pal",)  &amp; IF(V202,"working",) &amp; IF(W202,"mounted",) &amp; IF(Y202,"in party (buff)",)  &amp; IF(Z202,"always",)</f>
        <v>in party (buff)</v>
      </c>
      <c r="G202" s="6" t="n">
        <v>1</v>
      </c>
      <c r="H202" s="6" t="s">
        <v>182</v>
      </c>
      <c r="I202" s="6" t="s">
        <v>659</v>
      </c>
      <c r="J202" s="6" t="str">
        <f aca="false">IFERROR(__xludf.dummyfunction("IFS(I202=""ShotAttack"",""%"",I202=""MeleeAttack"",""%"", I202=""Defense"",""%"",I202=""CraftSPeed"",""%"",I202=""LifeSteal"",""%"",I202=""MaxInventoryWeight"",""+"",I202=""MoveSpeed"",""%"",REGEXMATCH(I202,""ElementAddItemDrop_""),""%"",I202=""Logging"","&amp;"""+"",I202=""Mining"",""+"",I202=""Maxhp"",""%"",REGEXMATCH(I202,""TemperatureResist_""),""+"",REGEXMATCH(I202,""ElementResist_""),""%"",REGEXMATCH(I202,""TemperatureInvalid_""),""bool"",REGEXMATCH(I202,""BodyPartsWeakDamage""),""%"",REGEXMATCH(I202,""Ele"&amp;"mentBoost_""),""%"",AND(REGEXMATCH(B202,""GiveA""),REGEXMATCH(I202,""Element"")),""bool"")"),"%")</f>
        <v>%</v>
      </c>
      <c r="K202" s="6" t="n">
        <v>12</v>
      </c>
      <c r="L202" s="6" t="s">
        <v>1956</v>
      </c>
      <c r="M202" s="6" t="s">
        <v>175</v>
      </c>
      <c r="N202" s="6" t="str">
        <f aca="false">IFERROR(__xludf.dummyfunction("IFS(M202=""ShotAttack"",""%"",M202=""MeleeAttack"",""%"", M202=""Defense"",""%"",M202=""CraftSPeed"",""%"",M202=""LifeSteal"",""%"",M202=""MaxInventoryWeight"",""+"",M202=""MoveSpeed"",""%"",REGEXMATCH(M202,""ElementAddItemDrop_""),""%"",M202=""Logging"","&amp;"""+"",M202=""Mining"",""+"",M202=""Maxhp"",""%"",REGEXMATCH(M202,""TemperatureResist_""),""+"",REGEXMATCH(M202,""ElementResist_""),""%"",REGEXMATCH(M202,""TemperatureInvalid_""),""bool"",REGEXMATCH(M202,""BodyPartsWeakDamage""),""%"",REGEXMATCH(M202,""Ele"&amp;"mentBoost_""),""%"",AND(REGEXMATCH(F202,""GiveA""),REGEXMATCH(M202,""Element"")),""bool"")"),"%")</f>
        <v>%</v>
      </c>
      <c r="O202" s="6" t="n">
        <v>12</v>
      </c>
      <c r="P202" s="6" t="s">
        <v>1956</v>
      </c>
      <c r="Q202" s="6"/>
      <c r="R202" s="6" t="str">
        <f aca="false">IFERROR(__xludf.dummyfunction("IFS(Q202=""ShotAttack"",""%"",Q202=""MeleeAttack"",""%"", Q202=""Defense"",""%"",Q202=""CraftSPeed"",""%"",Q202=""LifeSteal"",""%"",Q202=""MaxInventoryWeight"",""+"",Q202=""MoveSpeed"",""%"",REGEXMATCH(Q202,""ElementAddItemDrop_""),""%"",Q202=""Logging"","&amp;"""+"",Q202=""Mining"",""+"",Q202=""Maxhp"",""%"",REGEXMATCH(Q202,""TemperatureResist_""),""+"",REGEXMATCH(Q202,""ElementResist_""),""%"",REGEXMATCH(Q202,""TemperatureInvalid_""),""bool"",REGEXMATCH(Q202,""BodyPartsWeakDamage""),""%"",REGEXMATCH(Q202,""Ele"&amp;"mentBoost_""),""%"",AND(REGEXMATCH(J202,""GiveA""),REGEXMATCH(Q202,""Element"")),""bool"")"),"#N/A")</f>
        <v>#N/A</v>
      </c>
      <c r="S202" s="6" t="n">
        <v>0</v>
      </c>
      <c r="T202" s="6"/>
      <c r="U202" s="319" t="b">
        <f aca="false">FALSE()</f>
        <v>0</v>
      </c>
      <c r="V202" s="319" t="b">
        <f aca="false">FALSE()</f>
        <v>0</v>
      </c>
      <c r="W202" s="319" t="b">
        <f aca="false">FALSE()</f>
        <v>0</v>
      </c>
      <c r="X202" s="319" t="b">
        <f aca="false">FALSE()</f>
        <v>0</v>
      </c>
      <c r="Y202" s="319" t="b">
        <f aca="false">TRUE()</f>
        <v>1</v>
      </c>
      <c r="Z202" s="319" t="b">
        <f aca="false">FALSE()</f>
        <v>0</v>
      </c>
      <c r="AA202" s="319" t="b">
        <f aca="false">FALSE()</f>
        <v>0</v>
      </c>
      <c r="AB202" s="319" t="b">
        <f aca="false">FALSE()</f>
        <v>0</v>
      </c>
      <c r="AC202" s="319" t="b">
        <f aca="false">FALSE()</f>
        <v>0</v>
      </c>
      <c r="AD202" s="319" t="b">
        <f aca="false">FALSE()</f>
        <v>0</v>
      </c>
      <c r="AE202" s="319" t="b">
        <f aca="false">FALSE()</f>
        <v>0</v>
      </c>
      <c r="AF202" s="319" t="b">
        <f aca="false">FALSE()</f>
        <v>0</v>
      </c>
      <c r="AG202" s="6" t="s">
        <v>182</v>
      </c>
      <c r="AH202" s="6" t="s">
        <v>182</v>
      </c>
    </row>
    <row r="203" customFormat="false" ht="15.75" hidden="false" customHeight="false" outlineLevel="0" collapsed="false">
      <c r="A203" s="1" t="e">
        <f aca="false">#N/A</f>
        <v>#N/A</v>
      </c>
      <c r="B203" s="6" t="s">
        <v>1111</v>
      </c>
      <c r="C203" s="3"/>
      <c r="D203" s="6" t="str">
        <f aca="false">I203   &amp; IF(ISBLANK(M203),, ". "&amp; M203 &amp; IF(ISBLANK(Q203),, ". "&amp; Q203))</f>
        <v>ShotAttack. Defense</v>
      </c>
      <c r="E203" s="6" t="str">
        <f aca="false">I203  &amp;": # on "&amp; L203  &amp; IF(ISBLANK(M203),, ". "&amp; M203 &amp;": # on "&amp; P203 &amp; IF(ISBLANK(Q203),, ". "&amp; Q203 &amp;": # on "&amp; T203))</f>
        <v>ShotAttack: # on Self. Defense: # on Self</v>
      </c>
      <c r="F203" s="6" t="str">
        <f aca="false">IF(U203,"active pal",)  &amp; IF(V203,"working",) &amp; IF(W203,"mounted",) &amp; IF(Y203,"in party (buff)",)  &amp; IF(Z203,"always",)</f>
        <v>in party (buff)</v>
      </c>
      <c r="G203" s="6" t="n">
        <v>1</v>
      </c>
      <c r="H203" s="6" t="s">
        <v>182</v>
      </c>
      <c r="I203" s="6" t="s">
        <v>659</v>
      </c>
      <c r="J203" s="6" t="str">
        <f aca="false">IFERROR(__xludf.dummyfunction("IFS(I203=""ShotAttack"",""%"",I203=""MeleeAttack"",""%"", I203=""Defense"",""%"",I203=""CraftSPeed"",""%"",I203=""LifeSteal"",""%"",I203=""MaxInventoryWeight"",""+"",I203=""MoveSpeed"",""%"",REGEXMATCH(I203,""ElementAddItemDrop_""),""%"",I203=""Logging"","&amp;"""+"",I203=""Mining"",""+"",I203=""Maxhp"",""%"",REGEXMATCH(I203,""TemperatureResist_""),""+"",REGEXMATCH(I203,""ElementResist_""),""%"",REGEXMATCH(I203,""TemperatureInvalid_""),""bool"",REGEXMATCH(I203,""BodyPartsWeakDamage""),""%"",REGEXMATCH(I203,""Ele"&amp;"mentBoost_""),""%"",AND(REGEXMATCH(B203,""GiveA""),REGEXMATCH(I203,""Element"")),""bool"")"),"%")</f>
        <v>%</v>
      </c>
      <c r="K203" s="6" t="n">
        <v>13</v>
      </c>
      <c r="L203" s="6" t="s">
        <v>1956</v>
      </c>
      <c r="M203" s="6" t="s">
        <v>175</v>
      </c>
      <c r="N203" s="6" t="str">
        <f aca="false">IFERROR(__xludf.dummyfunction("IFS(M203=""ShotAttack"",""%"",M203=""MeleeAttack"",""%"", M203=""Defense"",""%"",M203=""CraftSPeed"",""%"",M203=""LifeSteal"",""%"",M203=""MaxInventoryWeight"",""+"",M203=""MoveSpeed"",""%"",REGEXMATCH(M203,""ElementAddItemDrop_""),""%"",M203=""Logging"","&amp;"""+"",M203=""Mining"",""+"",M203=""Maxhp"",""%"",REGEXMATCH(M203,""TemperatureResist_""),""+"",REGEXMATCH(M203,""ElementResist_""),""%"",REGEXMATCH(M203,""TemperatureInvalid_""),""bool"",REGEXMATCH(M203,""BodyPartsWeakDamage""),""%"",REGEXMATCH(M203,""Ele"&amp;"mentBoost_""),""%"",AND(REGEXMATCH(F203,""GiveA""),REGEXMATCH(M203,""Element"")),""bool"")"),"%")</f>
        <v>%</v>
      </c>
      <c r="O203" s="6" t="n">
        <v>13</v>
      </c>
      <c r="P203" s="6" t="s">
        <v>1956</v>
      </c>
      <c r="Q203" s="6"/>
      <c r="R203" s="6" t="str">
        <f aca="false">IFERROR(__xludf.dummyfunction("IFS(Q203=""ShotAttack"",""%"",Q203=""MeleeAttack"",""%"", Q203=""Defense"",""%"",Q203=""CraftSPeed"",""%"",Q203=""LifeSteal"",""%"",Q203=""MaxInventoryWeight"",""+"",Q203=""MoveSpeed"",""%"",REGEXMATCH(Q203,""ElementAddItemDrop_""),""%"",Q203=""Logging"","&amp;"""+"",Q203=""Mining"",""+"",Q203=""Maxhp"",""%"",REGEXMATCH(Q203,""TemperatureResist_""),""+"",REGEXMATCH(Q203,""ElementResist_""),""%"",REGEXMATCH(Q203,""TemperatureInvalid_""),""bool"",REGEXMATCH(Q203,""BodyPartsWeakDamage""),""%"",REGEXMATCH(Q203,""Ele"&amp;"mentBoost_""),""%"",AND(REGEXMATCH(J203,""GiveA""),REGEXMATCH(Q203,""Element"")),""bool"")"),"#N/A")</f>
        <v>#N/A</v>
      </c>
      <c r="S203" s="6" t="n">
        <v>0</v>
      </c>
      <c r="T203" s="6"/>
      <c r="U203" s="319" t="b">
        <f aca="false">FALSE()</f>
        <v>0</v>
      </c>
      <c r="V203" s="319" t="b">
        <f aca="false">FALSE()</f>
        <v>0</v>
      </c>
      <c r="W203" s="319" t="b">
        <f aca="false">FALSE()</f>
        <v>0</v>
      </c>
      <c r="X203" s="319" t="b">
        <f aca="false">FALSE()</f>
        <v>0</v>
      </c>
      <c r="Y203" s="319" t="b">
        <f aca="false">TRUE()</f>
        <v>1</v>
      </c>
      <c r="Z203" s="319" t="b">
        <f aca="false">FALSE()</f>
        <v>0</v>
      </c>
      <c r="AA203" s="319" t="b">
        <f aca="false">FALSE()</f>
        <v>0</v>
      </c>
      <c r="AB203" s="319" t="b">
        <f aca="false">FALSE()</f>
        <v>0</v>
      </c>
      <c r="AC203" s="319" t="b">
        <f aca="false">FALSE()</f>
        <v>0</v>
      </c>
      <c r="AD203" s="319" t="b">
        <f aca="false">FALSE()</f>
        <v>0</v>
      </c>
      <c r="AE203" s="319" t="b">
        <f aca="false">FALSE()</f>
        <v>0</v>
      </c>
      <c r="AF203" s="319" t="b">
        <f aca="false">FALSE()</f>
        <v>0</v>
      </c>
      <c r="AG203" s="6" t="s">
        <v>182</v>
      </c>
      <c r="AH203" s="6" t="s">
        <v>182</v>
      </c>
    </row>
    <row r="204" customFormat="false" ht="15.75" hidden="false" customHeight="false" outlineLevel="0" collapsed="false">
      <c r="A204" s="1" t="e">
        <f aca="false">#N/A</f>
        <v>#N/A</v>
      </c>
      <c r="B204" s="6" t="s">
        <v>1112</v>
      </c>
      <c r="C204" s="3"/>
      <c r="D204" s="6" t="str">
        <f aca="false">I204   &amp; IF(ISBLANK(M204),, ". "&amp; M204 &amp; IF(ISBLANK(Q204),, ". "&amp; Q204))</f>
        <v>ShotAttack. Defense</v>
      </c>
      <c r="E204" s="6" t="str">
        <f aca="false">I204  &amp;": # on "&amp; L204  &amp; IF(ISBLANK(M204),, ". "&amp; M204 &amp;": # on "&amp; P204 &amp; IF(ISBLANK(Q204),, ". "&amp; Q204 &amp;": # on "&amp; T204))</f>
        <v>ShotAttack: # on Self. Defense: # on Self</v>
      </c>
      <c r="F204" s="6" t="str">
        <f aca="false">IF(U204,"active pal",)  &amp; IF(V204,"working",) &amp; IF(W204,"mounted",) &amp; IF(Y204,"in party (buff)",)  &amp; IF(Z204,"always",)</f>
        <v>in party (buff)</v>
      </c>
      <c r="G204" s="6" t="n">
        <v>1</v>
      </c>
      <c r="H204" s="6" t="s">
        <v>182</v>
      </c>
      <c r="I204" s="6" t="s">
        <v>659</v>
      </c>
      <c r="J204" s="6" t="str">
        <f aca="false">IFERROR(__xludf.dummyfunction("IFS(I204=""ShotAttack"",""%"",I204=""MeleeAttack"",""%"", I204=""Defense"",""%"",I204=""CraftSPeed"",""%"",I204=""LifeSteal"",""%"",I204=""MaxInventoryWeight"",""+"",I204=""MoveSpeed"",""%"",REGEXMATCH(I204,""ElementAddItemDrop_""),""%"",I204=""Logging"","&amp;"""+"",I204=""Mining"",""+"",I204=""Maxhp"",""%"",REGEXMATCH(I204,""TemperatureResist_""),""+"",REGEXMATCH(I204,""ElementResist_""),""%"",REGEXMATCH(I204,""TemperatureInvalid_""),""bool"",REGEXMATCH(I204,""BodyPartsWeakDamage""),""%"",REGEXMATCH(I204,""Ele"&amp;"mentBoost_""),""%"",AND(REGEXMATCH(B204,""GiveA""),REGEXMATCH(I204,""Element"")),""bool"")"),"%")</f>
        <v>%</v>
      </c>
      <c r="K204" s="6" t="n">
        <v>15</v>
      </c>
      <c r="L204" s="6" t="s">
        <v>1956</v>
      </c>
      <c r="M204" s="6" t="s">
        <v>175</v>
      </c>
      <c r="N204" s="6" t="str">
        <f aca="false">IFERROR(__xludf.dummyfunction("IFS(M204=""ShotAttack"",""%"",M204=""MeleeAttack"",""%"", M204=""Defense"",""%"",M204=""CraftSPeed"",""%"",M204=""LifeSteal"",""%"",M204=""MaxInventoryWeight"",""+"",M204=""MoveSpeed"",""%"",REGEXMATCH(M204,""ElementAddItemDrop_""),""%"",M204=""Logging"","&amp;"""+"",M204=""Mining"",""+"",M204=""Maxhp"",""%"",REGEXMATCH(M204,""TemperatureResist_""),""+"",REGEXMATCH(M204,""ElementResist_""),""%"",REGEXMATCH(M204,""TemperatureInvalid_""),""bool"",REGEXMATCH(M204,""BodyPartsWeakDamage""),""%"",REGEXMATCH(M204,""Ele"&amp;"mentBoost_""),""%"",AND(REGEXMATCH(F204,""GiveA""),REGEXMATCH(M204,""Element"")),""bool"")"),"%")</f>
        <v>%</v>
      </c>
      <c r="O204" s="6" t="n">
        <v>15</v>
      </c>
      <c r="P204" s="6" t="s">
        <v>1956</v>
      </c>
      <c r="Q204" s="6"/>
      <c r="R204" s="6" t="str">
        <f aca="false">IFERROR(__xludf.dummyfunction("IFS(Q204=""ShotAttack"",""%"",Q204=""MeleeAttack"",""%"", Q204=""Defense"",""%"",Q204=""CraftSPeed"",""%"",Q204=""LifeSteal"",""%"",Q204=""MaxInventoryWeight"",""+"",Q204=""MoveSpeed"",""%"",REGEXMATCH(Q204,""ElementAddItemDrop_""),""%"",Q204=""Logging"","&amp;"""+"",Q204=""Mining"",""+"",Q204=""Maxhp"",""%"",REGEXMATCH(Q204,""TemperatureResist_""),""+"",REGEXMATCH(Q204,""ElementResist_""),""%"",REGEXMATCH(Q204,""TemperatureInvalid_""),""bool"",REGEXMATCH(Q204,""BodyPartsWeakDamage""),""%"",REGEXMATCH(Q204,""Ele"&amp;"mentBoost_""),""%"",AND(REGEXMATCH(J204,""GiveA""),REGEXMATCH(Q204,""Element"")),""bool"")"),"#N/A")</f>
        <v>#N/A</v>
      </c>
      <c r="S204" s="6" t="n">
        <v>0</v>
      </c>
      <c r="T204" s="6"/>
      <c r="U204" s="319" t="b">
        <f aca="false">FALSE()</f>
        <v>0</v>
      </c>
      <c r="V204" s="319" t="b">
        <f aca="false">FALSE()</f>
        <v>0</v>
      </c>
      <c r="W204" s="319" t="b">
        <f aca="false">FALSE()</f>
        <v>0</v>
      </c>
      <c r="X204" s="319" t="b">
        <f aca="false">FALSE()</f>
        <v>0</v>
      </c>
      <c r="Y204" s="319" t="b">
        <f aca="false">TRUE()</f>
        <v>1</v>
      </c>
      <c r="Z204" s="319" t="b">
        <f aca="false">FALSE()</f>
        <v>0</v>
      </c>
      <c r="AA204" s="319" t="b">
        <f aca="false">FALSE()</f>
        <v>0</v>
      </c>
      <c r="AB204" s="319" t="b">
        <f aca="false">FALSE()</f>
        <v>0</v>
      </c>
      <c r="AC204" s="319" t="b">
        <f aca="false">FALSE()</f>
        <v>0</v>
      </c>
      <c r="AD204" s="319" t="b">
        <f aca="false">FALSE()</f>
        <v>0</v>
      </c>
      <c r="AE204" s="319" t="b">
        <f aca="false">FALSE()</f>
        <v>0</v>
      </c>
      <c r="AF204" s="319" t="b">
        <f aca="false">FALSE()</f>
        <v>0</v>
      </c>
      <c r="AG204" s="6" t="s">
        <v>182</v>
      </c>
      <c r="AH204" s="6" t="s">
        <v>182</v>
      </c>
    </row>
    <row r="205" customFormat="false" ht="15.75" hidden="false" customHeight="false" outlineLevel="0" collapsed="false">
      <c r="A205" s="1" t="e">
        <f aca="false">#N/A</f>
        <v>#N/A</v>
      </c>
      <c r="B205" s="6" t="s">
        <v>1113</v>
      </c>
      <c r="C205" s="3"/>
      <c r="D205" s="6" t="str">
        <f aca="false">I205   &amp; IF(ISBLANK(M205),, ". "&amp; M205 &amp; IF(ISBLANK(Q205),, ". "&amp; Q205))</f>
        <v>ShotAttack. Defense</v>
      </c>
      <c r="E205" s="6" t="str">
        <f aca="false">I205  &amp;": # on "&amp; L205  &amp; IF(ISBLANK(M205),, ". "&amp; M205 &amp;": # on "&amp; P205 &amp; IF(ISBLANK(Q205),, ". "&amp; Q205 &amp;": # on "&amp; T205))</f>
        <v>ShotAttack: # on Self. Defense: # on Self</v>
      </c>
      <c r="F205" s="6" t="str">
        <f aca="false">IF(U205,"active pal",)  &amp; IF(V205,"working",) &amp; IF(W205,"mounted",) &amp; IF(Y205,"in party (buff)",)  &amp; IF(Z205,"always",)</f>
        <v>in party (buff)</v>
      </c>
      <c r="G205" s="6" t="n">
        <v>1</v>
      </c>
      <c r="H205" s="6" t="s">
        <v>182</v>
      </c>
      <c r="I205" s="6" t="s">
        <v>659</v>
      </c>
      <c r="J205" s="6" t="str">
        <f aca="false">IFERROR(__xludf.dummyfunction("IFS(I205=""ShotAttack"",""%"",I205=""MeleeAttack"",""%"", I205=""Defense"",""%"",I205=""CraftSPeed"",""%"",I205=""LifeSteal"",""%"",I205=""MaxInventoryWeight"",""+"",I205=""MoveSpeed"",""%"",REGEXMATCH(I205,""ElementAddItemDrop_""),""%"",I205=""Logging"","&amp;"""+"",I205=""Mining"",""+"",I205=""Maxhp"",""%"",REGEXMATCH(I205,""TemperatureResist_""),""+"",REGEXMATCH(I205,""ElementResist_""),""%"",REGEXMATCH(I205,""TemperatureInvalid_""),""bool"",REGEXMATCH(I205,""BodyPartsWeakDamage""),""%"",REGEXMATCH(I205,""Ele"&amp;"mentBoost_""),""%"",AND(REGEXMATCH(B205,""GiveA""),REGEXMATCH(I205,""Element"")),""bool"")"),"%")</f>
        <v>%</v>
      </c>
      <c r="K205" s="6" t="n">
        <v>19</v>
      </c>
      <c r="L205" s="6" t="s">
        <v>1956</v>
      </c>
      <c r="M205" s="6" t="s">
        <v>175</v>
      </c>
      <c r="N205" s="6" t="str">
        <f aca="false">IFERROR(__xludf.dummyfunction("IFS(M205=""ShotAttack"",""%"",M205=""MeleeAttack"",""%"", M205=""Defense"",""%"",M205=""CraftSPeed"",""%"",M205=""LifeSteal"",""%"",M205=""MaxInventoryWeight"",""+"",M205=""MoveSpeed"",""%"",REGEXMATCH(M205,""ElementAddItemDrop_""),""%"",M205=""Logging"","&amp;"""+"",M205=""Mining"",""+"",M205=""Maxhp"",""%"",REGEXMATCH(M205,""TemperatureResist_""),""+"",REGEXMATCH(M205,""ElementResist_""),""%"",REGEXMATCH(M205,""TemperatureInvalid_""),""bool"",REGEXMATCH(M205,""BodyPartsWeakDamage""),""%"",REGEXMATCH(M205,""Ele"&amp;"mentBoost_""),""%"",AND(REGEXMATCH(F205,""GiveA""),REGEXMATCH(M205,""Element"")),""bool"")"),"%")</f>
        <v>%</v>
      </c>
      <c r="O205" s="6" t="n">
        <v>19</v>
      </c>
      <c r="P205" s="6" t="s">
        <v>1956</v>
      </c>
      <c r="Q205" s="6"/>
      <c r="R205" s="6" t="str">
        <f aca="false">IFERROR(__xludf.dummyfunction("IFS(Q205=""ShotAttack"",""%"",Q205=""MeleeAttack"",""%"", Q205=""Defense"",""%"",Q205=""CraftSPeed"",""%"",Q205=""LifeSteal"",""%"",Q205=""MaxInventoryWeight"",""+"",Q205=""MoveSpeed"",""%"",REGEXMATCH(Q205,""ElementAddItemDrop_""),""%"",Q205=""Logging"","&amp;"""+"",Q205=""Mining"",""+"",Q205=""Maxhp"",""%"",REGEXMATCH(Q205,""TemperatureResist_""),""+"",REGEXMATCH(Q205,""ElementResist_""),""%"",REGEXMATCH(Q205,""TemperatureInvalid_""),""bool"",REGEXMATCH(Q205,""BodyPartsWeakDamage""),""%"",REGEXMATCH(Q205,""Ele"&amp;"mentBoost_""),""%"",AND(REGEXMATCH(J205,""GiveA""),REGEXMATCH(Q205,""Element"")),""bool"")"),"#N/A")</f>
        <v>#N/A</v>
      </c>
      <c r="S205" s="6" t="n">
        <v>0</v>
      </c>
      <c r="T205" s="6"/>
      <c r="U205" s="319" t="b">
        <f aca="false">FALSE()</f>
        <v>0</v>
      </c>
      <c r="V205" s="319" t="b">
        <f aca="false">FALSE()</f>
        <v>0</v>
      </c>
      <c r="W205" s="319" t="b">
        <f aca="false">FALSE()</f>
        <v>0</v>
      </c>
      <c r="X205" s="319" t="b">
        <f aca="false">FALSE()</f>
        <v>0</v>
      </c>
      <c r="Y205" s="319" t="b">
        <f aca="false">TRUE()</f>
        <v>1</v>
      </c>
      <c r="Z205" s="319" t="b">
        <f aca="false">FALSE()</f>
        <v>0</v>
      </c>
      <c r="AA205" s="319" t="b">
        <f aca="false">FALSE()</f>
        <v>0</v>
      </c>
      <c r="AB205" s="319" t="b">
        <f aca="false">FALSE()</f>
        <v>0</v>
      </c>
      <c r="AC205" s="319" t="b">
        <f aca="false">FALSE()</f>
        <v>0</v>
      </c>
      <c r="AD205" s="319" t="b">
        <f aca="false">FALSE()</f>
        <v>0</v>
      </c>
      <c r="AE205" s="319" t="b">
        <f aca="false">FALSE()</f>
        <v>0</v>
      </c>
      <c r="AF205" s="319" t="b">
        <f aca="false">FALSE()</f>
        <v>0</v>
      </c>
      <c r="AG205" s="6" t="s">
        <v>182</v>
      </c>
      <c r="AH205" s="6" t="s">
        <v>182</v>
      </c>
    </row>
    <row r="206" customFormat="false" ht="15.75" hidden="false" customHeight="false" outlineLevel="0" collapsed="false">
      <c r="A206" s="1" t="e">
        <f aca="false">#N/A</f>
        <v>#N/A</v>
      </c>
      <c r="B206" s="6" t="s">
        <v>1114</v>
      </c>
      <c r="C206" s="3"/>
      <c r="D206" s="6" t="str">
        <f aca="false">I206   &amp; IF(ISBLANK(M206),, ". "&amp; M206 &amp; IF(ISBLANK(Q206),, ". "&amp; Q206))</f>
        <v>ShotAttack. Defense</v>
      </c>
      <c r="E206" s="6" t="str">
        <f aca="false">I206  &amp;": # on "&amp; L206  &amp; IF(ISBLANK(M206),, ". "&amp; M206 &amp;": # on "&amp; P206 &amp; IF(ISBLANK(Q206),, ". "&amp; Q206 &amp;": # on "&amp; T206))</f>
        <v>ShotAttack: # on Self. Defense: # on Self</v>
      </c>
      <c r="F206" s="6" t="str">
        <f aca="false">IF(U206,"active pal",)  &amp; IF(V206,"working",) &amp; IF(W206,"mounted",) &amp; IF(Y206,"in party (buff)",)  &amp; IF(Z206,"always",)</f>
        <v>in party (buff)</v>
      </c>
      <c r="G206" s="6" t="n">
        <v>1</v>
      </c>
      <c r="H206" s="6" t="s">
        <v>182</v>
      </c>
      <c r="I206" s="6" t="s">
        <v>659</v>
      </c>
      <c r="J206" s="6" t="str">
        <f aca="false">IFERROR(__xludf.dummyfunction("IFS(I206=""ShotAttack"",""%"",I206=""MeleeAttack"",""%"", I206=""Defense"",""%"",I206=""CraftSPeed"",""%"",I206=""LifeSteal"",""%"",I206=""MaxInventoryWeight"",""+"",I206=""MoveSpeed"",""%"",REGEXMATCH(I206,""ElementAddItemDrop_""),""%"",I206=""Logging"","&amp;"""+"",I206=""Mining"",""+"",I206=""Maxhp"",""%"",REGEXMATCH(I206,""TemperatureResist_""),""+"",REGEXMATCH(I206,""ElementResist_""),""%"",REGEXMATCH(I206,""TemperatureInvalid_""),""bool"",REGEXMATCH(I206,""BodyPartsWeakDamage""),""%"",REGEXMATCH(I206,""Ele"&amp;"mentBoost_""),""%"",AND(REGEXMATCH(B206,""GiveA""),REGEXMATCH(I206,""Element"")),""bool"")"),"%")</f>
        <v>%</v>
      </c>
      <c r="K206" s="6" t="n">
        <v>24</v>
      </c>
      <c r="L206" s="6" t="s">
        <v>1956</v>
      </c>
      <c r="M206" s="6" t="s">
        <v>175</v>
      </c>
      <c r="N206" s="6" t="str">
        <f aca="false">IFERROR(__xludf.dummyfunction("IFS(M206=""ShotAttack"",""%"",M206=""MeleeAttack"",""%"", M206=""Defense"",""%"",M206=""CraftSPeed"",""%"",M206=""LifeSteal"",""%"",M206=""MaxInventoryWeight"",""+"",M206=""MoveSpeed"",""%"",REGEXMATCH(M206,""ElementAddItemDrop_""),""%"",M206=""Logging"","&amp;"""+"",M206=""Mining"",""+"",M206=""Maxhp"",""%"",REGEXMATCH(M206,""TemperatureResist_""),""+"",REGEXMATCH(M206,""ElementResist_""),""%"",REGEXMATCH(M206,""TemperatureInvalid_""),""bool"",REGEXMATCH(M206,""BodyPartsWeakDamage""),""%"",REGEXMATCH(M206,""Ele"&amp;"mentBoost_""),""%"",AND(REGEXMATCH(F206,""GiveA""),REGEXMATCH(M206,""Element"")),""bool"")"),"%")</f>
        <v>%</v>
      </c>
      <c r="O206" s="6" t="n">
        <v>24</v>
      </c>
      <c r="P206" s="6" t="s">
        <v>1956</v>
      </c>
      <c r="Q206" s="6"/>
      <c r="R206" s="6" t="str">
        <f aca="false">IFERROR(__xludf.dummyfunction("IFS(Q206=""ShotAttack"",""%"",Q206=""MeleeAttack"",""%"", Q206=""Defense"",""%"",Q206=""CraftSPeed"",""%"",Q206=""LifeSteal"",""%"",Q206=""MaxInventoryWeight"",""+"",Q206=""MoveSpeed"",""%"",REGEXMATCH(Q206,""ElementAddItemDrop_""),""%"",Q206=""Logging"","&amp;"""+"",Q206=""Mining"",""+"",Q206=""Maxhp"",""%"",REGEXMATCH(Q206,""TemperatureResist_""),""+"",REGEXMATCH(Q206,""ElementResist_""),""%"",REGEXMATCH(Q206,""TemperatureInvalid_""),""bool"",REGEXMATCH(Q206,""BodyPartsWeakDamage""),""%"",REGEXMATCH(Q206,""Ele"&amp;"mentBoost_""),""%"",AND(REGEXMATCH(J206,""GiveA""),REGEXMATCH(Q206,""Element"")),""bool"")"),"#N/A")</f>
        <v>#N/A</v>
      </c>
      <c r="S206" s="6" t="n">
        <v>0</v>
      </c>
      <c r="T206" s="6"/>
      <c r="U206" s="319" t="b">
        <f aca="false">FALSE()</f>
        <v>0</v>
      </c>
      <c r="V206" s="319" t="b">
        <f aca="false">FALSE()</f>
        <v>0</v>
      </c>
      <c r="W206" s="319" t="b">
        <f aca="false">FALSE()</f>
        <v>0</v>
      </c>
      <c r="X206" s="319" t="b">
        <f aca="false">FALSE()</f>
        <v>0</v>
      </c>
      <c r="Y206" s="319" t="b">
        <f aca="false">TRUE()</f>
        <v>1</v>
      </c>
      <c r="Z206" s="319" t="b">
        <f aca="false">FALSE()</f>
        <v>0</v>
      </c>
      <c r="AA206" s="319" t="b">
        <f aca="false">FALSE()</f>
        <v>0</v>
      </c>
      <c r="AB206" s="319" t="b">
        <f aca="false">FALSE()</f>
        <v>0</v>
      </c>
      <c r="AC206" s="319" t="b">
        <f aca="false">FALSE()</f>
        <v>0</v>
      </c>
      <c r="AD206" s="319" t="b">
        <f aca="false">FALSE()</f>
        <v>0</v>
      </c>
      <c r="AE206" s="319" t="b">
        <f aca="false">FALSE()</f>
        <v>0</v>
      </c>
      <c r="AF206" s="319" t="b">
        <f aca="false">FALSE()</f>
        <v>0</v>
      </c>
      <c r="AG206" s="6" t="s">
        <v>182</v>
      </c>
      <c r="AH206" s="6" t="s">
        <v>182</v>
      </c>
    </row>
    <row r="207" customFormat="false" ht="15.75" hidden="false" customHeight="false" outlineLevel="0" collapsed="false">
      <c r="A207" s="3" t="s">
        <v>2221</v>
      </c>
      <c r="B207" s="6" t="s">
        <v>1066</v>
      </c>
      <c r="C207" s="311" t="b">
        <f aca="false">TRUE()</f>
        <v>1</v>
      </c>
      <c r="D207" s="6" t="str">
        <f aca="false">I207   &amp; IF(ISBLANK(M207),, ". "&amp; M207 &amp; IF(ISBLANK(Q207),, ". "&amp; Q207))</f>
        <v>ElementResist_Normal</v>
      </c>
      <c r="E207" s="6" t="str">
        <f aca="false">I207  &amp;": # on "&amp; L207  &amp; IF(ISBLANK(M207),, ". "&amp; M207 &amp;": # on "&amp; P207 &amp; IF(ISBLANK(Q207),, ". "&amp; Q207 &amp;": # on "&amp; T207))</f>
        <v>ElementResist_Normal: # on Self</v>
      </c>
      <c r="F207" s="6" t="str">
        <f aca="false">IF(U207,"active pal",)  &amp; IF(V207,"working",) &amp; IF(W207,"mounted",) &amp; IF(Y207,"in party (buff)",)  &amp; IF(Z207,"always",)</f>
        <v>always</v>
      </c>
      <c r="G207" s="6" t="n">
        <v>1</v>
      </c>
      <c r="H207" s="6" t="s">
        <v>2222</v>
      </c>
      <c r="I207" s="6" t="s">
        <v>2145</v>
      </c>
      <c r="J207" s="6" t="str">
        <f aca="false">IFERROR(__xludf.dummyfunction("IFS(I207=""ShotAttack"",""%"",I207=""MeleeAttack"",""%"", I207=""Defense"",""%"",I207=""CraftSPeed"",""%"",I207=""LifeSteal"",""%"",I207=""MaxInventoryWeight"",""+"",I207=""MoveSpeed"",""%"",REGEXMATCH(I207,""ElementAddItemDrop_""),""%"",I207=""Logging"","&amp;"""+"",I207=""Mining"",""+"",I207=""Maxhp"",""%"",REGEXMATCH(I207,""TemperatureResist_""),""+"",REGEXMATCH(I207,""ElementResist_""),""%"",REGEXMATCH(I207,""TemperatureInvalid_""),""bool"",REGEXMATCH(I207,""BodyPartsWeakDamage""),""%"",REGEXMATCH(I207,""Ele"&amp;"mentBoost_""),""%"",AND(REGEXMATCH(B207,""GiveA""),REGEXMATCH(I207,""Element"")),""bool"")"),"%")</f>
        <v>%</v>
      </c>
      <c r="K207" s="6" t="n">
        <v>10</v>
      </c>
      <c r="L207" s="6" t="s">
        <v>1956</v>
      </c>
      <c r="M207" s="6"/>
      <c r="N207" s="6" t="str">
        <f aca="false">IFERROR(__xludf.dummyfunction("IFS(M207=""ShotAttack"",""%"",M207=""MeleeAttack"",""%"", M207=""Defense"",""%"",M207=""CraftSPeed"",""%"",M207=""LifeSteal"",""%"",M207=""MaxInventoryWeight"",""+"",M207=""MoveSpeed"",""%"",REGEXMATCH(M207,""ElementAddItemDrop_""),""%"",M207=""Logging"","&amp;"""+"",M207=""Mining"",""+"",M207=""Maxhp"",""%"",REGEXMATCH(M207,""TemperatureResist_""),""+"",REGEXMATCH(M207,""ElementResist_""),""%"",REGEXMATCH(M207,""TemperatureInvalid_""),""bool"",REGEXMATCH(M207,""BodyPartsWeakDamage""),""%"",REGEXMATCH(M207,""Ele"&amp;"mentBoost_""),""%"",AND(REGEXMATCH(F207,""GiveA""),REGEXMATCH(M207,""Element"")),""bool"")"),"#N/A")</f>
        <v>#N/A</v>
      </c>
      <c r="O207" s="6" t="n">
        <v>0</v>
      </c>
      <c r="P207" s="6"/>
      <c r="Q207" s="6"/>
      <c r="R207" s="6" t="str">
        <f aca="false">IFERROR(__xludf.dummyfunction("IFS(Q207=""ShotAttack"",""%"",Q207=""MeleeAttack"",""%"", Q207=""Defense"",""%"",Q207=""CraftSPeed"",""%"",Q207=""LifeSteal"",""%"",Q207=""MaxInventoryWeight"",""+"",Q207=""MoveSpeed"",""%"",REGEXMATCH(Q207,""ElementAddItemDrop_""),""%"",Q207=""Logging"","&amp;"""+"",Q207=""Mining"",""+"",Q207=""Maxhp"",""%"",REGEXMATCH(Q207,""TemperatureResist_""),""+"",REGEXMATCH(Q207,""ElementResist_""),""%"",REGEXMATCH(Q207,""TemperatureInvalid_""),""bool"",REGEXMATCH(Q207,""BodyPartsWeakDamage""),""%"",REGEXMATCH(Q207,""Ele"&amp;"mentBoost_""),""%"",AND(REGEXMATCH(J207,""GiveA""),REGEXMATCH(Q207,""Element"")),""bool"")"),"#N/A")</f>
        <v>#N/A</v>
      </c>
      <c r="S207" s="6" t="n">
        <v>0</v>
      </c>
      <c r="T207" s="6"/>
      <c r="U207" s="319" t="b">
        <f aca="false">FALSE()</f>
        <v>0</v>
      </c>
      <c r="V207" s="319" t="b">
        <f aca="false">FALSE()</f>
        <v>0</v>
      </c>
      <c r="W207" s="319" t="b">
        <f aca="false">FALSE()</f>
        <v>0</v>
      </c>
      <c r="X207" s="319" t="b">
        <f aca="false">FALSE()</f>
        <v>0</v>
      </c>
      <c r="Y207" s="319" t="b">
        <f aca="false">FALSE()</f>
        <v>0</v>
      </c>
      <c r="Z207" s="319" t="b">
        <f aca="false">TRUE()</f>
        <v>1</v>
      </c>
      <c r="AA207" s="319" t="b">
        <f aca="false">TRUE()</f>
        <v>1</v>
      </c>
      <c r="AB207" s="319" t="b">
        <f aca="false">FALSE()</f>
        <v>0</v>
      </c>
      <c r="AC207" s="319" t="b">
        <f aca="false">FALSE()</f>
        <v>0</v>
      </c>
      <c r="AD207" s="319" t="b">
        <f aca="false">FALSE()</f>
        <v>0</v>
      </c>
      <c r="AE207" s="319" t="b">
        <f aca="false">FALSE()</f>
        <v>0</v>
      </c>
      <c r="AF207" s="319" t="b">
        <f aca="false">FALSE()</f>
        <v>0</v>
      </c>
      <c r="AG207" s="6" t="s">
        <v>182</v>
      </c>
      <c r="AH207" s="6" t="s">
        <v>182</v>
      </c>
    </row>
    <row r="208" customFormat="false" ht="15.75" hidden="false" customHeight="false" outlineLevel="0" collapsed="false">
      <c r="A208" s="3" t="s">
        <v>2223</v>
      </c>
      <c r="B208" s="6" t="s">
        <v>2224</v>
      </c>
      <c r="C208" s="311" t="b">
        <f aca="false">TRUE()</f>
        <v>1</v>
      </c>
      <c r="D208" s="6" t="str">
        <f aca="false">I208   &amp; IF(ISBLANK(M208),, ". "&amp; M208 &amp; IF(ISBLANK(Q208),, ". "&amp; Q208))</f>
        <v>ElementResist_Fire</v>
      </c>
      <c r="E208" s="6" t="str">
        <f aca="false">I208  &amp;": # on "&amp; L208  &amp; IF(ISBLANK(M208),, ". "&amp; M208 &amp;": # on "&amp; P208 &amp; IF(ISBLANK(Q208),, ". "&amp; Q208 &amp;": # on "&amp; T208))</f>
        <v>ElementResist_Fire: # on Self</v>
      </c>
      <c r="F208" s="6" t="str">
        <f aca="false">IF(U208,"active pal",)  &amp; IF(V208,"working",) &amp; IF(W208,"mounted",) &amp; IF(Y208,"in party (buff)",)  &amp; IF(Z208,"always",)</f>
        <v>always</v>
      </c>
      <c r="G208" s="6" t="n">
        <v>1</v>
      </c>
      <c r="H208" s="6" t="s">
        <v>2225</v>
      </c>
      <c r="I208" s="6" t="s">
        <v>2148</v>
      </c>
      <c r="J208" s="6" t="str">
        <f aca="false">IFERROR(__xludf.dummyfunction("IFS(I208=""ShotAttack"",""%"",I208=""MeleeAttack"",""%"", I208=""Defense"",""%"",I208=""CraftSPeed"",""%"",I208=""LifeSteal"",""%"",I208=""MaxInventoryWeight"",""+"",I208=""MoveSpeed"",""%"",REGEXMATCH(I208,""ElementAddItemDrop_""),""%"",I208=""Logging"","&amp;"""+"",I208=""Mining"",""+"",I208=""Maxhp"",""%"",REGEXMATCH(I208,""TemperatureResist_""),""+"",REGEXMATCH(I208,""ElementResist_""),""%"",REGEXMATCH(I208,""TemperatureInvalid_""),""bool"",REGEXMATCH(I208,""BodyPartsWeakDamage""),""%"",REGEXMATCH(I208,""Ele"&amp;"mentBoost_""),""%"",AND(REGEXMATCH(B208,""GiveA""),REGEXMATCH(I208,""Element"")),""bool"")"),"%")</f>
        <v>%</v>
      </c>
      <c r="K208" s="6" t="n">
        <v>10</v>
      </c>
      <c r="L208" s="6" t="s">
        <v>1956</v>
      </c>
      <c r="M208" s="6"/>
      <c r="N208" s="6" t="str">
        <f aca="false">IFERROR(__xludf.dummyfunction("IFS(M208=""ShotAttack"",""%"",M208=""MeleeAttack"",""%"", M208=""Defense"",""%"",M208=""CraftSPeed"",""%"",M208=""LifeSteal"",""%"",M208=""MaxInventoryWeight"",""+"",M208=""MoveSpeed"",""%"",REGEXMATCH(M208,""ElementAddItemDrop_""),""%"",M208=""Logging"","&amp;"""+"",M208=""Mining"",""+"",M208=""Maxhp"",""%"",REGEXMATCH(M208,""TemperatureResist_""),""+"",REGEXMATCH(M208,""ElementResist_""),""%"",REGEXMATCH(M208,""TemperatureInvalid_""),""bool"",REGEXMATCH(M208,""BodyPartsWeakDamage""),""%"",REGEXMATCH(M208,""Ele"&amp;"mentBoost_""),""%"",AND(REGEXMATCH(F208,""GiveA""),REGEXMATCH(M208,""Element"")),""bool"")"),"#N/A")</f>
        <v>#N/A</v>
      </c>
      <c r="O208" s="6" t="n">
        <v>0</v>
      </c>
      <c r="P208" s="6"/>
      <c r="Q208" s="6"/>
      <c r="R208" s="6" t="str">
        <f aca="false">IFERROR(__xludf.dummyfunction("IFS(Q208=""ShotAttack"",""%"",Q208=""MeleeAttack"",""%"", Q208=""Defense"",""%"",Q208=""CraftSPeed"",""%"",Q208=""LifeSteal"",""%"",Q208=""MaxInventoryWeight"",""+"",Q208=""MoveSpeed"",""%"",REGEXMATCH(Q208,""ElementAddItemDrop_""),""%"",Q208=""Logging"","&amp;"""+"",Q208=""Mining"",""+"",Q208=""Maxhp"",""%"",REGEXMATCH(Q208,""TemperatureResist_""),""+"",REGEXMATCH(Q208,""ElementResist_""),""%"",REGEXMATCH(Q208,""TemperatureInvalid_""),""bool"",REGEXMATCH(Q208,""BodyPartsWeakDamage""),""%"",REGEXMATCH(Q208,""Ele"&amp;"mentBoost_""),""%"",AND(REGEXMATCH(J208,""GiveA""),REGEXMATCH(Q208,""Element"")),""bool"")"),"#N/A")</f>
        <v>#N/A</v>
      </c>
      <c r="S208" s="6" t="n">
        <v>0</v>
      </c>
      <c r="T208" s="6"/>
      <c r="U208" s="319" t="b">
        <f aca="false">FALSE()</f>
        <v>0</v>
      </c>
      <c r="V208" s="319" t="b">
        <f aca="false">FALSE()</f>
        <v>0</v>
      </c>
      <c r="W208" s="319" t="b">
        <f aca="false">FALSE()</f>
        <v>0</v>
      </c>
      <c r="X208" s="319" t="b">
        <f aca="false">FALSE()</f>
        <v>0</v>
      </c>
      <c r="Y208" s="319" t="b">
        <f aca="false">FALSE()</f>
        <v>0</v>
      </c>
      <c r="Z208" s="319" t="b">
        <f aca="false">TRUE()</f>
        <v>1</v>
      </c>
      <c r="AA208" s="319" t="b">
        <f aca="false">TRUE()</f>
        <v>1</v>
      </c>
      <c r="AB208" s="319" t="b">
        <f aca="false">FALSE()</f>
        <v>0</v>
      </c>
      <c r="AC208" s="319" t="b">
        <f aca="false">FALSE()</f>
        <v>0</v>
      </c>
      <c r="AD208" s="319" t="b">
        <f aca="false">FALSE()</f>
        <v>0</v>
      </c>
      <c r="AE208" s="319" t="b">
        <f aca="false">FALSE()</f>
        <v>0</v>
      </c>
      <c r="AF208" s="319" t="b">
        <f aca="false">FALSE()</f>
        <v>0</v>
      </c>
      <c r="AG208" s="6" t="s">
        <v>182</v>
      </c>
      <c r="AH208" s="6" t="s">
        <v>182</v>
      </c>
    </row>
    <row r="209" customFormat="false" ht="15.75" hidden="false" customHeight="false" outlineLevel="0" collapsed="false">
      <c r="A209" s="3" t="s">
        <v>2226</v>
      </c>
      <c r="B209" s="6" t="s">
        <v>2227</v>
      </c>
      <c r="C209" s="311" t="b">
        <f aca="false">TRUE()</f>
        <v>1</v>
      </c>
      <c r="D209" s="6" t="str">
        <f aca="false">I209   &amp; IF(ISBLANK(M209),, ". "&amp; M209 &amp; IF(ISBLANK(Q209),, ". "&amp; Q209))</f>
        <v>ElementResist_Water</v>
      </c>
      <c r="E209" s="6" t="str">
        <f aca="false">I209  &amp;": # on "&amp; L209  &amp; IF(ISBLANK(M209),, ". "&amp; M209 &amp;": # on "&amp; P209 &amp; IF(ISBLANK(Q209),, ". "&amp; Q209 &amp;": # on "&amp; T209))</f>
        <v>ElementResist_Water: # on Self</v>
      </c>
      <c r="F209" s="6" t="str">
        <f aca="false">IF(U209,"active pal",)  &amp; IF(V209,"working",) &amp; IF(W209,"mounted",) &amp; IF(Y209,"in party (buff)",)  &amp; IF(Z209,"always",)</f>
        <v>always</v>
      </c>
      <c r="G209" s="6" t="n">
        <v>1</v>
      </c>
      <c r="H209" s="6" t="s">
        <v>2228</v>
      </c>
      <c r="I209" s="6" t="s">
        <v>2151</v>
      </c>
      <c r="J209" s="6" t="str">
        <f aca="false">IFERROR(__xludf.dummyfunction("IFS(I209=""ShotAttack"",""%"",I209=""MeleeAttack"",""%"", I209=""Defense"",""%"",I209=""CraftSPeed"",""%"",I209=""LifeSteal"",""%"",I209=""MaxInventoryWeight"",""+"",I209=""MoveSpeed"",""%"",REGEXMATCH(I209,""ElementAddItemDrop_""),""%"",I209=""Logging"","&amp;"""+"",I209=""Mining"",""+"",I209=""Maxhp"",""%"",REGEXMATCH(I209,""TemperatureResist_""),""+"",REGEXMATCH(I209,""ElementResist_""),""%"",REGEXMATCH(I209,""TemperatureInvalid_""),""bool"",REGEXMATCH(I209,""BodyPartsWeakDamage""),""%"",REGEXMATCH(I209,""Ele"&amp;"mentBoost_""),""%"",AND(REGEXMATCH(B209,""GiveA""),REGEXMATCH(I209,""Element"")),""bool"")"),"%")</f>
        <v>%</v>
      </c>
      <c r="K209" s="6" t="n">
        <v>10</v>
      </c>
      <c r="L209" s="6" t="s">
        <v>1956</v>
      </c>
      <c r="M209" s="6"/>
      <c r="N209" s="6" t="str">
        <f aca="false">IFERROR(__xludf.dummyfunction("IFS(M209=""ShotAttack"",""%"",M209=""MeleeAttack"",""%"", M209=""Defense"",""%"",M209=""CraftSPeed"",""%"",M209=""LifeSteal"",""%"",M209=""MaxInventoryWeight"",""+"",M209=""MoveSpeed"",""%"",REGEXMATCH(M209,""ElementAddItemDrop_""),""%"",M209=""Logging"","&amp;"""+"",M209=""Mining"",""+"",M209=""Maxhp"",""%"",REGEXMATCH(M209,""TemperatureResist_""),""+"",REGEXMATCH(M209,""ElementResist_""),""%"",REGEXMATCH(M209,""TemperatureInvalid_""),""bool"",REGEXMATCH(M209,""BodyPartsWeakDamage""),""%"",REGEXMATCH(M209,""Ele"&amp;"mentBoost_""),""%"",AND(REGEXMATCH(F209,""GiveA""),REGEXMATCH(M209,""Element"")),""bool"")"),"#N/A")</f>
        <v>#N/A</v>
      </c>
      <c r="O209" s="6" t="n">
        <v>0</v>
      </c>
      <c r="P209" s="6"/>
      <c r="Q209" s="6"/>
      <c r="R209" s="6" t="str">
        <f aca="false">IFERROR(__xludf.dummyfunction("IFS(Q209=""ShotAttack"",""%"",Q209=""MeleeAttack"",""%"", Q209=""Defense"",""%"",Q209=""CraftSPeed"",""%"",Q209=""LifeSteal"",""%"",Q209=""MaxInventoryWeight"",""+"",Q209=""MoveSpeed"",""%"",REGEXMATCH(Q209,""ElementAddItemDrop_""),""%"",Q209=""Logging"","&amp;"""+"",Q209=""Mining"",""+"",Q209=""Maxhp"",""%"",REGEXMATCH(Q209,""TemperatureResist_""),""+"",REGEXMATCH(Q209,""ElementResist_""),""%"",REGEXMATCH(Q209,""TemperatureInvalid_""),""bool"",REGEXMATCH(Q209,""BodyPartsWeakDamage""),""%"",REGEXMATCH(Q209,""Ele"&amp;"mentBoost_""),""%"",AND(REGEXMATCH(J209,""GiveA""),REGEXMATCH(Q209,""Element"")),""bool"")"),"#N/A")</f>
        <v>#N/A</v>
      </c>
      <c r="S209" s="6" t="n">
        <v>0</v>
      </c>
      <c r="T209" s="6"/>
      <c r="U209" s="319" t="b">
        <f aca="false">FALSE()</f>
        <v>0</v>
      </c>
      <c r="V209" s="319" t="b">
        <f aca="false">FALSE()</f>
        <v>0</v>
      </c>
      <c r="W209" s="319" t="b">
        <f aca="false">FALSE()</f>
        <v>0</v>
      </c>
      <c r="X209" s="319" t="b">
        <f aca="false">FALSE()</f>
        <v>0</v>
      </c>
      <c r="Y209" s="319" t="b">
        <f aca="false">FALSE()</f>
        <v>0</v>
      </c>
      <c r="Z209" s="319" t="b">
        <f aca="false">TRUE()</f>
        <v>1</v>
      </c>
      <c r="AA209" s="319" t="b">
        <f aca="false">TRUE()</f>
        <v>1</v>
      </c>
      <c r="AB209" s="319" t="b">
        <f aca="false">FALSE()</f>
        <v>0</v>
      </c>
      <c r="AC209" s="319" t="b">
        <f aca="false">FALSE()</f>
        <v>0</v>
      </c>
      <c r="AD209" s="319" t="b">
        <f aca="false">FALSE()</f>
        <v>0</v>
      </c>
      <c r="AE209" s="319" t="b">
        <f aca="false">FALSE()</f>
        <v>0</v>
      </c>
      <c r="AF209" s="319" t="b">
        <f aca="false">FALSE()</f>
        <v>0</v>
      </c>
      <c r="AG209" s="6" t="s">
        <v>182</v>
      </c>
      <c r="AH209" s="6" t="s">
        <v>182</v>
      </c>
    </row>
    <row r="210" customFormat="false" ht="15.75" hidden="false" customHeight="false" outlineLevel="0" collapsed="false">
      <c r="A210" s="3" t="s">
        <v>2229</v>
      </c>
      <c r="B210" s="6" t="s">
        <v>2230</v>
      </c>
      <c r="C210" s="311" t="b">
        <f aca="false">TRUE()</f>
        <v>1</v>
      </c>
      <c r="D210" s="6" t="str">
        <f aca="false">I210   &amp; IF(ISBLANK(M210),, ". "&amp; M210 &amp; IF(ISBLANK(Q210),, ". "&amp; Q210))</f>
        <v>ElementResist_Electricity</v>
      </c>
      <c r="E210" s="6" t="str">
        <f aca="false">I210  &amp;": # on "&amp; L210  &amp; IF(ISBLANK(M210),, ". "&amp; M210 &amp;": # on "&amp; P210 &amp; IF(ISBLANK(Q210),, ". "&amp; Q210 &amp;": # on "&amp; T210))</f>
        <v>ElementResist_Electricity: # on Self</v>
      </c>
      <c r="F210" s="6" t="str">
        <f aca="false">IF(U210,"active pal",)  &amp; IF(V210,"working",) &amp; IF(W210,"mounted",) &amp; IF(Y210,"in party (buff)",)  &amp; IF(Z210,"always",)</f>
        <v>always</v>
      </c>
      <c r="G210" s="6" t="n">
        <v>1</v>
      </c>
      <c r="H210" s="6" t="s">
        <v>2231</v>
      </c>
      <c r="I210" s="6" t="s">
        <v>2154</v>
      </c>
      <c r="J210" s="6" t="str">
        <f aca="false">IFERROR(__xludf.dummyfunction("IFS(I210=""ShotAttack"",""%"",I210=""MeleeAttack"",""%"", I210=""Defense"",""%"",I210=""CraftSPeed"",""%"",I210=""LifeSteal"",""%"",I210=""MaxInventoryWeight"",""+"",I210=""MoveSpeed"",""%"",REGEXMATCH(I210,""ElementAddItemDrop_""),""%"",I210=""Logging"","&amp;"""+"",I210=""Mining"",""+"",I210=""Maxhp"",""%"",REGEXMATCH(I210,""TemperatureResist_""),""+"",REGEXMATCH(I210,""ElementResist_""),""%"",REGEXMATCH(I210,""TemperatureInvalid_""),""bool"",REGEXMATCH(I210,""BodyPartsWeakDamage""),""%"",REGEXMATCH(I210,""Ele"&amp;"mentBoost_""),""%"",AND(REGEXMATCH(B210,""GiveA""),REGEXMATCH(I210,""Element"")),""bool"")"),"%")</f>
        <v>%</v>
      </c>
      <c r="K210" s="6" t="n">
        <v>10</v>
      </c>
      <c r="L210" s="6" t="s">
        <v>1956</v>
      </c>
      <c r="M210" s="6"/>
      <c r="N210" s="6" t="str">
        <f aca="false">IFERROR(__xludf.dummyfunction("IFS(M210=""ShotAttack"",""%"",M210=""MeleeAttack"",""%"", M210=""Defense"",""%"",M210=""CraftSPeed"",""%"",M210=""LifeSteal"",""%"",M210=""MaxInventoryWeight"",""+"",M210=""MoveSpeed"",""%"",REGEXMATCH(M210,""ElementAddItemDrop_""),""%"",M210=""Logging"","&amp;"""+"",M210=""Mining"",""+"",M210=""Maxhp"",""%"",REGEXMATCH(M210,""TemperatureResist_""),""+"",REGEXMATCH(M210,""ElementResist_""),""%"",REGEXMATCH(M210,""TemperatureInvalid_""),""bool"",REGEXMATCH(M210,""BodyPartsWeakDamage""),""%"",REGEXMATCH(M210,""Ele"&amp;"mentBoost_""),""%"",AND(REGEXMATCH(F210,""GiveA""),REGEXMATCH(M210,""Element"")),""bool"")"),"#N/A")</f>
        <v>#N/A</v>
      </c>
      <c r="O210" s="6" t="n">
        <v>0</v>
      </c>
      <c r="P210" s="6"/>
      <c r="Q210" s="6"/>
      <c r="R210" s="6" t="str">
        <f aca="false">IFERROR(__xludf.dummyfunction("IFS(Q210=""ShotAttack"",""%"",Q210=""MeleeAttack"",""%"", Q210=""Defense"",""%"",Q210=""CraftSPeed"",""%"",Q210=""LifeSteal"",""%"",Q210=""MaxInventoryWeight"",""+"",Q210=""MoveSpeed"",""%"",REGEXMATCH(Q210,""ElementAddItemDrop_""),""%"",Q210=""Logging"","&amp;"""+"",Q210=""Mining"",""+"",Q210=""Maxhp"",""%"",REGEXMATCH(Q210,""TemperatureResist_""),""+"",REGEXMATCH(Q210,""ElementResist_""),""%"",REGEXMATCH(Q210,""TemperatureInvalid_""),""bool"",REGEXMATCH(Q210,""BodyPartsWeakDamage""),""%"",REGEXMATCH(Q210,""Ele"&amp;"mentBoost_""),""%"",AND(REGEXMATCH(J210,""GiveA""),REGEXMATCH(Q210,""Element"")),""bool"")"),"#N/A")</f>
        <v>#N/A</v>
      </c>
      <c r="S210" s="6" t="n">
        <v>0</v>
      </c>
      <c r="T210" s="6"/>
      <c r="U210" s="319" t="b">
        <f aca="false">FALSE()</f>
        <v>0</v>
      </c>
      <c r="V210" s="319" t="b">
        <f aca="false">FALSE()</f>
        <v>0</v>
      </c>
      <c r="W210" s="319" t="b">
        <f aca="false">FALSE()</f>
        <v>0</v>
      </c>
      <c r="X210" s="319" t="b">
        <f aca="false">FALSE()</f>
        <v>0</v>
      </c>
      <c r="Y210" s="319" t="b">
        <f aca="false">FALSE()</f>
        <v>0</v>
      </c>
      <c r="Z210" s="319" t="b">
        <f aca="false">TRUE()</f>
        <v>1</v>
      </c>
      <c r="AA210" s="319" t="b">
        <f aca="false">TRUE()</f>
        <v>1</v>
      </c>
      <c r="AB210" s="319" t="b">
        <f aca="false">FALSE()</f>
        <v>0</v>
      </c>
      <c r="AC210" s="319" t="b">
        <f aca="false">FALSE()</f>
        <v>0</v>
      </c>
      <c r="AD210" s="319" t="b">
        <f aca="false">FALSE()</f>
        <v>0</v>
      </c>
      <c r="AE210" s="319" t="b">
        <f aca="false">FALSE()</f>
        <v>0</v>
      </c>
      <c r="AF210" s="319" t="b">
        <f aca="false">FALSE()</f>
        <v>0</v>
      </c>
      <c r="AG210" s="6" t="s">
        <v>182</v>
      </c>
      <c r="AH210" s="6" t="s">
        <v>182</v>
      </c>
    </row>
    <row r="211" customFormat="false" ht="15.75" hidden="false" customHeight="false" outlineLevel="0" collapsed="false">
      <c r="A211" s="3" t="s">
        <v>2232</v>
      </c>
      <c r="B211" s="6" t="s">
        <v>2233</v>
      </c>
      <c r="C211" s="311" t="b">
        <f aca="false">TRUE()</f>
        <v>1</v>
      </c>
      <c r="D211" s="6" t="str">
        <f aca="false">I211   &amp; IF(ISBLANK(M211),, ". "&amp; M211 &amp; IF(ISBLANK(Q211),, ". "&amp; Q211))</f>
        <v>ElementResist_Leaf</v>
      </c>
      <c r="E211" s="6" t="str">
        <f aca="false">I211  &amp;": # on "&amp; L211  &amp; IF(ISBLANK(M211),, ". "&amp; M211 &amp;": # on "&amp; P211 &amp; IF(ISBLANK(Q211),, ". "&amp; Q211 &amp;": # on "&amp; T211))</f>
        <v>ElementResist_Leaf: # on Self</v>
      </c>
      <c r="F211" s="6" t="str">
        <f aca="false">IF(U211,"active pal",)  &amp; IF(V211,"working",) &amp; IF(W211,"mounted",) &amp; IF(Y211,"in party (buff)",)  &amp; IF(Z211,"always",)</f>
        <v>always</v>
      </c>
      <c r="G211" s="6" t="n">
        <v>1</v>
      </c>
      <c r="H211" s="6" t="s">
        <v>2234</v>
      </c>
      <c r="I211" s="6" t="s">
        <v>2157</v>
      </c>
      <c r="J211" s="6" t="str">
        <f aca="false">IFERROR(__xludf.dummyfunction("IFS(I211=""ShotAttack"",""%"",I211=""MeleeAttack"",""%"", I211=""Defense"",""%"",I211=""CraftSPeed"",""%"",I211=""LifeSteal"",""%"",I211=""MaxInventoryWeight"",""+"",I211=""MoveSpeed"",""%"",REGEXMATCH(I211,""ElementAddItemDrop_""),""%"",I211=""Logging"","&amp;"""+"",I211=""Mining"",""+"",I211=""Maxhp"",""%"",REGEXMATCH(I211,""TemperatureResist_""),""+"",REGEXMATCH(I211,""ElementResist_""),""%"",REGEXMATCH(I211,""TemperatureInvalid_""),""bool"",REGEXMATCH(I211,""BodyPartsWeakDamage""),""%"",REGEXMATCH(I211,""Ele"&amp;"mentBoost_""),""%"",AND(REGEXMATCH(B211,""GiveA""),REGEXMATCH(I211,""Element"")),""bool"")"),"%")</f>
        <v>%</v>
      </c>
      <c r="K211" s="6" t="n">
        <v>10</v>
      </c>
      <c r="L211" s="6" t="s">
        <v>1956</v>
      </c>
      <c r="M211" s="6"/>
      <c r="N211" s="6" t="str">
        <f aca="false">IFERROR(__xludf.dummyfunction("IFS(M211=""ShotAttack"",""%"",M211=""MeleeAttack"",""%"", M211=""Defense"",""%"",M211=""CraftSPeed"",""%"",M211=""LifeSteal"",""%"",M211=""MaxInventoryWeight"",""+"",M211=""MoveSpeed"",""%"",REGEXMATCH(M211,""ElementAddItemDrop_""),""%"",M211=""Logging"","&amp;"""+"",M211=""Mining"",""+"",M211=""Maxhp"",""%"",REGEXMATCH(M211,""TemperatureResist_""),""+"",REGEXMATCH(M211,""ElementResist_""),""%"",REGEXMATCH(M211,""TemperatureInvalid_""),""bool"",REGEXMATCH(M211,""BodyPartsWeakDamage""),""%"",REGEXMATCH(M211,""Ele"&amp;"mentBoost_""),""%"",AND(REGEXMATCH(F211,""GiveA""),REGEXMATCH(M211,""Element"")),""bool"")"),"#N/A")</f>
        <v>#N/A</v>
      </c>
      <c r="O211" s="6" t="n">
        <v>0</v>
      </c>
      <c r="P211" s="6"/>
      <c r="Q211" s="6"/>
      <c r="R211" s="6" t="str">
        <f aca="false">IFERROR(__xludf.dummyfunction("IFS(Q211=""ShotAttack"",""%"",Q211=""MeleeAttack"",""%"", Q211=""Defense"",""%"",Q211=""CraftSPeed"",""%"",Q211=""LifeSteal"",""%"",Q211=""MaxInventoryWeight"",""+"",Q211=""MoveSpeed"",""%"",REGEXMATCH(Q211,""ElementAddItemDrop_""),""%"",Q211=""Logging"","&amp;"""+"",Q211=""Mining"",""+"",Q211=""Maxhp"",""%"",REGEXMATCH(Q211,""TemperatureResist_""),""+"",REGEXMATCH(Q211,""ElementResist_""),""%"",REGEXMATCH(Q211,""TemperatureInvalid_""),""bool"",REGEXMATCH(Q211,""BodyPartsWeakDamage""),""%"",REGEXMATCH(Q211,""Ele"&amp;"mentBoost_""),""%"",AND(REGEXMATCH(J211,""GiveA""),REGEXMATCH(Q211,""Element"")),""bool"")"),"#N/A")</f>
        <v>#N/A</v>
      </c>
      <c r="S211" s="6" t="n">
        <v>0</v>
      </c>
      <c r="T211" s="6"/>
      <c r="U211" s="319" t="b">
        <f aca="false">FALSE()</f>
        <v>0</v>
      </c>
      <c r="V211" s="319" t="b">
        <f aca="false">FALSE()</f>
        <v>0</v>
      </c>
      <c r="W211" s="319" t="b">
        <f aca="false">FALSE()</f>
        <v>0</v>
      </c>
      <c r="X211" s="319" t="b">
        <f aca="false">FALSE()</f>
        <v>0</v>
      </c>
      <c r="Y211" s="319" t="b">
        <f aca="false">FALSE()</f>
        <v>0</v>
      </c>
      <c r="Z211" s="319" t="b">
        <f aca="false">TRUE()</f>
        <v>1</v>
      </c>
      <c r="AA211" s="319" t="b">
        <f aca="false">TRUE()</f>
        <v>1</v>
      </c>
      <c r="AB211" s="319" t="b">
        <f aca="false">FALSE()</f>
        <v>0</v>
      </c>
      <c r="AC211" s="319" t="b">
        <f aca="false">FALSE()</f>
        <v>0</v>
      </c>
      <c r="AD211" s="319" t="b">
        <f aca="false">FALSE()</f>
        <v>0</v>
      </c>
      <c r="AE211" s="319" t="b">
        <f aca="false">FALSE()</f>
        <v>0</v>
      </c>
      <c r="AF211" s="319" t="b">
        <f aca="false">FALSE()</f>
        <v>0</v>
      </c>
      <c r="AG211" s="6" t="s">
        <v>182</v>
      </c>
      <c r="AH211" s="6" t="s">
        <v>182</v>
      </c>
    </row>
    <row r="212" customFormat="false" ht="15.75" hidden="false" customHeight="false" outlineLevel="0" collapsed="false">
      <c r="A212" s="3" t="s">
        <v>2235</v>
      </c>
      <c r="B212" s="6" t="s">
        <v>2236</v>
      </c>
      <c r="C212" s="311" t="b">
        <f aca="false">TRUE()</f>
        <v>1</v>
      </c>
      <c r="D212" s="6" t="str">
        <f aca="false">I212   &amp; IF(ISBLANK(M212),, ". "&amp; M212 &amp; IF(ISBLANK(Q212),, ". "&amp; Q212))</f>
        <v>ElementResist_Ice</v>
      </c>
      <c r="E212" s="6" t="str">
        <f aca="false">I212  &amp;": # on "&amp; L212  &amp; IF(ISBLANK(M212),, ". "&amp; M212 &amp;": # on "&amp; P212 &amp; IF(ISBLANK(Q212),, ". "&amp; Q212 &amp;": # on "&amp; T212))</f>
        <v>ElementResist_Ice: # on Self</v>
      </c>
      <c r="F212" s="6" t="str">
        <f aca="false">IF(U212,"active pal",)  &amp; IF(V212,"working",) &amp; IF(W212,"mounted",) &amp; IF(Y212,"in party (buff)",)  &amp; IF(Z212,"always",)</f>
        <v>always</v>
      </c>
      <c r="G212" s="6" t="n">
        <v>1</v>
      </c>
      <c r="H212" s="6" t="s">
        <v>2237</v>
      </c>
      <c r="I212" s="6" t="s">
        <v>2160</v>
      </c>
      <c r="J212" s="6" t="str">
        <f aca="false">IFERROR(__xludf.dummyfunction("IFS(I212=""ShotAttack"",""%"",I212=""MeleeAttack"",""%"", I212=""Defense"",""%"",I212=""CraftSPeed"",""%"",I212=""LifeSteal"",""%"",I212=""MaxInventoryWeight"",""+"",I212=""MoveSpeed"",""%"",REGEXMATCH(I212,""ElementAddItemDrop_""),""%"",I212=""Logging"","&amp;"""+"",I212=""Mining"",""+"",I212=""Maxhp"",""%"",REGEXMATCH(I212,""TemperatureResist_""),""+"",REGEXMATCH(I212,""ElementResist_""),""%"",REGEXMATCH(I212,""TemperatureInvalid_""),""bool"",REGEXMATCH(I212,""BodyPartsWeakDamage""),""%"",REGEXMATCH(I212,""Ele"&amp;"mentBoost_""),""%"",AND(REGEXMATCH(B212,""GiveA""),REGEXMATCH(I212,""Element"")),""bool"")"),"%")</f>
        <v>%</v>
      </c>
      <c r="K212" s="6" t="n">
        <v>10</v>
      </c>
      <c r="L212" s="6" t="s">
        <v>1956</v>
      </c>
      <c r="M212" s="6"/>
      <c r="N212" s="6" t="str">
        <f aca="false">IFERROR(__xludf.dummyfunction("IFS(M212=""ShotAttack"",""%"",M212=""MeleeAttack"",""%"", M212=""Defense"",""%"",M212=""CraftSPeed"",""%"",M212=""LifeSteal"",""%"",M212=""MaxInventoryWeight"",""+"",M212=""MoveSpeed"",""%"",REGEXMATCH(M212,""ElementAddItemDrop_""),""%"",M212=""Logging"","&amp;"""+"",M212=""Mining"",""+"",M212=""Maxhp"",""%"",REGEXMATCH(M212,""TemperatureResist_""),""+"",REGEXMATCH(M212,""ElementResist_""),""%"",REGEXMATCH(M212,""TemperatureInvalid_""),""bool"",REGEXMATCH(M212,""BodyPartsWeakDamage""),""%"",REGEXMATCH(M212,""Ele"&amp;"mentBoost_""),""%"",AND(REGEXMATCH(F212,""GiveA""),REGEXMATCH(M212,""Element"")),""bool"")"),"#N/A")</f>
        <v>#N/A</v>
      </c>
      <c r="O212" s="6" t="n">
        <v>0</v>
      </c>
      <c r="P212" s="6"/>
      <c r="Q212" s="6"/>
      <c r="R212" s="6" t="str">
        <f aca="false">IFERROR(__xludf.dummyfunction("IFS(Q212=""ShotAttack"",""%"",Q212=""MeleeAttack"",""%"", Q212=""Defense"",""%"",Q212=""CraftSPeed"",""%"",Q212=""LifeSteal"",""%"",Q212=""MaxInventoryWeight"",""+"",Q212=""MoveSpeed"",""%"",REGEXMATCH(Q212,""ElementAddItemDrop_""),""%"",Q212=""Logging"","&amp;"""+"",Q212=""Mining"",""+"",Q212=""Maxhp"",""%"",REGEXMATCH(Q212,""TemperatureResist_""),""+"",REGEXMATCH(Q212,""ElementResist_""),""%"",REGEXMATCH(Q212,""TemperatureInvalid_""),""bool"",REGEXMATCH(Q212,""BodyPartsWeakDamage""),""%"",REGEXMATCH(Q212,""Ele"&amp;"mentBoost_""),""%"",AND(REGEXMATCH(J212,""GiveA""),REGEXMATCH(Q212,""Element"")),""bool"")"),"#N/A")</f>
        <v>#N/A</v>
      </c>
      <c r="S212" s="6" t="n">
        <v>0</v>
      </c>
      <c r="T212" s="6"/>
      <c r="U212" s="319" t="b">
        <f aca="false">FALSE()</f>
        <v>0</v>
      </c>
      <c r="V212" s="319" t="b">
        <f aca="false">FALSE()</f>
        <v>0</v>
      </c>
      <c r="W212" s="319" t="b">
        <f aca="false">FALSE()</f>
        <v>0</v>
      </c>
      <c r="X212" s="319" t="b">
        <f aca="false">FALSE()</f>
        <v>0</v>
      </c>
      <c r="Y212" s="319" t="b">
        <f aca="false">FALSE()</f>
        <v>0</v>
      </c>
      <c r="Z212" s="319" t="b">
        <f aca="false">TRUE()</f>
        <v>1</v>
      </c>
      <c r="AA212" s="319" t="b">
        <f aca="false">TRUE()</f>
        <v>1</v>
      </c>
      <c r="AB212" s="319" t="b">
        <f aca="false">FALSE()</f>
        <v>0</v>
      </c>
      <c r="AC212" s="319" t="b">
        <f aca="false">FALSE()</f>
        <v>0</v>
      </c>
      <c r="AD212" s="319" t="b">
        <f aca="false">FALSE()</f>
        <v>0</v>
      </c>
      <c r="AE212" s="319" t="b">
        <f aca="false">FALSE()</f>
        <v>0</v>
      </c>
      <c r="AF212" s="319" t="b">
        <f aca="false">FALSE()</f>
        <v>0</v>
      </c>
      <c r="AG212" s="6" t="s">
        <v>182</v>
      </c>
      <c r="AH212" s="6" t="s">
        <v>182</v>
      </c>
    </row>
    <row r="213" customFormat="false" ht="15.75" hidden="false" customHeight="false" outlineLevel="0" collapsed="false">
      <c r="A213" s="3" t="s">
        <v>2238</v>
      </c>
      <c r="B213" s="6" t="s">
        <v>2239</v>
      </c>
      <c r="C213" s="311" t="b">
        <f aca="false">TRUE()</f>
        <v>1</v>
      </c>
      <c r="D213" s="6" t="str">
        <f aca="false">I213   &amp; IF(ISBLANK(M213),, ". "&amp; M213 &amp; IF(ISBLANK(Q213),, ". "&amp; Q213))</f>
        <v>ElementResist_Earth</v>
      </c>
      <c r="E213" s="6" t="str">
        <f aca="false">I213  &amp;": # on "&amp; L213  &amp; IF(ISBLANK(M213),, ". "&amp; M213 &amp;": # on "&amp; P213 &amp; IF(ISBLANK(Q213),, ". "&amp; Q213 &amp;": # on "&amp; T213))</f>
        <v>ElementResist_Earth: # on Self</v>
      </c>
      <c r="F213" s="6" t="str">
        <f aca="false">IF(U213,"active pal",)  &amp; IF(V213,"working",) &amp; IF(W213,"mounted",) &amp; IF(Y213,"in party (buff)",)  &amp; IF(Z213,"always",)</f>
        <v>always</v>
      </c>
      <c r="G213" s="6" t="n">
        <v>1</v>
      </c>
      <c r="H213" s="6" t="s">
        <v>2240</v>
      </c>
      <c r="I213" s="6" t="s">
        <v>2163</v>
      </c>
      <c r="J213" s="6" t="str">
        <f aca="false">IFERROR(__xludf.dummyfunction("IFS(I213=""ShotAttack"",""%"",I213=""MeleeAttack"",""%"", I213=""Defense"",""%"",I213=""CraftSPeed"",""%"",I213=""LifeSteal"",""%"",I213=""MaxInventoryWeight"",""+"",I213=""MoveSpeed"",""%"",REGEXMATCH(I213,""ElementAddItemDrop_""),""%"",I213=""Logging"","&amp;"""+"",I213=""Mining"",""+"",I213=""Maxhp"",""%"",REGEXMATCH(I213,""TemperatureResist_""),""+"",REGEXMATCH(I213,""ElementResist_""),""%"",REGEXMATCH(I213,""TemperatureInvalid_""),""bool"",REGEXMATCH(I213,""BodyPartsWeakDamage""),""%"",REGEXMATCH(I213,""Ele"&amp;"mentBoost_""),""%"",AND(REGEXMATCH(B213,""GiveA""),REGEXMATCH(I213,""Element"")),""bool"")"),"%")</f>
        <v>%</v>
      </c>
      <c r="K213" s="6" t="n">
        <v>10</v>
      </c>
      <c r="L213" s="6" t="s">
        <v>1956</v>
      </c>
      <c r="M213" s="6"/>
      <c r="N213" s="6" t="str">
        <f aca="false">IFERROR(__xludf.dummyfunction("IFS(M213=""ShotAttack"",""%"",M213=""MeleeAttack"",""%"", M213=""Defense"",""%"",M213=""CraftSPeed"",""%"",M213=""LifeSteal"",""%"",M213=""MaxInventoryWeight"",""+"",M213=""MoveSpeed"",""%"",REGEXMATCH(M213,""ElementAddItemDrop_""),""%"",M213=""Logging"","&amp;"""+"",M213=""Mining"",""+"",M213=""Maxhp"",""%"",REGEXMATCH(M213,""TemperatureResist_""),""+"",REGEXMATCH(M213,""ElementResist_""),""%"",REGEXMATCH(M213,""TemperatureInvalid_""),""bool"",REGEXMATCH(M213,""BodyPartsWeakDamage""),""%"",REGEXMATCH(M213,""Ele"&amp;"mentBoost_""),""%"",AND(REGEXMATCH(F213,""GiveA""),REGEXMATCH(M213,""Element"")),""bool"")"),"#N/A")</f>
        <v>#N/A</v>
      </c>
      <c r="O213" s="6" t="n">
        <v>0</v>
      </c>
      <c r="P213" s="6"/>
      <c r="Q213" s="6"/>
      <c r="R213" s="6" t="str">
        <f aca="false">IFERROR(__xludf.dummyfunction("IFS(Q213=""ShotAttack"",""%"",Q213=""MeleeAttack"",""%"", Q213=""Defense"",""%"",Q213=""CraftSPeed"",""%"",Q213=""LifeSteal"",""%"",Q213=""MaxInventoryWeight"",""+"",Q213=""MoveSpeed"",""%"",REGEXMATCH(Q213,""ElementAddItemDrop_""),""%"",Q213=""Logging"","&amp;"""+"",Q213=""Mining"",""+"",Q213=""Maxhp"",""%"",REGEXMATCH(Q213,""TemperatureResist_""),""+"",REGEXMATCH(Q213,""ElementResist_""),""%"",REGEXMATCH(Q213,""TemperatureInvalid_""),""bool"",REGEXMATCH(Q213,""BodyPartsWeakDamage""),""%"",REGEXMATCH(Q213,""Ele"&amp;"mentBoost_""),""%"",AND(REGEXMATCH(J213,""GiveA""),REGEXMATCH(Q213,""Element"")),""bool"")"),"#N/A")</f>
        <v>#N/A</v>
      </c>
      <c r="S213" s="6" t="n">
        <v>0</v>
      </c>
      <c r="T213" s="6"/>
      <c r="U213" s="319" t="b">
        <f aca="false">FALSE()</f>
        <v>0</v>
      </c>
      <c r="V213" s="319" t="b">
        <f aca="false">FALSE()</f>
        <v>0</v>
      </c>
      <c r="W213" s="319" t="b">
        <f aca="false">FALSE()</f>
        <v>0</v>
      </c>
      <c r="X213" s="319" t="b">
        <f aca="false">FALSE()</f>
        <v>0</v>
      </c>
      <c r="Y213" s="319" t="b">
        <f aca="false">FALSE()</f>
        <v>0</v>
      </c>
      <c r="Z213" s="319" t="b">
        <f aca="false">TRUE()</f>
        <v>1</v>
      </c>
      <c r="AA213" s="319" t="b">
        <f aca="false">TRUE()</f>
        <v>1</v>
      </c>
      <c r="AB213" s="319" t="b">
        <f aca="false">FALSE()</f>
        <v>0</v>
      </c>
      <c r="AC213" s="319" t="b">
        <f aca="false">FALSE()</f>
        <v>0</v>
      </c>
      <c r="AD213" s="319" t="b">
        <f aca="false">FALSE()</f>
        <v>0</v>
      </c>
      <c r="AE213" s="319" t="b">
        <f aca="false">FALSE()</f>
        <v>0</v>
      </c>
      <c r="AF213" s="319" t="b">
        <f aca="false">FALSE()</f>
        <v>0</v>
      </c>
      <c r="AG213" s="6" t="s">
        <v>182</v>
      </c>
      <c r="AH213" s="6" t="s">
        <v>182</v>
      </c>
    </row>
    <row r="214" customFormat="false" ht="15.75" hidden="false" customHeight="false" outlineLevel="0" collapsed="false">
      <c r="A214" s="3" t="s">
        <v>2241</v>
      </c>
      <c r="B214" s="6" t="s">
        <v>2242</v>
      </c>
      <c r="C214" s="311" t="b">
        <f aca="false">TRUE()</f>
        <v>1</v>
      </c>
      <c r="D214" s="6" t="str">
        <f aca="false">I214   &amp; IF(ISBLANK(M214),, ". "&amp; M214 &amp; IF(ISBLANK(Q214),, ". "&amp; Q214))</f>
        <v>ElementResist_Dark</v>
      </c>
      <c r="E214" s="6" t="str">
        <f aca="false">I214  &amp;": # on "&amp; L214  &amp; IF(ISBLANK(M214),, ". "&amp; M214 &amp;": # on "&amp; P214 &amp; IF(ISBLANK(Q214),, ". "&amp; Q214 &amp;": # on "&amp; T214))</f>
        <v>ElementResist_Dark: # on Self</v>
      </c>
      <c r="F214" s="6" t="str">
        <f aca="false">IF(U214,"active pal",)  &amp; IF(V214,"working",) &amp; IF(W214,"mounted",) &amp; IF(Y214,"in party (buff)",)  &amp; IF(Z214,"always",)</f>
        <v>always</v>
      </c>
      <c r="G214" s="6" t="n">
        <v>1</v>
      </c>
      <c r="H214" s="6" t="s">
        <v>2243</v>
      </c>
      <c r="I214" s="6" t="s">
        <v>2166</v>
      </c>
      <c r="J214" s="6" t="str">
        <f aca="false">IFERROR(__xludf.dummyfunction("IFS(I214=""ShotAttack"",""%"",I214=""MeleeAttack"",""%"", I214=""Defense"",""%"",I214=""CraftSPeed"",""%"",I214=""LifeSteal"",""%"",I214=""MaxInventoryWeight"",""+"",I214=""MoveSpeed"",""%"",REGEXMATCH(I214,""ElementAddItemDrop_""),""%"",I214=""Logging"","&amp;"""+"",I214=""Mining"",""+"",I214=""Maxhp"",""%"",REGEXMATCH(I214,""TemperatureResist_""),""+"",REGEXMATCH(I214,""ElementResist_""),""%"",REGEXMATCH(I214,""TemperatureInvalid_""),""bool"",REGEXMATCH(I214,""BodyPartsWeakDamage""),""%"",REGEXMATCH(I214,""Ele"&amp;"mentBoost_""),""%"",AND(REGEXMATCH(B214,""GiveA""),REGEXMATCH(I214,""Element"")),""bool"")"),"%")</f>
        <v>%</v>
      </c>
      <c r="K214" s="6" t="n">
        <v>10</v>
      </c>
      <c r="L214" s="6" t="s">
        <v>1956</v>
      </c>
      <c r="M214" s="6"/>
      <c r="N214" s="6" t="str">
        <f aca="false">IFERROR(__xludf.dummyfunction("IFS(M214=""ShotAttack"",""%"",M214=""MeleeAttack"",""%"", M214=""Defense"",""%"",M214=""CraftSPeed"",""%"",M214=""LifeSteal"",""%"",M214=""MaxInventoryWeight"",""+"",M214=""MoveSpeed"",""%"",REGEXMATCH(M214,""ElementAddItemDrop_""),""%"",M214=""Logging"","&amp;"""+"",M214=""Mining"",""+"",M214=""Maxhp"",""%"",REGEXMATCH(M214,""TemperatureResist_""),""+"",REGEXMATCH(M214,""ElementResist_""),""%"",REGEXMATCH(M214,""TemperatureInvalid_""),""bool"",REGEXMATCH(M214,""BodyPartsWeakDamage""),""%"",REGEXMATCH(M214,""Ele"&amp;"mentBoost_""),""%"",AND(REGEXMATCH(F214,""GiveA""),REGEXMATCH(M214,""Element"")),""bool"")"),"#N/A")</f>
        <v>#N/A</v>
      </c>
      <c r="O214" s="6" t="n">
        <v>0</v>
      </c>
      <c r="P214" s="6"/>
      <c r="Q214" s="6"/>
      <c r="R214" s="6" t="str">
        <f aca="false">IFERROR(__xludf.dummyfunction("IFS(Q214=""ShotAttack"",""%"",Q214=""MeleeAttack"",""%"", Q214=""Defense"",""%"",Q214=""CraftSPeed"",""%"",Q214=""LifeSteal"",""%"",Q214=""MaxInventoryWeight"",""+"",Q214=""MoveSpeed"",""%"",REGEXMATCH(Q214,""ElementAddItemDrop_""),""%"",Q214=""Logging"","&amp;"""+"",Q214=""Mining"",""+"",Q214=""Maxhp"",""%"",REGEXMATCH(Q214,""TemperatureResist_""),""+"",REGEXMATCH(Q214,""ElementResist_""),""%"",REGEXMATCH(Q214,""TemperatureInvalid_""),""bool"",REGEXMATCH(Q214,""BodyPartsWeakDamage""),""%"",REGEXMATCH(Q214,""Ele"&amp;"mentBoost_""),""%"",AND(REGEXMATCH(J214,""GiveA""),REGEXMATCH(Q214,""Element"")),""bool"")"),"#N/A")</f>
        <v>#N/A</v>
      </c>
      <c r="S214" s="6" t="n">
        <v>0</v>
      </c>
      <c r="T214" s="6"/>
      <c r="U214" s="319" t="b">
        <f aca="false">FALSE()</f>
        <v>0</v>
      </c>
      <c r="V214" s="319" t="b">
        <f aca="false">FALSE()</f>
        <v>0</v>
      </c>
      <c r="W214" s="319" t="b">
        <f aca="false">FALSE()</f>
        <v>0</v>
      </c>
      <c r="X214" s="319" t="b">
        <f aca="false">FALSE()</f>
        <v>0</v>
      </c>
      <c r="Y214" s="319" t="b">
        <f aca="false">FALSE()</f>
        <v>0</v>
      </c>
      <c r="Z214" s="319" t="b">
        <f aca="false">TRUE()</f>
        <v>1</v>
      </c>
      <c r="AA214" s="319" t="b">
        <f aca="false">TRUE()</f>
        <v>1</v>
      </c>
      <c r="AB214" s="319" t="b">
        <f aca="false">FALSE()</f>
        <v>0</v>
      </c>
      <c r="AC214" s="319" t="b">
        <f aca="false">FALSE()</f>
        <v>0</v>
      </c>
      <c r="AD214" s="319" t="b">
        <f aca="false">FALSE()</f>
        <v>0</v>
      </c>
      <c r="AE214" s="319" t="b">
        <f aca="false">FALSE()</f>
        <v>0</v>
      </c>
      <c r="AF214" s="319" t="b">
        <f aca="false">FALSE()</f>
        <v>0</v>
      </c>
      <c r="AG214" s="6" t="s">
        <v>182</v>
      </c>
      <c r="AH214" s="6" t="s">
        <v>182</v>
      </c>
    </row>
    <row r="215" customFormat="false" ht="15.75" hidden="false" customHeight="false" outlineLevel="0" collapsed="false">
      <c r="A215" s="3" t="s">
        <v>2244</v>
      </c>
      <c r="B215" s="6" t="s">
        <v>2245</v>
      </c>
      <c r="C215" s="311" t="b">
        <f aca="false">TRUE()</f>
        <v>1</v>
      </c>
      <c r="D215" s="6" t="str">
        <f aca="false">I215   &amp; IF(ISBLANK(M215),, ". "&amp; M215 &amp; IF(ISBLANK(Q215),, ". "&amp; Q215))</f>
        <v>ElementResist_Dragon</v>
      </c>
      <c r="E215" s="6" t="str">
        <f aca="false">I215  &amp;": # on "&amp; L215  &amp; IF(ISBLANK(M215),, ". "&amp; M215 &amp;": # on "&amp; P215 &amp; IF(ISBLANK(Q215),, ". "&amp; Q215 &amp;": # on "&amp; T215))</f>
        <v>ElementResist_Dragon: # on Self</v>
      </c>
      <c r="F215" s="6" t="str">
        <f aca="false">IF(U215,"active pal",)  &amp; IF(V215,"working",) &amp; IF(W215,"mounted",) &amp; IF(Y215,"in party (buff)",)  &amp; IF(Z215,"always",)</f>
        <v>always</v>
      </c>
      <c r="G215" s="6" t="n">
        <v>1</v>
      </c>
      <c r="H215" s="6" t="s">
        <v>2246</v>
      </c>
      <c r="I215" s="6" t="s">
        <v>2169</v>
      </c>
      <c r="J215" s="6" t="str">
        <f aca="false">IFERROR(__xludf.dummyfunction("IFS(I215=""ShotAttack"",""%"",I215=""MeleeAttack"",""%"", I215=""Defense"",""%"",I215=""CraftSPeed"",""%"",I215=""LifeSteal"",""%"",I215=""MaxInventoryWeight"",""+"",I215=""MoveSpeed"",""%"",REGEXMATCH(I215,""ElementAddItemDrop_""),""%"",I215=""Logging"","&amp;"""+"",I215=""Mining"",""+"",I215=""Maxhp"",""%"",REGEXMATCH(I215,""TemperatureResist_""),""+"",REGEXMATCH(I215,""ElementResist_""),""%"",REGEXMATCH(I215,""TemperatureInvalid_""),""bool"",REGEXMATCH(I215,""BodyPartsWeakDamage""),""%"",REGEXMATCH(I215,""Ele"&amp;"mentBoost_""),""%"",AND(REGEXMATCH(B215,""GiveA""),REGEXMATCH(I215,""Element"")),""bool"")"),"%")</f>
        <v>%</v>
      </c>
      <c r="K215" s="6" t="n">
        <v>10</v>
      </c>
      <c r="L215" s="6" t="s">
        <v>1956</v>
      </c>
      <c r="M215" s="6"/>
      <c r="N215" s="6" t="str">
        <f aca="false">IFERROR(__xludf.dummyfunction("IFS(M215=""ShotAttack"",""%"",M215=""MeleeAttack"",""%"", M215=""Defense"",""%"",M215=""CraftSPeed"",""%"",M215=""LifeSteal"",""%"",M215=""MaxInventoryWeight"",""+"",M215=""MoveSpeed"",""%"",REGEXMATCH(M215,""ElementAddItemDrop_""),""%"",M215=""Logging"","&amp;"""+"",M215=""Mining"",""+"",M215=""Maxhp"",""%"",REGEXMATCH(M215,""TemperatureResist_""),""+"",REGEXMATCH(M215,""ElementResist_""),""%"",REGEXMATCH(M215,""TemperatureInvalid_""),""bool"",REGEXMATCH(M215,""BodyPartsWeakDamage""),""%"",REGEXMATCH(M215,""Ele"&amp;"mentBoost_""),""%"",AND(REGEXMATCH(F215,""GiveA""),REGEXMATCH(M215,""Element"")),""bool"")"),"#N/A")</f>
        <v>#N/A</v>
      </c>
      <c r="O215" s="6" t="n">
        <v>0</v>
      </c>
      <c r="P215" s="6"/>
      <c r="Q215" s="6"/>
      <c r="R215" s="6" t="str">
        <f aca="false">IFERROR(__xludf.dummyfunction("IFS(Q215=""ShotAttack"",""%"",Q215=""MeleeAttack"",""%"", Q215=""Defense"",""%"",Q215=""CraftSPeed"",""%"",Q215=""LifeSteal"",""%"",Q215=""MaxInventoryWeight"",""+"",Q215=""MoveSpeed"",""%"",REGEXMATCH(Q215,""ElementAddItemDrop_""),""%"",Q215=""Logging"","&amp;"""+"",Q215=""Mining"",""+"",Q215=""Maxhp"",""%"",REGEXMATCH(Q215,""TemperatureResist_""),""+"",REGEXMATCH(Q215,""ElementResist_""),""%"",REGEXMATCH(Q215,""TemperatureInvalid_""),""bool"",REGEXMATCH(Q215,""BodyPartsWeakDamage""),""%"",REGEXMATCH(Q215,""Ele"&amp;"mentBoost_""),""%"",AND(REGEXMATCH(J215,""GiveA""),REGEXMATCH(Q215,""Element"")),""bool"")"),"#N/A")</f>
        <v>#N/A</v>
      </c>
      <c r="S215" s="6" t="n">
        <v>0</v>
      </c>
      <c r="T215" s="6"/>
      <c r="U215" s="319" t="b">
        <f aca="false">FALSE()</f>
        <v>0</v>
      </c>
      <c r="V215" s="319" t="b">
        <f aca="false">FALSE()</f>
        <v>0</v>
      </c>
      <c r="W215" s="319" t="b">
        <f aca="false">FALSE()</f>
        <v>0</v>
      </c>
      <c r="X215" s="319" t="b">
        <f aca="false">FALSE()</f>
        <v>0</v>
      </c>
      <c r="Y215" s="319" t="b">
        <f aca="false">FALSE()</f>
        <v>0</v>
      </c>
      <c r="Z215" s="319" t="b">
        <f aca="false">TRUE()</f>
        <v>1</v>
      </c>
      <c r="AA215" s="319" t="b">
        <f aca="false">TRUE()</f>
        <v>1</v>
      </c>
      <c r="AB215" s="319" t="b">
        <f aca="false">FALSE()</f>
        <v>0</v>
      </c>
      <c r="AC215" s="319" t="b">
        <f aca="false">FALSE()</f>
        <v>0</v>
      </c>
      <c r="AD215" s="319" t="b">
        <f aca="false">FALSE()</f>
        <v>0</v>
      </c>
      <c r="AE215" s="319" t="b">
        <f aca="false">FALSE()</f>
        <v>0</v>
      </c>
      <c r="AF215" s="319" t="b">
        <f aca="false">FALSE()</f>
        <v>0</v>
      </c>
      <c r="AG215" s="6" t="s">
        <v>182</v>
      </c>
      <c r="AH215" s="6" t="s">
        <v>182</v>
      </c>
    </row>
    <row r="216" customFormat="false" ht="15.75" hidden="false" customHeight="false" outlineLevel="0" collapsed="false">
      <c r="A216" s="3" t="s">
        <v>2247</v>
      </c>
      <c r="B216" s="6" t="s">
        <v>2248</v>
      </c>
      <c r="C216" s="311" t="b">
        <f aca="false">TRUE()</f>
        <v>1</v>
      </c>
      <c r="D216" s="6" t="str">
        <f aca="false">I216   &amp; IF(ISBLANK(M216),, ". "&amp; M216 &amp; IF(ISBLANK(Q216),, ". "&amp; Q216))</f>
        <v>ElementBoost_Normal</v>
      </c>
      <c r="E216" s="6" t="str">
        <f aca="false">I216  &amp;": # on "&amp; L216  &amp; IF(ISBLANK(M216),, ". "&amp; M216 &amp;": # on "&amp; P216 &amp; IF(ISBLANK(Q216),, ". "&amp; Q216 &amp;": # on "&amp; T216))</f>
        <v>ElementBoost_Normal: # on Self</v>
      </c>
      <c r="F216" s="6" t="str">
        <f aca="false">IF(U216,"active pal",)  &amp; IF(V216,"working",) &amp; IF(W216,"mounted",) &amp; IF(Y216,"in party (buff)",)  &amp; IF(Z216,"always",)</f>
        <v>always</v>
      </c>
      <c r="G216" s="6" t="n">
        <v>1</v>
      </c>
      <c r="H216" s="6" t="s">
        <v>2249</v>
      </c>
      <c r="I216" s="6" t="s">
        <v>2250</v>
      </c>
      <c r="J216" s="6" t="str">
        <f aca="false">IFERROR(__xludf.dummyfunction("IFS(I216=""ShotAttack"",""%"",I216=""MeleeAttack"",""%"", I216=""Defense"",""%"",I216=""CraftSPeed"",""%"",I216=""LifeSteal"",""%"",I216=""MaxInventoryWeight"",""+"",I216=""MoveSpeed"",""%"",REGEXMATCH(I216,""ElementAddItemDrop_""),""%"",I216=""Logging"","&amp;"""+"",I216=""Mining"",""+"",I216=""Maxhp"",""%"",REGEXMATCH(I216,""TemperatureResist_""),""+"",REGEXMATCH(I216,""ElementResist_""),""%"",REGEXMATCH(I216,""TemperatureInvalid_""),""bool"",REGEXMATCH(I216,""BodyPartsWeakDamage""),""%"",REGEXMATCH(I216,""Ele"&amp;"mentBoost_""),""%"",AND(REGEXMATCH(B216,""GiveA""),REGEXMATCH(I216,""Element"")),""bool"")"),"%")</f>
        <v>%</v>
      </c>
      <c r="K216" s="6" t="n">
        <v>10</v>
      </c>
      <c r="L216" s="6" t="s">
        <v>1956</v>
      </c>
      <c r="M216" s="6"/>
      <c r="N216" s="6" t="str">
        <f aca="false">IFERROR(__xludf.dummyfunction("IFS(M216=""ShotAttack"",""%"",M216=""MeleeAttack"",""%"", M216=""Defense"",""%"",M216=""CraftSPeed"",""%"",M216=""LifeSteal"",""%"",M216=""MaxInventoryWeight"",""+"",M216=""MoveSpeed"",""%"",REGEXMATCH(M216,""ElementAddItemDrop_""),""%"",M216=""Logging"","&amp;"""+"",M216=""Mining"",""+"",M216=""Maxhp"",""%"",REGEXMATCH(M216,""TemperatureResist_""),""+"",REGEXMATCH(M216,""ElementResist_""),""%"",REGEXMATCH(M216,""TemperatureInvalid_""),""bool"",REGEXMATCH(M216,""BodyPartsWeakDamage""),""%"",REGEXMATCH(M216,""Ele"&amp;"mentBoost_""),""%"",AND(REGEXMATCH(F216,""GiveA""),REGEXMATCH(M216,""Element"")),""bool"")"),"#N/A")</f>
        <v>#N/A</v>
      </c>
      <c r="O216" s="6" t="n">
        <v>0</v>
      </c>
      <c r="P216" s="6"/>
      <c r="Q216" s="6"/>
      <c r="R216" s="6" t="str">
        <f aca="false">IFERROR(__xludf.dummyfunction("IFS(Q216=""ShotAttack"",""%"",Q216=""MeleeAttack"",""%"", Q216=""Defense"",""%"",Q216=""CraftSPeed"",""%"",Q216=""LifeSteal"",""%"",Q216=""MaxInventoryWeight"",""+"",Q216=""MoveSpeed"",""%"",REGEXMATCH(Q216,""ElementAddItemDrop_""),""%"",Q216=""Logging"","&amp;"""+"",Q216=""Mining"",""+"",Q216=""Maxhp"",""%"",REGEXMATCH(Q216,""TemperatureResist_""),""+"",REGEXMATCH(Q216,""ElementResist_""),""%"",REGEXMATCH(Q216,""TemperatureInvalid_""),""bool"",REGEXMATCH(Q216,""BodyPartsWeakDamage""),""%"",REGEXMATCH(Q216,""Ele"&amp;"mentBoost_""),""%"",AND(REGEXMATCH(J216,""GiveA""),REGEXMATCH(Q216,""Element"")),""bool"")"),"#N/A")</f>
        <v>#N/A</v>
      </c>
      <c r="S216" s="6" t="n">
        <v>0</v>
      </c>
      <c r="T216" s="6"/>
      <c r="U216" s="319" t="b">
        <f aca="false">FALSE()</f>
        <v>0</v>
      </c>
      <c r="V216" s="319" t="b">
        <f aca="false">FALSE()</f>
        <v>0</v>
      </c>
      <c r="W216" s="319" t="b">
        <f aca="false">FALSE()</f>
        <v>0</v>
      </c>
      <c r="X216" s="319" t="b">
        <f aca="false">FALSE()</f>
        <v>0</v>
      </c>
      <c r="Y216" s="319" t="b">
        <f aca="false">FALSE()</f>
        <v>0</v>
      </c>
      <c r="Z216" s="319" t="b">
        <f aca="false">TRUE()</f>
        <v>1</v>
      </c>
      <c r="AA216" s="319" t="b">
        <f aca="false">TRUE()</f>
        <v>1</v>
      </c>
      <c r="AB216" s="319" t="b">
        <f aca="false">FALSE()</f>
        <v>0</v>
      </c>
      <c r="AC216" s="319" t="b">
        <f aca="false">FALSE()</f>
        <v>0</v>
      </c>
      <c r="AD216" s="319" t="b">
        <f aca="false">FALSE()</f>
        <v>0</v>
      </c>
      <c r="AE216" s="319" t="b">
        <f aca="false">FALSE()</f>
        <v>0</v>
      </c>
      <c r="AF216" s="319" t="b">
        <f aca="false">FALSE()</f>
        <v>0</v>
      </c>
      <c r="AG216" s="6" t="s">
        <v>182</v>
      </c>
      <c r="AH216" s="6" t="s">
        <v>182</v>
      </c>
    </row>
    <row r="217" customFormat="false" ht="15.75" hidden="false" customHeight="false" outlineLevel="0" collapsed="false">
      <c r="A217" s="3" t="s">
        <v>2251</v>
      </c>
      <c r="B217" s="6" t="s">
        <v>2252</v>
      </c>
      <c r="C217" s="311" t="b">
        <f aca="false">TRUE()</f>
        <v>1</v>
      </c>
      <c r="D217" s="6" t="str">
        <f aca="false">I217   &amp; IF(ISBLANK(M217),, ". "&amp; M217 &amp; IF(ISBLANK(Q217),, ". "&amp; Q217))</f>
        <v>ElementBoost_Fire</v>
      </c>
      <c r="E217" s="6" t="str">
        <f aca="false">I217  &amp;": # on "&amp; L217  &amp; IF(ISBLANK(M217),, ". "&amp; M217 &amp;": # on "&amp; P217 &amp; IF(ISBLANK(Q217),, ". "&amp; Q217 &amp;": # on "&amp; T217))</f>
        <v>ElementBoost_Fire: # on Self</v>
      </c>
      <c r="F217" s="6" t="str">
        <f aca="false">IF(U217,"active pal",)  &amp; IF(V217,"working",) &amp; IF(W217,"mounted",) &amp; IF(Y217,"in party (buff)",)  &amp; IF(Z217,"always",)</f>
        <v>always</v>
      </c>
      <c r="G217" s="6" t="n">
        <v>1</v>
      </c>
      <c r="H217" s="6" t="s">
        <v>2253</v>
      </c>
      <c r="I217" s="6" t="s">
        <v>2254</v>
      </c>
      <c r="J217" s="6" t="str">
        <f aca="false">IFERROR(__xludf.dummyfunction("IFS(I217=""ShotAttack"",""%"",I217=""MeleeAttack"",""%"", I217=""Defense"",""%"",I217=""CraftSPeed"",""%"",I217=""LifeSteal"",""%"",I217=""MaxInventoryWeight"",""+"",I217=""MoveSpeed"",""%"",REGEXMATCH(I217,""ElementAddItemDrop_""),""%"",I217=""Logging"","&amp;"""+"",I217=""Mining"",""+"",I217=""Maxhp"",""%"",REGEXMATCH(I217,""TemperatureResist_""),""+"",REGEXMATCH(I217,""ElementResist_""),""%"",REGEXMATCH(I217,""TemperatureInvalid_""),""bool"",REGEXMATCH(I217,""BodyPartsWeakDamage""),""%"",REGEXMATCH(I217,""Ele"&amp;"mentBoost_""),""%"",AND(REGEXMATCH(B217,""GiveA""),REGEXMATCH(I217,""Element"")),""bool"")"),"%")</f>
        <v>%</v>
      </c>
      <c r="K217" s="6" t="n">
        <v>10</v>
      </c>
      <c r="L217" s="6" t="s">
        <v>1956</v>
      </c>
      <c r="M217" s="6"/>
      <c r="N217" s="6" t="str">
        <f aca="false">IFERROR(__xludf.dummyfunction("IFS(M217=""ShotAttack"",""%"",M217=""MeleeAttack"",""%"", M217=""Defense"",""%"",M217=""CraftSPeed"",""%"",M217=""LifeSteal"",""%"",M217=""MaxInventoryWeight"",""+"",M217=""MoveSpeed"",""%"",REGEXMATCH(M217,""ElementAddItemDrop_""),""%"",M217=""Logging"","&amp;"""+"",M217=""Mining"",""+"",M217=""Maxhp"",""%"",REGEXMATCH(M217,""TemperatureResist_""),""+"",REGEXMATCH(M217,""ElementResist_""),""%"",REGEXMATCH(M217,""TemperatureInvalid_""),""bool"",REGEXMATCH(M217,""BodyPartsWeakDamage""),""%"",REGEXMATCH(M217,""Ele"&amp;"mentBoost_""),""%"",AND(REGEXMATCH(F217,""GiveA""),REGEXMATCH(M217,""Element"")),""bool"")"),"#N/A")</f>
        <v>#N/A</v>
      </c>
      <c r="O217" s="6" t="n">
        <v>0</v>
      </c>
      <c r="P217" s="6"/>
      <c r="Q217" s="6"/>
      <c r="R217" s="6" t="str">
        <f aca="false">IFERROR(__xludf.dummyfunction("IFS(Q217=""ShotAttack"",""%"",Q217=""MeleeAttack"",""%"", Q217=""Defense"",""%"",Q217=""CraftSPeed"",""%"",Q217=""LifeSteal"",""%"",Q217=""MaxInventoryWeight"",""+"",Q217=""MoveSpeed"",""%"",REGEXMATCH(Q217,""ElementAddItemDrop_""),""%"",Q217=""Logging"","&amp;"""+"",Q217=""Mining"",""+"",Q217=""Maxhp"",""%"",REGEXMATCH(Q217,""TemperatureResist_""),""+"",REGEXMATCH(Q217,""ElementResist_""),""%"",REGEXMATCH(Q217,""TemperatureInvalid_""),""bool"",REGEXMATCH(Q217,""BodyPartsWeakDamage""),""%"",REGEXMATCH(Q217,""Ele"&amp;"mentBoost_""),""%"",AND(REGEXMATCH(J217,""GiveA""),REGEXMATCH(Q217,""Element"")),""bool"")"),"#N/A")</f>
        <v>#N/A</v>
      </c>
      <c r="S217" s="6" t="n">
        <v>0</v>
      </c>
      <c r="T217" s="6"/>
      <c r="U217" s="319" t="b">
        <f aca="false">FALSE()</f>
        <v>0</v>
      </c>
      <c r="V217" s="319" t="b">
        <f aca="false">FALSE()</f>
        <v>0</v>
      </c>
      <c r="W217" s="319" t="b">
        <f aca="false">FALSE()</f>
        <v>0</v>
      </c>
      <c r="X217" s="319" t="b">
        <f aca="false">FALSE()</f>
        <v>0</v>
      </c>
      <c r="Y217" s="319" t="b">
        <f aca="false">FALSE()</f>
        <v>0</v>
      </c>
      <c r="Z217" s="319" t="b">
        <f aca="false">TRUE()</f>
        <v>1</v>
      </c>
      <c r="AA217" s="319" t="b">
        <f aca="false">TRUE()</f>
        <v>1</v>
      </c>
      <c r="AB217" s="319" t="b">
        <f aca="false">FALSE()</f>
        <v>0</v>
      </c>
      <c r="AC217" s="319" t="b">
        <f aca="false">FALSE()</f>
        <v>0</v>
      </c>
      <c r="AD217" s="319" t="b">
        <f aca="false">FALSE()</f>
        <v>0</v>
      </c>
      <c r="AE217" s="319" t="b">
        <f aca="false">FALSE()</f>
        <v>0</v>
      </c>
      <c r="AF217" s="319" t="b">
        <f aca="false">FALSE()</f>
        <v>0</v>
      </c>
      <c r="AG217" s="6" t="s">
        <v>182</v>
      </c>
      <c r="AH217" s="6" t="s">
        <v>182</v>
      </c>
    </row>
    <row r="218" customFormat="false" ht="15.75" hidden="false" customHeight="false" outlineLevel="0" collapsed="false">
      <c r="A218" s="3" t="s">
        <v>2255</v>
      </c>
      <c r="B218" s="6" t="s">
        <v>2256</v>
      </c>
      <c r="C218" s="311" t="b">
        <f aca="false">TRUE()</f>
        <v>1</v>
      </c>
      <c r="D218" s="6" t="str">
        <f aca="false">I218   &amp; IF(ISBLANK(M218),, ". "&amp; M218 &amp; IF(ISBLANK(Q218),, ". "&amp; Q218))</f>
        <v>ElementBoost_Water</v>
      </c>
      <c r="E218" s="6" t="str">
        <f aca="false">I218  &amp;": # on "&amp; L218  &amp; IF(ISBLANK(M218),, ". "&amp; M218 &amp;": # on "&amp; P218 &amp; IF(ISBLANK(Q218),, ". "&amp; Q218 &amp;": # on "&amp; T218))</f>
        <v>ElementBoost_Water: # on Self</v>
      </c>
      <c r="F218" s="6" t="str">
        <f aca="false">IF(U218,"active pal",)  &amp; IF(V218,"working",) &amp; IF(W218,"mounted",) &amp; IF(Y218,"in party (buff)",)  &amp; IF(Z218,"always",)</f>
        <v>always</v>
      </c>
      <c r="G218" s="6" t="n">
        <v>1</v>
      </c>
      <c r="H218" s="6" t="s">
        <v>2257</v>
      </c>
      <c r="I218" s="6" t="s">
        <v>2258</v>
      </c>
      <c r="J218" s="6" t="str">
        <f aca="false">IFERROR(__xludf.dummyfunction("IFS(I218=""ShotAttack"",""%"",I218=""MeleeAttack"",""%"", I218=""Defense"",""%"",I218=""CraftSPeed"",""%"",I218=""LifeSteal"",""%"",I218=""MaxInventoryWeight"",""+"",I218=""MoveSpeed"",""%"",REGEXMATCH(I218,""ElementAddItemDrop_""),""%"",I218=""Logging"","&amp;"""+"",I218=""Mining"",""+"",I218=""Maxhp"",""%"",REGEXMATCH(I218,""TemperatureResist_""),""+"",REGEXMATCH(I218,""ElementResist_""),""%"",REGEXMATCH(I218,""TemperatureInvalid_""),""bool"",REGEXMATCH(I218,""BodyPartsWeakDamage""),""%"",REGEXMATCH(I218,""Ele"&amp;"mentBoost_""),""%"",AND(REGEXMATCH(B218,""GiveA""),REGEXMATCH(I218,""Element"")),""bool"")"),"%")</f>
        <v>%</v>
      </c>
      <c r="K218" s="6" t="n">
        <v>10</v>
      </c>
      <c r="L218" s="6" t="s">
        <v>1956</v>
      </c>
      <c r="M218" s="6"/>
      <c r="N218" s="6" t="str">
        <f aca="false">IFERROR(__xludf.dummyfunction("IFS(M218=""ShotAttack"",""%"",M218=""MeleeAttack"",""%"", M218=""Defense"",""%"",M218=""CraftSPeed"",""%"",M218=""LifeSteal"",""%"",M218=""MaxInventoryWeight"",""+"",M218=""MoveSpeed"",""%"",REGEXMATCH(M218,""ElementAddItemDrop_""),""%"",M218=""Logging"","&amp;"""+"",M218=""Mining"",""+"",M218=""Maxhp"",""%"",REGEXMATCH(M218,""TemperatureResist_""),""+"",REGEXMATCH(M218,""ElementResist_""),""%"",REGEXMATCH(M218,""TemperatureInvalid_""),""bool"",REGEXMATCH(M218,""BodyPartsWeakDamage""),""%"",REGEXMATCH(M218,""Ele"&amp;"mentBoost_""),""%"",AND(REGEXMATCH(F218,""GiveA""),REGEXMATCH(M218,""Element"")),""bool"")"),"#N/A")</f>
        <v>#N/A</v>
      </c>
      <c r="O218" s="6" t="n">
        <v>0</v>
      </c>
      <c r="P218" s="6"/>
      <c r="Q218" s="6"/>
      <c r="R218" s="6" t="str">
        <f aca="false">IFERROR(__xludf.dummyfunction("IFS(Q218=""ShotAttack"",""%"",Q218=""MeleeAttack"",""%"", Q218=""Defense"",""%"",Q218=""CraftSPeed"",""%"",Q218=""LifeSteal"",""%"",Q218=""MaxInventoryWeight"",""+"",Q218=""MoveSpeed"",""%"",REGEXMATCH(Q218,""ElementAddItemDrop_""),""%"",Q218=""Logging"","&amp;"""+"",Q218=""Mining"",""+"",Q218=""Maxhp"",""%"",REGEXMATCH(Q218,""TemperatureResist_""),""+"",REGEXMATCH(Q218,""ElementResist_""),""%"",REGEXMATCH(Q218,""TemperatureInvalid_""),""bool"",REGEXMATCH(Q218,""BodyPartsWeakDamage""),""%"",REGEXMATCH(Q218,""Ele"&amp;"mentBoost_""),""%"",AND(REGEXMATCH(J218,""GiveA""),REGEXMATCH(Q218,""Element"")),""bool"")"),"#N/A")</f>
        <v>#N/A</v>
      </c>
      <c r="S218" s="6" t="n">
        <v>0</v>
      </c>
      <c r="T218" s="6"/>
      <c r="U218" s="319" t="b">
        <f aca="false">FALSE()</f>
        <v>0</v>
      </c>
      <c r="V218" s="319" t="b">
        <f aca="false">FALSE()</f>
        <v>0</v>
      </c>
      <c r="W218" s="319" t="b">
        <f aca="false">FALSE()</f>
        <v>0</v>
      </c>
      <c r="X218" s="319" t="b">
        <f aca="false">FALSE()</f>
        <v>0</v>
      </c>
      <c r="Y218" s="319" t="b">
        <f aca="false">FALSE()</f>
        <v>0</v>
      </c>
      <c r="Z218" s="319" t="b">
        <f aca="false">TRUE()</f>
        <v>1</v>
      </c>
      <c r="AA218" s="319" t="b">
        <f aca="false">TRUE()</f>
        <v>1</v>
      </c>
      <c r="AB218" s="319" t="b">
        <f aca="false">FALSE()</f>
        <v>0</v>
      </c>
      <c r="AC218" s="319" t="b">
        <f aca="false">FALSE()</f>
        <v>0</v>
      </c>
      <c r="AD218" s="319" t="b">
        <f aca="false">FALSE()</f>
        <v>0</v>
      </c>
      <c r="AE218" s="319" t="b">
        <f aca="false">FALSE()</f>
        <v>0</v>
      </c>
      <c r="AF218" s="319" t="b">
        <f aca="false">FALSE()</f>
        <v>0</v>
      </c>
      <c r="AG218" s="6" t="s">
        <v>182</v>
      </c>
      <c r="AH218" s="6" t="s">
        <v>182</v>
      </c>
    </row>
    <row r="219" customFormat="false" ht="15.75" hidden="false" customHeight="false" outlineLevel="0" collapsed="false">
      <c r="A219" s="3" t="s">
        <v>2259</v>
      </c>
      <c r="B219" s="6" t="s">
        <v>2260</v>
      </c>
      <c r="C219" s="311" t="b">
        <f aca="false">TRUE()</f>
        <v>1</v>
      </c>
      <c r="D219" s="6" t="str">
        <f aca="false">I219   &amp; IF(ISBLANK(M219),, ". "&amp; M219 &amp; IF(ISBLANK(Q219),, ". "&amp; Q219))</f>
        <v>ElementBoost_Electricity</v>
      </c>
      <c r="E219" s="6" t="str">
        <f aca="false">I219  &amp;": # on "&amp; L219  &amp; IF(ISBLANK(M219),, ". "&amp; M219 &amp;": # on "&amp; P219 &amp; IF(ISBLANK(Q219),, ". "&amp; Q219 &amp;": # on "&amp; T219))</f>
        <v>ElementBoost_Electricity: # on Self</v>
      </c>
      <c r="F219" s="6" t="str">
        <f aca="false">IF(U219,"active pal",)  &amp; IF(V219,"working",) &amp; IF(W219,"mounted",) &amp; IF(Y219,"in party (buff)",)  &amp; IF(Z219,"always",)</f>
        <v>always</v>
      </c>
      <c r="G219" s="6" t="n">
        <v>1</v>
      </c>
      <c r="H219" s="6" t="s">
        <v>2261</v>
      </c>
      <c r="I219" s="6" t="s">
        <v>2262</v>
      </c>
      <c r="J219" s="6" t="str">
        <f aca="false">IFERROR(__xludf.dummyfunction("IFS(I219=""ShotAttack"",""%"",I219=""MeleeAttack"",""%"", I219=""Defense"",""%"",I219=""CraftSPeed"",""%"",I219=""LifeSteal"",""%"",I219=""MaxInventoryWeight"",""+"",I219=""MoveSpeed"",""%"",REGEXMATCH(I219,""ElementAddItemDrop_""),""%"",I219=""Logging"","&amp;"""+"",I219=""Mining"",""+"",I219=""Maxhp"",""%"",REGEXMATCH(I219,""TemperatureResist_""),""+"",REGEXMATCH(I219,""ElementResist_""),""%"",REGEXMATCH(I219,""TemperatureInvalid_""),""bool"",REGEXMATCH(I219,""BodyPartsWeakDamage""),""%"",REGEXMATCH(I219,""Ele"&amp;"mentBoost_""),""%"",AND(REGEXMATCH(B219,""GiveA""),REGEXMATCH(I219,""Element"")),""bool"")"),"%")</f>
        <v>%</v>
      </c>
      <c r="K219" s="6" t="n">
        <v>10</v>
      </c>
      <c r="L219" s="6" t="s">
        <v>1956</v>
      </c>
      <c r="M219" s="6"/>
      <c r="N219" s="6" t="str">
        <f aca="false">IFERROR(__xludf.dummyfunction("IFS(M219=""ShotAttack"",""%"",M219=""MeleeAttack"",""%"", M219=""Defense"",""%"",M219=""CraftSPeed"",""%"",M219=""LifeSteal"",""%"",M219=""MaxInventoryWeight"",""+"",M219=""MoveSpeed"",""%"",REGEXMATCH(M219,""ElementAddItemDrop_""),""%"",M219=""Logging"","&amp;"""+"",M219=""Mining"",""+"",M219=""Maxhp"",""%"",REGEXMATCH(M219,""TemperatureResist_""),""+"",REGEXMATCH(M219,""ElementResist_""),""%"",REGEXMATCH(M219,""TemperatureInvalid_""),""bool"",REGEXMATCH(M219,""BodyPartsWeakDamage""),""%"",REGEXMATCH(M219,""Ele"&amp;"mentBoost_""),""%"",AND(REGEXMATCH(F219,""GiveA""),REGEXMATCH(M219,""Element"")),""bool"")"),"#N/A")</f>
        <v>#N/A</v>
      </c>
      <c r="O219" s="6" t="n">
        <v>0</v>
      </c>
      <c r="P219" s="6"/>
      <c r="Q219" s="6"/>
      <c r="R219" s="6" t="str">
        <f aca="false">IFERROR(__xludf.dummyfunction("IFS(Q219=""ShotAttack"",""%"",Q219=""MeleeAttack"",""%"", Q219=""Defense"",""%"",Q219=""CraftSPeed"",""%"",Q219=""LifeSteal"",""%"",Q219=""MaxInventoryWeight"",""+"",Q219=""MoveSpeed"",""%"",REGEXMATCH(Q219,""ElementAddItemDrop_""),""%"",Q219=""Logging"","&amp;"""+"",Q219=""Mining"",""+"",Q219=""Maxhp"",""%"",REGEXMATCH(Q219,""TemperatureResist_""),""+"",REGEXMATCH(Q219,""ElementResist_""),""%"",REGEXMATCH(Q219,""TemperatureInvalid_""),""bool"",REGEXMATCH(Q219,""BodyPartsWeakDamage""),""%"",REGEXMATCH(Q219,""Ele"&amp;"mentBoost_""),""%"",AND(REGEXMATCH(J219,""GiveA""),REGEXMATCH(Q219,""Element"")),""bool"")"),"#N/A")</f>
        <v>#N/A</v>
      </c>
      <c r="S219" s="6" t="n">
        <v>0</v>
      </c>
      <c r="T219" s="6"/>
      <c r="U219" s="319" t="b">
        <f aca="false">FALSE()</f>
        <v>0</v>
      </c>
      <c r="V219" s="319" t="b">
        <f aca="false">FALSE()</f>
        <v>0</v>
      </c>
      <c r="W219" s="319" t="b">
        <f aca="false">FALSE()</f>
        <v>0</v>
      </c>
      <c r="X219" s="319" t="b">
        <f aca="false">FALSE()</f>
        <v>0</v>
      </c>
      <c r="Y219" s="319" t="b">
        <f aca="false">FALSE()</f>
        <v>0</v>
      </c>
      <c r="Z219" s="319" t="b">
        <f aca="false">TRUE()</f>
        <v>1</v>
      </c>
      <c r="AA219" s="319" t="b">
        <f aca="false">TRUE()</f>
        <v>1</v>
      </c>
      <c r="AB219" s="319" t="b">
        <f aca="false">FALSE()</f>
        <v>0</v>
      </c>
      <c r="AC219" s="319" t="b">
        <f aca="false">FALSE()</f>
        <v>0</v>
      </c>
      <c r="AD219" s="319" t="b">
        <f aca="false">FALSE()</f>
        <v>0</v>
      </c>
      <c r="AE219" s="319" t="b">
        <f aca="false">FALSE()</f>
        <v>0</v>
      </c>
      <c r="AF219" s="319" t="b">
        <f aca="false">FALSE()</f>
        <v>0</v>
      </c>
      <c r="AG219" s="6" t="s">
        <v>182</v>
      </c>
      <c r="AH219" s="6" t="s">
        <v>182</v>
      </c>
    </row>
    <row r="220" customFormat="false" ht="15.75" hidden="false" customHeight="false" outlineLevel="0" collapsed="false">
      <c r="A220" s="3" t="s">
        <v>2263</v>
      </c>
      <c r="B220" s="6" t="s">
        <v>2264</v>
      </c>
      <c r="C220" s="311" t="b">
        <f aca="false">TRUE()</f>
        <v>1</v>
      </c>
      <c r="D220" s="6" t="str">
        <f aca="false">I220   &amp; IF(ISBLANK(M220),, ". "&amp; M220 &amp; IF(ISBLANK(Q220),, ". "&amp; Q220))</f>
        <v>ElementBoost_Leaf</v>
      </c>
      <c r="E220" s="6" t="str">
        <f aca="false">I220  &amp;": # on "&amp; L220  &amp; IF(ISBLANK(M220),, ". "&amp; M220 &amp;": # on "&amp; P220 &amp; IF(ISBLANK(Q220),, ". "&amp; Q220 &amp;": # on "&amp; T220))</f>
        <v>ElementBoost_Leaf: # on Self</v>
      </c>
      <c r="F220" s="6" t="str">
        <f aca="false">IF(U220,"active pal",)  &amp; IF(V220,"working",) &amp; IF(W220,"mounted",) &amp; IF(Y220,"in party (buff)",)  &amp; IF(Z220,"always",)</f>
        <v>always</v>
      </c>
      <c r="G220" s="6" t="n">
        <v>1</v>
      </c>
      <c r="H220" s="6" t="s">
        <v>2265</v>
      </c>
      <c r="I220" s="6" t="s">
        <v>2266</v>
      </c>
      <c r="J220" s="6" t="str">
        <f aca="false">IFERROR(__xludf.dummyfunction("IFS(I220=""ShotAttack"",""%"",I220=""MeleeAttack"",""%"", I220=""Defense"",""%"",I220=""CraftSPeed"",""%"",I220=""LifeSteal"",""%"",I220=""MaxInventoryWeight"",""+"",I220=""MoveSpeed"",""%"",REGEXMATCH(I220,""ElementAddItemDrop_""),""%"",I220=""Logging"","&amp;"""+"",I220=""Mining"",""+"",I220=""Maxhp"",""%"",REGEXMATCH(I220,""TemperatureResist_""),""+"",REGEXMATCH(I220,""ElementResist_""),""%"",REGEXMATCH(I220,""TemperatureInvalid_""),""bool"",REGEXMATCH(I220,""BodyPartsWeakDamage""),""%"",REGEXMATCH(I220,""Ele"&amp;"mentBoost_""),""%"",AND(REGEXMATCH(B220,""GiveA""),REGEXMATCH(I220,""Element"")),""bool"")"),"%")</f>
        <v>%</v>
      </c>
      <c r="K220" s="6" t="n">
        <v>10</v>
      </c>
      <c r="L220" s="6" t="s">
        <v>1956</v>
      </c>
      <c r="M220" s="6"/>
      <c r="N220" s="6" t="str">
        <f aca="false">IFERROR(__xludf.dummyfunction("IFS(M220=""ShotAttack"",""%"",M220=""MeleeAttack"",""%"", M220=""Defense"",""%"",M220=""CraftSPeed"",""%"",M220=""LifeSteal"",""%"",M220=""MaxInventoryWeight"",""+"",M220=""MoveSpeed"",""%"",REGEXMATCH(M220,""ElementAddItemDrop_""),""%"",M220=""Logging"","&amp;"""+"",M220=""Mining"",""+"",M220=""Maxhp"",""%"",REGEXMATCH(M220,""TemperatureResist_""),""+"",REGEXMATCH(M220,""ElementResist_""),""%"",REGEXMATCH(M220,""TemperatureInvalid_""),""bool"",REGEXMATCH(M220,""BodyPartsWeakDamage""),""%"",REGEXMATCH(M220,""Ele"&amp;"mentBoost_""),""%"",AND(REGEXMATCH(F220,""GiveA""),REGEXMATCH(M220,""Element"")),""bool"")"),"#N/A")</f>
        <v>#N/A</v>
      </c>
      <c r="O220" s="6" t="n">
        <v>0</v>
      </c>
      <c r="P220" s="6"/>
      <c r="Q220" s="6"/>
      <c r="R220" s="6" t="str">
        <f aca="false">IFERROR(__xludf.dummyfunction("IFS(Q220=""ShotAttack"",""%"",Q220=""MeleeAttack"",""%"", Q220=""Defense"",""%"",Q220=""CraftSPeed"",""%"",Q220=""LifeSteal"",""%"",Q220=""MaxInventoryWeight"",""+"",Q220=""MoveSpeed"",""%"",REGEXMATCH(Q220,""ElementAddItemDrop_""),""%"",Q220=""Logging"","&amp;"""+"",Q220=""Mining"",""+"",Q220=""Maxhp"",""%"",REGEXMATCH(Q220,""TemperatureResist_""),""+"",REGEXMATCH(Q220,""ElementResist_""),""%"",REGEXMATCH(Q220,""TemperatureInvalid_""),""bool"",REGEXMATCH(Q220,""BodyPartsWeakDamage""),""%"",REGEXMATCH(Q220,""Ele"&amp;"mentBoost_""),""%"",AND(REGEXMATCH(J220,""GiveA""),REGEXMATCH(Q220,""Element"")),""bool"")"),"#N/A")</f>
        <v>#N/A</v>
      </c>
      <c r="S220" s="6" t="n">
        <v>0</v>
      </c>
      <c r="T220" s="6"/>
      <c r="U220" s="319" t="b">
        <f aca="false">FALSE()</f>
        <v>0</v>
      </c>
      <c r="V220" s="319" t="b">
        <f aca="false">FALSE()</f>
        <v>0</v>
      </c>
      <c r="W220" s="319" t="b">
        <f aca="false">FALSE()</f>
        <v>0</v>
      </c>
      <c r="X220" s="319" t="b">
        <f aca="false">FALSE()</f>
        <v>0</v>
      </c>
      <c r="Y220" s="319" t="b">
        <f aca="false">FALSE()</f>
        <v>0</v>
      </c>
      <c r="Z220" s="319" t="b">
        <f aca="false">TRUE()</f>
        <v>1</v>
      </c>
      <c r="AA220" s="319" t="b">
        <f aca="false">TRUE()</f>
        <v>1</v>
      </c>
      <c r="AB220" s="319" t="b">
        <f aca="false">FALSE()</f>
        <v>0</v>
      </c>
      <c r="AC220" s="319" t="b">
        <f aca="false">FALSE()</f>
        <v>0</v>
      </c>
      <c r="AD220" s="319" t="b">
        <f aca="false">FALSE()</f>
        <v>0</v>
      </c>
      <c r="AE220" s="319" t="b">
        <f aca="false">FALSE()</f>
        <v>0</v>
      </c>
      <c r="AF220" s="319" t="b">
        <f aca="false">FALSE()</f>
        <v>0</v>
      </c>
      <c r="AG220" s="6" t="s">
        <v>182</v>
      </c>
      <c r="AH220" s="6" t="s">
        <v>182</v>
      </c>
    </row>
    <row r="221" customFormat="false" ht="15.75" hidden="false" customHeight="false" outlineLevel="0" collapsed="false">
      <c r="A221" s="3" t="s">
        <v>2267</v>
      </c>
      <c r="B221" s="6" t="s">
        <v>2268</v>
      </c>
      <c r="C221" s="311" t="b">
        <f aca="false">TRUE()</f>
        <v>1</v>
      </c>
      <c r="D221" s="6" t="str">
        <f aca="false">I221   &amp; IF(ISBLANK(M221),, ". "&amp; M221 &amp; IF(ISBLANK(Q221),, ". "&amp; Q221))</f>
        <v>ElementBoost_Ice</v>
      </c>
      <c r="E221" s="6" t="str">
        <f aca="false">I221  &amp;": # on "&amp; L221  &amp; IF(ISBLANK(M221),, ". "&amp; M221 &amp;": # on "&amp; P221 &amp; IF(ISBLANK(Q221),, ". "&amp; Q221 &amp;": # on "&amp; T221))</f>
        <v>ElementBoost_Ice: # on Self</v>
      </c>
      <c r="F221" s="6" t="str">
        <f aca="false">IF(U221,"active pal",)  &amp; IF(V221,"working",) &amp; IF(W221,"mounted",) &amp; IF(Y221,"in party (buff)",)  &amp; IF(Z221,"always",)</f>
        <v>always</v>
      </c>
      <c r="G221" s="6" t="n">
        <v>1</v>
      </c>
      <c r="H221" s="6" t="s">
        <v>2269</v>
      </c>
      <c r="I221" s="6" t="s">
        <v>2270</v>
      </c>
      <c r="J221" s="6" t="str">
        <f aca="false">IFERROR(__xludf.dummyfunction("IFS(I221=""ShotAttack"",""%"",I221=""MeleeAttack"",""%"", I221=""Defense"",""%"",I221=""CraftSPeed"",""%"",I221=""LifeSteal"",""%"",I221=""MaxInventoryWeight"",""+"",I221=""MoveSpeed"",""%"",REGEXMATCH(I221,""ElementAddItemDrop_""),""%"",I221=""Logging"","&amp;"""+"",I221=""Mining"",""+"",I221=""Maxhp"",""%"",REGEXMATCH(I221,""TemperatureResist_""),""+"",REGEXMATCH(I221,""ElementResist_""),""%"",REGEXMATCH(I221,""TemperatureInvalid_""),""bool"",REGEXMATCH(I221,""BodyPartsWeakDamage""),""%"",REGEXMATCH(I221,""Ele"&amp;"mentBoost_""),""%"",AND(REGEXMATCH(B221,""GiveA""),REGEXMATCH(I221,""Element"")),""bool"")"),"%")</f>
        <v>%</v>
      </c>
      <c r="K221" s="6" t="n">
        <v>10</v>
      </c>
      <c r="L221" s="6" t="s">
        <v>1956</v>
      </c>
      <c r="M221" s="6"/>
      <c r="N221" s="6" t="str">
        <f aca="false">IFERROR(__xludf.dummyfunction("IFS(M221=""ShotAttack"",""%"",M221=""MeleeAttack"",""%"", M221=""Defense"",""%"",M221=""CraftSPeed"",""%"",M221=""LifeSteal"",""%"",M221=""MaxInventoryWeight"",""+"",M221=""MoveSpeed"",""%"",REGEXMATCH(M221,""ElementAddItemDrop_""),""%"",M221=""Logging"","&amp;"""+"",M221=""Mining"",""+"",M221=""Maxhp"",""%"",REGEXMATCH(M221,""TemperatureResist_""),""+"",REGEXMATCH(M221,""ElementResist_""),""%"",REGEXMATCH(M221,""TemperatureInvalid_""),""bool"",REGEXMATCH(M221,""BodyPartsWeakDamage""),""%"",REGEXMATCH(M221,""Ele"&amp;"mentBoost_""),""%"",AND(REGEXMATCH(F221,""GiveA""),REGEXMATCH(M221,""Element"")),""bool"")"),"#N/A")</f>
        <v>#N/A</v>
      </c>
      <c r="O221" s="6" t="n">
        <v>0</v>
      </c>
      <c r="P221" s="6"/>
      <c r="Q221" s="6"/>
      <c r="R221" s="6" t="str">
        <f aca="false">IFERROR(__xludf.dummyfunction("IFS(Q221=""ShotAttack"",""%"",Q221=""MeleeAttack"",""%"", Q221=""Defense"",""%"",Q221=""CraftSPeed"",""%"",Q221=""LifeSteal"",""%"",Q221=""MaxInventoryWeight"",""+"",Q221=""MoveSpeed"",""%"",REGEXMATCH(Q221,""ElementAddItemDrop_""),""%"",Q221=""Logging"","&amp;"""+"",Q221=""Mining"",""+"",Q221=""Maxhp"",""%"",REGEXMATCH(Q221,""TemperatureResist_""),""+"",REGEXMATCH(Q221,""ElementResist_""),""%"",REGEXMATCH(Q221,""TemperatureInvalid_""),""bool"",REGEXMATCH(Q221,""BodyPartsWeakDamage""),""%"",REGEXMATCH(Q221,""Ele"&amp;"mentBoost_""),""%"",AND(REGEXMATCH(J221,""GiveA""),REGEXMATCH(Q221,""Element"")),""bool"")"),"#N/A")</f>
        <v>#N/A</v>
      </c>
      <c r="S221" s="6" t="n">
        <v>0</v>
      </c>
      <c r="T221" s="6"/>
      <c r="U221" s="319" t="b">
        <f aca="false">FALSE()</f>
        <v>0</v>
      </c>
      <c r="V221" s="319" t="b">
        <f aca="false">FALSE()</f>
        <v>0</v>
      </c>
      <c r="W221" s="319" t="b">
        <f aca="false">FALSE()</f>
        <v>0</v>
      </c>
      <c r="X221" s="319" t="b">
        <f aca="false">FALSE()</f>
        <v>0</v>
      </c>
      <c r="Y221" s="319" t="b">
        <f aca="false">FALSE()</f>
        <v>0</v>
      </c>
      <c r="Z221" s="319" t="b">
        <f aca="false">TRUE()</f>
        <v>1</v>
      </c>
      <c r="AA221" s="319" t="b">
        <f aca="false">TRUE()</f>
        <v>1</v>
      </c>
      <c r="AB221" s="319" t="b">
        <f aca="false">FALSE()</f>
        <v>0</v>
      </c>
      <c r="AC221" s="319" t="b">
        <f aca="false">FALSE()</f>
        <v>0</v>
      </c>
      <c r="AD221" s="319" t="b">
        <f aca="false">FALSE()</f>
        <v>0</v>
      </c>
      <c r="AE221" s="319" t="b">
        <f aca="false">FALSE()</f>
        <v>0</v>
      </c>
      <c r="AF221" s="319" t="b">
        <f aca="false">FALSE()</f>
        <v>0</v>
      </c>
      <c r="AG221" s="6" t="s">
        <v>182</v>
      </c>
      <c r="AH221" s="6" t="s">
        <v>182</v>
      </c>
    </row>
    <row r="222" customFormat="false" ht="15.75" hidden="false" customHeight="false" outlineLevel="0" collapsed="false">
      <c r="A222" s="3" t="s">
        <v>2271</v>
      </c>
      <c r="B222" s="6" t="s">
        <v>2272</v>
      </c>
      <c r="C222" s="311" t="b">
        <f aca="false">TRUE()</f>
        <v>1</v>
      </c>
      <c r="D222" s="6" t="str">
        <f aca="false">I222   &amp; IF(ISBLANK(M222),, ". "&amp; M222 &amp; IF(ISBLANK(Q222),, ". "&amp; Q222))</f>
        <v>ElementBoost_Earth</v>
      </c>
      <c r="E222" s="6" t="str">
        <f aca="false">I222  &amp;": # on "&amp; L222  &amp; IF(ISBLANK(M222),, ". "&amp; M222 &amp;": # on "&amp; P222 &amp; IF(ISBLANK(Q222),, ". "&amp; Q222 &amp;": # on "&amp; T222))</f>
        <v>ElementBoost_Earth: # on Self</v>
      </c>
      <c r="F222" s="6" t="str">
        <f aca="false">IF(U222,"active pal",)  &amp; IF(V222,"working",) &amp; IF(W222,"mounted",) &amp; IF(Y222,"in party (buff)",)  &amp; IF(Z222,"always",)</f>
        <v>always</v>
      </c>
      <c r="G222" s="6" t="n">
        <v>1</v>
      </c>
      <c r="H222" s="6" t="s">
        <v>2273</v>
      </c>
      <c r="I222" s="6" t="s">
        <v>2274</v>
      </c>
      <c r="J222" s="6" t="str">
        <f aca="false">IFERROR(__xludf.dummyfunction("IFS(I222=""ShotAttack"",""%"",I222=""MeleeAttack"",""%"", I222=""Defense"",""%"",I222=""CraftSPeed"",""%"",I222=""LifeSteal"",""%"",I222=""MaxInventoryWeight"",""+"",I222=""MoveSpeed"",""%"",REGEXMATCH(I222,""ElementAddItemDrop_""),""%"",I222=""Logging"","&amp;"""+"",I222=""Mining"",""+"",I222=""Maxhp"",""%"",REGEXMATCH(I222,""TemperatureResist_""),""+"",REGEXMATCH(I222,""ElementResist_""),""%"",REGEXMATCH(I222,""TemperatureInvalid_""),""bool"",REGEXMATCH(I222,""BodyPartsWeakDamage""),""%"",REGEXMATCH(I222,""Ele"&amp;"mentBoost_""),""%"",AND(REGEXMATCH(B222,""GiveA""),REGEXMATCH(I222,""Element"")),""bool"")"),"%")</f>
        <v>%</v>
      </c>
      <c r="K222" s="6" t="n">
        <v>10</v>
      </c>
      <c r="L222" s="6" t="s">
        <v>1956</v>
      </c>
      <c r="M222" s="6"/>
      <c r="N222" s="6" t="str">
        <f aca="false">IFERROR(__xludf.dummyfunction("IFS(M222=""ShotAttack"",""%"",M222=""MeleeAttack"",""%"", M222=""Defense"",""%"",M222=""CraftSPeed"",""%"",M222=""LifeSteal"",""%"",M222=""MaxInventoryWeight"",""+"",M222=""MoveSpeed"",""%"",REGEXMATCH(M222,""ElementAddItemDrop_""),""%"",M222=""Logging"","&amp;"""+"",M222=""Mining"",""+"",M222=""Maxhp"",""%"",REGEXMATCH(M222,""TemperatureResist_""),""+"",REGEXMATCH(M222,""ElementResist_""),""%"",REGEXMATCH(M222,""TemperatureInvalid_""),""bool"",REGEXMATCH(M222,""BodyPartsWeakDamage""),""%"",REGEXMATCH(M222,""Ele"&amp;"mentBoost_""),""%"",AND(REGEXMATCH(F222,""GiveA""),REGEXMATCH(M222,""Element"")),""bool"")"),"#N/A")</f>
        <v>#N/A</v>
      </c>
      <c r="O222" s="6" t="n">
        <v>0</v>
      </c>
      <c r="P222" s="6"/>
      <c r="Q222" s="6"/>
      <c r="R222" s="6" t="str">
        <f aca="false">IFERROR(__xludf.dummyfunction("IFS(Q222=""ShotAttack"",""%"",Q222=""MeleeAttack"",""%"", Q222=""Defense"",""%"",Q222=""CraftSPeed"",""%"",Q222=""LifeSteal"",""%"",Q222=""MaxInventoryWeight"",""+"",Q222=""MoveSpeed"",""%"",REGEXMATCH(Q222,""ElementAddItemDrop_""),""%"",Q222=""Logging"","&amp;"""+"",Q222=""Mining"",""+"",Q222=""Maxhp"",""%"",REGEXMATCH(Q222,""TemperatureResist_""),""+"",REGEXMATCH(Q222,""ElementResist_""),""%"",REGEXMATCH(Q222,""TemperatureInvalid_""),""bool"",REGEXMATCH(Q222,""BodyPartsWeakDamage""),""%"",REGEXMATCH(Q222,""Ele"&amp;"mentBoost_""),""%"",AND(REGEXMATCH(J222,""GiveA""),REGEXMATCH(Q222,""Element"")),""bool"")"),"#N/A")</f>
        <v>#N/A</v>
      </c>
      <c r="S222" s="6" t="n">
        <v>0</v>
      </c>
      <c r="T222" s="6"/>
      <c r="U222" s="319" t="b">
        <f aca="false">FALSE()</f>
        <v>0</v>
      </c>
      <c r="V222" s="319" t="b">
        <f aca="false">FALSE()</f>
        <v>0</v>
      </c>
      <c r="W222" s="319" t="b">
        <f aca="false">FALSE()</f>
        <v>0</v>
      </c>
      <c r="X222" s="319" t="b">
        <f aca="false">FALSE()</f>
        <v>0</v>
      </c>
      <c r="Y222" s="319" t="b">
        <f aca="false">FALSE()</f>
        <v>0</v>
      </c>
      <c r="Z222" s="319" t="b">
        <f aca="false">TRUE()</f>
        <v>1</v>
      </c>
      <c r="AA222" s="319" t="b">
        <f aca="false">TRUE()</f>
        <v>1</v>
      </c>
      <c r="AB222" s="319" t="b">
        <f aca="false">FALSE()</f>
        <v>0</v>
      </c>
      <c r="AC222" s="319" t="b">
        <f aca="false">FALSE()</f>
        <v>0</v>
      </c>
      <c r="AD222" s="319" t="b">
        <f aca="false">FALSE()</f>
        <v>0</v>
      </c>
      <c r="AE222" s="319" t="b">
        <f aca="false">FALSE()</f>
        <v>0</v>
      </c>
      <c r="AF222" s="319" t="b">
        <f aca="false">FALSE()</f>
        <v>0</v>
      </c>
      <c r="AG222" s="6" t="s">
        <v>182</v>
      </c>
      <c r="AH222" s="6" t="s">
        <v>182</v>
      </c>
    </row>
    <row r="223" customFormat="false" ht="15.75" hidden="false" customHeight="false" outlineLevel="0" collapsed="false">
      <c r="A223" s="3" t="s">
        <v>2275</v>
      </c>
      <c r="B223" s="6" t="s">
        <v>2276</v>
      </c>
      <c r="C223" s="311" t="b">
        <f aca="false">TRUE()</f>
        <v>1</v>
      </c>
      <c r="D223" s="6" t="str">
        <f aca="false">I223   &amp; IF(ISBLANK(M223),, ". "&amp; M223 &amp; IF(ISBLANK(Q223),, ". "&amp; Q223))</f>
        <v>ElementBoost_Dark</v>
      </c>
      <c r="E223" s="6" t="str">
        <f aca="false">I223  &amp;": # on "&amp; L223  &amp; IF(ISBLANK(M223),, ". "&amp; M223 &amp;": # on "&amp; P223 &amp; IF(ISBLANK(Q223),, ". "&amp; Q223 &amp;": # on "&amp; T223))</f>
        <v>ElementBoost_Dark: # on Self</v>
      </c>
      <c r="F223" s="6" t="str">
        <f aca="false">IF(U223,"active pal",)  &amp; IF(V223,"working",) &amp; IF(W223,"mounted",) &amp; IF(Y223,"in party (buff)",)  &amp; IF(Z223,"always",)</f>
        <v>always</v>
      </c>
      <c r="G223" s="6" t="n">
        <v>1</v>
      </c>
      <c r="H223" s="6" t="s">
        <v>2277</v>
      </c>
      <c r="I223" s="6" t="s">
        <v>2278</v>
      </c>
      <c r="J223" s="6" t="str">
        <f aca="false">IFERROR(__xludf.dummyfunction("IFS(I223=""ShotAttack"",""%"",I223=""MeleeAttack"",""%"", I223=""Defense"",""%"",I223=""CraftSPeed"",""%"",I223=""LifeSteal"",""%"",I223=""MaxInventoryWeight"",""+"",I223=""MoveSpeed"",""%"",REGEXMATCH(I223,""ElementAddItemDrop_""),""%"",I223=""Logging"","&amp;"""+"",I223=""Mining"",""+"",I223=""Maxhp"",""%"",REGEXMATCH(I223,""TemperatureResist_""),""+"",REGEXMATCH(I223,""ElementResist_""),""%"",REGEXMATCH(I223,""TemperatureInvalid_""),""bool"",REGEXMATCH(I223,""BodyPartsWeakDamage""),""%"",REGEXMATCH(I223,""Ele"&amp;"mentBoost_""),""%"",AND(REGEXMATCH(B223,""GiveA""),REGEXMATCH(I223,""Element"")),""bool"")"),"%")</f>
        <v>%</v>
      </c>
      <c r="K223" s="6" t="n">
        <v>10</v>
      </c>
      <c r="L223" s="6" t="s">
        <v>1956</v>
      </c>
      <c r="M223" s="6"/>
      <c r="N223" s="6" t="str">
        <f aca="false">IFERROR(__xludf.dummyfunction("IFS(M223=""ShotAttack"",""%"",M223=""MeleeAttack"",""%"", M223=""Defense"",""%"",M223=""CraftSPeed"",""%"",M223=""LifeSteal"",""%"",M223=""MaxInventoryWeight"",""+"",M223=""MoveSpeed"",""%"",REGEXMATCH(M223,""ElementAddItemDrop_""),""%"",M223=""Logging"","&amp;"""+"",M223=""Mining"",""+"",M223=""Maxhp"",""%"",REGEXMATCH(M223,""TemperatureResist_""),""+"",REGEXMATCH(M223,""ElementResist_""),""%"",REGEXMATCH(M223,""TemperatureInvalid_""),""bool"",REGEXMATCH(M223,""BodyPartsWeakDamage""),""%"",REGEXMATCH(M223,""Ele"&amp;"mentBoost_""),""%"",AND(REGEXMATCH(F223,""GiveA""),REGEXMATCH(M223,""Element"")),""bool"")"),"#N/A")</f>
        <v>#N/A</v>
      </c>
      <c r="O223" s="6" t="n">
        <v>0</v>
      </c>
      <c r="P223" s="6"/>
      <c r="Q223" s="6"/>
      <c r="R223" s="6" t="str">
        <f aca="false">IFERROR(__xludf.dummyfunction("IFS(Q223=""ShotAttack"",""%"",Q223=""MeleeAttack"",""%"", Q223=""Defense"",""%"",Q223=""CraftSPeed"",""%"",Q223=""LifeSteal"",""%"",Q223=""MaxInventoryWeight"",""+"",Q223=""MoveSpeed"",""%"",REGEXMATCH(Q223,""ElementAddItemDrop_""),""%"",Q223=""Logging"","&amp;"""+"",Q223=""Mining"",""+"",Q223=""Maxhp"",""%"",REGEXMATCH(Q223,""TemperatureResist_""),""+"",REGEXMATCH(Q223,""ElementResist_""),""%"",REGEXMATCH(Q223,""TemperatureInvalid_""),""bool"",REGEXMATCH(Q223,""BodyPartsWeakDamage""),""%"",REGEXMATCH(Q223,""Ele"&amp;"mentBoost_""),""%"",AND(REGEXMATCH(J223,""GiveA""),REGEXMATCH(Q223,""Element"")),""bool"")"),"#N/A")</f>
        <v>#N/A</v>
      </c>
      <c r="S223" s="6" t="n">
        <v>0</v>
      </c>
      <c r="T223" s="6"/>
      <c r="U223" s="319" t="b">
        <f aca="false">FALSE()</f>
        <v>0</v>
      </c>
      <c r="V223" s="319" t="b">
        <f aca="false">FALSE()</f>
        <v>0</v>
      </c>
      <c r="W223" s="319" t="b">
        <f aca="false">FALSE()</f>
        <v>0</v>
      </c>
      <c r="X223" s="319" t="b">
        <f aca="false">FALSE()</f>
        <v>0</v>
      </c>
      <c r="Y223" s="319" t="b">
        <f aca="false">FALSE()</f>
        <v>0</v>
      </c>
      <c r="Z223" s="319" t="b">
        <f aca="false">TRUE()</f>
        <v>1</v>
      </c>
      <c r="AA223" s="319" t="b">
        <f aca="false">TRUE()</f>
        <v>1</v>
      </c>
      <c r="AB223" s="319" t="b">
        <f aca="false">FALSE()</f>
        <v>0</v>
      </c>
      <c r="AC223" s="319" t="b">
        <f aca="false">FALSE()</f>
        <v>0</v>
      </c>
      <c r="AD223" s="319" t="b">
        <f aca="false">FALSE()</f>
        <v>0</v>
      </c>
      <c r="AE223" s="319" t="b">
        <f aca="false">FALSE()</f>
        <v>0</v>
      </c>
      <c r="AF223" s="319" t="b">
        <f aca="false">FALSE()</f>
        <v>0</v>
      </c>
      <c r="AG223" s="6" t="s">
        <v>182</v>
      </c>
      <c r="AH223" s="6" t="s">
        <v>182</v>
      </c>
    </row>
    <row r="224" customFormat="false" ht="15.75" hidden="false" customHeight="false" outlineLevel="0" collapsed="false">
      <c r="A224" s="3" t="s">
        <v>2279</v>
      </c>
      <c r="B224" s="6" t="s">
        <v>2280</v>
      </c>
      <c r="C224" s="311" t="b">
        <f aca="false">TRUE()</f>
        <v>1</v>
      </c>
      <c r="D224" s="6" t="str">
        <f aca="false">I224   &amp; IF(ISBLANK(M224),, ". "&amp; M224 &amp; IF(ISBLANK(Q224),, ". "&amp; Q224))</f>
        <v>ElementBoost_Dragon</v>
      </c>
      <c r="E224" s="6" t="str">
        <f aca="false">I224  &amp;": # on "&amp; L224  &amp; IF(ISBLANK(M224),, ". "&amp; M224 &amp;": # on "&amp; P224 &amp; IF(ISBLANK(Q224),, ". "&amp; Q224 &amp;": # on "&amp; T224))</f>
        <v>ElementBoost_Dragon: # on Self</v>
      </c>
      <c r="F224" s="6" t="str">
        <f aca="false">IF(U224,"active pal",)  &amp; IF(V224,"working",) &amp; IF(W224,"mounted",) &amp; IF(Y224,"in party (buff)",)  &amp; IF(Z224,"always",)</f>
        <v>always</v>
      </c>
      <c r="G224" s="6" t="n">
        <v>1</v>
      </c>
      <c r="H224" s="6" t="s">
        <v>2281</v>
      </c>
      <c r="I224" s="6" t="s">
        <v>2282</v>
      </c>
      <c r="J224" s="6" t="str">
        <f aca="false">IFERROR(__xludf.dummyfunction("IFS(I224=""ShotAttack"",""%"",I224=""MeleeAttack"",""%"", I224=""Defense"",""%"",I224=""CraftSPeed"",""%"",I224=""LifeSteal"",""%"",I224=""MaxInventoryWeight"",""+"",I224=""MoveSpeed"",""%"",REGEXMATCH(I224,""ElementAddItemDrop_""),""%"",I224=""Logging"","&amp;"""+"",I224=""Mining"",""+"",I224=""Maxhp"",""%"",REGEXMATCH(I224,""TemperatureResist_""),""+"",REGEXMATCH(I224,""ElementResist_""),""%"",REGEXMATCH(I224,""TemperatureInvalid_""),""bool"",REGEXMATCH(I224,""BodyPartsWeakDamage""),""%"",REGEXMATCH(I224,""Ele"&amp;"mentBoost_""),""%"",AND(REGEXMATCH(B224,""GiveA""),REGEXMATCH(I224,""Element"")),""bool"")"),"%")</f>
        <v>%</v>
      </c>
      <c r="K224" s="6" t="n">
        <v>10</v>
      </c>
      <c r="L224" s="6" t="s">
        <v>1956</v>
      </c>
      <c r="M224" s="6"/>
      <c r="N224" s="6" t="str">
        <f aca="false">IFERROR(__xludf.dummyfunction("IFS(M224=""ShotAttack"",""%"",M224=""MeleeAttack"",""%"", M224=""Defense"",""%"",M224=""CraftSPeed"",""%"",M224=""LifeSteal"",""%"",M224=""MaxInventoryWeight"",""+"",M224=""MoveSpeed"",""%"",REGEXMATCH(M224,""ElementAddItemDrop_""),""%"",M224=""Logging"","&amp;"""+"",M224=""Mining"",""+"",M224=""Maxhp"",""%"",REGEXMATCH(M224,""TemperatureResist_""),""+"",REGEXMATCH(M224,""ElementResist_""),""%"",REGEXMATCH(M224,""TemperatureInvalid_""),""bool"",REGEXMATCH(M224,""BodyPartsWeakDamage""),""%"",REGEXMATCH(M224,""Ele"&amp;"mentBoost_""),""%"",AND(REGEXMATCH(F224,""GiveA""),REGEXMATCH(M224,""Element"")),""bool"")"),"#N/A")</f>
        <v>#N/A</v>
      </c>
      <c r="O224" s="6" t="n">
        <v>0</v>
      </c>
      <c r="P224" s="6"/>
      <c r="Q224" s="6"/>
      <c r="R224" s="6" t="str">
        <f aca="false">IFERROR(__xludf.dummyfunction("IFS(Q224=""ShotAttack"",""%"",Q224=""MeleeAttack"",""%"", Q224=""Defense"",""%"",Q224=""CraftSPeed"",""%"",Q224=""LifeSteal"",""%"",Q224=""MaxInventoryWeight"",""+"",Q224=""MoveSpeed"",""%"",REGEXMATCH(Q224,""ElementAddItemDrop_""),""%"",Q224=""Logging"","&amp;"""+"",Q224=""Mining"",""+"",Q224=""Maxhp"",""%"",REGEXMATCH(Q224,""TemperatureResist_""),""+"",REGEXMATCH(Q224,""ElementResist_""),""%"",REGEXMATCH(Q224,""TemperatureInvalid_""),""bool"",REGEXMATCH(Q224,""BodyPartsWeakDamage""),""%"",REGEXMATCH(Q224,""Ele"&amp;"mentBoost_""),""%"",AND(REGEXMATCH(J224,""GiveA""),REGEXMATCH(Q224,""Element"")),""bool"")"),"#N/A")</f>
        <v>#N/A</v>
      </c>
      <c r="S224" s="6" t="n">
        <v>0</v>
      </c>
      <c r="T224" s="6"/>
      <c r="U224" s="319" t="b">
        <f aca="false">FALSE()</f>
        <v>0</v>
      </c>
      <c r="V224" s="319" t="b">
        <f aca="false">FALSE()</f>
        <v>0</v>
      </c>
      <c r="W224" s="319" t="b">
        <f aca="false">FALSE()</f>
        <v>0</v>
      </c>
      <c r="X224" s="319" t="b">
        <f aca="false">FALSE()</f>
        <v>0</v>
      </c>
      <c r="Y224" s="319" t="b">
        <f aca="false">FALSE()</f>
        <v>0</v>
      </c>
      <c r="Z224" s="319" t="b">
        <f aca="false">TRUE()</f>
        <v>1</v>
      </c>
      <c r="AA224" s="319" t="b">
        <f aca="false">TRUE()</f>
        <v>1</v>
      </c>
      <c r="AB224" s="319" t="b">
        <f aca="false">FALSE()</f>
        <v>0</v>
      </c>
      <c r="AC224" s="319" t="b">
        <f aca="false">FALSE()</f>
        <v>0</v>
      </c>
      <c r="AD224" s="319" t="b">
        <f aca="false">FALSE()</f>
        <v>0</v>
      </c>
      <c r="AE224" s="319" t="b">
        <f aca="false">FALSE()</f>
        <v>0</v>
      </c>
      <c r="AF224" s="319" t="b">
        <f aca="false">FALSE()</f>
        <v>0</v>
      </c>
      <c r="AG224" s="6" t="s">
        <v>182</v>
      </c>
      <c r="AH224" s="6" t="s">
        <v>182</v>
      </c>
    </row>
    <row r="225" customFormat="false" ht="15.75" hidden="false" customHeight="false" outlineLevel="0" collapsed="false">
      <c r="A225" s="3" t="s">
        <v>2283</v>
      </c>
      <c r="B225" s="6" t="s">
        <v>970</v>
      </c>
      <c r="C225" s="311" t="b">
        <f aca="false">TRUE()</f>
        <v>1</v>
      </c>
      <c r="D225" s="6" t="str">
        <f aca="false">I225   &amp; IF(ISBLANK(M225),, ". "&amp; M225 &amp; IF(ISBLANK(Q225),, ". "&amp; Q225))</f>
        <v>FullStomatch_Decrease</v>
      </c>
      <c r="E225" s="6" t="str">
        <f aca="false">I225  &amp;": # on "&amp; L225  &amp; IF(ISBLANK(M225),, ". "&amp; M225 &amp;": # on "&amp; P225 &amp; IF(ISBLANK(Q225),, ". "&amp; Q225 &amp;": # on "&amp; T225))</f>
        <v>FullStomatch_Decrease: # on Self</v>
      </c>
      <c r="F225" s="6" t="str">
        <f aca="false">IF(U225,"active pal",)  &amp; IF(V225,"working",) &amp; IF(W225,"mounted",) &amp; IF(Y225,"in party (buff)",)  &amp; IF(Z225,"always",)</f>
        <v>always</v>
      </c>
      <c r="G225" s="6" t="n">
        <v>-1</v>
      </c>
      <c r="H225" s="6" t="s">
        <v>2284</v>
      </c>
      <c r="I225" s="6" t="s">
        <v>2285</v>
      </c>
      <c r="J225" s="6" t="str">
        <f aca="false">IFERROR(__xludf.dummyfunction("IFS(I225=""ShotAttack"",""%"",I225=""MeleeAttack"",""%"", I225=""Defense"",""%"",I225=""CraftSPeed"",""%"",I225=""LifeSteal"",""%"",I225=""MaxInventoryWeight"",""+"",I225=""MoveSpeed"",""%"",REGEXMATCH(I225,""ElementAddItemDrop_""),""%"",I225=""Logging"","&amp;"""+"",I225=""Mining"",""+"",I225=""Maxhp"",""%"",REGEXMATCH(I225,""TemperatureResist_""),""+"",REGEXMATCH(I225,""ElementResist_""),""%"",REGEXMATCH(I225,""TemperatureInvalid_""),""bool"",REGEXMATCH(I225,""BodyPartsWeakDamage""),""%"",REGEXMATCH(I225,""Ele"&amp;"mentBoost_""),""%"",AND(REGEXMATCH(B225,""GiveA""),REGEXMATCH(I225,""Element"")),""bool"")"),"#N/A")</f>
        <v>#N/A</v>
      </c>
      <c r="K225" s="6" t="n">
        <v>10</v>
      </c>
      <c r="L225" s="6" t="s">
        <v>1956</v>
      </c>
      <c r="M225" s="6"/>
      <c r="N225" s="6" t="str">
        <f aca="false">IFERROR(__xludf.dummyfunction("IFS(M225=""ShotAttack"",""%"",M225=""MeleeAttack"",""%"", M225=""Defense"",""%"",M225=""CraftSPeed"",""%"",M225=""LifeSteal"",""%"",M225=""MaxInventoryWeight"",""+"",M225=""MoveSpeed"",""%"",REGEXMATCH(M225,""ElementAddItemDrop_""),""%"",M225=""Logging"","&amp;"""+"",M225=""Mining"",""+"",M225=""Maxhp"",""%"",REGEXMATCH(M225,""TemperatureResist_""),""+"",REGEXMATCH(M225,""ElementResist_""),""%"",REGEXMATCH(M225,""TemperatureInvalid_""),""bool"",REGEXMATCH(M225,""BodyPartsWeakDamage""),""%"",REGEXMATCH(M225,""Ele"&amp;"mentBoost_""),""%"",AND(REGEXMATCH(F225,""GiveA""),REGEXMATCH(M225,""Element"")),""bool"")"),"#N/A")</f>
        <v>#N/A</v>
      </c>
      <c r="O225" s="6" t="n">
        <v>0</v>
      </c>
      <c r="P225" s="6"/>
      <c r="Q225" s="6"/>
      <c r="R225" s="6" t="str">
        <f aca="false">IFERROR(__xludf.dummyfunction("IFS(Q225=""ShotAttack"",""%"",Q225=""MeleeAttack"",""%"", Q225=""Defense"",""%"",Q225=""CraftSPeed"",""%"",Q225=""LifeSteal"",""%"",Q225=""MaxInventoryWeight"",""+"",Q225=""MoveSpeed"",""%"",REGEXMATCH(Q225,""ElementAddItemDrop_""),""%"",Q225=""Logging"","&amp;"""+"",Q225=""Mining"",""+"",Q225=""Maxhp"",""%"",REGEXMATCH(Q225,""TemperatureResist_""),""+"",REGEXMATCH(Q225,""ElementResist_""),""%"",REGEXMATCH(Q225,""TemperatureInvalid_""),""bool"",REGEXMATCH(Q225,""BodyPartsWeakDamage""),""%"",REGEXMATCH(Q225,""Ele"&amp;"mentBoost_""),""%"",AND(REGEXMATCH(J225,""GiveA""),REGEXMATCH(Q225,""Element"")),""bool"")"),"#N/A")</f>
        <v>#N/A</v>
      </c>
      <c r="S225" s="6" t="n">
        <v>0</v>
      </c>
      <c r="T225" s="6"/>
      <c r="U225" s="319" t="b">
        <f aca="false">FALSE()</f>
        <v>0</v>
      </c>
      <c r="V225" s="319" t="b">
        <f aca="false">FALSE()</f>
        <v>0</v>
      </c>
      <c r="W225" s="319" t="b">
        <f aca="false">FALSE()</f>
        <v>0</v>
      </c>
      <c r="X225" s="319" t="b">
        <f aca="false">FALSE()</f>
        <v>0</v>
      </c>
      <c r="Y225" s="319" t="b">
        <f aca="false">FALSE()</f>
        <v>0</v>
      </c>
      <c r="Z225" s="319" t="b">
        <f aca="false">TRUE()</f>
        <v>1</v>
      </c>
      <c r="AA225" s="319" t="b">
        <f aca="false">TRUE()</f>
        <v>1</v>
      </c>
      <c r="AB225" s="319" t="b">
        <f aca="false">FALSE()</f>
        <v>0</v>
      </c>
      <c r="AC225" s="319" t="b">
        <f aca="false">FALSE()</f>
        <v>0</v>
      </c>
      <c r="AD225" s="319" t="b">
        <f aca="false">FALSE()</f>
        <v>0</v>
      </c>
      <c r="AE225" s="319" t="b">
        <f aca="false">FALSE()</f>
        <v>0</v>
      </c>
      <c r="AF225" s="319" t="b">
        <f aca="false">FALSE()</f>
        <v>0</v>
      </c>
      <c r="AG225" s="6" t="s">
        <v>182</v>
      </c>
      <c r="AH225" s="6" t="s">
        <v>182</v>
      </c>
    </row>
    <row r="226" customFormat="false" ht="15.75" hidden="false" customHeight="false" outlineLevel="0" collapsed="false">
      <c r="A226" s="3" t="s">
        <v>2286</v>
      </c>
      <c r="B226" s="6" t="s">
        <v>2287</v>
      </c>
      <c r="C226" s="311" t="b">
        <f aca="false">TRUE()</f>
        <v>1</v>
      </c>
      <c r="D226" s="6" t="str">
        <f aca="false">I226   &amp; IF(ISBLANK(M226),, ". "&amp; M226 &amp; IF(ISBLANK(Q226),, ". "&amp; Q226))</f>
        <v>FullStomatch_Decrease</v>
      </c>
      <c r="E226" s="6" t="str">
        <f aca="false">I226  &amp;": # on "&amp; L226  &amp; IF(ISBLANK(M226),, ". "&amp; M226 &amp;": # on "&amp; P226 &amp; IF(ISBLANK(Q226),, ". "&amp; Q226 &amp;": # on "&amp; T226))</f>
        <v>FullStomatch_Decrease: # on Self</v>
      </c>
      <c r="F226" s="6" t="str">
        <f aca="false">IF(U226,"active pal",)  &amp; IF(V226,"working",) &amp; IF(W226,"mounted",) &amp; IF(Y226,"in party (buff)",)  &amp; IF(Z226,"always",)</f>
        <v>always</v>
      </c>
      <c r="G226" s="6" t="n">
        <v>-2</v>
      </c>
      <c r="H226" s="6" t="s">
        <v>2288</v>
      </c>
      <c r="I226" s="6" t="s">
        <v>2285</v>
      </c>
      <c r="J226" s="6" t="str">
        <f aca="false">IFERROR(__xludf.dummyfunction("IFS(I226=""ShotAttack"",""%"",I226=""MeleeAttack"",""%"", I226=""Defense"",""%"",I226=""CraftSPeed"",""%"",I226=""LifeSteal"",""%"",I226=""MaxInventoryWeight"",""+"",I226=""MoveSpeed"",""%"",REGEXMATCH(I226,""ElementAddItemDrop_""),""%"",I226=""Logging"","&amp;"""+"",I226=""Mining"",""+"",I226=""Maxhp"",""%"",REGEXMATCH(I226,""TemperatureResist_""),""+"",REGEXMATCH(I226,""ElementResist_""),""%"",REGEXMATCH(I226,""TemperatureInvalid_""),""bool"",REGEXMATCH(I226,""BodyPartsWeakDamage""),""%"",REGEXMATCH(I226,""Ele"&amp;"mentBoost_""),""%"",AND(REGEXMATCH(B226,""GiveA""),REGEXMATCH(I226,""Element"")),""bool"")"),"#N/A")</f>
        <v>#N/A</v>
      </c>
      <c r="K226" s="6" t="n">
        <v>15</v>
      </c>
      <c r="L226" s="6" t="s">
        <v>1956</v>
      </c>
      <c r="M226" s="6"/>
      <c r="N226" s="6" t="str">
        <f aca="false">IFERROR(__xludf.dummyfunction("IFS(M226=""ShotAttack"",""%"",M226=""MeleeAttack"",""%"", M226=""Defense"",""%"",M226=""CraftSPeed"",""%"",M226=""LifeSteal"",""%"",M226=""MaxInventoryWeight"",""+"",M226=""MoveSpeed"",""%"",REGEXMATCH(M226,""ElementAddItemDrop_""),""%"",M226=""Logging"","&amp;"""+"",M226=""Mining"",""+"",M226=""Maxhp"",""%"",REGEXMATCH(M226,""TemperatureResist_""),""+"",REGEXMATCH(M226,""ElementResist_""),""%"",REGEXMATCH(M226,""TemperatureInvalid_""),""bool"",REGEXMATCH(M226,""BodyPartsWeakDamage""),""%"",REGEXMATCH(M226,""Ele"&amp;"mentBoost_""),""%"",AND(REGEXMATCH(F226,""GiveA""),REGEXMATCH(M226,""Element"")),""bool"")"),"#N/A")</f>
        <v>#N/A</v>
      </c>
      <c r="O226" s="6" t="n">
        <v>0</v>
      </c>
      <c r="P226" s="6"/>
      <c r="Q226" s="6"/>
      <c r="R226" s="6" t="str">
        <f aca="false">IFERROR(__xludf.dummyfunction("IFS(Q226=""ShotAttack"",""%"",Q226=""MeleeAttack"",""%"", Q226=""Defense"",""%"",Q226=""CraftSPeed"",""%"",Q226=""LifeSteal"",""%"",Q226=""MaxInventoryWeight"",""+"",Q226=""MoveSpeed"",""%"",REGEXMATCH(Q226,""ElementAddItemDrop_""),""%"",Q226=""Logging"","&amp;"""+"",Q226=""Mining"",""+"",Q226=""Maxhp"",""%"",REGEXMATCH(Q226,""TemperatureResist_""),""+"",REGEXMATCH(Q226,""ElementResist_""),""%"",REGEXMATCH(Q226,""TemperatureInvalid_""),""bool"",REGEXMATCH(Q226,""BodyPartsWeakDamage""),""%"",REGEXMATCH(Q226,""Ele"&amp;"mentBoost_""),""%"",AND(REGEXMATCH(J226,""GiveA""),REGEXMATCH(Q226,""Element"")),""bool"")"),"#N/A")</f>
        <v>#N/A</v>
      </c>
      <c r="S226" s="6" t="n">
        <v>0</v>
      </c>
      <c r="T226" s="6"/>
      <c r="U226" s="319" t="b">
        <f aca="false">FALSE()</f>
        <v>0</v>
      </c>
      <c r="V226" s="319" t="b">
        <f aca="false">FALSE()</f>
        <v>0</v>
      </c>
      <c r="W226" s="319" t="b">
        <f aca="false">FALSE()</f>
        <v>0</v>
      </c>
      <c r="X226" s="319" t="b">
        <f aca="false">FALSE()</f>
        <v>0</v>
      </c>
      <c r="Y226" s="319" t="b">
        <f aca="false">FALSE()</f>
        <v>0</v>
      </c>
      <c r="Z226" s="319" t="b">
        <f aca="false">TRUE()</f>
        <v>1</v>
      </c>
      <c r="AA226" s="319" t="b">
        <f aca="false">TRUE()</f>
        <v>1</v>
      </c>
      <c r="AB226" s="319" t="b">
        <f aca="false">FALSE()</f>
        <v>0</v>
      </c>
      <c r="AC226" s="319" t="b">
        <f aca="false">FALSE()</f>
        <v>0</v>
      </c>
      <c r="AD226" s="319" t="b">
        <f aca="false">FALSE()</f>
        <v>0</v>
      </c>
      <c r="AE226" s="319" t="b">
        <f aca="false">FALSE()</f>
        <v>0</v>
      </c>
      <c r="AF226" s="319" t="b">
        <f aca="false">FALSE()</f>
        <v>0</v>
      </c>
      <c r="AG226" s="6" t="s">
        <v>182</v>
      </c>
      <c r="AH226" s="6" t="s">
        <v>182</v>
      </c>
    </row>
    <row r="227" customFormat="false" ht="15.75" hidden="false" customHeight="false" outlineLevel="0" collapsed="false">
      <c r="A227" s="3" t="s">
        <v>2289</v>
      </c>
      <c r="B227" s="6" t="s">
        <v>2290</v>
      </c>
      <c r="C227" s="311" t="b">
        <f aca="false">TRUE()</f>
        <v>1</v>
      </c>
      <c r="D227" s="6" t="str">
        <f aca="false">I227   &amp; IF(ISBLANK(M227),, ". "&amp; M227 &amp; IF(ISBLANK(Q227),, ". "&amp; Q227))</f>
        <v>FullStomatch_Decrease</v>
      </c>
      <c r="E227" s="6" t="str">
        <f aca="false">I227  &amp;": # on "&amp; L227  &amp; IF(ISBLANK(M227),, ". "&amp; M227 &amp;": # on "&amp; P227 &amp; IF(ISBLANK(Q227),, ". "&amp; Q227 &amp;": # on "&amp; T227))</f>
        <v>FullStomatch_Decrease: # on Self</v>
      </c>
      <c r="F227" s="6" t="str">
        <f aca="false">IF(U227,"active pal",)  &amp; IF(V227,"working",) &amp; IF(W227,"mounted",) &amp; IF(Y227,"in party (buff)",)  &amp; IF(Z227,"always",)</f>
        <v>always</v>
      </c>
      <c r="G227" s="6" t="n">
        <v>1</v>
      </c>
      <c r="H227" s="6" t="s">
        <v>2291</v>
      </c>
      <c r="I227" s="6" t="s">
        <v>2285</v>
      </c>
      <c r="J227" s="6" t="str">
        <f aca="false">IFERROR(__xludf.dummyfunction("IFS(I227=""ShotAttack"",""%"",I227=""MeleeAttack"",""%"", I227=""Defense"",""%"",I227=""CraftSPeed"",""%"",I227=""LifeSteal"",""%"",I227=""MaxInventoryWeight"",""+"",I227=""MoveSpeed"",""%"",REGEXMATCH(I227,""ElementAddItemDrop_""),""%"",I227=""Logging"","&amp;"""+"",I227=""Mining"",""+"",I227=""Maxhp"",""%"",REGEXMATCH(I227,""TemperatureResist_""),""+"",REGEXMATCH(I227,""ElementResist_""),""%"",REGEXMATCH(I227,""TemperatureInvalid_""),""bool"",REGEXMATCH(I227,""BodyPartsWeakDamage""),""%"",REGEXMATCH(I227,""Ele"&amp;"mentBoost_""),""%"",AND(REGEXMATCH(B227,""GiveA""),REGEXMATCH(I227,""Element"")),""bool"")"),"#N/A")</f>
        <v>#N/A</v>
      </c>
      <c r="K227" s="6" t="n">
        <v>-10</v>
      </c>
      <c r="L227" s="6" t="s">
        <v>1956</v>
      </c>
      <c r="M227" s="6"/>
      <c r="N227" s="6" t="str">
        <f aca="false">IFERROR(__xludf.dummyfunction("IFS(M227=""ShotAttack"",""%"",M227=""MeleeAttack"",""%"", M227=""Defense"",""%"",M227=""CraftSPeed"",""%"",M227=""LifeSteal"",""%"",M227=""MaxInventoryWeight"",""+"",M227=""MoveSpeed"",""%"",REGEXMATCH(M227,""ElementAddItemDrop_""),""%"",M227=""Logging"","&amp;"""+"",M227=""Mining"",""+"",M227=""Maxhp"",""%"",REGEXMATCH(M227,""TemperatureResist_""),""+"",REGEXMATCH(M227,""ElementResist_""),""%"",REGEXMATCH(M227,""TemperatureInvalid_""),""bool"",REGEXMATCH(M227,""BodyPartsWeakDamage""),""%"",REGEXMATCH(M227,""Ele"&amp;"mentBoost_""),""%"",AND(REGEXMATCH(F227,""GiveA""),REGEXMATCH(M227,""Element"")),""bool"")"),"#N/A")</f>
        <v>#N/A</v>
      </c>
      <c r="O227" s="6" t="n">
        <v>0</v>
      </c>
      <c r="P227" s="6"/>
      <c r="Q227" s="6"/>
      <c r="R227" s="6" t="str">
        <f aca="false">IFERROR(__xludf.dummyfunction("IFS(Q227=""ShotAttack"",""%"",Q227=""MeleeAttack"",""%"", Q227=""Defense"",""%"",Q227=""CraftSPeed"",""%"",Q227=""LifeSteal"",""%"",Q227=""MaxInventoryWeight"",""+"",Q227=""MoveSpeed"",""%"",REGEXMATCH(Q227,""ElementAddItemDrop_""),""%"",Q227=""Logging"","&amp;"""+"",Q227=""Mining"",""+"",Q227=""Maxhp"",""%"",REGEXMATCH(Q227,""TemperatureResist_""),""+"",REGEXMATCH(Q227,""ElementResist_""),""%"",REGEXMATCH(Q227,""TemperatureInvalid_""),""bool"",REGEXMATCH(Q227,""BodyPartsWeakDamage""),""%"",REGEXMATCH(Q227,""Ele"&amp;"mentBoost_""),""%"",AND(REGEXMATCH(J227,""GiveA""),REGEXMATCH(Q227,""Element"")),""bool"")"),"#N/A")</f>
        <v>#N/A</v>
      </c>
      <c r="S227" s="6" t="n">
        <v>0</v>
      </c>
      <c r="T227" s="6"/>
      <c r="U227" s="319" t="b">
        <f aca="false">FALSE()</f>
        <v>0</v>
      </c>
      <c r="V227" s="319" t="b">
        <f aca="false">FALSE()</f>
        <v>0</v>
      </c>
      <c r="W227" s="319" t="b">
        <f aca="false">FALSE()</f>
        <v>0</v>
      </c>
      <c r="X227" s="319" t="b">
        <f aca="false">FALSE()</f>
        <v>0</v>
      </c>
      <c r="Y227" s="319" t="b">
        <f aca="false">FALSE()</f>
        <v>0</v>
      </c>
      <c r="Z227" s="319" t="b">
        <f aca="false">TRUE()</f>
        <v>1</v>
      </c>
      <c r="AA227" s="319" t="b">
        <f aca="false">TRUE()</f>
        <v>1</v>
      </c>
      <c r="AB227" s="319" t="b">
        <f aca="false">FALSE()</f>
        <v>0</v>
      </c>
      <c r="AC227" s="319" t="b">
        <f aca="false">FALSE()</f>
        <v>0</v>
      </c>
      <c r="AD227" s="319" t="b">
        <f aca="false">FALSE()</f>
        <v>0</v>
      </c>
      <c r="AE227" s="319" t="b">
        <f aca="false">FALSE()</f>
        <v>0</v>
      </c>
      <c r="AF227" s="319" t="b">
        <f aca="false">FALSE()</f>
        <v>0</v>
      </c>
      <c r="AG227" s="6" t="s">
        <v>182</v>
      </c>
      <c r="AH227" s="6" t="s">
        <v>182</v>
      </c>
    </row>
    <row r="228" customFormat="false" ht="15.75" hidden="false" customHeight="false" outlineLevel="0" collapsed="false">
      <c r="A228" s="3" t="s">
        <v>2292</v>
      </c>
      <c r="B228" s="6" t="s">
        <v>2293</v>
      </c>
      <c r="C228" s="311" t="b">
        <f aca="false">TRUE()</f>
        <v>1</v>
      </c>
      <c r="D228" s="6" t="str">
        <f aca="false">I228   &amp; IF(ISBLANK(M228),, ". "&amp; M228 &amp; IF(ISBLANK(Q228),, ". "&amp; Q228))</f>
        <v>FullStomatch_Decrease</v>
      </c>
      <c r="E228" s="6" t="str">
        <f aca="false">I228  &amp;": # on "&amp; L228  &amp; IF(ISBLANK(M228),, ". "&amp; M228 &amp;": # on "&amp; P228 &amp; IF(ISBLANK(Q228),, ". "&amp; Q228 &amp;": # on "&amp; T228))</f>
        <v>FullStomatch_Decrease: # on Self</v>
      </c>
      <c r="F228" s="6" t="str">
        <f aca="false">IF(U228,"active pal",)  &amp; IF(V228,"working",) &amp; IF(W228,"mounted",) &amp; IF(Y228,"in party (buff)",)  &amp; IF(Z228,"always",)</f>
        <v>always</v>
      </c>
      <c r="G228" s="6" t="n">
        <v>3</v>
      </c>
      <c r="H228" s="6" t="s">
        <v>2294</v>
      </c>
      <c r="I228" s="6" t="s">
        <v>2285</v>
      </c>
      <c r="J228" s="6" t="str">
        <f aca="false">IFERROR(__xludf.dummyfunction("IFS(I228=""ShotAttack"",""%"",I228=""MeleeAttack"",""%"", I228=""Defense"",""%"",I228=""CraftSPeed"",""%"",I228=""LifeSteal"",""%"",I228=""MaxInventoryWeight"",""+"",I228=""MoveSpeed"",""%"",REGEXMATCH(I228,""ElementAddItemDrop_""),""%"",I228=""Logging"","&amp;"""+"",I228=""Mining"",""+"",I228=""Maxhp"",""%"",REGEXMATCH(I228,""TemperatureResist_""),""+"",REGEXMATCH(I228,""ElementResist_""),""%"",REGEXMATCH(I228,""TemperatureInvalid_""),""bool"",REGEXMATCH(I228,""BodyPartsWeakDamage""),""%"",REGEXMATCH(I228,""Ele"&amp;"mentBoost_""),""%"",AND(REGEXMATCH(B228,""GiveA""),REGEXMATCH(I228,""Element"")),""bool"")"),"#N/A")</f>
        <v>#N/A</v>
      </c>
      <c r="K228" s="6" t="n">
        <v>-15</v>
      </c>
      <c r="L228" s="6" t="s">
        <v>1956</v>
      </c>
      <c r="M228" s="6"/>
      <c r="N228" s="6" t="str">
        <f aca="false">IFERROR(__xludf.dummyfunction("IFS(M228=""ShotAttack"",""%"",M228=""MeleeAttack"",""%"", M228=""Defense"",""%"",M228=""CraftSPeed"",""%"",M228=""LifeSteal"",""%"",M228=""MaxInventoryWeight"",""+"",M228=""MoveSpeed"",""%"",REGEXMATCH(M228,""ElementAddItemDrop_""),""%"",M228=""Logging"","&amp;"""+"",M228=""Mining"",""+"",M228=""Maxhp"",""%"",REGEXMATCH(M228,""TemperatureResist_""),""+"",REGEXMATCH(M228,""ElementResist_""),""%"",REGEXMATCH(M228,""TemperatureInvalid_""),""bool"",REGEXMATCH(M228,""BodyPartsWeakDamage""),""%"",REGEXMATCH(M228,""Ele"&amp;"mentBoost_""),""%"",AND(REGEXMATCH(F228,""GiveA""),REGEXMATCH(M228,""Element"")),""bool"")"),"#N/A")</f>
        <v>#N/A</v>
      </c>
      <c r="O228" s="6" t="n">
        <v>0</v>
      </c>
      <c r="P228" s="6"/>
      <c r="Q228" s="6"/>
      <c r="R228" s="6" t="str">
        <f aca="false">IFERROR(__xludf.dummyfunction("IFS(Q228=""ShotAttack"",""%"",Q228=""MeleeAttack"",""%"", Q228=""Defense"",""%"",Q228=""CraftSPeed"",""%"",Q228=""LifeSteal"",""%"",Q228=""MaxInventoryWeight"",""+"",Q228=""MoveSpeed"",""%"",REGEXMATCH(Q228,""ElementAddItemDrop_""),""%"",Q228=""Logging"","&amp;"""+"",Q228=""Mining"",""+"",Q228=""Maxhp"",""%"",REGEXMATCH(Q228,""TemperatureResist_""),""+"",REGEXMATCH(Q228,""ElementResist_""),""%"",REGEXMATCH(Q228,""TemperatureInvalid_""),""bool"",REGEXMATCH(Q228,""BodyPartsWeakDamage""),""%"",REGEXMATCH(Q228,""Ele"&amp;"mentBoost_""),""%"",AND(REGEXMATCH(J228,""GiveA""),REGEXMATCH(Q228,""Element"")),""bool"")"),"#N/A")</f>
        <v>#N/A</v>
      </c>
      <c r="S228" s="6" t="n">
        <v>0</v>
      </c>
      <c r="T228" s="6"/>
      <c r="U228" s="319" t="b">
        <f aca="false">FALSE()</f>
        <v>0</v>
      </c>
      <c r="V228" s="319" t="b">
        <f aca="false">FALSE()</f>
        <v>0</v>
      </c>
      <c r="W228" s="319" t="b">
        <f aca="false">FALSE()</f>
        <v>0</v>
      </c>
      <c r="X228" s="319" t="b">
        <f aca="false">FALSE()</f>
        <v>0</v>
      </c>
      <c r="Y228" s="319" t="b">
        <f aca="false">FALSE()</f>
        <v>0</v>
      </c>
      <c r="Z228" s="319" t="b">
        <f aca="false">TRUE()</f>
        <v>1</v>
      </c>
      <c r="AA228" s="319" t="b">
        <f aca="false">TRUE()</f>
        <v>1</v>
      </c>
      <c r="AB228" s="319" t="b">
        <f aca="false">FALSE()</f>
        <v>0</v>
      </c>
      <c r="AC228" s="319" t="b">
        <f aca="false">FALSE()</f>
        <v>0</v>
      </c>
      <c r="AD228" s="319" t="b">
        <f aca="false">FALSE()</f>
        <v>0</v>
      </c>
      <c r="AE228" s="319" t="b">
        <f aca="false">FALSE()</f>
        <v>0</v>
      </c>
      <c r="AF228" s="319" t="b">
        <f aca="false">FALSE()</f>
        <v>0</v>
      </c>
      <c r="AG228" s="6" t="s">
        <v>182</v>
      </c>
      <c r="AH228" s="6" t="s">
        <v>182</v>
      </c>
    </row>
    <row r="229" customFormat="false" ht="15.75" hidden="false" customHeight="false" outlineLevel="0" collapsed="false">
      <c r="A229" s="3" t="s">
        <v>2295</v>
      </c>
      <c r="B229" s="6" t="s">
        <v>2296</v>
      </c>
      <c r="C229" s="311" t="b">
        <f aca="false">TRUE()</f>
        <v>1</v>
      </c>
      <c r="D229" s="6" t="str">
        <f aca="false">I229   &amp; IF(ISBLANK(M229),, ". "&amp; M229 &amp; IF(ISBLANK(Q229),, ". "&amp; Q229))</f>
        <v>Sanity_Decrease</v>
      </c>
      <c r="E229" s="6" t="str">
        <f aca="false">I229  &amp;": # on "&amp; L229  &amp; IF(ISBLANK(M229),, ". "&amp; M229 &amp;": # on "&amp; P229 &amp; IF(ISBLANK(Q229),, ". "&amp; Q229 &amp;": # on "&amp; T229))</f>
        <v>Sanity_Decrease: # on Self</v>
      </c>
      <c r="F229" s="6" t="str">
        <f aca="false">IF(U229,"active pal",)  &amp; IF(V229,"working",) &amp; IF(W229,"mounted",) &amp; IF(Y229,"in party (buff)",)  &amp; IF(Z229,"always",)</f>
        <v>always</v>
      </c>
      <c r="G229" s="6" t="n">
        <v>-1</v>
      </c>
      <c r="H229" s="6" t="s">
        <v>2297</v>
      </c>
      <c r="I229" s="6" t="s">
        <v>2298</v>
      </c>
      <c r="J229" s="6" t="str">
        <f aca="false">IFERROR(__xludf.dummyfunction("IFS(I229=""ShotAttack"",""%"",I229=""MeleeAttack"",""%"", I229=""Defense"",""%"",I229=""CraftSPeed"",""%"",I229=""LifeSteal"",""%"",I229=""MaxInventoryWeight"",""+"",I229=""MoveSpeed"",""%"",REGEXMATCH(I229,""ElementAddItemDrop_""),""%"",I229=""Logging"","&amp;"""+"",I229=""Mining"",""+"",I229=""Maxhp"",""%"",REGEXMATCH(I229,""TemperatureResist_""),""+"",REGEXMATCH(I229,""ElementResist_""),""%"",REGEXMATCH(I229,""TemperatureInvalid_""),""bool"",REGEXMATCH(I229,""BodyPartsWeakDamage""),""%"",REGEXMATCH(I229,""Ele"&amp;"mentBoost_""),""%"",AND(REGEXMATCH(B229,""GiveA""),REGEXMATCH(I229,""Element"")),""bool"")"),"#N/A")</f>
        <v>#N/A</v>
      </c>
      <c r="K229" s="6" t="n">
        <v>10</v>
      </c>
      <c r="L229" s="6" t="s">
        <v>1956</v>
      </c>
      <c r="M229" s="6"/>
      <c r="N229" s="6" t="str">
        <f aca="false">IFERROR(__xludf.dummyfunction("IFS(M229=""ShotAttack"",""%"",M229=""MeleeAttack"",""%"", M229=""Defense"",""%"",M229=""CraftSPeed"",""%"",M229=""LifeSteal"",""%"",M229=""MaxInventoryWeight"",""+"",M229=""MoveSpeed"",""%"",REGEXMATCH(M229,""ElementAddItemDrop_""),""%"",M229=""Logging"","&amp;"""+"",M229=""Mining"",""+"",M229=""Maxhp"",""%"",REGEXMATCH(M229,""TemperatureResist_""),""+"",REGEXMATCH(M229,""ElementResist_""),""%"",REGEXMATCH(M229,""TemperatureInvalid_""),""bool"",REGEXMATCH(M229,""BodyPartsWeakDamage""),""%"",REGEXMATCH(M229,""Ele"&amp;"mentBoost_""),""%"",AND(REGEXMATCH(F229,""GiveA""),REGEXMATCH(M229,""Element"")),""bool"")"),"#N/A")</f>
        <v>#N/A</v>
      </c>
      <c r="O229" s="6" t="n">
        <v>0</v>
      </c>
      <c r="P229" s="6"/>
      <c r="Q229" s="6"/>
      <c r="R229" s="6" t="str">
        <f aca="false">IFERROR(__xludf.dummyfunction("IFS(Q229=""ShotAttack"",""%"",Q229=""MeleeAttack"",""%"", Q229=""Defense"",""%"",Q229=""CraftSPeed"",""%"",Q229=""LifeSteal"",""%"",Q229=""MaxInventoryWeight"",""+"",Q229=""MoveSpeed"",""%"",REGEXMATCH(Q229,""ElementAddItemDrop_""),""%"",Q229=""Logging"","&amp;"""+"",Q229=""Mining"",""+"",Q229=""Maxhp"",""%"",REGEXMATCH(Q229,""TemperatureResist_""),""+"",REGEXMATCH(Q229,""ElementResist_""),""%"",REGEXMATCH(Q229,""TemperatureInvalid_""),""bool"",REGEXMATCH(Q229,""BodyPartsWeakDamage""),""%"",REGEXMATCH(Q229,""Ele"&amp;"mentBoost_""),""%"",AND(REGEXMATCH(J229,""GiveA""),REGEXMATCH(Q229,""Element"")),""bool"")"),"#N/A")</f>
        <v>#N/A</v>
      </c>
      <c r="S229" s="6" t="n">
        <v>0</v>
      </c>
      <c r="T229" s="6"/>
      <c r="U229" s="319" t="b">
        <f aca="false">FALSE()</f>
        <v>0</v>
      </c>
      <c r="V229" s="319" t="b">
        <f aca="false">FALSE()</f>
        <v>0</v>
      </c>
      <c r="W229" s="319" t="b">
        <f aca="false">FALSE()</f>
        <v>0</v>
      </c>
      <c r="X229" s="319" t="b">
        <f aca="false">FALSE()</f>
        <v>0</v>
      </c>
      <c r="Y229" s="319" t="b">
        <f aca="false">FALSE()</f>
        <v>0</v>
      </c>
      <c r="Z229" s="319" t="b">
        <f aca="false">TRUE()</f>
        <v>1</v>
      </c>
      <c r="AA229" s="319" t="b">
        <f aca="false">TRUE()</f>
        <v>1</v>
      </c>
      <c r="AB229" s="319" t="b">
        <f aca="false">FALSE()</f>
        <v>0</v>
      </c>
      <c r="AC229" s="319" t="b">
        <f aca="false">FALSE()</f>
        <v>0</v>
      </c>
      <c r="AD229" s="319" t="b">
        <f aca="false">FALSE()</f>
        <v>0</v>
      </c>
      <c r="AE229" s="319" t="b">
        <f aca="false">FALSE()</f>
        <v>0</v>
      </c>
      <c r="AF229" s="319" t="b">
        <f aca="false">FALSE()</f>
        <v>0</v>
      </c>
      <c r="AG229" s="6" t="s">
        <v>182</v>
      </c>
      <c r="AH229" s="6" t="s">
        <v>182</v>
      </c>
    </row>
    <row r="230" customFormat="false" ht="15.75" hidden="false" customHeight="false" outlineLevel="0" collapsed="false">
      <c r="A230" s="3" t="s">
        <v>2299</v>
      </c>
      <c r="B230" s="6" t="s">
        <v>2300</v>
      </c>
      <c r="C230" s="311" t="b">
        <f aca="false">TRUE()</f>
        <v>1</v>
      </c>
      <c r="D230" s="6" t="str">
        <f aca="false">I230   &amp; IF(ISBLANK(M230),, ". "&amp; M230 &amp; IF(ISBLANK(Q230),, ". "&amp; Q230))</f>
        <v>Sanity_Decrease</v>
      </c>
      <c r="E230" s="6" t="str">
        <f aca="false">I230  &amp;": # on "&amp; L230  &amp; IF(ISBLANK(M230),, ". "&amp; M230 &amp;": # on "&amp; P230 &amp; IF(ISBLANK(Q230),, ". "&amp; Q230 &amp;": # on "&amp; T230))</f>
        <v>Sanity_Decrease: # on Self</v>
      </c>
      <c r="F230" s="6" t="str">
        <f aca="false">IF(U230,"active pal",)  &amp; IF(V230,"working",) &amp; IF(W230,"mounted",) &amp; IF(Y230,"in party (buff)",)  &amp; IF(Z230,"always",)</f>
        <v>always</v>
      </c>
      <c r="G230" s="6" t="n">
        <v>-2</v>
      </c>
      <c r="H230" s="6" t="s">
        <v>2301</v>
      </c>
      <c r="I230" s="6" t="s">
        <v>2298</v>
      </c>
      <c r="J230" s="6" t="str">
        <f aca="false">IFERROR(__xludf.dummyfunction("IFS(I230=""ShotAttack"",""%"",I230=""MeleeAttack"",""%"", I230=""Defense"",""%"",I230=""CraftSPeed"",""%"",I230=""LifeSteal"",""%"",I230=""MaxInventoryWeight"",""+"",I230=""MoveSpeed"",""%"",REGEXMATCH(I230,""ElementAddItemDrop_""),""%"",I230=""Logging"","&amp;"""+"",I230=""Mining"",""+"",I230=""Maxhp"",""%"",REGEXMATCH(I230,""TemperatureResist_""),""+"",REGEXMATCH(I230,""ElementResist_""),""%"",REGEXMATCH(I230,""TemperatureInvalid_""),""bool"",REGEXMATCH(I230,""BodyPartsWeakDamage""),""%"",REGEXMATCH(I230,""Ele"&amp;"mentBoost_""),""%"",AND(REGEXMATCH(B230,""GiveA""),REGEXMATCH(I230,""Element"")),""bool"")"),"#N/A")</f>
        <v>#N/A</v>
      </c>
      <c r="K230" s="6" t="n">
        <v>15</v>
      </c>
      <c r="L230" s="6" t="s">
        <v>1956</v>
      </c>
      <c r="M230" s="6"/>
      <c r="N230" s="6" t="str">
        <f aca="false">IFERROR(__xludf.dummyfunction("IFS(M230=""ShotAttack"",""%"",M230=""MeleeAttack"",""%"", M230=""Defense"",""%"",M230=""CraftSPeed"",""%"",M230=""LifeSteal"",""%"",M230=""MaxInventoryWeight"",""+"",M230=""MoveSpeed"",""%"",REGEXMATCH(M230,""ElementAddItemDrop_""),""%"",M230=""Logging"","&amp;"""+"",M230=""Mining"",""+"",M230=""Maxhp"",""%"",REGEXMATCH(M230,""TemperatureResist_""),""+"",REGEXMATCH(M230,""ElementResist_""),""%"",REGEXMATCH(M230,""TemperatureInvalid_""),""bool"",REGEXMATCH(M230,""BodyPartsWeakDamage""),""%"",REGEXMATCH(M230,""Ele"&amp;"mentBoost_""),""%"",AND(REGEXMATCH(F230,""GiveA""),REGEXMATCH(M230,""Element"")),""bool"")"),"#N/A")</f>
        <v>#N/A</v>
      </c>
      <c r="O230" s="6" t="n">
        <v>0</v>
      </c>
      <c r="P230" s="6"/>
      <c r="Q230" s="6"/>
      <c r="R230" s="6" t="str">
        <f aca="false">IFERROR(__xludf.dummyfunction("IFS(Q230=""ShotAttack"",""%"",Q230=""MeleeAttack"",""%"", Q230=""Defense"",""%"",Q230=""CraftSPeed"",""%"",Q230=""LifeSteal"",""%"",Q230=""MaxInventoryWeight"",""+"",Q230=""MoveSpeed"",""%"",REGEXMATCH(Q230,""ElementAddItemDrop_""),""%"",Q230=""Logging"","&amp;"""+"",Q230=""Mining"",""+"",Q230=""Maxhp"",""%"",REGEXMATCH(Q230,""TemperatureResist_""),""+"",REGEXMATCH(Q230,""ElementResist_""),""%"",REGEXMATCH(Q230,""TemperatureInvalid_""),""bool"",REGEXMATCH(Q230,""BodyPartsWeakDamage""),""%"",REGEXMATCH(Q230,""Ele"&amp;"mentBoost_""),""%"",AND(REGEXMATCH(J230,""GiveA""),REGEXMATCH(Q230,""Element"")),""bool"")"),"#N/A")</f>
        <v>#N/A</v>
      </c>
      <c r="S230" s="6" t="n">
        <v>0</v>
      </c>
      <c r="T230" s="6"/>
      <c r="U230" s="319" t="b">
        <f aca="false">FALSE()</f>
        <v>0</v>
      </c>
      <c r="V230" s="319" t="b">
        <f aca="false">FALSE()</f>
        <v>0</v>
      </c>
      <c r="W230" s="319" t="b">
        <f aca="false">FALSE()</f>
        <v>0</v>
      </c>
      <c r="X230" s="319" t="b">
        <f aca="false">FALSE()</f>
        <v>0</v>
      </c>
      <c r="Y230" s="319" t="b">
        <f aca="false">FALSE()</f>
        <v>0</v>
      </c>
      <c r="Z230" s="319" t="b">
        <f aca="false">TRUE()</f>
        <v>1</v>
      </c>
      <c r="AA230" s="319" t="b">
        <f aca="false">TRUE()</f>
        <v>1</v>
      </c>
      <c r="AB230" s="319" t="b">
        <f aca="false">FALSE()</f>
        <v>0</v>
      </c>
      <c r="AC230" s="319" t="b">
        <f aca="false">FALSE()</f>
        <v>0</v>
      </c>
      <c r="AD230" s="319" t="b">
        <f aca="false">FALSE()</f>
        <v>0</v>
      </c>
      <c r="AE230" s="319" t="b">
        <f aca="false">FALSE()</f>
        <v>0</v>
      </c>
      <c r="AF230" s="319" t="b">
        <f aca="false">FALSE()</f>
        <v>0</v>
      </c>
      <c r="AG230" s="6" t="s">
        <v>182</v>
      </c>
      <c r="AH230" s="6" t="s">
        <v>182</v>
      </c>
    </row>
    <row r="231" customFormat="false" ht="15.75" hidden="false" customHeight="false" outlineLevel="0" collapsed="false">
      <c r="A231" s="3" t="s">
        <v>2302</v>
      </c>
      <c r="B231" s="6" t="s">
        <v>2303</v>
      </c>
      <c r="C231" s="311" t="b">
        <f aca="false">TRUE()</f>
        <v>1</v>
      </c>
      <c r="D231" s="6" t="str">
        <f aca="false">I231   &amp; IF(ISBLANK(M231),, ". "&amp; M231 &amp; IF(ISBLANK(Q231),, ". "&amp; Q231))</f>
        <v>Sanity_Decrease</v>
      </c>
      <c r="E231" s="6" t="str">
        <f aca="false">I231  &amp;": # on "&amp; L231  &amp; IF(ISBLANK(M231),, ". "&amp; M231 &amp;": # on "&amp; P231 &amp; IF(ISBLANK(Q231),, ". "&amp; Q231 &amp;": # on "&amp; T231))</f>
        <v>Sanity_Decrease: # on Self</v>
      </c>
      <c r="F231" s="6" t="str">
        <f aca="false">IF(U231,"active pal",)  &amp; IF(V231,"working",) &amp; IF(W231,"mounted",) &amp; IF(Y231,"in party (buff)",)  &amp; IF(Z231,"always",)</f>
        <v>always</v>
      </c>
      <c r="G231" s="6" t="n">
        <v>1</v>
      </c>
      <c r="H231" s="6" t="s">
        <v>2304</v>
      </c>
      <c r="I231" s="6" t="s">
        <v>2298</v>
      </c>
      <c r="J231" s="6" t="str">
        <f aca="false">IFERROR(__xludf.dummyfunction("IFS(I231=""ShotAttack"",""%"",I231=""MeleeAttack"",""%"", I231=""Defense"",""%"",I231=""CraftSPeed"",""%"",I231=""LifeSteal"",""%"",I231=""MaxInventoryWeight"",""+"",I231=""MoveSpeed"",""%"",REGEXMATCH(I231,""ElementAddItemDrop_""),""%"",I231=""Logging"","&amp;"""+"",I231=""Mining"",""+"",I231=""Maxhp"",""%"",REGEXMATCH(I231,""TemperatureResist_""),""+"",REGEXMATCH(I231,""ElementResist_""),""%"",REGEXMATCH(I231,""TemperatureInvalid_""),""bool"",REGEXMATCH(I231,""BodyPartsWeakDamage""),""%"",REGEXMATCH(I231,""Ele"&amp;"mentBoost_""),""%"",AND(REGEXMATCH(B231,""GiveA""),REGEXMATCH(I231,""Element"")),""bool"")"),"#N/A")</f>
        <v>#N/A</v>
      </c>
      <c r="K231" s="6" t="n">
        <v>-10</v>
      </c>
      <c r="L231" s="6" t="s">
        <v>1956</v>
      </c>
      <c r="M231" s="6"/>
      <c r="N231" s="6" t="str">
        <f aca="false">IFERROR(__xludf.dummyfunction("IFS(M231=""ShotAttack"",""%"",M231=""MeleeAttack"",""%"", M231=""Defense"",""%"",M231=""CraftSPeed"",""%"",M231=""LifeSteal"",""%"",M231=""MaxInventoryWeight"",""+"",M231=""MoveSpeed"",""%"",REGEXMATCH(M231,""ElementAddItemDrop_""),""%"",M231=""Logging"","&amp;"""+"",M231=""Mining"",""+"",M231=""Maxhp"",""%"",REGEXMATCH(M231,""TemperatureResist_""),""+"",REGEXMATCH(M231,""ElementResist_""),""%"",REGEXMATCH(M231,""TemperatureInvalid_""),""bool"",REGEXMATCH(M231,""BodyPartsWeakDamage""),""%"",REGEXMATCH(M231,""Ele"&amp;"mentBoost_""),""%"",AND(REGEXMATCH(F231,""GiveA""),REGEXMATCH(M231,""Element"")),""bool"")"),"#N/A")</f>
        <v>#N/A</v>
      </c>
      <c r="O231" s="6" t="n">
        <v>0</v>
      </c>
      <c r="P231" s="6"/>
      <c r="Q231" s="6"/>
      <c r="R231" s="6" t="str">
        <f aca="false">IFERROR(__xludf.dummyfunction("IFS(Q231=""ShotAttack"",""%"",Q231=""MeleeAttack"",""%"", Q231=""Defense"",""%"",Q231=""CraftSPeed"",""%"",Q231=""LifeSteal"",""%"",Q231=""MaxInventoryWeight"",""+"",Q231=""MoveSpeed"",""%"",REGEXMATCH(Q231,""ElementAddItemDrop_""),""%"",Q231=""Logging"","&amp;"""+"",Q231=""Mining"",""+"",Q231=""Maxhp"",""%"",REGEXMATCH(Q231,""TemperatureResist_""),""+"",REGEXMATCH(Q231,""ElementResist_""),""%"",REGEXMATCH(Q231,""TemperatureInvalid_""),""bool"",REGEXMATCH(Q231,""BodyPartsWeakDamage""),""%"",REGEXMATCH(Q231,""Ele"&amp;"mentBoost_""),""%"",AND(REGEXMATCH(J231,""GiveA""),REGEXMATCH(Q231,""Element"")),""bool"")"),"#N/A")</f>
        <v>#N/A</v>
      </c>
      <c r="S231" s="6" t="n">
        <v>0</v>
      </c>
      <c r="T231" s="6"/>
      <c r="U231" s="319" t="b">
        <f aca="false">FALSE()</f>
        <v>0</v>
      </c>
      <c r="V231" s="319" t="b">
        <f aca="false">FALSE()</f>
        <v>0</v>
      </c>
      <c r="W231" s="319" t="b">
        <f aca="false">FALSE()</f>
        <v>0</v>
      </c>
      <c r="X231" s="319" t="b">
        <f aca="false">FALSE()</f>
        <v>0</v>
      </c>
      <c r="Y231" s="319" t="b">
        <f aca="false">FALSE()</f>
        <v>0</v>
      </c>
      <c r="Z231" s="319" t="b">
        <f aca="false">TRUE()</f>
        <v>1</v>
      </c>
      <c r="AA231" s="319" t="b">
        <f aca="false">TRUE()</f>
        <v>1</v>
      </c>
      <c r="AB231" s="319" t="b">
        <f aca="false">FALSE()</f>
        <v>0</v>
      </c>
      <c r="AC231" s="319" t="b">
        <f aca="false">FALSE()</f>
        <v>0</v>
      </c>
      <c r="AD231" s="319" t="b">
        <f aca="false">FALSE()</f>
        <v>0</v>
      </c>
      <c r="AE231" s="319" t="b">
        <f aca="false">FALSE()</f>
        <v>0</v>
      </c>
      <c r="AF231" s="319" t="b">
        <f aca="false">FALSE()</f>
        <v>0</v>
      </c>
      <c r="AG231" s="6" t="s">
        <v>182</v>
      </c>
      <c r="AH231" s="6" t="s">
        <v>182</v>
      </c>
    </row>
    <row r="232" customFormat="false" ht="15.75" hidden="false" customHeight="false" outlineLevel="0" collapsed="false">
      <c r="A232" s="3" t="s">
        <v>2305</v>
      </c>
      <c r="B232" s="6" t="s">
        <v>2306</v>
      </c>
      <c r="C232" s="311" t="b">
        <f aca="false">TRUE()</f>
        <v>1</v>
      </c>
      <c r="D232" s="6" t="str">
        <f aca="false">I232   &amp; IF(ISBLANK(M232),, ". "&amp; M232 &amp; IF(ISBLANK(Q232),, ". "&amp; Q232))</f>
        <v>Sanity_Decrease</v>
      </c>
      <c r="E232" s="6" t="str">
        <f aca="false">I232  &amp;": # on "&amp; L232  &amp; IF(ISBLANK(M232),, ". "&amp; M232 &amp;": # on "&amp; P232 &amp; IF(ISBLANK(Q232),, ". "&amp; Q232 &amp;": # on "&amp; T232))</f>
        <v>Sanity_Decrease: # on Self</v>
      </c>
      <c r="F232" s="6" t="str">
        <f aca="false">IF(U232,"active pal",)  &amp; IF(V232,"working",) &amp; IF(W232,"mounted",) &amp; IF(Y232,"in party (buff)",)  &amp; IF(Z232,"always",)</f>
        <v>always</v>
      </c>
      <c r="G232" s="6" t="n">
        <v>3</v>
      </c>
      <c r="H232" s="6" t="s">
        <v>2307</v>
      </c>
      <c r="I232" s="6" t="s">
        <v>2298</v>
      </c>
      <c r="J232" s="6" t="str">
        <f aca="false">IFERROR(__xludf.dummyfunction("IFS(I232=""ShotAttack"",""%"",I232=""MeleeAttack"",""%"", I232=""Defense"",""%"",I232=""CraftSPeed"",""%"",I232=""LifeSteal"",""%"",I232=""MaxInventoryWeight"",""+"",I232=""MoveSpeed"",""%"",REGEXMATCH(I232,""ElementAddItemDrop_""),""%"",I232=""Logging"","&amp;"""+"",I232=""Mining"",""+"",I232=""Maxhp"",""%"",REGEXMATCH(I232,""TemperatureResist_""),""+"",REGEXMATCH(I232,""ElementResist_""),""%"",REGEXMATCH(I232,""TemperatureInvalid_""),""bool"",REGEXMATCH(I232,""BodyPartsWeakDamage""),""%"",REGEXMATCH(I232,""Ele"&amp;"mentBoost_""),""%"",AND(REGEXMATCH(B232,""GiveA""),REGEXMATCH(I232,""Element"")),""bool"")"),"#N/A")</f>
        <v>#N/A</v>
      </c>
      <c r="K232" s="6" t="n">
        <v>-15</v>
      </c>
      <c r="L232" s="6" t="s">
        <v>1956</v>
      </c>
      <c r="M232" s="6"/>
      <c r="N232" s="6" t="str">
        <f aca="false">IFERROR(__xludf.dummyfunction("IFS(M232=""ShotAttack"",""%"",M232=""MeleeAttack"",""%"", M232=""Defense"",""%"",M232=""CraftSPeed"",""%"",M232=""LifeSteal"",""%"",M232=""MaxInventoryWeight"",""+"",M232=""MoveSpeed"",""%"",REGEXMATCH(M232,""ElementAddItemDrop_""),""%"",M232=""Logging"","&amp;"""+"",M232=""Mining"",""+"",M232=""Maxhp"",""%"",REGEXMATCH(M232,""TemperatureResist_""),""+"",REGEXMATCH(M232,""ElementResist_""),""%"",REGEXMATCH(M232,""TemperatureInvalid_""),""bool"",REGEXMATCH(M232,""BodyPartsWeakDamage""),""%"",REGEXMATCH(M232,""Ele"&amp;"mentBoost_""),""%"",AND(REGEXMATCH(F232,""GiveA""),REGEXMATCH(M232,""Element"")),""bool"")"),"#N/A")</f>
        <v>#N/A</v>
      </c>
      <c r="O232" s="6" t="n">
        <v>0</v>
      </c>
      <c r="P232" s="6"/>
      <c r="Q232" s="6"/>
      <c r="R232" s="6" t="str">
        <f aca="false">IFERROR(__xludf.dummyfunction("IFS(Q232=""ShotAttack"",""%"",Q232=""MeleeAttack"",""%"", Q232=""Defense"",""%"",Q232=""CraftSPeed"",""%"",Q232=""LifeSteal"",""%"",Q232=""MaxInventoryWeight"",""+"",Q232=""MoveSpeed"",""%"",REGEXMATCH(Q232,""ElementAddItemDrop_""),""%"",Q232=""Logging"","&amp;"""+"",Q232=""Mining"",""+"",Q232=""Maxhp"",""%"",REGEXMATCH(Q232,""TemperatureResist_""),""+"",REGEXMATCH(Q232,""ElementResist_""),""%"",REGEXMATCH(Q232,""TemperatureInvalid_""),""bool"",REGEXMATCH(Q232,""BodyPartsWeakDamage""),""%"",REGEXMATCH(Q232,""Ele"&amp;"mentBoost_""),""%"",AND(REGEXMATCH(J232,""GiveA""),REGEXMATCH(Q232,""Element"")),""bool"")"),"#N/A")</f>
        <v>#N/A</v>
      </c>
      <c r="S232" s="6" t="n">
        <v>0</v>
      </c>
      <c r="T232" s="6"/>
      <c r="U232" s="319" t="b">
        <f aca="false">FALSE()</f>
        <v>0</v>
      </c>
      <c r="V232" s="319" t="b">
        <f aca="false">FALSE()</f>
        <v>0</v>
      </c>
      <c r="W232" s="319" t="b">
        <f aca="false">FALSE()</f>
        <v>0</v>
      </c>
      <c r="X232" s="319" t="b">
        <f aca="false">FALSE()</f>
        <v>0</v>
      </c>
      <c r="Y232" s="319" t="b">
        <f aca="false">FALSE()</f>
        <v>0</v>
      </c>
      <c r="Z232" s="319" t="b">
        <f aca="false">TRUE()</f>
        <v>1</v>
      </c>
      <c r="AA232" s="319" t="b">
        <f aca="false">TRUE()</f>
        <v>1</v>
      </c>
      <c r="AB232" s="319" t="b">
        <f aca="false">FALSE()</f>
        <v>0</v>
      </c>
      <c r="AC232" s="319" t="b">
        <f aca="false">FALSE()</f>
        <v>0</v>
      </c>
      <c r="AD232" s="319" t="b">
        <f aca="false">FALSE()</f>
        <v>0</v>
      </c>
      <c r="AE232" s="319" t="b">
        <f aca="false">FALSE()</f>
        <v>0</v>
      </c>
      <c r="AF232" s="319" t="b">
        <f aca="false">FALSE()</f>
        <v>0</v>
      </c>
      <c r="AG232" s="6" t="s">
        <v>182</v>
      </c>
      <c r="AH232" s="6" t="s">
        <v>182</v>
      </c>
    </row>
    <row r="233" customFormat="false" ht="15.75" hidden="false" customHeight="false" outlineLevel="0" collapsed="false">
      <c r="A233" s="3" t="s">
        <v>2308</v>
      </c>
      <c r="B233" s="6" t="s">
        <v>1189</v>
      </c>
      <c r="C233" s="311" t="b">
        <f aca="false">TRUE()</f>
        <v>1</v>
      </c>
      <c r="D233" s="6" t="str">
        <f aca="false">I233   &amp; IF(ISBLANK(M233),, ". "&amp; M233 &amp; IF(ISBLANK(Q233),, ". "&amp; Q233))</f>
        <v>ElementBoost_Normal</v>
      </c>
      <c r="E233" s="6" t="str">
        <f aca="false">I233  &amp;": # on "&amp; L233  &amp; IF(ISBLANK(M233),, ". "&amp; M233 &amp;": # on "&amp; P233 &amp; IF(ISBLANK(Q233),, ". "&amp; Q233 &amp;": # on "&amp; T233))</f>
        <v>ElementBoost_Normal: # on Self</v>
      </c>
      <c r="F233" s="6" t="str">
        <f aca="false">IF(U233,"active pal",)  &amp; IF(V233,"working",) &amp; IF(W233,"mounted",) &amp; IF(Y233,"in party (buff)",)  &amp; IF(Z233,"always",)</f>
        <v>always</v>
      </c>
      <c r="G233" s="6" t="n">
        <v>3</v>
      </c>
      <c r="H233" s="6" t="s">
        <v>2249</v>
      </c>
      <c r="I233" s="6" t="s">
        <v>2250</v>
      </c>
      <c r="J233" s="6" t="str">
        <f aca="false">IFERROR(__xludf.dummyfunction("IFS(I233=""ShotAttack"",""%"",I233=""MeleeAttack"",""%"", I233=""Defense"",""%"",I233=""CraftSPeed"",""%"",I233=""LifeSteal"",""%"",I233=""MaxInventoryWeight"",""+"",I233=""MoveSpeed"",""%"",REGEXMATCH(I233,""ElementAddItemDrop_""),""%"",I233=""Logging"","&amp;"""+"",I233=""Mining"",""+"",I233=""Maxhp"",""%"",REGEXMATCH(I233,""TemperatureResist_""),""+"",REGEXMATCH(I233,""ElementResist_""),""%"",REGEXMATCH(I233,""TemperatureInvalid_""),""bool"",REGEXMATCH(I233,""BodyPartsWeakDamage""),""%"",REGEXMATCH(I233,""Ele"&amp;"mentBoost_""),""%"",AND(REGEXMATCH(B233,""GiveA""),REGEXMATCH(I233,""Element"")),""bool"")"),"%")</f>
        <v>%</v>
      </c>
      <c r="K233" s="6" t="n">
        <v>20</v>
      </c>
      <c r="L233" s="6" t="s">
        <v>1956</v>
      </c>
      <c r="M233" s="6"/>
      <c r="N233" s="6" t="str">
        <f aca="false">IFERROR(__xludf.dummyfunction("IFS(M233=""ShotAttack"",""%"",M233=""MeleeAttack"",""%"", M233=""Defense"",""%"",M233=""CraftSPeed"",""%"",M233=""LifeSteal"",""%"",M233=""MaxInventoryWeight"",""+"",M233=""MoveSpeed"",""%"",REGEXMATCH(M233,""ElementAddItemDrop_""),""%"",M233=""Logging"","&amp;"""+"",M233=""Mining"",""+"",M233=""Maxhp"",""%"",REGEXMATCH(M233,""TemperatureResist_""),""+"",REGEXMATCH(M233,""ElementResist_""),""%"",REGEXMATCH(M233,""TemperatureInvalid_""),""bool"",REGEXMATCH(M233,""BodyPartsWeakDamage""),""%"",REGEXMATCH(M233,""Ele"&amp;"mentBoost_""),""%"",AND(REGEXMATCH(F233,""GiveA""),REGEXMATCH(M233,""Element"")),""bool"")"),"#N/A")</f>
        <v>#N/A</v>
      </c>
      <c r="O233" s="6" t="n">
        <v>0</v>
      </c>
      <c r="P233" s="6"/>
      <c r="Q233" s="6"/>
      <c r="R233" s="6" t="str">
        <f aca="false">IFERROR(__xludf.dummyfunction("IFS(Q233=""ShotAttack"",""%"",Q233=""MeleeAttack"",""%"", Q233=""Defense"",""%"",Q233=""CraftSPeed"",""%"",Q233=""LifeSteal"",""%"",Q233=""MaxInventoryWeight"",""+"",Q233=""MoveSpeed"",""%"",REGEXMATCH(Q233,""ElementAddItemDrop_""),""%"",Q233=""Logging"","&amp;"""+"",Q233=""Mining"",""+"",Q233=""Maxhp"",""%"",REGEXMATCH(Q233,""TemperatureResist_""),""+"",REGEXMATCH(Q233,""ElementResist_""),""%"",REGEXMATCH(Q233,""TemperatureInvalid_""),""bool"",REGEXMATCH(Q233,""BodyPartsWeakDamage""),""%"",REGEXMATCH(Q233,""Ele"&amp;"mentBoost_""),""%"",AND(REGEXMATCH(J233,""GiveA""),REGEXMATCH(Q233,""Element"")),""bool"")"),"#N/A")</f>
        <v>#N/A</v>
      </c>
      <c r="S233" s="6" t="n">
        <v>0</v>
      </c>
      <c r="T233" s="6"/>
      <c r="U233" s="319" t="b">
        <f aca="false">FALSE()</f>
        <v>0</v>
      </c>
      <c r="V233" s="319" t="b">
        <f aca="false">FALSE()</f>
        <v>0</v>
      </c>
      <c r="W233" s="319" t="b">
        <f aca="false">FALSE()</f>
        <v>0</v>
      </c>
      <c r="X233" s="319" t="b">
        <f aca="false">FALSE()</f>
        <v>0</v>
      </c>
      <c r="Y233" s="319" t="b">
        <f aca="false">FALSE()</f>
        <v>0</v>
      </c>
      <c r="Z233" s="319" t="b">
        <f aca="false">TRUE()</f>
        <v>1</v>
      </c>
      <c r="AA233" s="319" t="b">
        <f aca="false">FALSE()</f>
        <v>0</v>
      </c>
      <c r="AB233" s="319" t="b">
        <f aca="false">FALSE()</f>
        <v>0</v>
      </c>
      <c r="AC233" s="319" t="b">
        <f aca="false">FALSE()</f>
        <v>0</v>
      </c>
      <c r="AD233" s="319" t="b">
        <f aca="false">FALSE()</f>
        <v>0</v>
      </c>
      <c r="AE233" s="319" t="b">
        <f aca="false">FALSE()</f>
        <v>0</v>
      </c>
      <c r="AF233" s="319" t="b">
        <f aca="false">FALSE()</f>
        <v>0</v>
      </c>
      <c r="AG233" s="6" t="s">
        <v>182</v>
      </c>
      <c r="AH233" s="6" t="s">
        <v>182</v>
      </c>
    </row>
    <row r="234" customFormat="false" ht="15.75" hidden="false" customHeight="false" outlineLevel="0" collapsed="false">
      <c r="A234" s="3" t="s">
        <v>2309</v>
      </c>
      <c r="B234" s="6" t="s">
        <v>1040</v>
      </c>
      <c r="C234" s="311" t="b">
        <f aca="false">TRUE()</f>
        <v>1</v>
      </c>
      <c r="D234" s="6" t="str">
        <f aca="false">I234   &amp; IF(ISBLANK(M234),, ". "&amp; M234 &amp; IF(ISBLANK(Q234),, ". "&amp; Q234))</f>
        <v>ElementBoost_Fire</v>
      </c>
      <c r="E234" s="6" t="str">
        <f aca="false">I234  &amp;": # on "&amp; L234  &amp; IF(ISBLANK(M234),, ". "&amp; M234 &amp;": # on "&amp; P234 &amp; IF(ISBLANK(Q234),, ". "&amp; Q234 &amp;": # on "&amp; T234))</f>
        <v>ElementBoost_Fire: # on Self</v>
      </c>
      <c r="F234" s="6" t="str">
        <f aca="false">IF(U234,"active pal",)  &amp; IF(V234,"working",) &amp; IF(W234,"mounted",) &amp; IF(Y234,"in party (buff)",)  &amp; IF(Z234,"always",)</f>
        <v>always</v>
      </c>
      <c r="G234" s="6" t="n">
        <v>3</v>
      </c>
      <c r="H234" s="6" t="s">
        <v>2253</v>
      </c>
      <c r="I234" s="6" t="s">
        <v>2254</v>
      </c>
      <c r="J234" s="6" t="str">
        <f aca="false">IFERROR(__xludf.dummyfunction("IFS(I234=""ShotAttack"",""%"",I234=""MeleeAttack"",""%"", I234=""Defense"",""%"",I234=""CraftSPeed"",""%"",I234=""LifeSteal"",""%"",I234=""MaxInventoryWeight"",""+"",I234=""MoveSpeed"",""%"",REGEXMATCH(I234,""ElementAddItemDrop_""),""%"",I234=""Logging"","&amp;"""+"",I234=""Mining"",""+"",I234=""Maxhp"",""%"",REGEXMATCH(I234,""TemperatureResist_""),""+"",REGEXMATCH(I234,""ElementResist_""),""%"",REGEXMATCH(I234,""TemperatureInvalid_""),""bool"",REGEXMATCH(I234,""BodyPartsWeakDamage""),""%"",REGEXMATCH(I234,""Ele"&amp;"mentBoost_""),""%"",AND(REGEXMATCH(B234,""GiveA""),REGEXMATCH(I234,""Element"")),""bool"")"),"%")</f>
        <v>%</v>
      </c>
      <c r="K234" s="6" t="n">
        <v>20</v>
      </c>
      <c r="L234" s="6" t="s">
        <v>1956</v>
      </c>
      <c r="M234" s="6"/>
      <c r="N234" s="6" t="str">
        <f aca="false">IFERROR(__xludf.dummyfunction("IFS(M234=""ShotAttack"",""%"",M234=""MeleeAttack"",""%"", M234=""Defense"",""%"",M234=""CraftSPeed"",""%"",M234=""LifeSteal"",""%"",M234=""MaxInventoryWeight"",""+"",M234=""MoveSpeed"",""%"",REGEXMATCH(M234,""ElementAddItemDrop_""),""%"",M234=""Logging"","&amp;"""+"",M234=""Mining"",""+"",M234=""Maxhp"",""%"",REGEXMATCH(M234,""TemperatureResist_""),""+"",REGEXMATCH(M234,""ElementResist_""),""%"",REGEXMATCH(M234,""TemperatureInvalid_""),""bool"",REGEXMATCH(M234,""BodyPartsWeakDamage""),""%"",REGEXMATCH(M234,""Ele"&amp;"mentBoost_""),""%"",AND(REGEXMATCH(F234,""GiveA""),REGEXMATCH(M234,""Element"")),""bool"")"),"#N/A")</f>
        <v>#N/A</v>
      </c>
      <c r="O234" s="6" t="n">
        <v>0</v>
      </c>
      <c r="P234" s="6"/>
      <c r="Q234" s="6"/>
      <c r="R234" s="6" t="str">
        <f aca="false">IFERROR(__xludf.dummyfunction("IFS(Q234=""ShotAttack"",""%"",Q234=""MeleeAttack"",""%"", Q234=""Defense"",""%"",Q234=""CraftSPeed"",""%"",Q234=""LifeSteal"",""%"",Q234=""MaxInventoryWeight"",""+"",Q234=""MoveSpeed"",""%"",REGEXMATCH(Q234,""ElementAddItemDrop_""),""%"",Q234=""Logging"","&amp;"""+"",Q234=""Mining"",""+"",Q234=""Maxhp"",""%"",REGEXMATCH(Q234,""TemperatureResist_""),""+"",REGEXMATCH(Q234,""ElementResist_""),""%"",REGEXMATCH(Q234,""TemperatureInvalid_""),""bool"",REGEXMATCH(Q234,""BodyPartsWeakDamage""),""%"",REGEXMATCH(Q234,""Ele"&amp;"mentBoost_""),""%"",AND(REGEXMATCH(J234,""GiveA""),REGEXMATCH(Q234,""Element"")),""bool"")"),"#N/A")</f>
        <v>#N/A</v>
      </c>
      <c r="S234" s="6" t="n">
        <v>0</v>
      </c>
      <c r="T234" s="6"/>
      <c r="U234" s="319" t="b">
        <f aca="false">FALSE()</f>
        <v>0</v>
      </c>
      <c r="V234" s="319" t="b">
        <f aca="false">FALSE()</f>
        <v>0</v>
      </c>
      <c r="W234" s="319" t="b">
        <f aca="false">FALSE()</f>
        <v>0</v>
      </c>
      <c r="X234" s="319" t="b">
        <f aca="false">FALSE()</f>
        <v>0</v>
      </c>
      <c r="Y234" s="319" t="b">
        <f aca="false">FALSE()</f>
        <v>0</v>
      </c>
      <c r="Z234" s="319" t="b">
        <f aca="false">TRUE()</f>
        <v>1</v>
      </c>
      <c r="AA234" s="319" t="b">
        <f aca="false">FALSE()</f>
        <v>0</v>
      </c>
      <c r="AB234" s="319" t="b">
        <f aca="false">FALSE()</f>
        <v>0</v>
      </c>
      <c r="AC234" s="319" t="b">
        <f aca="false">FALSE()</f>
        <v>0</v>
      </c>
      <c r="AD234" s="319" t="b">
        <f aca="false">FALSE()</f>
        <v>0</v>
      </c>
      <c r="AE234" s="319" t="b">
        <f aca="false">FALSE()</f>
        <v>0</v>
      </c>
      <c r="AF234" s="319" t="b">
        <f aca="false">FALSE()</f>
        <v>0</v>
      </c>
      <c r="AG234" s="6" t="s">
        <v>182</v>
      </c>
      <c r="AH234" s="6" t="s">
        <v>182</v>
      </c>
    </row>
    <row r="235" customFormat="false" ht="15.75" hidden="false" customHeight="false" outlineLevel="0" collapsed="false">
      <c r="A235" s="3" t="s">
        <v>2310</v>
      </c>
      <c r="B235" s="6" t="s">
        <v>887</v>
      </c>
      <c r="C235" s="311" t="b">
        <f aca="false">TRUE()</f>
        <v>1</v>
      </c>
      <c r="D235" s="6" t="str">
        <f aca="false">I235   &amp; IF(ISBLANK(M235),, ". "&amp; M235 &amp; IF(ISBLANK(Q235),, ". "&amp; Q235))</f>
        <v>ElementBoost_Water</v>
      </c>
      <c r="E235" s="6" t="str">
        <f aca="false">I235  &amp;": # on "&amp; L235  &amp; IF(ISBLANK(M235),, ". "&amp; M235 &amp;": # on "&amp; P235 &amp; IF(ISBLANK(Q235),, ". "&amp; Q235 &amp;": # on "&amp; T235))</f>
        <v>ElementBoost_Water: # on Self</v>
      </c>
      <c r="F235" s="6" t="str">
        <f aca="false">IF(U235,"active pal",)  &amp; IF(V235,"working",) &amp; IF(W235,"mounted",) &amp; IF(Y235,"in party (buff)",)  &amp; IF(Z235,"always",)</f>
        <v>always</v>
      </c>
      <c r="G235" s="6" t="n">
        <v>3</v>
      </c>
      <c r="H235" s="6" t="s">
        <v>2257</v>
      </c>
      <c r="I235" s="6" t="s">
        <v>2258</v>
      </c>
      <c r="J235" s="6" t="str">
        <f aca="false">IFERROR(__xludf.dummyfunction("IFS(I235=""ShotAttack"",""%"",I235=""MeleeAttack"",""%"", I235=""Defense"",""%"",I235=""CraftSPeed"",""%"",I235=""LifeSteal"",""%"",I235=""MaxInventoryWeight"",""+"",I235=""MoveSpeed"",""%"",REGEXMATCH(I235,""ElementAddItemDrop_""),""%"",I235=""Logging"","&amp;"""+"",I235=""Mining"",""+"",I235=""Maxhp"",""%"",REGEXMATCH(I235,""TemperatureResist_""),""+"",REGEXMATCH(I235,""ElementResist_""),""%"",REGEXMATCH(I235,""TemperatureInvalid_""),""bool"",REGEXMATCH(I235,""BodyPartsWeakDamage""),""%"",REGEXMATCH(I235,""Ele"&amp;"mentBoost_""),""%"",AND(REGEXMATCH(B235,""GiveA""),REGEXMATCH(I235,""Element"")),""bool"")"),"%")</f>
        <v>%</v>
      </c>
      <c r="K235" s="6" t="n">
        <v>20</v>
      </c>
      <c r="L235" s="6" t="s">
        <v>1956</v>
      </c>
      <c r="M235" s="6"/>
      <c r="N235" s="6" t="str">
        <f aca="false">IFERROR(__xludf.dummyfunction("IFS(M235=""ShotAttack"",""%"",M235=""MeleeAttack"",""%"", M235=""Defense"",""%"",M235=""CraftSPeed"",""%"",M235=""LifeSteal"",""%"",M235=""MaxInventoryWeight"",""+"",M235=""MoveSpeed"",""%"",REGEXMATCH(M235,""ElementAddItemDrop_""),""%"",M235=""Logging"","&amp;"""+"",M235=""Mining"",""+"",M235=""Maxhp"",""%"",REGEXMATCH(M235,""TemperatureResist_""),""+"",REGEXMATCH(M235,""ElementResist_""),""%"",REGEXMATCH(M235,""TemperatureInvalid_""),""bool"",REGEXMATCH(M235,""BodyPartsWeakDamage""),""%"",REGEXMATCH(M235,""Ele"&amp;"mentBoost_""),""%"",AND(REGEXMATCH(F235,""GiveA""),REGEXMATCH(M235,""Element"")),""bool"")"),"#N/A")</f>
        <v>#N/A</v>
      </c>
      <c r="O235" s="6" t="n">
        <v>0</v>
      </c>
      <c r="P235" s="6"/>
      <c r="Q235" s="6"/>
      <c r="R235" s="6" t="str">
        <f aca="false">IFERROR(__xludf.dummyfunction("IFS(Q235=""ShotAttack"",""%"",Q235=""MeleeAttack"",""%"", Q235=""Defense"",""%"",Q235=""CraftSPeed"",""%"",Q235=""LifeSteal"",""%"",Q235=""MaxInventoryWeight"",""+"",Q235=""MoveSpeed"",""%"",REGEXMATCH(Q235,""ElementAddItemDrop_""),""%"",Q235=""Logging"","&amp;"""+"",Q235=""Mining"",""+"",Q235=""Maxhp"",""%"",REGEXMATCH(Q235,""TemperatureResist_""),""+"",REGEXMATCH(Q235,""ElementResist_""),""%"",REGEXMATCH(Q235,""TemperatureInvalid_""),""bool"",REGEXMATCH(Q235,""BodyPartsWeakDamage""),""%"",REGEXMATCH(Q235,""Ele"&amp;"mentBoost_""),""%"",AND(REGEXMATCH(J235,""GiveA""),REGEXMATCH(Q235,""Element"")),""bool"")"),"#N/A")</f>
        <v>#N/A</v>
      </c>
      <c r="S235" s="6" t="n">
        <v>0</v>
      </c>
      <c r="T235" s="6"/>
      <c r="U235" s="319" t="b">
        <f aca="false">FALSE()</f>
        <v>0</v>
      </c>
      <c r="V235" s="319" t="b">
        <f aca="false">FALSE()</f>
        <v>0</v>
      </c>
      <c r="W235" s="319" t="b">
        <f aca="false">FALSE()</f>
        <v>0</v>
      </c>
      <c r="X235" s="319" t="b">
        <f aca="false">FALSE()</f>
        <v>0</v>
      </c>
      <c r="Y235" s="319" t="b">
        <f aca="false">FALSE()</f>
        <v>0</v>
      </c>
      <c r="Z235" s="319" t="b">
        <f aca="false">TRUE()</f>
        <v>1</v>
      </c>
      <c r="AA235" s="319" t="b">
        <f aca="false">FALSE()</f>
        <v>0</v>
      </c>
      <c r="AB235" s="319" t="b">
        <f aca="false">FALSE()</f>
        <v>0</v>
      </c>
      <c r="AC235" s="319" t="b">
        <f aca="false">FALSE()</f>
        <v>0</v>
      </c>
      <c r="AD235" s="319" t="b">
        <f aca="false">FALSE()</f>
        <v>0</v>
      </c>
      <c r="AE235" s="319" t="b">
        <f aca="false">FALSE()</f>
        <v>0</v>
      </c>
      <c r="AF235" s="319" t="b">
        <f aca="false">FALSE()</f>
        <v>0</v>
      </c>
      <c r="AG235" s="6" t="s">
        <v>182</v>
      </c>
      <c r="AH235" s="6" t="s">
        <v>182</v>
      </c>
    </row>
    <row r="236" customFormat="false" ht="15.75" hidden="false" customHeight="false" outlineLevel="0" collapsed="false">
      <c r="A236" s="3" t="s">
        <v>2311</v>
      </c>
      <c r="B236" s="6" t="s">
        <v>1230</v>
      </c>
      <c r="C236" s="311" t="b">
        <f aca="false">TRUE()</f>
        <v>1</v>
      </c>
      <c r="D236" s="6" t="str">
        <f aca="false">I236   &amp; IF(ISBLANK(M236),, ". "&amp; M236 &amp; IF(ISBLANK(Q236),, ". "&amp; Q236))</f>
        <v>ElementBoost_Electricity</v>
      </c>
      <c r="E236" s="6" t="str">
        <f aca="false">I236  &amp;": # on "&amp; L236  &amp; IF(ISBLANK(M236),, ". "&amp; M236 &amp;": # on "&amp; P236 &amp; IF(ISBLANK(Q236),, ". "&amp; Q236 &amp;": # on "&amp; T236))</f>
        <v>ElementBoost_Electricity: # on Self</v>
      </c>
      <c r="F236" s="6" t="str">
        <f aca="false">IF(U236,"active pal",)  &amp; IF(V236,"working",) &amp; IF(W236,"mounted",) &amp; IF(Y236,"in party (buff)",)  &amp; IF(Z236,"always",)</f>
        <v>always</v>
      </c>
      <c r="G236" s="6" t="n">
        <v>3</v>
      </c>
      <c r="H236" s="6" t="s">
        <v>2261</v>
      </c>
      <c r="I236" s="6" t="s">
        <v>2262</v>
      </c>
      <c r="J236" s="6" t="str">
        <f aca="false">IFERROR(__xludf.dummyfunction("IFS(I236=""ShotAttack"",""%"",I236=""MeleeAttack"",""%"", I236=""Defense"",""%"",I236=""CraftSPeed"",""%"",I236=""LifeSteal"",""%"",I236=""MaxInventoryWeight"",""+"",I236=""MoveSpeed"",""%"",REGEXMATCH(I236,""ElementAddItemDrop_""),""%"",I236=""Logging"","&amp;"""+"",I236=""Mining"",""+"",I236=""Maxhp"",""%"",REGEXMATCH(I236,""TemperatureResist_""),""+"",REGEXMATCH(I236,""ElementResist_""),""%"",REGEXMATCH(I236,""TemperatureInvalid_""),""bool"",REGEXMATCH(I236,""BodyPartsWeakDamage""),""%"",REGEXMATCH(I236,""Ele"&amp;"mentBoost_""),""%"",AND(REGEXMATCH(B236,""GiveA""),REGEXMATCH(I236,""Element"")),""bool"")"),"%")</f>
        <v>%</v>
      </c>
      <c r="K236" s="6" t="n">
        <v>20</v>
      </c>
      <c r="L236" s="6" t="s">
        <v>1956</v>
      </c>
      <c r="M236" s="6"/>
      <c r="N236" s="6" t="str">
        <f aca="false">IFERROR(__xludf.dummyfunction("IFS(M236=""ShotAttack"",""%"",M236=""MeleeAttack"",""%"", M236=""Defense"",""%"",M236=""CraftSPeed"",""%"",M236=""LifeSteal"",""%"",M236=""MaxInventoryWeight"",""+"",M236=""MoveSpeed"",""%"",REGEXMATCH(M236,""ElementAddItemDrop_""),""%"",M236=""Logging"","&amp;"""+"",M236=""Mining"",""+"",M236=""Maxhp"",""%"",REGEXMATCH(M236,""TemperatureResist_""),""+"",REGEXMATCH(M236,""ElementResist_""),""%"",REGEXMATCH(M236,""TemperatureInvalid_""),""bool"",REGEXMATCH(M236,""BodyPartsWeakDamage""),""%"",REGEXMATCH(M236,""Ele"&amp;"mentBoost_""),""%"",AND(REGEXMATCH(F236,""GiveA""),REGEXMATCH(M236,""Element"")),""bool"")"),"#N/A")</f>
        <v>#N/A</v>
      </c>
      <c r="O236" s="6" t="n">
        <v>0</v>
      </c>
      <c r="P236" s="6"/>
      <c r="Q236" s="6"/>
      <c r="R236" s="6" t="str">
        <f aca="false">IFERROR(__xludf.dummyfunction("IFS(Q236=""ShotAttack"",""%"",Q236=""MeleeAttack"",""%"", Q236=""Defense"",""%"",Q236=""CraftSPeed"",""%"",Q236=""LifeSteal"",""%"",Q236=""MaxInventoryWeight"",""+"",Q236=""MoveSpeed"",""%"",REGEXMATCH(Q236,""ElementAddItemDrop_""),""%"",Q236=""Logging"","&amp;"""+"",Q236=""Mining"",""+"",Q236=""Maxhp"",""%"",REGEXMATCH(Q236,""TemperatureResist_""),""+"",REGEXMATCH(Q236,""ElementResist_""),""%"",REGEXMATCH(Q236,""TemperatureInvalid_""),""bool"",REGEXMATCH(Q236,""BodyPartsWeakDamage""),""%"",REGEXMATCH(Q236,""Ele"&amp;"mentBoost_""),""%"",AND(REGEXMATCH(J236,""GiveA""),REGEXMATCH(Q236,""Element"")),""bool"")"),"#N/A")</f>
        <v>#N/A</v>
      </c>
      <c r="S236" s="6" t="n">
        <v>0</v>
      </c>
      <c r="T236" s="6"/>
      <c r="U236" s="319" t="b">
        <f aca="false">FALSE()</f>
        <v>0</v>
      </c>
      <c r="V236" s="319" t="b">
        <f aca="false">FALSE()</f>
        <v>0</v>
      </c>
      <c r="W236" s="319" t="b">
        <f aca="false">FALSE()</f>
        <v>0</v>
      </c>
      <c r="X236" s="319" t="b">
        <f aca="false">FALSE()</f>
        <v>0</v>
      </c>
      <c r="Y236" s="319" t="b">
        <f aca="false">FALSE()</f>
        <v>0</v>
      </c>
      <c r="Z236" s="319" t="b">
        <f aca="false">TRUE()</f>
        <v>1</v>
      </c>
      <c r="AA236" s="319" t="b">
        <f aca="false">FALSE()</f>
        <v>0</v>
      </c>
      <c r="AB236" s="319" t="b">
        <f aca="false">FALSE()</f>
        <v>0</v>
      </c>
      <c r="AC236" s="319" t="b">
        <f aca="false">FALSE()</f>
        <v>0</v>
      </c>
      <c r="AD236" s="319" t="b">
        <f aca="false">FALSE()</f>
        <v>0</v>
      </c>
      <c r="AE236" s="319" t="b">
        <f aca="false">FALSE()</f>
        <v>0</v>
      </c>
      <c r="AF236" s="319" t="b">
        <f aca="false">FALSE()</f>
        <v>0</v>
      </c>
      <c r="AG236" s="6" t="s">
        <v>182</v>
      </c>
      <c r="AH236" s="6" t="s">
        <v>182</v>
      </c>
    </row>
    <row r="237" customFormat="false" ht="15.75" hidden="false" customHeight="false" outlineLevel="0" collapsed="false">
      <c r="A237" s="3" t="s">
        <v>2312</v>
      </c>
      <c r="B237" s="6" t="s">
        <v>1097</v>
      </c>
      <c r="C237" s="311" t="b">
        <f aca="false">TRUE()</f>
        <v>1</v>
      </c>
      <c r="D237" s="6" t="str">
        <f aca="false">I237   &amp; IF(ISBLANK(M237),, ". "&amp; M237 &amp; IF(ISBLANK(Q237),, ". "&amp; Q237))</f>
        <v>ElementBoost_Leaf</v>
      </c>
      <c r="E237" s="6" t="str">
        <f aca="false">I237  &amp;": # on "&amp; L237  &amp; IF(ISBLANK(M237),, ". "&amp; M237 &amp;": # on "&amp; P237 &amp; IF(ISBLANK(Q237),, ". "&amp; Q237 &amp;": # on "&amp; T237))</f>
        <v>ElementBoost_Leaf: # on Self</v>
      </c>
      <c r="F237" s="6" t="str">
        <f aca="false">IF(U237,"active pal",)  &amp; IF(V237,"working",) &amp; IF(W237,"mounted",) &amp; IF(Y237,"in party (buff)",)  &amp; IF(Z237,"always",)</f>
        <v>always</v>
      </c>
      <c r="G237" s="6" t="n">
        <v>3</v>
      </c>
      <c r="H237" s="6" t="s">
        <v>2265</v>
      </c>
      <c r="I237" s="6" t="s">
        <v>2266</v>
      </c>
      <c r="J237" s="6" t="str">
        <f aca="false">IFERROR(__xludf.dummyfunction("IFS(I237=""ShotAttack"",""%"",I237=""MeleeAttack"",""%"", I237=""Defense"",""%"",I237=""CraftSPeed"",""%"",I237=""LifeSteal"",""%"",I237=""MaxInventoryWeight"",""+"",I237=""MoveSpeed"",""%"",REGEXMATCH(I237,""ElementAddItemDrop_""),""%"",I237=""Logging"","&amp;"""+"",I237=""Mining"",""+"",I237=""Maxhp"",""%"",REGEXMATCH(I237,""TemperatureResist_""),""+"",REGEXMATCH(I237,""ElementResist_""),""%"",REGEXMATCH(I237,""TemperatureInvalid_""),""bool"",REGEXMATCH(I237,""BodyPartsWeakDamage""),""%"",REGEXMATCH(I237,""Ele"&amp;"mentBoost_""),""%"",AND(REGEXMATCH(B237,""GiveA""),REGEXMATCH(I237,""Element"")),""bool"")"),"%")</f>
        <v>%</v>
      </c>
      <c r="K237" s="6" t="n">
        <v>20</v>
      </c>
      <c r="L237" s="6" t="s">
        <v>1956</v>
      </c>
      <c r="M237" s="6"/>
      <c r="N237" s="6" t="str">
        <f aca="false">IFERROR(__xludf.dummyfunction("IFS(M237=""ShotAttack"",""%"",M237=""MeleeAttack"",""%"", M237=""Defense"",""%"",M237=""CraftSPeed"",""%"",M237=""LifeSteal"",""%"",M237=""MaxInventoryWeight"",""+"",M237=""MoveSpeed"",""%"",REGEXMATCH(M237,""ElementAddItemDrop_""),""%"",M237=""Logging"","&amp;"""+"",M237=""Mining"",""+"",M237=""Maxhp"",""%"",REGEXMATCH(M237,""TemperatureResist_""),""+"",REGEXMATCH(M237,""ElementResist_""),""%"",REGEXMATCH(M237,""TemperatureInvalid_""),""bool"",REGEXMATCH(M237,""BodyPartsWeakDamage""),""%"",REGEXMATCH(M237,""Ele"&amp;"mentBoost_""),""%"",AND(REGEXMATCH(F237,""GiveA""),REGEXMATCH(M237,""Element"")),""bool"")"),"#N/A")</f>
        <v>#N/A</v>
      </c>
      <c r="O237" s="6" t="n">
        <v>0</v>
      </c>
      <c r="P237" s="6"/>
      <c r="Q237" s="6"/>
      <c r="R237" s="6" t="str">
        <f aca="false">IFERROR(__xludf.dummyfunction("IFS(Q237=""ShotAttack"",""%"",Q237=""MeleeAttack"",""%"", Q237=""Defense"",""%"",Q237=""CraftSPeed"",""%"",Q237=""LifeSteal"",""%"",Q237=""MaxInventoryWeight"",""+"",Q237=""MoveSpeed"",""%"",REGEXMATCH(Q237,""ElementAddItemDrop_""),""%"",Q237=""Logging"","&amp;"""+"",Q237=""Mining"",""+"",Q237=""Maxhp"",""%"",REGEXMATCH(Q237,""TemperatureResist_""),""+"",REGEXMATCH(Q237,""ElementResist_""),""%"",REGEXMATCH(Q237,""TemperatureInvalid_""),""bool"",REGEXMATCH(Q237,""BodyPartsWeakDamage""),""%"",REGEXMATCH(Q237,""Ele"&amp;"mentBoost_""),""%"",AND(REGEXMATCH(J237,""GiveA""),REGEXMATCH(Q237,""Element"")),""bool"")"),"#N/A")</f>
        <v>#N/A</v>
      </c>
      <c r="S237" s="6" t="n">
        <v>0</v>
      </c>
      <c r="T237" s="6"/>
      <c r="U237" s="319" t="b">
        <f aca="false">FALSE()</f>
        <v>0</v>
      </c>
      <c r="V237" s="319" t="b">
        <f aca="false">FALSE()</f>
        <v>0</v>
      </c>
      <c r="W237" s="319" t="b">
        <f aca="false">FALSE()</f>
        <v>0</v>
      </c>
      <c r="X237" s="319" t="b">
        <f aca="false">FALSE()</f>
        <v>0</v>
      </c>
      <c r="Y237" s="319" t="b">
        <f aca="false">FALSE()</f>
        <v>0</v>
      </c>
      <c r="Z237" s="319" t="b">
        <f aca="false">TRUE()</f>
        <v>1</v>
      </c>
      <c r="AA237" s="319" t="b">
        <f aca="false">FALSE()</f>
        <v>0</v>
      </c>
      <c r="AB237" s="319" t="b">
        <f aca="false">FALSE()</f>
        <v>0</v>
      </c>
      <c r="AC237" s="319" t="b">
        <f aca="false">FALSE()</f>
        <v>0</v>
      </c>
      <c r="AD237" s="319" t="b">
        <f aca="false">FALSE()</f>
        <v>0</v>
      </c>
      <c r="AE237" s="319" t="b">
        <f aca="false">FALSE()</f>
        <v>0</v>
      </c>
      <c r="AF237" s="319" t="b">
        <f aca="false">FALSE()</f>
        <v>0</v>
      </c>
      <c r="AG237" s="6" t="s">
        <v>182</v>
      </c>
      <c r="AH237" s="6" t="s">
        <v>182</v>
      </c>
    </row>
    <row r="238" customFormat="false" ht="15.75" hidden="false" customHeight="false" outlineLevel="0" collapsed="false">
      <c r="A238" s="3" t="s">
        <v>2313</v>
      </c>
      <c r="B238" s="6" t="s">
        <v>1007</v>
      </c>
      <c r="C238" s="311" t="b">
        <f aca="false">TRUE()</f>
        <v>1</v>
      </c>
      <c r="D238" s="6" t="str">
        <f aca="false">I238   &amp; IF(ISBLANK(M238),, ". "&amp; M238 &amp; IF(ISBLANK(Q238),, ". "&amp; Q238))</f>
        <v>ElementBoost_Ice</v>
      </c>
      <c r="E238" s="6" t="str">
        <f aca="false">I238  &amp;": # on "&amp; L238  &amp; IF(ISBLANK(M238),, ". "&amp; M238 &amp;": # on "&amp; P238 &amp; IF(ISBLANK(Q238),, ". "&amp; Q238 &amp;": # on "&amp; T238))</f>
        <v>ElementBoost_Ice: # on Self</v>
      </c>
      <c r="F238" s="6" t="str">
        <f aca="false">IF(U238,"active pal",)  &amp; IF(V238,"working",) &amp; IF(W238,"mounted",) &amp; IF(Y238,"in party (buff)",)  &amp; IF(Z238,"always",)</f>
        <v>always</v>
      </c>
      <c r="G238" s="6" t="n">
        <v>3</v>
      </c>
      <c r="H238" s="6" t="s">
        <v>2269</v>
      </c>
      <c r="I238" s="6" t="s">
        <v>2270</v>
      </c>
      <c r="J238" s="6" t="str">
        <f aca="false">IFERROR(__xludf.dummyfunction("IFS(I238=""ShotAttack"",""%"",I238=""MeleeAttack"",""%"", I238=""Defense"",""%"",I238=""CraftSPeed"",""%"",I238=""LifeSteal"",""%"",I238=""MaxInventoryWeight"",""+"",I238=""MoveSpeed"",""%"",REGEXMATCH(I238,""ElementAddItemDrop_""),""%"",I238=""Logging"","&amp;"""+"",I238=""Mining"",""+"",I238=""Maxhp"",""%"",REGEXMATCH(I238,""TemperatureResist_""),""+"",REGEXMATCH(I238,""ElementResist_""),""%"",REGEXMATCH(I238,""TemperatureInvalid_""),""bool"",REGEXMATCH(I238,""BodyPartsWeakDamage""),""%"",REGEXMATCH(I238,""Ele"&amp;"mentBoost_""),""%"",AND(REGEXMATCH(B238,""GiveA""),REGEXMATCH(I238,""Element"")),""bool"")"),"%")</f>
        <v>%</v>
      </c>
      <c r="K238" s="6" t="n">
        <v>20</v>
      </c>
      <c r="L238" s="6" t="s">
        <v>1956</v>
      </c>
      <c r="M238" s="6"/>
      <c r="N238" s="6" t="str">
        <f aca="false">IFERROR(__xludf.dummyfunction("IFS(M238=""ShotAttack"",""%"",M238=""MeleeAttack"",""%"", M238=""Defense"",""%"",M238=""CraftSPeed"",""%"",M238=""LifeSteal"",""%"",M238=""MaxInventoryWeight"",""+"",M238=""MoveSpeed"",""%"",REGEXMATCH(M238,""ElementAddItemDrop_""),""%"",M238=""Logging"","&amp;"""+"",M238=""Mining"",""+"",M238=""Maxhp"",""%"",REGEXMATCH(M238,""TemperatureResist_""),""+"",REGEXMATCH(M238,""ElementResist_""),""%"",REGEXMATCH(M238,""TemperatureInvalid_""),""bool"",REGEXMATCH(M238,""BodyPartsWeakDamage""),""%"",REGEXMATCH(M238,""Ele"&amp;"mentBoost_""),""%"",AND(REGEXMATCH(F238,""GiveA""),REGEXMATCH(M238,""Element"")),""bool"")"),"#N/A")</f>
        <v>#N/A</v>
      </c>
      <c r="O238" s="6" t="n">
        <v>0</v>
      </c>
      <c r="P238" s="6"/>
      <c r="Q238" s="6"/>
      <c r="R238" s="6" t="str">
        <f aca="false">IFERROR(__xludf.dummyfunction("IFS(Q238=""ShotAttack"",""%"",Q238=""MeleeAttack"",""%"", Q238=""Defense"",""%"",Q238=""CraftSPeed"",""%"",Q238=""LifeSteal"",""%"",Q238=""MaxInventoryWeight"",""+"",Q238=""MoveSpeed"",""%"",REGEXMATCH(Q238,""ElementAddItemDrop_""),""%"",Q238=""Logging"","&amp;"""+"",Q238=""Mining"",""+"",Q238=""Maxhp"",""%"",REGEXMATCH(Q238,""TemperatureResist_""),""+"",REGEXMATCH(Q238,""ElementResist_""),""%"",REGEXMATCH(Q238,""TemperatureInvalid_""),""bool"",REGEXMATCH(Q238,""BodyPartsWeakDamage""),""%"",REGEXMATCH(Q238,""Ele"&amp;"mentBoost_""),""%"",AND(REGEXMATCH(J238,""GiveA""),REGEXMATCH(Q238,""Element"")),""bool"")"),"#N/A")</f>
        <v>#N/A</v>
      </c>
      <c r="S238" s="6" t="n">
        <v>0</v>
      </c>
      <c r="T238" s="6"/>
      <c r="U238" s="319" t="b">
        <f aca="false">FALSE()</f>
        <v>0</v>
      </c>
      <c r="V238" s="319" t="b">
        <f aca="false">FALSE()</f>
        <v>0</v>
      </c>
      <c r="W238" s="319" t="b">
        <f aca="false">FALSE()</f>
        <v>0</v>
      </c>
      <c r="X238" s="319" t="b">
        <f aca="false">FALSE()</f>
        <v>0</v>
      </c>
      <c r="Y238" s="319" t="b">
        <f aca="false">FALSE()</f>
        <v>0</v>
      </c>
      <c r="Z238" s="319" t="b">
        <f aca="false">TRUE()</f>
        <v>1</v>
      </c>
      <c r="AA238" s="319" t="b">
        <f aca="false">FALSE()</f>
        <v>0</v>
      </c>
      <c r="AB238" s="319" t="b">
        <f aca="false">FALSE()</f>
        <v>0</v>
      </c>
      <c r="AC238" s="319" t="b">
        <f aca="false">FALSE()</f>
        <v>0</v>
      </c>
      <c r="AD238" s="319" t="b">
        <f aca="false">FALSE()</f>
        <v>0</v>
      </c>
      <c r="AE238" s="319" t="b">
        <f aca="false">FALSE()</f>
        <v>0</v>
      </c>
      <c r="AF238" s="319" t="b">
        <f aca="false">FALSE()</f>
        <v>0</v>
      </c>
      <c r="AG238" s="6" t="s">
        <v>182</v>
      </c>
      <c r="AH238" s="6" t="s">
        <v>182</v>
      </c>
    </row>
    <row r="239" customFormat="false" ht="15.75" hidden="false" customHeight="false" outlineLevel="0" collapsed="false">
      <c r="A239" s="3" t="s">
        <v>2314</v>
      </c>
      <c r="B239" s="6" t="s">
        <v>749</v>
      </c>
      <c r="C239" s="311" t="b">
        <f aca="false">TRUE()</f>
        <v>1</v>
      </c>
      <c r="D239" s="6" t="str">
        <f aca="false">I239   &amp; IF(ISBLANK(M239),, ". "&amp; M239 &amp; IF(ISBLANK(Q239),, ". "&amp; Q239))</f>
        <v>ElementBoost_Earth</v>
      </c>
      <c r="E239" s="6" t="str">
        <f aca="false">I239  &amp;": # on "&amp; L239  &amp; IF(ISBLANK(M239),, ". "&amp; M239 &amp;": # on "&amp; P239 &amp; IF(ISBLANK(Q239),, ". "&amp; Q239 &amp;": # on "&amp; T239))</f>
        <v>ElementBoost_Earth: # on Self</v>
      </c>
      <c r="F239" s="6" t="str">
        <f aca="false">IF(U239,"active pal",)  &amp; IF(V239,"working",) &amp; IF(W239,"mounted",) &amp; IF(Y239,"in party (buff)",)  &amp; IF(Z239,"always",)</f>
        <v>always</v>
      </c>
      <c r="G239" s="6" t="n">
        <v>3</v>
      </c>
      <c r="H239" s="6" t="s">
        <v>2273</v>
      </c>
      <c r="I239" s="6" t="s">
        <v>2274</v>
      </c>
      <c r="J239" s="6" t="str">
        <f aca="false">IFERROR(__xludf.dummyfunction("IFS(I239=""ShotAttack"",""%"",I239=""MeleeAttack"",""%"", I239=""Defense"",""%"",I239=""CraftSPeed"",""%"",I239=""LifeSteal"",""%"",I239=""MaxInventoryWeight"",""+"",I239=""MoveSpeed"",""%"",REGEXMATCH(I239,""ElementAddItemDrop_""),""%"",I239=""Logging"","&amp;"""+"",I239=""Mining"",""+"",I239=""Maxhp"",""%"",REGEXMATCH(I239,""TemperatureResist_""),""+"",REGEXMATCH(I239,""ElementResist_""),""%"",REGEXMATCH(I239,""TemperatureInvalid_""),""bool"",REGEXMATCH(I239,""BodyPartsWeakDamage""),""%"",REGEXMATCH(I239,""Ele"&amp;"mentBoost_""),""%"",AND(REGEXMATCH(B239,""GiveA""),REGEXMATCH(I239,""Element"")),""bool"")"),"%")</f>
        <v>%</v>
      </c>
      <c r="K239" s="6" t="n">
        <v>20</v>
      </c>
      <c r="L239" s="6" t="s">
        <v>1956</v>
      </c>
      <c r="M239" s="6"/>
      <c r="N239" s="6" t="str">
        <f aca="false">IFERROR(__xludf.dummyfunction("IFS(M239=""ShotAttack"",""%"",M239=""MeleeAttack"",""%"", M239=""Defense"",""%"",M239=""CraftSPeed"",""%"",M239=""LifeSteal"",""%"",M239=""MaxInventoryWeight"",""+"",M239=""MoveSpeed"",""%"",REGEXMATCH(M239,""ElementAddItemDrop_""),""%"",M239=""Logging"","&amp;"""+"",M239=""Mining"",""+"",M239=""Maxhp"",""%"",REGEXMATCH(M239,""TemperatureResist_""),""+"",REGEXMATCH(M239,""ElementResist_""),""%"",REGEXMATCH(M239,""TemperatureInvalid_""),""bool"",REGEXMATCH(M239,""BodyPartsWeakDamage""),""%"",REGEXMATCH(M239,""Ele"&amp;"mentBoost_""),""%"",AND(REGEXMATCH(F239,""GiveA""),REGEXMATCH(M239,""Element"")),""bool"")"),"#N/A")</f>
        <v>#N/A</v>
      </c>
      <c r="O239" s="6" t="n">
        <v>0</v>
      </c>
      <c r="P239" s="6"/>
      <c r="Q239" s="6"/>
      <c r="R239" s="6" t="str">
        <f aca="false">IFERROR(__xludf.dummyfunction("IFS(Q239=""ShotAttack"",""%"",Q239=""MeleeAttack"",""%"", Q239=""Defense"",""%"",Q239=""CraftSPeed"",""%"",Q239=""LifeSteal"",""%"",Q239=""MaxInventoryWeight"",""+"",Q239=""MoveSpeed"",""%"",REGEXMATCH(Q239,""ElementAddItemDrop_""),""%"",Q239=""Logging"","&amp;"""+"",Q239=""Mining"",""+"",Q239=""Maxhp"",""%"",REGEXMATCH(Q239,""TemperatureResist_""),""+"",REGEXMATCH(Q239,""ElementResist_""),""%"",REGEXMATCH(Q239,""TemperatureInvalid_""),""bool"",REGEXMATCH(Q239,""BodyPartsWeakDamage""),""%"",REGEXMATCH(Q239,""Ele"&amp;"mentBoost_""),""%"",AND(REGEXMATCH(J239,""GiveA""),REGEXMATCH(Q239,""Element"")),""bool"")"),"#N/A")</f>
        <v>#N/A</v>
      </c>
      <c r="S239" s="6" t="n">
        <v>0</v>
      </c>
      <c r="T239" s="6"/>
      <c r="U239" s="319" t="b">
        <f aca="false">FALSE()</f>
        <v>0</v>
      </c>
      <c r="V239" s="319" t="b">
        <f aca="false">FALSE()</f>
        <v>0</v>
      </c>
      <c r="W239" s="319" t="b">
        <f aca="false">FALSE()</f>
        <v>0</v>
      </c>
      <c r="X239" s="319" t="b">
        <f aca="false">FALSE()</f>
        <v>0</v>
      </c>
      <c r="Y239" s="319" t="b">
        <f aca="false">FALSE()</f>
        <v>0</v>
      </c>
      <c r="Z239" s="319" t="b">
        <f aca="false">TRUE()</f>
        <v>1</v>
      </c>
      <c r="AA239" s="319" t="b">
        <f aca="false">FALSE()</f>
        <v>0</v>
      </c>
      <c r="AB239" s="319" t="b">
        <f aca="false">FALSE()</f>
        <v>0</v>
      </c>
      <c r="AC239" s="319" t="b">
        <f aca="false">FALSE()</f>
        <v>0</v>
      </c>
      <c r="AD239" s="319" t="b">
        <f aca="false">FALSE()</f>
        <v>0</v>
      </c>
      <c r="AE239" s="319" t="b">
        <f aca="false">FALSE()</f>
        <v>0</v>
      </c>
      <c r="AF239" s="319" t="b">
        <f aca="false">FALSE()</f>
        <v>0</v>
      </c>
      <c r="AG239" s="6" t="s">
        <v>182</v>
      </c>
      <c r="AH239" s="6" t="s">
        <v>182</v>
      </c>
    </row>
    <row r="240" customFormat="false" ht="15.75" hidden="false" customHeight="false" outlineLevel="0" collapsed="false">
      <c r="A240" s="3" t="s">
        <v>2315</v>
      </c>
      <c r="B240" s="6" t="s">
        <v>1211</v>
      </c>
      <c r="C240" s="311" t="b">
        <f aca="false">TRUE()</f>
        <v>1</v>
      </c>
      <c r="D240" s="6" t="str">
        <f aca="false">I240   &amp; IF(ISBLANK(M240),, ". "&amp; M240 &amp; IF(ISBLANK(Q240),, ". "&amp; Q240))</f>
        <v>ElementBoost_Dark</v>
      </c>
      <c r="E240" s="6" t="str">
        <f aca="false">I240  &amp;": # on "&amp; L240  &amp; IF(ISBLANK(M240),, ". "&amp; M240 &amp;": # on "&amp; P240 &amp; IF(ISBLANK(Q240),, ". "&amp; Q240 &amp;": # on "&amp; T240))</f>
        <v>ElementBoost_Dark: # on Self</v>
      </c>
      <c r="F240" s="6" t="str">
        <f aca="false">IF(U240,"active pal",)  &amp; IF(V240,"working",) &amp; IF(W240,"mounted",) &amp; IF(Y240,"in party (buff)",)  &amp; IF(Z240,"always",)</f>
        <v>always</v>
      </c>
      <c r="G240" s="6" t="n">
        <v>3</v>
      </c>
      <c r="H240" s="6" t="s">
        <v>2277</v>
      </c>
      <c r="I240" s="6" t="s">
        <v>2278</v>
      </c>
      <c r="J240" s="6" t="str">
        <f aca="false">IFERROR(__xludf.dummyfunction("IFS(I240=""ShotAttack"",""%"",I240=""MeleeAttack"",""%"", I240=""Defense"",""%"",I240=""CraftSPeed"",""%"",I240=""LifeSteal"",""%"",I240=""MaxInventoryWeight"",""+"",I240=""MoveSpeed"",""%"",REGEXMATCH(I240,""ElementAddItemDrop_""),""%"",I240=""Logging"","&amp;"""+"",I240=""Mining"",""+"",I240=""Maxhp"",""%"",REGEXMATCH(I240,""TemperatureResist_""),""+"",REGEXMATCH(I240,""ElementResist_""),""%"",REGEXMATCH(I240,""TemperatureInvalid_""),""bool"",REGEXMATCH(I240,""BodyPartsWeakDamage""),""%"",REGEXMATCH(I240,""Ele"&amp;"mentBoost_""),""%"",AND(REGEXMATCH(B240,""GiveA""),REGEXMATCH(I240,""Element"")),""bool"")"),"%")</f>
        <v>%</v>
      </c>
      <c r="K240" s="6" t="n">
        <v>20</v>
      </c>
      <c r="L240" s="6" t="s">
        <v>1956</v>
      </c>
      <c r="M240" s="6"/>
      <c r="N240" s="6" t="str">
        <f aca="false">IFERROR(__xludf.dummyfunction("IFS(M240=""ShotAttack"",""%"",M240=""MeleeAttack"",""%"", M240=""Defense"",""%"",M240=""CraftSPeed"",""%"",M240=""LifeSteal"",""%"",M240=""MaxInventoryWeight"",""+"",M240=""MoveSpeed"",""%"",REGEXMATCH(M240,""ElementAddItemDrop_""),""%"",M240=""Logging"","&amp;"""+"",M240=""Mining"",""+"",M240=""Maxhp"",""%"",REGEXMATCH(M240,""TemperatureResist_""),""+"",REGEXMATCH(M240,""ElementResist_""),""%"",REGEXMATCH(M240,""TemperatureInvalid_""),""bool"",REGEXMATCH(M240,""BodyPartsWeakDamage""),""%"",REGEXMATCH(M240,""Ele"&amp;"mentBoost_""),""%"",AND(REGEXMATCH(F240,""GiveA""),REGEXMATCH(M240,""Element"")),""bool"")"),"#N/A")</f>
        <v>#N/A</v>
      </c>
      <c r="O240" s="6" t="n">
        <v>0</v>
      </c>
      <c r="P240" s="6"/>
      <c r="Q240" s="6"/>
      <c r="R240" s="6" t="str">
        <f aca="false">IFERROR(__xludf.dummyfunction("IFS(Q240=""ShotAttack"",""%"",Q240=""MeleeAttack"",""%"", Q240=""Defense"",""%"",Q240=""CraftSPeed"",""%"",Q240=""LifeSteal"",""%"",Q240=""MaxInventoryWeight"",""+"",Q240=""MoveSpeed"",""%"",REGEXMATCH(Q240,""ElementAddItemDrop_""),""%"",Q240=""Logging"","&amp;"""+"",Q240=""Mining"",""+"",Q240=""Maxhp"",""%"",REGEXMATCH(Q240,""TemperatureResist_""),""+"",REGEXMATCH(Q240,""ElementResist_""),""%"",REGEXMATCH(Q240,""TemperatureInvalid_""),""bool"",REGEXMATCH(Q240,""BodyPartsWeakDamage""),""%"",REGEXMATCH(Q240,""Ele"&amp;"mentBoost_""),""%"",AND(REGEXMATCH(J240,""GiveA""),REGEXMATCH(Q240,""Element"")),""bool"")"),"#N/A")</f>
        <v>#N/A</v>
      </c>
      <c r="S240" s="6" t="n">
        <v>0</v>
      </c>
      <c r="T240" s="6"/>
      <c r="U240" s="319" t="b">
        <f aca="false">FALSE()</f>
        <v>0</v>
      </c>
      <c r="V240" s="319" t="b">
        <f aca="false">FALSE()</f>
        <v>0</v>
      </c>
      <c r="W240" s="319" t="b">
        <f aca="false">FALSE()</f>
        <v>0</v>
      </c>
      <c r="X240" s="319" t="b">
        <f aca="false">FALSE()</f>
        <v>0</v>
      </c>
      <c r="Y240" s="319" t="b">
        <f aca="false">FALSE()</f>
        <v>0</v>
      </c>
      <c r="Z240" s="319" t="b">
        <f aca="false">TRUE()</f>
        <v>1</v>
      </c>
      <c r="AA240" s="319" t="b">
        <f aca="false">FALSE()</f>
        <v>0</v>
      </c>
      <c r="AB240" s="319" t="b">
        <f aca="false">FALSE()</f>
        <v>0</v>
      </c>
      <c r="AC240" s="319" t="b">
        <f aca="false">FALSE()</f>
        <v>0</v>
      </c>
      <c r="AD240" s="319" t="b">
        <f aca="false">FALSE()</f>
        <v>0</v>
      </c>
      <c r="AE240" s="319" t="b">
        <f aca="false">FALSE()</f>
        <v>0</v>
      </c>
      <c r="AF240" s="319" t="b">
        <f aca="false">FALSE()</f>
        <v>0</v>
      </c>
      <c r="AG240" s="6" t="s">
        <v>182</v>
      </c>
      <c r="AH240" s="6" t="s">
        <v>182</v>
      </c>
    </row>
    <row r="241" customFormat="false" ht="15.75" hidden="false" customHeight="false" outlineLevel="0" collapsed="false">
      <c r="A241" s="3" t="s">
        <v>2316</v>
      </c>
      <c r="B241" s="6" t="s">
        <v>1135</v>
      </c>
      <c r="C241" s="311" t="b">
        <f aca="false">TRUE()</f>
        <v>1</v>
      </c>
      <c r="D241" s="6" t="str">
        <f aca="false">I241   &amp; IF(ISBLANK(M241),, ". "&amp; M241 &amp; IF(ISBLANK(Q241),, ". "&amp; Q241))</f>
        <v>ElementBoost_Dragon</v>
      </c>
      <c r="E241" s="6" t="str">
        <f aca="false">I241  &amp;": # on "&amp; L241  &amp; IF(ISBLANK(M241),, ". "&amp; M241 &amp;": # on "&amp; P241 &amp; IF(ISBLANK(Q241),, ". "&amp; Q241 &amp;": # on "&amp; T241))</f>
        <v>ElementBoost_Dragon: # on Self</v>
      </c>
      <c r="F241" s="6" t="str">
        <f aca="false">IF(U241,"active pal",)  &amp; IF(V241,"working",) &amp; IF(W241,"mounted",) &amp; IF(Y241,"in party (buff)",)  &amp; IF(Z241,"always",)</f>
        <v>always</v>
      </c>
      <c r="G241" s="6" t="n">
        <v>3</v>
      </c>
      <c r="H241" s="6" t="s">
        <v>2281</v>
      </c>
      <c r="I241" s="6" t="s">
        <v>2282</v>
      </c>
      <c r="J241" s="6" t="str">
        <f aca="false">IFERROR(__xludf.dummyfunction("IFS(I241=""ShotAttack"",""%"",I241=""MeleeAttack"",""%"", I241=""Defense"",""%"",I241=""CraftSPeed"",""%"",I241=""LifeSteal"",""%"",I241=""MaxInventoryWeight"",""+"",I241=""MoveSpeed"",""%"",REGEXMATCH(I241,""ElementAddItemDrop_""),""%"",I241=""Logging"","&amp;"""+"",I241=""Mining"",""+"",I241=""Maxhp"",""%"",REGEXMATCH(I241,""TemperatureResist_""),""+"",REGEXMATCH(I241,""ElementResist_""),""%"",REGEXMATCH(I241,""TemperatureInvalid_""),""bool"",REGEXMATCH(I241,""BodyPartsWeakDamage""),""%"",REGEXMATCH(I241,""Ele"&amp;"mentBoost_""),""%"",AND(REGEXMATCH(B241,""GiveA""),REGEXMATCH(I241,""Element"")),""bool"")"),"%")</f>
        <v>%</v>
      </c>
      <c r="K241" s="6" t="n">
        <v>20</v>
      </c>
      <c r="L241" s="6" t="s">
        <v>1956</v>
      </c>
      <c r="M241" s="6"/>
      <c r="N241" s="6" t="str">
        <f aca="false">IFERROR(__xludf.dummyfunction("IFS(M241=""ShotAttack"",""%"",M241=""MeleeAttack"",""%"", M241=""Defense"",""%"",M241=""CraftSPeed"",""%"",M241=""LifeSteal"",""%"",M241=""MaxInventoryWeight"",""+"",M241=""MoveSpeed"",""%"",REGEXMATCH(M241,""ElementAddItemDrop_""),""%"",M241=""Logging"","&amp;"""+"",M241=""Mining"",""+"",M241=""Maxhp"",""%"",REGEXMATCH(M241,""TemperatureResist_""),""+"",REGEXMATCH(M241,""ElementResist_""),""%"",REGEXMATCH(M241,""TemperatureInvalid_""),""bool"",REGEXMATCH(M241,""BodyPartsWeakDamage""),""%"",REGEXMATCH(M241,""Ele"&amp;"mentBoost_""),""%"",AND(REGEXMATCH(F241,""GiveA""),REGEXMATCH(M241,""Element"")),""bool"")"),"#N/A")</f>
        <v>#N/A</v>
      </c>
      <c r="O241" s="6" t="n">
        <v>0</v>
      </c>
      <c r="P241" s="6"/>
      <c r="Q241" s="6"/>
      <c r="R241" s="6" t="str">
        <f aca="false">IFERROR(__xludf.dummyfunction("IFS(Q241=""ShotAttack"",""%"",Q241=""MeleeAttack"",""%"", Q241=""Defense"",""%"",Q241=""CraftSPeed"",""%"",Q241=""LifeSteal"",""%"",Q241=""MaxInventoryWeight"",""+"",Q241=""MoveSpeed"",""%"",REGEXMATCH(Q241,""ElementAddItemDrop_""),""%"",Q241=""Logging"","&amp;"""+"",Q241=""Mining"",""+"",Q241=""Maxhp"",""%"",REGEXMATCH(Q241,""TemperatureResist_""),""+"",REGEXMATCH(Q241,""ElementResist_""),""%"",REGEXMATCH(Q241,""TemperatureInvalid_""),""bool"",REGEXMATCH(Q241,""BodyPartsWeakDamage""),""%"",REGEXMATCH(Q241,""Ele"&amp;"mentBoost_""),""%"",AND(REGEXMATCH(J241,""GiveA""),REGEXMATCH(Q241,""Element"")),""bool"")"),"#N/A")</f>
        <v>#N/A</v>
      </c>
      <c r="S241" s="6" t="n">
        <v>0</v>
      </c>
      <c r="T241" s="6"/>
      <c r="U241" s="319" t="b">
        <f aca="false">FALSE()</f>
        <v>0</v>
      </c>
      <c r="V241" s="319" t="b">
        <f aca="false">FALSE()</f>
        <v>0</v>
      </c>
      <c r="W241" s="319" t="b">
        <f aca="false">FALSE()</f>
        <v>0</v>
      </c>
      <c r="X241" s="319" t="b">
        <f aca="false">FALSE()</f>
        <v>0</v>
      </c>
      <c r="Y241" s="319" t="b">
        <f aca="false">FALSE()</f>
        <v>0</v>
      </c>
      <c r="Z241" s="319" t="b">
        <f aca="false">TRUE()</f>
        <v>1</v>
      </c>
      <c r="AA241" s="319" t="b">
        <f aca="false">FALSE()</f>
        <v>0</v>
      </c>
      <c r="AB241" s="319" t="b">
        <f aca="false">FALSE()</f>
        <v>0</v>
      </c>
      <c r="AC241" s="319" t="b">
        <f aca="false">FALSE()</f>
        <v>0</v>
      </c>
      <c r="AD241" s="319" t="b">
        <f aca="false">FALSE()</f>
        <v>0</v>
      </c>
      <c r="AE241" s="319" t="b">
        <f aca="false">FALSE()</f>
        <v>0</v>
      </c>
      <c r="AF241" s="319" t="b">
        <f aca="false">FALSE()</f>
        <v>0</v>
      </c>
      <c r="AG241" s="6" t="s">
        <v>182</v>
      </c>
      <c r="AH241" s="6" t="s">
        <v>182</v>
      </c>
    </row>
    <row r="242" customFormat="false" ht="15.75" hidden="false" customHeight="false" outlineLevel="0" collapsed="false">
      <c r="A242" s="1" t="e">
        <f aca="false">#N/A</f>
        <v>#N/A</v>
      </c>
      <c r="B242" s="6" t="s">
        <v>1151</v>
      </c>
      <c r="C242" s="3"/>
      <c r="D242" s="6" t="str">
        <f aca="false">I242   &amp; IF(ISBLANK(M242),, ". "&amp; M242 &amp; IF(ISBLANK(Q242),, ". "&amp; Q242))</f>
        <v>ElementAddItemDrop_Normal</v>
      </c>
      <c r="E242" s="6" t="str">
        <f aca="false">I242  &amp;": # on "&amp; L242  &amp; IF(ISBLANK(M242),, ". "&amp; M242 &amp;": # on "&amp; P242 &amp; IF(ISBLANK(Q242),, ". "&amp; Q242 &amp;": # on "&amp; T242))</f>
        <v>ElementAddItemDrop_Normal: # on SelfAndTrainer</v>
      </c>
      <c r="F242" s="6" t="str">
        <f aca="false">IF(U242,"active pal",)  &amp; IF(V242,"working",) &amp; IF(W242,"mounted",) &amp; IF(Y242,"in party (buff)",)  &amp; IF(Z242,"always",)</f>
        <v>active pal</v>
      </c>
      <c r="G242" s="6" t="n">
        <v>1</v>
      </c>
      <c r="H242" s="6" t="s">
        <v>182</v>
      </c>
      <c r="I242" s="6" t="s">
        <v>2317</v>
      </c>
      <c r="J242" s="6" t="str">
        <f aca="false">IFERROR(__xludf.dummyfunction("IFS(I242=""ShotAttack"",""%"",I242=""MeleeAttack"",""%"", I242=""Defense"",""%"",I242=""CraftSPeed"",""%"",I242=""LifeSteal"",""%"",I242=""MaxInventoryWeight"",""+"",I242=""MoveSpeed"",""%"",REGEXMATCH(I242,""ElementAddItemDrop_""),""%"",I242=""Logging"","&amp;"""+"",I242=""Mining"",""+"",I242=""Maxhp"",""%"",REGEXMATCH(I242,""TemperatureResist_""),""+"",REGEXMATCH(I242,""ElementResist_""),""%"",REGEXMATCH(I242,""TemperatureInvalid_""),""bool"",REGEXMATCH(I242,""BodyPartsWeakDamage""),""%"",REGEXMATCH(I242,""Ele"&amp;"mentBoost_""),""%"",AND(REGEXMATCH(B242,""GiveA""),REGEXMATCH(I242,""Element"")),""bool"")"),"%")</f>
        <v>%</v>
      </c>
      <c r="K242" s="6" t="n">
        <v>40</v>
      </c>
      <c r="L242" s="6" t="s">
        <v>2085</v>
      </c>
      <c r="M242" s="6"/>
      <c r="N242" s="6" t="str">
        <f aca="false">IFERROR(__xludf.dummyfunction("IFS(M242=""ShotAttack"",""%"",M242=""MeleeAttack"",""%"", M242=""Defense"",""%"",M242=""CraftSPeed"",""%"",M242=""LifeSteal"",""%"",M242=""MaxInventoryWeight"",""+"",M242=""MoveSpeed"",""%"",REGEXMATCH(M242,""ElementAddItemDrop_""),""%"",M242=""Logging"","&amp;"""+"",M242=""Mining"",""+"",M242=""Maxhp"",""%"",REGEXMATCH(M242,""TemperatureResist_""),""+"",REGEXMATCH(M242,""ElementResist_""),""%"",REGEXMATCH(M242,""TemperatureInvalid_""),""bool"",REGEXMATCH(M242,""BodyPartsWeakDamage""),""%"",REGEXMATCH(M242,""Ele"&amp;"mentBoost_""),""%"",AND(REGEXMATCH(F242,""GiveA""),REGEXMATCH(M242,""Element"")),""bool"")"),"#N/A")</f>
        <v>#N/A</v>
      </c>
      <c r="O242" s="6" t="n">
        <v>0</v>
      </c>
      <c r="P242" s="6"/>
      <c r="Q242" s="6"/>
      <c r="R242" s="6" t="str">
        <f aca="false">IFERROR(__xludf.dummyfunction("IFS(Q242=""ShotAttack"",""%"",Q242=""MeleeAttack"",""%"", Q242=""Defense"",""%"",Q242=""CraftSPeed"",""%"",Q242=""LifeSteal"",""%"",Q242=""MaxInventoryWeight"",""+"",Q242=""MoveSpeed"",""%"",REGEXMATCH(Q242,""ElementAddItemDrop_""),""%"",Q242=""Logging"","&amp;"""+"",Q242=""Mining"",""+"",Q242=""Maxhp"",""%"",REGEXMATCH(Q242,""TemperatureResist_""),""+"",REGEXMATCH(Q242,""ElementResist_""),""%"",REGEXMATCH(Q242,""TemperatureInvalid_""),""bool"",REGEXMATCH(Q242,""BodyPartsWeakDamage""),""%"",REGEXMATCH(Q242,""Ele"&amp;"mentBoost_""),""%"",AND(REGEXMATCH(J242,""GiveA""),REGEXMATCH(Q242,""Element"")),""bool"")"),"#N/A")</f>
        <v>#N/A</v>
      </c>
      <c r="S242" s="6" t="n">
        <v>0</v>
      </c>
      <c r="T242" s="6"/>
      <c r="U242" s="319" t="b">
        <f aca="false">TRUE()</f>
        <v>1</v>
      </c>
      <c r="V242" s="319" t="b">
        <f aca="false">FALSE()</f>
        <v>0</v>
      </c>
      <c r="W242" s="319" t="b">
        <f aca="false">FALSE()</f>
        <v>0</v>
      </c>
      <c r="X242" s="319" t="b">
        <f aca="false">FALSE()</f>
        <v>0</v>
      </c>
      <c r="Y242" s="319" t="b">
        <f aca="false">FALSE()</f>
        <v>0</v>
      </c>
      <c r="Z242" s="319" t="b">
        <f aca="false">FALSE()</f>
        <v>0</v>
      </c>
      <c r="AA242" s="319" t="b">
        <f aca="false">FALSE()</f>
        <v>0</v>
      </c>
      <c r="AB242" s="319" t="b">
        <f aca="false">FALSE()</f>
        <v>0</v>
      </c>
      <c r="AC242" s="319" t="b">
        <f aca="false">FALSE()</f>
        <v>0</v>
      </c>
      <c r="AD242" s="319" t="b">
        <f aca="false">FALSE()</f>
        <v>0</v>
      </c>
      <c r="AE242" s="319" t="b">
        <f aca="false">FALSE()</f>
        <v>0</v>
      </c>
      <c r="AF242" s="319" t="b">
        <f aca="false">FALSE()</f>
        <v>0</v>
      </c>
      <c r="AG242" s="6" t="s">
        <v>182</v>
      </c>
      <c r="AH242" s="6" t="s">
        <v>182</v>
      </c>
    </row>
    <row r="243" customFormat="false" ht="15.75" hidden="false" customHeight="false" outlineLevel="0" collapsed="false">
      <c r="A243" s="1" t="e">
        <f aca="false">#N/A</f>
        <v>#N/A</v>
      </c>
      <c r="B243" s="6" t="s">
        <v>921</v>
      </c>
      <c r="C243" s="3"/>
      <c r="D243" s="6" t="str">
        <f aca="false">I243   &amp; IF(ISBLANK(M243),, ". "&amp; M243 &amp; IF(ISBLANK(Q243),, ". "&amp; Q243))</f>
        <v>ElementAddItemDrop_Fire</v>
      </c>
      <c r="E243" s="6" t="str">
        <f aca="false">I243  &amp;": # on "&amp; L243  &amp; IF(ISBLANK(M243),, ". "&amp; M243 &amp;": # on "&amp; P243 &amp; IF(ISBLANK(Q243),, ". "&amp; Q243 &amp;": # on "&amp; T243))</f>
        <v>ElementAddItemDrop_Fire: # on SelfAndTrainer</v>
      </c>
      <c r="F243" s="6" t="str">
        <f aca="false">IF(U243,"active pal",)  &amp; IF(V243,"working",) &amp; IF(W243,"mounted",) &amp; IF(Y243,"in party (buff)",)  &amp; IF(Z243,"always",)</f>
        <v>active pal</v>
      </c>
      <c r="G243" s="6" t="n">
        <v>1</v>
      </c>
      <c r="H243" s="6" t="s">
        <v>182</v>
      </c>
      <c r="I243" s="6" t="s">
        <v>2318</v>
      </c>
      <c r="J243" s="6" t="str">
        <f aca="false">IFERROR(__xludf.dummyfunction("IFS(I243=""ShotAttack"",""%"",I243=""MeleeAttack"",""%"", I243=""Defense"",""%"",I243=""CraftSPeed"",""%"",I243=""LifeSteal"",""%"",I243=""MaxInventoryWeight"",""+"",I243=""MoveSpeed"",""%"",REGEXMATCH(I243,""ElementAddItemDrop_""),""%"",I243=""Logging"","&amp;"""+"",I243=""Mining"",""+"",I243=""Maxhp"",""%"",REGEXMATCH(I243,""TemperatureResist_""),""+"",REGEXMATCH(I243,""ElementResist_""),""%"",REGEXMATCH(I243,""TemperatureInvalid_""),""bool"",REGEXMATCH(I243,""BodyPartsWeakDamage""),""%"",REGEXMATCH(I243,""Ele"&amp;"mentBoost_""),""%"",AND(REGEXMATCH(B243,""GiveA""),REGEXMATCH(I243,""Element"")),""bool"")"),"%")</f>
        <v>%</v>
      </c>
      <c r="K243" s="6" t="n">
        <v>40</v>
      </c>
      <c r="L243" s="6" t="s">
        <v>2085</v>
      </c>
      <c r="M243" s="6"/>
      <c r="N243" s="6" t="str">
        <f aca="false">IFERROR(__xludf.dummyfunction("IFS(M243=""ShotAttack"",""%"",M243=""MeleeAttack"",""%"", M243=""Defense"",""%"",M243=""CraftSPeed"",""%"",M243=""LifeSteal"",""%"",M243=""MaxInventoryWeight"",""+"",M243=""MoveSpeed"",""%"",REGEXMATCH(M243,""ElementAddItemDrop_""),""%"",M243=""Logging"","&amp;"""+"",M243=""Mining"",""+"",M243=""Maxhp"",""%"",REGEXMATCH(M243,""TemperatureResist_""),""+"",REGEXMATCH(M243,""ElementResist_""),""%"",REGEXMATCH(M243,""TemperatureInvalid_""),""bool"",REGEXMATCH(M243,""BodyPartsWeakDamage""),""%"",REGEXMATCH(M243,""Ele"&amp;"mentBoost_""),""%"",AND(REGEXMATCH(F243,""GiveA""),REGEXMATCH(M243,""Element"")),""bool"")"),"#N/A")</f>
        <v>#N/A</v>
      </c>
      <c r="O243" s="6" t="n">
        <v>0</v>
      </c>
      <c r="P243" s="6"/>
      <c r="Q243" s="6"/>
      <c r="R243" s="6" t="str">
        <f aca="false">IFERROR(__xludf.dummyfunction("IFS(Q243=""ShotAttack"",""%"",Q243=""MeleeAttack"",""%"", Q243=""Defense"",""%"",Q243=""CraftSPeed"",""%"",Q243=""LifeSteal"",""%"",Q243=""MaxInventoryWeight"",""+"",Q243=""MoveSpeed"",""%"",REGEXMATCH(Q243,""ElementAddItemDrop_""),""%"",Q243=""Logging"","&amp;"""+"",Q243=""Mining"",""+"",Q243=""Maxhp"",""%"",REGEXMATCH(Q243,""TemperatureResist_""),""+"",REGEXMATCH(Q243,""ElementResist_""),""%"",REGEXMATCH(Q243,""TemperatureInvalid_""),""bool"",REGEXMATCH(Q243,""BodyPartsWeakDamage""),""%"",REGEXMATCH(Q243,""Ele"&amp;"mentBoost_""),""%"",AND(REGEXMATCH(J243,""GiveA""),REGEXMATCH(Q243,""Element"")),""bool"")"),"#N/A")</f>
        <v>#N/A</v>
      </c>
      <c r="S243" s="6" t="n">
        <v>0</v>
      </c>
      <c r="T243" s="6"/>
      <c r="U243" s="319" t="b">
        <f aca="false">TRUE()</f>
        <v>1</v>
      </c>
      <c r="V243" s="319" t="b">
        <f aca="false">FALSE()</f>
        <v>0</v>
      </c>
      <c r="W243" s="319" t="b">
        <f aca="false">FALSE()</f>
        <v>0</v>
      </c>
      <c r="X243" s="319" t="b">
        <f aca="false">FALSE()</f>
        <v>0</v>
      </c>
      <c r="Y243" s="319" t="b">
        <f aca="false">FALSE()</f>
        <v>0</v>
      </c>
      <c r="Z243" s="319" t="b">
        <f aca="false">FALSE()</f>
        <v>0</v>
      </c>
      <c r="AA243" s="319" t="b">
        <f aca="false">FALSE()</f>
        <v>0</v>
      </c>
      <c r="AB243" s="319" t="b">
        <f aca="false">FALSE()</f>
        <v>0</v>
      </c>
      <c r="AC243" s="319" t="b">
        <f aca="false">FALSE()</f>
        <v>0</v>
      </c>
      <c r="AD243" s="319" t="b">
        <f aca="false">FALSE()</f>
        <v>0</v>
      </c>
      <c r="AE243" s="319" t="b">
        <f aca="false">FALSE()</f>
        <v>0</v>
      </c>
      <c r="AF243" s="319" t="b">
        <f aca="false">FALSE()</f>
        <v>0</v>
      </c>
      <c r="AG243" s="6" t="s">
        <v>182</v>
      </c>
      <c r="AH243" s="6" t="s">
        <v>182</v>
      </c>
    </row>
    <row r="244" customFormat="false" ht="15.75" hidden="false" customHeight="false" outlineLevel="0" collapsed="false">
      <c r="A244" s="1" t="e">
        <f aca="false">#N/A</f>
        <v>#N/A</v>
      </c>
      <c r="B244" s="6" t="s">
        <v>1231</v>
      </c>
      <c r="C244" s="3"/>
      <c r="D244" s="6" t="str">
        <f aca="false">I244   &amp; IF(ISBLANK(M244),, ". "&amp; M244 &amp; IF(ISBLANK(Q244),, ". "&amp; Q244))</f>
        <v>ElementAddItemDrop_Water</v>
      </c>
      <c r="E244" s="6" t="str">
        <f aca="false">I244  &amp;": # on "&amp; L244  &amp; IF(ISBLANK(M244),, ". "&amp; M244 &amp;": # on "&amp; P244 &amp; IF(ISBLANK(Q244),, ". "&amp; Q244 &amp;": # on "&amp; T244))</f>
        <v>ElementAddItemDrop_Water: # on SelfAndTrainer</v>
      </c>
      <c r="F244" s="6" t="str">
        <f aca="false">IF(U244,"active pal",)  &amp; IF(V244,"working",) &amp; IF(W244,"mounted",) &amp; IF(Y244,"in party (buff)",)  &amp; IF(Z244,"always",)</f>
        <v>active pal</v>
      </c>
      <c r="G244" s="6" t="n">
        <v>1</v>
      </c>
      <c r="H244" s="6" t="s">
        <v>182</v>
      </c>
      <c r="I244" s="6" t="s">
        <v>2319</v>
      </c>
      <c r="J244" s="6" t="str">
        <f aca="false">IFERROR(__xludf.dummyfunction("IFS(I244=""ShotAttack"",""%"",I244=""MeleeAttack"",""%"", I244=""Defense"",""%"",I244=""CraftSPeed"",""%"",I244=""LifeSteal"",""%"",I244=""MaxInventoryWeight"",""+"",I244=""MoveSpeed"",""%"",REGEXMATCH(I244,""ElementAddItemDrop_""),""%"",I244=""Logging"","&amp;"""+"",I244=""Mining"",""+"",I244=""Maxhp"",""%"",REGEXMATCH(I244,""TemperatureResist_""),""+"",REGEXMATCH(I244,""ElementResist_""),""%"",REGEXMATCH(I244,""TemperatureInvalid_""),""bool"",REGEXMATCH(I244,""BodyPartsWeakDamage""),""%"",REGEXMATCH(I244,""Ele"&amp;"mentBoost_""),""%"",AND(REGEXMATCH(B244,""GiveA""),REGEXMATCH(I244,""Element"")),""bool"")"),"%")</f>
        <v>%</v>
      </c>
      <c r="K244" s="6" t="n">
        <v>40</v>
      </c>
      <c r="L244" s="6" t="s">
        <v>2085</v>
      </c>
      <c r="M244" s="6"/>
      <c r="N244" s="6" t="str">
        <f aca="false">IFERROR(__xludf.dummyfunction("IFS(M244=""ShotAttack"",""%"",M244=""MeleeAttack"",""%"", M244=""Defense"",""%"",M244=""CraftSPeed"",""%"",M244=""LifeSteal"",""%"",M244=""MaxInventoryWeight"",""+"",M244=""MoveSpeed"",""%"",REGEXMATCH(M244,""ElementAddItemDrop_""),""%"",M244=""Logging"","&amp;"""+"",M244=""Mining"",""+"",M244=""Maxhp"",""%"",REGEXMATCH(M244,""TemperatureResist_""),""+"",REGEXMATCH(M244,""ElementResist_""),""%"",REGEXMATCH(M244,""TemperatureInvalid_""),""bool"",REGEXMATCH(M244,""BodyPartsWeakDamage""),""%"",REGEXMATCH(M244,""Ele"&amp;"mentBoost_""),""%"",AND(REGEXMATCH(F244,""GiveA""),REGEXMATCH(M244,""Element"")),""bool"")"),"#N/A")</f>
        <v>#N/A</v>
      </c>
      <c r="O244" s="6" t="n">
        <v>0</v>
      </c>
      <c r="P244" s="6"/>
      <c r="Q244" s="6"/>
      <c r="R244" s="6" t="str">
        <f aca="false">IFERROR(__xludf.dummyfunction("IFS(Q244=""ShotAttack"",""%"",Q244=""MeleeAttack"",""%"", Q244=""Defense"",""%"",Q244=""CraftSPeed"",""%"",Q244=""LifeSteal"",""%"",Q244=""MaxInventoryWeight"",""+"",Q244=""MoveSpeed"",""%"",REGEXMATCH(Q244,""ElementAddItemDrop_""),""%"",Q244=""Logging"","&amp;"""+"",Q244=""Mining"",""+"",Q244=""Maxhp"",""%"",REGEXMATCH(Q244,""TemperatureResist_""),""+"",REGEXMATCH(Q244,""ElementResist_""),""%"",REGEXMATCH(Q244,""TemperatureInvalid_""),""bool"",REGEXMATCH(Q244,""BodyPartsWeakDamage""),""%"",REGEXMATCH(Q244,""Ele"&amp;"mentBoost_""),""%"",AND(REGEXMATCH(J244,""GiveA""),REGEXMATCH(Q244,""Element"")),""bool"")"),"#N/A")</f>
        <v>#N/A</v>
      </c>
      <c r="S244" s="6" t="n">
        <v>0</v>
      </c>
      <c r="T244" s="6"/>
      <c r="U244" s="319" t="b">
        <f aca="false">TRUE()</f>
        <v>1</v>
      </c>
      <c r="V244" s="319" t="b">
        <f aca="false">FALSE()</f>
        <v>0</v>
      </c>
      <c r="W244" s="319" t="b">
        <f aca="false">FALSE()</f>
        <v>0</v>
      </c>
      <c r="X244" s="319" t="b">
        <f aca="false">FALSE()</f>
        <v>0</v>
      </c>
      <c r="Y244" s="319" t="b">
        <f aca="false">FALSE()</f>
        <v>0</v>
      </c>
      <c r="Z244" s="319" t="b">
        <f aca="false">FALSE()</f>
        <v>0</v>
      </c>
      <c r="AA244" s="319" t="b">
        <f aca="false">FALSE()</f>
        <v>0</v>
      </c>
      <c r="AB244" s="319" t="b">
        <f aca="false">FALSE()</f>
        <v>0</v>
      </c>
      <c r="AC244" s="319" t="b">
        <f aca="false">FALSE()</f>
        <v>0</v>
      </c>
      <c r="AD244" s="319" t="b">
        <f aca="false">FALSE()</f>
        <v>0</v>
      </c>
      <c r="AE244" s="319" t="b">
        <f aca="false">FALSE()</f>
        <v>0</v>
      </c>
      <c r="AF244" s="319" t="b">
        <f aca="false">FALSE()</f>
        <v>0</v>
      </c>
      <c r="AG244" s="6" t="s">
        <v>182</v>
      </c>
      <c r="AH244" s="6" t="s">
        <v>182</v>
      </c>
    </row>
    <row r="245" customFormat="false" ht="15.75" hidden="false" customHeight="false" outlineLevel="0" collapsed="false">
      <c r="A245" s="1" t="e">
        <f aca="false">#N/A</f>
        <v>#N/A</v>
      </c>
      <c r="B245" s="6" t="s">
        <v>1225</v>
      </c>
      <c r="C245" s="3"/>
      <c r="D245" s="6" t="str">
        <f aca="false">I245   &amp; IF(ISBLANK(M245),, ". "&amp; M245 &amp; IF(ISBLANK(Q245),, ". "&amp; Q245))</f>
        <v>ElementAddItemDrop_Electricity</v>
      </c>
      <c r="E245" s="6" t="str">
        <f aca="false">I245  &amp;": # on "&amp; L245  &amp; IF(ISBLANK(M245),, ". "&amp; M245 &amp;": # on "&amp; P245 &amp; IF(ISBLANK(Q245),, ". "&amp; Q245 &amp;": # on "&amp; T245))</f>
        <v>ElementAddItemDrop_Electricity: # on SelfAndTrainer</v>
      </c>
      <c r="F245" s="6" t="str">
        <f aca="false">IF(U245,"active pal",)  &amp; IF(V245,"working",) &amp; IF(W245,"mounted",) &amp; IF(Y245,"in party (buff)",)  &amp; IF(Z245,"always",)</f>
        <v>active pal</v>
      </c>
      <c r="G245" s="6" t="n">
        <v>1</v>
      </c>
      <c r="H245" s="6" t="s">
        <v>182</v>
      </c>
      <c r="I245" s="6" t="s">
        <v>2320</v>
      </c>
      <c r="J245" s="6" t="str">
        <f aca="false">IFERROR(__xludf.dummyfunction("IFS(I245=""ShotAttack"",""%"",I245=""MeleeAttack"",""%"", I245=""Defense"",""%"",I245=""CraftSPeed"",""%"",I245=""LifeSteal"",""%"",I245=""MaxInventoryWeight"",""+"",I245=""MoveSpeed"",""%"",REGEXMATCH(I245,""ElementAddItemDrop_""),""%"",I245=""Logging"","&amp;"""+"",I245=""Mining"",""+"",I245=""Maxhp"",""%"",REGEXMATCH(I245,""TemperatureResist_""),""+"",REGEXMATCH(I245,""ElementResist_""),""%"",REGEXMATCH(I245,""TemperatureInvalid_""),""bool"",REGEXMATCH(I245,""BodyPartsWeakDamage""),""%"",REGEXMATCH(I245,""Ele"&amp;"mentBoost_""),""%"",AND(REGEXMATCH(B245,""GiveA""),REGEXMATCH(I245,""Element"")),""bool"")"),"%")</f>
        <v>%</v>
      </c>
      <c r="K245" s="6" t="n">
        <v>40</v>
      </c>
      <c r="L245" s="6" t="s">
        <v>2085</v>
      </c>
      <c r="M245" s="6"/>
      <c r="N245" s="6" t="str">
        <f aca="false">IFERROR(__xludf.dummyfunction("IFS(M245=""ShotAttack"",""%"",M245=""MeleeAttack"",""%"", M245=""Defense"",""%"",M245=""CraftSPeed"",""%"",M245=""LifeSteal"",""%"",M245=""MaxInventoryWeight"",""+"",M245=""MoveSpeed"",""%"",REGEXMATCH(M245,""ElementAddItemDrop_""),""%"",M245=""Logging"","&amp;"""+"",M245=""Mining"",""+"",M245=""Maxhp"",""%"",REGEXMATCH(M245,""TemperatureResist_""),""+"",REGEXMATCH(M245,""ElementResist_""),""%"",REGEXMATCH(M245,""TemperatureInvalid_""),""bool"",REGEXMATCH(M245,""BodyPartsWeakDamage""),""%"",REGEXMATCH(M245,""Ele"&amp;"mentBoost_""),""%"",AND(REGEXMATCH(F245,""GiveA""),REGEXMATCH(M245,""Element"")),""bool"")"),"#N/A")</f>
        <v>#N/A</v>
      </c>
      <c r="O245" s="6" t="n">
        <v>0</v>
      </c>
      <c r="P245" s="6"/>
      <c r="Q245" s="6"/>
      <c r="R245" s="6" t="str">
        <f aca="false">IFERROR(__xludf.dummyfunction("IFS(Q245=""ShotAttack"",""%"",Q245=""MeleeAttack"",""%"", Q245=""Defense"",""%"",Q245=""CraftSPeed"",""%"",Q245=""LifeSteal"",""%"",Q245=""MaxInventoryWeight"",""+"",Q245=""MoveSpeed"",""%"",REGEXMATCH(Q245,""ElementAddItemDrop_""),""%"",Q245=""Logging"","&amp;"""+"",Q245=""Mining"",""+"",Q245=""Maxhp"",""%"",REGEXMATCH(Q245,""TemperatureResist_""),""+"",REGEXMATCH(Q245,""ElementResist_""),""%"",REGEXMATCH(Q245,""TemperatureInvalid_""),""bool"",REGEXMATCH(Q245,""BodyPartsWeakDamage""),""%"",REGEXMATCH(Q245,""Ele"&amp;"mentBoost_""),""%"",AND(REGEXMATCH(J245,""GiveA""),REGEXMATCH(Q245,""Element"")),""bool"")"),"#N/A")</f>
        <v>#N/A</v>
      </c>
      <c r="S245" s="6" t="n">
        <v>0</v>
      </c>
      <c r="T245" s="6"/>
      <c r="U245" s="319" t="b">
        <f aca="false">TRUE()</f>
        <v>1</v>
      </c>
      <c r="V245" s="319" t="b">
        <f aca="false">FALSE()</f>
        <v>0</v>
      </c>
      <c r="W245" s="319" t="b">
        <f aca="false">FALSE()</f>
        <v>0</v>
      </c>
      <c r="X245" s="319" t="b">
        <f aca="false">FALSE()</f>
        <v>0</v>
      </c>
      <c r="Y245" s="319" t="b">
        <f aca="false">FALSE()</f>
        <v>0</v>
      </c>
      <c r="Z245" s="319" t="b">
        <f aca="false">FALSE()</f>
        <v>0</v>
      </c>
      <c r="AA245" s="319" t="b">
        <f aca="false">FALSE()</f>
        <v>0</v>
      </c>
      <c r="AB245" s="319" t="b">
        <f aca="false">FALSE()</f>
        <v>0</v>
      </c>
      <c r="AC245" s="319" t="b">
        <f aca="false">FALSE()</f>
        <v>0</v>
      </c>
      <c r="AD245" s="319" t="b">
        <f aca="false">FALSE()</f>
        <v>0</v>
      </c>
      <c r="AE245" s="319" t="b">
        <f aca="false">FALSE()</f>
        <v>0</v>
      </c>
      <c r="AF245" s="319" t="b">
        <f aca="false">FALSE()</f>
        <v>0</v>
      </c>
      <c r="AG245" s="6" t="s">
        <v>182</v>
      </c>
      <c r="AH245" s="6" t="s">
        <v>182</v>
      </c>
    </row>
    <row r="246" customFormat="false" ht="15.75" hidden="false" customHeight="false" outlineLevel="0" collapsed="false">
      <c r="A246" s="1" t="e">
        <f aca="false">#N/A</f>
        <v>#N/A</v>
      </c>
      <c r="B246" s="6" t="s">
        <v>1145</v>
      </c>
      <c r="C246" s="3"/>
      <c r="D246" s="6" t="str">
        <f aca="false">I246   &amp; IF(ISBLANK(M246),, ". "&amp; M246 &amp; IF(ISBLANK(Q246),, ". "&amp; Q246))</f>
        <v>ElementAddItemDrop_Leaf</v>
      </c>
      <c r="E246" s="6" t="str">
        <f aca="false">I246  &amp;": # on "&amp; L246  &amp; IF(ISBLANK(M246),, ". "&amp; M246 &amp;": # on "&amp; P246 &amp; IF(ISBLANK(Q246),, ". "&amp; Q246 &amp;": # on "&amp; T246))</f>
        <v>ElementAddItemDrop_Leaf: # on SelfAndTrainer</v>
      </c>
      <c r="F246" s="6" t="str">
        <f aca="false">IF(U246,"active pal",)  &amp; IF(V246,"working",) &amp; IF(W246,"mounted",) &amp; IF(Y246,"in party (buff)",)  &amp; IF(Z246,"always",)</f>
        <v>active pal</v>
      </c>
      <c r="G246" s="6" t="n">
        <v>1</v>
      </c>
      <c r="H246" s="6" t="s">
        <v>182</v>
      </c>
      <c r="I246" s="6" t="s">
        <v>2321</v>
      </c>
      <c r="J246" s="6" t="str">
        <f aca="false">IFERROR(__xludf.dummyfunction("IFS(I246=""ShotAttack"",""%"",I246=""MeleeAttack"",""%"", I246=""Defense"",""%"",I246=""CraftSPeed"",""%"",I246=""LifeSteal"",""%"",I246=""MaxInventoryWeight"",""+"",I246=""MoveSpeed"",""%"",REGEXMATCH(I246,""ElementAddItemDrop_""),""%"",I246=""Logging"","&amp;"""+"",I246=""Mining"",""+"",I246=""Maxhp"",""%"",REGEXMATCH(I246,""TemperatureResist_""),""+"",REGEXMATCH(I246,""ElementResist_""),""%"",REGEXMATCH(I246,""TemperatureInvalid_""),""bool"",REGEXMATCH(I246,""BodyPartsWeakDamage""),""%"",REGEXMATCH(I246,""Ele"&amp;"mentBoost_""),""%"",AND(REGEXMATCH(B246,""GiveA""),REGEXMATCH(I246,""Element"")),""bool"")"),"%")</f>
        <v>%</v>
      </c>
      <c r="K246" s="6" t="n">
        <v>40</v>
      </c>
      <c r="L246" s="6" t="s">
        <v>2085</v>
      </c>
      <c r="M246" s="6"/>
      <c r="N246" s="6" t="str">
        <f aca="false">IFERROR(__xludf.dummyfunction("IFS(M246=""ShotAttack"",""%"",M246=""MeleeAttack"",""%"", M246=""Defense"",""%"",M246=""CraftSPeed"",""%"",M246=""LifeSteal"",""%"",M246=""MaxInventoryWeight"",""+"",M246=""MoveSpeed"",""%"",REGEXMATCH(M246,""ElementAddItemDrop_""),""%"",M246=""Logging"","&amp;"""+"",M246=""Mining"",""+"",M246=""Maxhp"",""%"",REGEXMATCH(M246,""TemperatureResist_""),""+"",REGEXMATCH(M246,""ElementResist_""),""%"",REGEXMATCH(M246,""TemperatureInvalid_""),""bool"",REGEXMATCH(M246,""BodyPartsWeakDamage""),""%"",REGEXMATCH(M246,""Ele"&amp;"mentBoost_""),""%"",AND(REGEXMATCH(F246,""GiveA""),REGEXMATCH(M246,""Element"")),""bool"")"),"#N/A")</f>
        <v>#N/A</v>
      </c>
      <c r="O246" s="6" t="n">
        <v>0</v>
      </c>
      <c r="P246" s="6"/>
      <c r="Q246" s="6"/>
      <c r="R246" s="6" t="str">
        <f aca="false">IFERROR(__xludf.dummyfunction("IFS(Q246=""ShotAttack"",""%"",Q246=""MeleeAttack"",""%"", Q246=""Defense"",""%"",Q246=""CraftSPeed"",""%"",Q246=""LifeSteal"",""%"",Q246=""MaxInventoryWeight"",""+"",Q246=""MoveSpeed"",""%"",REGEXMATCH(Q246,""ElementAddItemDrop_""),""%"",Q246=""Logging"","&amp;"""+"",Q246=""Mining"",""+"",Q246=""Maxhp"",""%"",REGEXMATCH(Q246,""TemperatureResist_""),""+"",REGEXMATCH(Q246,""ElementResist_""),""%"",REGEXMATCH(Q246,""TemperatureInvalid_""),""bool"",REGEXMATCH(Q246,""BodyPartsWeakDamage""),""%"",REGEXMATCH(Q246,""Ele"&amp;"mentBoost_""),""%"",AND(REGEXMATCH(J246,""GiveA""),REGEXMATCH(Q246,""Element"")),""bool"")"),"#N/A")</f>
        <v>#N/A</v>
      </c>
      <c r="S246" s="6" t="n">
        <v>0</v>
      </c>
      <c r="T246" s="6"/>
      <c r="U246" s="319" t="b">
        <f aca="false">TRUE()</f>
        <v>1</v>
      </c>
      <c r="V246" s="319" t="b">
        <f aca="false">FALSE()</f>
        <v>0</v>
      </c>
      <c r="W246" s="319" t="b">
        <f aca="false">FALSE()</f>
        <v>0</v>
      </c>
      <c r="X246" s="319" t="b">
        <f aca="false">FALSE()</f>
        <v>0</v>
      </c>
      <c r="Y246" s="319" t="b">
        <f aca="false">FALSE()</f>
        <v>0</v>
      </c>
      <c r="Z246" s="319" t="b">
        <f aca="false">FALSE()</f>
        <v>0</v>
      </c>
      <c r="AA246" s="319" t="b">
        <f aca="false">FALSE()</f>
        <v>0</v>
      </c>
      <c r="AB246" s="319" t="b">
        <f aca="false">FALSE()</f>
        <v>0</v>
      </c>
      <c r="AC246" s="319" t="b">
        <f aca="false">FALSE()</f>
        <v>0</v>
      </c>
      <c r="AD246" s="319" t="b">
        <f aca="false">FALSE()</f>
        <v>0</v>
      </c>
      <c r="AE246" s="319" t="b">
        <f aca="false">FALSE()</f>
        <v>0</v>
      </c>
      <c r="AF246" s="319" t="b">
        <f aca="false">FALSE()</f>
        <v>0</v>
      </c>
      <c r="AG246" s="6" t="s">
        <v>182</v>
      </c>
      <c r="AH246" s="6" t="s">
        <v>182</v>
      </c>
    </row>
    <row r="247" customFormat="false" ht="15.75" hidden="false" customHeight="false" outlineLevel="0" collapsed="false">
      <c r="A247" s="1" t="e">
        <f aca="false">#N/A</f>
        <v>#N/A</v>
      </c>
      <c r="B247" s="6" t="s">
        <v>1034</v>
      </c>
      <c r="C247" s="3"/>
      <c r="D247" s="6" t="str">
        <f aca="false">I247   &amp; IF(ISBLANK(M247),, ". "&amp; M247 &amp; IF(ISBLANK(Q247),, ". "&amp; Q247))</f>
        <v>ElementAddItemDrop_Ice</v>
      </c>
      <c r="E247" s="6" t="str">
        <f aca="false">I247  &amp;": # on "&amp; L247  &amp; IF(ISBLANK(M247),, ". "&amp; M247 &amp;": # on "&amp; P247 &amp; IF(ISBLANK(Q247),, ". "&amp; Q247 &amp;": # on "&amp; T247))</f>
        <v>ElementAddItemDrop_Ice: # on SelfAndTrainer</v>
      </c>
      <c r="F247" s="6" t="str">
        <f aca="false">IF(U247,"active pal",)  &amp; IF(V247,"working",) &amp; IF(W247,"mounted",) &amp; IF(Y247,"in party (buff)",)  &amp; IF(Z247,"always",)</f>
        <v>active pal</v>
      </c>
      <c r="G247" s="6" t="n">
        <v>1</v>
      </c>
      <c r="H247" s="6" t="s">
        <v>182</v>
      </c>
      <c r="I247" s="6" t="s">
        <v>2322</v>
      </c>
      <c r="J247" s="6" t="str">
        <f aca="false">IFERROR(__xludf.dummyfunction("IFS(I247=""ShotAttack"",""%"",I247=""MeleeAttack"",""%"", I247=""Defense"",""%"",I247=""CraftSPeed"",""%"",I247=""LifeSteal"",""%"",I247=""MaxInventoryWeight"",""+"",I247=""MoveSpeed"",""%"",REGEXMATCH(I247,""ElementAddItemDrop_""),""%"",I247=""Logging"","&amp;"""+"",I247=""Mining"",""+"",I247=""Maxhp"",""%"",REGEXMATCH(I247,""TemperatureResist_""),""+"",REGEXMATCH(I247,""ElementResist_""),""%"",REGEXMATCH(I247,""TemperatureInvalid_""),""bool"",REGEXMATCH(I247,""BodyPartsWeakDamage""),""%"",REGEXMATCH(I247,""Ele"&amp;"mentBoost_""),""%"",AND(REGEXMATCH(B247,""GiveA""),REGEXMATCH(I247,""Element"")),""bool"")"),"%")</f>
        <v>%</v>
      </c>
      <c r="K247" s="6" t="n">
        <v>40</v>
      </c>
      <c r="L247" s="6" t="s">
        <v>2085</v>
      </c>
      <c r="M247" s="6"/>
      <c r="N247" s="6" t="str">
        <f aca="false">IFERROR(__xludf.dummyfunction("IFS(M247=""ShotAttack"",""%"",M247=""MeleeAttack"",""%"", M247=""Defense"",""%"",M247=""CraftSPeed"",""%"",M247=""LifeSteal"",""%"",M247=""MaxInventoryWeight"",""+"",M247=""MoveSpeed"",""%"",REGEXMATCH(M247,""ElementAddItemDrop_""),""%"",M247=""Logging"","&amp;"""+"",M247=""Mining"",""+"",M247=""Maxhp"",""%"",REGEXMATCH(M247,""TemperatureResist_""),""+"",REGEXMATCH(M247,""ElementResist_""),""%"",REGEXMATCH(M247,""TemperatureInvalid_""),""bool"",REGEXMATCH(M247,""BodyPartsWeakDamage""),""%"",REGEXMATCH(M247,""Ele"&amp;"mentBoost_""),""%"",AND(REGEXMATCH(F247,""GiveA""),REGEXMATCH(M247,""Element"")),""bool"")"),"#N/A")</f>
        <v>#N/A</v>
      </c>
      <c r="O247" s="6" t="n">
        <v>0</v>
      </c>
      <c r="P247" s="6"/>
      <c r="Q247" s="6"/>
      <c r="R247" s="6" t="str">
        <f aca="false">IFERROR(__xludf.dummyfunction("IFS(Q247=""ShotAttack"",""%"",Q247=""MeleeAttack"",""%"", Q247=""Defense"",""%"",Q247=""CraftSPeed"",""%"",Q247=""LifeSteal"",""%"",Q247=""MaxInventoryWeight"",""+"",Q247=""MoveSpeed"",""%"",REGEXMATCH(Q247,""ElementAddItemDrop_""),""%"",Q247=""Logging"","&amp;"""+"",Q247=""Mining"",""+"",Q247=""Maxhp"",""%"",REGEXMATCH(Q247,""TemperatureResist_""),""+"",REGEXMATCH(Q247,""ElementResist_""),""%"",REGEXMATCH(Q247,""TemperatureInvalid_""),""bool"",REGEXMATCH(Q247,""BodyPartsWeakDamage""),""%"",REGEXMATCH(Q247,""Ele"&amp;"mentBoost_""),""%"",AND(REGEXMATCH(J247,""GiveA""),REGEXMATCH(Q247,""Element"")),""bool"")"),"#N/A")</f>
        <v>#N/A</v>
      </c>
      <c r="S247" s="6" t="n">
        <v>0</v>
      </c>
      <c r="T247" s="6"/>
      <c r="U247" s="319" t="b">
        <f aca="false">TRUE()</f>
        <v>1</v>
      </c>
      <c r="V247" s="319" t="b">
        <f aca="false">FALSE()</f>
        <v>0</v>
      </c>
      <c r="W247" s="319" t="b">
        <f aca="false">FALSE()</f>
        <v>0</v>
      </c>
      <c r="X247" s="319" t="b">
        <f aca="false">FALSE()</f>
        <v>0</v>
      </c>
      <c r="Y247" s="319" t="b">
        <f aca="false">FALSE()</f>
        <v>0</v>
      </c>
      <c r="Z247" s="319" t="b">
        <f aca="false">FALSE()</f>
        <v>0</v>
      </c>
      <c r="AA247" s="319" t="b">
        <f aca="false">FALSE()</f>
        <v>0</v>
      </c>
      <c r="AB247" s="319" t="b">
        <f aca="false">FALSE()</f>
        <v>0</v>
      </c>
      <c r="AC247" s="319" t="b">
        <f aca="false">FALSE()</f>
        <v>0</v>
      </c>
      <c r="AD247" s="319" t="b">
        <f aca="false">FALSE()</f>
        <v>0</v>
      </c>
      <c r="AE247" s="319" t="b">
        <f aca="false">FALSE()</f>
        <v>0</v>
      </c>
      <c r="AF247" s="319" t="b">
        <f aca="false">FALSE()</f>
        <v>0</v>
      </c>
      <c r="AG247" s="6" t="s">
        <v>182</v>
      </c>
      <c r="AH247" s="6" t="s">
        <v>182</v>
      </c>
    </row>
    <row r="248" customFormat="false" ht="15.75" hidden="false" customHeight="false" outlineLevel="0" collapsed="false">
      <c r="A248" s="1" t="e">
        <f aca="false">#N/A</f>
        <v>#N/A</v>
      </c>
      <c r="B248" s="6" t="s">
        <v>1088</v>
      </c>
      <c r="C248" s="3"/>
      <c r="D248" s="6" t="str">
        <f aca="false">I248   &amp; IF(ISBLANK(M248),, ". "&amp; M248 &amp; IF(ISBLANK(Q248),, ". "&amp; Q248))</f>
        <v>ElementAddItemDrop_Earth</v>
      </c>
      <c r="E248" s="6" t="str">
        <f aca="false">I248  &amp;": # on "&amp; L248  &amp; IF(ISBLANK(M248),, ". "&amp; M248 &amp;": # on "&amp; P248 &amp; IF(ISBLANK(Q248),, ". "&amp; Q248 &amp;": # on "&amp; T248))</f>
        <v>ElementAddItemDrop_Earth: # on SelfAndTrainer</v>
      </c>
      <c r="F248" s="6" t="str">
        <f aca="false">IF(U248,"active pal",)  &amp; IF(V248,"working",) &amp; IF(W248,"mounted",) &amp; IF(Y248,"in party (buff)",)  &amp; IF(Z248,"always",)</f>
        <v>active pal</v>
      </c>
      <c r="G248" s="6" t="n">
        <v>1</v>
      </c>
      <c r="H248" s="6" t="s">
        <v>182</v>
      </c>
      <c r="I248" s="6" t="s">
        <v>2323</v>
      </c>
      <c r="J248" s="6" t="str">
        <f aca="false">IFERROR(__xludf.dummyfunction("IFS(I248=""ShotAttack"",""%"",I248=""MeleeAttack"",""%"", I248=""Defense"",""%"",I248=""CraftSPeed"",""%"",I248=""LifeSteal"",""%"",I248=""MaxInventoryWeight"",""+"",I248=""MoveSpeed"",""%"",REGEXMATCH(I248,""ElementAddItemDrop_""),""%"",I248=""Logging"","&amp;"""+"",I248=""Mining"",""+"",I248=""Maxhp"",""%"",REGEXMATCH(I248,""TemperatureResist_""),""+"",REGEXMATCH(I248,""ElementResist_""),""%"",REGEXMATCH(I248,""TemperatureInvalid_""),""bool"",REGEXMATCH(I248,""BodyPartsWeakDamage""),""%"",REGEXMATCH(I248,""Ele"&amp;"mentBoost_""),""%"",AND(REGEXMATCH(B248,""GiveA""),REGEXMATCH(I248,""Element"")),""bool"")"),"%")</f>
        <v>%</v>
      </c>
      <c r="K248" s="6" t="n">
        <v>40</v>
      </c>
      <c r="L248" s="6" t="s">
        <v>2085</v>
      </c>
      <c r="M248" s="6"/>
      <c r="N248" s="6" t="str">
        <f aca="false">IFERROR(__xludf.dummyfunction("IFS(M248=""ShotAttack"",""%"",M248=""MeleeAttack"",""%"", M248=""Defense"",""%"",M248=""CraftSPeed"",""%"",M248=""LifeSteal"",""%"",M248=""MaxInventoryWeight"",""+"",M248=""MoveSpeed"",""%"",REGEXMATCH(M248,""ElementAddItemDrop_""),""%"",M248=""Logging"","&amp;"""+"",M248=""Mining"",""+"",M248=""Maxhp"",""%"",REGEXMATCH(M248,""TemperatureResist_""),""+"",REGEXMATCH(M248,""ElementResist_""),""%"",REGEXMATCH(M248,""TemperatureInvalid_""),""bool"",REGEXMATCH(M248,""BodyPartsWeakDamage""),""%"",REGEXMATCH(M248,""Ele"&amp;"mentBoost_""),""%"",AND(REGEXMATCH(F248,""GiveA""),REGEXMATCH(M248,""Element"")),""bool"")"),"#N/A")</f>
        <v>#N/A</v>
      </c>
      <c r="O248" s="6" t="n">
        <v>0</v>
      </c>
      <c r="P248" s="6"/>
      <c r="Q248" s="6"/>
      <c r="R248" s="6" t="str">
        <f aca="false">IFERROR(__xludf.dummyfunction("IFS(Q248=""ShotAttack"",""%"",Q248=""MeleeAttack"",""%"", Q248=""Defense"",""%"",Q248=""CraftSPeed"",""%"",Q248=""LifeSteal"",""%"",Q248=""MaxInventoryWeight"",""+"",Q248=""MoveSpeed"",""%"",REGEXMATCH(Q248,""ElementAddItemDrop_""),""%"",Q248=""Logging"","&amp;"""+"",Q248=""Mining"",""+"",Q248=""Maxhp"",""%"",REGEXMATCH(Q248,""TemperatureResist_""),""+"",REGEXMATCH(Q248,""ElementResist_""),""%"",REGEXMATCH(Q248,""TemperatureInvalid_""),""bool"",REGEXMATCH(Q248,""BodyPartsWeakDamage""),""%"",REGEXMATCH(Q248,""Ele"&amp;"mentBoost_""),""%"",AND(REGEXMATCH(J248,""GiveA""),REGEXMATCH(Q248,""Element"")),""bool"")"),"#N/A")</f>
        <v>#N/A</v>
      </c>
      <c r="S248" s="6" t="n">
        <v>0</v>
      </c>
      <c r="T248" s="6"/>
      <c r="U248" s="319" t="b">
        <f aca="false">TRUE()</f>
        <v>1</v>
      </c>
      <c r="V248" s="319" t="b">
        <f aca="false">FALSE()</f>
        <v>0</v>
      </c>
      <c r="W248" s="319" t="b">
        <f aca="false">FALSE()</f>
        <v>0</v>
      </c>
      <c r="X248" s="319" t="b">
        <f aca="false">FALSE()</f>
        <v>0</v>
      </c>
      <c r="Y248" s="319" t="b">
        <f aca="false">FALSE()</f>
        <v>0</v>
      </c>
      <c r="Z248" s="319" t="b">
        <f aca="false">FALSE()</f>
        <v>0</v>
      </c>
      <c r="AA248" s="319" t="b">
        <f aca="false">FALSE()</f>
        <v>0</v>
      </c>
      <c r="AB248" s="319" t="b">
        <f aca="false">FALSE()</f>
        <v>0</v>
      </c>
      <c r="AC248" s="319" t="b">
        <f aca="false">FALSE()</f>
        <v>0</v>
      </c>
      <c r="AD248" s="319" t="b">
        <f aca="false">FALSE()</f>
        <v>0</v>
      </c>
      <c r="AE248" s="319" t="b">
        <f aca="false">FALSE()</f>
        <v>0</v>
      </c>
      <c r="AF248" s="319" t="b">
        <f aca="false">FALSE()</f>
        <v>0</v>
      </c>
      <c r="AG248" s="6" t="s">
        <v>182</v>
      </c>
      <c r="AH248" s="6" t="s">
        <v>182</v>
      </c>
    </row>
    <row r="249" customFormat="false" ht="15.75" hidden="false" customHeight="false" outlineLevel="0" collapsed="false">
      <c r="A249" s="1" t="e">
        <f aca="false">#N/A</f>
        <v>#N/A</v>
      </c>
      <c r="B249" s="6" t="s">
        <v>915</v>
      </c>
      <c r="C249" s="3"/>
      <c r="D249" s="6" t="str">
        <f aca="false">I249   &amp; IF(ISBLANK(M249),, ". "&amp; M249 &amp; IF(ISBLANK(Q249),, ". "&amp; Q249))</f>
        <v>ElementAddItemDrop_Dark</v>
      </c>
      <c r="E249" s="6" t="str">
        <f aca="false">I249  &amp;": # on "&amp; L249  &amp; IF(ISBLANK(M249),, ". "&amp; M249 &amp;": # on "&amp; P249 &amp; IF(ISBLANK(Q249),, ". "&amp; Q249 &amp;": # on "&amp; T249))</f>
        <v>ElementAddItemDrop_Dark: # on SelfAndTrainer</v>
      </c>
      <c r="F249" s="6" t="str">
        <f aca="false">IF(U249,"active pal",)  &amp; IF(V249,"working",) &amp; IF(W249,"mounted",) &amp; IF(Y249,"in party (buff)",)  &amp; IF(Z249,"always",)</f>
        <v>active pal</v>
      </c>
      <c r="G249" s="6" t="n">
        <v>1</v>
      </c>
      <c r="H249" s="6" t="s">
        <v>182</v>
      </c>
      <c r="I249" s="6" t="s">
        <v>2324</v>
      </c>
      <c r="J249" s="6" t="str">
        <f aca="false">IFERROR(__xludf.dummyfunction("IFS(I249=""ShotAttack"",""%"",I249=""MeleeAttack"",""%"", I249=""Defense"",""%"",I249=""CraftSPeed"",""%"",I249=""LifeSteal"",""%"",I249=""MaxInventoryWeight"",""+"",I249=""MoveSpeed"",""%"",REGEXMATCH(I249,""ElementAddItemDrop_""),""%"",I249=""Logging"","&amp;"""+"",I249=""Mining"",""+"",I249=""Maxhp"",""%"",REGEXMATCH(I249,""TemperatureResist_""),""+"",REGEXMATCH(I249,""ElementResist_""),""%"",REGEXMATCH(I249,""TemperatureInvalid_""),""bool"",REGEXMATCH(I249,""BodyPartsWeakDamage""),""%"",REGEXMATCH(I249,""Ele"&amp;"mentBoost_""),""%"",AND(REGEXMATCH(B249,""GiveA""),REGEXMATCH(I249,""Element"")),""bool"")"),"%")</f>
        <v>%</v>
      </c>
      <c r="K249" s="6" t="n">
        <v>40</v>
      </c>
      <c r="L249" s="6" t="s">
        <v>2085</v>
      </c>
      <c r="M249" s="6"/>
      <c r="N249" s="6" t="str">
        <f aca="false">IFERROR(__xludf.dummyfunction("IFS(M249=""ShotAttack"",""%"",M249=""MeleeAttack"",""%"", M249=""Defense"",""%"",M249=""CraftSPeed"",""%"",M249=""LifeSteal"",""%"",M249=""MaxInventoryWeight"",""+"",M249=""MoveSpeed"",""%"",REGEXMATCH(M249,""ElementAddItemDrop_""),""%"",M249=""Logging"","&amp;"""+"",M249=""Mining"",""+"",M249=""Maxhp"",""%"",REGEXMATCH(M249,""TemperatureResist_""),""+"",REGEXMATCH(M249,""ElementResist_""),""%"",REGEXMATCH(M249,""TemperatureInvalid_""),""bool"",REGEXMATCH(M249,""BodyPartsWeakDamage""),""%"",REGEXMATCH(M249,""Ele"&amp;"mentBoost_""),""%"",AND(REGEXMATCH(F249,""GiveA""),REGEXMATCH(M249,""Element"")),""bool"")"),"#N/A")</f>
        <v>#N/A</v>
      </c>
      <c r="O249" s="6" t="n">
        <v>0</v>
      </c>
      <c r="P249" s="6"/>
      <c r="Q249" s="6"/>
      <c r="R249" s="6" t="str">
        <f aca="false">IFERROR(__xludf.dummyfunction("IFS(Q249=""ShotAttack"",""%"",Q249=""MeleeAttack"",""%"", Q249=""Defense"",""%"",Q249=""CraftSPeed"",""%"",Q249=""LifeSteal"",""%"",Q249=""MaxInventoryWeight"",""+"",Q249=""MoveSpeed"",""%"",REGEXMATCH(Q249,""ElementAddItemDrop_""),""%"",Q249=""Logging"","&amp;"""+"",Q249=""Mining"",""+"",Q249=""Maxhp"",""%"",REGEXMATCH(Q249,""TemperatureResist_""),""+"",REGEXMATCH(Q249,""ElementResist_""),""%"",REGEXMATCH(Q249,""TemperatureInvalid_""),""bool"",REGEXMATCH(Q249,""BodyPartsWeakDamage""),""%"",REGEXMATCH(Q249,""Ele"&amp;"mentBoost_""),""%"",AND(REGEXMATCH(J249,""GiveA""),REGEXMATCH(Q249,""Element"")),""bool"")"),"#N/A")</f>
        <v>#N/A</v>
      </c>
      <c r="S249" s="6" t="n">
        <v>0</v>
      </c>
      <c r="T249" s="6"/>
      <c r="U249" s="319" t="b">
        <f aca="false">TRUE()</f>
        <v>1</v>
      </c>
      <c r="V249" s="319" t="b">
        <f aca="false">FALSE()</f>
        <v>0</v>
      </c>
      <c r="W249" s="319" t="b">
        <f aca="false">FALSE()</f>
        <v>0</v>
      </c>
      <c r="X249" s="319" t="b">
        <f aca="false">FALSE()</f>
        <v>0</v>
      </c>
      <c r="Y249" s="319" t="b">
        <f aca="false">FALSE()</f>
        <v>0</v>
      </c>
      <c r="Z249" s="319" t="b">
        <f aca="false">FALSE()</f>
        <v>0</v>
      </c>
      <c r="AA249" s="319" t="b">
        <f aca="false">FALSE()</f>
        <v>0</v>
      </c>
      <c r="AB249" s="319" t="b">
        <f aca="false">FALSE()</f>
        <v>0</v>
      </c>
      <c r="AC249" s="319" t="b">
        <f aca="false">FALSE()</f>
        <v>0</v>
      </c>
      <c r="AD249" s="319" t="b">
        <f aca="false">FALSE()</f>
        <v>0</v>
      </c>
      <c r="AE249" s="319" t="b">
        <f aca="false">FALSE()</f>
        <v>0</v>
      </c>
      <c r="AF249" s="319" t="b">
        <f aca="false">FALSE()</f>
        <v>0</v>
      </c>
      <c r="AG249" s="6" t="s">
        <v>182</v>
      </c>
      <c r="AH249" s="6" t="s">
        <v>182</v>
      </c>
    </row>
    <row r="250" customFormat="false" ht="15.75" hidden="false" customHeight="false" outlineLevel="0" collapsed="false">
      <c r="A250" s="1" t="e">
        <f aca="false">#N/A</f>
        <v>#N/A</v>
      </c>
      <c r="B250" s="6" t="s">
        <v>933</v>
      </c>
      <c r="C250" s="3"/>
      <c r="D250" s="6" t="str">
        <f aca="false">I250   &amp; IF(ISBLANK(M250),, ". "&amp; M250 &amp; IF(ISBLANK(Q250),, ". "&amp; Q250))</f>
        <v>ElementAddItemDrop_Dragon</v>
      </c>
      <c r="E250" s="6" t="str">
        <f aca="false">I250  &amp;": # on "&amp; L250  &amp; IF(ISBLANK(M250),, ". "&amp; M250 &amp;": # on "&amp; P250 &amp; IF(ISBLANK(Q250),, ". "&amp; Q250 &amp;": # on "&amp; T250))</f>
        <v>ElementAddItemDrop_Dragon: # on SelfAndTrainer</v>
      </c>
      <c r="F250" s="6" t="str">
        <f aca="false">IF(U250,"active pal",)  &amp; IF(V250,"working",) &amp; IF(W250,"mounted",) &amp; IF(Y250,"in party (buff)",)  &amp; IF(Z250,"always",)</f>
        <v>active pal</v>
      </c>
      <c r="G250" s="6" t="n">
        <v>1</v>
      </c>
      <c r="H250" s="6" t="s">
        <v>182</v>
      </c>
      <c r="I250" s="6" t="s">
        <v>2325</v>
      </c>
      <c r="J250" s="6" t="str">
        <f aca="false">IFERROR(__xludf.dummyfunction("IFS(I250=""ShotAttack"",""%"",I250=""MeleeAttack"",""%"", I250=""Defense"",""%"",I250=""CraftSPeed"",""%"",I250=""LifeSteal"",""%"",I250=""MaxInventoryWeight"",""+"",I250=""MoveSpeed"",""%"",REGEXMATCH(I250,""ElementAddItemDrop_""),""%"",I250=""Logging"","&amp;"""+"",I250=""Mining"",""+"",I250=""Maxhp"",""%"",REGEXMATCH(I250,""TemperatureResist_""),""+"",REGEXMATCH(I250,""ElementResist_""),""%"",REGEXMATCH(I250,""TemperatureInvalid_""),""bool"",REGEXMATCH(I250,""BodyPartsWeakDamage""),""%"",REGEXMATCH(I250,""Ele"&amp;"mentBoost_""),""%"",AND(REGEXMATCH(B250,""GiveA""),REGEXMATCH(I250,""Element"")),""bool"")"),"%")</f>
        <v>%</v>
      </c>
      <c r="K250" s="6" t="n">
        <v>40</v>
      </c>
      <c r="L250" s="6" t="s">
        <v>2085</v>
      </c>
      <c r="M250" s="6"/>
      <c r="N250" s="6" t="str">
        <f aca="false">IFERROR(__xludf.dummyfunction("IFS(M250=""ShotAttack"",""%"",M250=""MeleeAttack"",""%"", M250=""Defense"",""%"",M250=""CraftSPeed"",""%"",M250=""LifeSteal"",""%"",M250=""MaxInventoryWeight"",""+"",M250=""MoveSpeed"",""%"",REGEXMATCH(M250,""ElementAddItemDrop_""),""%"",M250=""Logging"","&amp;"""+"",M250=""Mining"",""+"",M250=""Maxhp"",""%"",REGEXMATCH(M250,""TemperatureResist_""),""+"",REGEXMATCH(M250,""ElementResist_""),""%"",REGEXMATCH(M250,""TemperatureInvalid_""),""bool"",REGEXMATCH(M250,""BodyPartsWeakDamage""),""%"",REGEXMATCH(M250,""Ele"&amp;"mentBoost_""),""%"",AND(REGEXMATCH(F250,""GiveA""),REGEXMATCH(M250,""Element"")),""bool"")"),"#N/A")</f>
        <v>#N/A</v>
      </c>
      <c r="O250" s="6" t="n">
        <v>0</v>
      </c>
      <c r="P250" s="6"/>
      <c r="Q250" s="6"/>
      <c r="R250" s="6" t="str">
        <f aca="false">IFERROR(__xludf.dummyfunction("IFS(Q250=""ShotAttack"",""%"",Q250=""MeleeAttack"",""%"", Q250=""Defense"",""%"",Q250=""CraftSPeed"",""%"",Q250=""LifeSteal"",""%"",Q250=""MaxInventoryWeight"",""+"",Q250=""MoveSpeed"",""%"",REGEXMATCH(Q250,""ElementAddItemDrop_""),""%"",Q250=""Logging"","&amp;"""+"",Q250=""Mining"",""+"",Q250=""Maxhp"",""%"",REGEXMATCH(Q250,""TemperatureResist_""),""+"",REGEXMATCH(Q250,""ElementResist_""),""%"",REGEXMATCH(Q250,""TemperatureInvalid_""),""bool"",REGEXMATCH(Q250,""BodyPartsWeakDamage""),""%"",REGEXMATCH(Q250,""Ele"&amp;"mentBoost_""),""%"",AND(REGEXMATCH(J250,""GiveA""),REGEXMATCH(Q250,""Element"")),""bool"")"),"#N/A")</f>
        <v>#N/A</v>
      </c>
      <c r="S250" s="6" t="n">
        <v>0</v>
      </c>
      <c r="T250" s="6"/>
      <c r="U250" s="319" t="b">
        <f aca="false">TRUE()</f>
        <v>1</v>
      </c>
      <c r="V250" s="319" t="b">
        <f aca="false">FALSE()</f>
        <v>0</v>
      </c>
      <c r="W250" s="319" t="b">
        <f aca="false">FALSE()</f>
        <v>0</v>
      </c>
      <c r="X250" s="319" t="b">
        <f aca="false">FALSE()</f>
        <v>0</v>
      </c>
      <c r="Y250" s="319" t="b">
        <f aca="false">FALSE()</f>
        <v>0</v>
      </c>
      <c r="Z250" s="319" t="b">
        <f aca="false">FALSE()</f>
        <v>0</v>
      </c>
      <c r="AA250" s="319" t="b">
        <f aca="false">FALSE()</f>
        <v>0</v>
      </c>
      <c r="AB250" s="319" t="b">
        <f aca="false">FALSE()</f>
        <v>0</v>
      </c>
      <c r="AC250" s="319" t="b">
        <f aca="false">FALSE()</f>
        <v>0</v>
      </c>
      <c r="AD250" s="319" t="b">
        <f aca="false">FALSE()</f>
        <v>0</v>
      </c>
      <c r="AE250" s="319" t="b">
        <f aca="false">FALSE()</f>
        <v>0</v>
      </c>
      <c r="AF250" s="319" t="b">
        <f aca="false">FALSE()</f>
        <v>0</v>
      </c>
      <c r="AG250" s="6" t="s">
        <v>182</v>
      </c>
      <c r="AH250" s="6" t="s">
        <v>182</v>
      </c>
    </row>
    <row r="251" customFormat="false" ht="15.75" hidden="false" customHeight="false" outlineLevel="0" collapsed="false">
      <c r="A251" s="1" t="e">
        <f aca="false">#N/A</f>
        <v>#N/A</v>
      </c>
      <c r="B251" s="6" t="s">
        <v>1152</v>
      </c>
      <c r="C251" s="3"/>
      <c r="D251" s="6" t="str">
        <f aca="false">I251   &amp; IF(ISBLANK(M251),, ". "&amp; M251 &amp; IF(ISBLANK(Q251),, ". "&amp; Q251))</f>
        <v>ElementAddItemDrop_Normal</v>
      </c>
      <c r="E251" s="6" t="str">
        <f aca="false">I251  &amp;": # on "&amp; L251  &amp; IF(ISBLANK(M251),, ". "&amp; M251 &amp;": # on "&amp; P251 &amp; IF(ISBLANK(Q251),, ". "&amp; Q251 &amp;": # on "&amp; T251))</f>
        <v>ElementAddItemDrop_Normal: # on SelfAndTrainer</v>
      </c>
      <c r="F251" s="6" t="str">
        <f aca="false">IF(U251,"active pal",)  &amp; IF(V251,"working",) &amp; IF(W251,"mounted",) &amp; IF(Y251,"in party (buff)",)  &amp; IF(Z251,"always",)</f>
        <v>active pal</v>
      </c>
      <c r="G251" s="6" t="n">
        <v>1</v>
      </c>
      <c r="H251" s="6" t="s">
        <v>182</v>
      </c>
      <c r="I251" s="6" t="s">
        <v>2317</v>
      </c>
      <c r="J251" s="6" t="str">
        <f aca="false">IFERROR(__xludf.dummyfunction("IFS(I251=""ShotAttack"",""%"",I251=""MeleeAttack"",""%"", I251=""Defense"",""%"",I251=""CraftSPeed"",""%"",I251=""LifeSteal"",""%"",I251=""MaxInventoryWeight"",""+"",I251=""MoveSpeed"",""%"",REGEXMATCH(I251,""ElementAddItemDrop_""),""%"",I251=""Logging"","&amp;"""+"",I251=""Mining"",""+"",I251=""Maxhp"",""%"",REGEXMATCH(I251,""TemperatureResist_""),""+"",REGEXMATCH(I251,""ElementResist_""),""%"",REGEXMATCH(I251,""TemperatureInvalid_""),""bool"",REGEXMATCH(I251,""BodyPartsWeakDamage""),""%"",REGEXMATCH(I251,""Ele"&amp;"mentBoost_""),""%"",AND(REGEXMATCH(B251,""GiveA""),REGEXMATCH(I251,""Element"")),""bool"")"),"%")</f>
        <v>%</v>
      </c>
      <c r="K251" s="6" t="n">
        <v>50</v>
      </c>
      <c r="L251" s="6" t="s">
        <v>2085</v>
      </c>
      <c r="M251" s="6"/>
      <c r="N251" s="6" t="str">
        <f aca="false">IFERROR(__xludf.dummyfunction("IFS(M251=""ShotAttack"",""%"",M251=""MeleeAttack"",""%"", M251=""Defense"",""%"",M251=""CraftSPeed"",""%"",M251=""LifeSteal"",""%"",M251=""MaxInventoryWeight"",""+"",M251=""MoveSpeed"",""%"",REGEXMATCH(M251,""ElementAddItemDrop_""),""%"",M251=""Logging"","&amp;"""+"",M251=""Mining"",""+"",M251=""Maxhp"",""%"",REGEXMATCH(M251,""TemperatureResist_""),""+"",REGEXMATCH(M251,""ElementResist_""),""%"",REGEXMATCH(M251,""TemperatureInvalid_""),""bool"",REGEXMATCH(M251,""BodyPartsWeakDamage""),""%"",REGEXMATCH(M251,""Ele"&amp;"mentBoost_""),""%"",AND(REGEXMATCH(F251,""GiveA""),REGEXMATCH(M251,""Element"")),""bool"")"),"#N/A")</f>
        <v>#N/A</v>
      </c>
      <c r="O251" s="6" t="n">
        <v>0</v>
      </c>
      <c r="P251" s="6"/>
      <c r="Q251" s="6"/>
      <c r="R251" s="6" t="str">
        <f aca="false">IFERROR(__xludf.dummyfunction("IFS(Q251=""ShotAttack"",""%"",Q251=""MeleeAttack"",""%"", Q251=""Defense"",""%"",Q251=""CraftSPeed"",""%"",Q251=""LifeSteal"",""%"",Q251=""MaxInventoryWeight"",""+"",Q251=""MoveSpeed"",""%"",REGEXMATCH(Q251,""ElementAddItemDrop_""),""%"",Q251=""Logging"","&amp;"""+"",Q251=""Mining"",""+"",Q251=""Maxhp"",""%"",REGEXMATCH(Q251,""TemperatureResist_""),""+"",REGEXMATCH(Q251,""ElementResist_""),""%"",REGEXMATCH(Q251,""TemperatureInvalid_""),""bool"",REGEXMATCH(Q251,""BodyPartsWeakDamage""),""%"",REGEXMATCH(Q251,""Ele"&amp;"mentBoost_""),""%"",AND(REGEXMATCH(J251,""GiveA""),REGEXMATCH(Q251,""Element"")),""bool"")"),"#N/A")</f>
        <v>#N/A</v>
      </c>
      <c r="S251" s="6" t="n">
        <v>0</v>
      </c>
      <c r="T251" s="6"/>
      <c r="U251" s="319" t="b">
        <f aca="false">TRUE()</f>
        <v>1</v>
      </c>
      <c r="V251" s="319" t="b">
        <f aca="false">FALSE()</f>
        <v>0</v>
      </c>
      <c r="W251" s="319" t="b">
        <f aca="false">FALSE()</f>
        <v>0</v>
      </c>
      <c r="X251" s="319" t="b">
        <f aca="false">FALSE()</f>
        <v>0</v>
      </c>
      <c r="Y251" s="319" t="b">
        <f aca="false">FALSE()</f>
        <v>0</v>
      </c>
      <c r="Z251" s="319" t="b">
        <f aca="false">FALSE()</f>
        <v>0</v>
      </c>
      <c r="AA251" s="319" t="b">
        <f aca="false">FALSE()</f>
        <v>0</v>
      </c>
      <c r="AB251" s="319" t="b">
        <f aca="false">FALSE()</f>
        <v>0</v>
      </c>
      <c r="AC251" s="319" t="b">
        <f aca="false">FALSE()</f>
        <v>0</v>
      </c>
      <c r="AD251" s="319" t="b">
        <f aca="false">FALSE()</f>
        <v>0</v>
      </c>
      <c r="AE251" s="319" t="b">
        <f aca="false">FALSE()</f>
        <v>0</v>
      </c>
      <c r="AF251" s="319" t="b">
        <f aca="false">FALSE()</f>
        <v>0</v>
      </c>
      <c r="AG251" s="6" t="s">
        <v>182</v>
      </c>
      <c r="AH251" s="6" t="s">
        <v>182</v>
      </c>
    </row>
    <row r="252" customFormat="false" ht="15.75" hidden="false" customHeight="false" outlineLevel="0" collapsed="false">
      <c r="A252" s="1" t="e">
        <f aca="false">#N/A</f>
        <v>#N/A</v>
      </c>
      <c r="B252" s="6" t="s">
        <v>922</v>
      </c>
      <c r="C252" s="3"/>
      <c r="D252" s="6" t="str">
        <f aca="false">I252   &amp; IF(ISBLANK(M252),, ". "&amp; M252 &amp; IF(ISBLANK(Q252),, ". "&amp; Q252))</f>
        <v>ElementAddItemDrop_Fire</v>
      </c>
      <c r="E252" s="6" t="str">
        <f aca="false">I252  &amp;": # on "&amp; L252  &amp; IF(ISBLANK(M252),, ". "&amp; M252 &amp;": # on "&amp; P252 &amp; IF(ISBLANK(Q252),, ". "&amp; Q252 &amp;": # on "&amp; T252))</f>
        <v>ElementAddItemDrop_Fire: # on SelfAndTrainer</v>
      </c>
      <c r="F252" s="6" t="str">
        <f aca="false">IF(U252,"active pal",)  &amp; IF(V252,"working",) &amp; IF(W252,"mounted",) &amp; IF(Y252,"in party (buff)",)  &amp; IF(Z252,"always",)</f>
        <v>active pal</v>
      </c>
      <c r="G252" s="6" t="n">
        <v>1</v>
      </c>
      <c r="H252" s="6" t="s">
        <v>182</v>
      </c>
      <c r="I252" s="6" t="s">
        <v>2318</v>
      </c>
      <c r="J252" s="6" t="str">
        <f aca="false">IFERROR(__xludf.dummyfunction("IFS(I252=""ShotAttack"",""%"",I252=""MeleeAttack"",""%"", I252=""Defense"",""%"",I252=""CraftSPeed"",""%"",I252=""LifeSteal"",""%"",I252=""MaxInventoryWeight"",""+"",I252=""MoveSpeed"",""%"",REGEXMATCH(I252,""ElementAddItemDrop_""),""%"",I252=""Logging"","&amp;"""+"",I252=""Mining"",""+"",I252=""Maxhp"",""%"",REGEXMATCH(I252,""TemperatureResist_""),""+"",REGEXMATCH(I252,""ElementResist_""),""%"",REGEXMATCH(I252,""TemperatureInvalid_""),""bool"",REGEXMATCH(I252,""BodyPartsWeakDamage""),""%"",REGEXMATCH(I252,""Ele"&amp;"mentBoost_""),""%"",AND(REGEXMATCH(B252,""GiveA""),REGEXMATCH(I252,""Element"")),""bool"")"),"%")</f>
        <v>%</v>
      </c>
      <c r="K252" s="6" t="n">
        <v>50</v>
      </c>
      <c r="L252" s="6" t="s">
        <v>2085</v>
      </c>
      <c r="M252" s="6"/>
      <c r="N252" s="6" t="str">
        <f aca="false">IFERROR(__xludf.dummyfunction("IFS(M252=""ShotAttack"",""%"",M252=""MeleeAttack"",""%"", M252=""Defense"",""%"",M252=""CraftSPeed"",""%"",M252=""LifeSteal"",""%"",M252=""MaxInventoryWeight"",""+"",M252=""MoveSpeed"",""%"",REGEXMATCH(M252,""ElementAddItemDrop_""),""%"",M252=""Logging"","&amp;"""+"",M252=""Mining"",""+"",M252=""Maxhp"",""%"",REGEXMATCH(M252,""TemperatureResist_""),""+"",REGEXMATCH(M252,""ElementResist_""),""%"",REGEXMATCH(M252,""TemperatureInvalid_""),""bool"",REGEXMATCH(M252,""BodyPartsWeakDamage""),""%"",REGEXMATCH(M252,""Ele"&amp;"mentBoost_""),""%"",AND(REGEXMATCH(F252,""GiveA""),REGEXMATCH(M252,""Element"")),""bool"")"),"#N/A")</f>
        <v>#N/A</v>
      </c>
      <c r="O252" s="6" t="n">
        <v>0</v>
      </c>
      <c r="P252" s="6"/>
      <c r="Q252" s="6"/>
      <c r="R252" s="6" t="str">
        <f aca="false">IFERROR(__xludf.dummyfunction("IFS(Q252=""ShotAttack"",""%"",Q252=""MeleeAttack"",""%"", Q252=""Defense"",""%"",Q252=""CraftSPeed"",""%"",Q252=""LifeSteal"",""%"",Q252=""MaxInventoryWeight"",""+"",Q252=""MoveSpeed"",""%"",REGEXMATCH(Q252,""ElementAddItemDrop_""),""%"",Q252=""Logging"","&amp;"""+"",Q252=""Mining"",""+"",Q252=""Maxhp"",""%"",REGEXMATCH(Q252,""TemperatureResist_""),""+"",REGEXMATCH(Q252,""ElementResist_""),""%"",REGEXMATCH(Q252,""TemperatureInvalid_""),""bool"",REGEXMATCH(Q252,""BodyPartsWeakDamage""),""%"",REGEXMATCH(Q252,""Ele"&amp;"mentBoost_""),""%"",AND(REGEXMATCH(J252,""GiveA""),REGEXMATCH(Q252,""Element"")),""bool"")"),"#N/A")</f>
        <v>#N/A</v>
      </c>
      <c r="S252" s="6" t="n">
        <v>0</v>
      </c>
      <c r="T252" s="6"/>
      <c r="U252" s="319" t="b">
        <f aca="false">TRUE()</f>
        <v>1</v>
      </c>
      <c r="V252" s="319" t="b">
        <f aca="false">FALSE()</f>
        <v>0</v>
      </c>
      <c r="W252" s="319" t="b">
        <f aca="false">FALSE()</f>
        <v>0</v>
      </c>
      <c r="X252" s="319" t="b">
        <f aca="false">FALSE()</f>
        <v>0</v>
      </c>
      <c r="Y252" s="319" t="b">
        <f aca="false">FALSE()</f>
        <v>0</v>
      </c>
      <c r="Z252" s="319" t="b">
        <f aca="false">FALSE()</f>
        <v>0</v>
      </c>
      <c r="AA252" s="319" t="b">
        <f aca="false">FALSE()</f>
        <v>0</v>
      </c>
      <c r="AB252" s="319" t="b">
        <f aca="false">FALSE()</f>
        <v>0</v>
      </c>
      <c r="AC252" s="319" t="b">
        <f aca="false">FALSE()</f>
        <v>0</v>
      </c>
      <c r="AD252" s="319" t="b">
        <f aca="false">FALSE()</f>
        <v>0</v>
      </c>
      <c r="AE252" s="319" t="b">
        <f aca="false">FALSE()</f>
        <v>0</v>
      </c>
      <c r="AF252" s="319" t="b">
        <f aca="false">FALSE()</f>
        <v>0</v>
      </c>
      <c r="AG252" s="6" t="s">
        <v>182</v>
      </c>
      <c r="AH252" s="6" t="s">
        <v>182</v>
      </c>
    </row>
    <row r="253" customFormat="false" ht="15.75" hidden="false" customHeight="false" outlineLevel="0" collapsed="false">
      <c r="A253" s="1" t="e">
        <f aca="false">#N/A</f>
        <v>#N/A</v>
      </c>
      <c r="B253" s="6" t="s">
        <v>1232</v>
      </c>
      <c r="C253" s="3"/>
      <c r="D253" s="6" t="str">
        <f aca="false">I253   &amp; IF(ISBLANK(M253),, ". "&amp; M253 &amp; IF(ISBLANK(Q253),, ". "&amp; Q253))</f>
        <v>ElementAddItemDrop_Water</v>
      </c>
      <c r="E253" s="6" t="str">
        <f aca="false">I253  &amp;": # on "&amp; L253  &amp; IF(ISBLANK(M253),, ". "&amp; M253 &amp;": # on "&amp; P253 &amp; IF(ISBLANK(Q253),, ". "&amp; Q253 &amp;": # on "&amp; T253))</f>
        <v>ElementAddItemDrop_Water: # on SelfAndTrainer</v>
      </c>
      <c r="F253" s="6" t="str">
        <f aca="false">IF(U253,"active pal",)  &amp; IF(V253,"working",) &amp; IF(W253,"mounted",) &amp; IF(Y253,"in party (buff)",)  &amp; IF(Z253,"always",)</f>
        <v>active pal</v>
      </c>
      <c r="G253" s="6" t="n">
        <v>1</v>
      </c>
      <c r="H253" s="6" t="s">
        <v>182</v>
      </c>
      <c r="I253" s="6" t="s">
        <v>2319</v>
      </c>
      <c r="J253" s="6" t="str">
        <f aca="false">IFERROR(__xludf.dummyfunction("IFS(I253=""ShotAttack"",""%"",I253=""MeleeAttack"",""%"", I253=""Defense"",""%"",I253=""CraftSPeed"",""%"",I253=""LifeSteal"",""%"",I253=""MaxInventoryWeight"",""+"",I253=""MoveSpeed"",""%"",REGEXMATCH(I253,""ElementAddItemDrop_""),""%"",I253=""Logging"","&amp;"""+"",I253=""Mining"",""+"",I253=""Maxhp"",""%"",REGEXMATCH(I253,""TemperatureResist_""),""+"",REGEXMATCH(I253,""ElementResist_""),""%"",REGEXMATCH(I253,""TemperatureInvalid_""),""bool"",REGEXMATCH(I253,""BodyPartsWeakDamage""),""%"",REGEXMATCH(I253,""Ele"&amp;"mentBoost_""),""%"",AND(REGEXMATCH(B253,""GiveA""),REGEXMATCH(I253,""Element"")),""bool"")"),"%")</f>
        <v>%</v>
      </c>
      <c r="K253" s="6" t="n">
        <v>50</v>
      </c>
      <c r="L253" s="6" t="s">
        <v>2085</v>
      </c>
      <c r="M253" s="6"/>
      <c r="N253" s="6" t="str">
        <f aca="false">IFERROR(__xludf.dummyfunction("IFS(M253=""ShotAttack"",""%"",M253=""MeleeAttack"",""%"", M253=""Defense"",""%"",M253=""CraftSPeed"",""%"",M253=""LifeSteal"",""%"",M253=""MaxInventoryWeight"",""+"",M253=""MoveSpeed"",""%"",REGEXMATCH(M253,""ElementAddItemDrop_""),""%"",M253=""Logging"","&amp;"""+"",M253=""Mining"",""+"",M253=""Maxhp"",""%"",REGEXMATCH(M253,""TemperatureResist_""),""+"",REGEXMATCH(M253,""ElementResist_""),""%"",REGEXMATCH(M253,""TemperatureInvalid_""),""bool"",REGEXMATCH(M253,""BodyPartsWeakDamage""),""%"",REGEXMATCH(M253,""Ele"&amp;"mentBoost_""),""%"",AND(REGEXMATCH(F253,""GiveA""),REGEXMATCH(M253,""Element"")),""bool"")"),"#N/A")</f>
        <v>#N/A</v>
      </c>
      <c r="O253" s="6" t="n">
        <v>0</v>
      </c>
      <c r="P253" s="6"/>
      <c r="Q253" s="6"/>
      <c r="R253" s="6" t="str">
        <f aca="false">IFERROR(__xludf.dummyfunction("IFS(Q253=""ShotAttack"",""%"",Q253=""MeleeAttack"",""%"", Q253=""Defense"",""%"",Q253=""CraftSPeed"",""%"",Q253=""LifeSteal"",""%"",Q253=""MaxInventoryWeight"",""+"",Q253=""MoveSpeed"",""%"",REGEXMATCH(Q253,""ElementAddItemDrop_""),""%"",Q253=""Logging"","&amp;"""+"",Q253=""Mining"",""+"",Q253=""Maxhp"",""%"",REGEXMATCH(Q253,""TemperatureResist_""),""+"",REGEXMATCH(Q253,""ElementResist_""),""%"",REGEXMATCH(Q253,""TemperatureInvalid_""),""bool"",REGEXMATCH(Q253,""BodyPartsWeakDamage""),""%"",REGEXMATCH(Q253,""Ele"&amp;"mentBoost_""),""%"",AND(REGEXMATCH(J253,""GiveA""),REGEXMATCH(Q253,""Element"")),""bool"")"),"#N/A")</f>
        <v>#N/A</v>
      </c>
      <c r="S253" s="6" t="n">
        <v>0</v>
      </c>
      <c r="T253" s="6"/>
      <c r="U253" s="319" t="b">
        <f aca="false">TRUE()</f>
        <v>1</v>
      </c>
      <c r="V253" s="319" t="b">
        <f aca="false">FALSE()</f>
        <v>0</v>
      </c>
      <c r="W253" s="319" t="b">
        <f aca="false">FALSE()</f>
        <v>0</v>
      </c>
      <c r="X253" s="319" t="b">
        <f aca="false">FALSE()</f>
        <v>0</v>
      </c>
      <c r="Y253" s="319" t="b">
        <f aca="false">FALSE()</f>
        <v>0</v>
      </c>
      <c r="Z253" s="319" t="b">
        <f aca="false">FALSE()</f>
        <v>0</v>
      </c>
      <c r="AA253" s="319" t="b">
        <f aca="false">FALSE()</f>
        <v>0</v>
      </c>
      <c r="AB253" s="319" t="b">
        <f aca="false">FALSE()</f>
        <v>0</v>
      </c>
      <c r="AC253" s="319" t="b">
        <f aca="false">FALSE()</f>
        <v>0</v>
      </c>
      <c r="AD253" s="319" t="b">
        <f aca="false">FALSE()</f>
        <v>0</v>
      </c>
      <c r="AE253" s="319" t="b">
        <f aca="false">FALSE()</f>
        <v>0</v>
      </c>
      <c r="AF253" s="319" t="b">
        <f aca="false">FALSE()</f>
        <v>0</v>
      </c>
      <c r="AG253" s="6" t="s">
        <v>182</v>
      </c>
      <c r="AH253" s="6" t="s">
        <v>182</v>
      </c>
    </row>
    <row r="254" customFormat="false" ht="15.75" hidden="false" customHeight="false" outlineLevel="0" collapsed="false">
      <c r="A254" s="1" t="e">
        <f aca="false">#N/A</f>
        <v>#N/A</v>
      </c>
      <c r="B254" s="6" t="s">
        <v>1226</v>
      </c>
      <c r="C254" s="3"/>
      <c r="D254" s="6" t="str">
        <f aca="false">I254   &amp; IF(ISBLANK(M254),, ". "&amp; M254 &amp; IF(ISBLANK(Q254),, ". "&amp; Q254))</f>
        <v>ElementAddItemDrop_Electricity</v>
      </c>
      <c r="E254" s="6" t="str">
        <f aca="false">I254  &amp;": # on "&amp; L254  &amp; IF(ISBLANK(M254),, ". "&amp; M254 &amp;": # on "&amp; P254 &amp; IF(ISBLANK(Q254),, ". "&amp; Q254 &amp;": # on "&amp; T254))</f>
        <v>ElementAddItemDrop_Electricity: # on SelfAndTrainer</v>
      </c>
      <c r="F254" s="6" t="str">
        <f aca="false">IF(U254,"active pal",)  &amp; IF(V254,"working",) &amp; IF(W254,"mounted",) &amp; IF(Y254,"in party (buff)",)  &amp; IF(Z254,"always",)</f>
        <v>active pal</v>
      </c>
      <c r="G254" s="6" t="n">
        <v>1</v>
      </c>
      <c r="H254" s="6" t="s">
        <v>182</v>
      </c>
      <c r="I254" s="6" t="s">
        <v>2320</v>
      </c>
      <c r="J254" s="6" t="str">
        <f aca="false">IFERROR(__xludf.dummyfunction("IFS(I254=""ShotAttack"",""%"",I254=""MeleeAttack"",""%"", I254=""Defense"",""%"",I254=""CraftSPeed"",""%"",I254=""LifeSteal"",""%"",I254=""MaxInventoryWeight"",""+"",I254=""MoveSpeed"",""%"",REGEXMATCH(I254,""ElementAddItemDrop_""),""%"",I254=""Logging"","&amp;"""+"",I254=""Mining"",""+"",I254=""Maxhp"",""%"",REGEXMATCH(I254,""TemperatureResist_""),""+"",REGEXMATCH(I254,""ElementResist_""),""%"",REGEXMATCH(I254,""TemperatureInvalid_""),""bool"",REGEXMATCH(I254,""BodyPartsWeakDamage""),""%"",REGEXMATCH(I254,""Ele"&amp;"mentBoost_""),""%"",AND(REGEXMATCH(B254,""GiveA""),REGEXMATCH(I254,""Element"")),""bool"")"),"%")</f>
        <v>%</v>
      </c>
      <c r="K254" s="6" t="n">
        <v>50</v>
      </c>
      <c r="L254" s="6" t="s">
        <v>2085</v>
      </c>
      <c r="M254" s="6"/>
      <c r="N254" s="6" t="str">
        <f aca="false">IFERROR(__xludf.dummyfunction("IFS(M254=""ShotAttack"",""%"",M254=""MeleeAttack"",""%"", M254=""Defense"",""%"",M254=""CraftSPeed"",""%"",M254=""LifeSteal"",""%"",M254=""MaxInventoryWeight"",""+"",M254=""MoveSpeed"",""%"",REGEXMATCH(M254,""ElementAddItemDrop_""),""%"",M254=""Logging"","&amp;"""+"",M254=""Mining"",""+"",M254=""Maxhp"",""%"",REGEXMATCH(M254,""TemperatureResist_""),""+"",REGEXMATCH(M254,""ElementResist_""),""%"",REGEXMATCH(M254,""TemperatureInvalid_""),""bool"",REGEXMATCH(M254,""BodyPartsWeakDamage""),""%"",REGEXMATCH(M254,""Ele"&amp;"mentBoost_""),""%"",AND(REGEXMATCH(F254,""GiveA""),REGEXMATCH(M254,""Element"")),""bool"")"),"#N/A")</f>
        <v>#N/A</v>
      </c>
      <c r="O254" s="6" t="n">
        <v>0</v>
      </c>
      <c r="P254" s="6"/>
      <c r="Q254" s="6"/>
      <c r="R254" s="6" t="str">
        <f aca="false">IFERROR(__xludf.dummyfunction("IFS(Q254=""ShotAttack"",""%"",Q254=""MeleeAttack"",""%"", Q254=""Defense"",""%"",Q254=""CraftSPeed"",""%"",Q254=""LifeSteal"",""%"",Q254=""MaxInventoryWeight"",""+"",Q254=""MoveSpeed"",""%"",REGEXMATCH(Q254,""ElementAddItemDrop_""),""%"",Q254=""Logging"","&amp;"""+"",Q254=""Mining"",""+"",Q254=""Maxhp"",""%"",REGEXMATCH(Q254,""TemperatureResist_""),""+"",REGEXMATCH(Q254,""ElementResist_""),""%"",REGEXMATCH(Q254,""TemperatureInvalid_""),""bool"",REGEXMATCH(Q254,""BodyPartsWeakDamage""),""%"",REGEXMATCH(Q254,""Ele"&amp;"mentBoost_""),""%"",AND(REGEXMATCH(J254,""GiveA""),REGEXMATCH(Q254,""Element"")),""bool"")"),"#N/A")</f>
        <v>#N/A</v>
      </c>
      <c r="S254" s="6" t="n">
        <v>0</v>
      </c>
      <c r="T254" s="6"/>
      <c r="U254" s="319" t="b">
        <f aca="false">TRUE()</f>
        <v>1</v>
      </c>
      <c r="V254" s="319" t="b">
        <f aca="false">FALSE()</f>
        <v>0</v>
      </c>
      <c r="W254" s="319" t="b">
        <f aca="false">FALSE()</f>
        <v>0</v>
      </c>
      <c r="X254" s="319" t="b">
        <f aca="false">FALSE()</f>
        <v>0</v>
      </c>
      <c r="Y254" s="319" t="b">
        <f aca="false">FALSE()</f>
        <v>0</v>
      </c>
      <c r="Z254" s="319" t="b">
        <f aca="false">FALSE()</f>
        <v>0</v>
      </c>
      <c r="AA254" s="319" t="b">
        <f aca="false">FALSE()</f>
        <v>0</v>
      </c>
      <c r="AB254" s="319" t="b">
        <f aca="false">FALSE()</f>
        <v>0</v>
      </c>
      <c r="AC254" s="319" t="b">
        <f aca="false">FALSE()</f>
        <v>0</v>
      </c>
      <c r="AD254" s="319" t="b">
        <f aca="false">FALSE()</f>
        <v>0</v>
      </c>
      <c r="AE254" s="319" t="b">
        <f aca="false">FALSE()</f>
        <v>0</v>
      </c>
      <c r="AF254" s="319" t="b">
        <f aca="false">FALSE()</f>
        <v>0</v>
      </c>
      <c r="AG254" s="6" t="s">
        <v>182</v>
      </c>
      <c r="AH254" s="6" t="s">
        <v>182</v>
      </c>
    </row>
    <row r="255" customFormat="false" ht="15.75" hidden="false" customHeight="false" outlineLevel="0" collapsed="false">
      <c r="A255" s="1" t="e">
        <f aca="false">#N/A</f>
        <v>#N/A</v>
      </c>
      <c r="B255" s="6" t="s">
        <v>1146</v>
      </c>
      <c r="C255" s="3"/>
      <c r="D255" s="6" t="str">
        <f aca="false">I255   &amp; IF(ISBLANK(M255),, ". "&amp; M255 &amp; IF(ISBLANK(Q255),, ". "&amp; Q255))</f>
        <v>ElementAddItemDrop_Leaf</v>
      </c>
      <c r="E255" s="6" t="str">
        <f aca="false">I255  &amp;": # on "&amp; L255  &amp; IF(ISBLANK(M255),, ". "&amp; M255 &amp;": # on "&amp; P255 &amp; IF(ISBLANK(Q255),, ". "&amp; Q255 &amp;": # on "&amp; T255))</f>
        <v>ElementAddItemDrop_Leaf: # on SelfAndTrainer</v>
      </c>
      <c r="F255" s="6" t="str">
        <f aca="false">IF(U255,"active pal",)  &amp; IF(V255,"working",) &amp; IF(W255,"mounted",) &amp; IF(Y255,"in party (buff)",)  &amp; IF(Z255,"always",)</f>
        <v>active pal</v>
      </c>
      <c r="G255" s="6" t="n">
        <v>1</v>
      </c>
      <c r="H255" s="6" t="s">
        <v>182</v>
      </c>
      <c r="I255" s="6" t="s">
        <v>2321</v>
      </c>
      <c r="J255" s="6" t="str">
        <f aca="false">IFERROR(__xludf.dummyfunction("IFS(I255=""ShotAttack"",""%"",I255=""MeleeAttack"",""%"", I255=""Defense"",""%"",I255=""CraftSPeed"",""%"",I255=""LifeSteal"",""%"",I255=""MaxInventoryWeight"",""+"",I255=""MoveSpeed"",""%"",REGEXMATCH(I255,""ElementAddItemDrop_""),""%"",I255=""Logging"","&amp;"""+"",I255=""Mining"",""+"",I255=""Maxhp"",""%"",REGEXMATCH(I255,""TemperatureResist_""),""+"",REGEXMATCH(I255,""ElementResist_""),""%"",REGEXMATCH(I255,""TemperatureInvalid_""),""bool"",REGEXMATCH(I255,""BodyPartsWeakDamage""),""%"",REGEXMATCH(I255,""Ele"&amp;"mentBoost_""),""%"",AND(REGEXMATCH(B255,""GiveA""),REGEXMATCH(I255,""Element"")),""bool"")"),"%")</f>
        <v>%</v>
      </c>
      <c r="K255" s="6" t="n">
        <v>50</v>
      </c>
      <c r="L255" s="6" t="s">
        <v>2085</v>
      </c>
      <c r="M255" s="6"/>
      <c r="N255" s="6" t="str">
        <f aca="false">IFERROR(__xludf.dummyfunction("IFS(M255=""ShotAttack"",""%"",M255=""MeleeAttack"",""%"", M255=""Defense"",""%"",M255=""CraftSPeed"",""%"",M255=""LifeSteal"",""%"",M255=""MaxInventoryWeight"",""+"",M255=""MoveSpeed"",""%"",REGEXMATCH(M255,""ElementAddItemDrop_""),""%"",M255=""Logging"","&amp;"""+"",M255=""Mining"",""+"",M255=""Maxhp"",""%"",REGEXMATCH(M255,""TemperatureResist_""),""+"",REGEXMATCH(M255,""ElementResist_""),""%"",REGEXMATCH(M255,""TemperatureInvalid_""),""bool"",REGEXMATCH(M255,""BodyPartsWeakDamage""),""%"",REGEXMATCH(M255,""Ele"&amp;"mentBoost_""),""%"",AND(REGEXMATCH(F255,""GiveA""),REGEXMATCH(M255,""Element"")),""bool"")"),"#N/A")</f>
        <v>#N/A</v>
      </c>
      <c r="O255" s="6" t="n">
        <v>0</v>
      </c>
      <c r="P255" s="6"/>
      <c r="Q255" s="6"/>
      <c r="R255" s="6" t="str">
        <f aca="false">IFERROR(__xludf.dummyfunction("IFS(Q255=""ShotAttack"",""%"",Q255=""MeleeAttack"",""%"", Q255=""Defense"",""%"",Q255=""CraftSPeed"",""%"",Q255=""LifeSteal"",""%"",Q255=""MaxInventoryWeight"",""+"",Q255=""MoveSpeed"",""%"",REGEXMATCH(Q255,""ElementAddItemDrop_""),""%"",Q255=""Logging"","&amp;"""+"",Q255=""Mining"",""+"",Q255=""Maxhp"",""%"",REGEXMATCH(Q255,""TemperatureResist_""),""+"",REGEXMATCH(Q255,""ElementResist_""),""%"",REGEXMATCH(Q255,""TemperatureInvalid_""),""bool"",REGEXMATCH(Q255,""BodyPartsWeakDamage""),""%"",REGEXMATCH(Q255,""Ele"&amp;"mentBoost_""),""%"",AND(REGEXMATCH(J255,""GiveA""),REGEXMATCH(Q255,""Element"")),""bool"")"),"#N/A")</f>
        <v>#N/A</v>
      </c>
      <c r="S255" s="6" t="n">
        <v>0</v>
      </c>
      <c r="T255" s="6"/>
      <c r="U255" s="319" t="b">
        <f aca="false">TRUE()</f>
        <v>1</v>
      </c>
      <c r="V255" s="319" t="b">
        <f aca="false">FALSE()</f>
        <v>0</v>
      </c>
      <c r="W255" s="319" t="b">
        <f aca="false">FALSE()</f>
        <v>0</v>
      </c>
      <c r="X255" s="319" t="b">
        <f aca="false">FALSE()</f>
        <v>0</v>
      </c>
      <c r="Y255" s="319" t="b">
        <f aca="false">FALSE()</f>
        <v>0</v>
      </c>
      <c r="Z255" s="319" t="b">
        <f aca="false">FALSE()</f>
        <v>0</v>
      </c>
      <c r="AA255" s="319" t="b">
        <f aca="false">FALSE()</f>
        <v>0</v>
      </c>
      <c r="AB255" s="319" t="b">
        <f aca="false">FALSE()</f>
        <v>0</v>
      </c>
      <c r="AC255" s="319" t="b">
        <f aca="false">FALSE()</f>
        <v>0</v>
      </c>
      <c r="AD255" s="319" t="b">
        <f aca="false">FALSE()</f>
        <v>0</v>
      </c>
      <c r="AE255" s="319" t="b">
        <f aca="false">FALSE()</f>
        <v>0</v>
      </c>
      <c r="AF255" s="319" t="b">
        <f aca="false">FALSE()</f>
        <v>0</v>
      </c>
      <c r="AG255" s="6" t="s">
        <v>182</v>
      </c>
      <c r="AH255" s="6" t="s">
        <v>182</v>
      </c>
    </row>
    <row r="256" customFormat="false" ht="15.75" hidden="false" customHeight="false" outlineLevel="0" collapsed="false">
      <c r="A256" s="1" t="e">
        <f aca="false">#N/A</f>
        <v>#N/A</v>
      </c>
      <c r="B256" s="6" t="s">
        <v>1035</v>
      </c>
      <c r="C256" s="3"/>
      <c r="D256" s="6" t="str">
        <f aca="false">I256   &amp; IF(ISBLANK(M256),, ". "&amp; M256 &amp; IF(ISBLANK(Q256),, ". "&amp; Q256))</f>
        <v>ElementAddItemDrop_Ice</v>
      </c>
      <c r="E256" s="6" t="str">
        <f aca="false">I256  &amp;": # on "&amp; L256  &amp; IF(ISBLANK(M256),, ". "&amp; M256 &amp;": # on "&amp; P256 &amp; IF(ISBLANK(Q256),, ". "&amp; Q256 &amp;": # on "&amp; T256))</f>
        <v>ElementAddItemDrop_Ice: # on SelfAndTrainer</v>
      </c>
      <c r="F256" s="6" t="str">
        <f aca="false">IF(U256,"active pal",)  &amp; IF(V256,"working",) &amp; IF(W256,"mounted",) &amp; IF(Y256,"in party (buff)",)  &amp; IF(Z256,"always",)</f>
        <v>active pal</v>
      </c>
      <c r="G256" s="6" t="n">
        <v>1</v>
      </c>
      <c r="H256" s="6" t="s">
        <v>182</v>
      </c>
      <c r="I256" s="6" t="s">
        <v>2322</v>
      </c>
      <c r="J256" s="6" t="str">
        <f aca="false">IFERROR(__xludf.dummyfunction("IFS(I256=""ShotAttack"",""%"",I256=""MeleeAttack"",""%"", I256=""Defense"",""%"",I256=""CraftSPeed"",""%"",I256=""LifeSteal"",""%"",I256=""MaxInventoryWeight"",""+"",I256=""MoveSpeed"",""%"",REGEXMATCH(I256,""ElementAddItemDrop_""),""%"",I256=""Logging"","&amp;"""+"",I256=""Mining"",""+"",I256=""Maxhp"",""%"",REGEXMATCH(I256,""TemperatureResist_""),""+"",REGEXMATCH(I256,""ElementResist_""),""%"",REGEXMATCH(I256,""TemperatureInvalid_""),""bool"",REGEXMATCH(I256,""BodyPartsWeakDamage""),""%"",REGEXMATCH(I256,""Ele"&amp;"mentBoost_""),""%"",AND(REGEXMATCH(B256,""GiveA""),REGEXMATCH(I256,""Element"")),""bool"")"),"%")</f>
        <v>%</v>
      </c>
      <c r="K256" s="6" t="n">
        <v>50</v>
      </c>
      <c r="L256" s="6" t="s">
        <v>2085</v>
      </c>
      <c r="M256" s="6"/>
      <c r="N256" s="6" t="str">
        <f aca="false">IFERROR(__xludf.dummyfunction("IFS(M256=""ShotAttack"",""%"",M256=""MeleeAttack"",""%"", M256=""Defense"",""%"",M256=""CraftSPeed"",""%"",M256=""LifeSteal"",""%"",M256=""MaxInventoryWeight"",""+"",M256=""MoveSpeed"",""%"",REGEXMATCH(M256,""ElementAddItemDrop_""),""%"",M256=""Logging"","&amp;"""+"",M256=""Mining"",""+"",M256=""Maxhp"",""%"",REGEXMATCH(M256,""TemperatureResist_""),""+"",REGEXMATCH(M256,""ElementResist_""),""%"",REGEXMATCH(M256,""TemperatureInvalid_""),""bool"",REGEXMATCH(M256,""BodyPartsWeakDamage""),""%"",REGEXMATCH(M256,""Ele"&amp;"mentBoost_""),""%"",AND(REGEXMATCH(F256,""GiveA""),REGEXMATCH(M256,""Element"")),""bool"")"),"#N/A")</f>
        <v>#N/A</v>
      </c>
      <c r="O256" s="6" t="n">
        <v>0</v>
      </c>
      <c r="P256" s="6"/>
      <c r="Q256" s="6"/>
      <c r="R256" s="6" t="str">
        <f aca="false">IFERROR(__xludf.dummyfunction("IFS(Q256=""ShotAttack"",""%"",Q256=""MeleeAttack"",""%"", Q256=""Defense"",""%"",Q256=""CraftSPeed"",""%"",Q256=""LifeSteal"",""%"",Q256=""MaxInventoryWeight"",""+"",Q256=""MoveSpeed"",""%"",REGEXMATCH(Q256,""ElementAddItemDrop_""),""%"",Q256=""Logging"","&amp;"""+"",Q256=""Mining"",""+"",Q256=""Maxhp"",""%"",REGEXMATCH(Q256,""TemperatureResist_""),""+"",REGEXMATCH(Q256,""ElementResist_""),""%"",REGEXMATCH(Q256,""TemperatureInvalid_""),""bool"",REGEXMATCH(Q256,""BodyPartsWeakDamage""),""%"",REGEXMATCH(Q256,""Ele"&amp;"mentBoost_""),""%"",AND(REGEXMATCH(J256,""GiveA""),REGEXMATCH(Q256,""Element"")),""bool"")"),"#N/A")</f>
        <v>#N/A</v>
      </c>
      <c r="S256" s="6" t="n">
        <v>0</v>
      </c>
      <c r="T256" s="6"/>
      <c r="U256" s="319" t="b">
        <f aca="false">TRUE()</f>
        <v>1</v>
      </c>
      <c r="V256" s="319" t="b">
        <f aca="false">FALSE()</f>
        <v>0</v>
      </c>
      <c r="W256" s="319" t="b">
        <f aca="false">FALSE()</f>
        <v>0</v>
      </c>
      <c r="X256" s="319" t="b">
        <f aca="false">FALSE()</f>
        <v>0</v>
      </c>
      <c r="Y256" s="319" t="b">
        <f aca="false">FALSE()</f>
        <v>0</v>
      </c>
      <c r="Z256" s="319" t="b">
        <f aca="false">FALSE()</f>
        <v>0</v>
      </c>
      <c r="AA256" s="319" t="b">
        <f aca="false">FALSE()</f>
        <v>0</v>
      </c>
      <c r="AB256" s="319" t="b">
        <f aca="false">FALSE()</f>
        <v>0</v>
      </c>
      <c r="AC256" s="319" t="b">
        <f aca="false">FALSE()</f>
        <v>0</v>
      </c>
      <c r="AD256" s="319" t="b">
        <f aca="false">FALSE()</f>
        <v>0</v>
      </c>
      <c r="AE256" s="319" t="b">
        <f aca="false">FALSE()</f>
        <v>0</v>
      </c>
      <c r="AF256" s="319" t="b">
        <f aca="false">FALSE()</f>
        <v>0</v>
      </c>
      <c r="AG256" s="6" t="s">
        <v>182</v>
      </c>
      <c r="AH256" s="6" t="s">
        <v>182</v>
      </c>
    </row>
    <row r="257" customFormat="false" ht="15.75" hidden="false" customHeight="false" outlineLevel="0" collapsed="false">
      <c r="A257" s="1" t="e">
        <f aca="false">#N/A</f>
        <v>#N/A</v>
      </c>
      <c r="B257" s="6" t="s">
        <v>1089</v>
      </c>
      <c r="C257" s="3"/>
      <c r="D257" s="6" t="str">
        <f aca="false">I257   &amp; IF(ISBLANK(M257),, ". "&amp; M257 &amp; IF(ISBLANK(Q257),, ". "&amp; Q257))</f>
        <v>ElementAddItemDrop_Earth</v>
      </c>
      <c r="E257" s="6" t="str">
        <f aca="false">I257  &amp;": # on "&amp; L257  &amp; IF(ISBLANK(M257),, ". "&amp; M257 &amp;": # on "&amp; P257 &amp; IF(ISBLANK(Q257),, ". "&amp; Q257 &amp;": # on "&amp; T257))</f>
        <v>ElementAddItemDrop_Earth: # on SelfAndTrainer</v>
      </c>
      <c r="F257" s="6" t="str">
        <f aca="false">IF(U257,"active pal",)  &amp; IF(V257,"working",) &amp; IF(W257,"mounted",) &amp; IF(Y257,"in party (buff)",)  &amp; IF(Z257,"always",)</f>
        <v>active pal</v>
      </c>
      <c r="G257" s="6" t="n">
        <v>1</v>
      </c>
      <c r="H257" s="6" t="s">
        <v>182</v>
      </c>
      <c r="I257" s="6" t="s">
        <v>2323</v>
      </c>
      <c r="J257" s="6" t="str">
        <f aca="false">IFERROR(__xludf.dummyfunction("IFS(I257=""ShotAttack"",""%"",I257=""MeleeAttack"",""%"", I257=""Defense"",""%"",I257=""CraftSPeed"",""%"",I257=""LifeSteal"",""%"",I257=""MaxInventoryWeight"",""+"",I257=""MoveSpeed"",""%"",REGEXMATCH(I257,""ElementAddItemDrop_""),""%"",I257=""Logging"","&amp;"""+"",I257=""Mining"",""+"",I257=""Maxhp"",""%"",REGEXMATCH(I257,""TemperatureResist_""),""+"",REGEXMATCH(I257,""ElementResist_""),""%"",REGEXMATCH(I257,""TemperatureInvalid_""),""bool"",REGEXMATCH(I257,""BodyPartsWeakDamage""),""%"",REGEXMATCH(I257,""Ele"&amp;"mentBoost_""),""%"",AND(REGEXMATCH(B257,""GiveA""),REGEXMATCH(I257,""Element"")),""bool"")"),"%")</f>
        <v>%</v>
      </c>
      <c r="K257" s="6" t="n">
        <v>50</v>
      </c>
      <c r="L257" s="6" t="s">
        <v>2085</v>
      </c>
      <c r="M257" s="6"/>
      <c r="N257" s="6" t="str">
        <f aca="false">IFERROR(__xludf.dummyfunction("IFS(M257=""ShotAttack"",""%"",M257=""MeleeAttack"",""%"", M257=""Defense"",""%"",M257=""CraftSPeed"",""%"",M257=""LifeSteal"",""%"",M257=""MaxInventoryWeight"",""+"",M257=""MoveSpeed"",""%"",REGEXMATCH(M257,""ElementAddItemDrop_""),""%"",M257=""Logging"","&amp;"""+"",M257=""Mining"",""+"",M257=""Maxhp"",""%"",REGEXMATCH(M257,""TemperatureResist_""),""+"",REGEXMATCH(M257,""ElementResist_""),""%"",REGEXMATCH(M257,""TemperatureInvalid_""),""bool"",REGEXMATCH(M257,""BodyPartsWeakDamage""),""%"",REGEXMATCH(M257,""Ele"&amp;"mentBoost_""),""%"",AND(REGEXMATCH(F257,""GiveA""),REGEXMATCH(M257,""Element"")),""bool"")"),"#N/A")</f>
        <v>#N/A</v>
      </c>
      <c r="O257" s="6" t="n">
        <v>0</v>
      </c>
      <c r="P257" s="6"/>
      <c r="Q257" s="6"/>
      <c r="R257" s="6" t="str">
        <f aca="false">IFERROR(__xludf.dummyfunction("IFS(Q257=""ShotAttack"",""%"",Q257=""MeleeAttack"",""%"", Q257=""Defense"",""%"",Q257=""CraftSPeed"",""%"",Q257=""LifeSteal"",""%"",Q257=""MaxInventoryWeight"",""+"",Q257=""MoveSpeed"",""%"",REGEXMATCH(Q257,""ElementAddItemDrop_""),""%"",Q257=""Logging"","&amp;"""+"",Q257=""Mining"",""+"",Q257=""Maxhp"",""%"",REGEXMATCH(Q257,""TemperatureResist_""),""+"",REGEXMATCH(Q257,""ElementResist_""),""%"",REGEXMATCH(Q257,""TemperatureInvalid_""),""bool"",REGEXMATCH(Q257,""BodyPartsWeakDamage""),""%"",REGEXMATCH(Q257,""Ele"&amp;"mentBoost_""),""%"",AND(REGEXMATCH(J257,""GiveA""),REGEXMATCH(Q257,""Element"")),""bool"")"),"#N/A")</f>
        <v>#N/A</v>
      </c>
      <c r="S257" s="6" t="n">
        <v>0</v>
      </c>
      <c r="T257" s="6"/>
      <c r="U257" s="319" t="b">
        <f aca="false">TRUE()</f>
        <v>1</v>
      </c>
      <c r="V257" s="319" t="b">
        <f aca="false">FALSE()</f>
        <v>0</v>
      </c>
      <c r="W257" s="319" t="b">
        <f aca="false">FALSE()</f>
        <v>0</v>
      </c>
      <c r="X257" s="319" t="b">
        <f aca="false">FALSE()</f>
        <v>0</v>
      </c>
      <c r="Y257" s="319" t="b">
        <f aca="false">FALSE()</f>
        <v>0</v>
      </c>
      <c r="Z257" s="319" t="b">
        <f aca="false">FALSE()</f>
        <v>0</v>
      </c>
      <c r="AA257" s="319" t="b">
        <f aca="false">FALSE()</f>
        <v>0</v>
      </c>
      <c r="AB257" s="319" t="b">
        <f aca="false">FALSE()</f>
        <v>0</v>
      </c>
      <c r="AC257" s="319" t="b">
        <f aca="false">FALSE()</f>
        <v>0</v>
      </c>
      <c r="AD257" s="319" t="b">
        <f aca="false">FALSE()</f>
        <v>0</v>
      </c>
      <c r="AE257" s="319" t="b">
        <f aca="false">FALSE()</f>
        <v>0</v>
      </c>
      <c r="AF257" s="319" t="b">
        <f aca="false">FALSE()</f>
        <v>0</v>
      </c>
      <c r="AG257" s="6" t="s">
        <v>182</v>
      </c>
      <c r="AH257" s="6" t="s">
        <v>182</v>
      </c>
    </row>
    <row r="258" customFormat="false" ht="15.75" hidden="false" customHeight="false" outlineLevel="0" collapsed="false">
      <c r="A258" s="1" t="e">
        <f aca="false">#N/A</f>
        <v>#N/A</v>
      </c>
      <c r="B258" s="6" t="s">
        <v>916</v>
      </c>
      <c r="C258" s="3"/>
      <c r="D258" s="6" t="str">
        <f aca="false">I258   &amp; IF(ISBLANK(M258),, ". "&amp; M258 &amp; IF(ISBLANK(Q258),, ". "&amp; Q258))</f>
        <v>ElementAddItemDrop_Dark</v>
      </c>
      <c r="E258" s="6" t="str">
        <f aca="false">I258  &amp;": # on "&amp; L258  &amp; IF(ISBLANK(M258),, ". "&amp; M258 &amp;": # on "&amp; P258 &amp; IF(ISBLANK(Q258),, ". "&amp; Q258 &amp;": # on "&amp; T258))</f>
        <v>ElementAddItemDrop_Dark: # on SelfAndTrainer</v>
      </c>
      <c r="F258" s="6" t="str">
        <f aca="false">IF(U258,"active pal",)  &amp; IF(V258,"working",) &amp; IF(W258,"mounted",) &amp; IF(Y258,"in party (buff)",)  &amp; IF(Z258,"always",)</f>
        <v>active pal</v>
      </c>
      <c r="G258" s="6" t="n">
        <v>1</v>
      </c>
      <c r="H258" s="6" t="s">
        <v>182</v>
      </c>
      <c r="I258" s="6" t="s">
        <v>2324</v>
      </c>
      <c r="J258" s="6" t="str">
        <f aca="false">IFERROR(__xludf.dummyfunction("IFS(I258=""ShotAttack"",""%"",I258=""MeleeAttack"",""%"", I258=""Defense"",""%"",I258=""CraftSPeed"",""%"",I258=""LifeSteal"",""%"",I258=""MaxInventoryWeight"",""+"",I258=""MoveSpeed"",""%"",REGEXMATCH(I258,""ElementAddItemDrop_""),""%"",I258=""Logging"","&amp;"""+"",I258=""Mining"",""+"",I258=""Maxhp"",""%"",REGEXMATCH(I258,""TemperatureResist_""),""+"",REGEXMATCH(I258,""ElementResist_""),""%"",REGEXMATCH(I258,""TemperatureInvalid_""),""bool"",REGEXMATCH(I258,""BodyPartsWeakDamage""),""%"",REGEXMATCH(I258,""Ele"&amp;"mentBoost_""),""%"",AND(REGEXMATCH(B258,""GiveA""),REGEXMATCH(I258,""Element"")),""bool"")"),"%")</f>
        <v>%</v>
      </c>
      <c r="K258" s="6" t="n">
        <v>50</v>
      </c>
      <c r="L258" s="6" t="s">
        <v>2085</v>
      </c>
      <c r="M258" s="6"/>
      <c r="N258" s="6" t="str">
        <f aca="false">IFERROR(__xludf.dummyfunction("IFS(M258=""ShotAttack"",""%"",M258=""MeleeAttack"",""%"", M258=""Defense"",""%"",M258=""CraftSPeed"",""%"",M258=""LifeSteal"",""%"",M258=""MaxInventoryWeight"",""+"",M258=""MoveSpeed"",""%"",REGEXMATCH(M258,""ElementAddItemDrop_""),""%"",M258=""Logging"","&amp;"""+"",M258=""Mining"",""+"",M258=""Maxhp"",""%"",REGEXMATCH(M258,""TemperatureResist_""),""+"",REGEXMATCH(M258,""ElementResist_""),""%"",REGEXMATCH(M258,""TemperatureInvalid_""),""bool"",REGEXMATCH(M258,""BodyPartsWeakDamage""),""%"",REGEXMATCH(M258,""Ele"&amp;"mentBoost_""),""%"",AND(REGEXMATCH(F258,""GiveA""),REGEXMATCH(M258,""Element"")),""bool"")"),"#N/A")</f>
        <v>#N/A</v>
      </c>
      <c r="O258" s="6" t="n">
        <v>0</v>
      </c>
      <c r="P258" s="6"/>
      <c r="Q258" s="6"/>
      <c r="R258" s="6" t="str">
        <f aca="false">IFERROR(__xludf.dummyfunction("IFS(Q258=""ShotAttack"",""%"",Q258=""MeleeAttack"",""%"", Q258=""Defense"",""%"",Q258=""CraftSPeed"",""%"",Q258=""LifeSteal"",""%"",Q258=""MaxInventoryWeight"",""+"",Q258=""MoveSpeed"",""%"",REGEXMATCH(Q258,""ElementAddItemDrop_""),""%"",Q258=""Logging"","&amp;"""+"",Q258=""Mining"",""+"",Q258=""Maxhp"",""%"",REGEXMATCH(Q258,""TemperatureResist_""),""+"",REGEXMATCH(Q258,""ElementResist_""),""%"",REGEXMATCH(Q258,""TemperatureInvalid_""),""bool"",REGEXMATCH(Q258,""BodyPartsWeakDamage""),""%"",REGEXMATCH(Q258,""Ele"&amp;"mentBoost_""),""%"",AND(REGEXMATCH(J258,""GiveA""),REGEXMATCH(Q258,""Element"")),""bool"")"),"#N/A")</f>
        <v>#N/A</v>
      </c>
      <c r="S258" s="6" t="n">
        <v>0</v>
      </c>
      <c r="T258" s="6"/>
      <c r="U258" s="319" t="b">
        <f aca="false">TRUE()</f>
        <v>1</v>
      </c>
      <c r="V258" s="319" t="b">
        <f aca="false">FALSE()</f>
        <v>0</v>
      </c>
      <c r="W258" s="319" t="b">
        <f aca="false">FALSE()</f>
        <v>0</v>
      </c>
      <c r="X258" s="319" t="b">
        <f aca="false">FALSE()</f>
        <v>0</v>
      </c>
      <c r="Y258" s="319" t="b">
        <f aca="false">FALSE()</f>
        <v>0</v>
      </c>
      <c r="Z258" s="319" t="b">
        <f aca="false">FALSE()</f>
        <v>0</v>
      </c>
      <c r="AA258" s="319" t="b">
        <f aca="false">FALSE()</f>
        <v>0</v>
      </c>
      <c r="AB258" s="319" t="b">
        <f aca="false">FALSE()</f>
        <v>0</v>
      </c>
      <c r="AC258" s="319" t="b">
        <f aca="false">FALSE()</f>
        <v>0</v>
      </c>
      <c r="AD258" s="319" t="b">
        <f aca="false">FALSE()</f>
        <v>0</v>
      </c>
      <c r="AE258" s="319" t="b">
        <f aca="false">FALSE()</f>
        <v>0</v>
      </c>
      <c r="AF258" s="319" t="b">
        <f aca="false">FALSE()</f>
        <v>0</v>
      </c>
      <c r="AG258" s="6" t="s">
        <v>182</v>
      </c>
      <c r="AH258" s="6" t="s">
        <v>182</v>
      </c>
    </row>
    <row r="259" customFormat="false" ht="15.75" hidden="false" customHeight="false" outlineLevel="0" collapsed="false">
      <c r="A259" s="1" t="e">
        <f aca="false">#N/A</f>
        <v>#N/A</v>
      </c>
      <c r="B259" s="6" t="s">
        <v>934</v>
      </c>
      <c r="C259" s="3"/>
      <c r="D259" s="6" t="str">
        <f aca="false">I259   &amp; IF(ISBLANK(M259),, ". "&amp; M259 &amp; IF(ISBLANK(Q259),, ". "&amp; Q259))</f>
        <v>ElementAddItemDrop_Dragon</v>
      </c>
      <c r="E259" s="6" t="str">
        <f aca="false">I259  &amp;": # on "&amp; L259  &amp; IF(ISBLANK(M259),, ". "&amp; M259 &amp;": # on "&amp; P259 &amp; IF(ISBLANK(Q259),, ". "&amp; Q259 &amp;": # on "&amp; T259))</f>
        <v>ElementAddItemDrop_Dragon: # on SelfAndTrainer</v>
      </c>
      <c r="F259" s="6" t="str">
        <f aca="false">IF(U259,"active pal",)  &amp; IF(V259,"working",) &amp; IF(W259,"mounted",) &amp; IF(Y259,"in party (buff)",)  &amp; IF(Z259,"always",)</f>
        <v>active pal</v>
      </c>
      <c r="G259" s="6" t="n">
        <v>1</v>
      </c>
      <c r="H259" s="6" t="s">
        <v>182</v>
      </c>
      <c r="I259" s="6" t="s">
        <v>2325</v>
      </c>
      <c r="J259" s="6" t="str">
        <f aca="false">IFERROR(__xludf.dummyfunction("IFS(I259=""ShotAttack"",""%"",I259=""MeleeAttack"",""%"", I259=""Defense"",""%"",I259=""CraftSPeed"",""%"",I259=""LifeSteal"",""%"",I259=""MaxInventoryWeight"",""+"",I259=""MoveSpeed"",""%"",REGEXMATCH(I259,""ElementAddItemDrop_""),""%"",I259=""Logging"","&amp;"""+"",I259=""Mining"",""+"",I259=""Maxhp"",""%"",REGEXMATCH(I259,""TemperatureResist_""),""+"",REGEXMATCH(I259,""ElementResist_""),""%"",REGEXMATCH(I259,""TemperatureInvalid_""),""bool"",REGEXMATCH(I259,""BodyPartsWeakDamage""),""%"",REGEXMATCH(I259,""Ele"&amp;"mentBoost_""),""%"",AND(REGEXMATCH(B259,""GiveA""),REGEXMATCH(I259,""Element"")),""bool"")"),"%")</f>
        <v>%</v>
      </c>
      <c r="K259" s="6" t="n">
        <v>50</v>
      </c>
      <c r="L259" s="6" t="s">
        <v>2085</v>
      </c>
      <c r="M259" s="6"/>
      <c r="N259" s="6" t="str">
        <f aca="false">IFERROR(__xludf.dummyfunction("IFS(M259=""ShotAttack"",""%"",M259=""MeleeAttack"",""%"", M259=""Defense"",""%"",M259=""CraftSPeed"",""%"",M259=""LifeSteal"",""%"",M259=""MaxInventoryWeight"",""+"",M259=""MoveSpeed"",""%"",REGEXMATCH(M259,""ElementAddItemDrop_""),""%"",M259=""Logging"","&amp;"""+"",M259=""Mining"",""+"",M259=""Maxhp"",""%"",REGEXMATCH(M259,""TemperatureResist_""),""+"",REGEXMATCH(M259,""ElementResist_""),""%"",REGEXMATCH(M259,""TemperatureInvalid_""),""bool"",REGEXMATCH(M259,""BodyPartsWeakDamage""),""%"",REGEXMATCH(M259,""Ele"&amp;"mentBoost_""),""%"",AND(REGEXMATCH(F259,""GiveA""),REGEXMATCH(M259,""Element"")),""bool"")"),"#N/A")</f>
        <v>#N/A</v>
      </c>
      <c r="O259" s="6" t="n">
        <v>0</v>
      </c>
      <c r="P259" s="6"/>
      <c r="Q259" s="6"/>
      <c r="R259" s="6" t="str">
        <f aca="false">IFERROR(__xludf.dummyfunction("IFS(Q259=""ShotAttack"",""%"",Q259=""MeleeAttack"",""%"", Q259=""Defense"",""%"",Q259=""CraftSPeed"",""%"",Q259=""LifeSteal"",""%"",Q259=""MaxInventoryWeight"",""+"",Q259=""MoveSpeed"",""%"",REGEXMATCH(Q259,""ElementAddItemDrop_""),""%"",Q259=""Logging"","&amp;"""+"",Q259=""Mining"",""+"",Q259=""Maxhp"",""%"",REGEXMATCH(Q259,""TemperatureResist_""),""+"",REGEXMATCH(Q259,""ElementResist_""),""%"",REGEXMATCH(Q259,""TemperatureInvalid_""),""bool"",REGEXMATCH(Q259,""BodyPartsWeakDamage""),""%"",REGEXMATCH(Q259,""Ele"&amp;"mentBoost_""),""%"",AND(REGEXMATCH(J259,""GiveA""),REGEXMATCH(Q259,""Element"")),""bool"")"),"#N/A")</f>
        <v>#N/A</v>
      </c>
      <c r="S259" s="6" t="n">
        <v>0</v>
      </c>
      <c r="T259" s="6"/>
      <c r="U259" s="319" t="b">
        <f aca="false">TRUE()</f>
        <v>1</v>
      </c>
      <c r="V259" s="319" t="b">
        <f aca="false">FALSE()</f>
        <v>0</v>
      </c>
      <c r="W259" s="319" t="b">
        <f aca="false">FALSE()</f>
        <v>0</v>
      </c>
      <c r="X259" s="319" t="b">
        <f aca="false">FALSE()</f>
        <v>0</v>
      </c>
      <c r="Y259" s="319" t="b">
        <f aca="false">FALSE()</f>
        <v>0</v>
      </c>
      <c r="Z259" s="319" t="b">
        <f aca="false">FALSE()</f>
        <v>0</v>
      </c>
      <c r="AA259" s="319" t="b">
        <f aca="false">FALSE()</f>
        <v>0</v>
      </c>
      <c r="AB259" s="319" t="b">
        <f aca="false">FALSE()</f>
        <v>0</v>
      </c>
      <c r="AC259" s="319" t="b">
        <f aca="false">FALSE()</f>
        <v>0</v>
      </c>
      <c r="AD259" s="319" t="b">
        <f aca="false">FALSE()</f>
        <v>0</v>
      </c>
      <c r="AE259" s="319" t="b">
        <f aca="false">FALSE()</f>
        <v>0</v>
      </c>
      <c r="AF259" s="319" t="b">
        <f aca="false">FALSE()</f>
        <v>0</v>
      </c>
      <c r="AG259" s="6" t="s">
        <v>182</v>
      </c>
      <c r="AH259" s="6" t="s">
        <v>182</v>
      </c>
    </row>
    <row r="260" customFormat="false" ht="15.75" hidden="false" customHeight="false" outlineLevel="0" collapsed="false">
      <c r="A260" s="1" t="e">
        <f aca="false">#N/A</f>
        <v>#N/A</v>
      </c>
      <c r="B260" s="6" t="s">
        <v>1153</v>
      </c>
      <c r="C260" s="3"/>
      <c r="D260" s="6" t="str">
        <f aca="false">I260   &amp; IF(ISBLANK(M260),, ". "&amp; M260 &amp; IF(ISBLANK(Q260),, ". "&amp; Q260))</f>
        <v>ElementAddItemDrop_Normal</v>
      </c>
      <c r="E260" s="6" t="str">
        <f aca="false">I260  &amp;": # on "&amp; L260  &amp; IF(ISBLANK(M260),, ". "&amp; M260 &amp;": # on "&amp; P260 &amp; IF(ISBLANK(Q260),, ". "&amp; Q260 &amp;": # on "&amp; T260))</f>
        <v>ElementAddItemDrop_Normal: # on SelfAndTrainer</v>
      </c>
      <c r="F260" s="6" t="str">
        <f aca="false">IF(U260,"active pal",)  &amp; IF(V260,"working",) &amp; IF(W260,"mounted",) &amp; IF(Y260,"in party (buff)",)  &amp; IF(Z260,"always",)</f>
        <v>active pal</v>
      </c>
      <c r="G260" s="6" t="n">
        <v>1</v>
      </c>
      <c r="H260" s="6" t="s">
        <v>182</v>
      </c>
      <c r="I260" s="6" t="s">
        <v>2317</v>
      </c>
      <c r="J260" s="6" t="str">
        <f aca="false">IFERROR(__xludf.dummyfunction("IFS(I260=""ShotAttack"",""%"",I260=""MeleeAttack"",""%"", I260=""Defense"",""%"",I260=""CraftSPeed"",""%"",I260=""LifeSteal"",""%"",I260=""MaxInventoryWeight"",""+"",I260=""MoveSpeed"",""%"",REGEXMATCH(I260,""ElementAddItemDrop_""),""%"",I260=""Logging"","&amp;"""+"",I260=""Mining"",""+"",I260=""Maxhp"",""%"",REGEXMATCH(I260,""TemperatureResist_""),""+"",REGEXMATCH(I260,""ElementResist_""),""%"",REGEXMATCH(I260,""TemperatureInvalid_""),""bool"",REGEXMATCH(I260,""BodyPartsWeakDamage""),""%"",REGEXMATCH(I260,""Ele"&amp;"mentBoost_""),""%"",AND(REGEXMATCH(B260,""GiveA""),REGEXMATCH(I260,""Element"")),""bool"")"),"%")</f>
        <v>%</v>
      </c>
      <c r="K260" s="6" t="n">
        <v>60</v>
      </c>
      <c r="L260" s="6" t="s">
        <v>2085</v>
      </c>
      <c r="M260" s="6"/>
      <c r="N260" s="6" t="str">
        <f aca="false">IFERROR(__xludf.dummyfunction("IFS(M260=""ShotAttack"",""%"",M260=""MeleeAttack"",""%"", M260=""Defense"",""%"",M260=""CraftSPeed"",""%"",M260=""LifeSteal"",""%"",M260=""MaxInventoryWeight"",""+"",M260=""MoveSpeed"",""%"",REGEXMATCH(M260,""ElementAddItemDrop_""),""%"",M260=""Logging"","&amp;"""+"",M260=""Mining"",""+"",M260=""Maxhp"",""%"",REGEXMATCH(M260,""TemperatureResist_""),""+"",REGEXMATCH(M260,""ElementResist_""),""%"",REGEXMATCH(M260,""TemperatureInvalid_""),""bool"",REGEXMATCH(M260,""BodyPartsWeakDamage""),""%"",REGEXMATCH(M260,""Ele"&amp;"mentBoost_""),""%"",AND(REGEXMATCH(F260,""GiveA""),REGEXMATCH(M260,""Element"")),""bool"")"),"#N/A")</f>
        <v>#N/A</v>
      </c>
      <c r="O260" s="6" t="n">
        <v>0</v>
      </c>
      <c r="P260" s="6"/>
      <c r="Q260" s="6"/>
      <c r="R260" s="6" t="str">
        <f aca="false">IFERROR(__xludf.dummyfunction("IFS(Q260=""ShotAttack"",""%"",Q260=""MeleeAttack"",""%"", Q260=""Defense"",""%"",Q260=""CraftSPeed"",""%"",Q260=""LifeSteal"",""%"",Q260=""MaxInventoryWeight"",""+"",Q260=""MoveSpeed"",""%"",REGEXMATCH(Q260,""ElementAddItemDrop_""),""%"",Q260=""Logging"","&amp;"""+"",Q260=""Mining"",""+"",Q260=""Maxhp"",""%"",REGEXMATCH(Q260,""TemperatureResist_""),""+"",REGEXMATCH(Q260,""ElementResist_""),""%"",REGEXMATCH(Q260,""TemperatureInvalid_""),""bool"",REGEXMATCH(Q260,""BodyPartsWeakDamage""),""%"",REGEXMATCH(Q260,""Ele"&amp;"mentBoost_""),""%"",AND(REGEXMATCH(J260,""GiveA""),REGEXMATCH(Q260,""Element"")),""bool"")"),"#N/A")</f>
        <v>#N/A</v>
      </c>
      <c r="S260" s="6" t="n">
        <v>0</v>
      </c>
      <c r="T260" s="6"/>
      <c r="U260" s="319" t="b">
        <f aca="false">TRUE()</f>
        <v>1</v>
      </c>
      <c r="V260" s="319" t="b">
        <f aca="false">FALSE()</f>
        <v>0</v>
      </c>
      <c r="W260" s="319" t="b">
        <f aca="false">FALSE()</f>
        <v>0</v>
      </c>
      <c r="X260" s="319" t="b">
        <f aca="false">FALSE()</f>
        <v>0</v>
      </c>
      <c r="Y260" s="319" t="b">
        <f aca="false">FALSE()</f>
        <v>0</v>
      </c>
      <c r="Z260" s="319" t="b">
        <f aca="false">FALSE()</f>
        <v>0</v>
      </c>
      <c r="AA260" s="319" t="b">
        <f aca="false">FALSE()</f>
        <v>0</v>
      </c>
      <c r="AB260" s="319" t="b">
        <f aca="false">FALSE()</f>
        <v>0</v>
      </c>
      <c r="AC260" s="319" t="b">
        <f aca="false">FALSE()</f>
        <v>0</v>
      </c>
      <c r="AD260" s="319" t="b">
        <f aca="false">FALSE()</f>
        <v>0</v>
      </c>
      <c r="AE260" s="319" t="b">
        <f aca="false">FALSE()</f>
        <v>0</v>
      </c>
      <c r="AF260" s="319" t="b">
        <f aca="false">FALSE()</f>
        <v>0</v>
      </c>
      <c r="AG260" s="6" t="s">
        <v>182</v>
      </c>
      <c r="AH260" s="6" t="s">
        <v>182</v>
      </c>
    </row>
    <row r="261" customFormat="false" ht="15.75" hidden="false" customHeight="false" outlineLevel="0" collapsed="false">
      <c r="A261" s="1" t="e">
        <f aca="false">#N/A</f>
        <v>#N/A</v>
      </c>
      <c r="B261" s="6" t="s">
        <v>923</v>
      </c>
      <c r="C261" s="3"/>
      <c r="D261" s="6" t="str">
        <f aca="false">I261   &amp; IF(ISBLANK(M261),, ". "&amp; M261 &amp; IF(ISBLANK(Q261),, ". "&amp; Q261))</f>
        <v>ElementAddItemDrop_Fire</v>
      </c>
      <c r="E261" s="6" t="str">
        <f aca="false">I261  &amp;": # on "&amp; L261  &amp; IF(ISBLANK(M261),, ". "&amp; M261 &amp;": # on "&amp; P261 &amp; IF(ISBLANK(Q261),, ". "&amp; Q261 &amp;": # on "&amp; T261))</f>
        <v>ElementAddItemDrop_Fire: # on SelfAndTrainer</v>
      </c>
      <c r="F261" s="6" t="str">
        <f aca="false">IF(U261,"active pal",)  &amp; IF(V261,"working",) &amp; IF(W261,"mounted",) &amp; IF(Y261,"in party (buff)",)  &amp; IF(Z261,"always",)</f>
        <v>active pal</v>
      </c>
      <c r="G261" s="6" t="n">
        <v>1</v>
      </c>
      <c r="H261" s="6" t="s">
        <v>182</v>
      </c>
      <c r="I261" s="6" t="s">
        <v>2318</v>
      </c>
      <c r="J261" s="6" t="str">
        <f aca="false">IFERROR(__xludf.dummyfunction("IFS(I261=""ShotAttack"",""%"",I261=""MeleeAttack"",""%"", I261=""Defense"",""%"",I261=""CraftSPeed"",""%"",I261=""LifeSteal"",""%"",I261=""MaxInventoryWeight"",""+"",I261=""MoveSpeed"",""%"",REGEXMATCH(I261,""ElementAddItemDrop_""),""%"",I261=""Logging"","&amp;"""+"",I261=""Mining"",""+"",I261=""Maxhp"",""%"",REGEXMATCH(I261,""TemperatureResist_""),""+"",REGEXMATCH(I261,""ElementResist_""),""%"",REGEXMATCH(I261,""TemperatureInvalid_""),""bool"",REGEXMATCH(I261,""BodyPartsWeakDamage""),""%"",REGEXMATCH(I261,""Ele"&amp;"mentBoost_""),""%"",AND(REGEXMATCH(B261,""GiveA""),REGEXMATCH(I261,""Element"")),""bool"")"),"%")</f>
        <v>%</v>
      </c>
      <c r="K261" s="6" t="n">
        <v>60</v>
      </c>
      <c r="L261" s="6" t="s">
        <v>2085</v>
      </c>
      <c r="M261" s="6"/>
      <c r="N261" s="6" t="str">
        <f aca="false">IFERROR(__xludf.dummyfunction("IFS(M261=""ShotAttack"",""%"",M261=""MeleeAttack"",""%"", M261=""Defense"",""%"",M261=""CraftSPeed"",""%"",M261=""LifeSteal"",""%"",M261=""MaxInventoryWeight"",""+"",M261=""MoveSpeed"",""%"",REGEXMATCH(M261,""ElementAddItemDrop_""),""%"",M261=""Logging"","&amp;"""+"",M261=""Mining"",""+"",M261=""Maxhp"",""%"",REGEXMATCH(M261,""TemperatureResist_""),""+"",REGEXMATCH(M261,""ElementResist_""),""%"",REGEXMATCH(M261,""TemperatureInvalid_""),""bool"",REGEXMATCH(M261,""BodyPartsWeakDamage""),""%"",REGEXMATCH(M261,""Ele"&amp;"mentBoost_""),""%"",AND(REGEXMATCH(F261,""GiveA""),REGEXMATCH(M261,""Element"")),""bool"")"),"#N/A")</f>
        <v>#N/A</v>
      </c>
      <c r="O261" s="6" t="n">
        <v>0</v>
      </c>
      <c r="P261" s="6"/>
      <c r="Q261" s="6"/>
      <c r="R261" s="6" t="str">
        <f aca="false">IFERROR(__xludf.dummyfunction("IFS(Q261=""ShotAttack"",""%"",Q261=""MeleeAttack"",""%"", Q261=""Defense"",""%"",Q261=""CraftSPeed"",""%"",Q261=""LifeSteal"",""%"",Q261=""MaxInventoryWeight"",""+"",Q261=""MoveSpeed"",""%"",REGEXMATCH(Q261,""ElementAddItemDrop_""),""%"",Q261=""Logging"","&amp;"""+"",Q261=""Mining"",""+"",Q261=""Maxhp"",""%"",REGEXMATCH(Q261,""TemperatureResist_""),""+"",REGEXMATCH(Q261,""ElementResist_""),""%"",REGEXMATCH(Q261,""TemperatureInvalid_""),""bool"",REGEXMATCH(Q261,""BodyPartsWeakDamage""),""%"",REGEXMATCH(Q261,""Ele"&amp;"mentBoost_""),""%"",AND(REGEXMATCH(J261,""GiveA""),REGEXMATCH(Q261,""Element"")),""bool"")"),"#N/A")</f>
        <v>#N/A</v>
      </c>
      <c r="S261" s="6" t="n">
        <v>0</v>
      </c>
      <c r="T261" s="6"/>
      <c r="U261" s="319" t="b">
        <f aca="false">TRUE()</f>
        <v>1</v>
      </c>
      <c r="V261" s="319" t="b">
        <f aca="false">FALSE()</f>
        <v>0</v>
      </c>
      <c r="W261" s="319" t="b">
        <f aca="false">FALSE()</f>
        <v>0</v>
      </c>
      <c r="X261" s="319" t="b">
        <f aca="false">FALSE()</f>
        <v>0</v>
      </c>
      <c r="Y261" s="319" t="b">
        <f aca="false">FALSE()</f>
        <v>0</v>
      </c>
      <c r="Z261" s="319" t="b">
        <f aca="false">FALSE()</f>
        <v>0</v>
      </c>
      <c r="AA261" s="319" t="b">
        <f aca="false">FALSE()</f>
        <v>0</v>
      </c>
      <c r="AB261" s="319" t="b">
        <f aca="false">FALSE()</f>
        <v>0</v>
      </c>
      <c r="AC261" s="319" t="b">
        <f aca="false">FALSE()</f>
        <v>0</v>
      </c>
      <c r="AD261" s="319" t="b">
        <f aca="false">FALSE()</f>
        <v>0</v>
      </c>
      <c r="AE261" s="319" t="b">
        <f aca="false">FALSE()</f>
        <v>0</v>
      </c>
      <c r="AF261" s="319" t="b">
        <f aca="false">FALSE()</f>
        <v>0</v>
      </c>
      <c r="AG261" s="6" t="s">
        <v>182</v>
      </c>
      <c r="AH261" s="6" t="s">
        <v>182</v>
      </c>
    </row>
    <row r="262" customFormat="false" ht="15.75" hidden="false" customHeight="false" outlineLevel="0" collapsed="false">
      <c r="A262" s="1" t="e">
        <f aca="false">#N/A</f>
        <v>#N/A</v>
      </c>
      <c r="B262" s="6" t="s">
        <v>1233</v>
      </c>
      <c r="C262" s="3"/>
      <c r="D262" s="6" t="str">
        <f aca="false">I262   &amp; IF(ISBLANK(M262),, ". "&amp; M262 &amp; IF(ISBLANK(Q262),, ". "&amp; Q262))</f>
        <v>ElementAddItemDrop_Water</v>
      </c>
      <c r="E262" s="6" t="str">
        <f aca="false">I262  &amp;": # on "&amp; L262  &amp; IF(ISBLANK(M262),, ". "&amp; M262 &amp;": # on "&amp; P262 &amp; IF(ISBLANK(Q262),, ". "&amp; Q262 &amp;": # on "&amp; T262))</f>
        <v>ElementAddItemDrop_Water: # on SelfAndTrainer</v>
      </c>
      <c r="F262" s="6" t="str">
        <f aca="false">IF(U262,"active pal",)  &amp; IF(V262,"working",) &amp; IF(W262,"mounted",) &amp; IF(Y262,"in party (buff)",)  &amp; IF(Z262,"always",)</f>
        <v>active pal</v>
      </c>
      <c r="G262" s="6" t="n">
        <v>1</v>
      </c>
      <c r="H262" s="6" t="s">
        <v>182</v>
      </c>
      <c r="I262" s="6" t="s">
        <v>2319</v>
      </c>
      <c r="J262" s="6" t="str">
        <f aca="false">IFERROR(__xludf.dummyfunction("IFS(I262=""ShotAttack"",""%"",I262=""MeleeAttack"",""%"", I262=""Defense"",""%"",I262=""CraftSPeed"",""%"",I262=""LifeSteal"",""%"",I262=""MaxInventoryWeight"",""+"",I262=""MoveSpeed"",""%"",REGEXMATCH(I262,""ElementAddItemDrop_""),""%"",I262=""Logging"","&amp;"""+"",I262=""Mining"",""+"",I262=""Maxhp"",""%"",REGEXMATCH(I262,""TemperatureResist_""),""+"",REGEXMATCH(I262,""ElementResist_""),""%"",REGEXMATCH(I262,""TemperatureInvalid_""),""bool"",REGEXMATCH(I262,""BodyPartsWeakDamage""),""%"",REGEXMATCH(I262,""Ele"&amp;"mentBoost_""),""%"",AND(REGEXMATCH(B262,""GiveA""),REGEXMATCH(I262,""Element"")),""bool"")"),"%")</f>
        <v>%</v>
      </c>
      <c r="K262" s="6" t="n">
        <v>60</v>
      </c>
      <c r="L262" s="6" t="s">
        <v>2085</v>
      </c>
      <c r="M262" s="6"/>
      <c r="N262" s="6" t="str">
        <f aca="false">IFERROR(__xludf.dummyfunction("IFS(M262=""ShotAttack"",""%"",M262=""MeleeAttack"",""%"", M262=""Defense"",""%"",M262=""CraftSPeed"",""%"",M262=""LifeSteal"",""%"",M262=""MaxInventoryWeight"",""+"",M262=""MoveSpeed"",""%"",REGEXMATCH(M262,""ElementAddItemDrop_""),""%"",M262=""Logging"","&amp;"""+"",M262=""Mining"",""+"",M262=""Maxhp"",""%"",REGEXMATCH(M262,""TemperatureResist_""),""+"",REGEXMATCH(M262,""ElementResist_""),""%"",REGEXMATCH(M262,""TemperatureInvalid_""),""bool"",REGEXMATCH(M262,""BodyPartsWeakDamage""),""%"",REGEXMATCH(M262,""Ele"&amp;"mentBoost_""),""%"",AND(REGEXMATCH(F262,""GiveA""),REGEXMATCH(M262,""Element"")),""bool"")"),"#N/A")</f>
        <v>#N/A</v>
      </c>
      <c r="O262" s="6" t="n">
        <v>0</v>
      </c>
      <c r="P262" s="6"/>
      <c r="Q262" s="6"/>
      <c r="R262" s="6" t="str">
        <f aca="false">IFERROR(__xludf.dummyfunction("IFS(Q262=""ShotAttack"",""%"",Q262=""MeleeAttack"",""%"", Q262=""Defense"",""%"",Q262=""CraftSPeed"",""%"",Q262=""LifeSteal"",""%"",Q262=""MaxInventoryWeight"",""+"",Q262=""MoveSpeed"",""%"",REGEXMATCH(Q262,""ElementAddItemDrop_""),""%"",Q262=""Logging"","&amp;"""+"",Q262=""Mining"",""+"",Q262=""Maxhp"",""%"",REGEXMATCH(Q262,""TemperatureResist_""),""+"",REGEXMATCH(Q262,""ElementResist_""),""%"",REGEXMATCH(Q262,""TemperatureInvalid_""),""bool"",REGEXMATCH(Q262,""BodyPartsWeakDamage""),""%"",REGEXMATCH(Q262,""Ele"&amp;"mentBoost_""),""%"",AND(REGEXMATCH(J262,""GiveA""),REGEXMATCH(Q262,""Element"")),""bool"")"),"#N/A")</f>
        <v>#N/A</v>
      </c>
      <c r="S262" s="6" t="n">
        <v>0</v>
      </c>
      <c r="T262" s="6"/>
      <c r="U262" s="319" t="b">
        <f aca="false">TRUE()</f>
        <v>1</v>
      </c>
      <c r="V262" s="319" t="b">
        <f aca="false">FALSE()</f>
        <v>0</v>
      </c>
      <c r="W262" s="319" t="b">
        <f aca="false">FALSE()</f>
        <v>0</v>
      </c>
      <c r="X262" s="319" t="b">
        <f aca="false">FALSE()</f>
        <v>0</v>
      </c>
      <c r="Y262" s="319" t="b">
        <f aca="false">FALSE()</f>
        <v>0</v>
      </c>
      <c r="Z262" s="319" t="b">
        <f aca="false">FALSE()</f>
        <v>0</v>
      </c>
      <c r="AA262" s="319" t="b">
        <f aca="false">FALSE()</f>
        <v>0</v>
      </c>
      <c r="AB262" s="319" t="b">
        <f aca="false">FALSE()</f>
        <v>0</v>
      </c>
      <c r="AC262" s="319" t="b">
        <f aca="false">FALSE()</f>
        <v>0</v>
      </c>
      <c r="AD262" s="319" t="b">
        <f aca="false">FALSE()</f>
        <v>0</v>
      </c>
      <c r="AE262" s="319" t="b">
        <f aca="false">FALSE()</f>
        <v>0</v>
      </c>
      <c r="AF262" s="319" t="b">
        <f aca="false">FALSE()</f>
        <v>0</v>
      </c>
      <c r="AG262" s="6" t="s">
        <v>182</v>
      </c>
      <c r="AH262" s="6" t="s">
        <v>182</v>
      </c>
    </row>
    <row r="263" customFormat="false" ht="15.75" hidden="false" customHeight="false" outlineLevel="0" collapsed="false">
      <c r="A263" s="1" t="e">
        <f aca="false">#N/A</f>
        <v>#N/A</v>
      </c>
      <c r="B263" s="6" t="s">
        <v>1227</v>
      </c>
      <c r="C263" s="3"/>
      <c r="D263" s="6" t="str">
        <f aca="false">I263   &amp; IF(ISBLANK(M263),, ". "&amp; M263 &amp; IF(ISBLANK(Q263),, ". "&amp; Q263))</f>
        <v>ElementAddItemDrop_Electricity</v>
      </c>
      <c r="E263" s="6" t="str">
        <f aca="false">I263  &amp;": # on "&amp; L263  &amp; IF(ISBLANK(M263),, ". "&amp; M263 &amp;": # on "&amp; P263 &amp; IF(ISBLANK(Q263),, ". "&amp; Q263 &amp;": # on "&amp; T263))</f>
        <v>ElementAddItemDrop_Electricity: # on SelfAndTrainer</v>
      </c>
      <c r="F263" s="6" t="str">
        <f aca="false">IF(U263,"active pal",)  &amp; IF(V263,"working",) &amp; IF(W263,"mounted",) &amp; IF(Y263,"in party (buff)",)  &amp; IF(Z263,"always",)</f>
        <v>active pal</v>
      </c>
      <c r="G263" s="6" t="n">
        <v>1</v>
      </c>
      <c r="H263" s="6" t="s">
        <v>182</v>
      </c>
      <c r="I263" s="6" t="s">
        <v>2320</v>
      </c>
      <c r="J263" s="6" t="str">
        <f aca="false">IFERROR(__xludf.dummyfunction("IFS(I263=""ShotAttack"",""%"",I263=""MeleeAttack"",""%"", I263=""Defense"",""%"",I263=""CraftSPeed"",""%"",I263=""LifeSteal"",""%"",I263=""MaxInventoryWeight"",""+"",I263=""MoveSpeed"",""%"",REGEXMATCH(I263,""ElementAddItemDrop_""),""%"",I263=""Logging"","&amp;"""+"",I263=""Mining"",""+"",I263=""Maxhp"",""%"",REGEXMATCH(I263,""TemperatureResist_""),""+"",REGEXMATCH(I263,""ElementResist_""),""%"",REGEXMATCH(I263,""TemperatureInvalid_""),""bool"",REGEXMATCH(I263,""BodyPartsWeakDamage""),""%"",REGEXMATCH(I263,""Ele"&amp;"mentBoost_""),""%"",AND(REGEXMATCH(B263,""GiveA""),REGEXMATCH(I263,""Element"")),""bool"")"),"%")</f>
        <v>%</v>
      </c>
      <c r="K263" s="6" t="n">
        <v>60</v>
      </c>
      <c r="L263" s="6" t="s">
        <v>2085</v>
      </c>
      <c r="M263" s="6"/>
      <c r="N263" s="6" t="str">
        <f aca="false">IFERROR(__xludf.dummyfunction("IFS(M263=""ShotAttack"",""%"",M263=""MeleeAttack"",""%"", M263=""Defense"",""%"",M263=""CraftSPeed"",""%"",M263=""LifeSteal"",""%"",M263=""MaxInventoryWeight"",""+"",M263=""MoveSpeed"",""%"",REGEXMATCH(M263,""ElementAddItemDrop_""),""%"",M263=""Logging"","&amp;"""+"",M263=""Mining"",""+"",M263=""Maxhp"",""%"",REGEXMATCH(M263,""TemperatureResist_""),""+"",REGEXMATCH(M263,""ElementResist_""),""%"",REGEXMATCH(M263,""TemperatureInvalid_""),""bool"",REGEXMATCH(M263,""BodyPartsWeakDamage""),""%"",REGEXMATCH(M263,""Ele"&amp;"mentBoost_""),""%"",AND(REGEXMATCH(F263,""GiveA""),REGEXMATCH(M263,""Element"")),""bool"")"),"#N/A")</f>
        <v>#N/A</v>
      </c>
      <c r="O263" s="6" t="n">
        <v>0</v>
      </c>
      <c r="P263" s="6"/>
      <c r="Q263" s="6"/>
      <c r="R263" s="6" t="str">
        <f aca="false">IFERROR(__xludf.dummyfunction("IFS(Q263=""ShotAttack"",""%"",Q263=""MeleeAttack"",""%"", Q263=""Defense"",""%"",Q263=""CraftSPeed"",""%"",Q263=""LifeSteal"",""%"",Q263=""MaxInventoryWeight"",""+"",Q263=""MoveSpeed"",""%"",REGEXMATCH(Q263,""ElementAddItemDrop_""),""%"",Q263=""Logging"","&amp;"""+"",Q263=""Mining"",""+"",Q263=""Maxhp"",""%"",REGEXMATCH(Q263,""TemperatureResist_""),""+"",REGEXMATCH(Q263,""ElementResist_""),""%"",REGEXMATCH(Q263,""TemperatureInvalid_""),""bool"",REGEXMATCH(Q263,""BodyPartsWeakDamage""),""%"",REGEXMATCH(Q263,""Ele"&amp;"mentBoost_""),""%"",AND(REGEXMATCH(J263,""GiveA""),REGEXMATCH(Q263,""Element"")),""bool"")"),"#N/A")</f>
        <v>#N/A</v>
      </c>
      <c r="S263" s="6" t="n">
        <v>0</v>
      </c>
      <c r="T263" s="6"/>
      <c r="U263" s="319" t="b">
        <f aca="false">TRUE()</f>
        <v>1</v>
      </c>
      <c r="V263" s="319" t="b">
        <f aca="false">FALSE()</f>
        <v>0</v>
      </c>
      <c r="W263" s="319" t="b">
        <f aca="false">FALSE()</f>
        <v>0</v>
      </c>
      <c r="X263" s="319" t="b">
        <f aca="false">FALSE()</f>
        <v>0</v>
      </c>
      <c r="Y263" s="319" t="b">
        <f aca="false">FALSE()</f>
        <v>0</v>
      </c>
      <c r="Z263" s="319" t="b">
        <f aca="false">FALSE()</f>
        <v>0</v>
      </c>
      <c r="AA263" s="319" t="b">
        <f aca="false">FALSE()</f>
        <v>0</v>
      </c>
      <c r="AB263" s="319" t="b">
        <f aca="false">FALSE()</f>
        <v>0</v>
      </c>
      <c r="AC263" s="319" t="b">
        <f aca="false">FALSE()</f>
        <v>0</v>
      </c>
      <c r="AD263" s="319" t="b">
        <f aca="false">FALSE()</f>
        <v>0</v>
      </c>
      <c r="AE263" s="319" t="b">
        <f aca="false">FALSE()</f>
        <v>0</v>
      </c>
      <c r="AF263" s="319" t="b">
        <f aca="false">FALSE()</f>
        <v>0</v>
      </c>
      <c r="AG263" s="6" t="s">
        <v>182</v>
      </c>
      <c r="AH263" s="6" t="s">
        <v>182</v>
      </c>
    </row>
    <row r="264" customFormat="false" ht="15.75" hidden="false" customHeight="false" outlineLevel="0" collapsed="false">
      <c r="A264" s="1" t="e">
        <f aca="false">#N/A</f>
        <v>#N/A</v>
      </c>
      <c r="B264" s="6" t="s">
        <v>1147</v>
      </c>
      <c r="C264" s="3"/>
      <c r="D264" s="6" t="str">
        <f aca="false">I264   &amp; IF(ISBLANK(M264),, ". "&amp; M264 &amp; IF(ISBLANK(Q264),, ". "&amp; Q264))</f>
        <v>ElementAddItemDrop_Leaf</v>
      </c>
      <c r="E264" s="6" t="str">
        <f aca="false">I264  &amp;": # on "&amp; L264  &amp; IF(ISBLANK(M264),, ". "&amp; M264 &amp;": # on "&amp; P264 &amp; IF(ISBLANK(Q264),, ". "&amp; Q264 &amp;": # on "&amp; T264))</f>
        <v>ElementAddItemDrop_Leaf: # on SelfAndTrainer</v>
      </c>
      <c r="F264" s="6" t="str">
        <f aca="false">IF(U264,"active pal",)  &amp; IF(V264,"working",) &amp; IF(W264,"mounted",) &amp; IF(Y264,"in party (buff)",)  &amp; IF(Z264,"always",)</f>
        <v>active pal</v>
      </c>
      <c r="G264" s="6" t="n">
        <v>1</v>
      </c>
      <c r="H264" s="6" t="s">
        <v>182</v>
      </c>
      <c r="I264" s="6" t="s">
        <v>2321</v>
      </c>
      <c r="J264" s="6" t="str">
        <f aca="false">IFERROR(__xludf.dummyfunction("IFS(I264=""ShotAttack"",""%"",I264=""MeleeAttack"",""%"", I264=""Defense"",""%"",I264=""CraftSPeed"",""%"",I264=""LifeSteal"",""%"",I264=""MaxInventoryWeight"",""+"",I264=""MoveSpeed"",""%"",REGEXMATCH(I264,""ElementAddItemDrop_""),""%"",I264=""Logging"","&amp;"""+"",I264=""Mining"",""+"",I264=""Maxhp"",""%"",REGEXMATCH(I264,""TemperatureResist_""),""+"",REGEXMATCH(I264,""ElementResist_""),""%"",REGEXMATCH(I264,""TemperatureInvalid_""),""bool"",REGEXMATCH(I264,""BodyPartsWeakDamage""),""%"",REGEXMATCH(I264,""Ele"&amp;"mentBoost_""),""%"",AND(REGEXMATCH(B264,""GiveA""),REGEXMATCH(I264,""Element"")),""bool"")"),"%")</f>
        <v>%</v>
      </c>
      <c r="K264" s="6" t="n">
        <v>60</v>
      </c>
      <c r="L264" s="6" t="s">
        <v>2085</v>
      </c>
      <c r="M264" s="6"/>
      <c r="N264" s="6" t="str">
        <f aca="false">IFERROR(__xludf.dummyfunction("IFS(M264=""ShotAttack"",""%"",M264=""MeleeAttack"",""%"", M264=""Defense"",""%"",M264=""CraftSPeed"",""%"",M264=""LifeSteal"",""%"",M264=""MaxInventoryWeight"",""+"",M264=""MoveSpeed"",""%"",REGEXMATCH(M264,""ElementAddItemDrop_""),""%"",M264=""Logging"","&amp;"""+"",M264=""Mining"",""+"",M264=""Maxhp"",""%"",REGEXMATCH(M264,""TemperatureResist_""),""+"",REGEXMATCH(M264,""ElementResist_""),""%"",REGEXMATCH(M264,""TemperatureInvalid_""),""bool"",REGEXMATCH(M264,""BodyPartsWeakDamage""),""%"",REGEXMATCH(M264,""Ele"&amp;"mentBoost_""),""%"",AND(REGEXMATCH(F264,""GiveA""),REGEXMATCH(M264,""Element"")),""bool"")"),"#N/A")</f>
        <v>#N/A</v>
      </c>
      <c r="O264" s="6" t="n">
        <v>0</v>
      </c>
      <c r="P264" s="6"/>
      <c r="Q264" s="6"/>
      <c r="R264" s="6" t="str">
        <f aca="false">IFERROR(__xludf.dummyfunction("IFS(Q264=""ShotAttack"",""%"",Q264=""MeleeAttack"",""%"", Q264=""Defense"",""%"",Q264=""CraftSPeed"",""%"",Q264=""LifeSteal"",""%"",Q264=""MaxInventoryWeight"",""+"",Q264=""MoveSpeed"",""%"",REGEXMATCH(Q264,""ElementAddItemDrop_""),""%"",Q264=""Logging"","&amp;"""+"",Q264=""Mining"",""+"",Q264=""Maxhp"",""%"",REGEXMATCH(Q264,""TemperatureResist_""),""+"",REGEXMATCH(Q264,""ElementResist_""),""%"",REGEXMATCH(Q264,""TemperatureInvalid_""),""bool"",REGEXMATCH(Q264,""BodyPartsWeakDamage""),""%"",REGEXMATCH(Q264,""Ele"&amp;"mentBoost_""),""%"",AND(REGEXMATCH(J264,""GiveA""),REGEXMATCH(Q264,""Element"")),""bool"")"),"#N/A")</f>
        <v>#N/A</v>
      </c>
      <c r="S264" s="6" t="n">
        <v>0</v>
      </c>
      <c r="T264" s="6"/>
      <c r="U264" s="319" t="b">
        <f aca="false">TRUE()</f>
        <v>1</v>
      </c>
      <c r="V264" s="319" t="b">
        <f aca="false">FALSE()</f>
        <v>0</v>
      </c>
      <c r="W264" s="319" t="b">
        <f aca="false">FALSE()</f>
        <v>0</v>
      </c>
      <c r="X264" s="319" t="b">
        <f aca="false">FALSE()</f>
        <v>0</v>
      </c>
      <c r="Y264" s="319" t="b">
        <f aca="false">FALSE()</f>
        <v>0</v>
      </c>
      <c r="Z264" s="319" t="b">
        <f aca="false">FALSE()</f>
        <v>0</v>
      </c>
      <c r="AA264" s="319" t="b">
        <f aca="false">FALSE()</f>
        <v>0</v>
      </c>
      <c r="AB264" s="319" t="b">
        <f aca="false">FALSE()</f>
        <v>0</v>
      </c>
      <c r="AC264" s="319" t="b">
        <f aca="false">FALSE()</f>
        <v>0</v>
      </c>
      <c r="AD264" s="319" t="b">
        <f aca="false">FALSE()</f>
        <v>0</v>
      </c>
      <c r="AE264" s="319" t="b">
        <f aca="false">FALSE()</f>
        <v>0</v>
      </c>
      <c r="AF264" s="319" t="b">
        <f aca="false">FALSE()</f>
        <v>0</v>
      </c>
      <c r="AG264" s="6" t="s">
        <v>182</v>
      </c>
      <c r="AH264" s="6" t="s">
        <v>182</v>
      </c>
    </row>
    <row r="265" customFormat="false" ht="15.75" hidden="false" customHeight="false" outlineLevel="0" collapsed="false">
      <c r="A265" s="1" t="e">
        <f aca="false">#N/A</f>
        <v>#N/A</v>
      </c>
      <c r="B265" s="6" t="s">
        <v>1036</v>
      </c>
      <c r="C265" s="3"/>
      <c r="D265" s="6" t="str">
        <f aca="false">I265   &amp; IF(ISBLANK(M265),, ". "&amp; M265 &amp; IF(ISBLANK(Q265),, ". "&amp; Q265))</f>
        <v>ElementAddItemDrop_Ice</v>
      </c>
      <c r="E265" s="6" t="str">
        <f aca="false">I265  &amp;": # on "&amp; L265  &amp; IF(ISBLANK(M265),, ". "&amp; M265 &amp;": # on "&amp; P265 &amp; IF(ISBLANK(Q265),, ". "&amp; Q265 &amp;": # on "&amp; T265))</f>
        <v>ElementAddItemDrop_Ice: # on SelfAndTrainer</v>
      </c>
      <c r="F265" s="6" t="str">
        <f aca="false">IF(U265,"active pal",)  &amp; IF(V265,"working",) &amp; IF(W265,"mounted",) &amp; IF(Y265,"in party (buff)",)  &amp; IF(Z265,"always",)</f>
        <v>active pal</v>
      </c>
      <c r="G265" s="6" t="n">
        <v>1</v>
      </c>
      <c r="H265" s="6" t="s">
        <v>182</v>
      </c>
      <c r="I265" s="6" t="s">
        <v>2322</v>
      </c>
      <c r="J265" s="6" t="str">
        <f aca="false">IFERROR(__xludf.dummyfunction("IFS(I265=""ShotAttack"",""%"",I265=""MeleeAttack"",""%"", I265=""Defense"",""%"",I265=""CraftSPeed"",""%"",I265=""LifeSteal"",""%"",I265=""MaxInventoryWeight"",""+"",I265=""MoveSpeed"",""%"",REGEXMATCH(I265,""ElementAddItemDrop_""),""%"",I265=""Logging"","&amp;"""+"",I265=""Mining"",""+"",I265=""Maxhp"",""%"",REGEXMATCH(I265,""TemperatureResist_""),""+"",REGEXMATCH(I265,""ElementResist_""),""%"",REGEXMATCH(I265,""TemperatureInvalid_""),""bool"",REGEXMATCH(I265,""BodyPartsWeakDamage""),""%"",REGEXMATCH(I265,""Ele"&amp;"mentBoost_""),""%"",AND(REGEXMATCH(B265,""GiveA""),REGEXMATCH(I265,""Element"")),""bool"")"),"%")</f>
        <v>%</v>
      </c>
      <c r="K265" s="6" t="n">
        <v>60</v>
      </c>
      <c r="L265" s="6" t="s">
        <v>2085</v>
      </c>
      <c r="M265" s="6"/>
      <c r="N265" s="6" t="str">
        <f aca="false">IFERROR(__xludf.dummyfunction("IFS(M265=""ShotAttack"",""%"",M265=""MeleeAttack"",""%"", M265=""Defense"",""%"",M265=""CraftSPeed"",""%"",M265=""LifeSteal"",""%"",M265=""MaxInventoryWeight"",""+"",M265=""MoveSpeed"",""%"",REGEXMATCH(M265,""ElementAddItemDrop_""),""%"",M265=""Logging"","&amp;"""+"",M265=""Mining"",""+"",M265=""Maxhp"",""%"",REGEXMATCH(M265,""TemperatureResist_""),""+"",REGEXMATCH(M265,""ElementResist_""),""%"",REGEXMATCH(M265,""TemperatureInvalid_""),""bool"",REGEXMATCH(M265,""BodyPartsWeakDamage""),""%"",REGEXMATCH(M265,""Ele"&amp;"mentBoost_""),""%"",AND(REGEXMATCH(F265,""GiveA""),REGEXMATCH(M265,""Element"")),""bool"")"),"#N/A")</f>
        <v>#N/A</v>
      </c>
      <c r="O265" s="6" t="n">
        <v>0</v>
      </c>
      <c r="P265" s="6"/>
      <c r="Q265" s="6"/>
      <c r="R265" s="6" t="str">
        <f aca="false">IFERROR(__xludf.dummyfunction("IFS(Q265=""ShotAttack"",""%"",Q265=""MeleeAttack"",""%"", Q265=""Defense"",""%"",Q265=""CraftSPeed"",""%"",Q265=""LifeSteal"",""%"",Q265=""MaxInventoryWeight"",""+"",Q265=""MoveSpeed"",""%"",REGEXMATCH(Q265,""ElementAddItemDrop_""),""%"",Q265=""Logging"","&amp;"""+"",Q265=""Mining"",""+"",Q265=""Maxhp"",""%"",REGEXMATCH(Q265,""TemperatureResist_""),""+"",REGEXMATCH(Q265,""ElementResist_""),""%"",REGEXMATCH(Q265,""TemperatureInvalid_""),""bool"",REGEXMATCH(Q265,""BodyPartsWeakDamage""),""%"",REGEXMATCH(Q265,""Ele"&amp;"mentBoost_""),""%"",AND(REGEXMATCH(J265,""GiveA""),REGEXMATCH(Q265,""Element"")),""bool"")"),"#N/A")</f>
        <v>#N/A</v>
      </c>
      <c r="S265" s="6" t="n">
        <v>0</v>
      </c>
      <c r="T265" s="6"/>
      <c r="U265" s="319" t="b">
        <f aca="false">TRUE()</f>
        <v>1</v>
      </c>
      <c r="V265" s="319" t="b">
        <f aca="false">FALSE()</f>
        <v>0</v>
      </c>
      <c r="W265" s="319" t="b">
        <f aca="false">FALSE()</f>
        <v>0</v>
      </c>
      <c r="X265" s="319" t="b">
        <f aca="false">FALSE()</f>
        <v>0</v>
      </c>
      <c r="Y265" s="319" t="b">
        <f aca="false">FALSE()</f>
        <v>0</v>
      </c>
      <c r="Z265" s="319" t="b">
        <f aca="false">FALSE()</f>
        <v>0</v>
      </c>
      <c r="AA265" s="319" t="b">
        <f aca="false">FALSE()</f>
        <v>0</v>
      </c>
      <c r="AB265" s="319" t="b">
        <f aca="false">FALSE()</f>
        <v>0</v>
      </c>
      <c r="AC265" s="319" t="b">
        <f aca="false">FALSE()</f>
        <v>0</v>
      </c>
      <c r="AD265" s="319" t="b">
        <f aca="false">FALSE()</f>
        <v>0</v>
      </c>
      <c r="AE265" s="319" t="b">
        <f aca="false">FALSE()</f>
        <v>0</v>
      </c>
      <c r="AF265" s="319" t="b">
        <f aca="false">FALSE()</f>
        <v>0</v>
      </c>
      <c r="AG265" s="6" t="s">
        <v>182</v>
      </c>
      <c r="AH265" s="6" t="s">
        <v>182</v>
      </c>
    </row>
    <row r="266" customFormat="false" ht="15.75" hidden="false" customHeight="false" outlineLevel="0" collapsed="false">
      <c r="A266" s="1" t="e">
        <f aca="false">#N/A</f>
        <v>#N/A</v>
      </c>
      <c r="B266" s="6" t="s">
        <v>1090</v>
      </c>
      <c r="C266" s="3"/>
      <c r="D266" s="6" t="str">
        <f aca="false">I266   &amp; IF(ISBLANK(M266),, ". "&amp; M266 &amp; IF(ISBLANK(Q266),, ". "&amp; Q266))</f>
        <v>ElementAddItemDrop_Earth</v>
      </c>
      <c r="E266" s="6" t="str">
        <f aca="false">I266  &amp;": # on "&amp; L266  &amp; IF(ISBLANK(M266),, ". "&amp; M266 &amp;": # on "&amp; P266 &amp; IF(ISBLANK(Q266),, ". "&amp; Q266 &amp;": # on "&amp; T266))</f>
        <v>ElementAddItemDrop_Earth: # on SelfAndTrainer</v>
      </c>
      <c r="F266" s="6" t="str">
        <f aca="false">IF(U266,"active pal",)  &amp; IF(V266,"working",) &amp; IF(W266,"mounted",) &amp; IF(Y266,"in party (buff)",)  &amp; IF(Z266,"always",)</f>
        <v>active pal</v>
      </c>
      <c r="G266" s="6" t="n">
        <v>1</v>
      </c>
      <c r="H266" s="6" t="s">
        <v>182</v>
      </c>
      <c r="I266" s="6" t="s">
        <v>2323</v>
      </c>
      <c r="J266" s="6" t="str">
        <f aca="false">IFERROR(__xludf.dummyfunction("IFS(I266=""ShotAttack"",""%"",I266=""MeleeAttack"",""%"", I266=""Defense"",""%"",I266=""CraftSPeed"",""%"",I266=""LifeSteal"",""%"",I266=""MaxInventoryWeight"",""+"",I266=""MoveSpeed"",""%"",REGEXMATCH(I266,""ElementAddItemDrop_""),""%"",I266=""Logging"","&amp;"""+"",I266=""Mining"",""+"",I266=""Maxhp"",""%"",REGEXMATCH(I266,""TemperatureResist_""),""+"",REGEXMATCH(I266,""ElementResist_""),""%"",REGEXMATCH(I266,""TemperatureInvalid_""),""bool"",REGEXMATCH(I266,""BodyPartsWeakDamage""),""%"",REGEXMATCH(I266,""Ele"&amp;"mentBoost_""),""%"",AND(REGEXMATCH(B266,""GiveA""),REGEXMATCH(I266,""Element"")),""bool"")"),"%")</f>
        <v>%</v>
      </c>
      <c r="K266" s="6" t="n">
        <v>60</v>
      </c>
      <c r="L266" s="6" t="s">
        <v>2085</v>
      </c>
      <c r="M266" s="6"/>
      <c r="N266" s="6" t="str">
        <f aca="false">IFERROR(__xludf.dummyfunction("IFS(M266=""ShotAttack"",""%"",M266=""MeleeAttack"",""%"", M266=""Defense"",""%"",M266=""CraftSPeed"",""%"",M266=""LifeSteal"",""%"",M266=""MaxInventoryWeight"",""+"",M266=""MoveSpeed"",""%"",REGEXMATCH(M266,""ElementAddItemDrop_""),""%"",M266=""Logging"","&amp;"""+"",M266=""Mining"",""+"",M266=""Maxhp"",""%"",REGEXMATCH(M266,""TemperatureResist_""),""+"",REGEXMATCH(M266,""ElementResist_""),""%"",REGEXMATCH(M266,""TemperatureInvalid_""),""bool"",REGEXMATCH(M266,""BodyPartsWeakDamage""),""%"",REGEXMATCH(M266,""Ele"&amp;"mentBoost_""),""%"",AND(REGEXMATCH(F266,""GiveA""),REGEXMATCH(M266,""Element"")),""bool"")"),"#N/A")</f>
        <v>#N/A</v>
      </c>
      <c r="O266" s="6" t="n">
        <v>0</v>
      </c>
      <c r="P266" s="6"/>
      <c r="Q266" s="6"/>
      <c r="R266" s="6" t="str">
        <f aca="false">IFERROR(__xludf.dummyfunction("IFS(Q266=""ShotAttack"",""%"",Q266=""MeleeAttack"",""%"", Q266=""Defense"",""%"",Q266=""CraftSPeed"",""%"",Q266=""LifeSteal"",""%"",Q266=""MaxInventoryWeight"",""+"",Q266=""MoveSpeed"",""%"",REGEXMATCH(Q266,""ElementAddItemDrop_""),""%"",Q266=""Logging"","&amp;"""+"",Q266=""Mining"",""+"",Q266=""Maxhp"",""%"",REGEXMATCH(Q266,""TemperatureResist_""),""+"",REGEXMATCH(Q266,""ElementResist_""),""%"",REGEXMATCH(Q266,""TemperatureInvalid_""),""bool"",REGEXMATCH(Q266,""BodyPartsWeakDamage""),""%"",REGEXMATCH(Q266,""Ele"&amp;"mentBoost_""),""%"",AND(REGEXMATCH(J266,""GiveA""),REGEXMATCH(Q266,""Element"")),""bool"")"),"#N/A")</f>
        <v>#N/A</v>
      </c>
      <c r="S266" s="6" t="n">
        <v>0</v>
      </c>
      <c r="T266" s="6"/>
      <c r="U266" s="319" t="b">
        <f aca="false">TRUE()</f>
        <v>1</v>
      </c>
      <c r="V266" s="319" t="b">
        <f aca="false">FALSE()</f>
        <v>0</v>
      </c>
      <c r="W266" s="319" t="b">
        <f aca="false">FALSE()</f>
        <v>0</v>
      </c>
      <c r="X266" s="319" t="b">
        <f aca="false">FALSE()</f>
        <v>0</v>
      </c>
      <c r="Y266" s="319" t="b">
        <f aca="false">FALSE()</f>
        <v>0</v>
      </c>
      <c r="Z266" s="319" t="b">
        <f aca="false">FALSE()</f>
        <v>0</v>
      </c>
      <c r="AA266" s="319" t="b">
        <f aca="false">FALSE()</f>
        <v>0</v>
      </c>
      <c r="AB266" s="319" t="b">
        <f aca="false">FALSE()</f>
        <v>0</v>
      </c>
      <c r="AC266" s="319" t="b">
        <f aca="false">FALSE()</f>
        <v>0</v>
      </c>
      <c r="AD266" s="319" t="b">
        <f aca="false">FALSE()</f>
        <v>0</v>
      </c>
      <c r="AE266" s="319" t="b">
        <f aca="false">FALSE()</f>
        <v>0</v>
      </c>
      <c r="AF266" s="319" t="b">
        <f aca="false">FALSE()</f>
        <v>0</v>
      </c>
      <c r="AG266" s="6" t="s">
        <v>182</v>
      </c>
      <c r="AH266" s="6" t="s">
        <v>182</v>
      </c>
    </row>
    <row r="267" customFormat="false" ht="15.75" hidden="false" customHeight="false" outlineLevel="0" collapsed="false">
      <c r="A267" s="1" t="e">
        <f aca="false">#N/A</f>
        <v>#N/A</v>
      </c>
      <c r="B267" s="6" t="s">
        <v>917</v>
      </c>
      <c r="C267" s="3"/>
      <c r="D267" s="6" t="str">
        <f aca="false">I267   &amp; IF(ISBLANK(M267),, ". "&amp; M267 &amp; IF(ISBLANK(Q267),, ". "&amp; Q267))</f>
        <v>ElementAddItemDrop_Dark</v>
      </c>
      <c r="E267" s="6" t="str">
        <f aca="false">I267  &amp;": # on "&amp; L267  &amp; IF(ISBLANK(M267),, ". "&amp; M267 &amp;": # on "&amp; P267 &amp; IF(ISBLANK(Q267),, ". "&amp; Q267 &amp;": # on "&amp; T267))</f>
        <v>ElementAddItemDrop_Dark: # on SelfAndTrainer</v>
      </c>
      <c r="F267" s="6" t="str">
        <f aca="false">IF(U267,"active pal",)  &amp; IF(V267,"working",) &amp; IF(W267,"mounted",) &amp; IF(Y267,"in party (buff)",)  &amp; IF(Z267,"always",)</f>
        <v>active pal</v>
      </c>
      <c r="G267" s="6" t="n">
        <v>1</v>
      </c>
      <c r="H267" s="6" t="s">
        <v>182</v>
      </c>
      <c r="I267" s="6" t="s">
        <v>2324</v>
      </c>
      <c r="J267" s="6" t="str">
        <f aca="false">IFERROR(__xludf.dummyfunction("IFS(I267=""ShotAttack"",""%"",I267=""MeleeAttack"",""%"", I267=""Defense"",""%"",I267=""CraftSPeed"",""%"",I267=""LifeSteal"",""%"",I267=""MaxInventoryWeight"",""+"",I267=""MoveSpeed"",""%"",REGEXMATCH(I267,""ElementAddItemDrop_""),""%"",I267=""Logging"","&amp;"""+"",I267=""Mining"",""+"",I267=""Maxhp"",""%"",REGEXMATCH(I267,""TemperatureResist_""),""+"",REGEXMATCH(I267,""ElementResist_""),""%"",REGEXMATCH(I267,""TemperatureInvalid_""),""bool"",REGEXMATCH(I267,""BodyPartsWeakDamage""),""%"",REGEXMATCH(I267,""Ele"&amp;"mentBoost_""),""%"",AND(REGEXMATCH(B267,""GiveA""),REGEXMATCH(I267,""Element"")),""bool"")"),"%")</f>
        <v>%</v>
      </c>
      <c r="K267" s="6" t="n">
        <v>60</v>
      </c>
      <c r="L267" s="6" t="s">
        <v>2085</v>
      </c>
      <c r="M267" s="6"/>
      <c r="N267" s="6" t="str">
        <f aca="false">IFERROR(__xludf.dummyfunction("IFS(M267=""ShotAttack"",""%"",M267=""MeleeAttack"",""%"", M267=""Defense"",""%"",M267=""CraftSPeed"",""%"",M267=""LifeSteal"",""%"",M267=""MaxInventoryWeight"",""+"",M267=""MoveSpeed"",""%"",REGEXMATCH(M267,""ElementAddItemDrop_""),""%"",M267=""Logging"","&amp;"""+"",M267=""Mining"",""+"",M267=""Maxhp"",""%"",REGEXMATCH(M267,""TemperatureResist_""),""+"",REGEXMATCH(M267,""ElementResist_""),""%"",REGEXMATCH(M267,""TemperatureInvalid_""),""bool"",REGEXMATCH(M267,""BodyPartsWeakDamage""),""%"",REGEXMATCH(M267,""Ele"&amp;"mentBoost_""),""%"",AND(REGEXMATCH(F267,""GiveA""),REGEXMATCH(M267,""Element"")),""bool"")"),"#N/A")</f>
        <v>#N/A</v>
      </c>
      <c r="O267" s="6" t="n">
        <v>0</v>
      </c>
      <c r="P267" s="6"/>
      <c r="Q267" s="6"/>
      <c r="R267" s="6" t="str">
        <f aca="false">IFERROR(__xludf.dummyfunction("IFS(Q267=""ShotAttack"",""%"",Q267=""MeleeAttack"",""%"", Q267=""Defense"",""%"",Q267=""CraftSPeed"",""%"",Q267=""LifeSteal"",""%"",Q267=""MaxInventoryWeight"",""+"",Q267=""MoveSpeed"",""%"",REGEXMATCH(Q267,""ElementAddItemDrop_""),""%"",Q267=""Logging"","&amp;"""+"",Q267=""Mining"",""+"",Q267=""Maxhp"",""%"",REGEXMATCH(Q267,""TemperatureResist_""),""+"",REGEXMATCH(Q267,""ElementResist_""),""%"",REGEXMATCH(Q267,""TemperatureInvalid_""),""bool"",REGEXMATCH(Q267,""BodyPartsWeakDamage""),""%"",REGEXMATCH(Q267,""Ele"&amp;"mentBoost_""),""%"",AND(REGEXMATCH(J267,""GiveA""),REGEXMATCH(Q267,""Element"")),""bool"")"),"#N/A")</f>
        <v>#N/A</v>
      </c>
      <c r="S267" s="6" t="n">
        <v>0</v>
      </c>
      <c r="T267" s="6"/>
      <c r="U267" s="319" t="b">
        <f aca="false">TRUE()</f>
        <v>1</v>
      </c>
      <c r="V267" s="319" t="b">
        <f aca="false">FALSE()</f>
        <v>0</v>
      </c>
      <c r="W267" s="319" t="b">
        <f aca="false">FALSE()</f>
        <v>0</v>
      </c>
      <c r="X267" s="319" t="b">
        <f aca="false">FALSE()</f>
        <v>0</v>
      </c>
      <c r="Y267" s="319" t="b">
        <f aca="false">FALSE()</f>
        <v>0</v>
      </c>
      <c r="Z267" s="319" t="b">
        <f aca="false">FALSE()</f>
        <v>0</v>
      </c>
      <c r="AA267" s="319" t="b">
        <f aca="false">FALSE()</f>
        <v>0</v>
      </c>
      <c r="AB267" s="319" t="b">
        <f aca="false">FALSE()</f>
        <v>0</v>
      </c>
      <c r="AC267" s="319" t="b">
        <f aca="false">FALSE()</f>
        <v>0</v>
      </c>
      <c r="AD267" s="319" t="b">
        <f aca="false">FALSE()</f>
        <v>0</v>
      </c>
      <c r="AE267" s="319" t="b">
        <f aca="false">FALSE()</f>
        <v>0</v>
      </c>
      <c r="AF267" s="319" t="b">
        <f aca="false">FALSE()</f>
        <v>0</v>
      </c>
      <c r="AG267" s="6" t="s">
        <v>182</v>
      </c>
      <c r="AH267" s="6" t="s">
        <v>182</v>
      </c>
    </row>
    <row r="268" customFormat="false" ht="15.75" hidden="false" customHeight="false" outlineLevel="0" collapsed="false">
      <c r="A268" s="1" t="e">
        <f aca="false">#N/A</f>
        <v>#N/A</v>
      </c>
      <c r="B268" s="6" t="s">
        <v>935</v>
      </c>
      <c r="C268" s="3"/>
      <c r="D268" s="6" t="str">
        <f aca="false">I268   &amp; IF(ISBLANK(M268),, ". "&amp; M268 &amp; IF(ISBLANK(Q268),, ". "&amp; Q268))</f>
        <v>ElementAddItemDrop_Dragon</v>
      </c>
      <c r="E268" s="6" t="str">
        <f aca="false">I268  &amp;": # on "&amp; L268  &amp; IF(ISBLANK(M268),, ". "&amp; M268 &amp;": # on "&amp; P268 &amp; IF(ISBLANK(Q268),, ". "&amp; Q268 &amp;": # on "&amp; T268))</f>
        <v>ElementAddItemDrop_Dragon: # on SelfAndTrainer</v>
      </c>
      <c r="F268" s="6" t="str">
        <f aca="false">IF(U268,"active pal",)  &amp; IF(V268,"working",) &amp; IF(W268,"mounted",) &amp; IF(Y268,"in party (buff)",)  &amp; IF(Z268,"always",)</f>
        <v>active pal</v>
      </c>
      <c r="G268" s="6" t="n">
        <v>1</v>
      </c>
      <c r="H268" s="6" t="s">
        <v>182</v>
      </c>
      <c r="I268" s="6" t="s">
        <v>2325</v>
      </c>
      <c r="J268" s="6" t="str">
        <f aca="false">IFERROR(__xludf.dummyfunction("IFS(I268=""ShotAttack"",""%"",I268=""MeleeAttack"",""%"", I268=""Defense"",""%"",I268=""CraftSPeed"",""%"",I268=""LifeSteal"",""%"",I268=""MaxInventoryWeight"",""+"",I268=""MoveSpeed"",""%"",REGEXMATCH(I268,""ElementAddItemDrop_""),""%"",I268=""Logging"","&amp;"""+"",I268=""Mining"",""+"",I268=""Maxhp"",""%"",REGEXMATCH(I268,""TemperatureResist_""),""+"",REGEXMATCH(I268,""ElementResist_""),""%"",REGEXMATCH(I268,""TemperatureInvalid_""),""bool"",REGEXMATCH(I268,""BodyPartsWeakDamage""),""%"",REGEXMATCH(I268,""Ele"&amp;"mentBoost_""),""%"",AND(REGEXMATCH(B268,""GiveA""),REGEXMATCH(I268,""Element"")),""bool"")"),"%")</f>
        <v>%</v>
      </c>
      <c r="K268" s="6" t="n">
        <v>60</v>
      </c>
      <c r="L268" s="6" t="s">
        <v>2085</v>
      </c>
      <c r="M268" s="6"/>
      <c r="N268" s="6" t="str">
        <f aca="false">IFERROR(__xludf.dummyfunction("IFS(M268=""ShotAttack"",""%"",M268=""MeleeAttack"",""%"", M268=""Defense"",""%"",M268=""CraftSPeed"",""%"",M268=""LifeSteal"",""%"",M268=""MaxInventoryWeight"",""+"",M268=""MoveSpeed"",""%"",REGEXMATCH(M268,""ElementAddItemDrop_""),""%"",M268=""Logging"","&amp;"""+"",M268=""Mining"",""+"",M268=""Maxhp"",""%"",REGEXMATCH(M268,""TemperatureResist_""),""+"",REGEXMATCH(M268,""ElementResist_""),""%"",REGEXMATCH(M268,""TemperatureInvalid_""),""bool"",REGEXMATCH(M268,""BodyPartsWeakDamage""),""%"",REGEXMATCH(M268,""Ele"&amp;"mentBoost_""),""%"",AND(REGEXMATCH(F268,""GiveA""),REGEXMATCH(M268,""Element"")),""bool"")"),"#N/A")</f>
        <v>#N/A</v>
      </c>
      <c r="O268" s="6" t="n">
        <v>0</v>
      </c>
      <c r="P268" s="6"/>
      <c r="Q268" s="6"/>
      <c r="R268" s="6" t="str">
        <f aca="false">IFERROR(__xludf.dummyfunction("IFS(Q268=""ShotAttack"",""%"",Q268=""MeleeAttack"",""%"", Q268=""Defense"",""%"",Q268=""CraftSPeed"",""%"",Q268=""LifeSteal"",""%"",Q268=""MaxInventoryWeight"",""+"",Q268=""MoveSpeed"",""%"",REGEXMATCH(Q268,""ElementAddItemDrop_""),""%"",Q268=""Logging"","&amp;"""+"",Q268=""Mining"",""+"",Q268=""Maxhp"",""%"",REGEXMATCH(Q268,""TemperatureResist_""),""+"",REGEXMATCH(Q268,""ElementResist_""),""%"",REGEXMATCH(Q268,""TemperatureInvalid_""),""bool"",REGEXMATCH(Q268,""BodyPartsWeakDamage""),""%"",REGEXMATCH(Q268,""Ele"&amp;"mentBoost_""),""%"",AND(REGEXMATCH(J268,""GiveA""),REGEXMATCH(Q268,""Element"")),""bool"")"),"#N/A")</f>
        <v>#N/A</v>
      </c>
      <c r="S268" s="6" t="n">
        <v>0</v>
      </c>
      <c r="T268" s="6"/>
      <c r="U268" s="319" t="b">
        <f aca="false">TRUE()</f>
        <v>1</v>
      </c>
      <c r="V268" s="319" t="b">
        <f aca="false">FALSE()</f>
        <v>0</v>
      </c>
      <c r="W268" s="319" t="b">
        <f aca="false">FALSE()</f>
        <v>0</v>
      </c>
      <c r="X268" s="319" t="b">
        <f aca="false">FALSE()</f>
        <v>0</v>
      </c>
      <c r="Y268" s="319" t="b">
        <f aca="false">FALSE()</f>
        <v>0</v>
      </c>
      <c r="Z268" s="319" t="b">
        <f aca="false">FALSE()</f>
        <v>0</v>
      </c>
      <c r="AA268" s="319" t="b">
        <f aca="false">FALSE()</f>
        <v>0</v>
      </c>
      <c r="AB268" s="319" t="b">
        <f aca="false">FALSE()</f>
        <v>0</v>
      </c>
      <c r="AC268" s="319" t="b">
        <f aca="false">FALSE()</f>
        <v>0</v>
      </c>
      <c r="AD268" s="319" t="b">
        <f aca="false">FALSE()</f>
        <v>0</v>
      </c>
      <c r="AE268" s="319" t="b">
        <f aca="false">FALSE()</f>
        <v>0</v>
      </c>
      <c r="AF268" s="319" t="b">
        <f aca="false">FALSE()</f>
        <v>0</v>
      </c>
      <c r="AG268" s="6" t="s">
        <v>182</v>
      </c>
      <c r="AH268" s="6" t="s">
        <v>182</v>
      </c>
    </row>
    <row r="269" customFormat="false" ht="15.75" hidden="false" customHeight="false" outlineLevel="0" collapsed="false">
      <c r="A269" s="1" t="e">
        <f aca="false">#N/A</f>
        <v>#N/A</v>
      </c>
      <c r="B269" s="6" t="s">
        <v>1154</v>
      </c>
      <c r="C269" s="3"/>
      <c r="D269" s="6" t="str">
        <f aca="false">I269   &amp; IF(ISBLANK(M269),, ". "&amp; M269 &amp; IF(ISBLANK(Q269),, ". "&amp; Q269))</f>
        <v>ElementAddItemDrop_Normal</v>
      </c>
      <c r="E269" s="6" t="str">
        <f aca="false">I269  &amp;": # on "&amp; L269  &amp; IF(ISBLANK(M269),, ". "&amp; M269 &amp;": # on "&amp; P269 &amp; IF(ISBLANK(Q269),, ". "&amp; Q269 &amp;": # on "&amp; T269))</f>
        <v>ElementAddItemDrop_Normal: # on SelfAndTrainer</v>
      </c>
      <c r="F269" s="6" t="str">
        <f aca="false">IF(U269,"active pal",)  &amp; IF(V269,"working",) &amp; IF(W269,"mounted",) &amp; IF(Y269,"in party (buff)",)  &amp; IF(Z269,"always",)</f>
        <v>active pal</v>
      </c>
      <c r="G269" s="6" t="n">
        <v>1</v>
      </c>
      <c r="H269" s="6" t="s">
        <v>182</v>
      </c>
      <c r="I269" s="6" t="s">
        <v>2317</v>
      </c>
      <c r="J269" s="6" t="str">
        <f aca="false">IFERROR(__xludf.dummyfunction("IFS(I269=""ShotAttack"",""%"",I269=""MeleeAttack"",""%"", I269=""Defense"",""%"",I269=""CraftSPeed"",""%"",I269=""LifeSteal"",""%"",I269=""MaxInventoryWeight"",""+"",I269=""MoveSpeed"",""%"",REGEXMATCH(I269,""ElementAddItemDrop_""),""%"",I269=""Logging"","&amp;"""+"",I269=""Mining"",""+"",I269=""Maxhp"",""%"",REGEXMATCH(I269,""TemperatureResist_""),""+"",REGEXMATCH(I269,""ElementResist_""),""%"",REGEXMATCH(I269,""TemperatureInvalid_""),""bool"",REGEXMATCH(I269,""BodyPartsWeakDamage""),""%"",REGEXMATCH(I269,""Ele"&amp;"mentBoost_""),""%"",AND(REGEXMATCH(B269,""GiveA""),REGEXMATCH(I269,""Element"")),""bool"")"),"%")</f>
        <v>%</v>
      </c>
      <c r="K269" s="6" t="n">
        <v>70</v>
      </c>
      <c r="L269" s="6" t="s">
        <v>2085</v>
      </c>
      <c r="M269" s="6"/>
      <c r="N269" s="6" t="str">
        <f aca="false">IFERROR(__xludf.dummyfunction("IFS(M269=""ShotAttack"",""%"",M269=""MeleeAttack"",""%"", M269=""Defense"",""%"",M269=""CraftSPeed"",""%"",M269=""LifeSteal"",""%"",M269=""MaxInventoryWeight"",""+"",M269=""MoveSpeed"",""%"",REGEXMATCH(M269,""ElementAddItemDrop_""),""%"",M269=""Logging"","&amp;"""+"",M269=""Mining"",""+"",M269=""Maxhp"",""%"",REGEXMATCH(M269,""TemperatureResist_""),""+"",REGEXMATCH(M269,""ElementResist_""),""%"",REGEXMATCH(M269,""TemperatureInvalid_""),""bool"",REGEXMATCH(M269,""BodyPartsWeakDamage""),""%"",REGEXMATCH(M269,""Ele"&amp;"mentBoost_""),""%"",AND(REGEXMATCH(F269,""GiveA""),REGEXMATCH(M269,""Element"")),""bool"")"),"#N/A")</f>
        <v>#N/A</v>
      </c>
      <c r="O269" s="6" t="n">
        <v>0</v>
      </c>
      <c r="P269" s="6"/>
      <c r="Q269" s="6"/>
      <c r="R269" s="6" t="str">
        <f aca="false">IFERROR(__xludf.dummyfunction("IFS(Q269=""ShotAttack"",""%"",Q269=""MeleeAttack"",""%"", Q269=""Defense"",""%"",Q269=""CraftSPeed"",""%"",Q269=""LifeSteal"",""%"",Q269=""MaxInventoryWeight"",""+"",Q269=""MoveSpeed"",""%"",REGEXMATCH(Q269,""ElementAddItemDrop_""),""%"",Q269=""Logging"","&amp;"""+"",Q269=""Mining"",""+"",Q269=""Maxhp"",""%"",REGEXMATCH(Q269,""TemperatureResist_""),""+"",REGEXMATCH(Q269,""ElementResist_""),""%"",REGEXMATCH(Q269,""TemperatureInvalid_""),""bool"",REGEXMATCH(Q269,""BodyPartsWeakDamage""),""%"",REGEXMATCH(Q269,""Ele"&amp;"mentBoost_""),""%"",AND(REGEXMATCH(J269,""GiveA""),REGEXMATCH(Q269,""Element"")),""bool"")"),"#N/A")</f>
        <v>#N/A</v>
      </c>
      <c r="S269" s="6" t="n">
        <v>0</v>
      </c>
      <c r="T269" s="6"/>
      <c r="U269" s="319" t="b">
        <f aca="false">TRUE()</f>
        <v>1</v>
      </c>
      <c r="V269" s="319" t="b">
        <f aca="false">FALSE()</f>
        <v>0</v>
      </c>
      <c r="W269" s="319" t="b">
        <f aca="false">FALSE()</f>
        <v>0</v>
      </c>
      <c r="X269" s="319" t="b">
        <f aca="false">FALSE()</f>
        <v>0</v>
      </c>
      <c r="Y269" s="319" t="b">
        <f aca="false">FALSE()</f>
        <v>0</v>
      </c>
      <c r="Z269" s="319" t="b">
        <f aca="false">FALSE()</f>
        <v>0</v>
      </c>
      <c r="AA269" s="319" t="b">
        <f aca="false">FALSE()</f>
        <v>0</v>
      </c>
      <c r="AB269" s="319" t="b">
        <f aca="false">FALSE()</f>
        <v>0</v>
      </c>
      <c r="AC269" s="319" t="b">
        <f aca="false">FALSE()</f>
        <v>0</v>
      </c>
      <c r="AD269" s="319" t="b">
        <f aca="false">FALSE()</f>
        <v>0</v>
      </c>
      <c r="AE269" s="319" t="b">
        <f aca="false">FALSE()</f>
        <v>0</v>
      </c>
      <c r="AF269" s="319" t="b">
        <f aca="false">FALSE()</f>
        <v>0</v>
      </c>
      <c r="AG269" s="6" t="s">
        <v>182</v>
      </c>
      <c r="AH269" s="6" t="s">
        <v>182</v>
      </c>
    </row>
    <row r="270" customFormat="false" ht="15.75" hidden="false" customHeight="false" outlineLevel="0" collapsed="false">
      <c r="A270" s="1" t="e">
        <f aca="false">#N/A</f>
        <v>#N/A</v>
      </c>
      <c r="B270" s="6" t="s">
        <v>924</v>
      </c>
      <c r="C270" s="3"/>
      <c r="D270" s="6" t="str">
        <f aca="false">I270   &amp; IF(ISBLANK(M270),, ". "&amp; M270 &amp; IF(ISBLANK(Q270),, ". "&amp; Q270))</f>
        <v>ElementAddItemDrop_Fire</v>
      </c>
      <c r="E270" s="6" t="str">
        <f aca="false">I270  &amp;": # on "&amp; L270  &amp; IF(ISBLANK(M270),, ". "&amp; M270 &amp;": # on "&amp; P270 &amp; IF(ISBLANK(Q270),, ". "&amp; Q270 &amp;": # on "&amp; T270))</f>
        <v>ElementAddItemDrop_Fire: # on SelfAndTrainer</v>
      </c>
      <c r="F270" s="6" t="str">
        <f aca="false">IF(U270,"active pal",)  &amp; IF(V270,"working",) &amp; IF(W270,"mounted",) &amp; IF(Y270,"in party (buff)",)  &amp; IF(Z270,"always",)</f>
        <v>active pal</v>
      </c>
      <c r="G270" s="6" t="n">
        <v>1</v>
      </c>
      <c r="H270" s="6" t="s">
        <v>182</v>
      </c>
      <c r="I270" s="6" t="s">
        <v>2318</v>
      </c>
      <c r="J270" s="6" t="str">
        <f aca="false">IFERROR(__xludf.dummyfunction("IFS(I270=""ShotAttack"",""%"",I270=""MeleeAttack"",""%"", I270=""Defense"",""%"",I270=""CraftSPeed"",""%"",I270=""LifeSteal"",""%"",I270=""MaxInventoryWeight"",""+"",I270=""MoveSpeed"",""%"",REGEXMATCH(I270,""ElementAddItemDrop_""),""%"",I270=""Logging"","&amp;"""+"",I270=""Mining"",""+"",I270=""Maxhp"",""%"",REGEXMATCH(I270,""TemperatureResist_""),""+"",REGEXMATCH(I270,""ElementResist_""),""%"",REGEXMATCH(I270,""TemperatureInvalid_""),""bool"",REGEXMATCH(I270,""BodyPartsWeakDamage""),""%"",REGEXMATCH(I270,""Ele"&amp;"mentBoost_""),""%"",AND(REGEXMATCH(B270,""GiveA""),REGEXMATCH(I270,""Element"")),""bool"")"),"%")</f>
        <v>%</v>
      </c>
      <c r="K270" s="6" t="n">
        <v>70</v>
      </c>
      <c r="L270" s="6" t="s">
        <v>2085</v>
      </c>
      <c r="M270" s="6"/>
      <c r="N270" s="6" t="str">
        <f aca="false">IFERROR(__xludf.dummyfunction("IFS(M270=""ShotAttack"",""%"",M270=""MeleeAttack"",""%"", M270=""Defense"",""%"",M270=""CraftSPeed"",""%"",M270=""LifeSteal"",""%"",M270=""MaxInventoryWeight"",""+"",M270=""MoveSpeed"",""%"",REGEXMATCH(M270,""ElementAddItemDrop_""),""%"",M270=""Logging"","&amp;"""+"",M270=""Mining"",""+"",M270=""Maxhp"",""%"",REGEXMATCH(M270,""TemperatureResist_""),""+"",REGEXMATCH(M270,""ElementResist_""),""%"",REGEXMATCH(M270,""TemperatureInvalid_""),""bool"",REGEXMATCH(M270,""BodyPartsWeakDamage""),""%"",REGEXMATCH(M270,""Ele"&amp;"mentBoost_""),""%"",AND(REGEXMATCH(F270,""GiveA""),REGEXMATCH(M270,""Element"")),""bool"")"),"#N/A")</f>
        <v>#N/A</v>
      </c>
      <c r="O270" s="6" t="n">
        <v>0</v>
      </c>
      <c r="P270" s="6"/>
      <c r="Q270" s="6"/>
      <c r="R270" s="6" t="str">
        <f aca="false">IFERROR(__xludf.dummyfunction("IFS(Q270=""ShotAttack"",""%"",Q270=""MeleeAttack"",""%"", Q270=""Defense"",""%"",Q270=""CraftSPeed"",""%"",Q270=""LifeSteal"",""%"",Q270=""MaxInventoryWeight"",""+"",Q270=""MoveSpeed"",""%"",REGEXMATCH(Q270,""ElementAddItemDrop_""),""%"",Q270=""Logging"","&amp;"""+"",Q270=""Mining"",""+"",Q270=""Maxhp"",""%"",REGEXMATCH(Q270,""TemperatureResist_""),""+"",REGEXMATCH(Q270,""ElementResist_""),""%"",REGEXMATCH(Q270,""TemperatureInvalid_""),""bool"",REGEXMATCH(Q270,""BodyPartsWeakDamage""),""%"",REGEXMATCH(Q270,""Ele"&amp;"mentBoost_""),""%"",AND(REGEXMATCH(J270,""GiveA""),REGEXMATCH(Q270,""Element"")),""bool"")"),"#N/A")</f>
        <v>#N/A</v>
      </c>
      <c r="S270" s="6" t="n">
        <v>0</v>
      </c>
      <c r="T270" s="6"/>
      <c r="U270" s="319" t="b">
        <f aca="false">TRUE()</f>
        <v>1</v>
      </c>
      <c r="V270" s="319" t="b">
        <f aca="false">FALSE()</f>
        <v>0</v>
      </c>
      <c r="W270" s="319" t="b">
        <f aca="false">FALSE()</f>
        <v>0</v>
      </c>
      <c r="X270" s="319" t="b">
        <f aca="false">FALSE()</f>
        <v>0</v>
      </c>
      <c r="Y270" s="319" t="b">
        <f aca="false">FALSE()</f>
        <v>0</v>
      </c>
      <c r="Z270" s="319" t="b">
        <f aca="false">FALSE()</f>
        <v>0</v>
      </c>
      <c r="AA270" s="319" t="b">
        <f aca="false">FALSE()</f>
        <v>0</v>
      </c>
      <c r="AB270" s="319" t="b">
        <f aca="false">FALSE()</f>
        <v>0</v>
      </c>
      <c r="AC270" s="319" t="b">
        <f aca="false">FALSE()</f>
        <v>0</v>
      </c>
      <c r="AD270" s="319" t="b">
        <f aca="false">FALSE()</f>
        <v>0</v>
      </c>
      <c r="AE270" s="319" t="b">
        <f aca="false">FALSE()</f>
        <v>0</v>
      </c>
      <c r="AF270" s="319" t="b">
        <f aca="false">FALSE()</f>
        <v>0</v>
      </c>
      <c r="AG270" s="6" t="s">
        <v>182</v>
      </c>
      <c r="AH270" s="6" t="s">
        <v>182</v>
      </c>
    </row>
    <row r="271" customFormat="false" ht="15.75" hidden="false" customHeight="false" outlineLevel="0" collapsed="false">
      <c r="A271" s="1" t="e">
        <f aca="false">#N/A</f>
        <v>#N/A</v>
      </c>
      <c r="B271" s="6" t="s">
        <v>1234</v>
      </c>
      <c r="C271" s="3"/>
      <c r="D271" s="6" t="str">
        <f aca="false">I271   &amp; IF(ISBLANK(M271),, ". "&amp; M271 &amp; IF(ISBLANK(Q271),, ". "&amp; Q271))</f>
        <v>ElementAddItemDrop_Water</v>
      </c>
      <c r="E271" s="6" t="str">
        <f aca="false">I271  &amp;": # on "&amp; L271  &amp; IF(ISBLANK(M271),, ". "&amp; M271 &amp;": # on "&amp; P271 &amp; IF(ISBLANK(Q271),, ". "&amp; Q271 &amp;": # on "&amp; T271))</f>
        <v>ElementAddItemDrop_Water: # on SelfAndTrainer</v>
      </c>
      <c r="F271" s="6" t="str">
        <f aca="false">IF(U271,"active pal",)  &amp; IF(V271,"working",) &amp; IF(W271,"mounted",) &amp; IF(Y271,"in party (buff)",)  &amp; IF(Z271,"always",)</f>
        <v>active pal</v>
      </c>
      <c r="G271" s="6" t="n">
        <v>1</v>
      </c>
      <c r="H271" s="6" t="s">
        <v>182</v>
      </c>
      <c r="I271" s="6" t="s">
        <v>2319</v>
      </c>
      <c r="J271" s="6" t="str">
        <f aca="false">IFERROR(__xludf.dummyfunction("IFS(I271=""ShotAttack"",""%"",I271=""MeleeAttack"",""%"", I271=""Defense"",""%"",I271=""CraftSPeed"",""%"",I271=""LifeSteal"",""%"",I271=""MaxInventoryWeight"",""+"",I271=""MoveSpeed"",""%"",REGEXMATCH(I271,""ElementAddItemDrop_""),""%"",I271=""Logging"","&amp;"""+"",I271=""Mining"",""+"",I271=""Maxhp"",""%"",REGEXMATCH(I271,""TemperatureResist_""),""+"",REGEXMATCH(I271,""ElementResist_""),""%"",REGEXMATCH(I271,""TemperatureInvalid_""),""bool"",REGEXMATCH(I271,""BodyPartsWeakDamage""),""%"",REGEXMATCH(I271,""Ele"&amp;"mentBoost_""),""%"",AND(REGEXMATCH(B271,""GiveA""),REGEXMATCH(I271,""Element"")),""bool"")"),"%")</f>
        <v>%</v>
      </c>
      <c r="K271" s="6" t="n">
        <v>70</v>
      </c>
      <c r="L271" s="6" t="s">
        <v>2085</v>
      </c>
      <c r="M271" s="6"/>
      <c r="N271" s="6" t="str">
        <f aca="false">IFERROR(__xludf.dummyfunction("IFS(M271=""ShotAttack"",""%"",M271=""MeleeAttack"",""%"", M271=""Defense"",""%"",M271=""CraftSPeed"",""%"",M271=""LifeSteal"",""%"",M271=""MaxInventoryWeight"",""+"",M271=""MoveSpeed"",""%"",REGEXMATCH(M271,""ElementAddItemDrop_""),""%"",M271=""Logging"","&amp;"""+"",M271=""Mining"",""+"",M271=""Maxhp"",""%"",REGEXMATCH(M271,""TemperatureResist_""),""+"",REGEXMATCH(M271,""ElementResist_""),""%"",REGEXMATCH(M271,""TemperatureInvalid_""),""bool"",REGEXMATCH(M271,""BodyPartsWeakDamage""),""%"",REGEXMATCH(M271,""Ele"&amp;"mentBoost_""),""%"",AND(REGEXMATCH(F271,""GiveA""),REGEXMATCH(M271,""Element"")),""bool"")"),"#N/A")</f>
        <v>#N/A</v>
      </c>
      <c r="O271" s="6" t="n">
        <v>0</v>
      </c>
      <c r="P271" s="6"/>
      <c r="Q271" s="6"/>
      <c r="R271" s="6" t="str">
        <f aca="false">IFERROR(__xludf.dummyfunction("IFS(Q271=""ShotAttack"",""%"",Q271=""MeleeAttack"",""%"", Q271=""Defense"",""%"",Q271=""CraftSPeed"",""%"",Q271=""LifeSteal"",""%"",Q271=""MaxInventoryWeight"",""+"",Q271=""MoveSpeed"",""%"",REGEXMATCH(Q271,""ElementAddItemDrop_""),""%"",Q271=""Logging"","&amp;"""+"",Q271=""Mining"",""+"",Q271=""Maxhp"",""%"",REGEXMATCH(Q271,""TemperatureResist_""),""+"",REGEXMATCH(Q271,""ElementResist_""),""%"",REGEXMATCH(Q271,""TemperatureInvalid_""),""bool"",REGEXMATCH(Q271,""BodyPartsWeakDamage""),""%"",REGEXMATCH(Q271,""Ele"&amp;"mentBoost_""),""%"",AND(REGEXMATCH(J271,""GiveA""),REGEXMATCH(Q271,""Element"")),""bool"")"),"#N/A")</f>
        <v>#N/A</v>
      </c>
      <c r="S271" s="6" t="n">
        <v>0</v>
      </c>
      <c r="T271" s="6"/>
      <c r="U271" s="319" t="b">
        <f aca="false">TRUE()</f>
        <v>1</v>
      </c>
      <c r="V271" s="319" t="b">
        <f aca="false">FALSE()</f>
        <v>0</v>
      </c>
      <c r="W271" s="319" t="b">
        <f aca="false">FALSE()</f>
        <v>0</v>
      </c>
      <c r="X271" s="319" t="b">
        <f aca="false">FALSE()</f>
        <v>0</v>
      </c>
      <c r="Y271" s="319" t="b">
        <f aca="false">FALSE()</f>
        <v>0</v>
      </c>
      <c r="Z271" s="319" t="b">
        <f aca="false">FALSE()</f>
        <v>0</v>
      </c>
      <c r="AA271" s="319" t="b">
        <f aca="false">FALSE()</f>
        <v>0</v>
      </c>
      <c r="AB271" s="319" t="b">
        <f aca="false">FALSE()</f>
        <v>0</v>
      </c>
      <c r="AC271" s="319" t="b">
        <f aca="false">FALSE()</f>
        <v>0</v>
      </c>
      <c r="AD271" s="319" t="b">
        <f aca="false">FALSE()</f>
        <v>0</v>
      </c>
      <c r="AE271" s="319" t="b">
        <f aca="false">FALSE()</f>
        <v>0</v>
      </c>
      <c r="AF271" s="319" t="b">
        <f aca="false">FALSE()</f>
        <v>0</v>
      </c>
      <c r="AG271" s="6" t="s">
        <v>182</v>
      </c>
      <c r="AH271" s="6" t="s">
        <v>182</v>
      </c>
    </row>
    <row r="272" customFormat="false" ht="15.75" hidden="false" customHeight="false" outlineLevel="0" collapsed="false">
      <c r="A272" s="1" t="e">
        <f aca="false">#N/A</f>
        <v>#N/A</v>
      </c>
      <c r="B272" s="6" t="s">
        <v>1228</v>
      </c>
      <c r="C272" s="3"/>
      <c r="D272" s="6" t="str">
        <f aca="false">I272   &amp; IF(ISBLANK(M272),, ". "&amp; M272 &amp; IF(ISBLANK(Q272),, ". "&amp; Q272))</f>
        <v>ElementAddItemDrop_Electricity</v>
      </c>
      <c r="E272" s="6" t="str">
        <f aca="false">I272  &amp;": # on "&amp; L272  &amp; IF(ISBLANK(M272),, ". "&amp; M272 &amp;": # on "&amp; P272 &amp; IF(ISBLANK(Q272),, ". "&amp; Q272 &amp;": # on "&amp; T272))</f>
        <v>ElementAddItemDrop_Electricity: # on SelfAndTrainer</v>
      </c>
      <c r="F272" s="6" t="str">
        <f aca="false">IF(U272,"active pal",)  &amp; IF(V272,"working",) &amp; IF(W272,"mounted",) &amp; IF(Y272,"in party (buff)",)  &amp; IF(Z272,"always",)</f>
        <v>active pal</v>
      </c>
      <c r="G272" s="6" t="n">
        <v>1</v>
      </c>
      <c r="H272" s="6" t="s">
        <v>182</v>
      </c>
      <c r="I272" s="6" t="s">
        <v>2320</v>
      </c>
      <c r="J272" s="6" t="str">
        <f aca="false">IFERROR(__xludf.dummyfunction("IFS(I272=""ShotAttack"",""%"",I272=""MeleeAttack"",""%"", I272=""Defense"",""%"",I272=""CraftSPeed"",""%"",I272=""LifeSteal"",""%"",I272=""MaxInventoryWeight"",""+"",I272=""MoveSpeed"",""%"",REGEXMATCH(I272,""ElementAddItemDrop_""),""%"",I272=""Logging"","&amp;"""+"",I272=""Mining"",""+"",I272=""Maxhp"",""%"",REGEXMATCH(I272,""TemperatureResist_""),""+"",REGEXMATCH(I272,""ElementResist_""),""%"",REGEXMATCH(I272,""TemperatureInvalid_""),""bool"",REGEXMATCH(I272,""BodyPartsWeakDamage""),""%"",REGEXMATCH(I272,""Ele"&amp;"mentBoost_""),""%"",AND(REGEXMATCH(B272,""GiveA""),REGEXMATCH(I272,""Element"")),""bool"")"),"%")</f>
        <v>%</v>
      </c>
      <c r="K272" s="6" t="n">
        <v>70</v>
      </c>
      <c r="L272" s="6" t="s">
        <v>2085</v>
      </c>
      <c r="M272" s="6"/>
      <c r="N272" s="6" t="str">
        <f aca="false">IFERROR(__xludf.dummyfunction("IFS(M272=""ShotAttack"",""%"",M272=""MeleeAttack"",""%"", M272=""Defense"",""%"",M272=""CraftSPeed"",""%"",M272=""LifeSteal"",""%"",M272=""MaxInventoryWeight"",""+"",M272=""MoveSpeed"",""%"",REGEXMATCH(M272,""ElementAddItemDrop_""),""%"",M272=""Logging"","&amp;"""+"",M272=""Mining"",""+"",M272=""Maxhp"",""%"",REGEXMATCH(M272,""TemperatureResist_""),""+"",REGEXMATCH(M272,""ElementResist_""),""%"",REGEXMATCH(M272,""TemperatureInvalid_""),""bool"",REGEXMATCH(M272,""BodyPartsWeakDamage""),""%"",REGEXMATCH(M272,""Ele"&amp;"mentBoost_""),""%"",AND(REGEXMATCH(F272,""GiveA""),REGEXMATCH(M272,""Element"")),""bool"")"),"#N/A")</f>
        <v>#N/A</v>
      </c>
      <c r="O272" s="6" t="n">
        <v>0</v>
      </c>
      <c r="P272" s="6"/>
      <c r="Q272" s="6"/>
      <c r="R272" s="6" t="str">
        <f aca="false">IFERROR(__xludf.dummyfunction("IFS(Q272=""ShotAttack"",""%"",Q272=""MeleeAttack"",""%"", Q272=""Defense"",""%"",Q272=""CraftSPeed"",""%"",Q272=""LifeSteal"",""%"",Q272=""MaxInventoryWeight"",""+"",Q272=""MoveSpeed"",""%"",REGEXMATCH(Q272,""ElementAddItemDrop_""),""%"",Q272=""Logging"","&amp;"""+"",Q272=""Mining"",""+"",Q272=""Maxhp"",""%"",REGEXMATCH(Q272,""TemperatureResist_""),""+"",REGEXMATCH(Q272,""ElementResist_""),""%"",REGEXMATCH(Q272,""TemperatureInvalid_""),""bool"",REGEXMATCH(Q272,""BodyPartsWeakDamage""),""%"",REGEXMATCH(Q272,""Ele"&amp;"mentBoost_""),""%"",AND(REGEXMATCH(J272,""GiveA""),REGEXMATCH(Q272,""Element"")),""bool"")"),"#N/A")</f>
        <v>#N/A</v>
      </c>
      <c r="S272" s="6" t="n">
        <v>0</v>
      </c>
      <c r="T272" s="6"/>
      <c r="U272" s="319" t="b">
        <f aca="false">TRUE()</f>
        <v>1</v>
      </c>
      <c r="V272" s="319" t="b">
        <f aca="false">FALSE()</f>
        <v>0</v>
      </c>
      <c r="W272" s="319" t="b">
        <f aca="false">FALSE()</f>
        <v>0</v>
      </c>
      <c r="X272" s="319" t="b">
        <f aca="false">FALSE()</f>
        <v>0</v>
      </c>
      <c r="Y272" s="319" t="b">
        <f aca="false">FALSE()</f>
        <v>0</v>
      </c>
      <c r="Z272" s="319" t="b">
        <f aca="false">FALSE()</f>
        <v>0</v>
      </c>
      <c r="AA272" s="319" t="b">
        <f aca="false">FALSE()</f>
        <v>0</v>
      </c>
      <c r="AB272" s="319" t="b">
        <f aca="false">FALSE()</f>
        <v>0</v>
      </c>
      <c r="AC272" s="319" t="b">
        <f aca="false">FALSE()</f>
        <v>0</v>
      </c>
      <c r="AD272" s="319" t="b">
        <f aca="false">FALSE()</f>
        <v>0</v>
      </c>
      <c r="AE272" s="319" t="b">
        <f aca="false">FALSE()</f>
        <v>0</v>
      </c>
      <c r="AF272" s="319" t="b">
        <f aca="false">FALSE()</f>
        <v>0</v>
      </c>
      <c r="AG272" s="6" t="s">
        <v>182</v>
      </c>
      <c r="AH272" s="6" t="s">
        <v>182</v>
      </c>
    </row>
    <row r="273" customFormat="false" ht="15.75" hidden="false" customHeight="false" outlineLevel="0" collapsed="false">
      <c r="A273" s="1" t="e">
        <f aca="false">#N/A</f>
        <v>#N/A</v>
      </c>
      <c r="B273" s="6" t="s">
        <v>1148</v>
      </c>
      <c r="C273" s="3"/>
      <c r="D273" s="6" t="str">
        <f aca="false">I273   &amp; IF(ISBLANK(M273),, ". "&amp; M273 &amp; IF(ISBLANK(Q273),, ". "&amp; Q273))</f>
        <v>ElementAddItemDrop_Leaf</v>
      </c>
      <c r="E273" s="6" t="str">
        <f aca="false">I273  &amp;": # on "&amp; L273  &amp; IF(ISBLANK(M273),, ". "&amp; M273 &amp;": # on "&amp; P273 &amp; IF(ISBLANK(Q273),, ". "&amp; Q273 &amp;": # on "&amp; T273))</f>
        <v>ElementAddItemDrop_Leaf: # on SelfAndTrainer</v>
      </c>
      <c r="F273" s="6" t="str">
        <f aca="false">IF(U273,"active pal",)  &amp; IF(V273,"working",) &amp; IF(W273,"mounted",) &amp; IF(Y273,"in party (buff)",)  &amp; IF(Z273,"always",)</f>
        <v>active pal</v>
      </c>
      <c r="G273" s="6" t="n">
        <v>1</v>
      </c>
      <c r="H273" s="6" t="s">
        <v>182</v>
      </c>
      <c r="I273" s="6" t="s">
        <v>2321</v>
      </c>
      <c r="J273" s="6" t="str">
        <f aca="false">IFERROR(__xludf.dummyfunction("IFS(I273=""ShotAttack"",""%"",I273=""MeleeAttack"",""%"", I273=""Defense"",""%"",I273=""CraftSPeed"",""%"",I273=""LifeSteal"",""%"",I273=""MaxInventoryWeight"",""+"",I273=""MoveSpeed"",""%"",REGEXMATCH(I273,""ElementAddItemDrop_""),""%"",I273=""Logging"","&amp;"""+"",I273=""Mining"",""+"",I273=""Maxhp"",""%"",REGEXMATCH(I273,""TemperatureResist_""),""+"",REGEXMATCH(I273,""ElementResist_""),""%"",REGEXMATCH(I273,""TemperatureInvalid_""),""bool"",REGEXMATCH(I273,""BodyPartsWeakDamage""),""%"",REGEXMATCH(I273,""Ele"&amp;"mentBoost_""),""%"",AND(REGEXMATCH(B273,""GiveA""),REGEXMATCH(I273,""Element"")),""bool"")"),"%")</f>
        <v>%</v>
      </c>
      <c r="K273" s="6" t="n">
        <v>70</v>
      </c>
      <c r="L273" s="6" t="s">
        <v>2085</v>
      </c>
      <c r="M273" s="6"/>
      <c r="N273" s="6" t="str">
        <f aca="false">IFERROR(__xludf.dummyfunction("IFS(M273=""ShotAttack"",""%"",M273=""MeleeAttack"",""%"", M273=""Defense"",""%"",M273=""CraftSPeed"",""%"",M273=""LifeSteal"",""%"",M273=""MaxInventoryWeight"",""+"",M273=""MoveSpeed"",""%"",REGEXMATCH(M273,""ElementAddItemDrop_""),""%"",M273=""Logging"","&amp;"""+"",M273=""Mining"",""+"",M273=""Maxhp"",""%"",REGEXMATCH(M273,""TemperatureResist_""),""+"",REGEXMATCH(M273,""ElementResist_""),""%"",REGEXMATCH(M273,""TemperatureInvalid_""),""bool"",REGEXMATCH(M273,""BodyPartsWeakDamage""),""%"",REGEXMATCH(M273,""Ele"&amp;"mentBoost_""),""%"",AND(REGEXMATCH(F273,""GiveA""),REGEXMATCH(M273,""Element"")),""bool"")"),"#N/A")</f>
        <v>#N/A</v>
      </c>
      <c r="O273" s="6" t="n">
        <v>0</v>
      </c>
      <c r="P273" s="6"/>
      <c r="Q273" s="6"/>
      <c r="R273" s="6" t="str">
        <f aca="false">IFERROR(__xludf.dummyfunction("IFS(Q273=""ShotAttack"",""%"",Q273=""MeleeAttack"",""%"", Q273=""Defense"",""%"",Q273=""CraftSPeed"",""%"",Q273=""LifeSteal"",""%"",Q273=""MaxInventoryWeight"",""+"",Q273=""MoveSpeed"",""%"",REGEXMATCH(Q273,""ElementAddItemDrop_""),""%"",Q273=""Logging"","&amp;"""+"",Q273=""Mining"",""+"",Q273=""Maxhp"",""%"",REGEXMATCH(Q273,""TemperatureResist_""),""+"",REGEXMATCH(Q273,""ElementResist_""),""%"",REGEXMATCH(Q273,""TemperatureInvalid_""),""bool"",REGEXMATCH(Q273,""BodyPartsWeakDamage""),""%"",REGEXMATCH(Q273,""Ele"&amp;"mentBoost_""),""%"",AND(REGEXMATCH(J273,""GiveA""),REGEXMATCH(Q273,""Element"")),""bool"")"),"#N/A")</f>
        <v>#N/A</v>
      </c>
      <c r="S273" s="6" t="n">
        <v>0</v>
      </c>
      <c r="T273" s="6"/>
      <c r="U273" s="319" t="b">
        <f aca="false">TRUE()</f>
        <v>1</v>
      </c>
      <c r="V273" s="319" t="b">
        <f aca="false">FALSE()</f>
        <v>0</v>
      </c>
      <c r="W273" s="319" t="b">
        <f aca="false">FALSE()</f>
        <v>0</v>
      </c>
      <c r="X273" s="319" t="b">
        <f aca="false">FALSE()</f>
        <v>0</v>
      </c>
      <c r="Y273" s="319" t="b">
        <f aca="false">FALSE()</f>
        <v>0</v>
      </c>
      <c r="Z273" s="319" t="b">
        <f aca="false">FALSE()</f>
        <v>0</v>
      </c>
      <c r="AA273" s="319" t="b">
        <f aca="false">FALSE()</f>
        <v>0</v>
      </c>
      <c r="AB273" s="319" t="b">
        <f aca="false">FALSE()</f>
        <v>0</v>
      </c>
      <c r="AC273" s="319" t="b">
        <f aca="false">FALSE()</f>
        <v>0</v>
      </c>
      <c r="AD273" s="319" t="b">
        <f aca="false">FALSE()</f>
        <v>0</v>
      </c>
      <c r="AE273" s="319" t="b">
        <f aca="false">FALSE()</f>
        <v>0</v>
      </c>
      <c r="AF273" s="319" t="b">
        <f aca="false">FALSE()</f>
        <v>0</v>
      </c>
      <c r="AG273" s="6" t="s">
        <v>182</v>
      </c>
      <c r="AH273" s="6" t="s">
        <v>182</v>
      </c>
    </row>
    <row r="274" customFormat="false" ht="15.75" hidden="false" customHeight="false" outlineLevel="0" collapsed="false">
      <c r="A274" s="1" t="e">
        <f aca="false">#N/A</f>
        <v>#N/A</v>
      </c>
      <c r="B274" s="6" t="s">
        <v>1037</v>
      </c>
      <c r="C274" s="3"/>
      <c r="D274" s="6" t="str">
        <f aca="false">I274   &amp; IF(ISBLANK(M274),, ". "&amp; M274 &amp; IF(ISBLANK(Q274),, ". "&amp; Q274))</f>
        <v>ElementAddItemDrop_Ice</v>
      </c>
      <c r="E274" s="6" t="str">
        <f aca="false">I274  &amp;": # on "&amp; L274  &amp; IF(ISBLANK(M274),, ". "&amp; M274 &amp;": # on "&amp; P274 &amp; IF(ISBLANK(Q274),, ". "&amp; Q274 &amp;": # on "&amp; T274))</f>
        <v>ElementAddItemDrop_Ice: # on SelfAndTrainer</v>
      </c>
      <c r="F274" s="6" t="str">
        <f aca="false">IF(U274,"active pal",)  &amp; IF(V274,"working",) &amp; IF(W274,"mounted",) &amp; IF(Y274,"in party (buff)",)  &amp; IF(Z274,"always",)</f>
        <v>active pal</v>
      </c>
      <c r="G274" s="6" t="n">
        <v>1</v>
      </c>
      <c r="H274" s="6" t="s">
        <v>182</v>
      </c>
      <c r="I274" s="6" t="s">
        <v>2322</v>
      </c>
      <c r="J274" s="6" t="str">
        <f aca="false">IFERROR(__xludf.dummyfunction("IFS(I274=""ShotAttack"",""%"",I274=""MeleeAttack"",""%"", I274=""Defense"",""%"",I274=""CraftSPeed"",""%"",I274=""LifeSteal"",""%"",I274=""MaxInventoryWeight"",""+"",I274=""MoveSpeed"",""%"",REGEXMATCH(I274,""ElementAddItemDrop_""),""%"",I274=""Logging"","&amp;"""+"",I274=""Mining"",""+"",I274=""Maxhp"",""%"",REGEXMATCH(I274,""TemperatureResist_""),""+"",REGEXMATCH(I274,""ElementResist_""),""%"",REGEXMATCH(I274,""TemperatureInvalid_""),""bool"",REGEXMATCH(I274,""BodyPartsWeakDamage""),""%"",REGEXMATCH(I274,""Ele"&amp;"mentBoost_""),""%"",AND(REGEXMATCH(B274,""GiveA""),REGEXMATCH(I274,""Element"")),""bool"")"),"%")</f>
        <v>%</v>
      </c>
      <c r="K274" s="6" t="n">
        <v>70</v>
      </c>
      <c r="L274" s="6" t="s">
        <v>2085</v>
      </c>
      <c r="M274" s="6"/>
      <c r="N274" s="6" t="str">
        <f aca="false">IFERROR(__xludf.dummyfunction("IFS(M274=""ShotAttack"",""%"",M274=""MeleeAttack"",""%"", M274=""Defense"",""%"",M274=""CraftSPeed"",""%"",M274=""LifeSteal"",""%"",M274=""MaxInventoryWeight"",""+"",M274=""MoveSpeed"",""%"",REGEXMATCH(M274,""ElementAddItemDrop_""),""%"",M274=""Logging"","&amp;"""+"",M274=""Mining"",""+"",M274=""Maxhp"",""%"",REGEXMATCH(M274,""TemperatureResist_""),""+"",REGEXMATCH(M274,""ElementResist_""),""%"",REGEXMATCH(M274,""TemperatureInvalid_""),""bool"",REGEXMATCH(M274,""BodyPartsWeakDamage""),""%"",REGEXMATCH(M274,""Ele"&amp;"mentBoost_""),""%"",AND(REGEXMATCH(F274,""GiveA""),REGEXMATCH(M274,""Element"")),""bool"")"),"#N/A")</f>
        <v>#N/A</v>
      </c>
      <c r="O274" s="6" t="n">
        <v>0</v>
      </c>
      <c r="P274" s="6"/>
      <c r="Q274" s="6"/>
      <c r="R274" s="6" t="str">
        <f aca="false">IFERROR(__xludf.dummyfunction("IFS(Q274=""ShotAttack"",""%"",Q274=""MeleeAttack"",""%"", Q274=""Defense"",""%"",Q274=""CraftSPeed"",""%"",Q274=""LifeSteal"",""%"",Q274=""MaxInventoryWeight"",""+"",Q274=""MoveSpeed"",""%"",REGEXMATCH(Q274,""ElementAddItemDrop_""),""%"",Q274=""Logging"","&amp;"""+"",Q274=""Mining"",""+"",Q274=""Maxhp"",""%"",REGEXMATCH(Q274,""TemperatureResist_""),""+"",REGEXMATCH(Q274,""ElementResist_""),""%"",REGEXMATCH(Q274,""TemperatureInvalid_""),""bool"",REGEXMATCH(Q274,""BodyPartsWeakDamage""),""%"",REGEXMATCH(Q274,""Ele"&amp;"mentBoost_""),""%"",AND(REGEXMATCH(J274,""GiveA""),REGEXMATCH(Q274,""Element"")),""bool"")"),"#N/A")</f>
        <v>#N/A</v>
      </c>
      <c r="S274" s="6" t="n">
        <v>0</v>
      </c>
      <c r="T274" s="6"/>
      <c r="U274" s="319" t="b">
        <f aca="false">TRUE()</f>
        <v>1</v>
      </c>
      <c r="V274" s="319" t="b">
        <f aca="false">FALSE()</f>
        <v>0</v>
      </c>
      <c r="W274" s="319" t="b">
        <f aca="false">FALSE()</f>
        <v>0</v>
      </c>
      <c r="X274" s="319" t="b">
        <f aca="false">FALSE()</f>
        <v>0</v>
      </c>
      <c r="Y274" s="319" t="b">
        <f aca="false">FALSE()</f>
        <v>0</v>
      </c>
      <c r="Z274" s="319" t="b">
        <f aca="false">FALSE()</f>
        <v>0</v>
      </c>
      <c r="AA274" s="319" t="b">
        <f aca="false">FALSE()</f>
        <v>0</v>
      </c>
      <c r="AB274" s="319" t="b">
        <f aca="false">FALSE()</f>
        <v>0</v>
      </c>
      <c r="AC274" s="319" t="b">
        <f aca="false">FALSE()</f>
        <v>0</v>
      </c>
      <c r="AD274" s="319" t="b">
        <f aca="false">FALSE()</f>
        <v>0</v>
      </c>
      <c r="AE274" s="319" t="b">
        <f aca="false">FALSE()</f>
        <v>0</v>
      </c>
      <c r="AF274" s="319" t="b">
        <f aca="false">FALSE()</f>
        <v>0</v>
      </c>
      <c r="AG274" s="6" t="s">
        <v>182</v>
      </c>
      <c r="AH274" s="6" t="s">
        <v>182</v>
      </c>
    </row>
    <row r="275" customFormat="false" ht="15.75" hidden="false" customHeight="false" outlineLevel="0" collapsed="false">
      <c r="A275" s="1" t="e">
        <f aca="false">#N/A</f>
        <v>#N/A</v>
      </c>
      <c r="B275" s="6" t="s">
        <v>1091</v>
      </c>
      <c r="C275" s="3"/>
      <c r="D275" s="6" t="str">
        <f aca="false">I275   &amp; IF(ISBLANK(M275),, ". "&amp; M275 &amp; IF(ISBLANK(Q275),, ". "&amp; Q275))</f>
        <v>ElementAddItemDrop_Earth</v>
      </c>
      <c r="E275" s="6" t="str">
        <f aca="false">I275  &amp;": # on "&amp; L275  &amp; IF(ISBLANK(M275),, ". "&amp; M275 &amp;": # on "&amp; P275 &amp; IF(ISBLANK(Q275),, ". "&amp; Q275 &amp;": # on "&amp; T275))</f>
        <v>ElementAddItemDrop_Earth: # on SelfAndTrainer</v>
      </c>
      <c r="F275" s="6" t="str">
        <f aca="false">IF(U275,"active pal",)  &amp; IF(V275,"working",) &amp; IF(W275,"mounted",) &amp; IF(Y275,"in party (buff)",)  &amp; IF(Z275,"always",)</f>
        <v>active pal</v>
      </c>
      <c r="G275" s="6" t="n">
        <v>1</v>
      </c>
      <c r="H275" s="6" t="s">
        <v>182</v>
      </c>
      <c r="I275" s="6" t="s">
        <v>2323</v>
      </c>
      <c r="J275" s="6" t="str">
        <f aca="false">IFERROR(__xludf.dummyfunction("IFS(I275=""ShotAttack"",""%"",I275=""MeleeAttack"",""%"", I275=""Defense"",""%"",I275=""CraftSPeed"",""%"",I275=""LifeSteal"",""%"",I275=""MaxInventoryWeight"",""+"",I275=""MoveSpeed"",""%"",REGEXMATCH(I275,""ElementAddItemDrop_""),""%"",I275=""Logging"","&amp;"""+"",I275=""Mining"",""+"",I275=""Maxhp"",""%"",REGEXMATCH(I275,""TemperatureResist_""),""+"",REGEXMATCH(I275,""ElementResist_""),""%"",REGEXMATCH(I275,""TemperatureInvalid_""),""bool"",REGEXMATCH(I275,""BodyPartsWeakDamage""),""%"",REGEXMATCH(I275,""Ele"&amp;"mentBoost_""),""%"",AND(REGEXMATCH(B275,""GiveA""),REGEXMATCH(I275,""Element"")),""bool"")"),"%")</f>
        <v>%</v>
      </c>
      <c r="K275" s="6" t="n">
        <v>70</v>
      </c>
      <c r="L275" s="6" t="s">
        <v>2085</v>
      </c>
      <c r="M275" s="6"/>
      <c r="N275" s="6" t="str">
        <f aca="false">IFERROR(__xludf.dummyfunction("IFS(M275=""ShotAttack"",""%"",M275=""MeleeAttack"",""%"", M275=""Defense"",""%"",M275=""CraftSPeed"",""%"",M275=""LifeSteal"",""%"",M275=""MaxInventoryWeight"",""+"",M275=""MoveSpeed"",""%"",REGEXMATCH(M275,""ElementAddItemDrop_""),""%"",M275=""Logging"","&amp;"""+"",M275=""Mining"",""+"",M275=""Maxhp"",""%"",REGEXMATCH(M275,""TemperatureResist_""),""+"",REGEXMATCH(M275,""ElementResist_""),""%"",REGEXMATCH(M275,""TemperatureInvalid_""),""bool"",REGEXMATCH(M275,""BodyPartsWeakDamage""),""%"",REGEXMATCH(M275,""Ele"&amp;"mentBoost_""),""%"",AND(REGEXMATCH(F275,""GiveA""),REGEXMATCH(M275,""Element"")),""bool"")"),"#N/A")</f>
        <v>#N/A</v>
      </c>
      <c r="O275" s="6" t="n">
        <v>0</v>
      </c>
      <c r="P275" s="6"/>
      <c r="Q275" s="6"/>
      <c r="R275" s="6" t="str">
        <f aca="false">IFERROR(__xludf.dummyfunction("IFS(Q275=""ShotAttack"",""%"",Q275=""MeleeAttack"",""%"", Q275=""Defense"",""%"",Q275=""CraftSPeed"",""%"",Q275=""LifeSteal"",""%"",Q275=""MaxInventoryWeight"",""+"",Q275=""MoveSpeed"",""%"",REGEXMATCH(Q275,""ElementAddItemDrop_""),""%"",Q275=""Logging"","&amp;"""+"",Q275=""Mining"",""+"",Q275=""Maxhp"",""%"",REGEXMATCH(Q275,""TemperatureResist_""),""+"",REGEXMATCH(Q275,""ElementResist_""),""%"",REGEXMATCH(Q275,""TemperatureInvalid_""),""bool"",REGEXMATCH(Q275,""BodyPartsWeakDamage""),""%"",REGEXMATCH(Q275,""Ele"&amp;"mentBoost_""),""%"",AND(REGEXMATCH(J275,""GiveA""),REGEXMATCH(Q275,""Element"")),""bool"")"),"#N/A")</f>
        <v>#N/A</v>
      </c>
      <c r="S275" s="6" t="n">
        <v>0</v>
      </c>
      <c r="T275" s="6"/>
      <c r="U275" s="319" t="b">
        <f aca="false">TRUE()</f>
        <v>1</v>
      </c>
      <c r="V275" s="319" t="b">
        <f aca="false">FALSE()</f>
        <v>0</v>
      </c>
      <c r="W275" s="319" t="b">
        <f aca="false">FALSE()</f>
        <v>0</v>
      </c>
      <c r="X275" s="319" t="b">
        <f aca="false">FALSE()</f>
        <v>0</v>
      </c>
      <c r="Y275" s="319" t="b">
        <f aca="false">FALSE()</f>
        <v>0</v>
      </c>
      <c r="Z275" s="319" t="b">
        <f aca="false">FALSE()</f>
        <v>0</v>
      </c>
      <c r="AA275" s="319" t="b">
        <f aca="false">FALSE()</f>
        <v>0</v>
      </c>
      <c r="AB275" s="319" t="b">
        <f aca="false">FALSE()</f>
        <v>0</v>
      </c>
      <c r="AC275" s="319" t="b">
        <f aca="false">FALSE()</f>
        <v>0</v>
      </c>
      <c r="AD275" s="319" t="b">
        <f aca="false">FALSE()</f>
        <v>0</v>
      </c>
      <c r="AE275" s="319" t="b">
        <f aca="false">FALSE()</f>
        <v>0</v>
      </c>
      <c r="AF275" s="319" t="b">
        <f aca="false">FALSE()</f>
        <v>0</v>
      </c>
      <c r="AG275" s="6" t="s">
        <v>182</v>
      </c>
      <c r="AH275" s="6" t="s">
        <v>182</v>
      </c>
    </row>
    <row r="276" customFormat="false" ht="15.75" hidden="false" customHeight="false" outlineLevel="0" collapsed="false">
      <c r="A276" s="1" t="e">
        <f aca="false">#N/A</f>
        <v>#N/A</v>
      </c>
      <c r="B276" s="6" t="s">
        <v>918</v>
      </c>
      <c r="C276" s="3"/>
      <c r="D276" s="6" t="str">
        <f aca="false">I276   &amp; IF(ISBLANK(M276),, ". "&amp; M276 &amp; IF(ISBLANK(Q276),, ". "&amp; Q276))</f>
        <v>ElementAddItemDrop_Dark</v>
      </c>
      <c r="E276" s="6" t="str">
        <f aca="false">I276  &amp;": # on "&amp; L276  &amp; IF(ISBLANK(M276),, ". "&amp; M276 &amp;": # on "&amp; P276 &amp; IF(ISBLANK(Q276),, ". "&amp; Q276 &amp;": # on "&amp; T276))</f>
        <v>ElementAddItemDrop_Dark: # on SelfAndTrainer</v>
      </c>
      <c r="F276" s="6" t="str">
        <f aca="false">IF(U276,"active pal",)  &amp; IF(V276,"working",) &amp; IF(W276,"mounted",) &amp; IF(Y276,"in party (buff)",)  &amp; IF(Z276,"always",)</f>
        <v>active pal</v>
      </c>
      <c r="G276" s="6" t="n">
        <v>1</v>
      </c>
      <c r="H276" s="6" t="s">
        <v>182</v>
      </c>
      <c r="I276" s="6" t="s">
        <v>2324</v>
      </c>
      <c r="J276" s="6" t="str">
        <f aca="false">IFERROR(__xludf.dummyfunction("IFS(I276=""ShotAttack"",""%"",I276=""MeleeAttack"",""%"", I276=""Defense"",""%"",I276=""CraftSPeed"",""%"",I276=""LifeSteal"",""%"",I276=""MaxInventoryWeight"",""+"",I276=""MoveSpeed"",""%"",REGEXMATCH(I276,""ElementAddItemDrop_""),""%"",I276=""Logging"","&amp;"""+"",I276=""Mining"",""+"",I276=""Maxhp"",""%"",REGEXMATCH(I276,""TemperatureResist_""),""+"",REGEXMATCH(I276,""ElementResist_""),""%"",REGEXMATCH(I276,""TemperatureInvalid_""),""bool"",REGEXMATCH(I276,""BodyPartsWeakDamage""),""%"",REGEXMATCH(I276,""Ele"&amp;"mentBoost_""),""%"",AND(REGEXMATCH(B276,""GiveA""),REGEXMATCH(I276,""Element"")),""bool"")"),"%")</f>
        <v>%</v>
      </c>
      <c r="K276" s="6" t="n">
        <v>70</v>
      </c>
      <c r="L276" s="6" t="s">
        <v>2085</v>
      </c>
      <c r="M276" s="6"/>
      <c r="N276" s="6" t="str">
        <f aca="false">IFERROR(__xludf.dummyfunction("IFS(M276=""ShotAttack"",""%"",M276=""MeleeAttack"",""%"", M276=""Defense"",""%"",M276=""CraftSPeed"",""%"",M276=""LifeSteal"",""%"",M276=""MaxInventoryWeight"",""+"",M276=""MoveSpeed"",""%"",REGEXMATCH(M276,""ElementAddItemDrop_""),""%"",M276=""Logging"","&amp;"""+"",M276=""Mining"",""+"",M276=""Maxhp"",""%"",REGEXMATCH(M276,""TemperatureResist_""),""+"",REGEXMATCH(M276,""ElementResist_""),""%"",REGEXMATCH(M276,""TemperatureInvalid_""),""bool"",REGEXMATCH(M276,""BodyPartsWeakDamage""),""%"",REGEXMATCH(M276,""Ele"&amp;"mentBoost_""),""%"",AND(REGEXMATCH(F276,""GiveA""),REGEXMATCH(M276,""Element"")),""bool"")"),"#N/A")</f>
        <v>#N/A</v>
      </c>
      <c r="O276" s="6" t="n">
        <v>0</v>
      </c>
      <c r="P276" s="6"/>
      <c r="Q276" s="6"/>
      <c r="R276" s="6" t="str">
        <f aca="false">IFERROR(__xludf.dummyfunction("IFS(Q276=""ShotAttack"",""%"",Q276=""MeleeAttack"",""%"", Q276=""Defense"",""%"",Q276=""CraftSPeed"",""%"",Q276=""LifeSteal"",""%"",Q276=""MaxInventoryWeight"",""+"",Q276=""MoveSpeed"",""%"",REGEXMATCH(Q276,""ElementAddItemDrop_""),""%"",Q276=""Logging"","&amp;"""+"",Q276=""Mining"",""+"",Q276=""Maxhp"",""%"",REGEXMATCH(Q276,""TemperatureResist_""),""+"",REGEXMATCH(Q276,""ElementResist_""),""%"",REGEXMATCH(Q276,""TemperatureInvalid_""),""bool"",REGEXMATCH(Q276,""BodyPartsWeakDamage""),""%"",REGEXMATCH(Q276,""Ele"&amp;"mentBoost_""),""%"",AND(REGEXMATCH(J276,""GiveA""),REGEXMATCH(Q276,""Element"")),""bool"")"),"#N/A")</f>
        <v>#N/A</v>
      </c>
      <c r="S276" s="6" t="n">
        <v>0</v>
      </c>
      <c r="T276" s="6"/>
      <c r="U276" s="319" t="b">
        <f aca="false">TRUE()</f>
        <v>1</v>
      </c>
      <c r="V276" s="319" t="b">
        <f aca="false">FALSE()</f>
        <v>0</v>
      </c>
      <c r="W276" s="319" t="b">
        <f aca="false">FALSE()</f>
        <v>0</v>
      </c>
      <c r="X276" s="319" t="b">
        <f aca="false">FALSE()</f>
        <v>0</v>
      </c>
      <c r="Y276" s="319" t="b">
        <f aca="false">FALSE()</f>
        <v>0</v>
      </c>
      <c r="Z276" s="319" t="b">
        <f aca="false">FALSE()</f>
        <v>0</v>
      </c>
      <c r="AA276" s="319" t="b">
        <f aca="false">FALSE()</f>
        <v>0</v>
      </c>
      <c r="AB276" s="319" t="b">
        <f aca="false">FALSE()</f>
        <v>0</v>
      </c>
      <c r="AC276" s="319" t="b">
        <f aca="false">FALSE()</f>
        <v>0</v>
      </c>
      <c r="AD276" s="319" t="b">
        <f aca="false">FALSE()</f>
        <v>0</v>
      </c>
      <c r="AE276" s="319" t="b">
        <f aca="false">FALSE()</f>
        <v>0</v>
      </c>
      <c r="AF276" s="319" t="b">
        <f aca="false">FALSE()</f>
        <v>0</v>
      </c>
      <c r="AG276" s="6" t="s">
        <v>182</v>
      </c>
      <c r="AH276" s="6" t="s">
        <v>182</v>
      </c>
    </row>
    <row r="277" customFormat="false" ht="15.75" hidden="false" customHeight="false" outlineLevel="0" collapsed="false">
      <c r="A277" s="1" t="e">
        <f aca="false">#N/A</f>
        <v>#N/A</v>
      </c>
      <c r="B277" s="6" t="s">
        <v>936</v>
      </c>
      <c r="C277" s="3"/>
      <c r="D277" s="6" t="str">
        <f aca="false">I277   &amp; IF(ISBLANK(M277),, ". "&amp; M277 &amp; IF(ISBLANK(Q277),, ". "&amp; Q277))</f>
        <v>ElementAddItemDrop_Dragon</v>
      </c>
      <c r="E277" s="6" t="str">
        <f aca="false">I277  &amp;": # on "&amp; L277  &amp; IF(ISBLANK(M277),, ". "&amp; M277 &amp;": # on "&amp; P277 &amp; IF(ISBLANK(Q277),, ". "&amp; Q277 &amp;": # on "&amp; T277))</f>
        <v>ElementAddItemDrop_Dragon: # on SelfAndTrainer</v>
      </c>
      <c r="F277" s="6" t="str">
        <f aca="false">IF(U277,"active pal",)  &amp; IF(V277,"working",) &amp; IF(W277,"mounted",) &amp; IF(Y277,"in party (buff)",)  &amp; IF(Z277,"always",)</f>
        <v>active pal</v>
      </c>
      <c r="G277" s="6" t="n">
        <v>1</v>
      </c>
      <c r="H277" s="6" t="s">
        <v>182</v>
      </c>
      <c r="I277" s="6" t="s">
        <v>2325</v>
      </c>
      <c r="J277" s="6" t="str">
        <f aca="false">IFERROR(__xludf.dummyfunction("IFS(I277=""ShotAttack"",""%"",I277=""MeleeAttack"",""%"", I277=""Defense"",""%"",I277=""CraftSPeed"",""%"",I277=""LifeSteal"",""%"",I277=""MaxInventoryWeight"",""+"",I277=""MoveSpeed"",""%"",REGEXMATCH(I277,""ElementAddItemDrop_""),""%"",I277=""Logging"","&amp;"""+"",I277=""Mining"",""+"",I277=""Maxhp"",""%"",REGEXMATCH(I277,""TemperatureResist_""),""+"",REGEXMATCH(I277,""ElementResist_""),""%"",REGEXMATCH(I277,""TemperatureInvalid_""),""bool"",REGEXMATCH(I277,""BodyPartsWeakDamage""),""%"",REGEXMATCH(I277,""Ele"&amp;"mentBoost_""),""%"",AND(REGEXMATCH(B277,""GiveA""),REGEXMATCH(I277,""Element"")),""bool"")"),"%")</f>
        <v>%</v>
      </c>
      <c r="K277" s="6" t="n">
        <v>70</v>
      </c>
      <c r="L277" s="6" t="s">
        <v>2085</v>
      </c>
      <c r="M277" s="6"/>
      <c r="N277" s="6" t="str">
        <f aca="false">IFERROR(__xludf.dummyfunction("IFS(M277=""ShotAttack"",""%"",M277=""MeleeAttack"",""%"", M277=""Defense"",""%"",M277=""CraftSPeed"",""%"",M277=""LifeSteal"",""%"",M277=""MaxInventoryWeight"",""+"",M277=""MoveSpeed"",""%"",REGEXMATCH(M277,""ElementAddItemDrop_""),""%"",M277=""Logging"","&amp;"""+"",M277=""Mining"",""+"",M277=""Maxhp"",""%"",REGEXMATCH(M277,""TemperatureResist_""),""+"",REGEXMATCH(M277,""ElementResist_""),""%"",REGEXMATCH(M277,""TemperatureInvalid_""),""bool"",REGEXMATCH(M277,""BodyPartsWeakDamage""),""%"",REGEXMATCH(M277,""Ele"&amp;"mentBoost_""),""%"",AND(REGEXMATCH(F277,""GiveA""),REGEXMATCH(M277,""Element"")),""bool"")"),"#N/A")</f>
        <v>#N/A</v>
      </c>
      <c r="O277" s="6" t="n">
        <v>0</v>
      </c>
      <c r="P277" s="6"/>
      <c r="Q277" s="6"/>
      <c r="R277" s="6" t="str">
        <f aca="false">IFERROR(__xludf.dummyfunction("IFS(Q277=""ShotAttack"",""%"",Q277=""MeleeAttack"",""%"", Q277=""Defense"",""%"",Q277=""CraftSPeed"",""%"",Q277=""LifeSteal"",""%"",Q277=""MaxInventoryWeight"",""+"",Q277=""MoveSpeed"",""%"",REGEXMATCH(Q277,""ElementAddItemDrop_""),""%"",Q277=""Logging"","&amp;"""+"",Q277=""Mining"",""+"",Q277=""Maxhp"",""%"",REGEXMATCH(Q277,""TemperatureResist_""),""+"",REGEXMATCH(Q277,""ElementResist_""),""%"",REGEXMATCH(Q277,""TemperatureInvalid_""),""bool"",REGEXMATCH(Q277,""BodyPartsWeakDamage""),""%"",REGEXMATCH(Q277,""Ele"&amp;"mentBoost_""),""%"",AND(REGEXMATCH(J277,""GiveA""),REGEXMATCH(Q277,""Element"")),""bool"")"),"#N/A")</f>
        <v>#N/A</v>
      </c>
      <c r="S277" s="6" t="n">
        <v>0</v>
      </c>
      <c r="T277" s="6"/>
      <c r="U277" s="319" t="b">
        <f aca="false">TRUE()</f>
        <v>1</v>
      </c>
      <c r="V277" s="319" t="b">
        <f aca="false">FALSE()</f>
        <v>0</v>
      </c>
      <c r="W277" s="319" t="b">
        <f aca="false">FALSE()</f>
        <v>0</v>
      </c>
      <c r="X277" s="319" t="b">
        <f aca="false">FALSE()</f>
        <v>0</v>
      </c>
      <c r="Y277" s="319" t="b">
        <f aca="false">FALSE()</f>
        <v>0</v>
      </c>
      <c r="Z277" s="319" t="b">
        <f aca="false">FALSE()</f>
        <v>0</v>
      </c>
      <c r="AA277" s="319" t="b">
        <f aca="false">FALSE()</f>
        <v>0</v>
      </c>
      <c r="AB277" s="319" t="b">
        <f aca="false">FALSE()</f>
        <v>0</v>
      </c>
      <c r="AC277" s="319" t="b">
        <f aca="false">FALSE()</f>
        <v>0</v>
      </c>
      <c r="AD277" s="319" t="b">
        <f aca="false">FALSE()</f>
        <v>0</v>
      </c>
      <c r="AE277" s="319" t="b">
        <f aca="false">FALSE()</f>
        <v>0</v>
      </c>
      <c r="AF277" s="319" t="b">
        <f aca="false">FALSE()</f>
        <v>0</v>
      </c>
      <c r="AG277" s="6" t="s">
        <v>182</v>
      </c>
      <c r="AH277" s="6" t="s">
        <v>182</v>
      </c>
    </row>
    <row r="278" customFormat="false" ht="15.75" hidden="false" customHeight="false" outlineLevel="0" collapsed="false">
      <c r="A278" s="1" t="e">
        <f aca="false">#N/A</f>
        <v>#N/A</v>
      </c>
      <c r="B278" s="6" t="s">
        <v>1155</v>
      </c>
      <c r="C278" s="3"/>
      <c r="D278" s="6" t="str">
        <f aca="false">I278   &amp; IF(ISBLANK(M278),, ". "&amp; M278 &amp; IF(ISBLANK(Q278),, ". "&amp; Q278))</f>
        <v>ElementAddItemDrop_Normal</v>
      </c>
      <c r="E278" s="6" t="str">
        <f aca="false">I278  &amp;": # on "&amp; L278  &amp; IF(ISBLANK(M278),, ". "&amp; M278 &amp;": # on "&amp; P278 &amp; IF(ISBLANK(Q278),, ". "&amp; Q278 &amp;": # on "&amp; T278))</f>
        <v>ElementAddItemDrop_Normal: # on SelfAndTrainer</v>
      </c>
      <c r="F278" s="6" t="str">
        <f aca="false">IF(U278,"active pal",)  &amp; IF(V278,"working",) &amp; IF(W278,"mounted",) &amp; IF(Y278,"in party (buff)",)  &amp; IF(Z278,"always",)</f>
        <v>active pal</v>
      </c>
      <c r="G278" s="6" t="n">
        <v>1</v>
      </c>
      <c r="H278" s="6" t="s">
        <v>182</v>
      </c>
      <c r="I278" s="6" t="s">
        <v>2317</v>
      </c>
      <c r="J278" s="6" t="str">
        <f aca="false">IFERROR(__xludf.dummyfunction("IFS(I278=""ShotAttack"",""%"",I278=""MeleeAttack"",""%"", I278=""Defense"",""%"",I278=""CraftSPeed"",""%"",I278=""LifeSteal"",""%"",I278=""MaxInventoryWeight"",""+"",I278=""MoveSpeed"",""%"",REGEXMATCH(I278,""ElementAddItemDrop_""),""%"",I278=""Logging"","&amp;"""+"",I278=""Mining"",""+"",I278=""Maxhp"",""%"",REGEXMATCH(I278,""TemperatureResist_""),""+"",REGEXMATCH(I278,""ElementResist_""),""%"",REGEXMATCH(I278,""TemperatureInvalid_""),""bool"",REGEXMATCH(I278,""BodyPartsWeakDamage""),""%"",REGEXMATCH(I278,""Ele"&amp;"mentBoost_""),""%"",AND(REGEXMATCH(B278,""GiveA""),REGEXMATCH(I278,""Element"")),""bool"")"),"%")</f>
        <v>%</v>
      </c>
      <c r="K278" s="6" t="n">
        <v>80</v>
      </c>
      <c r="L278" s="6" t="s">
        <v>2085</v>
      </c>
      <c r="M278" s="6"/>
      <c r="N278" s="6" t="str">
        <f aca="false">IFERROR(__xludf.dummyfunction("IFS(M278=""ShotAttack"",""%"",M278=""MeleeAttack"",""%"", M278=""Defense"",""%"",M278=""CraftSPeed"",""%"",M278=""LifeSteal"",""%"",M278=""MaxInventoryWeight"",""+"",M278=""MoveSpeed"",""%"",REGEXMATCH(M278,""ElementAddItemDrop_""),""%"",M278=""Logging"","&amp;"""+"",M278=""Mining"",""+"",M278=""Maxhp"",""%"",REGEXMATCH(M278,""TemperatureResist_""),""+"",REGEXMATCH(M278,""ElementResist_""),""%"",REGEXMATCH(M278,""TemperatureInvalid_""),""bool"",REGEXMATCH(M278,""BodyPartsWeakDamage""),""%"",REGEXMATCH(M278,""Ele"&amp;"mentBoost_""),""%"",AND(REGEXMATCH(F278,""GiveA""),REGEXMATCH(M278,""Element"")),""bool"")"),"#N/A")</f>
        <v>#N/A</v>
      </c>
      <c r="O278" s="6" t="n">
        <v>0</v>
      </c>
      <c r="P278" s="6"/>
      <c r="Q278" s="6"/>
      <c r="R278" s="6" t="str">
        <f aca="false">IFERROR(__xludf.dummyfunction("IFS(Q278=""ShotAttack"",""%"",Q278=""MeleeAttack"",""%"", Q278=""Defense"",""%"",Q278=""CraftSPeed"",""%"",Q278=""LifeSteal"",""%"",Q278=""MaxInventoryWeight"",""+"",Q278=""MoveSpeed"",""%"",REGEXMATCH(Q278,""ElementAddItemDrop_""),""%"",Q278=""Logging"","&amp;"""+"",Q278=""Mining"",""+"",Q278=""Maxhp"",""%"",REGEXMATCH(Q278,""TemperatureResist_""),""+"",REGEXMATCH(Q278,""ElementResist_""),""%"",REGEXMATCH(Q278,""TemperatureInvalid_""),""bool"",REGEXMATCH(Q278,""BodyPartsWeakDamage""),""%"",REGEXMATCH(Q278,""Ele"&amp;"mentBoost_""),""%"",AND(REGEXMATCH(J278,""GiveA""),REGEXMATCH(Q278,""Element"")),""bool"")"),"#N/A")</f>
        <v>#N/A</v>
      </c>
      <c r="S278" s="6" t="n">
        <v>0</v>
      </c>
      <c r="T278" s="6"/>
      <c r="U278" s="319" t="b">
        <f aca="false">TRUE()</f>
        <v>1</v>
      </c>
      <c r="V278" s="319" t="b">
        <f aca="false">FALSE()</f>
        <v>0</v>
      </c>
      <c r="W278" s="319" t="b">
        <f aca="false">FALSE()</f>
        <v>0</v>
      </c>
      <c r="X278" s="319" t="b">
        <f aca="false">FALSE()</f>
        <v>0</v>
      </c>
      <c r="Y278" s="319" t="b">
        <f aca="false">FALSE()</f>
        <v>0</v>
      </c>
      <c r="Z278" s="319" t="b">
        <f aca="false">FALSE()</f>
        <v>0</v>
      </c>
      <c r="AA278" s="319" t="b">
        <f aca="false">FALSE()</f>
        <v>0</v>
      </c>
      <c r="AB278" s="319" t="b">
        <f aca="false">FALSE()</f>
        <v>0</v>
      </c>
      <c r="AC278" s="319" t="b">
        <f aca="false">FALSE()</f>
        <v>0</v>
      </c>
      <c r="AD278" s="319" t="b">
        <f aca="false">FALSE()</f>
        <v>0</v>
      </c>
      <c r="AE278" s="319" t="b">
        <f aca="false">FALSE()</f>
        <v>0</v>
      </c>
      <c r="AF278" s="319" t="b">
        <f aca="false">FALSE()</f>
        <v>0</v>
      </c>
      <c r="AG278" s="6" t="s">
        <v>182</v>
      </c>
      <c r="AH278" s="6" t="s">
        <v>182</v>
      </c>
    </row>
    <row r="279" customFormat="false" ht="15.75" hidden="false" customHeight="false" outlineLevel="0" collapsed="false">
      <c r="A279" s="1" t="e">
        <f aca="false">#N/A</f>
        <v>#N/A</v>
      </c>
      <c r="B279" s="6" t="s">
        <v>925</v>
      </c>
      <c r="C279" s="3"/>
      <c r="D279" s="6" t="str">
        <f aca="false">I279   &amp; IF(ISBLANK(M279),, ". "&amp; M279 &amp; IF(ISBLANK(Q279),, ". "&amp; Q279))</f>
        <v>ElementAddItemDrop_Fire</v>
      </c>
      <c r="E279" s="6" t="str">
        <f aca="false">I279  &amp;": # on "&amp; L279  &amp; IF(ISBLANK(M279),, ". "&amp; M279 &amp;": # on "&amp; P279 &amp; IF(ISBLANK(Q279),, ". "&amp; Q279 &amp;": # on "&amp; T279))</f>
        <v>ElementAddItemDrop_Fire: # on SelfAndTrainer</v>
      </c>
      <c r="F279" s="6" t="str">
        <f aca="false">IF(U279,"active pal",)  &amp; IF(V279,"working",) &amp; IF(W279,"mounted",) &amp; IF(Y279,"in party (buff)",)  &amp; IF(Z279,"always",)</f>
        <v>active pal</v>
      </c>
      <c r="G279" s="6" t="n">
        <v>1</v>
      </c>
      <c r="H279" s="6" t="s">
        <v>182</v>
      </c>
      <c r="I279" s="6" t="s">
        <v>2318</v>
      </c>
      <c r="J279" s="6" t="str">
        <f aca="false">IFERROR(__xludf.dummyfunction("IFS(I279=""ShotAttack"",""%"",I279=""MeleeAttack"",""%"", I279=""Defense"",""%"",I279=""CraftSPeed"",""%"",I279=""LifeSteal"",""%"",I279=""MaxInventoryWeight"",""+"",I279=""MoveSpeed"",""%"",REGEXMATCH(I279,""ElementAddItemDrop_""),""%"",I279=""Logging"","&amp;"""+"",I279=""Mining"",""+"",I279=""Maxhp"",""%"",REGEXMATCH(I279,""TemperatureResist_""),""+"",REGEXMATCH(I279,""ElementResist_""),""%"",REGEXMATCH(I279,""TemperatureInvalid_""),""bool"",REGEXMATCH(I279,""BodyPartsWeakDamage""),""%"",REGEXMATCH(I279,""Ele"&amp;"mentBoost_""),""%"",AND(REGEXMATCH(B279,""GiveA""),REGEXMATCH(I279,""Element"")),""bool"")"),"%")</f>
        <v>%</v>
      </c>
      <c r="K279" s="6" t="n">
        <v>80</v>
      </c>
      <c r="L279" s="6" t="s">
        <v>2085</v>
      </c>
      <c r="M279" s="6"/>
      <c r="N279" s="6" t="str">
        <f aca="false">IFERROR(__xludf.dummyfunction("IFS(M279=""ShotAttack"",""%"",M279=""MeleeAttack"",""%"", M279=""Defense"",""%"",M279=""CraftSPeed"",""%"",M279=""LifeSteal"",""%"",M279=""MaxInventoryWeight"",""+"",M279=""MoveSpeed"",""%"",REGEXMATCH(M279,""ElementAddItemDrop_""),""%"",M279=""Logging"","&amp;"""+"",M279=""Mining"",""+"",M279=""Maxhp"",""%"",REGEXMATCH(M279,""TemperatureResist_""),""+"",REGEXMATCH(M279,""ElementResist_""),""%"",REGEXMATCH(M279,""TemperatureInvalid_""),""bool"",REGEXMATCH(M279,""BodyPartsWeakDamage""),""%"",REGEXMATCH(M279,""Ele"&amp;"mentBoost_""),""%"",AND(REGEXMATCH(F279,""GiveA""),REGEXMATCH(M279,""Element"")),""bool"")"),"#N/A")</f>
        <v>#N/A</v>
      </c>
      <c r="O279" s="6" t="n">
        <v>0</v>
      </c>
      <c r="P279" s="6"/>
      <c r="Q279" s="6"/>
      <c r="R279" s="6" t="str">
        <f aca="false">IFERROR(__xludf.dummyfunction("IFS(Q279=""ShotAttack"",""%"",Q279=""MeleeAttack"",""%"", Q279=""Defense"",""%"",Q279=""CraftSPeed"",""%"",Q279=""LifeSteal"",""%"",Q279=""MaxInventoryWeight"",""+"",Q279=""MoveSpeed"",""%"",REGEXMATCH(Q279,""ElementAddItemDrop_""),""%"",Q279=""Logging"","&amp;"""+"",Q279=""Mining"",""+"",Q279=""Maxhp"",""%"",REGEXMATCH(Q279,""TemperatureResist_""),""+"",REGEXMATCH(Q279,""ElementResist_""),""%"",REGEXMATCH(Q279,""TemperatureInvalid_""),""bool"",REGEXMATCH(Q279,""BodyPartsWeakDamage""),""%"",REGEXMATCH(Q279,""Ele"&amp;"mentBoost_""),""%"",AND(REGEXMATCH(J279,""GiveA""),REGEXMATCH(Q279,""Element"")),""bool"")"),"#N/A")</f>
        <v>#N/A</v>
      </c>
      <c r="S279" s="6" t="n">
        <v>0</v>
      </c>
      <c r="T279" s="6"/>
      <c r="U279" s="319" t="b">
        <f aca="false">TRUE()</f>
        <v>1</v>
      </c>
      <c r="V279" s="319" t="b">
        <f aca="false">FALSE()</f>
        <v>0</v>
      </c>
      <c r="W279" s="319" t="b">
        <f aca="false">FALSE()</f>
        <v>0</v>
      </c>
      <c r="X279" s="319" t="b">
        <f aca="false">FALSE()</f>
        <v>0</v>
      </c>
      <c r="Y279" s="319" t="b">
        <f aca="false">FALSE()</f>
        <v>0</v>
      </c>
      <c r="Z279" s="319" t="b">
        <f aca="false">FALSE()</f>
        <v>0</v>
      </c>
      <c r="AA279" s="319" t="b">
        <f aca="false">FALSE()</f>
        <v>0</v>
      </c>
      <c r="AB279" s="319" t="b">
        <f aca="false">FALSE()</f>
        <v>0</v>
      </c>
      <c r="AC279" s="319" t="b">
        <f aca="false">FALSE()</f>
        <v>0</v>
      </c>
      <c r="AD279" s="319" t="b">
        <f aca="false">FALSE()</f>
        <v>0</v>
      </c>
      <c r="AE279" s="319" t="b">
        <f aca="false">FALSE()</f>
        <v>0</v>
      </c>
      <c r="AF279" s="319" t="b">
        <f aca="false">FALSE()</f>
        <v>0</v>
      </c>
      <c r="AG279" s="6" t="s">
        <v>182</v>
      </c>
      <c r="AH279" s="6" t="s">
        <v>182</v>
      </c>
    </row>
    <row r="280" customFormat="false" ht="15.75" hidden="false" customHeight="false" outlineLevel="0" collapsed="false">
      <c r="A280" s="1" t="e">
        <f aca="false">#N/A</f>
        <v>#N/A</v>
      </c>
      <c r="B280" s="6" t="s">
        <v>1235</v>
      </c>
      <c r="C280" s="3"/>
      <c r="D280" s="6" t="str">
        <f aca="false">I280   &amp; IF(ISBLANK(M280),, ". "&amp; M280 &amp; IF(ISBLANK(Q280),, ". "&amp; Q280))</f>
        <v>ElementAddItemDrop_Water</v>
      </c>
      <c r="E280" s="6" t="str">
        <f aca="false">I280  &amp;": # on "&amp; L280  &amp; IF(ISBLANK(M280),, ". "&amp; M280 &amp;": # on "&amp; P280 &amp; IF(ISBLANK(Q280),, ". "&amp; Q280 &amp;": # on "&amp; T280))</f>
        <v>ElementAddItemDrop_Water: # on SelfAndTrainer</v>
      </c>
      <c r="F280" s="6" t="str">
        <f aca="false">IF(U280,"active pal",)  &amp; IF(V280,"working",) &amp; IF(W280,"mounted",) &amp; IF(Y280,"in party (buff)",)  &amp; IF(Z280,"always",)</f>
        <v>active pal</v>
      </c>
      <c r="G280" s="6" t="n">
        <v>1</v>
      </c>
      <c r="H280" s="6" t="s">
        <v>182</v>
      </c>
      <c r="I280" s="6" t="s">
        <v>2319</v>
      </c>
      <c r="J280" s="6" t="str">
        <f aca="false">IFERROR(__xludf.dummyfunction("IFS(I280=""ShotAttack"",""%"",I280=""MeleeAttack"",""%"", I280=""Defense"",""%"",I280=""CraftSPeed"",""%"",I280=""LifeSteal"",""%"",I280=""MaxInventoryWeight"",""+"",I280=""MoveSpeed"",""%"",REGEXMATCH(I280,""ElementAddItemDrop_""),""%"",I280=""Logging"","&amp;"""+"",I280=""Mining"",""+"",I280=""Maxhp"",""%"",REGEXMATCH(I280,""TemperatureResist_""),""+"",REGEXMATCH(I280,""ElementResist_""),""%"",REGEXMATCH(I280,""TemperatureInvalid_""),""bool"",REGEXMATCH(I280,""BodyPartsWeakDamage""),""%"",REGEXMATCH(I280,""Ele"&amp;"mentBoost_""),""%"",AND(REGEXMATCH(B280,""GiveA""),REGEXMATCH(I280,""Element"")),""bool"")"),"%")</f>
        <v>%</v>
      </c>
      <c r="K280" s="6" t="n">
        <v>80</v>
      </c>
      <c r="L280" s="6" t="s">
        <v>2085</v>
      </c>
      <c r="M280" s="6"/>
      <c r="N280" s="6" t="str">
        <f aca="false">IFERROR(__xludf.dummyfunction("IFS(M280=""ShotAttack"",""%"",M280=""MeleeAttack"",""%"", M280=""Defense"",""%"",M280=""CraftSPeed"",""%"",M280=""LifeSteal"",""%"",M280=""MaxInventoryWeight"",""+"",M280=""MoveSpeed"",""%"",REGEXMATCH(M280,""ElementAddItemDrop_""),""%"",M280=""Logging"","&amp;"""+"",M280=""Mining"",""+"",M280=""Maxhp"",""%"",REGEXMATCH(M280,""TemperatureResist_""),""+"",REGEXMATCH(M280,""ElementResist_""),""%"",REGEXMATCH(M280,""TemperatureInvalid_""),""bool"",REGEXMATCH(M280,""BodyPartsWeakDamage""),""%"",REGEXMATCH(M280,""Ele"&amp;"mentBoost_""),""%"",AND(REGEXMATCH(F280,""GiveA""),REGEXMATCH(M280,""Element"")),""bool"")"),"#N/A")</f>
        <v>#N/A</v>
      </c>
      <c r="O280" s="6" t="n">
        <v>0</v>
      </c>
      <c r="P280" s="6"/>
      <c r="Q280" s="6"/>
      <c r="R280" s="6" t="str">
        <f aca="false">IFERROR(__xludf.dummyfunction("IFS(Q280=""ShotAttack"",""%"",Q280=""MeleeAttack"",""%"", Q280=""Defense"",""%"",Q280=""CraftSPeed"",""%"",Q280=""LifeSteal"",""%"",Q280=""MaxInventoryWeight"",""+"",Q280=""MoveSpeed"",""%"",REGEXMATCH(Q280,""ElementAddItemDrop_""),""%"",Q280=""Logging"","&amp;"""+"",Q280=""Mining"",""+"",Q280=""Maxhp"",""%"",REGEXMATCH(Q280,""TemperatureResist_""),""+"",REGEXMATCH(Q280,""ElementResist_""),""%"",REGEXMATCH(Q280,""TemperatureInvalid_""),""bool"",REGEXMATCH(Q280,""BodyPartsWeakDamage""),""%"",REGEXMATCH(Q280,""Ele"&amp;"mentBoost_""),""%"",AND(REGEXMATCH(J280,""GiveA""),REGEXMATCH(Q280,""Element"")),""bool"")"),"#N/A")</f>
        <v>#N/A</v>
      </c>
      <c r="S280" s="6" t="n">
        <v>0</v>
      </c>
      <c r="T280" s="6"/>
      <c r="U280" s="319" t="b">
        <f aca="false">TRUE()</f>
        <v>1</v>
      </c>
      <c r="V280" s="319" t="b">
        <f aca="false">FALSE()</f>
        <v>0</v>
      </c>
      <c r="W280" s="319" t="b">
        <f aca="false">FALSE()</f>
        <v>0</v>
      </c>
      <c r="X280" s="319" t="b">
        <f aca="false">FALSE()</f>
        <v>0</v>
      </c>
      <c r="Y280" s="319" t="b">
        <f aca="false">FALSE()</f>
        <v>0</v>
      </c>
      <c r="Z280" s="319" t="b">
        <f aca="false">FALSE()</f>
        <v>0</v>
      </c>
      <c r="AA280" s="319" t="b">
        <f aca="false">FALSE()</f>
        <v>0</v>
      </c>
      <c r="AB280" s="319" t="b">
        <f aca="false">FALSE()</f>
        <v>0</v>
      </c>
      <c r="AC280" s="319" t="b">
        <f aca="false">FALSE()</f>
        <v>0</v>
      </c>
      <c r="AD280" s="319" t="b">
        <f aca="false">FALSE()</f>
        <v>0</v>
      </c>
      <c r="AE280" s="319" t="b">
        <f aca="false">FALSE()</f>
        <v>0</v>
      </c>
      <c r="AF280" s="319" t="b">
        <f aca="false">FALSE()</f>
        <v>0</v>
      </c>
      <c r="AG280" s="6" t="s">
        <v>182</v>
      </c>
      <c r="AH280" s="6" t="s">
        <v>182</v>
      </c>
    </row>
    <row r="281" customFormat="false" ht="15.75" hidden="false" customHeight="false" outlineLevel="0" collapsed="false">
      <c r="A281" s="1" t="e">
        <f aca="false">#N/A</f>
        <v>#N/A</v>
      </c>
      <c r="B281" s="6" t="s">
        <v>1229</v>
      </c>
      <c r="C281" s="3"/>
      <c r="D281" s="6" t="str">
        <f aca="false">I281   &amp; IF(ISBLANK(M281),, ". "&amp; M281 &amp; IF(ISBLANK(Q281),, ". "&amp; Q281))</f>
        <v>ElementAddItemDrop_Electricity</v>
      </c>
      <c r="E281" s="6" t="str">
        <f aca="false">I281  &amp;": # on "&amp; L281  &amp; IF(ISBLANK(M281),, ". "&amp; M281 &amp;": # on "&amp; P281 &amp; IF(ISBLANK(Q281),, ". "&amp; Q281 &amp;": # on "&amp; T281))</f>
        <v>ElementAddItemDrop_Electricity: # on SelfAndTrainer</v>
      </c>
      <c r="F281" s="6" t="str">
        <f aca="false">IF(U281,"active pal",)  &amp; IF(V281,"working",) &amp; IF(W281,"mounted",) &amp; IF(Y281,"in party (buff)",)  &amp; IF(Z281,"always",)</f>
        <v>active pal</v>
      </c>
      <c r="G281" s="6" t="n">
        <v>1</v>
      </c>
      <c r="H281" s="6" t="s">
        <v>182</v>
      </c>
      <c r="I281" s="6" t="s">
        <v>2320</v>
      </c>
      <c r="J281" s="6" t="str">
        <f aca="false">IFERROR(__xludf.dummyfunction("IFS(I281=""ShotAttack"",""%"",I281=""MeleeAttack"",""%"", I281=""Defense"",""%"",I281=""CraftSPeed"",""%"",I281=""LifeSteal"",""%"",I281=""MaxInventoryWeight"",""+"",I281=""MoveSpeed"",""%"",REGEXMATCH(I281,""ElementAddItemDrop_""),""%"",I281=""Logging"","&amp;"""+"",I281=""Mining"",""+"",I281=""Maxhp"",""%"",REGEXMATCH(I281,""TemperatureResist_""),""+"",REGEXMATCH(I281,""ElementResist_""),""%"",REGEXMATCH(I281,""TemperatureInvalid_""),""bool"",REGEXMATCH(I281,""BodyPartsWeakDamage""),""%"",REGEXMATCH(I281,""Ele"&amp;"mentBoost_""),""%"",AND(REGEXMATCH(B281,""GiveA""),REGEXMATCH(I281,""Element"")),""bool"")"),"%")</f>
        <v>%</v>
      </c>
      <c r="K281" s="6" t="n">
        <v>80</v>
      </c>
      <c r="L281" s="6" t="s">
        <v>2085</v>
      </c>
      <c r="M281" s="6"/>
      <c r="N281" s="6" t="str">
        <f aca="false">IFERROR(__xludf.dummyfunction("IFS(M281=""ShotAttack"",""%"",M281=""MeleeAttack"",""%"", M281=""Defense"",""%"",M281=""CraftSPeed"",""%"",M281=""LifeSteal"",""%"",M281=""MaxInventoryWeight"",""+"",M281=""MoveSpeed"",""%"",REGEXMATCH(M281,""ElementAddItemDrop_""),""%"",M281=""Logging"","&amp;"""+"",M281=""Mining"",""+"",M281=""Maxhp"",""%"",REGEXMATCH(M281,""TemperatureResist_""),""+"",REGEXMATCH(M281,""ElementResist_""),""%"",REGEXMATCH(M281,""TemperatureInvalid_""),""bool"",REGEXMATCH(M281,""BodyPartsWeakDamage""),""%"",REGEXMATCH(M281,""Ele"&amp;"mentBoost_""),""%"",AND(REGEXMATCH(F281,""GiveA""),REGEXMATCH(M281,""Element"")),""bool"")"),"#N/A")</f>
        <v>#N/A</v>
      </c>
      <c r="O281" s="6" t="n">
        <v>0</v>
      </c>
      <c r="P281" s="6"/>
      <c r="Q281" s="6"/>
      <c r="R281" s="6" t="str">
        <f aca="false">IFERROR(__xludf.dummyfunction("IFS(Q281=""ShotAttack"",""%"",Q281=""MeleeAttack"",""%"", Q281=""Defense"",""%"",Q281=""CraftSPeed"",""%"",Q281=""LifeSteal"",""%"",Q281=""MaxInventoryWeight"",""+"",Q281=""MoveSpeed"",""%"",REGEXMATCH(Q281,""ElementAddItemDrop_""),""%"",Q281=""Logging"","&amp;"""+"",Q281=""Mining"",""+"",Q281=""Maxhp"",""%"",REGEXMATCH(Q281,""TemperatureResist_""),""+"",REGEXMATCH(Q281,""ElementResist_""),""%"",REGEXMATCH(Q281,""TemperatureInvalid_""),""bool"",REGEXMATCH(Q281,""BodyPartsWeakDamage""),""%"",REGEXMATCH(Q281,""Ele"&amp;"mentBoost_""),""%"",AND(REGEXMATCH(J281,""GiveA""),REGEXMATCH(Q281,""Element"")),""bool"")"),"#N/A")</f>
        <v>#N/A</v>
      </c>
      <c r="S281" s="6" t="n">
        <v>0</v>
      </c>
      <c r="T281" s="6"/>
      <c r="U281" s="319" t="b">
        <f aca="false">TRUE()</f>
        <v>1</v>
      </c>
      <c r="V281" s="319" t="b">
        <f aca="false">FALSE()</f>
        <v>0</v>
      </c>
      <c r="W281" s="319" t="b">
        <f aca="false">FALSE()</f>
        <v>0</v>
      </c>
      <c r="X281" s="319" t="b">
        <f aca="false">FALSE()</f>
        <v>0</v>
      </c>
      <c r="Y281" s="319" t="b">
        <f aca="false">FALSE()</f>
        <v>0</v>
      </c>
      <c r="Z281" s="319" t="b">
        <f aca="false">FALSE()</f>
        <v>0</v>
      </c>
      <c r="AA281" s="319" t="b">
        <f aca="false">FALSE()</f>
        <v>0</v>
      </c>
      <c r="AB281" s="319" t="b">
        <f aca="false">FALSE()</f>
        <v>0</v>
      </c>
      <c r="AC281" s="319" t="b">
        <f aca="false">FALSE()</f>
        <v>0</v>
      </c>
      <c r="AD281" s="319" t="b">
        <f aca="false">FALSE()</f>
        <v>0</v>
      </c>
      <c r="AE281" s="319" t="b">
        <f aca="false">FALSE()</f>
        <v>0</v>
      </c>
      <c r="AF281" s="319" t="b">
        <f aca="false">FALSE()</f>
        <v>0</v>
      </c>
      <c r="AG281" s="6" t="s">
        <v>182</v>
      </c>
      <c r="AH281" s="6" t="s">
        <v>182</v>
      </c>
    </row>
    <row r="282" customFormat="false" ht="15.75" hidden="false" customHeight="false" outlineLevel="0" collapsed="false">
      <c r="A282" s="1" t="e">
        <f aca="false">#N/A</f>
        <v>#N/A</v>
      </c>
      <c r="B282" s="6" t="s">
        <v>1149</v>
      </c>
      <c r="C282" s="3"/>
      <c r="D282" s="6" t="str">
        <f aca="false">I282   &amp; IF(ISBLANK(M282),, ". "&amp; M282 &amp; IF(ISBLANK(Q282),, ". "&amp; Q282))</f>
        <v>ElementAddItemDrop_Leaf</v>
      </c>
      <c r="E282" s="6" t="str">
        <f aca="false">I282  &amp;": # on "&amp; L282  &amp; IF(ISBLANK(M282),, ". "&amp; M282 &amp;": # on "&amp; P282 &amp; IF(ISBLANK(Q282),, ". "&amp; Q282 &amp;": # on "&amp; T282))</f>
        <v>ElementAddItemDrop_Leaf: # on SelfAndTrainer</v>
      </c>
      <c r="F282" s="6" t="str">
        <f aca="false">IF(U282,"active pal",)  &amp; IF(V282,"working",) &amp; IF(W282,"mounted",) &amp; IF(Y282,"in party (buff)",)  &amp; IF(Z282,"always",)</f>
        <v>active pal</v>
      </c>
      <c r="G282" s="6" t="n">
        <v>1</v>
      </c>
      <c r="H282" s="6" t="s">
        <v>182</v>
      </c>
      <c r="I282" s="6" t="s">
        <v>2321</v>
      </c>
      <c r="J282" s="6" t="str">
        <f aca="false">IFERROR(__xludf.dummyfunction("IFS(I282=""ShotAttack"",""%"",I282=""MeleeAttack"",""%"", I282=""Defense"",""%"",I282=""CraftSPeed"",""%"",I282=""LifeSteal"",""%"",I282=""MaxInventoryWeight"",""+"",I282=""MoveSpeed"",""%"",REGEXMATCH(I282,""ElementAddItemDrop_""),""%"",I282=""Logging"","&amp;"""+"",I282=""Mining"",""+"",I282=""Maxhp"",""%"",REGEXMATCH(I282,""TemperatureResist_""),""+"",REGEXMATCH(I282,""ElementResist_""),""%"",REGEXMATCH(I282,""TemperatureInvalid_""),""bool"",REGEXMATCH(I282,""BodyPartsWeakDamage""),""%"",REGEXMATCH(I282,""Ele"&amp;"mentBoost_""),""%"",AND(REGEXMATCH(B282,""GiveA""),REGEXMATCH(I282,""Element"")),""bool"")"),"%")</f>
        <v>%</v>
      </c>
      <c r="K282" s="6" t="n">
        <v>80</v>
      </c>
      <c r="L282" s="6" t="s">
        <v>2085</v>
      </c>
      <c r="M282" s="6"/>
      <c r="N282" s="6" t="str">
        <f aca="false">IFERROR(__xludf.dummyfunction("IFS(M282=""ShotAttack"",""%"",M282=""MeleeAttack"",""%"", M282=""Defense"",""%"",M282=""CraftSPeed"",""%"",M282=""LifeSteal"",""%"",M282=""MaxInventoryWeight"",""+"",M282=""MoveSpeed"",""%"",REGEXMATCH(M282,""ElementAddItemDrop_""),""%"",M282=""Logging"","&amp;"""+"",M282=""Mining"",""+"",M282=""Maxhp"",""%"",REGEXMATCH(M282,""TemperatureResist_""),""+"",REGEXMATCH(M282,""ElementResist_""),""%"",REGEXMATCH(M282,""TemperatureInvalid_""),""bool"",REGEXMATCH(M282,""BodyPartsWeakDamage""),""%"",REGEXMATCH(M282,""Ele"&amp;"mentBoost_""),""%"",AND(REGEXMATCH(F282,""GiveA""),REGEXMATCH(M282,""Element"")),""bool"")"),"#N/A")</f>
        <v>#N/A</v>
      </c>
      <c r="O282" s="6" t="n">
        <v>0</v>
      </c>
      <c r="P282" s="6"/>
      <c r="Q282" s="6"/>
      <c r="R282" s="6" t="str">
        <f aca="false">IFERROR(__xludf.dummyfunction("IFS(Q282=""ShotAttack"",""%"",Q282=""MeleeAttack"",""%"", Q282=""Defense"",""%"",Q282=""CraftSPeed"",""%"",Q282=""LifeSteal"",""%"",Q282=""MaxInventoryWeight"",""+"",Q282=""MoveSpeed"",""%"",REGEXMATCH(Q282,""ElementAddItemDrop_""),""%"",Q282=""Logging"","&amp;"""+"",Q282=""Mining"",""+"",Q282=""Maxhp"",""%"",REGEXMATCH(Q282,""TemperatureResist_""),""+"",REGEXMATCH(Q282,""ElementResist_""),""%"",REGEXMATCH(Q282,""TemperatureInvalid_""),""bool"",REGEXMATCH(Q282,""BodyPartsWeakDamage""),""%"",REGEXMATCH(Q282,""Ele"&amp;"mentBoost_""),""%"",AND(REGEXMATCH(J282,""GiveA""),REGEXMATCH(Q282,""Element"")),""bool"")"),"#N/A")</f>
        <v>#N/A</v>
      </c>
      <c r="S282" s="6" t="n">
        <v>0</v>
      </c>
      <c r="T282" s="6"/>
      <c r="U282" s="319" t="b">
        <f aca="false">TRUE()</f>
        <v>1</v>
      </c>
      <c r="V282" s="319" t="b">
        <f aca="false">FALSE()</f>
        <v>0</v>
      </c>
      <c r="W282" s="319" t="b">
        <f aca="false">FALSE()</f>
        <v>0</v>
      </c>
      <c r="X282" s="319" t="b">
        <f aca="false">FALSE()</f>
        <v>0</v>
      </c>
      <c r="Y282" s="319" t="b">
        <f aca="false">FALSE()</f>
        <v>0</v>
      </c>
      <c r="Z282" s="319" t="b">
        <f aca="false">FALSE()</f>
        <v>0</v>
      </c>
      <c r="AA282" s="319" t="b">
        <f aca="false">FALSE()</f>
        <v>0</v>
      </c>
      <c r="AB282" s="319" t="b">
        <f aca="false">FALSE()</f>
        <v>0</v>
      </c>
      <c r="AC282" s="319" t="b">
        <f aca="false">FALSE()</f>
        <v>0</v>
      </c>
      <c r="AD282" s="319" t="b">
        <f aca="false">FALSE()</f>
        <v>0</v>
      </c>
      <c r="AE282" s="319" t="b">
        <f aca="false">FALSE()</f>
        <v>0</v>
      </c>
      <c r="AF282" s="319" t="b">
        <f aca="false">FALSE()</f>
        <v>0</v>
      </c>
      <c r="AG282" s="6" t="s">
        <v>182</v>
      </c>
      <c r="AH282" s="6" t="s">
        <v>182</v>
      </c>
    </row>
    <row r="283" customFormat="false" ht="15.75" hidden="false" customHeight="false" outlineLevel="0" collapsed="false">
      <c r="A283" s="1" t="e">
        <f aca="false">#N/A</f>
        <v>#N/A</v>
      </c>
      <c r="B283" s="6" t="s">
        <v>1038</v>
      </c>
      <c r="C283" s="3"/>
      <c r="D283" s="6" t="str">
        <f aca="false">I283   &amp; IF(ISBLANK(M283),, ". "&amp; M283 &amp; IF(ISBLANK(Q283),, ". "&amp; Q283))</f>
        <v>ElementAddItemDrop_Ice</v>
      </c>
      <c r="E283" s="6" t="str">
        <f aca="false">I283  &amp;": # on "&amp; L283  &amp; IF(ISBLANK(M283),, ". "&amp; M283 &amp;": # on "&amp; P283 &amp; IF(ISBLANK(Q283),, ". "&amp; Q283 &amp;": # on "&amp; T283))</f>
        <v>ElementAddItemDrop_Ice: # on SelfAndTrainer</v>
      </c>
      <c r="F283" s="6" t="str">
        <f aca="false">IF(U283,"active pal",)  &amp; IF(V283,"working",) &amp; IF(W283,"mounted",) &amp; IF(Y283,"in party (buff)",)  &amp; IF(Z283,"always",)</f>
        <v>active pal</v>
      </c>
      <c r="G283" s="6" t="n">
        <v>1</v>
      </c>
      <c r="H283" s="6" t="s">
        <v>182</v>
      </c>
      <c r="I283" s="6" t="s">
        <v>2322</v>
      </c>
      <c r="J283" s="6" t="str">
        <f aca="false">IFERROR(__xludf.dummyfunction("IFS(I283=""ShotAttack"",""%"",I283=""MeleeAttack"",""%"", I283=""Defense"",""%"",I283=""CraftSPeed"",""%"",I283=""LifeSteal"",""%"",I283=""MaxInventoryWeight"",""+"",I283=""MoveSpeed"",""%"",REGEXMATCH(I283,""ElementAddItemDrop_""),""%"",I283=""Logging"","&amp;"""+"",I283=""Mining"",""+"",I283=""Maxhp"",""%"",REGEXMATCH(I283,""TemperatureResist_""),""+"",REGEXMATCH(I283,""ElementResist_""),""%"",REGEXMATCH(I283,""TemperatureInvalid_""),""bool"",REGEXMATCH(I283,""BodyPartsWeakDamage""),""%"",REGEXMATCH(I283,""Ele"&amp;"mentBoost_""),""%"",AND(REGEXMATCH(B283,""GiveA""),REGEXMATCH(I283,""Element"")),""bool"")"),"%")</f>
        <v>%</v>
      </c>
      <c r="K283" s="6" t="n">
        <v>80</v>
      </c>
      <c r="L283" s="6" t="s">
        <v>2085</v>
      </c>
      <c r="M283" s="6"/>
      <c r="N283" s="6" t="str">
        <f aca="false">IFERROR(__xludf.dummyfunction("IFS(M283=""ShotAttack"",""%"",M283=""MeleeAttack"",""%"", M283=""Defense"",""%"",M283=""CraftSPeed"",""%"",M283=""LifeSteal"",""%"",M283=""MaxInventoryWeight"",""+"",M283=""MoveSpeed"",""%"",REGEXMATCH(M283,""ElementAddItemDrop_""),""%"",M283=""Logging"","&amp;"""+"",M283=""Mining"",""+"",M283=""Maxhp"",""%"",REGEXMATCH(M283,""TemperatureResist_""),""+"",REGEXMATCH(M283,""ElementResist_""),""%"",REGEXMATCH(M283,""TemperatureInvalid_""),""bool"",REGEXMATCH(M283,""BodyPartsWeakDamage""),""%"",REGEXMATCH(M283,""Ele"&amp;"mentBoost_""),""%"",AND(REGEXMATCH(F283,""GiveA""),REGEXMATCH(M283,""Element"")),""bool"")"),"#N/A")</f>
        <v>#N/A</v>
      </c>
      <c r="O283" s="6" t="n">
        <v>0</v>
      </c>
      <c r="P283" s="6"/>
      <c r="Q283" s="6"/>
      <c r="R283" s="6" t="str">
        <f aca="false">IFERROR(__xludf.dummyfunction("IFS(Q283=""ShotAttack"",""%"",Q283=""MeleeAttack"",""%"", Q283=""Defense"",""%"",Q283=""CraftSPeed"",""%"",Q283=""LifeSteal"",""%"",Q283=""MaxInventoryWeight"",""+"",Q283=""MoveSpeed"",""%"",REGEXMATCH(Q283,""ElementAddItemDrop_""),""%"",Q283=""Logging"","&amp;"""+"",Q283=""Mining"",""+"",Q283=""Maxhp"",""%"",REGEXMATCH(Q283,""TemperatureResist_""),""+"",REGEXMATCH(Q283,""ElementResist_""),""%"",REGEXMATCH(Q283,""TemperatureInvalid_""),""bool"",REGEXMATCH(Q283,""BodyPartsWeakDamage""),""%"",REGEXMATCH(Q283,""Ele"&amp;"mentBoost_""),""%"",AND(REGEXMATCH(J283,""GiveA""),REGEXMATCH(Q283,""Element"")),""bool"")"),"#N/A")</f>
        <v>#N/A</v>
      </c>
      <c r="S283" s="6" t="n">
        <v>0</v>
      </c>
      <c r="T283" s="6"/>
      <c r="U283" s="319" t="b">
        <f aca="false">TRUE()</f>
        <v>1</v>
      </c>
      <c r="V283" s="319" t="b">
        <f aca="false">FALSE()</f>
        <v>0</v>
      </c>
      <c r="W283" s="319" t="b">
        <f aca="false">FALSE()</f>
        <v>0</v>
      </c>
      <c r="X283" s="319" t="b">
        <f aca="false">FALSE()</f>
        <v>0</v>
      </c>
      <c r="Y283" s="319" t="b">
        <f aca="false">FALSE()</f>
        <v>0</v>
      </c>
      <c r="Z283" s="319" t="b">
        <f aca="false">FALSE()</f>
        <v>0</v>
      </c>
      <c r="AA283" s="319" t="b">
        <f aca="false">FALSE()</f>
        <v>0</v>
      </c>
      <c r="AB283" s="319" t="b">
        <f aca="false">FALSE()</f>
        <v>0</v>
      </c>
      <c r="AC283" s="319" t="b">
        <f aca="false">FALSE()</f>
        <v>0</v>
      </c>
      <c r="AD283" s="319" t="b">
        <f aca="false">FALSE()</f>
        <v>0</v>
      </c>
      <c r="AE283" s="319" t="b">
        <f aca="false">FALSE()</f>
        <v>0</v>
      </c>
      <c r="AF283" s="319" t="b">
        <f aca="false">FALSE()</f>
        <v>0</v>
      </c>
      <c r="AG283" s="6" t="s">
        <v>182</v>
      </c>
      <c r="AH283" s="6" t="s">
        <v>182</v>
      </c>
    </row>
    <row r="284" customFormat="false" ht="15.75" hidden="false" customHeight="false" outlineLevel="0" collapsed="false">
      <c r="A284" s="1" t="e">
        <f aca="false">#N/A</f>
        <v>#N/A</v>
      </c>
      <c r="B284" s="6" t="s">
        <v>1092</v>
      </c>
      <c r="C284" s="3"/>
      <c r="D284" s="6" t="str">
        <f aca="false">I284   &amp; IF(ISBLANK(M284),, ". "&amp; M284 &amp; IF(ISBLANK(Q284),, ". "&amp; Q284))</f>
        <v>ElementAddItemDrop_Earth</v>
      </c>
      <c r="E284" s="6" t="str">
        <f aca="false">I284  &amp;": # on "&amp; L284  &amp; IF(ISBLANK(M284),, ". "&amp; M284 &amp;": # on "&amp; P284 &amp; IF(ISBLANK(Q284),, ". "&amp; Q284 &amp;": # on "&amp; T284))</f>
        <v>ElementAddItemDrop_Earth: # on SelfAndTrainer</v>
      </c>
      <c r="F284" s="6" t="str">
        <f aca="false">IF(U284,"active pal",)  &amp; IF(V284,"working",) &amp; IF(W284,"mounted",) &amp; IF(Y284,"in party (buff)",)  &amp; IF(Z284,"always",)</f>
        <v>active pal</v>
      </c>
      <c r="G284" s="6" t="n">
        <v>1</v>
      </c>
      <c r="H284" s="6" t="s">
        <v>182</v>
      </c>
      <c r="I284" s="6" t="s">
        <v>2323</v>
      </c>
      <c r="J284" s="6" t="str">
        <f aca="false">IFERROR(__xludf.dummyfunction("IFS(I284=""ShotAttack"",""%"",I284=""MeleeAttack"",""%"", I284=""Defense"",""%"",I284=""CraftSPeed"",""%"",I284=""LifeSteal"",""%"",I284=""MaxInventoryWeight"",""+"",I284=""MoveSpeed"",""%"",REGEXMATCH(I284,""ElementAddItemDrop_""),""%"",I284=""Logging"","&amp;"""+"",I284=""Mining"",""+"",I284=""Maxhp"",""%"",REGEXMATCH(I284,""TemperatureResist_""),""+"",REGEXMATCH(I284,""ElementResist_""),""%"",REGEXMATCH(I284,""TemperatureInvalid_""),""bool"",REGEXMATCH(I284,""BodyPartsWeakDamage""),""%"",REGEXMATCH(I284,""Ele"&amp;"mentBoost_""),""%"",AND(REGEXMATCH(B284,""GiveA""),REGEXMATCH(I284,""Element"")),""bool"")"),"%")</f>
        <v>%</v>
      </c>
      <c r="K284" s="6" t="n">
        <v>80</v>
      </c>
      <c r="L284" s="6" t="s">
        <v>2085</v>
      </c>
      <c r="M284" s="6"/>
      <c r="N284" s="6" t="str">
        <f aca="false">IFERROR(__xludf.dummyfunction("IFS(M284=""ShotAttack"",""%"",M284=""MeleeAttack"",""%"", M284=""Defense"",""%"",M284=""CraftSPeed"",""%"",M284=""LifeSteal"",""%"",M284=""MaxInventoryWeight"",""+"",M284=""MoveSpeed"",""%"",REGEXMATCH(M284,""ElementAddItemDrop_""),""%"",M284=""Logging"","&amp;"""+"",M284=""Mining"",""+"",M284=""Maxhp"",""%"",REGEXMATCH(M284,""TemperatureResist_""),""+"",REGEXMATCH(M284,""ElementResist_""),""%"",REGEXMATCH(M284,""TemperatureInvalid_""),""bool"",REGEXMATCH(M284,""BodyPartsWeakDamage""),""%"",REGEXMATCH(M284,""Ele"&amp;"mentBoost_""),""%"",AND(REGEXMATCH(F284,""GiveA""),REGEXMATCH(M284,""Element"")),""bool"")"),"#N/A")</f>
        <v>#N/A</v>
      </c>
      <c r="O284" s="6" t="n">
        <v>0</v>
      </c>
      <c r="P284" s="6"/>
      <c r="Q284" s="6"/>
      <c r="R284" s="6" t="str">
        <f aca="false">IFERROR(__xludf.dummyfunction("IFS(Q284=""ShotAttack"",""%"",Q284=""MeleeAttack"",""%"", Q284=""Defense"",""%"",Q284=""CraftSPeed"",""%"",Q284=""LifeSteal"",""%"",Q284=""MaxInventoryWeight"",""+"",Q284=""MoveSpeed"",""%"",REGEXMATCH(Q284,""ElementAddItemDrop_""),""%"",Q284=""Logging"","&amp;"""+"",Q284=""Mining"",""+"",Q284=""Maxhp"",""%"",REGEXMATCH(Q284,""TemperatureResist_""),""+"",REGEXMATCH(Q284,""ElementResist_""),""%"",REGEXMATCH(Q284,""TemperatureInvalid_""),""bool"",REGEXMATCH(Q284,""BodyPartsWeakDamage""),""%"",REGEXMATCH(Q284,""Ele"&amp;"mentBoost_""),""%"",AND(REGEXMATCH(J284,""GiveA""),REGEXMATCH(Q284,""Element"")),""bool"")"),"#N/A")</f>
        <v>#N/A</v>
      </c>
      <c r="S284" s="6" t="n">
        <v>0</v>
      </c>
      <c r="T284" s="6"/>
      <c r="U284" s="319" t="b">
        <f aca="false">TRUE()</f>
        <v>1</v>
      </c>
      <c r="V284" s="319" t="b">
        <f aca="false">FALSE()</f>
        <v>0</v>
      </c>
      <c r="W284" s="319" t="b">
        <f aca="false">FALSE()</f>
        <v>0</v>
      </c>
      <c r="X284" s="319" t="b">
        <f aca="false">FALSE()</f>
        <v>0</v>
      </c>
      <c r="Y284" s="319" t="b">
        <f aca="false">FALSE()</f>
        <v>0</v>
      </c>
      <c r="Z284" s="319" t="b">
        <f aca="false">FALSE()</f>
        <v>0</v>
      </c>
      <c r="AA284" s="319" t="b">
        <f aca="false">FALSE()</f>
        <v>0</v>
      </c>
      <c r="AB284" s="319" t="b">
        <f aca="false">FALSE()</f>
        <v>0</v>
      </c>
      <c r="AC284" s="319" t="b">
        <f aca="false">FALSE()</f>
        <v>0</v>
      </c>
      <c r="AD284" s="319" t="b">
        <f aca="false">FALSE()</f>
        <v>0</v>
      </c>
      <c r="AE284" s="319" t="b">
        <f aca="false">FALSE()</f>
        <v>0</v>
      </c>
      <c r="AF284" s="319" t="b">
        <f aca="false">FALSE()</f>
        <v>0</v>
      </c>
      <c r="AG284" s="6" t="s">
        <v>182</v>
      </c>
      <c r="AH284" s="6" t="s">
        <v>182</v>
      </c>
    </row>
    <row r="285" customFormat="false" ht="15.75" hidden="false" customHeight="false" outlineLevel="0" collapsed="false">
      <c r="A285" s="1" t="e">
        <f aca="false">#N/A</f>
        <v>#N/A</v>
      </c>
      <c r="B285" s="6" t="s">
        <v>919</v>
      </c>
      <c r="C285" s="3"/>
      <c r="D285" s="6" t="str">
        <f aca="false">I285   &amp; IF(ISBLANK(M285),, ". "&amp; M285 &amp; IF(ISBLANK(Q285),, ". "&amp; Q285))</f>
        <v>ElementAddItemDrop_Dark</v>
      </c>
      <c r="E285" s="6" t="str">
        <f aca="false">I285  &amp;": # on "&amp; L285  &amp; IF(ISBLANK(M285),, ". "&amp; M285 &amp;": # on "&amp; P285 &amp; IF(ISBLANK(Q285),, ". "&amp; Q285 &amp;": # on "&amp; T285))</f>
        <v>ElementAddItemDrop_Dark: # on SelfAndTrainer</v>
      </c>
      <c r="F285" s="6" t="str">
        <f aca="false">IF(U285,"active pal",)  &amp; IF(V285,"working",) &amp; IF(W285,"mounted",) &amp; IF(Y285,"in party (buff)",)  &amp; IF(Z285,"always",)</f>
        <v>active pal</v>
      </c>
      <c r="G285" s="6" t="n">
        <v>1</v>
      </c>
      <c r="H285" s="6" t="s">
        <v>182</v>
      </c>
      <c r="I285" s="6" t="s">
        <v>2324</v>
      </c>
      <c r="J285" s="6" t="str">
        <f aca="false">IFERROR(__xludf.dummyfunction("IFS(I285=""ShotAttack"",""%"",I285=""MeleeAttack"",""%"", I285=""Defense"",""%"",I285=""CraftSPeed"",""%"",I285=""LifeSteal"",""%"",I285=""MaxInventoryWeight"",""+"",I285=""MoveSpeed"",""%"",REGEXMATCH(I285,""ElementAddItemDrop_""),""%"",I285=""Logging"","&amp;"""+"",I285=""Mining"",""+"",I285=""Maxhp"",""%"",REGEXMATCH(I285,""TemperatureResist_""),""+"",REGEXMATCH(I285,""ElementResist_""),""%"",REGEXMATCH(I285,""TemperatureInvalid_""),""bool"",REGEXMATCH(I285,""BodyPartsWeakDamage""),""%"",REGEXMATCH(I285,""Ele"&amp;"mentBoost_""),""%"",AND(REGEXMATCH(B285,""GiveA""),REGEXMATCH(I285,""Element"")),""bool"")"),"%")</f>
        <v>%</v>
      </c>
      <c r="K285" s="6" t="n">
        <v>80</v>
      </c>
      <c r="L285" s="6" t="s">
        <v>2085</v>
      </c>
      <c r="M285" s="6"/>
      <c r="N285" s="6" t="str">
        <f aca="false">IFERROR(__xludf.dummyfunction("IFS(M285=""ShotAttack"",""%"",M285=""MeleeAttack"",""%"", M285=""Defense"",""%"",M285=""CraftSPeed"",""%"",M285=""LifeSteal"",""%"",M285=""MaxInventoryWeight"",""+"",M285=""MoveSpeed"",""%"",REGEXMATCH(M285,""ElementAddItemDrop_""),""%"",M285=""Logging"","&amp;"""+"",M285=""Mining"",""+"",M285=""Maxhp"",""%"",REGEXMATCH(M285,""TemperatureResist_""),""+"",REGEXMATCH(M285,""ElementResist_""),""%"",REGEXMATCH(M285,""TemperatureInvalid_""),""bool"",REGEXMATCH(M285,""BodyPartsWeakDamage""),""%"",REGEXMATCH(M285,""Ele"&amp;"mentBoost_""),""%"",AND(REGEXMATCH(F285,""GiveA""),REGEXMATCH(M285,""Element"")),""bool"")"),"#N/A")</f>
        <v>#N/A</v>
      </c>
      <c r="O285" s="6" t="n">
        <v>0</v>
      </c>
      <c r="P285" s="6"/>
      <c r="Q285" s="6"/>
      <c r="R285" s="6" t="str">
        <f aca="false">IFERROR(__xludf.dummyfunction("IFS(Q285=""ShotAttack"",""%"",Q285=""MeleeAttack"",""%"", Q285=""Defense"",""%"",Q285=""CraftSPeed"",""%"",Q285=""LifeSteal"",""%"",Q285=""MaxInventoryWeight"",""+"",Q285=""MoveSpeed"",""%"",REGEXMATCH(Q285,""ElementAddItemDrop_""),""%"",Q285=""Logging"","&amp;"""+"",Q285=""Mining"",""+"",Q285=""Maxhp"",""%"",REGEXMATCH(Q285,""TemperatureResist_""),""+"",REGEXMATCH(Q285,""ElementResist_""),""%"",REGEXMATCH(Q285,""TemperatureInvalid_""),""bool"",REGEXMATCH(Q285,""BodyPartsWeakDamage""),""%"",REGEXMATCH(Q285,""Ele"&amp;"mentBoost_""),""%"",AND(REGEXMATCH(J285,""GiveA""),REGEXMATCH(Q285,""Element"")),""bool"")"),"#N/A")</f>
        <v>#N/A</v>
      </c>
      <c r="S285" s="6" t="n">
        <v>0</v>
      </c>
      <c r="T285" s="6"/>
      <c r="U285" s="319" t="b">
        <f aca="false">TRUE()</f>
        <v>1</v>
      </c>
      <c r="V285" s="319" t="b">
        <f aca="false">FALSE()</f>
        <v>0</v>
      </c>
      <c r="W285" s="319" t="b">
        <f aca="false">FALSE()</f>
        <v>0</v>
      </c>
      <c r="X285" s="319" t="b">
        <f aca="false">FALSE()</f>
        <v>0</v>
      </c>
      <c r="Y285" s="319" t="b">
        <f aca="false">FALSE()</f>
        <v>0</v>
      </c>
      <c r="Z285" s="319" t="b">
        <f aca="false">FALSE()</f>
        <v>0</v>
      </c>
      <c r="AA285" s="319" t="b">
        <f aca="false">FALSE()</f>
        <v>0</v>
      </c>
      <c r="AB285" s="319" t="b">
        <f aca="false">FALSE()</f>
        <v>0</v>
      </c>
      <c r="AC285" s="319" t="b">
        <f aca="false">FALSE()</f>
        <v>0</v>
      </c>
      <c r="AD285" s="319" t="b">
        <f aca="false">FALSE()</f>
        <v>0</v>
      </c>
      <c r="AE285" s="319" t="b">
        <f aca="false">FALSE()</f>
        <v>0</v>
      </c>
      <c r="AF285" s="319" t="b">
        <f aca="false">FALSE()</f>
        <v>0</v>
      </c>
      <c r="AG285" s="6" t="s">
        <v>182</v>
      </c>
      <c r="AH285" s="6" t="s">
        <v>182</v>
      </c>
    </row>
    <row r="286" customFormat="false" ht="15.75" hidden="false" customHeight="false" outlineLevel="0" collapsed="false">
      <c r="A286" s="1" t="e">
        <f aca="false">#N/A</f>
        <v>#N/A</v>
      </c>
      <c r="B286" s="6" t="s">
        <v>937</v>
      </c>
      <c r="C286" s="3"/>
      <c r="D286" s="6" t="str">
        <f aca="false">I286   &amp; IF(ISBLANK(M286),, ". "&amp; M286 &amp; IF(ISBLANK(Q286),, ". "&amp; Q286))</f>
        <v>ElementAddItemDrop_Dragon</v>
      </c>
      <c r="E286" s="6" t="str">
        <f aca="false">I286  &amp;": # on "&amp; L286  &amp; IF(ISBLANK(M286),, ". "&amp; M286 &amp;": # on "&amp; P286 &amp; IF(ISBLANK(Q286),, ". "&amp; Q286 &amp;": # on "&amp; T286))</f>
        <v>ElementAddItemDrop_Dragon: # on SelfAndTrainer</v>
      </c>
      <c r="F286" s="6" t="str">
        <f aca="false">IF(U286,"active pal",)  &amp; IF(V286,"working",) &amp; IF(W286,"mounted",) &amp; IF(Y286,"in party (buff)",)  &amp; IF(Z286,"always",)</f>
        <v>active pal</v>
      </c>
      <c r="G286" s="6" t="n">
        <v>1</v>
      </c>
      <c r="H286" s="6" t="s">
        <v>182</v>
      </c>
      <c r="I286" s="6" t="s">
        <v>2325</v>
      </c>
      <c r="J286" s="6" t="str">
        <f aca="false">IFERROR(__xludf.dummyfunction("IFS(I286=""ShotAttack"",""%"",I286=""MeleeAttack"",""%"", I286=""Defense"",""%"",I286=""CraftSPeed"",""%"",I286=""LifeSteal"",""%"",I286=""MaxInventoryWeight"",""+"",I286=""MoveSpeed"",""%"",REGEXMATCH(I286,""ElementAddItemDrop_""),""%"",I286=""Logging"","&amp;"""+"",I286=""Mining"",""+"",I286=""Maxhp"",""%"",REGEXMATCH(I286,""TemperatureResist_""),""+"",REGEXMATCH(I286,""ElementResist_""),""%"",REGEXMATCH(I286,""TemperatureInvalid_""),""bool"",REGEXMATCH(I286,""BodyPartsWeakDamage""),""%"",REGEXMATCH(I286,""Ele"&amp;"mentBoost_""),""%"",AND(REGEXMATCH(B286,""GiveA""),REGEXMATCH(I286,""Element"")),""bool"")"),"%")</f>
        <v>%</v>
      </c>
      <c r="K286" s="6" t="n">
        <v>80</v>
      </c>
      <c r="L286" s="6" t="s">
        <v>2085</v>
      </c>
      <c r="M286" s="6"/>
      <c r="N286" s="6" t="str">
        <f aca="false">IFERROR(__xludf.dummyfunction("IFS(M286=""ShotAttack"",""%"",M286=""MeleeAttack"",""%"", M286=""Defense"",""%"",M286=""CraftSPeed"",""%"",M286=""LifeSteal"",""%"",M286=""MaxInventoryWeight"",""+"",M286=""MoveSpeed"",""%"",REGEXMATCH(M286,""ElementAddItemDrop_""),""%"",M286=""Logging"","&amp;"""+"",M286=""Mining"",""+"",M286=""Maxhp"",""%"",REGEXMATCH(M286,""TemperatureResist_""),""+"",REGEXMATCH(M286,""ElementResist_""),""%"",REGEXMATCH(M286,""TemperatureInvalid_""),""bool"",REGEXMATCH(M286,""BodyPartsWeakDamage""),""%"",REGEXMATCH(M286,""Ele"&amp;"mentBoost_""),""%"",AND(REGEXMATCH(F286,""GiveA""),REGEXMATCH(M286,""Element"")),""bool"")"),"#N/A")</f>
        <v>#N/A</v>
      </c>
      <c r="O286" s="6" t="n">
        <v>0</v>
      </c>
      <c r="P286" s="6"/>
      <c r="Q286" s="6"/>
      <c r="R286" s="6" t="str">
        <f aca="false">IFERROR(__xludf.dummyfunction("IFS(Q286=""ShotAttack"",""%"",Q286=""MeleeAttack"",""%"", Q286=""Defense"",""%"",Q286=""CraftSPeed"",""%"",Q286=""LifeSteal"",""%"",Q286=""MaxInventoryWeight"",""+"",Q286=""MoveSpeed"",""%"",REGEXMATCH(Q286,""ElementAddItemDrop_""),""%"",Q286=""Logging"","&amp;"""+"",Q286=""Mining"",""+"",Q286=""Maxhp"",""%"",REGEXMATCH(Q286,""TemperatureResist_""),""+"",REGEXMATCH(Q286,""ElementResist_""),""%"",REGEXMATCH(Q286,""TemperatureInvalid_""),""bool"",REGEXMATCH(Q286,""BodyPartsWeakDamage""),""%"",REGEXMATCH(Q286,""Ele"&amp;"mentBoost_""),""%"",AND(REGEXMATCH(J286,""GiveA""),REGEXMATCH(Q286,""Element"")),""bool"")"),"#N/A")</f>
        <v>#N/A</v>
      </c>
      <c r="S286" s="6" t="n">
        <v>0</v>
      </c>
      <c r="T286" s="6"/>
      <c r="U286" s="319" t="b">
        <f aca="false">TRUE()</f>
        <v>1</v>
      </c>
      <c r="V286" s="319" t="b">
        <f aca="false">FALSE()</f>
        <v>0</v>
      </c>
      <c r="W286" s="319" t="b">
        <f aca="false">FALSE()</f>
        <v>0</v>
      </c>
      <c r="X286" s="319" t="b">
        <f aca="false">FALSE()</f>
        <v>0</v>
      </c>
      <c r="Y286" s="319" t="b">
        <f aca="false">FALSE()</f>
        <v>0</v>
      </c>
      <c r="Z286" s="319" t="b">
        <f aca="false">FALSE()</f>
        <v>0</v>
      </c>
      <c r="AA286" s="319" t="b">
        <f aca="false">FALSE()</f>
        <v>0</v>
      </c>
      <c r="AB286" s="319" t="b">
        <f aca="false">FALSE()</f>
        <v>0</v>
      </c>
      <c r="AC286" s="319" t="b">
        <f aca="false">FALSE()</f>
        <v>0</v>
      </c>
      <c r="AD286" s="319" t="b">
        <f aca="false">FALSE()</f>
        <v>0</v>
      </c>
      <c r="AE286" s="319" t="b">
        <f aca="false">FALSE()</f>
        <v>0</v>
      </c>
      <c r="AF286" s="319" t="b">
        <f aca="false">FALSE()</f>
        <v>0</v>
      </c>
      <c r="AG286" s="6" t="s">
        <v>182</v>
      </c>
      <c r="AH286" s="6" t="s">
        <v>182</v>
      </c>
    </row>
    <row r="287" customFormat="false" ht="15.75" hidden="false" customHeight="false" outlineLevel="0" collapsed="false">
      <c r="A287" s="3" t="s">
        <v>2326</v>
      </c>
      <c r="B287" s="6" t="s">
        <v>2327</v>
      </c>
      <c r="C287" s="311" t="b">
        <f aca="false">TRUE()</f>
        <v>1</v>
      </c>
      <c r="D287" s="6" t="str">
        <f aca="false">I287   &amp; IF(ISBLANK(M287),, ". "&amp; M287 &amp; IF(ISBLANK(Q287),, ". "&amp; Q287))</f>
        <v>MoveSpeed</v>
      </c>
      <c r="E287" s="6" t="str">
        <f aca="false">I287  &amp;": # on "&amp; L287  &amp; IF(ISBLANK(M287),, ". "&amp; M287 &amp;": # on "&amp; P287 &amp; IF(ISBLANK(Q287),, ". "&amp; Q287 &amp;": # on "&amp; T287))</f>
        <v>MoveSpeed: # on Self</v>
      </c>
      <c r="F287" s="6" t="str">
        <f aca="false">IF(U287,"active pal",)  &amp; IF(V287,"working",) &amp; IF(W287,"mounted",) &amp; IF(Y287,"in party (buff)",)  &amp; IF(Z287,"always",)</f>
        <v>always</v>
      </c>
      <c r="G287" s="6" t="n">
        <v>1</v>
      </c>
      <c r="H287" s="6" t="s">
        <v>2328</v>
      </c>
      <c r="I287" s="6" t="s">
        <v>2115</v>
      </c>
      <c r="J287" s="6" t="str">
        <f aca="false">IFERROR(__xludf.dummyfunction("IFS(I287=""ShotAttack"",""%"",I287=""MeleeAttack"",""%"", I287=""Defense"",""%"",I287=""CraftSPeed"",""%"",I287=""LifeSteal"",""%"",I287=""MaxInventoryWeight"",""+"",I287=""MoveSpeed"",""%"",REGEXMATCH(I287,""ElementAddItemDrop_""),""%"",I287=""Logging"","&amp;"""+"",I287=""Mining"",""+"",I287=""Maxhp"",""%"",REGEXMATCH(I287,""TemperatureResist_""),""+"",REGEXMATCH(I287,""ElementResist_""),""%"",REGEXMATCH(I287,""TemperatureInvalid_""),""bool"",REGEXMATCH(I287,""BodyPartsWeakDamage""),""%"",REGEXMATCH(I287,""Ele"&amp;"mentBoost_""),""%"",AND(REGEXMATCH(B287,""GiveA""),REGEXMATCH(I287,""Element"")),""bool"")"),"%")</f>
        <v>%</v>
      </c>
      <c r="K287" s="6" t="n">
        <v>10</v>
      </c>
      <c r="L287" s="6" t="s">
        <v>1956</v>
      </c>
      <c r="M287" s="6"/>
      <c r="N287" s="6" t="str">
        <f aca="false">IFERROR(__xludf.dummyfunction("IFS(M287=""ShotAttack"",""%"",M287=""MeleeAttack"",""%"", M287=""Defense"",""%"",M287=""CraftSPeed"",""%"",M287=""LifeSteal"",""%"",M287=""MaxInventoryWeight"",""+"",M287=""MoveSpeed"",""%"",REGEXMATCH(M287,""ElementAddItemDrop_""),""%"",M287=""Logging"","&amp;"""+"",M287=""Mining"",""+"",M287=""Maxhp"",""%"",REGEXMATCH(M287,""TemperatureResist_""),""+"",REGEXMATCH(M287,""ElementResist_""),""%"",REGEXMATCH(M287,""TemperatureInvalid_""),""bool"",REGEXMATCH(M287,""BodyPartsWeakDamage""),""%"",REGEXMATCH(M287,""Ele"&amp;"mentBoost_""),""%"",AND(REGEXMATCH(F287,""GiveA""),REGEXMATCH(M287,""Element"")),""bool"")"),"#N/A")</f>
        <v>#N/A</v>
      </c>
      <c r="O287" s="6" t="n">
        <v>0</v>
      </c>
      <c r="P287" s="6"/>
      <c r="Q287" s="6"/>
      <c r="R287" s="6" t="str">
        <f aca="false">IFERROR(__xludf.dummyfunction("IFS(Q287=""ShotAttack"",""%"",Q287=""MeleeAttack"",""%"", Q287=""Defense"",""%"",Q287=""CraftSPeed"",""%"",Q287=""LifeSteal"",""%"",Q287=""MaxInventoryWeight"",""+"",Q287=""MoveSpeed"",""%"",REGEXMATCH(Q287,""ElementAddItemDrop_""),""%"",Q287=""Logging"","&amp;"""+"",Q287=""Mining"",""+"",Q287=""Maxhp"",""%"",REGEXMATCH(Q287,""TemperatureResist_""),""+"",REGEXMATCH(Q287,""ElementResist_""),""%"",REGEXMATCH(Q287,""TemperatureInvalid_""),""bool"",REGEXMATCH(Q287,""BodyPartsWeakDamage""),""%"",REGEXMATCH(Q287,""Ele"&amp;"mentBoost_""),""%"",AND(REGEXMATCH(J287,""GiveA""),REGEXMATCH(Q287,""Element"")),""bool"")"),"#N/A")</f>
        <v>#N/A</v>
      </c>
      <c r="S287" s="6" t="n">
        <v>0</v>
      </c>
      <c r="T287" s="6"/>
      <c r="U287" s="319" t="b">
        <f aca="false">FALSE()</f>
        <v>0</v>
      </c>
      <c r="V287" s="319" t="b">
        <f aca="false">FALSE()</f>
        <v>0</v>
      </c>
      <c r="W287" s="319" t="b">
        <f aca="false">FALSE()</f>
        <v>0</v>
      </c>
      <c r="X287" s="319" t="b">
        <f aca="false">FALSE()</f>
        <v>0</v>
      </c>
      <c r="Y287" s="319" t="b">
        <f aca="false">FALSE()</f>
        <v>0</v>
      </c>
      <c r="Z287" s="319" t="b">
        <f aca="false">TRUE()</f>
        <v>1</v>
      </c>
      <c r="AA287" s="319" t="b">
        <f aca="false">TRUE()</f>
        <v>1</v>
      </c>
      <c r="AB287" s="319" t="b">
        <f aca="false">FALSE()</f>
        <v>0</v>
      </c>
      <c r="AC287" s="319" t="b">
        <f aca="false">FALSE()</f>
        <v>0</v>
      </c>
      <c r="AD287" s="319" t="b">
        <f aca="false">FALSE()</f>
        <v>0</v>
      </c>
      <c r="AE287" s="319" t="b">
        <f aca="false">FALSE()</f>
        <v>0</v>
      </c>
      <c r="AF287" s="319" t="b">
        <f aca="false">FALSE()</f>
        <v>0</v>
      </c>
      <c r="AG287" s="6" t="s">
        <v>182</v>
      </c>
      <c r="AH287" s="6" t="s">
        <v>182</v>
      </c>
    </row>
    <row r="288" customFormat="false" ht="15.75" hidden="false" customHeight="false" outlineLevel="0" collapsed="false">
      <c r="A288" s="3" t="s">
        <v>2329</v>
      </c>
      <c r="B288" s="6" t="s">
        <v>2330</v>
      </c>
      <c r="C288" s="311" t="b">
        <f aca="false">TRUE()</f>
        <v>1</v>
      </c>
      <c r="D288" s="6" t="str">
        <f aca="false">I288   &amp; IF(ISBLANK(M288),, ". "&amp; M288 &amp; IF(ISBLANK(Q288),, ". "&amp; Q288))</f>
        <v>MoveSpeed</v>
      </c>
      <c r="E288" s="6" t="str">
        <f aca="false">I288  &amp;": # on "&amp; L288  &amp; IF(ISBLANK(M288),, ". "&amp; M288 &amp;": # on "&amp; P288 &amp; IF(ISBLANK(Q288),, ". "&amp; Q288 &amp;": # on "&amp; T288))</f>
        <v>MoveSpeed: # on Self</v>
      </c>
      <c r="F288" s="6" t="str">
        <f aca="false">IF(U288,"active pal",)  &amp; IF(V288,"working",) &amp; IF(W288,"mounted",) &amp; IF(Y288,"in party (buff)",)  &amp; IF(Z288,"always",)</f>
        <v>always</v>
      </c>
      <c r="G288" s="6" t="n">
        <v>2</v>
      </c>
      <c r="H288" s="6" t="s">
        <v>2331</v>
      </c>
      <c r="I288" s="6" t="s">
        <v>2115</v>
      </c>
      <c r="J288" s="6" t="str">
        <f aca="false">IFERROR(__xludf.dummyfunction("IFS(I288=""ShotAttack"",""%"",I288=""MeleeAttack"",""%"", I288=""Defense"",""%"",I288=""CraftSPeed"",""%"",I288=""LifeSteal"",""%"",I288=""MaxInventoryWeight"",""+"",I288=""MoveSpeed"",""%"",REGEXMATCH(I288,""ElementAddItemDrop_""),""%"",I288=""Logging"","&amp;"""+"",I288=""Mining"",""+"",I288=""Maxhp"",""%"",REGEXMATCH(I288,""TemperatureResist_""),""+"",REGEXMATCH(I288,""ElementResist_""),""%"",REGEXMATCH(I288,""TemperatureInvalid_""),""bool"",REGEXMATCH(I288,""BodyPartsWeakDamage""),""%"",REGEXMATCH(I288,""Ele"&amp;"mentBoost_""),""%"",AND(REGEXMATCH(B288,""GiveA""),REGEXMATCH(I288,""Element"")),""bool"")"),"%")</f>
        <v>%</v>
      </c>
      <c r="K288" s="6" t="n">
        <v>20</v>
      </c>
      <c r="L288" s="6" t="s">
        <v>1956</v>
      </c>
      <c r="M288" s="6"/>
      <c r="N288" s="6" t="str">
        <f aca="false">IFERROR(__xludf.dummyfunction("IFS(M288=""ShotAttack"",""%"",M288=""MeleeAttack"",""%"", M288=""Defense"",""%"",M288=""CraftSPeed"",""%"",M288=""LifeSteal"",""%"",M288=""MaxInventoryWeight"",""+"",M288=""MoveSpeed"",""%"",REGEXMATCH(M288,""ElementAddItemDrop_""),""%"",M288=""Logging"","&amp;"""+"",M288=""Mining"",""+"",M288=""Maxhp"",""%"",REGEXMATCH(M288,""TemperatureResist_""),""+"",REGEXMATCH(M288,""ElementResist_""),""%"",REGEXMATCH(M288,""TemperatureInvalid_""),""bool"",REGEXMATCH(M288,""BodyPartsWeakDamage""),""%"",REGEXMATCH(M288,""Ele"&amp;"mentBoost_""),""%"",AND(REGEXMATCH(F288,""GiveA""),REGEXMATCH(M288,""Element"")),""bool"")"),"#N/A")</f>
        <v>#N/A</v>
      </c>
      <c r="O288" s="6" t="n">
        <v>0</v>
      </c>
      <c r="P288" s="6"/>
      <c r="Q288" s="6"/>
      <c r="R288" s="6" t="str">
        <f aca="false">IFERROR(__xludf.dummyfunction("IFS(Q288=""ShotAttack"",""%"",Q288=""MeleeAttack"",""%"", Q288=""Defense"",""%"",Q288=""CraftSPeed"",""%"",Q288=""LifeSteal"",""%"",Q288=""MaxInventoryWeight"",""+"",Q288=""MoveSpeed"",""%"",REGEXMATCH(Q288,""ElementAddItemDrop_""),""%"",Q288=""Logging"","&amp;"""+"",Q288=""Mining"",""+"",Q288=""Maxhp"",""%"",REGEXMATCH(Q288,""TemperatureResist_""),""+"",REGEXMATCH(Q288,""ElementResist_""),""%"",REGEXMATCH(Q288,""TemperatureInvalid_""),""bool"",REGEXMATCH(Q288,""BodyPartsWeakDamage""),""%"",REGEXMATCH(Q288,""Ele"&amp;"mentBoost_""),""%"",AND(REGEXMATCH(J288,""GiveA""),REGEXMATCH(Q288,""Element"")),""bool"")"),"#N/A")</f>
        <v>#N/A</v>
      </c>
      <c r="S288" s="6" t="n">
        <v>0</v>
      </c>
      <c r="T288" s="6"/>
      <c r="U288" s="319" t="b">
        <f aca="false">FALSE()</f>
        <v>0</v>
      </c>
      <c r="V288" s="319" t="b">
        <f aca="false">FALSE()</f>
        <v>0</v>
      </c>
      <c r="W288" s="319" t="b">
        <f aca="false">FALSE()</f>
        <v>0</v>
      </c>
      <c r="X288" s="319" t="b">
        <f aca="false">FALSE()</f>
        <v>0</v>
      </c>
      <c r="Y288" s="319" t="b">
        <f aca="false">FALSE()</f>
        <v>0</v>
      </c>
      <c r="Z288" s="319" t="b">
        <f aca="false">TRUE()</f>
        <v>1</v>
      </c>
      <c r="AA288" s="319" t="b">
        <f aca="false">TRUE()</f>
        <v>1</v>
      </c>
      <c r="AB288" s="319" t="b">
        <f aca="false">FALSE()</f>
        <v>0</v>
      </c>
      <c r="AC288" s="319" t="b">
        <f aca="false">FALSE()</f>
        <v>0</v>
      </c>
      <c r="AD288" s="319" t="b">
        <f aca="false">FALSE()</f>
        <v>0</v>
      </c>
      <c r="AE288" s="319" t="b">
        <f aca="false">FALSE()</f>
        <v>0</v>
      </c>
      <c r="AF288" s="319" t="b">
        <f aca="false">FALSE()</f>
        <v>0</v>
      </c>
      <c r="AG288" s="6" t="s">
        <v>182</v>
      </c>
      <c r="AH288" s="6" t="s">
        <v>182</v>
      </c>
    </row>
    <row r="289" customFormat="false" ht="15.75" hidden="false" customHeight="false" outlineLevel="0" collapsed="false">
      <c r="A289" s="3" t="s">
        <v>2332</v>
      </c>
      <c r="B289" s="6" t="s">
        <v>2333</v>
      </c>
      <c r="C289" s="311" t="b">
        <f aca="false">TRUE()</f>
        <v>1</v>
      </c>
      <c r="D289" s="6" t="str">
        <f aca="false">I289   &amp; IF(ISBLANK(M289),, ". "&amp; M289 &amp; IF(ISBLANK(Q289),, ". "&amp; Q289))</f>
        <v>MoveSpeed</v>
      </c>
      <c r="E289" s="6" t="str">
        <f aca="false">I289  &amp;": # on "&amp; L289  &amp; IF(ISBLANK(M289),, ". "&amp; M289 &amp;": # on "&amp; P289 &amp; IF(ISBLANK(Q289),, ". "&amp; Q289 &amp;": # on "&amp; T289))</f>
        <v>MoveSpeed: # on Self</v>
      </c>
      <c r="F289" s="6" t="str">
        <f aca="false">IF(U289,"active pal",)  &amp; IF(V289,"working",) &amp; IF(W289,"mounted",) &amp; IF(Y289,"in party (buff)",)  &amp; IF(Z289,"always",)</f>
        <v>always</v>
      </c>
      <c r="G289" s="6" t="n">
        <v>3</v>
      </c>
      <c r="H289" s="6" t="s">
        <v>2334</v>
      </c>
      <c r="I289" s="6" t="s">
        <v>2115</v>
      </c>
      <c r="J289" s="6" t="str">
        <f aca="false">IFERROR(__xludf.dummyfunction("IFS(I289=""ShotAttack"",""%"",I289=""MeleeAttack"",""%"", I289=""Defense"",""%"",I289=""CraftSPeed"",""%"",I289=""LifeSteal"",""%"",I289=""MaxInventoryWeight"",""+"",I289=""MoveSpeed"",""%"",REGEXMATCH(I289,""ElementAddItemDrop_""),""%"",I289=""Logging"","&amp;"""+"",I289=""Mining"",""+"",I289=""Maxhp"",""%"",REGEXMATCH(I289,""TemperatureResist_""),""+"",REGEXMATCH(I289,""ElementResist_""),""%"",REGEXMATCH(I289,""TemperatureInvalid_""),""bool"",REGEXMATCH(I289,""BodyPartsWeakDamage""),""%"",REGEXMATCH(I289,""Ele"&amp;"mentBoost_""),""%"",AND(REGEXMATCH(B289,""GiveA""),REGEXMATCH(I289,""Element"")),""bool"")"),"%")</f>
        <v>%</v>
      </c>
      <c r="K289" s="6" t="n">
        <v>30</v>
      </c>
      <c r="L289" s="6" t="s">
        <v>1956</v>
      </c>
      <c r="M289" s="6"/>
      <c r="N289" s="6" t="str">
        <f aca="false">IFERROR(__xludf.dummyfunction("IFS(M289=""ShotAttack"",""%"",M289=""MeleeAttack"",""%"", M289=""Defense"",""%"",M289=""CraftSPeed"",""%"",M289=""LifeSteal"",""%"",M289=""MaxInventoryWeight"",""+"",M289=""MoveSpeed"",""%"",REGEXMATCH(M289,""ElementAddItemDrop_""),""%"",M289=""Logging"","&amp;"""+"",M289=""Mining"",""+"",M289=""Maxhp"",""%"",REGEXMATCH(M289,""TemperatureResist_""),""+"",REGEXMATCH(M289,""ElementResist_""),""%"",REGEXMATCH(M289,""TemperatureInvalid_""),""bool"",REGEXMATCH(M289,""BodyPartsWeakDamage""),""%"",REGEXMATCH(M289,""Ele"&amp;"mentBoost_""),""%"",AND(REGEXMATCH(F289,""GiveA""),REGEXMATCH(M289,""Element"")),""bool"")"),"#N/A")</f>
        <v>#N/A</v>
      </c>
      <c r="O289" s="6" t="n">
        <v>0</v>
      </c>
      <c r="P289" s="6"/>
      <c r="Q289" s="6"/>
      <c r="R289" s="6" t="str">
        <f aca="false">IFERROR(__xludf.dummyfunction("IFS(Q289=""ShotAttack"",""%"",Q289=""MeleeAttack"",""%"", Q289=""Defense"",""%"",Q289=""CraftSPeed"",""%"",Q289=""LifeSteal"",""%"",Q289=""MaxInventoryWeight"",""+"",Q289=""MoveSpeed"",""%"",REGEXMATCH(Q289,""ElementAddItemDrop_""),""%"",Q289=""Logging"","&amp;"""+"",Q289=""Mining"",""+"",Q289=""Maxhp"",""%"",REGEXMATCH(Q289,""TemperatureResist_""),""+"",REGEXMATCH(Q289,""ElementResist_""),""%"",REGEXMATCH(Q289,""TemperatureInvalid_""),""bool"",REGEXMATCH(Q289,""BodyPartsWeakDamage""),""%"",REGEXMATCH(Q289,""Ele"&amp;"mentBoost_""),""%"",AND(REGEXMATCH(J289,""GiveA""),REGEXMATCH(Q289,""Element"")),""bool"")"),"#N/A")</f>
        <v>#N/A</v>
      </c>
      <c r="S289" s="6" t="n">
        <v>0</v>
      </c>
      <c r="T289" s="6"/>
      <c r="U289" s="319" t="b">
        <f aca="false">FALSE()</f>
        <v>0</v>
      </c>
      <c r="V289" s="319" t="b">
        <f aca="false">FALSE()</f>
        <v>0</v>
      </c>
      <c r="W289" s="319" t="b">
        <f aca="false">FALSE()</f>
        <v>0</v>
      </c>
      <c r="X289" s="319" t="b">
        <f aca="false">FALSE()</f>
        <v>0</v>
      </c>
      <c r="Y289" s="319" t="b">
        <f aca="false">FALSE()</f>
        <v>0</v>
      </c>
      <c r="Z289" s="319" t="b">
        <f aca="false">TRUE()</f>
        <v>1</v>
      </c>
      <c r="AA289" s="319" t="b">
        <f aca="false">TRUE()</f>
        <v>1</v>
      </c>
      <c r="AB289" s="319" t="b">
        <f aca="false">FALSE()</f>
        <v>0</v>
      </c>
      <c r="AC289" s="319" t="b">
        <f aca="false">FALSE()</f>
        <v>0</v>
      </c>
      <c r="AD289" s="319" t="b">
        <f aca="false">FALSE()</f>
        <v>0</v>
      </c>
      <c r="AE289" s="319" t="b">
        <f aca="false">FALSE()</f>
        <v>0</v>
      </c>
      <c r="AF289" s="319" t="b">
        <f aca="false">FALSE()</f>
        <v>0</v>
      </c>
      <c r="AG289" s="6" t="s">
        <v>182</v>
      </c>
      <c r="AH289" s="6" t="s">
        <v>182</v>
      </c>
    </row>
    <row r="290" customFormat="false" ht="15.75" hidden="false" customHeight="false" outlineLevel="0" collapsed="false">
      <c r="A290" s="1" t="e">
        <f aca="false">#N/A</f>
        <v>#N/A</v>
      </c>
      <c r="B290" s="6" t="s">
        <v>976</v>
      </c>
      <c r="C290" s="3"/>
      <c r="D290" s="6" t="str">
        <f aca="false">I290   &amp; IF(ISBLANK(M290),, ". "&amp; M290 &amp; IF(ISBLANK(Q290),, ". "&amp; Q290))</f>
        <v>TemperatureInvalid_Heat</v>
      </c>
      <c r="E290" s="6" t="str">
        <f aca="false">I290  &amp;": # on "&amp; L290  &amp; IF(ISBLANK(M290),, ". "&amp; M290 &amp;": # on "&amp; P290 &amp; IF(ISBLANK(Q290),, ". "&amp; Q290 &amp;": # on "&amp; T290))</f>
        <v>TemperatureInvalid_Heat: # on Trainer</v>
      </c>
      <c r="F290" s="6" t="str">
        <f aca="false">IF(U290,"active pal",)  &amp; IF(V290,"working",) &amp; IF(W290,"mounted",) &amp; IF(Y290,"in party (buff)",)  &amp; IF(Z290,"always",)</f>
        <v>mounted</v>
      </c>
      <c r="G290" s="6" t="n">
        <v>1</v>
      </c>
      <c r="H290" s="6" t="s">
        <v>182</v>
      </c>
      <c r="I290" s="6" t="s">
        <v>976</v>
      </c>
      <c r="J290" s="6" t="str">
        <f aca="false">IFERROR(__xludf.dummyfunction("IFS(I290=""ShotAttack"",""%"",I290=""MeleeAttack"",""%"", I290=""Defense"",""%"",I290=""CraftSPeed"",""%"",I290=""LifeSteal"",""%"",I290=""MaxInventoryWeight"",""+"",I290=""MoveSpeed"",""%"",REGEXMATCH(I290,""ElementAddItemDrop_""),""%"",I290=""Logging"","&amp;"""+"",I290=""Mining"",""+"",I290=""Maxhp"",""%"",REGEXMATCH(I290,""TemperatureResist_""),""+"",REGEXMATCH(I290,""ElementResist_""),""%"",REGEXMATCH(I290,""TemperatureInvalid_""),""bool"",REGEXMATCH(I290,""BodyPartsWeakDamage""),""%"",REGEXMATCH(I290,""Ele"&amp;"mentBoost_""),""%"",AND(REGEXMATCH(B290,""GiveA""),REGEXMATCH(I290,""Element"")),""bool"")"),"bool")</f>
        <v>bool</v>
      </c>
      <c r="K290" s="6" t="n">
        <v>0</v>
      </c>
      <c r="L290" s="6" t="s">
        <v>2034</v>
      </c>
      <c r="M290" s="6"/>
      <c r="N290" s="6" t="str">
        <f aca="false">IFERROR(__xludf.dummyfunction("IFS(M290=""ShotAttack"",""%"",M290=""MeleeAttack"",""%"", M290=""Defense"",""%"",M290=""CraftSPeed"",""%"",M290=""LifeSteal"",""%"",M290=""MaxInventoryWeight"",""+"",M290=""MoveSpeed"",""%"",REGEXMATCH(M290,""ElementAddItemDrop_""),""%"",M290=""Logging"","&amp;"""+"",M290=""Mining"",""+"",M290=""Maxhp"",""%"",REGEXMATCH(M290,""TemperatureResist_""),""+"",REGEXMATCH(M290,""ElementResist_""),""%"",REGEXMATCH(M290,""TemperatureInvalid_""),""bool"",REGEXMATCH(M290,""BodyPartsWeakDamage""),""%"",REGEXMATCH(M290,""Ele"&amp;"mentBoost_""),""%"",AND(REGEXMATCH(F290,""GiveA""),REGEXMATCH(M290,""Element"")),""bool"")"),"#N/A")</f>
        <v>#N/A</v>
      </c>
      <c r="O290" s="6" t="n">
        <v>0</v>
      </c>
      <c r="P290" s="6"/>
      <c r="Q290" s="6"/>
      <c r="R290" s="6" t="str">
        <f aca="false">IFERROR(__xludf.dummyfunction("IFS(Q290=""ShotAttack"",""%"",Q290=""MeleeAttack"",""%"", Q290=""Defense"",""%"",Q290=""CraftSPeed"",""%"",Q290=""LifeSteal"",""%"",Q290=""MaxInventoryWeight"",""+"",Q290=""MoveSpeed"",""%"",REGEXMATCH(Q290,""ElementAddItemDrop_""),""%"",Q290=""Logging"","&amp;"""+"",Q290=""Mining"",""+"",Q290=""Maxhp"",""%"",REGEXMATCH(Q290,""TemperatureResist_""),""+"",REGEXMATCH(Q290,""ElementResist_""),""%"",REGEXMATCH(Q290,""TemperatureInvalid_""),""bool"",REGEXMATCH(Q290,""BodyPartsWeakDamage""),""%"",REGEXMATCH(Q290,""Ele"&amp;"mentBoost_""),""%"",AND(REGEXMATCH(J290,""GiveA""),REGEXMATCH(Q290,""Element"")),""bool"")"),"#N/A")</f>
        <v>#N/A</v>
      </c>
      <c r="S290" s="6" t="n">
        <v>0</v>
      </c>
      <c r="T290" s="6"/>
      <c r="U290" s="319" t="b">
        <f aca="false">FALSE()</f>
        <v>0</v>
      </c>
      <c r="V290" s="319" t="b">
        <f aca="false">FALSE()</f>
        <v>0</v>
      </c>
      <c r="W290" s="319" t="b">
        <f aca="false">TRUE()</f>
        <v>1</v>
      </c>
      <c r="X290" s="319" t="b">
        <f aca="false">FALSE()</f>
        <v>0</v>
      </c>
      <c r="Y290" s="319" t="b">
        <f aca="false">FALSE()</f>
        <v>0</v>
      </c>
      <c r="Z290" s="319" t="b">
        <f aca="false">FALSE()</f>
        <v>0</v>
      </c>
      <c r="AA290" s="319" t="b">
        <f aca="false">FALSE()</f>
        <v>0</v>
      </c>
      <c r="AB290" s="319" t="b">
        <f aca="false">FALSE()</f>
        <v>0</v>
      </c>
      <c r="AC290" s="319" t="b">
        <f aca="false">FALSE()</f>
        <v>0</v>
      </c>
      <c r="AD290" s="319" t="b">
        <f aca="false">FALSE()</f>
        <v>0</v>
      </c>
      <c r="AE290" s="319" t="b">
        <f aca="false">FALSE()</f>
        <v>0</v>
      </c>
      <c r="AF290" s="319" t="b">
        <f aca="false">FALSE()</f>
        <v>0</v>
      </c>
      <c r="AG290" s="6" t="s">
        <v>182</v>
      </c>
      <c r="AH290" s="6" t="s">
        <v>182</v>
      </c>
    </row>
    <row r="291" customFormat="false" ht="15.75" hidden="false" customHeight="false" outlineLevel="0" collapsed="false">
      <c r="A291" s="1" t="e">
        <f aca="false">#N/A</f>
        <v>#N/A</v>
      </c>
      <c r="B291" s="6" t="s">
        <v>975</v>
      </c>
      <c r="C291" s="3"/>
      <c r="D291" s="6" t="str">
        <f aca="false">I291   &amp; IF(ISBLANK(M291),, ". "&amp; M291 &amp; IF(ISBLANK(Q291),, ". "&amp; Q291))</f>
        <v>TemperatureInvalid_Cold</v>
      </c>
      <c r="E291" s="6" t="str">
        <f aca="false">I291  &amp;": # on "&amp; L291  &amp; IF(ISBLANK(M291),, ". "&amp; M291 &amp;": # on "&amp; P291 &amp; IF(ISBLANK(Q291),, ". "&amp; Q291 &amp;": # on "&amp; T291))</f>
        <v>TemperatureInvalid_Cold: # on Trainer</v>
      </c>
      <c r="F291" s="6" t="str">
        <f aca="false">IF(U291,"active pal",)  &amp; IF(V291,"working",) &amp; IF(W291,"mounted",) &amp; IF(Y291,"in party (buff)",)  &amp; IF(Z291,"always",)</f>
        <v>mounted</v>
      </c>
      <c r="G291" s="6" t="n">
        <v>1</v>
      </c>
      <c r="H291" s="6" t="s">
        <v>182</v>
      </c>
      <c r="I291" s="6" t="s">
        <v>975</v>
      </c>
      <c r="J291" s="6" t="str">
        <f aca="false">IFERROR(__xludf.dummyfunction("IFS(I291=""ShotAttack"",""%"",I291=""MeleeAttack"",""%"", I291=""Defense"",""%"",I291=""CraftSPeed"",""%"",I291=""LifeSteal"",""%"",I291=""MaxInventoryWeight"",""+"",I291=""MoveSpeed"",""%"",REGEXMATCH(I291,""ElementAddItemDrop_""),""%"",I291=""Logging"","&amp;"""+"",I291=""Mining"",""+"",I291=""Maxhp"",""%"",REGEXMATCH(I291,""TemperatureResist_""),""+"",REGEXMATCH(I291,""ElementResist_""),""%"",REGEXMATCH(I291,""TemperatureInvalid_""),""bool"",REGEXMATCH(I291,""BodyPartsWeakDamage""),""%"",REGEXMATCH(I291,""Ele"&amp;"mentBoost_""),""%"",AND(REGEXMATCH(B291,""GiveA""),REGEXMATCH(I291,""Element"")),""bool"")"),"bool")</f>
        <v>bool</v>
      </c>
      <c r="K291" s="6" t="n">
        <v>0</v>
      </c>
      <c r="L291" s="6" t="s">
        <v>2034</v>
      </c>
      <c r="M291" s="6"/>
      <c r="N291" s="6" t="str">
        <f aca="false">IFERROR(__xludf.dummyfunction("IFS(M291=""ShotAttack"",""%"",M291=""MeleeAttack"",""%"", M291=""Defense"",""%"",M291=""CraftSPeed"",""%"",M291=""LifeSteal"",""%"",M291=""MaxInventoryWeight"",""+"",M291=""MoveSpeed"",""%"",REGEXMATCH(M291,""ElementAddItemDrop_""),""%"",M291=""Logging"","&amp;"""+"",M291=""Mining"",""+"",M291=""Maxhp"",""%"",REGEXMATCH(M291,""TemperatureResist_""),""+"",REGEXMATCH(M291,""ElementResist_""),""%"",REGEXMATCH(M291,""TemperatureInvalid_""),""bool"",REGEXMATCH(M291,""BodyPartsWeakDamage""),""%"",REGEXMATCH(M291,""Ele"&amp;"mentBoost_""),""%"",AND(REGEXMATCH(F291,""GiveA""),REGEXMATCH(M291,""Element"")),""bool"")"),"#N/A")</f>
        <v>#N/A</v>
      </c>
      <c r="O291" s="6" t="n">
        <v>0</v>
      </c>
      <c r="P291" s="6"/>
      <c r="Q291" s="6"/>
      <c r="R291" s="6" t="str">
        <f aca="false">IFERROR(__xludf.dummyfunction("IFS(Q291=""ShotAttack"",""%"",Q291=""MeleeAttack"",""%"", Q291=""Defense"",""%"",Q291=""CraftSPeed"",""%"",Q291=""LifeSteal"",""%"",Q291=""MaxInventoryWeight"",""+"",Q291=""MoveSpeed"",""%"",REGEXMATCH(Q291,""ElementAddItemDrop_""),""%"",Q291=""Logging"","&amp;"""+"",Q291=""Mining"",""+"",Q291=""Maxhp"",""%"",REGEXMATCH(Q291,""TemperatureResist_""),""+"",REGEXMATCH(Q291,""ElementResist_""),""%"",REGEXMATCH(Q291,""TemperatureInvalid_""),""bool"",REGEXMATCH(Q291,""BodyPartsWeakDamage""),""%"",REGEXMATCH(Q291,""Ele"&amp;"mentBoost_""),""%"",AND(REGEXMATCH(J291,""GiveA""),REGEXMATCH(Q291,""Element"")),""bool"")"),"#N/A")</f>
        <v>#N/A</v>
      </c>
      <c r="S291" s="6" t="n">
        <v>0</v>
      </c>
      <c r="T291" s="6"/>
      <c r="U291" s="319" t="b">
        <f aca="false">FALSE()</f>
        <v>0</v>
      </c>
      <c r="V291" s="319" t="b">
        <f aca="false">FALSE()</f>
        <v>0</v>
      </c>
      <c r="W291" s="319" t="b">
        <f aca="false">TRUE()</f>
        <v>1</v>
      </c>
      <c r="X291" s="319" t="b">
        <f aca="false">FALSE()</f>
        <v>0</v>
      </c>
      <c r="Y291" s="319" t="b">
        <f aca="false">FALSE()</f>
        <v>0</v>
      </c>
      <c r="Z291" s="319" t="b">
        <f aca="false">FALSE()</f>
        <v>0</v>
      </c>
      <c r="AA291" s="319" t="b">
        <f aca="false">FALSE()</f>
        <v>0</v>
      </c>
      <c r="AB291" s="319" t="b">
        <f aca="false">FALSE()</f>
        <v>0</v>
      </c>
      <c r="AC291" s="319" t="b">
        <f aca="false">FALSE()</f>
        <v>0</v>
      </c>
      <c r="AD291" s="319" t="b">
        <f aca="false">FALSE()</f>
        <v>0</v>
      </c>
      <c r="AE291" s="319" t="b">
        <f aca="false">FALSE()</f>
        <v>0</v>
      </c>
      <c r="AF291" s="319" t="b">
        <f aca="false">FALSE()</f>
        <v>0</v>
      </c>
      <c r="AG291" s="6" t="s">
        <v>182</v>
      </c>
      <c r="AH291" s="6" t="s">
        <v>182</v>
      </c>
    </row>
    <row r="292" customFormat="false" ht="15.75" hidden="false" customHeight="false" outlineLevel="0" collapsed="false">
      <c r="A292" s="1" t="e">
        <f aca="false">#N/A</f>
        <v>#N/A</v>
      </c>
      <c r="B292" s="6" t="s">
        <v>964</v>
      </c>
      <c r="C292" s="3"/>
      <c r="D292" s="6" t="str">
        <f aca="false">I292   &amp; IF(ISBLANK(M292),, ". "&amp; M292 &amp; IF(ISBLANK(Q292),, ". "&amp; Q292))</f>
        <v>BodyPartsWeakDamage</v>
      </c>
      <c r="E292" s="6" t="str">
        <f aca="false">I292  &amp;": # on "&amp; L292  &amp; IF(ISBLANK(M292),, ". "&amp; M292 &amp;": # on "&amp; P292 &amp; IF(ISBLANK(Q292),, ". "&amp; Q292 &amp;": # on "&amp; T292))</f>
        <v>BodyPartsWeakDamage: # on Trainer</v>
      </c>
      <c r="F292" s="6" t="str">
        <f aca="false">IF(U292,"active pal",)  &amp; IF(V292,"working",) &amp; IF(W292,"mounted",) &amp; IF(Y292,"in party (buff)",)  &amp; IF(Z292,"always",)</f>
        <v>active pal</v>
      </c>
      <c r="G292" s="6" t="n">
        <v>1</v>
      </c>
      <c r="H292" s="6" t="s">
        <v>182</v>
      </c>
      <c r="I292" s="6" t="s">
        <v>2335</v>
      </c>
      <c r="J292" s="6" t="str">
        <f aca="false">IFERROR(__xludf.dummyfunction("IFS(I292=""ShotAttack"",""%"",I292=""MeleeAttack"",""%"", I292=""Defense"",""%"",I292=""CraftSPeed"",""%"",I292=""LifeSteal"",""%"",I292=""MaxInventoryWeight"",""+"",I292=""MoveSpeed"",""%"",REGEXMATCH(I292,""ElementAddItemDrop_""),""%"",I292=""Logging"","&amp;"""+"",I292=""Mining"",""+"",I292=""Maxhp"",""%"",REGEXMATCH(I292,""TemperatureResist_""),""+"",REGEXMATCH(I292,""ElementResist_""),""%"",REGEXMATCH(I292,""TemperatureInvalid_""),""bool"",REGEXMATCH(I292,""BodyPartsWeakDamage""),""%"",REGEXMATCH(I292,""Ele"&amp;"mentBoost_""),""%"",AND(REGEXMATCH(B292,""GiveA""),REGEXMATCH(I292,""Element"")),""bool"")"),"%")</f>
        <v>%</v>
      </c>
      <c r="K292" s="6" t="n">
        <v>20</v>
      </c>
      <c r="L292" s="6" t="s">
        <v>2034</v>
      </c>
      <c r="M292" s="6"/>
      <c r="N292" s="6" t="str">
        <f aca="false">IFERROR(__xludf.dummyfunction("IFS(M292=""ShotAttack"",""%"",M292=""MeleeAttack"",""%"", M292=""Defense"",""%"",M292=""CraftSPeed"",""%"",M292=""LifeSteal"",""%"",M292=""MaxInventoryWeight"",""+"",M292=""MoveSpeed"",""%"",REGEXMATCH(M292,""ElementAddItemDrop_""),""%"",M292=""Logging"","&amp;"""+"",M292=""Mining"",""+"",M292=""Maxhp"",""%"",REGEXMATCH(M292,""TemperatureResist_""),""+"",REGEXMATCH(M292,""ElementResist_""),""%"",REGEXMATCH(M292,""TemperatureInvalid_""),""bool"",REGEXMATCH(M292,""BodyPartsWeakDamage""),""%"",REGEXMATCH(M292,""Ele"&amp;"mentBoost_""),""%"",AND(REGEXMATCH(F292,""GiveA""),REGEXMATCH(M292,""Element"")),""bool"")"),"#N/A")</f>
        <v>#N/A</v>
      </c>
      <c r="O292" s="6" t="n">
        <v>0</v>
      </c>
      <c r="P292" s="6"/>
      <c r="Q292" s="6"/>
      <c r="R292" s="6" t="str">
        <f aca="false">IFERROR(__xludf.dummyfunction("IFS(Q292=""ShotAttack"",""%"",Q292=""MeleeAttack"",""%"", Q292=""Defense"",""%"",Q292=""CraftSPeed"",""%"",Q292=""LifeSteal"",""%"",Q292=""MaxInventoryWeight"",""+"",Q292=""MoveSpeed"",""%"",REGEXMATCH(Q292,""ElementAddItemDrop_""),""%"",Q292=""Logging"","&amp;"""+"",Q292=""Mining"",""+"",Q292=""Maxhp"",""%"",REGEXMATCH(Q292,""TemperatureResist_""),""+"",REGEXMATCH(Q292,""ElementResist_""),""%"",REGEXMATCH(Q292,""TemperatureInvalid_""),""bool"",REGEXMATCH(Q292,""BodyPartsWeakDamage""),""%"",REGEXMATCH(Q292,""Ele"&amp;"mentBoost_""),""%"",AND(REGEXMATCH(J292,""GiveA""),REGEXMATCH(Q292,""Element"")),""bool"")"),"#N/A")</f>
        <v>#N/A</v>
      </c>
      <c r="S292" s="6" t="n">
        <v>0</v>
      </c>
      <c r="T292" s="6"/>
      <c r="U292" s="319" t="b">
        <f aca="false">TRUE()</f>
        <v>1</v>
      </c>
      <c r="V292" s="319" t="b">
        <f aca="false">FALSE()</f>
        <v>0</v>
      </c>
      <c r="W292" s="319" t="b">
        <f aca="false">FALSE()</f>
        <v>0</v>
      </c>
      <c r="X292" s="319" t="b">
        <f aca="false">FALSE()</f>
        <v>0</v>
      </c>
      <c r="Y292" s="319" t="b">
        <f aca="false">FALSE()</f>
        <v>0</v>
      </c>
      <c r="Z292" s="319" t="b">
        <f aca="false">FALSE()</f>
        <v>0</v>
      </c>
      <c r="AA292" s="319" t="b">
        <f aca="false">FALSE()</f>
        <v>0</v>
      </c>
      <c r="AB292" s="319" t="b">
        <f aca="false">FALSE()</f>
        <v>0</v>
      </c>
      <c r="AC292" s="319" t="b">
        <f aca="false">FALSE()</f>
        <v>0</v>
      </c>
      <c r="AD292" s="319" t="b">
        <f aca="false">FALSE()</f>
        <v>0</v>
      </c>
      <c r="AE292" s="319" t="b">
        <f aca="false">FALSE()</f>
        <v>0</v>
      </c>
      <c r="AF292" s="319" t="b">
        <f aca="false">FALSE()</f>
        <v>0</v>
      </c>
      <c r="AG292" s="6" t="s">
        <v>182</v>
      </c>
      <c r="AH292" s="6" t="s">
        <v>182</v>
      </c>
    </row>
    <row r="293" customFormat="false" ht="15.75" hidden="false" customHeight="false" outlineLevel="0" collapsed="false">
      <c r="A293" s="1" t="e">
        <f aca="false">#N/A</f>
        <v>#N/A</v>
      </c>
      <c r="B293" s="6" t="s">
        <v>965</v>
      </c>
      <c r="C293" s="3"/>
      <c r="D293" s="6" t="str">
        <f aca="false">I293   &amp; IF(ISBLANK(M293),, ". "&amp; M293 &amp; IF(ISBLANK(Q293),, ". "&amp; Q293))</f>
        <v>BodyPartsWeakDamage</v>
      </c>
      <c r="E293" s="6" t="str">
        <f aca="false">I293  &amp;": # on "&amp; L293  &amp; IF(ISBLANK(M293),, ". "&amp; M293 &amp;": # on "&amp; P293 &amp; IF(ISBLANK(Q293),, ". "&amp; Q293 &amp;": # on "&amp; T293))</f>
        <v>BodyPartsWeakDamage: # on Trainer</v>
      </c>
      <c r="F293" s="6" t="str">
        <f aca="false">IF(U293,"active pal",)  &amp; IF(V293,"working",) &amp; IF(W293,"mounted",) &amp; IF(Y293,"in party (buff)",)  &amp; IF(Z293,"always",)</f>
        <v>active pal</v>
      </c>
      <c r="G293" s="6" t="n">
        <v>1</v>
      </c>
      <c r="H293" s="6" t="s">
        <v>182</v>
      </c>
      <c r="I293" s="6" t="s">
        <v>2335</v>
      </c>
      <c r="J293" s="6" t="str">
        <f aca="false">IFERROR(__xludf.dummyfunction("IFS(I293=""ShotAttack"",""%"",I293=""MeleeAttack"",""%"", I293=""Defense"",""%"",I293=""CraftSPeed"",""%"",I293=""LifeSteal"",""%"",I293=""MaxInventoryWeight"",""+"",I293=""MoveSpeed"",""%"",REGEXMATCH(I293,""ElementAddItemDrop_""),""%"",I293=""Logging"","&amp;"""+"",I293=""Mining"",""+"",I293=""Maxhp"",""%"",REGEXMATCH(I293,""TemperatureResist_""),""+"",REGEXMATCH(I293,""ElementResist_""),""%"",REGEXMATCH(I293,""TemperatureInvalid_""),""bool"",REGEXMATCH(I293,""BodyPartsWeakDamage""),""%"",REGEXMATCH(I293,""Ele"&amp;"mentBoost_""),""%"",AND(REGEXMATCH(B293,""GiveA""),REGEXMATCH(I293,""Element"")),""bool"")"),"%")</f>
        <v>%</v>
      </c>
      <c r="K293" s="6" t="n">
        <v>22</v>
      </c>
      <c r="L293" s="6" t="s">
        <v>2034</v>
      </c>
      <c r="M293" s="6"/>
      <c r="N293" s="6" t="str">
        <f aca="false">IFERROR(__xludf.dummyfunction("IFS(M293=""ShotAttack"",""%"",M293=""MeleeAttack"",""%"", M293=""Defense"",""%"",M293=""CraftSPeed"",""%"",M293=""LifeSteal"",""%"",M293=""MaxInventoryWeight"",""+"",M293=""MoveSpeed"",""%"",REGEXMATCH(M293,""ElementAddItemDrop_""),""%"",M293=""Logging"","&amp;"""+"",M293=""Mining"",""+"",M293=""Maxhp"",""%"",REGEXMATCH(M293,""TemperatureResist_""),""+"",REGEXMATCH(M293,""ElementResist_""),""%"",REGEXMATCH(M293,""TemperatureInvalid_""),""bool"",REGEXMATCH(M293,""BodyPartsWeakDamage""),""%"",REGEXMATCH(M293,""Ele"&amp;"mentBoost_""),""%"",AND(REGEXMATCH(F293,""GiveA""),REGEXMATCH(M293,""Element"")),""bool"")"),"#N/A")</f>
        <v>#N/A</v>
      </c>
      <c r="O293" s="6" t="n">
        <v>0</v>
      </c>
      <c r="P293" s="6"/>
      <c r="Q293" s="6"/>
      <c r="R293" s="6" t="str">
        <f aca="false">IFERROR(__xludf.dummyfunction("IFS(Q293=""ShotAttack"",""%"",Q293=""MeleeAttack"",""%"", Q293=""Defense"",""%"",Q293=""CraftSPeed"",""%"",Q293=""LifeSteal"",""%"",Q293=""MaxInventoryWeight"",""+"",Q293=""MoveSpeed"",""%"",REGEXMATCH(Q293,""ElementAddItemDrop_""),""%"",Q293=""Logging"","&amp;"""+"",Q293=""Mining"",""+"",Q293=""Maxhp"",""%"",REGEXMATCH(Q293,""TemperatureResist_""),""+"",REGEXMATCH(Q293,""ElementResist_""),""%"",REGEXMATCH(Q293,""TemperatureInvalid_""),""bool"",REGEXMATCH(Q293,""BodyPartsWeakDamage""),""%"",REGEXMATCH(Q293,""Ele"&amp;"mentBoost_""),""%"",AND(REGEXMATCH(J293,""GiveA""),REGEXMATCH(Q293,""Element"")),""bool"")"),"#N/A")</f>
        <v>#N/A</v>
      </c>
      <c r="S293" s="6" t="n">
        <v>0</v>
      </c>
      <c r="T293" s="6"/>
      <c r="U293" s="319" t="b">
        <f aca="false">TRUE()</f>
        <v>1</v>
      </c>
      <c r="V293" s="319" t="b">
        <f aca="false">FALSE()</f>
        <v>0</v>
      </c>
      <c r="W293" s="319" t="b">
        <f aca="false">FALSE()</f>
        <v>0</v>
      </c>
      <c r="X293" s="319" t="b">
        <f aca="false">FALSE()</f>
        <v>0</v>
      </c>
      <c r="Y293" s="319" t="b">
        <f aca="false">FALSE()</f>
        <v>0</v>
      </c>
      <c r="Z293" s="319" t="b">
        <f aca="false">FALSE()</f>
        <v>0</v>
      </c>
      <c r="AA293" s="319" t="b">
        <f aca="false">FALSE()</f>
        <v>0</v>
      </c>
      <c r="AB293" s="319" t="b">
        <f aca="false">FALSE()</f>
        <v>0</v>
      </c>
      <c r="AC293" s="319" t="b">
        <f aca="false">FALSE()</f>
        <v>0</v>
      </c>
      <c r="AD293" s="319" t="b">
        <f aca="false">FALSE()</f>
        <v>0</v>
      </c>
      <c r="AE293" s="319" t="b">
        <f aca="false">FALSE()</f>
        <v>0</v>
      </c>
      <c r="AF293" s="319" t="b">
        <f aca="false">FALSE()</f>
        <v>0</v>
      </c>
      <c r="AG293" s="6" t="s">
        <v>182</v>
      </c>
      <c r="AH293" s="6" t="s">
        <v>182</v>
      </c>
    </row>
    <row r="294" customFormat="false" ht="15.75" hidden="false" customHeight="false" outlineLevel="0" collapsed="false">
      <c r="A294" s="1" t="e">
        <f aca="false">#N/A</f>
        <v>#N/A</v>
      </c>
      <c r="B294" s="6" t="s">
        <v>966</v>
      </c>
      <c r="C294" s="3"/>
      <c r="D294" s="6" t="str">
        <f aca="false">I294   &amp; IF(ISBLANK(M294),, ". "&amp; M294 &amp; IF(ISBLANK(Q294),, ". "&amp; Q294))</f>
        <v>BodyPartsWeakDamage</v>
      </c>
      <c r="E294" s="6" t="str">
        <f aca="false">I294  &amp;": # on "&amp; L294  &amp; IF(ISBLANK(M294),, ". "&amp; M294 &amp;": # on "&amp; P294 &amp; IF(ISBLANK(Q294),, ". "&amp; Q294 &amp;": # on "&amp; T294))</f>
        <v>BodyPartsWeakDamage: # on Trainer</v>
      </c>
      <c r="F294" s="6" t="str">
        <f aca="false">IF(U294,"active pal",)  &amp; IF(V294,"working",) &amp; IF(W294,"mounted",) &amp; IF(Y294,"in party (buff)",)  &amp; IF(Z294,"always",)</f>
        <v>active pal</v>
      </c>
      <c r="G294" s="6" t="n">
        <v>1</v>
      </c>
      <c r="H294" s="6" t="s">
        <v>182</v>
      </c>
      <c r="I294" s="6" t="s">
        <v>2335</v>
      </c>
      <c r="J294" s="6" t="str">
        <f aca="false">IFERROR(__xludf.dummyfunction("IFS(I294=""ShotAttack"",""%"",I294=""MeleeAttack"",""%"", I294=""Defense"",""%"",I294=""CraftSPeed"",""%"",I294=""LifeSteal"",""%"",I294=""MaxInventoryWeight"",""+"",I294=""MoveSpeed"",""%"",REGEXMATCH(I294,""ElementAddItemDrop_""),""%"",I294=""Logging"","&amp;"""+"",I294=""Mining"",""+"",I294=""Maxhp"",""%"",REGEXMATCH(I294,""TemperatureResist_""),""+"",REGEXMATCH(I294,""ElementResist_""),""%"",REGEXMATCH(I294,""TemperatureInvalid_""),""bool"",REGEXMATCH(I294,""BodyPartsWeakDamage""),""%"",REGEXMATCH(I294,""Ele"&amp;"mentBoost_""),""%"",AND(REGEXMATCH(B294,""GiveA""),REGEXMATCH(I294,""Element"")),""bool"")"),"%")</f>
        <v>%</v>
      </c>
      <c r="K294" s="6" t="n">
        <v>26</v>
      </c>
      <c r="L294" s="6" t="s">
        <v>2034</v>
      </c>
      <c r="M294" s="6"/>
      <c r="N294" s="6" t="str">
        <f aca="false">IFERROR(__xludf.dummyfunction("IFS(M294=""ShotAttack"",""%"",M294=""MeleeAttack"",""%"", M294=""Defense"",""%"",M294=""CraftSPeed"",""%"",M294=""LifeSteal"",""%"",M294=""MaxInventoryWeight"",""+"",M294=""MoveSpeed"",""%"",REGEXMATCH(M294,""ElementAddItemDrop_""),""%"",M294=""Logging"","&amp;"""+"",M294=""Mining"",""+"",M294=""Maxhp"",""%"",REGEXMATCH(M294,""TemperatureResist_""),""+"",REGEXMATCH(M294,""ElementResist_""),""%"",REGEXMATCH(M294,""TemperatureInvalid_""),""bool"",REGEXMATCH(M294,""BodyPartsWeakDamage""),""%"",REGEXMATCH(M294,""Ele"&amp;"mentBoost_""),""%"",AND(REGEXMATCH(F294,""GiveA""),REGEXMATCH(M294,""Element"")),""bool"")"),"#N/A")</f>
        <v>#N/A</v>
      </c>
      <c r="O294" s="6" t="n">
        <v>0</v>
      </c>
      <c r="P294" s="6"/>
      <c r="Q294" s="6"/>
      <c r="R294" s="6" t="str">
        <f aca="false">IFERROR(__xludf.dummyfunction("IFS(Q294=""ShotAttack"",""%"",Q294=""MeleeAttack"",""%"", Q294=""Defense"",""%"",Q294=""CraftSPeed"",""%"",Q294=""LifeSteal"",""%"",Q294=""MaxInventoryWeight"",""+"",Q294=""MoveSpeed"",""%"",REGEXMATCH(Q294,""ElementAddItemDrop_""),""%"",Q294=""Logging"","&amp;"""+"",Q294=""Mining"",""+"",Q294=""Maxhp"",""%"",REGEXMATCH(Q294,""TemperatureResist_""),""+"",REGEXMATCH(Q294,""ElementResist_""),""%"",REGEXMATCH(Q294,""TemperatureInvalid_""),""bool"",REGEXMATCH(Q294,""BodyPartsWeakDamage""),""%"",REGEXMATCH(Q294,""Ele"&amp;"mentBoost_""),""%"",AND(REGEXMATCH(J294,""GiveA""),REGEXMATCH(Q294,""Element"")),""bool"")"),"#N/A")</f>
        <v>#N/A</v>
      </c>
      <c r="S294" s="6" t="n">
        <v>0</v>
      </c>
      <c r="T294" s="6"/>
      <c r="U294" s="319" t="b">
        <f aca="false">TRUE()</f>
        <v>1</v>
      </c>
      <c r="V294" s="319" t="b">
        <f aca="false">FALSE()</f>
        <v>0</v>
      </c>
      <c r="W294" s="319" t="b">
        <f aca="false">FALSE()</f>
        <v>0</v>
      </c>
      <c r="X294" s="319" t="b">
        <f aca="false">FALSE()</f>
        <v>0</v>
      </c>
      <c r="Y294" s="319" t="b">
        <f aca="false">FALSE()</f>
        <v>0</v>
      </c>
      <c r="Z294" s="319" t="b">
        <f aca="false">FALSE()</f>
        <v>0</v>
      </c>
      <c r="AA294" s="319" t="b">
        <f aca="false">FALSE()</f>
        <v>0</v>
      </c>
      <c r="AB294" s="319" t="b">
        <f aca="false">FALSE()</f>
        <v>0</v>
      </c>
      <c r="AC294" s="319" t="b">
        <f aca="false">FALSE()</f>
        <v>0</v>
      </c>
      <c r="AD294" s="319" t="b">
        <f aca="false">FALSE()</f>
        <v>0</v>
      </c>
      <c r="AE294" s="319" t="b">
        <f aca="false">FALSE()</f>
        <v>0</v>
      </c>
      <c r="AF294" s="319" t="b">
        <f aca="false">FALSE()</f>
        <v>0</v>
      </c>
      <c r="AG294" s="6" t="s">
        <v>182</v>
      </c>
      <c r="AH294" s="6" t="s">
        <v>182</v>
      </c>
    </row>
    <row r="295" customFormat="false" ht="15.75" hidden="false" customHeight="false" outlineLevel="0" collapsed="false">
      <c r="A295" s="1" t="e">
        <f aca="false">#N/A</f>
        <v>#N/A</v>
      </c>
      <c r="B295" s="6" t="s">
        <v>967</v>
      </c>
      <c r="C295" s="3"/>
      <c r="D295" s="6" t="str">
        <f aca="false">I295   &amp; IF(ISBLANK(M295),, ". "&amp; M295 &amp; IF(ISBLANK(Q295),, ". "&amp; Q295))</f>
        <v>BodyPartsWeakDamage</v>
      </c>
      <c r="E295" s="6" t="str">
        <f aca="false">I295  &amp;": # on "&amp; L295  &amp; IF(ISBLANK(M295),, ". "&amp; M295 &amp;": # on "&amp; P295 &amp; IF(ISBLANK(Q295),, ". "&amp; Q295 &amp;": # on "&amp; T295))</f>
        <v>BodyPartsWeakDamage: # on Trainer</v>
      </c>
      <c r="F295" s="6" t="str">
        <f aca="false">IF(U295,"active pal",)  &amp; IF(V295,"working",) &amp; IF(W295,"mounted",) &amp; IF(Y295,"in party (buff)",)  &amp; IF(Z295,"always",)</f>
        <v>active pal</v>
      </c>
      <c r="G295" s="6" t="n">
        <v>1</v>
      </c>
      <c r="H295" s="6" t="s">
        <v>182</v>
      </c>
      <c r="I295" s="6" t="s">
        <v>2335</v>
      </c>
      <c r="J295" s="6" t="str">
        <f aca="false">IFERROR(__xludf.dummyfunction("IFS(I295=""ShotAttack"",""%"",I295=""MeleeAttack"",""%"", I295=""Defense"",""%"",I295=""CraftSPeed"",""%"",I295=""LifeSteal"",""%"",I295=""MaxInventoryWeight"",""+"",I295=""MoveSpeed"",""%"",REGEXMATCH(I295,""ElementAddItemDrop_""),""%"",I295=""Logging"","&amp;"""+"",I295=""Mining"",""+"",I295=""Maxhp"",""%"",REGEXMATCH(I295,""TemperatureResist_""),""+"",REGEXMATCH(I295,""ElementResist_""),""%"",REGEXMATCH(I295,""TemperatureInvalid_""),""bool"",REGEXMATCH(I295,""BodyPartsWeakDamage""),""%"",REGEXMATCH(I295,""Ele"&amp;"mentBoost_""),""%"",AND(REGEXMATCH(B295,""GiveA""),REGEXMATCH(I295,""Element"")),""bool"")"),"%")</f>
        <v>%</v>
      </c>
      <c r="K295" s="6" t="n">
        <v>32</v>
      </c>
      <c r="L295" s="6" t="s">
        <v>2034</v>
      </c>
      <c r="M295" s="6"/>
      <c r="N295" s="6" t="str">
        <f aca="false">IFERROR(__xludf.dummyfunction("IFS(M295=""ShotAttack"",""%"",M295=""MeleeAttack"",""%"", M295=""Defense"",""%"",M295=""CraftSPeed"",""%"",M295=""LifeSteal"",""%"",M295=""MaxInventoryWeight"",""+"",M295=""MoveSpeed"",""%"",REGEXMATCH(M295,""ElementAddItemDrop_""),""%"",M295=""Logging"","&amp;"""+"",M295=""Mining"",""+"",M295=""Maxhp"",""%"",REGEXMATCH(M295,""TemperatureResist_""),""+"",REGEXMATCH(M295,""ElementResist_""),""%"",REGEXMATCH(M295,""TemperatureInvalid_""),""bool"",REGEXMATCH(M295,""BodyPartsWeakDamage""),""%"",REGEXMATCH(M295,""Ele"&amp;"mentBoost_""),""%"",AND(REGEXMATCH(F295,""GiveA""),REGEXMATCH(M295,""Element"")),""bool"")"),"#N/A")</f>
        <v>#N/A</v>
      </c>
      <c r="O295" s="6" t="n">
        <v>0</v>
      </c>
      <c r="P295" s="6"/>
      <c r="Q295" s="6"/>
      <c r="R295" s="6" t="str">
        <f aca="false">IFERROR(__xludf.dummyfunction("IFS(Q295=""ShotAttack"",""%"",Q295=""MeleeAttack"",""%"", Q295=""Defense"",""%"",Q295=""CraftSPeed"",""%"",Q295=""LifeSteal"",""%"",Q295=""MaxInventoryWeight"",""+"",Q295=""MoveSpeed"",""%"",REGEXMATCH(Q295,""ElementAddItemDrop_""),""%"",Q295=""Logging"","&amp;"""+"",Q295=""Mining"",""+"",Q295=""Maxhp"",""%"",REGEXMATCH(Q295,""TemperatureResist_""),""+"",REGEXMATCH(Q295,""ElementResist_""),""%"",REGEXMATCH(Q295,""TemperatureInvalid_""),""bool"",REGEXMATCH(Q295,""BodyPartsWeakDamage""),""%"",REGEXMATCH(Q295,""Ele"&amp;"mentBoost_""),""%"",AND(REGEXMATCH(J295,""GiveA""),REGEXMATCH(Q295,""Element"")),""bool"")"),"#N/A")</f>
        <v>#N/A</v>
      </c>
      <c r="S295" s="6" t="n">
        <v>0</v>
      </c>
      <c r="T295" s="6"/>
      <c r="U295" s="319" t="b">
        <f aca="false">TRUE()</f>
        <v>1</v>
      </c>
      <c r="V295" s="319" t="b">
        <f aca="false">FALSE()</f>
        <v>0</v>
      </c>
      <c r="W295" s="319" t="b">
        <f aca="false">FALSE()</f>
        <v>0</v>
      </c>
      <c r="X295" s="319" t="b">
        <f aca="false">FALSE()</f>
        <v>0</v>
      </c>
      <c r="Y295" s="319" t="b">
        <f aca="false">FALSE()</f>
        <v>0</v>
      </c>
      <c r="Z295" s="319" t="b">
        <f aca="false">FALSE()</f>
        <v>0</v>
      </c>
      <c r="AA295" s="319" t="b">
        <f aca="false">FALSE()</f>
        <v>0</v>
      </c>
      <c r="AB295" s="319" t="b">
        <f aca="false">FALSE()</f>
        <v>0</v>
      </c>
      <c r="AC295" s="319" t="b">
        <f aca="false">FALSE()</f>
        <v>0</v>
      </c>
      <c r="AD295" s="319" t="b">
        <f aca="false">FALSE()</f>
        <v>0</v>
      </c>
      <c r="AE295" s="319" t="b">
        <f aca="false">FALSE()</f>
        <v>0</v>
      </c>
      <c r="AF295" s="319" t="b">
        <f aca="false">FALSE()</f>
        <v>0</v>
      </c>
      <c r="AG295" s="6" t="s">
        <v>182</v>
      </c>
      <c r="AH295" s="6" t="s">
        <v>182</v>
      </c>
    </row>
    <row r="296" customFormat="false" ht="15.75" hidden="false" customHeight="false" outlineLevel="0" collapsed="false">
      <c r="A296" s="1" t="e">
        <f aca="false">#N/A</f>
        <v>#N/A</v>
      </c>
      <c r="B296" s="6" t="s">
        <v>968</v>
      </c>
      <c r="C296" s="3"/>
      <c r="D296" s="6" t="str">
        <f aca="false">I296   &amp; IF(ISBLANK(M296),, ". "&amp; M296 &amp; IF(ISBLANK(Q296),, ". "&amp; Q296))</f>
        <v>BodyPartsWeakDamage</v>
      </c>
      <c r="E296" s="6" t="str">
        <f aca="false">I296  &amp;": # on "&amp; L296  &amp; IF(ISBLANK(M296),, ". "&amp; M296 &amp;": # on "&amp; P296 &amp; IF(ISBLANK(Q296),, ". "&amp; Q296 &amp;": # on "&amp; T296))</f>
        <v>BodyPartsWeakDamage: # on Trainer</v>
      </c>
      <c r="F296" s="6" t="str">
        <f aca="false">IF(U296,"active pal",)  &amp; IF(V296,"working",) &amp; IF(W296,"mounted",) &amp; IF(Y296,"in party (buff)",)  &amp; IF(Z296,"always",)</f>
        <v>active pal</v>
      </c>
      <c r="G296" s="6" t="n">
        <v>1</v>
      </c>
      <c r="H296" s="6" t="s">
        <v>182</v>
      </c>
      <c r="I296" s="6" t="s">
        <v>2335</v>
      </c>
      <c r="J296" s="6" t="str">
        <f aca="false">IFERROR(__xludf.dummyfunction("IFS(I296=""ShotAttack"",""%"",I296=""MeleeAttack"",""%"", I296=""Defense"",""%"",I296=""CraftSPeed"",""%"",I296=""LifeSteal"",""%"",I296=""MaxInventoryWeight"",""+"",I296=""MoveSpeed"",""%"",REGEXMATCH(I296,""ElementAddItemDrop_""),""%"",I296=""Logging"","&amp;"""+"",I296=""Mining"",""+"",I296=""Maxhp"",""%"",REGEXMATCH(I296,""TemperatureResist_""),""+"",REGEXMATCH(I296,""ElementResist_""),""%"",REGEXMATCH(I296,""TemperatureInvalid_""),""bool"",REGEXMATCH(I296,""BodyPartsWeakDamage""),""%"",REGEXMATCH(I296,""Ele"&amp;"mentBoost_""),""%"",AND(REGEXMATCH(B296,""GiveA""),REGEXMATCH(I296,""Element"")),""bool"")"),"%")</f>
        <v>%</v>
      </c>
      <c r="K296" s="6" t="n">
        <v>40</v>
      </c>
      <c r="L296" s="6" t="s">
        <v>2034</v>
      </c>
      <c r="M296" s="6"/>
      <c r="N296" s="6" t="str">
        <f aca="false">IFERROR(__xludf.dummyfunction("IFS(M296=""ShotAttack"",""%"",M296=""MeleeAttack"",""%"", M296=""Defense"",""%"",M296=""CraftSPeed"",""%"",M296=""LifeSteal"",""%"",M296=""MaxInventoryWeight"",""+"",M296=""MoveSpeed"",""%"",REGEXMATCH(M296,""ElementAddItemDrop_""),""%"",M296=""Logging"","&amp;"""+"",M296=""Mining"",""+"",M296=""Maxhp"",""%"",REGEXMATCH(M296,""TemperatureResist_""),""+"",REGEXMATCH(M296,""ElementResist_""),""%"",REGEXMATCH(M296,""TemperatureInvalid_""),""bool"",REGEXMATCH(M296,""BodyPartsWeakDamage""),""%"",REGEXMATCH(M296,""Ele"&amp;"mentBoost_""),""%"",AND(REGEXMATCH(F296,""GiveA""),REGEXMATCH(M296,""Element"")),""bool"")"),"#N/A")</f>
        <v>#N/A</v>
      </c>
      <c r="O296" s="6" t="n">
        <v>0</v>
      </c>
      <c r="P296" s="6"/>
      <c r="Q296" s="6"/>
      <c r="R296" s="6" t="str">
        <f aca="false">IFERROR(__xludf.dummyfunction("IFS(Q296=""ShotAttack"",""%"",Q296=""MeleeAttack"",""%"", Q296=""Defense"",""%"",Q296=""CraftSPeed"",""%"",Q296=""LifeSteal"",""%"",Q296=""MaxInventoryWeight"",""+"",Q296=""MoveSpeed"",""%"",REGEXMATCH(Q296,""ElementAddItemDrop_""),""%"",Q296=""Logging"","&amp;"""+"",Q296=""Mining"",""+"",Q296=""Maxhp"",""%"",REGEXMATCH(Q296,""TemperatureResist_""),""+"",REGEXMATCH(Q296,""ElementResist_""),""%"",REGEXMATCH(Q296,""TemperatureInvalid_""),""bool"",REGEXMATCH(Q296,""BodyPartsWeakDamage""),""%"",REGEXMATCH(Q296,""Ele"&amp;"mentBoost_""),""%"",AND(REGEXMATCH(J296,""GiveA""),REGEXMATCH(Q296,""Element"")),""bool"")"),"#N/A")</f>
        <v>#N/A</v>
      </c>
      <c r="S296" s="6" t="n">
        <v>0</v>
      </c>
      <c r="T296" s="6"/>
      <c r="U296" s="319" t="b">
        <f aca="false">TRUE()</f>
        <v>1</v>
      </c>
      <c r="V296" s="319" t="b">
        <f aca="false">FALSE()</f>
        <v>0</v>
      </c>
      <c r="W296" s="319" t="b">
        <f aca="false">FALSE()</f>
        <v>0</v>
      </c>
      <c r="X296" s="319" t="b">
        <f aca="false">FALSE()</f>
        <v>0</v>
      </c>
      <c r="Y296" s="319" t="b">
        <f aca="false">FALSE()</f>
        <v>0</v>
      </c>
      <c r="Z296" s="319" t="b">
        <f aca="false">FALSE()</f>
        <v>0</v>
      </c>
      <c r="AA296" s="319" t="b">
        <f aca="false">FALSE()</f>
        <v>0</v>
      </c>
      <c r="AB296" s="319" t="b">
        <f aca="false">FALSE()</f>
        <v>0</v>
      </c>
      <c r="AC296" s="319" t="b">
        <f aca="false">FALSE()</f>
        <v>0</v>
      </c>
      <c r="AD296" s="319" t="b">
        <f aca="false">FALSE()</f>
        <v>0</v>
      </c>
      <c r="AE296" s="319" t="b">
        <f aca="false">FALSE()</f>
        <v>0</v>
      </c>
      <c r="AF296" s="319" t="b">
        <f aca="false">FALSE()</f>
        <v>0</v>
      </c>
      <c r="AG296" s="6" t="s">
        <v>182</v>
      </c>
      <c r="AH296" s="6" t="s">
        <v>182</v>
      </c>
    </row>
    <row r="297" customFormat="false" ht="15.75" hidden="false" customHeight="false" outlineLevel="0" collapsed="false">
      <c r="A297" s="1" t="e">
        <f aca="false">#N/A</f>
        <v>#N/A</v>
      </c>
      <c r="B297" s="6" t="s">
        <v>980</v>
      </c>
      <c r="C297" s="3"/>
      <c r="D297" s="6" t="str">
        <f aca="false">I297   &amp; IF(ISBLANK(M297),, ". "&amp; M297 &amp; IF(ISBLANK(Q297),, ". "&amp; Q297))</f>
        <v>BodyPartsWeakDamage</v>
      </c>
      <c r="E297" s="6" t="str">
        <f aca="false">I297  &amp;": # on "&amp; L297  &amp; IF(ISBLANK(M297),, ". "&amp; M297 &amp;": # on "&amp; P297 &amp; IF(ISBLANK(Q297),, ". "&amp; Q297 &amp;": # on "&amp; T297))</f>
        <v>BodyPartsWeakDamage: # on Trainer</v>
      </c>
      <c r="F297" s="6" t="str">
        <f aca="false">IF(U297,"active pal",)  &amp; IF(V297,"working",) &amp; IF(W297,"mounted",) &amp; IF(Y297,"in party (buff)",)  &amp; IF(Z297,"always",)</f>
        <v>mounted</v>
      </c>
      <c r="G297" s="6" t="n">
        <v>1</v>
      </c>
      <c r="H297" s="6" t="s">
        <v>182</v>
      </c>
      <c r="I297" s="6" t="s">
        <v>2335</v>
      </c>
      <c r="J297" s="6" t="str">
        <f aca="false">IFERROR(__xludf.dummyfunction("IFS(I297=""ShotAttack"",""%"",I297=""MeleeAttack"",""%"", I297=""Defense"",""%"",I297=""CraftSPeed"",""%"",I297=""LifeSteal"",""%"",I297=""MaxInventoryWeight"",""+"",I297=""MoveSpeed"",""%"",REGEXMATCH(I297,""ElementAddItemDrop_""),""%"",I297=""Logging"","&amp;"""+"",I297=""Mining"",""+"",I297=""Maxhp"",""%"",REGEXMATCH(I297,""TemperatureResist_""),""+"",REGEXMATCH(I297,""ElementResist_""),""%"",REGEXMATCH(I297,""TemperatureInvalid_""),""bool"",REGEXMATCH(I297,""BodyPartsWeakDamage""),""%"",REGEXMATCH(I297,""Ele"&amp;"mentBoost_""),""%"",AND(REGEXMATCH(B297,""GiveA""),REGEXMATCH(I297,""Element"")),""bool"")"),"%")</f>
        <v>%</v>
      </c>
      <c r="K297" s="6" t="n">
        <v>20</v>
      </c>
      <c r="L297" s="6" t="s">
        <v>2034</v>
      </c>
      <c r="M297" s="6"/>
      <c r="N297" s="6" t="str">
        <f aca="false">IFERROR(__xludf.dummyfunction("IFS(M297=""ShotAttack"",""%"",M297=""MeleeAttack"",""%"", M297=""Defense"",""%"",M297=""CraftSPeed"",""%"",M297=""LifeSteal"",""%"",M297=""MaxInventoryWeight"",""+"",M297=""MoveSpeed"",""%"",REGEXMATCH(M297,""ElementAddItemDrop_""),""%"",M297=""Logging"","&amp;"""+"",M297=""Mining"",""+"",M297=""Maxhp"",""%"",REGEXMATCH(M297,""TemperatureResist_""),""+"",REGEXMATCH(M297,""ElementResist_""),""%"",REGEXMATCH(M297,""TemperatureInvalid_""),""bool"",REGEXMATCH(M297,""BodyPartsWeakDamage""),""%"",REGEXMATCH(M297,""Ele"&amp;"mentBoost_""),""%"",AND(REGEXMATCH(F297,""GiveA""),REGEXMATCH(M297,""Element"")),""bool"")"),"#N/A")</f>
        <v>#N/A</v>
      </c>
      <c r="O297" s="6" t="n">
        <v>0</v>
      </c>
      <c r="P297" s="6"/>
      <c r="Q297" s="6"/>
      <c r="R297" s="6" t="str">
        <f aca="false">IFERROR(__xludf.dummyfunction("IFS(Q297=""ShotAttack"",""%"",Q297=""MeleeAttack"",""%"", Q297=""Defense"",""%"",Q297=""CraftSPeed"",""%"",Q297=""LifeSteal"",""%"",Q297=""MaxInventoryWeight"",""+"",Q297=""MoveSpeed"",""%"",REGEXMATCH(Q297,""ElementAddItemDrop_""),""%"",Q297=""Logging"","&amp;"""+"",Q297=""Mining"",""+"",Q297=""Maxhp"",""%"",REGEXMATCH(Q297,""TemperatureResist_""),""+"",REGEXMATCH(Q297,""ElementResist_""),""%"",REGEXMATCH(Q297,""TemperatureInvalid_""),""bool"",REGEXMATCH(Q297,""BodyPartsWeakDamage""),""%"",REGEXMATCH(Q297,""Ele"&amp;"mentBoost_""),""%"",AND(REGEXMATCH(J297,""GiveA""),REGEXMATCH(Q297,""Element"")),""bool"")"),"#N/A")</f>
        <v>#N/A</v>
      </c>
      <c r="S297" s="6" t="n">
        <v>0</v>
      </c>
      <c r="T297" s="6"/>
      <c r="U297" s="319" t="b">
        <f aca="false">FALSE()</f>
        <v>0</v>
      </c>
      <c r="V297" s="319" t="b">
        <f aca="false">FALSE()</f>
        <v>0</v>
      </c>
      <c r="W297" s="319" t="b">
        <f aca="false">TRUE()</f>
        <v>1</v>
      </c>
      <c r="X297" s="319" t="b">
        <f aca="false">FALSE()</f>
        <v>0</v>
      </c>
      <c r="Y297" s="319" t="b">
        <f aca="false">FALSE()</f>
        <v>0</v>
      </c>
      <c r="Z297" s="319" t="b">
        <f aca="false">FALSE()</f>
        <v>0</v>
      </c>
      <c r="AA297" s="319" t="b">
        <f aca="false">FALSE()</f>
        <v>0</v>
      </c>
      <c r="AB297" s="319" t="b">
        <f aca="false">FALSE()</f>
        <v>0</v>
      </c>
      <c r="AC297" s="319" t="b">
        <f aca="false">FALSE()</f>
        <v>0</v>
      </c>
      <c r="AD297" s="319" t="b">
        <f aca="false">FALSE()</f>
        <v>0</v>
      </c>
      <c r="AE297" s="319" t="b">
        <f aca="false">FALSE()</f>
        <v>0</v>
      </c>
      <c r="AF297" s="319" t="b">
        <f aca="false">FALSE()</f>
        <v>0</v>
      </c>
      <c r="AG297" s="6" t="s">
        <v>182</v>
      </c>
      <c r="AH297" s="6" t="s">
        <v>182</v>
      </c>
    </row>
    <row r="298" customFormat="false" ht="15.75" hidden="false" customHeight="false" outlineLevel="0" collapsed="false">
      <c r="A298" s="1" t="e">
        <f aca="false">#N/A</f>
        <v>#N/A</v>
      </c>
      <c r="B298" s="6" t="s">
        <v>981</v>
      </c>
      <c r="C298" s="3"/>
      <c r="D298" s="6" t="str">
        <f aca="false">I298   &amp; IF(ISBLANK(M298),, ". "&amp; M298 &amp; IF(ISBLANK(Q298),, ". "&amp; Q298))</f>
        <v>BodyPartsWeakDamage</v>
      </c>
      <c r="E298" s="6" t="str">
        <f aca="false">I298  &amp;": # on "&amp; L298  &amp; IF(ISBLANK(M298),, ". "&amp; M298 &amp;": # on "&amp; P298 &amp; IF(ISBLANK(Q298),, ". "&amp; Q298 &amp;": # on "&amp; T298))</f>
        <v>BodyPartsWeakDamage: # on Trainer</v>
      </c>
      <c r="F298" s="6" t="str">
        <f aca="false">IF(U298,"active pal",)  &amp; IF(V298,"working",) &amp; IF(W298,"mounted",) &amp; IF(Y298,"in party (buff)",)  &amp; IF(Z298,"always",)</f>
        <v>mounted</v>
      </c>
      <c r="G298" s="6" t="n">
        <v>1</v>
      </c>
      <c r="H298" s="6" t="s">
        <v>182</v>
      </c>
      <c r="I298" s="6" t="s">
        <v>2335</v>
      </c>
      <c r="J298" s="6" t="str">
        <f aca="false">IFERROR(__xludf.dummyfunction("IFS(I298=""ShotAttack"",""%"",I298=""MeleeAttack"",""%"", I298=""Defense"",""%"",I298=""CraftSPeed"",""%"",I298=""LifeSteal"",""%"",I298=""MaxInventoryWeight"",""+"",I298=""MoveSpeed"",""%"",REGEXMATCH(I298,""ElementAddItemDrop_""),""%"",I298=""Logging"","&amp;"""+"",I298=""Mining"",""+"",I298=""Maxhp"",""%"",REGEXMATCH(I298,""TemperatureResist_""),""+"",REGEXMATCH(I298,""ElementResist_""),""%"",REGEXMATCH(I298,""TemperatureInvalid_""),""bool"",REGEXMATCH(I298,""BodyPartsWeakDamage""),""%"",REGEXMATCH(I298,""Ele"&amp;"mentBoost_""),""%"",AND(REGEXMATCH(B298,""GiveA""),REGEXMATCH(I298,""Element"")),""bool"")"),"%")</f>
        <v>%</v>
      </c>
      <c r="K298" s="6" t="n">
        <v>22</v>
      </c>
      <c r="L298" s="6" t="s">
        <v>2034</v>
      </c>
      <c r="M298" s="6"/>
      <c r="N298" s="6" t="str">
        <f aca="false">IFERROR(__xludf.dummyfunction("IFS(M298=""ShotAttack"",""%"",M298=""MeleeAttack"",""%"", M298=""Defense"",""%"",M298=""CraftSPeed"",""%"",M298=""LifeSteal"",""%"",M298=""MaxInventoryWeight"",""+"",M298=""MoveSpeed"",""%"",REGEXMATCH(M298,""ElementAddItemDrop_""),""%"",M298=""Logging"","&amp;"""+"",M298=""Mining"",""+"",M298=""Maxhp"",""%"",REGEXMATCH(M298,""TemperatureResist_""),""+"",REGEXMATCH(M298,""ElementResist_""),""%"",REGEXMATCH(M298,""TemperatureInvalid_""),""bool"",REGEXMATCH(M298,""BodyPartsWeakDamage""),""%"",REGEXMATCH(M298,""Ele"&amp;"mentBoost_""),""%"",AND(REGEXMATCH(F298,""GiveA""),REGEXMATCH(M298,""Element"")),""bool"")"),"#N/A")</f>
        <v>#N/A</v>
      </c>
      <c r="O298" s="6" t="n">
        <v>0</v>
      </c>
      <c r="P298" s="6"/>
      <c r="Q298" s="6"/>
      <c r="R298" s="6" t="str">
        <f aca="false">IFERROR(__xludf.dummyfunction("IFS(Q298=""ShotAttack"",""%"",Q298=""MeleeAttack"",""%"", Q298=""Defense"",""%"",Q298=""CraftSPeed"",""%"",Q298=""LifeSteal"",""%"",Q298=""MaxInventoryWeight"",""+"",Q298=""MoveSpeed"",""%"",REGEXMATCH(Q298,""ElementAddItemDrop_""),""%"",Q298=""Logging"","&amp;"""+"",Q298=""Mining"",""+"",Q298=""Maxhp"",""%"",REGEXMATCH(Q298,""TemperatureResist_""),""+"",REGEXMATCH(Q298,""ElementResist_""),""%"",REGEXMATCH(Q298,""TemperatureInvalid_""),""bool"",REGEXMATCH(Q298,""BodyPartsWeakDamage""),""%"",REGEXMATCH(Q298,""Ele"&amp;"mentBoost_""),""%"",AND(REGEXMATCH(J298,""GiveA""),REGEXMATCH(Q298,""Element"")),""bool"")"),"#N/A")</f>
        <v>#N/A</v>
      </c>
      <c r="S298" s="6" t="n">
        <v>0</v>
      </c>
      <c r="T298" s="6"/>
      <c r="U298" s="319" t="b">
        <f aca="false">FALSE()</f>
        <v>0</v>
      </c>
      <c r="V298" s="319" t="b">
        <f aca="false">FALSE()</f>
        <v>0</v>
      </c>
      <c r="W298" s="319" t="b">
        <f aca="false">TRUE()</f>
        <v>1</v>
      </c>
      <c r="X298" s="319" t="b">
        <f aca="false">FALSE()</f>
        <v>0</v>
      </c>
      <c r="Y298" s="319" t="b">
        <f aca="false">FALSE()</f>
        <v>0</v>
      </c>
      <c r="Z298" s="319" t="b">
        <f aca="false">FALSE()</f>
        <v>0</v>
      </c>
      <c r="AA298" s="319" t="b">
        <f aca="false">FALSE()</f>
        <v>0</v>
      </c>
      <c r="AB298" s="319" t="b">
        <f aca="false">FALSE()</f>
        <v>0</v>
      </c>
      <c r="AC298" s="319" t="b">
        <f aca="false">FALSE()</f>
        <v>0</v>
      </c>
      <c r="AD298" s="319" t="b">
        <f aca="false">FALSE()</f>
        <v>0</v>
      </c>
      <c r="AE298" s="319" t="b">
        <f aca="false">FALSE()</f>
        <v>0</v>
      </c>
      <c r="AF298" s="319" t="b">
        <f aca="false">FALSE()</f>
        <v>0</v>
      </c>
      <c r="AG298" s="6" t="s">
        <v>182</v>
      </c>
      <c r="AH298" s="6" t="s">
        <v>182</v>
      </c>
    </row>
    <row r="299" customFormat="false" ht="15.75" hidden="false" customHeight="false" outlineLevel="0" collapsed="false">
      <c r="A299" s="1" t="e">
        <f aca="false">#N/A</f>
        <v>#N/A</v>
      </c>
      <c r="B299" s="6" t="s">
        <v>982</v>
      </c>
      <c r="C299" s="3"/>
      <c r="D299" s="6" t="str">
        <f aca="false">I299   &amp; IF(ISBLANK(M299),, ". "&amp; M299 &amp; IF(ISBLANK(Q299),, ". "&amp; Q299))</f>
        <v>BodyPartsWeakDamage</v>
      </c>
      <c r="E299" s="6" t="str">
        <f aca="false">I299  &amp;": # on "&amp; L299  &amp; IF(ISBLANK(M299),, ". "&amp; M299 &amp;": # on "&amp; P299 &amp; IF(ISBLANK(Q299),, ". "&amp; Q299 &amp;": # on "&amp; T299))</f>
        <v>BodyPartsWeakDamage: # on Trainer</v>
      </c>
      <c r="F299" s="6" t="str">
        <f aca="false">IF(U299,"active pal",)  &amp; IF(V299,"working",) &amp; IF(W299,"mounted",) &amp; IF(Y299,"in party (buff)",)  &amp; IF(Z299,"always",)</f>
        <v>mounted</v>
      </c>
      <c r="G299" s="6" t="n">
        <v>1</v>
      </c>
      <c r="H299" s="6" t="s">
        <v>182</v>
      </c>
      <c r="I299" s="6" t="s">
        <v>2335</v>
      </c>
      <c r="J299" s="6" t="str">
        <f aca="false">IFERROR(__xludf.dummyfunction("IFS(I299=""ShotAttack"",""%"",I299=""MeleeAttack"",""%"", I299=""Defense"",""%"",I299=""CraftSPeed"",""%"",I299=""LifeSteal"",""%"",I299=""MaxInventoryWeight"",""+"",I299=""MoveSpeed"",""%"",REGEXMATCH(I299,""ElementAddItemDrop_""),""%"",I299=""Logging"","&amp;"""+"",I299=""Mining"",""+"",I299=""Maxhp"",""%"",REGEXMATCH(I299,""TemperatureResist_""),""+"",REGEXMATCH(I299,""ElementResist_""),""%"",REGEXMATCH(I299,""TemperatureInvalid_""),""bool"",REGEXMATCH(I299,""BodyPartsWeakDamage""),""%"",REGEXMATCH(I299,""Ele"&amp;"mentBoost_""),""%"",AND(REGEXMATCH(B299,""GiveA""),REGEXMATCH(I299,""Element"")),""bool"")"),"%")</f>
        <v>%</v>
      </c>
      <c r="K299" s="6" t="n">
        <v>26</v>
      </c>
      <c r="L299" s="6" t="s">
        <v>2034</v>
      </c>
      <c r="M299" s="6"/>
      <c r="N299" s="6" t="str">
        <f aca="false">IFERROR(__xludf.dummyfunction("IFS(M299=""ShotAttack"",""%"",M299=""MeleeAttack"",""%"", M299=""Defense"",""%"",M299=""CraftSPeed"",""%"",M299=""LifeSteal"",""%"",M299=""MaxInventoryWeight"",""+"",M299=""MoveSpeed"",""%"",REGEXMATCH(M299,""ElementAddItemDrop_""),""%"",M299=""Logging"","&amp;"""+"",M299=""Mining"",""+"",M299=""Maxhp"",""%"",REGEXMATCH(M299,""TemperatureResist_""),""+"",REGEXMATCH(M299,""ElementResist_""),""%"",REGEXMATCH(M299,""TemperatureInvalid_""),""bool"",REGEXMATCH(M299,""BodyPartsWeakDamage""),""%"",REGEXMATCH(M299,""Ele"&amp;"mentBoost_""),""%"",AND(REGEXMATCH(F299,""GiveA""),REGEXMATCH(M299,""Element"")),""bool"")"),"#N/A")</f>
        <v>#N/A</v>
      </c>
      <c r="O299" s="6" t="n">
        <v>0</v>
      </c>
      <c r="P299" s="6"/>
      <c r="Q299" s="6"/>
      <c r="R299" s="6" t="str">
        <f aca="false">IFERROR(__xludf.dummyfunction("IFS(Q299=""ShotAttack"",""%"",Q299=""MeleeAttack"",""%"", Q299=""Defense"",""%"",Q299=""CraftSPeed"",""%"",Q299=""LifeSteal"",""%"",Q299=""MaxInventoryWeight"",""+"",Q299=""MoveSpeed"",""%"",REGEXMATCH(Q299,""ElementAddItemDrop_""),""%"",Q299=""Logging"","&amp;"""+"",Q299=""Mining"",""+"",Q299=""Maxhp"",""%"",REGEXMATCH(Q299,""TemperatureResist_""),""+"",REGEXMATCH(Q299,""ElementResist_""),""%"",REGEXMATCH(Q299,""TemperatureInvalid_""),""bool"",REGEXMATCH(Q299,""BodyPartsWeakDamage""),""%"",REGEXMATCH(Q299,""Ele"&amp;"mentBoost_""),""%"",AND(REGEXMATCH(J299,""GiveA""),REGEXMATCH(Q299,""Element"")),""bool"")"),"#N/A")</f>
        <v>#N/A</v>
      </c>
      <c r="S299" s="6" t="n">
        <v>0</v>
      </c>
      <c r="T299" s="6"/>
      <c r="U299" s="319" t="b">
        <f aca="false">FALSE()</f>
        <v>0</v>
      </c>
      <c r="V299" s="319" t="b">
        <f aca="false">FALSE()</f>
        <v>0</v>
      </c>
      <c r="W299" s="319" t="b">
        <f aca="false">TRUE()</f>
        <v>1</v>
      </c>
      <c r="X299" s="319" t="b">
        <f aca="false">FALSE()</f>
        <v>0</v>
      </c>
      <c r="Y299" s="319" t="b">
        <f aca="false">FALSE()</f>
        <v>0</v>
      </c>
      <c r="Z299" s="319" t="b">
        <f aca="false">FALSE()</f>
        <v>0</v>
      </c>
      <c r="AA299" s="319" t="b">
        <f aca="false">FALSE()</f>
        <v>0</v>
      </c>
      <c r="AB299" s="319" t="b">
        <f aca="false">FALSE()</f>
        <v>0</v>
      </c>
      <c r="AC299" s="319" t="b">
        <f aca="false">FALSE()</f>
        <v>0</v>
      </c>
      <c r="AD299" s="319" t="b">
        <f aca="false">FALSE()</f>
        <v>0</v>
      </c>
      <c r="AE299" s="319" t="b">
        <f aca="false">FALSE()</f>
        <v>0</v>
      </c>
      <c r="AF299" s="319" t="b">
        <f aca="false">FALSE()</f>
        <v>0</v>
      </c>
      <c r="AG299" s="6" t="s">
        <v>182</v>
      </c>
      <c r="AH299" s="6" t="s">
        <v>182</v>
      </c>
    </row>
    <row r="300" customFormat="false" ht="15.75" hidden="false" customHeight="false" outlineLevel="0" collapsed="false">
      <c r="A300" s="1" t="e">
        <f aca="false">#N/A</f>
        <v>#N/A</v>
      </c>
      <c r="B300" s="6" t="s">
        <v>983</v>
      </c>
      <c r="C300" s="3"/>
      <c r="D300" s="6" t="str">
        <f aca="false">I300   &amp; IF(ISBLANK(M300),, ". "&amp; M300 &amp; IF(ISBLANK(Q300),, ". "&amp; Q300))</f>
        <v>BodyPartsWeakDamage</v>
      </c>
      <c r="E300" s="6" t="str">
        <f aca="false">I300  &amp;": # on "&amp; L300  &amp; IF(ISBLANK(M300),, ". "&amp; M300 &amp;": # on "&amp; P300 &amp; IF(ISBLANK(Q300),, ". "&amp; Q300 &amp;": # on "&amp; T300))</f>
        <v>BodyPartsWeakDamage: # on Trainer</v>
      </c>
      <c r="F300" s="6" t="str">
        <f aca="false">IF(U300,"active pal",)  &amp; IF(V300,"working",) &amp; IF(W300,"mounted",) &amp; IF(Y300,"in party (buff)",)  &amp; IF(Z300,"always",)</f>
        <v>mounted</v>
      </c>
      <c r="G300" s="6" t="n">
        <v>1</v>
      </c>
      <c r="H300" s="6" t="s">
        <v>182</v>
      </c>
      <c r="I300" s="6" t="s">
        <v>2335</v>
      </c>
      <c r="J300" s="6" t="str">
        <f aca="false">IFERROR(__xludf.dummyfunction("IFS(I300=""ShotAttack"",""%"",I300=""MeleeAttack"",""%"", I300=""Defense"",""%"",I300=""CraftSPeed"",""%"",I300=""LifeSteal"",""%"",I300=""MaxInventoryWeight"",""+"",I300=""MoveSpeed"",""%"",REGEXMATCH(I300,""ElementAddItemDrop_""),""%"",I300=""Logging"","&amp;"""+"",I300=""Mining"",""+"",I300=""Maxhp"",""%"",REGEXMATCH(I300,""TemperatureResist_""),""+"",REGEXMATCH(I300,""ElementResist_""),""%"",REGEXMATCH(I300,""TemperatureInvalid_""),""bool"",REGEXMATCH(I300,""BodyPartsWeakDamage""),""%"",REGEXMATCH(I300,""Ele"&amp;"mentBoost_""),""%"",AND(REGEXMATCH(B300,""GiveA""),REGEXMATCH(I300,""Element"")),""bool"")"),"%")</f>
        <v>%</v>
      </c>
      <c r="K300" s="6" t="n">
        <v>32</v>
      </c>
      <c r="L300" s="6" t="s">
        <v>2034</v>
      </c>
      <c r="M300" s="6"/>
      <c r="N300" s="6" t="str">
        <f aca="false">IFERROR(__xludf.dummyfunction("IFS(M300=""ShotAttack"",""%"",M300=""MeleeAttack"",""%"", M300=""Defense"",""%"",M300=""CraftSPeed"",""%"",M300=""LifeSteal"",""%"",M300=""MaxInventoryWeight"",""+"",M300=""MoveSpeed"",""%"",REGEXMATCH(M300,""ElementAddItemDrop_""),""%"",M300=""Logging"","&amp;"""+"",M300=""Mining"",""+"",M300=""Maxhp"",""%"",REGEXMATCH(M300,""TemperatureResist_""),""+"",REGEXMATCH(M300,""ElementResist_""),""%"",REGEXMATCH(M300,""TemperatureInvalid_""),""bool"",REGEXMATCH(M300,""BodyPartsWeakDamage""),""%"",REGEXMATCH(M300,""Ele"&amp;"mentBoost_""),""%"",AND(REGEXMATCH(F300,""GiveA""),REGEXMATCH(M300,""Element"")),""bool"")"),"#N/A")</f>
        <v>#N/A</v>
      </c>
      <c r="O300" s="6" t="n">
        <v>0</v>
      </c>
      <c r="P300" s="6"/>
      <c r="Q300" s="6"/>
      <c r="R300" s="6" t="str">
        <f aca="false">IFERROR(__xludf.dummyfunction("IFS(Q300=""ShotAttack"",""%"",Q300=""MeleeAttack"",""%"", Q300=""Defense"",""%"",Q300=""CraftSPeed"",""%"",Q300=""LifeSteal"",""%"",Q300=""MaxInventoryWeight"",""+"",Q300=""MoveSpeed"",""%"",REGEXMATCH(Q300,""ElementAddItemDrop_""),""%"",Q300=""Logging"","&amp;"""+"",Q300=""Mining"",""+"",Q300=""Maxhp"",""%"",REGEXMATCH(Q300,""TemperatureResist_""),""+"",REGEXMATCH(Q300,""ElementResist_""),""%"",REGEXMATCH(Q300,""TemperatureInvalid_""),""bool"",REGEXMATCH(Q300,""BodyPartsWeakDamage""),""%"",REGEXMATCH(Q300,""Ele"&amp;"mentBoost_""),""%"",AND(REGEXMATCH(J300,""GiveA""),REGEXMATCH(Q300,""Element"")),""bool"")"),"#N/A")</f>
        <v>#N/A</v>
      </c>
      <c r="S300" s="6" t="n">
        <v>0</v>
      </c>
      <c r="T300" s="6"/>
      <c r="U300" s="319" t="b">
        <f aca="false">FALSE()</f>
        <v>0</v>
      </c>
      <c r="V300" s="319" t="b">
        <f aca="false">FALSE()</f>
        <v>0</v>
      </c>
      <c r="W300" s="319" t="b">
        <f aca="false">TRUE()</f>
        <v>1</v>
      </c>
      <c r="X300" s="319" t="b">
        <f aca="false">FALSE()</f>
        <v>0</v>
      </c>
      <c r="Y300" s="319" t="b">
        <f aca="false">FALSE()</f>
        <v>0</v>
      </c>
      <c r="Z300" s="319" t="b">
        <f aca="false">FALSE()</f>
        <v>0</v>
      </c>
      <c r="AA300" s="319" t="b">
        <f aca="false">FALSE()</f>
        <v>0</v>
      </c>
      <c r="AB300" s="319" t="b">
        <f aca="false">FALSE()</f>
        <v>0</v>
      </c>
      <c r="AC300" s="319" t="b">
        <f aca="false">FALSE()</f>
        <v>0</v>
      </c>
      <c r="AD300" s="319" t="b">
        <f aca="false">FALSE()</f>
        <v>0</v>
      </c>
      <c r="AE300" s="319" t="b">
        <f aca="false">FALSE()</f>
        <v>0</v>
      </c>
      <c r="AF300" s="319" t="b">
        <f aca="false">FALSE()</f>
        <v>0</v>
      </c>
      <c r="AG300" s="6" t="s">
        <v>182</v>
      </c>
      <c r="AH300" s="6" t="s">
        <v>182</v>
      </c>
    </row>
    <row r="301" customFormat="false" ht="15.75" hidden="false" customHeight="false" outlineLevel="0" collapsed="false">
      <c r="A301" s="1" t="e">
        <f aca="false">#N/A</f>
        <v>#N/A</v>
      </c>
      <c r="B301" s="6" t="s">
        <v>984</v>
      </c>
      <c r="C301" s="3"/>
      <c r="D301" s="6" t="str">
        <f aca="false">I301   &amp; IF(ISBLANK(M301),, ". "&amp; M301 &amp; IF(ISBLANK(Q301),, ". "&amp; Q301))</f>
        <v>BodyPartsWeakDamage</v>
      </c>
      <c r="E301" s="6" t="str">
        <f aca="false">I301  &amp;": # on "&amp; L301  &amp; IF(ISBLANK(M301),, ". "&amp; M301 &amp;": # on "&amp; P301 &amp; IF(ISBLANK(Q301),, ". "&amp; Q301 &amp;": # on "&amp; T301))</f>
        <v>BodyPartsWeakDamage: # on Trainer</v>
      </c>
      <c r="F301" s="6" t="str">
        <f aca="false">IF(U301,"active pal",)  &amp; IF(V301,"working",) &amp; IF(W301,"mounted",) &amp; IF(Y301,"in party (buff)",)  &amp; IF(Z301,"always",)</f>
        <v>mounted</v>
      </c>
      <c r="G301" s="6" t="n">
        <v>1</v>
      </c>
      <c r="H301" s="6" t="s">
        <v>182</v>
      </c>
      <c r="I301" s="6" t="s">
        <v>2335</v>
      </c>
      <c r="J301" s="6" t="str">
        <f aca="false">IFERROR(__xludf.dummyfunction("IFS(I301=""ShotAttack"",""%"",I301=""MeleeAttack"",""%"", I301=""Defense"",""%"",I301=""CraftSPeed"",""%"",I301=""LifeSteal"",""%"",I301=""MaxInventoryWeight"",""+"",I301=""MoveSpeed"",""%"",REGEXMATCH(I301,""ElementAddItemDrop_""),""%"",I301=""Logging"","&amp;"""+"",I301=""Mining"",""+"",I301=""Maxhp"",""%"",REGEXMATCH(I301,""TemperatureResist_""),""+"",REGEXMATCH(I301,""ElementResist_""),""%"",REGEXMATCH(I301,""TemperatureInvalid_""),""bool"",REGEXMATCH(I301,""BodyPartsWeakDamage""),""%"",REGEXMATCH(I301,""Ele"&amp;"mentBoost_""),""%"",AND(REGEXMATCH(B301,""GiveA""),REGEXMATCH(I301,""Element"")),""bool"")"),"%")</f>
        <v>%</v>
      </c>
      <c r="K301" s="6" t="n">
        <v>40</v>
      </c>
      <c r="L301" s="6" t="s">
        <v>2034</v>
      </c>
      <c r="M301" s="6"/>
      <c r="N301" s="6" t="str">
        <f aca="false">IFERROR(__xludf.dummyfunction("IFS(M301=""ShotAttack"",""%"",M301=""MeleeAttack"",""%"", M301=""Defense"",""%"",M301=""CraftSPeed"",""%"",M301=""LifeSteal"",""%"",M301=""MaxInventoryWeight"",""+"",M301=""MoveSpeed"",""%"",REGEXMATCH(M301,""ElementAddItemDrop_""),""%"",M301=""Logging"","&amp;"""+"",M301=""Mining"",""+"",M301=""Maxhp"",""%"",REGEXMATCH(M301,""TemperatureResist_""),""+"",REGEXMATCH(M301,""ElementResist_""),""%"",REGEXMATCH(M301,""TemperatureInvalid_""),""bool"",REGEXMATCH(M301,""BodyPartsWeakDamage""),""%"",REGEXMATCH(M301,""Ele"&amp;"mentBoost_""),""%"",AND(REGEXMATCH(F301,""GiveA""),REGEXMATCH(M301,""Element"")),""bool"")"),"#N/A")</f>
        <v>#N/A</v>
      </c>
      <c r="O301" s="6" t="n">
        <v>0</v>
      </c>
      <c r="P301" s="6"/>
      <c r="Q301" s="6"/>
      <c r="R301" s="6" t="str">
        <f aca="false">IFERROR(__xludf.dummyfunction("IFS(Q301=""ShotAttack"",""%"",Q301=""MeleeAttack"",""%"", Q301=""Defense"",""%"",Q301=""CraftSPeed"",""%"",Q301=""LifeSteal"",""%"",Q301=""MaxInventoryWeight"",""+"",Q301=""MoveSpeed"",""%"",REGEXMATCH(Q301,""ElementAddItemDrop_""),""%"",Q301=""Logging"","&amp;"""+"",Q301=""Mining"",""+"",Q301=""Maxhp"",""%"",REGEXMATCH(Q301,""TemperatureResist_""),""+"",REGEXMATCH(Q301,""ElementResist_""),""%"",REGEXMATCH(Q301,""TemperatureInvalid_""),""bool"",REGEXMATCH(Q301,""BodyPartsWeakDamage""),""%"",REGEXMATCH(Q301,""Ele"&amp;"mentBoost_""),""%"",AND(REGEXMATCH(J301,""GiveA""),REGEXMATCH(Q301,""Element"")),""bool"")"),"#N/A")</f>
        <v>#N/A</v>
      </c>
      <c r="S301" s="6" t="n">
        <v>0</v>
      </c>
      <c r="T301" s="6"/>
      <c r="U301" s="319" t="b">
        <f aca="false">FALSE()</f>
        <v>0</v>
      </c>
      <c r="V301" s="319" t="b">
        <f aca="false">FALSE()</f>
        <v>0</v>
      </c>
      <c r="W301" s="319" t="b">
        <f aca="false">TRUE()</f>
        <v>1</v>
      </c>
      <c r="X301" s="319" t="b">
        <f aca="false">FALSE()</f>
        <v>0</v>
      </c>
      <c r="Y301" s="319" t="b">
        <f aca="false">FALSE()</f>
        <v>0</v>
      </c>
      <c r="Z301" s="319" t="b">
        <f aca="false">FALSE()</f>
        <v>0</v>
      </c>
      <c r="AA301" s="319" t="b">
        <f aca="false">FALSE()</f>
        <v>0</v>
      </c>
      <c r="AB301" s="319" t="b">
        <f aca="false">FALSE()</f>
        <v>0</v>
      </c>
      <c r="AC301" s="319" t="b">
        <f aca="false">FALSE()</f>
        <v>0</v>
      </c>
      <c r="AD301" s="319" t="b">
        <f aca="false">FALSE()</f>
        <v>0</v>
      </c>
      <c r="AE301" s="319" t="b">
        <f aca="false">FALSE()</f>
        <v>0</v>
      </c>
      <c r="AF301" s="319" t="b">
        <f aca="false">FALSE()</f>
        <v>0</v>
      </c>
      <c r="AG301" s="6" t="s">
        <v>182</v>
      </c>
      <c r="AH301" s="6" t="s">
        <v>182</v>
      </c>
    </row>
    <row r="302" customFormat="false" ht="15.75" hidden="false" customHeight="false" outlineLevel="0" collapsed="false">
      <c r="A302" s="1" t="e">
        <f aca="false">#N/A</f>
        <v>#N/A</v>
      </c>
      <c r="B302" s="6" t="s">
        <v>819</v>
      </c>
      <c r="C302" s="3"/>
      <c r="D302" s="6" t="str">
        <f aca="false">I302   &amp; IF(ISBLANK(M302),, ". "&amp; M302 &amp; IF(ISBLANK(Q302),, ". "&amp; Q302))</f>
        <v>MoveSpeed</v>
      </c>
      <c r="E302" s="6" t="str">
        <f aca="false">I302  &amp;": # on "&amp; L302  &amp; IF(ISBLANK(M302),, ". "&amp; M302 &amp;": # on "&amp; P302 &amp; IF(ISBLANK(Q302),, ". "&amp; Q302 &amp;": # on "&amp; T302))</f>
        <v>MoveSpeed: # on SelfAndTrainer</v>
      </c>
      <c r="F302" s="6" t="str">
        <f aca="false">IF(U302,"active pal",)  &amp; IF(V302,"working",) &amp; IF(W302,"mounted",) &amp; IF(Y302,"in party (buff)",)  &amp; IF(Z302,"always",)</f>
        <v>mounted</v>
      </c>
      <c r="G302" s="6" t="n">
        <v>1</v>
      </c>
      <c r="H302" s="6" t="s">
        <v>182</v>
      </c>
      <c r="I302" s="6" t="s">
        <v>2115</v>
      </c>
      <c r="J302" s="6" t="str">
        <f aca="false">IFERROR(__xludf.dummyfunction("IFS(I302=""ShotAttack"",""%"",I302=""MeleeAttack"",""%"", I302=""Defense"",""%"",I302=""CraftSPeed"",""%"",I302=""LifeSteal"",""%"",I302=""MaxInventoryWeight"",""+"",I302=""MoveSpeed"",""%"",REGEXMATCH(I302,""ElementAddItemDrop_""),""%"",I302=""Logging"","&amp;"""+"",I302=""Mining"",""+"",I302=""Maxhp"",""%"",REGEXMATCH(I302,""TemperatureResist_""),""+"",REGEXMATCH(I302,""ElementResist_""),""%"",REGEXMATCH(I302,""TemperatureInvalid_""),""bool"",REGEXMATCH(I302,""BodyPartsWeakDamage""),""%"",REGEXMATCH(I302,""Ele"&amp;"mentBoost_""),""%"",AND(REGEXMATCH(B302,""GiveA""),REGEXMATCH(I302,""Element"")),""bool"")"),"%")</f>
        <v>%</v>
      </c>
      <c r="K302" s="6" t="n">
        <v>10</v>
      </c>
      <c r="L302" s="6" t="s">
        <v>2085</v>
      </c>
      <c r="M302" s="6"/>
      <c r="N302" s="6" t="str">
        <f aca="false">IFERROR(__xludf.dummyfunction("IFS(M302=""ShotAttack"",""%"",M302=""MeleeAttack"",""%"", M302=""Defense"",""%"",M302=""CraftSPeed"",""%"",M302=""LifeSteal"",""%"",M302=""MaxInventoryWeight"",""+"",M302=""MoveSpeed"",""%"",REGEXMATCH(M302,""ElementAddItemDrop_""),""%"",M302=""Logging"","&amp;"""+"",M302=""Mining"",""+"",M302=""Maxhp"",""%"",REGEXMATCH(M302,""TemperatureResist_""),""+"",REGEXMATCH(M302,""ElementResist_""),""%"",REGEXMATCH(M302,""TemperatureInvalid_""),""bool"",REGEXMATCH(M302,""BodyPartsWeakDamage""),""%"",REGEXMATCH(M302,""Ele"&amp;"mentBoost_""),""%"",AND(REGEXMATCH(F302,""GiveA""),REGEXMATCH(M302,""Element"")),""bool"")"),"#N/A")</f>
        <v>#N/A</v>
      </c>
      <c r="O302" s="6" t="n">
        <v>0</v>
      </c>
      <c r="P302" s="6"/>
      <c r="Q302" s="6"/>
      <c r="R302" s="6" t="str">
        <f aca="false">IFERROR(__xludf.dummyfunction("IFS(Q302=""ShotAttack"",""%"",Q302=""MeleeAttack"",""%"", Q302=""Defense"",""%"",Q302=""CraftSPeed"",""%"",Q302=""LifeSteal"",""%"",Q302=""MaxInventoryWeight"",""+"",Q302=""MoveSpeed"",""%"",REGEXMATCH(Q302,""ElementAddItemDrop_""),""%"",Q302=""Logging"","&amp;"""+"",Q302=""Mining"",""+"",Q302=""Maxhp"",""%"",REGEXMATCH(Q302,""TemperatureResist_""),""+"",REGEXMATCH(Q302,""ElementResist_""),""%"",REGEXMATCH(Q302,""TemperatureInvalid_""),""bool"",REGEXMATCH(Q302,""BodyPartsWeakDamage""),""%"",REGEXMATCH(Q302,""Ele"&amp;"mentBoost_""),""%"",AND(REGEXMATCH(J302,""GiveA""),REGEXMATCH(Q302,""Element"")),""bool"")"),"#N/A")</f>
        <v>#N/A</v>
      </c>
      <c r="S302" s="6" t="n">
        <v>0</v>
      </c>
      <c r="T302" s="6"/>
      <c r="U302" s="319" t="b">
        <f aca="false">FALSE()</f>
        <v>0</v>
      </c>
      <c r="V302" s="319" t="b">
        <f aca="false">FALSE()</f>
        <v>0</v>
      </c>
      <c r="W302" s="319" t="b">
        <f aca="false">TRUE()</f>
        <v>1</v>
      </c>
      <c r="X302" s="319" t="b">
        <f aca="false">FALSE()</f>
        <v>0</v>
      </c>
      <c r="Y302" s="319" t="b">
        <f aca="false">FALSE()</f>
        <v>0</v>
      </c>
      <c r="Z302" s="319" t="b">
        <f aca="false">FALSE()</f>
        <v>0</v>
      </c>
      <c r="AA302" s="319" t="b">
        <f aca="false">FALSE()</f>
        <v>0</v>
      </c>
      <c r="AB302" s="319" t="b">
        <f aca="false">FALSE()</f>
        <v>0</v>
      </c>
      <c r="AC302" s="319" t="b">
        <f aca="false">FALSE()</f>
        <v>0</v>
      </c>
      <c r="AD302" s="319" t="b">
        <f aca="false">FALSE()</f>
        <v>0</v>
      </c>
      <c r="AE302" s="319" t="b">
        <f aca="false">FALSE()</f>
        <v>0</v>
      </c>
      <c r="AF302" s="319" t="b">
        <f aca="false">FALSE()</f>
        <v>0</v>
      </c>
      <c r="AG302" s="6" t="s">
        <v>182</v>
      </c>
      <c r="AH302" s="6" t="s">
        <v>182</v>
      </c>
    </row>
    <row r="303" customFormat="false" ht="15.75" hidden="false" customHeight="false" outlineLevel="0" collapsed="false">
      <c r="A303" s="1" t="e">
        <f aca="false">#N/A</f>
        <v>#N/A</v>
      </c>
      <c r="B303" s="6" t="s">
        <v>820</v>
      </c>
      <c r="C303" s="3"/>
      <c r="D303" s="6" t="str">
        <f aca="false">I303   &amp; IF(ISBLANK(M303),, ". "&amp; M303 &amp; IF(ISBLANK(Q303),, ". "&amp; Q303))</f>
        <v>MoveSpeed</v>
      </c>
      <c r="E303" s="6" t="str">
        <f aca="false">I303  &amp;": # on "&amp; L303  &amp; IF(ISBLANK(M303),, ". "&amp; M303 &amp;": # on "&amp; P303 &amp; IF(ISBLANK(Q303),, ". "&amp; Q303 &amp;": # on "&amp; T303))</f>
        <v>MoveSpeed: # on SelfAndTrainer</v>
      </c>
      <c r="F303" s="6" t="str">
        <f aca="false">IF(U303,"active pal",)  &amp; IF(V303,"working",) &amp; IF(W303,"mounted",) &amp; IF(Y303,"in party (buff)",)  &amp; IF(Z303,"always",)</f>
        <v>mounted</v>
      </c>
      <c r="G303" s="6" t="n">
        <v>1</v>
      </c>
      <c r="H303" s="6" t="s">
        <v>182</v>
      </c>
      <c r="I303" s="6" t="s">
        <v>2115</v>
      </c>
      <c r="J303" s="6" t="str">
        <f aca="false">IFERROR(__xludf.dummyfunction("IFS(I303=""ShotAttack"",""%"",I303=""MeleeAttack"",""%"", I303=""Defense"",""%"",I303=""CraftSPeed"",""%"",I303=""LifeSteal"",""%"",I303=""MaxInventoryWeight"",""+"",I303=""MoveSpeed"",""%"",REGEXMATCH(I303,""ElementAddItemDrop_""),""%"",I303=""Logging"","&amp;"""+"",I303=""Mining"",""+"",I303=""Maxhp"",""%"",REGEXMATCH(I303,""TemperatureResist_""),""+"",REGEXMATCH(I303,""ElementResist_""),""%"",REGEXMATCH(I303,""TemperatureInvalid_""),""bool"",REGEXMATCH(I303,""BodyPartsWeakDamage""),""%"",REGEXMATCH(I303,""Ele"&amp;"mentBoost_""),""%"",AND(REGEXMATCH(B303,""GiveA""),REGEXMATCH(I303,""Element"")),""bool"")"),"%")</f>
        <v>%</v>
      </c>
      <c r="K303" s="6" t="n">
        <v>12</v>
      </c>
      <c r="L303" s="6" t="s">
        <v>2085</v>
      </c>
      <c r="M303" s="6"/>
      <c r="N303" s="6" t="str">
        <f aca="false">IFERROR(__xludf.dummyfunction("IFS(M303=""ShotAttack"",""%"",M303=""MeleeAttack"",""%"", M303=""Defense"",""%"",M303=""CraftSPeed"",""%"",M303=""LifeSteal"",""%"",M303=""MaxInventoryWeight"",""+"",M303=""MoveSpeed"",""%"",REGEXMATCH(M303,""ElementAddItemDrop_""),""%"",M303=""Logging"","&amp;"""+"",M303=""Mining"",""+"",M303=""Maxhp"",""%"",REGEXMATCH(M303,""TemperatureResist_""),""+"",REGEXMATCH(M303,""ElementResist_""),""%"",REGEXMATCH(M303,""TemperatureInvalid_""),""bool"",REGEXMATCH(M303,""BodyPartsWeakDamage""),""%"",REGEXMATCH(M303,""Ele"&amp;"mentBoost_""),""%"",AND(REGEXMATCH(F303,""GiveA""),REGEXMATCH(M303,""Element"")),""bool"")"),"#N/A")</f>
        <v>#N/A</v>
      </c>
      <c r="O303" s="6" t="n">
        <v>0</v>
      </c>
      <c r="P303" s="6"/>
      <c r="Q303" s="6"/>
      <c r="R303" s="6" t="str">
        <f aca="false">IFERROR(__xludf.dummyfunction("IFS(Q303=""ShotAttack"",""%"",Q303=""MeleeAttack"",""%"", Q303=""Defense"",""%"",Q303=""CraftSPeed"",""%"",Q303=""LifeSteal"",""%"",Q303=""MaxInventoryWeight"",""+"",Q303=""MoveSpeed"",""%"",REGEXMATCH(Q303,""ElementAddItemDrop_""),""%"",Q303=""Logging"","&amp;"""+"",Q303=""Mining"",""+"",Q303=""Maxhp"",""%"",REGEXMATCH(Q303,""TemperatureResist_""),""+"",REGEXMATCH(Q303,""ElementResist_""),""%"",REGEXMATCH(Q303,""TemperatureInvalid_""),""bool"",REGEXMATCH(Q303,""BodyPartsWeakDamage""),""%"",REGEXMATCH(Q303,""Ele"&amp;"mentBoost_""),""%"",AND(REGEXMATCH(J303,""GiveA""),REGEXMATCH(Q303,""Element"")),""bool"")"),"#N/A")</f>
        <v>#N/A</v>
      </c>
      <c r="S303" s="6" t="n">
        <v>0</v>
      </c>
      <c r="T303" s="6"/>
      <c r="U303" s="319" t="b">
        <f aca="false">FALSE()</f>
        <v>0</v>
      </c>
      <c r="V303" s="319" t="b">
        <f aca="false">FALSE()</f>
        <v>0</v>
      </c>
      <c r="W303" s="319" t="b">
        <f aca="false">TRUE()</f>
        <v>1</v>
      </c>
      <c r="X303" s="319" t="b">
        <f aca="false">FALSE()</f>
        <v>0</v>
      </c>
      <c r="Y303" s="319" t="b">
        <f aca="false">FALSE()</f>
        <v>0</v>
      </c>
      <c r="Z303" s="319" t="b">
        <f aca="false">FALSE()</f>
        <v>0</v>
      </c>
      <c r="AA303" s="319" t="b">
        <f aca="false">FALSE()</f>
        <v>0</v>
      </c>
      <c r="AB303" s="319" t="b">
        <f aca="false">FALSE()</f>
        <v>0</v>
      </c>
      <c r="AC303" s="319" t="b">
        <f aca="false">FALSE()</f>
        <v>0</v>
      </c>
      <c r="AD303" s="319" t="b">
        <f aca="false">FALSE()</f>
        <v>0</v>
      </c>
      <c r="AE303" s="319" t="b">
        <f aca="false">FALSE()</f>
        <v>0</v>
      </c>
      <c r="AF303" s="319" t="b">
        <f aca="false">FALSE()</f>
        <v>0</v>
      </c>
      <c r="AG303" s="6" t="s">
        <v>182</v>
      </c>
      <c r="AH303" s="6" t="s">
        <v>182</v>
      </c>
    </row>
    <row r="304" customFormat="false" ht="15.75" hidden="false" customHeight="false" outlineLevel="0" collapsed="false">
      <c r="A304" s="1" t="e">
        <f aca="false">#N/A</f>
        <v>#N/A</v>
      </c>
      <c r="B304" s="6" t="s">
        <v>821</v>
      </c>
      <c r="C304" s="3"/>
      <c r="D304" s="6" t="str">
        <f aca="false">I304   &amp; IF(ISBLANK(M304),, ". "&amp; M304 &amp; IF(ISBLANK(Q304),, ". "&amp; Q304))</f>
        <v>MoveSpeed</v>
      </c>
      <c r="E304" s="6" t="str">
        <f aca="false">I304  &amp;": # on "&amp; L304  &amp; IF(ISBLANK(M304),, ". "&amp; M304 &amp;": # on "&amp; P304 &amp; IF(ISBLANK(Q304),, ". "&amp; Q304 &amp;": # on "&amp; T304))</f>
        <v>MoveSpeed: # on SelfAndTrainer</v>
      </c>
      <c r="F304" s="6" t="str">
        <f aca="false">IF(U304,"active pal",)  &amp; IF(V304,"working",) &amp; IF(W304,"mounted",) &amp; IF(Y304,"in party (buff)",)  &amp; IF(Z304,"always",)</f>
        <v>mounted</v>
      </c>
      <c r="G304" s="6" t="n">
        <v>1</v>
      </c>
      <c r="H304" s="6" t="s">
        <v>182</v>
      </c>
      <c r="I304" s="6" t="s">
        <v>2115</v>
      </c>
      <c r="J304" s="6" t="str">
        <f aca="false">IFERROR(__xludf.dummyfunction("IFS(I304=""ShotAttack"",""%"",I304=""MeleeAttack"",""%"", I304=""Defense"",""%"",I304=""CraftSPeed"",""%"",I304=""LifeSteal"",""%"",I304=""MaxInventoryWeight"",""+"",I304=""MoveSpeed"",""%"",REGEXMATCH(I304,""ElementAddItemDrop_""),""%"",I304=""Logging"","&amp;"""+"",I304=""Mining"",""+"",I304=""Maxhp"",""%"",REGEXMATCH(I304,""TemperatureResist_""),""+"",REGEXMATCH(I304,""ElementResist_""),""%"",REGEXMATCH(I304,""TemperatureInvalid_""),""bool"",REGEXMATCH(I304,""BodyPartsWeakDamage""),""%"",REGEXMATCH(I304,""Ele"&amp;"mentBoost_""),""%"",AND(REGEXMATCH(B304,""GiveA""),REGEXMATCH(I304,""Element"")),""bool"")"),"%")</f>
        <v>%</v>
      </c>
      <c r="K304" s="6" t="n">
        <v>15</v>
      </c>
      <c r="L304" s="6" t="s">
        <v>2085</v>
      </c>
      <c r="M304" s="6"/>
      <c r="N304" s="6" t="str">
        <f aca="false">IFERROR(__xludf.dummyfunction("IFS(M304=""ShotAttack"",""%"",M304=""MeleeAttack"",""%"", M304=""Defense"",""%"",M304=""CraftSPeed"",""%"",M304=""LifeSteal"",""%"",M304=""MaxInventoryWeight"",""+"",M304=""MoveSpeed"",""%"",REGEXMATCH(M304,""ElementAddItemDrop_""),""%"",M304=""Logging"","&amp;"""+"",M304=""Mining"",""+"",M304=""Maxhp"",""%"",REGEXMATCH(M304,""TemperatureResist_""),""+"",REGEXMATCH(M304,""ElementResist_""),""%"",REGEXMATCH(M304,""TemperatureInvalid_""),""bool"",REGEXMATCH(M304,""BodyPartsWeakDamage""),""%"",REGEXMATCH(M304,""Ele"&amp;"mentBoost_""),""%"",AND(REGEXMATCH(F304,""GiveA""),REGEXMATCH(M304,""Element"")),""bool"")"),"#N/A")</f>
        <v>#N/A</v>
      </c>
      <c r="O304" s="6" t="n">
        <v>0</v>
      </c>
      <c r="P304" s="6"/>
      <c r="Q304" s="6"/>
      <c r="R304" s="6" t="str">
        <f aca="false">IFERROR(__xludf.dummyfunction("IFS(Q304=""ShotAttack"",""%"",Q304=""MeleeAttack"",""%"", Q304=""Defense"",""%"",Q304=""CraftSPeed"",""%"",Q304=""LifeSteal"",""%"",Q304=""MaxInventoryWeight"",""+"",Q304=""MoveSpeed"",""%"",REGEXMATCH(Q304,""ElementAddItemDrop_""),""%"",Q304=""Logging"","&amp;"""+"",Q304=""Mining"",""+"",Q304=""Maxhp"",""%"",REGEXMATCH(Q304,""TemperatureResist_""),""+"",REGEXMATCH(Q304,""ElementResist_""),""%"",REGEXMATCH(Q304,""TemperatureInvalid_""),""bool"",REGEXMATCH(Q304,""BodyPartsWeakDamage""),""%"",REGEXMATCH(Q304,""Ele"&amp;"mentBoost_""),""%"",AND(REGEXMATCH(J304,""GiveA""),REGEXMATCH(Q304,""Element"")),""bool"")"),"#N/A")</f>
        <v>#N/A</v>
      </c>
      <c r="S304" s="6" t="n">
        <v>0</v>
      </c>
      <c r="T304" s="6"/>
      <c r="U304" s="319" t="b">
        <f aca="false">FALSE()</f>
        <v>0</v>
      </c>
      <c r="V304" s="319" t="b">
        <f aca="false">FALSE()</f>
        <v>0</v>
      </c>
      <c r="W304" s="319" t="b">
        <f aca="false">TRUE()</f>
        <v>1</v>
      </c>
      <c r="X304" s="319" t="b">
        <f aca="false">FALSE()</f>
        <v>0</v>
      </c>
      <c r="Y304" s="319" t="b">
        <f aca="false">FALSE()</f>
        <v>0</v>
      </c>
      <c r="Z304" s="319" t="b">
        <f aca="false">FALSE()</f>
        <v>0</v>
      </c>
      <c r="AA304" s="319" t="b">
        <f aca="false">FALSE()</f>
        <v>0</v>
      </c>
      <c r="AB304" s="319" t="b">
        <f aca="false">FALSE()</f>
        <v>0</v>
      </c>
      <c r="AC304" s="319" t="b">
        <f aca="false">FALSE()</f>
        <v>0</v>
      </c>
      <c r="AD304" s="319" t="b">
        <f aca="false">FALSE()</f>
        <v>0</v>
      </c>
      <c r="AE304" s="319" t="b">
        <f aca="false">FALSE()</f>
        <v>0</v>
      </c>
      <c r="AF304" s="319" t="b">
        <f aca="false">FALSE()</f>
        <v>0</v>
      </c>
      <c r="AG304" s="6" t="s">
        <v>182</v>
      </c>
      <c r="AH304" s="6" t="s">
        <v>182</v>
      </c>
    </row>
    <row r="305" customFormat="false" ht="15.75" hidden="false" customHeight="false" outlineLevel="0" collapsed="false">
      <c r="A305" s="1" t="e">
        <f aca="false">#N/A</f>
        <v>#N/A</v>
      </c>
      <c r="B305" s="6" t="s">
        <v>822</v>
      </c>
      <c r="C305" s="3"/>
      <c r="D305" s="6" t="str">
        <f aca="false">I305   &amp; IF(ISBLANK(M305),, ". "&amp; M305 &amp; IF(ISBLANK(Q305),, ". "&amp; Q305))</f>
        <v>MoveSpeed</v>
      </c>
      <c r="E305" s="6" t="str">
        <f aca="false">I305  &amp;": # on "&amp; L305  &amp; IF(ISBLANK(M305),, ". "&amp; M305 &amp;": # on "&amp; P305 &amp; IF(ISBLANK(Q305),, ". "&amp; Q305 &amp;": # on "&amp; T305))</f>
        <v>MoveSpeed: # on SelfAndTrainer</v>
      </c>
      <c r="F305" s="6" t="str">
        <f aca="false">IF(U305,"active pal",)  &amp; IF(V305,"working",) &amp; IF(W305,"mounted",) &amp; IF(Y305,"in party (buff)",)  &amp; IF(Z305,"always",)</f>
        <v>mounted</v>
      </c>
      <c r="G305" s="6" t="n">
        <v>1</v>
      </c>
      <c r="H305" s="6" t="s">
        <v>182</v>
      </c>
      <c r="I305" s="6" t="s">
        <v>2115</v>
      </c>
      <c r="J305" s="6" t="str">
        <f aca="false">IFERROR(__xludf.dummyfunction("IFS(I305=""ShotAttack"",""%"",I305=""MeleeAttack"",""%"", I305=""Defense"",""%"",I305=""CraftSPeed"",""%"",I305=""LifeSteal"",""%"",I305=""MaxInventoryWeight"",""+"",I305=""MoveSpeed"",""%"",REGEXMATCH(I305,""ElementAddItemDrop_""),""%"",I305=""Logging"","&amp;"""+"",I305=""Mining"",""+"",I305=""Maxhp"",""%"",REGEXMATCH(I305,""TemperatureResist_""),""+"",REGEXMATCH(I305,""ElementResist_""),""%"",REGEXMATCH(I305,""TemperatureInvalid_""),""bool"",REGEXMATCH(I305,""BodyPartsWeakDamage""),""%"",REGEXMATCH(I305,""Ele"&amp;"mentBoost_""),""%"",AND(REGEXMATCH(B305,""GiveA""),REGEXMATCH(I305,""Element"")),""bool"")"),"%")</f>
        <v>%</v>
      </c>
      <c r="K305" s="6" t="n">
        <v>20</v>
      </c>
      <c r="L305" s="6" t="s">
        <v>2085</v>
      </c>
      <c r="M305" s="6"/>
      <c r="N305" s="6" t="str">
        <f aca="false">IFERROR(__xludf.dummyfunction("IFS(M305=""ShotAttack"",""%"",M305=""MeleeAttack"",""%"", M305=""Defense"",""%"",M305=""CraftSPeed"",""%"",M305=""LifeSteal"",""%"",M305=""MaxInventoryWeight"",""+"",M305=""MoveSpeed"",""%"",REGEXMATCH(M305,""ElementAddItemDrop_""),""%"",M305=""Logging"","&amp;"""+"",M305=""Mining"",""+"",M305=""Maxhp"",""%"",REGEXMATCH(M305,""TemperatureResist_""),""+"",REGEXMATCH(M305,""ElementResist_""),""%"",REGEXMATCH(M305,""TemperatureInvalid_""),""bool"",REGEXMATCH(M305,""BodyPartsWeakDamage""),""%"",REGEXMATCH(M305,""Ele"&amp;"mentBoost_""),""%"",AND(REGEXMATCH(F305,""GiveA""),REGEXMATCH(M305,""Element"")),""bool"")"),"#N/A")</f>
        <v>#N/A</v>
      </c>
      <c r="O305" s="6" t="n">
        <v>0</v>
      </c>
      <c r="P305" s="6"/>
      <c r="Q305" s="6"/>
      <c r="R305" s="6" t="str">
        <f aca="false">IFERROR(__xludf.dummyfunction("IFS(Q305=""ShotAttack"",""%"",Q305=""MeleeAttack"",""%"", Q305=""Defense"",""%"",Q305=""CraftSPeed"",""%"",Q305=""LifeSteal"",""%"",Q305=""MaxInventoryWeight"",""+"",Q305=""MoveSpeed"",""%"",REGEXMATCH(Q305,""ElementAddItemDrop_""),""%"",Q305=""Logging"","&amp;"""+"",Q305=""Mining"",""+"",Q305=""Maxhp"",""%"",REGEXMATCH(Q305,""TemperatureResist_""),""+"",REGEXMATCH(Q305,""ElementResist_""),""%"",REGEXMATCH(Q305,""TemperatureInvalid_""),""bool"",REGEXMATCH(Q305,""BodyPartsWeakDamage""),""%"",REGEXMATCH(Q305,""Ele"&amp;"mentBoost_""),""%"",AND(REGEXMATCH(J305,""GiveA""),REGEXMATCH(Q305,""Element"")),""bool"")"),"#N/A")</f>
        <v>#N/A</v>
      </c>
      <c r="S305" s="6" t="n">
        <v>0</v>
      </c>
      <c r="T305" s="6"/>
      <c r="U305" s="319" t="b">
        <f aca="false">FALSE()</f>
        <v>0</v>
      </c>
      <c r="V305" s="319" t="b">
        <f aca="false">FALSE()</f>
        <v>0</v>
      </c>
      <c r="W305" s="319" t="b">
        <f aca="false">TRUE()</f>
        <v>1</v>
      </c>
      <c r="X305" s="319" t="b">
        <f aca="false">FALSE()</f>
        <v>0</v>
      </c>
      <c r="Y305" s="319" t="b">
        <f aca="false">FALSE()</f>
        <v>0</v>
      </c>
      <c r="Z305" s="319" t="b">
        <f aca="false">FALSE()</f>
        <v>0</v>
      </c>
      <c r="AA305" s="319" t="b">
        <f aca="false">FALSE()</f>
        <v>0</v>
      </c>
      <c r="AB305" s="319" t="b">
        <f aca="false">FALSE()</f>
        <v>0</v>
      </c>
      <c r="AC305" s="319" t="b">
        <f aca="false">FALSE()</f>
        <v>0</v>
      </c>
      <c r="AD305" s="319" t="b">
        <f aca="false">FALSE()</f>
        <v>0</v>
      </c>
      <c r="AE305" s="319" t="b">
        <f aca="false">FALSE()</f>
        <v>0</v>
      </c>
      <c r="AF305" s="319" t="b">
        <f aca="false">FALSE()</f>
        <v>0</v>
      </c>
      <c r="AG305" s="6" t="s">
        <v>182</v>
      </c>
      <c r="AH305" s="6" t="s">
        <v>182</v>
      </c>
    </row>
    <row r="306" customFormat="false" ht="15.75" hidden="false" customHeight="false" outlineLevel="0" collapsed="false">
      <c r="A306" s="1" t="e">
        <f aca="false">#N/A</f>
        <v>#N/A</v>
      </c>
      <c r="B306" s="6" t="s">
        <v>1170</v>
      </c>
      <c r="C306" s="3"/>
      <c r="D306" s="6" t="str">
        <f aca="false">I306   &amp; IF(ISBLANK(M306),, ". "&amp; M306 &amp; IF(ISBLANK(Q306),, ". "&amp; Q306))</f>
        <v>CraftSpeed</v>
      </c>
      <c r="E306" s="6" t="str">
        <f aca="false">I306  &amp;": # on "&amp; L306  &amp; IF(ISBLANK(M306),, ". "&amp; M306 &amp;": # on "&amp; P306 &amp; IF(ISBLANK(Q306),, ". "&amp; Q306 &amp;": # on "&amp; T306))</f>
        <v>CraftSpeed: # on Self</v>
      </c>
      <c r="F306" s="6" t="str">
        <f aca="false">IF(U306,"active pal",)  &amp; IF(V306,"working",) &amp; IF(W306,"mounted",) &amp; IF(Y306,"in party (buff)",)  &amp; IF(Z306,"always",)</f>
        <v>working</v>
      </c>
      <c r="G306" s="6" t="n">
        <v>1</v>
      </c>
      <c r="H306" s="6" t="s">
        <v>182</v>
      </c>
      <c r="I306" s="6" t="s">
        <v>661</v>
      </c>
      <c r="J306" s="6" t="str">
        <f aca="false">IFERROR(__xludf.dummyfunction("IFS(I306=""ShotAttack"",""%"",I306=""MeleeAttack"",""%"", I306=""Defense"",""%"",I306=""CraftSPeed"",""%"",I306=""LifeSteal"",""%"",I306=""MaxInventoryWeight"",""+"",I306=""MoveSpeed"",""%"",REGEXMATCH(I306,""ElementAddItemDrop_""),""%"",I306=""Logging"","&amp;"""+"",I306=""Mining"",""+"",I306=""Maxhp"",""%"",REGEXMATCH(I306,""TemperatureResist_""),""+"",REGEXMATCH(I306,""ElementResist_""),""%"",REGEXMATCH(I306,""TemperatureInvalid_""),""bool"",REGEXMATCH(I306,""BodyPartsWeakDamage""),""%"",REGEXMATCH(I306,""Ele"&amp;"mentBoost_""),""%"",AND(REGEXMATCH(B306,""GiveA""),REGEXMATCH(I306,""Element"")),""bool"")"),"%")</f>
        <v>%</v>
      </c>
      <c r="K306" s="6" t="n">
        <v>200</v>
      </c>
      <c r="L306" s="6" t="s">
        <v>1956</v>
      </c>
      <c r="M306" s="6"/>
      <c r="N306" s="6" t="str">
        <f aca="false">IFERROR(__xludf.dummyfunction("IFS(M306=""ShotAttack"",""%"",M306=""MeleeAttack"",""%"", M306=""Defense"",""%"",M306=""CraftSPeed"",""%"",M306=""LifeSteal"",""%"",M306=""MaxInventoryWeight"",""+"",M306=""MoveSpeed"",""%"",REGEXMATCH(M306,""ElementAddItemDrop_""),""%"",M306=""Logging"","&amp;"""+"",M306=""Mining"",""+"",M306=""Maxhp"",""%"",REGEXMATCH(M306,""TemperatureResist_""),""+"",REGEXMATCH(M306,""ElementResist_""),""%"",REGEXMATCH(M306,""TemperatureInvalid_""),""bool"",REGEXMATCH(M306,""BodyPartsWeakDamage""),""%"",REGEXMATCH(M306,""Ele"&amp;"mentBoost_""),""%"",AND(REGEXMATCH(F306,""GiveA""),REGEXMATCH(M306,""Element"")),""bool"")"),"#N/A")</f>
        <v>#N/A</v>
      </c>
      <c r="O306" s="6" t="n">
        <v>0</v>
      </c>
      <c r="P306" s="6"/>
      <c r="Q306" s="6"/>
      <c r="R306" s="6" t="str">
        <f aca="false">IFERROR(__xludf.dummyfunction("IFS(Q306=""ShotAttack"",""%"",Q306=""MeleeAttack"",""%"", Q306=""Defense"",""%"",Q306=""CraftSPeed"",""%"",Q306=""LifeSteal"",""%"",Q306=""MaxInventoryWeight"",""+"",Q306=""MoveSpeed"",""%"",REGEXMATCH(Q306,""ElementAddItemDrop_""),""%"",Q306=""Logging"","&amp;"""+"",Q306=""Mining"",""+"",Q306=""Maxhp"",""%"",REGEXMATCH(Q306,""TemperatureResist_""),""+"",REGEXMATCH(Q306,""ElementResist_""),""%"",REGEXMATCH(Q306,""TemperatureInvalid_""),""bool"",REGEXMATCH(Q306,""BodyPartsWeakDamage""),""%"",REGEXMATCH(Q306,""Ele"&amp;"mentBoost_""),""%"",AND(REGEXMATCH(J306,""GiveA""),REGEXMATCH(Q306,""Element"")),""bool"")"),"#N/A")</f>
        <v>#N/A</v>
      </c>
      <c r="S306" s="6" t="n">
        <v>0</v>
      </c>
      <c r="T306" s="6"/>
      <c r="U306" s="319" t="b">
        <f aca="false">FALSE()</f>
        <v>0</v>
      </c>
      <c r="V306" s="319" t="b">
        <f aca="false">TRUE()</f>
        <v>1</v>
      </c>
      <c r="W306" s="319" t="b">
        <f aca="false">FALSE()</f>
        <v>0</v>
      </c>
      <c r="X306" s="319" t="b">
        <f aca="false">FALSE()</f>
        <v>0</v>
      </c>
      <c r="Y306" s="319" t="b">
        <f aca="false">FALSE()</f>
        <v>0</v>
      </c>
      <c r="Z306" s="319" t="b">
        <f aca="false">FALSE()</f>
        <v>0</v>
      </c>
      <c r="AA306" s="319" t="b">
        <f aca="false">FALSE()</f>
        <v>0</v>
      </c>
      <c r="AB306" s="319" t="b">
        <f aca="false">FALSE()</f>
        <v>0</v>
      </c>
      <c r="AC306" s="319" t="b">
        <f aca="false">FALSE()</f>
        <v>0</v>
      </c>
      <c r="AD306" s="319" t="b">
        <f aca="false">FALSE()</f>
        <v>0</v>
      </c>
      <c r="AE306" s="319" t="b">
        <f aca="false">FALSE()</f>
        <v>0</v>
      </c>
      <c r="AF306" s="319" t="b">
        <f aca="false">FALSE()</f>
        <v>0</v>
      </c>
      <c r="AG306" s="6" t="s">
        <v>182</v>
      </c>
      <c r="AH306" s="6" t="s">
        <v>182</v>
      </c>
    </row>
    <row r="307" customFormat="false" ht="15.75" hidden="false" customHeight="false" outlineLevel="0" collapsed="false">
      <c r="A307" s="1" t="e">
        <f aca="false">#N/A</f>
        <v>#N/A</v>
      </c>
      <c r="B307" s="6" t="s">
        <v>1171</v>
      </c>
      <c r="C307" s="3"/>
      <c r="D307" s="6" t="str">
        <f aca="false">I307   &amp; IF(ISBLANK(M307),, ". "&amp; M307 &amp; IF(ISBLANK(Q307),, ". "&amp; Q307))</f>
        <v>CraftSpeed</v>
      </c>
      <c r="E307" s="6" t="str">
        <f aca="false">I307  &amp;": # on "&amp; L307  &amp; IF(ISBLANK(M307),, ". "&amp; M307 &amp;": # on "&amp; P307 &amp; IF(ISBLANK(Q307),, ". "&amp; Q307 &amp;": # on "&amp; T307))</f>
        <v>CraftSpeed: # on Self</v>
      </c>
      <c r="F307" s="6" t="str">
        <f aca="false">IF(U307,"active pal",)  &amp; IF(V307,"working",) &amp; IF(W307,"mounted",) &amp; IF(Y307,"in party (buff)",)  &amp; IF(Z307,"always",)</f>
        <v>working</v>
      </c>
      <c r="G307" s="6" t="n">
        <v>1</v>
      </c>
      <c r="H307" s="6" t="s">
        <v>182</v>
      </c>
      <c r="I307" s="6" t="s">
        <v>661</v>
      </c>
      <c r="J307" s="6" t="str">
        <f aca="false">IFERROR(__xludf.dummyfunction("IFS(I307=""ShotAttack"",""%"",I307=""MeleeAttack"",""%"", I307=""Defense"",""%"",I307=""CraftSPeed"",""%"",I307=""LifeSteal"",""%"",I307=""MaxInventoryWeight"",""+"",I307=""MoveSpeed"",""%"",REGEXMATCH(I307,""ElementAddItemDrop_""),""%"",I307=""Logging"","&amp;"""+"",I307=""Mining"",""+"",I307=""Maxhp"",""%"",REGEXMATCH(I307,""TemperatureResist_""),""+"",REGEXMATCH(I307,""ElementResist_""),""%"",REGEXMATCH(I307,""TemperatureInvalid_""),""bool"",REGEXMATCH(I307,""BodyPartsWeakDamage""),""%"",REGEXMATCH(I307,""Ele"&amp;"mentBoost_""),""%"",AND(REGEXMATCH(B307,""GiveA""),REGEXMATCH(I307,""Element"")),""bool"")"),"%")</f>
        <v>%</v>
      </c>
      <c r="K307" s="6" t="n">
        <v>220</v>
      </c>
      <c r="L307" s="6" t="s">
        <v>1956</v>
      </c>
      <c r="M307" s="6"/>
      <c r="N307" s="6" t="str">
        <f aca="false">IFERROR(__xludf.dummyfunction("IFS(M307=""ShotAttack"",""%"",M307=""MeleeAttack"",""%"", M307=""Defense"",""%"",M307=""CraftSPeed"",""%"",M307=""LifeSteal"",""%"",M307=""MaxInventoryWeight"",""+"",M307=""MoveSpeed"",""%"",REGEXMATCH(M307,""ElementAddItemDrop_""),""%"",M307=""Logging"","&amp;"""+"",M307=""Mining"",""+"",M307=""Maxhp"",""%"",REGEXMATCH(M307,""TemperatureResist_""),""+"",REGEXMATCH(M307,""ElementResist_""),""%"",REGEXMATCH(M307,""TemperatureInvalid_""),""bool"",REGEXMATCH(M307,""BodyPartsWeakDamage""),""%"",REGEXMATCH(M307,""Ele"&amp;"mentBoost_""),""%"",AND(REGEXMATCH(F307,""GiveA""),REGEXMATCH(M307,""Element"")),""bool"")"),"#N/A")</f>
        <v>#N/A</v>
      </c>
      <c r="O307" s="6" t="n">
        <v>0</v>
      </c>
      <c r="P307" s="6"/>
      <c r="Q307" s="6"/>
      <c r="R307" s="6" t="str">
        <f aca="false">IFERROR(__xludf.dummyfunction("IFS(Q307=""ShotAttack"",""%"",Q307=""MeleeAttack"",""%"", Q307=""Defense"",""%"",Q307=""CraftSPeed"",""%"",Q307=""LifeSteal"",""%"",Q307=""MaxInventoryWeight"",""+"",Q307=""MoveSpeed"",""%"",REGEXMATCH(Q307,""ElementAddItemDrop_""),""%"",Q307=""Logging"","&amp;"""+"",Q307=""Mining"",""+"",Q307=""Maxhp"",""%"",REGEXMATCH(Q307,""TemperatureResist_""),""+"",REGEXMATCH(Q307,""ElementResist_""),""%"",REGEXMATCH(Q307,""TemperatureInvalid_""),""bool"",REGEXMATCH(Q307,""BodyPartsWeakDamage""),""%"",REGEXMATCH(Q307,""Ele"&amp;"mentBoost_""),""%"",AND(REGEXMATCH(J307,""GiveA""),REGEXMATCH(Q307,""Element"")),""bool"")"),"#N/A")</f>
        <v>#N/A</v>
      </c>
      <c r="S307" s="6" t="n">
        <v>0</v>
      </c>
      <c r="T307" s="6"/>
      <c r="U307" s="319" t="b">
        <f aca="false">FALSE()</f>
        <v>0</v>
      </c>
      <c r="V307" s="319" t="b">
        <f aca="false">TRUE()</f>
        <v>1</v>
      </c>
      <c r="W307" s="319" t="b">
        <f aca="false">FALSE()</f>
        <v>0</v>
      </c>
      <c r="X307" s="319" t="b">
        <f aca="false">FALSE()</f>
        <v>0</v>
      </c>
      <c r="Y307" s="319" t="b">
        <f aca="false">FALSE()</f>
        <v>0</v>
      </c>
      <c r="Z307" s="319" t="b">
        <f aca="false">FALSE()</f>
        <v>0</v>
      </c>
      <c r="AA307" s="319" t="b">
        <f aca="false">FALSE()</f>
        <v>0</v>
      </c>
      <c r="AB307" s="319" t="b">
        <f aca="false">FALSE()</f>
        <v>0</v>
      </c>
      <c r="AC307" s="319" t="b">
        <f aca="false">FALSE()</f>
        <v>0</v>
      </c>
      <c r="AD307" s="319" t="b">
        <f aca="false">FALSE()</f>
        <v>0</v>
      </c>
      <c r="AE307" s="319" t="b">
        <f aca="false">FALSE()</f>
        <v>0</v>
      </c>
      <c r="AF307" s="319" t="b">
        <f aca="false">FALSE()</f>
        <v>0</v>
      </c>
      <c r="AG307" s="6" t="s">
        <v>182</v>
      </c>
      <c r="AH307" s="6" t="s">
        <v>182</v>
      </c>
    </row>
    <row r="308" customFormat="false" ht="15.75" hidden="false" customHeight="false" outlineLevel="0" collapsed="false">
      <c r="A308" s="1" t="e">
        <f aca="false">#N/A</f>
        <v>#N/A</v>
      </c>
      <c r="B308" s="6" t="s">
        <v>1172</v>
      </c>
      <c r="C308" s="3"/>
      <c r="D308" s="6" t="str">
        <f aca="false">I308   &amp; IF(ISBLANK(M308),, ". "&amp; M308 &amp; IF(ISBLANK(Q308),, ". "&amp; Q308))</f>
        <v>CraftSpeed</v>
      </c>
      <c r="E308" s="6" t="str">
        <f aca="false">I308  &amp;": # on "&amp; L308  &amp; IF(ISBLANK(M308),, ". "&amp; M308 &amp;": # on "&amp; P308 &amp; IF(ISBLANK(Q308),, ". "&amp; Q308 &amp;": # on "&amp; T308))</f>
        <v>CraftSpeed: # on Self</v>
      </c>
      <c r="F308" s="6" t="str">
        <f aca="false">IF(U308,"active pal",)  &amp; IF(V308,"working",) &amp; IF(W308,"mounted",) &amp; IF(Y308,"in party (buff)",)  &amp; IF(Z308,"always",)</f>
        <v>working</v>
      </c>
      <c r="G308" s="6" t="n">
        <v>1</v>
      </c>
      <c r="H308" s="6" t="s">
        <v>182</v>
      </c>
      <c r="I308" s="6" t="s">
        <v>661</v>
      </c>
      <c r="J308" s="6" t="str">
        <f aca="false">IFERROR(__xludf.dummyfunction("IFS(I308=""ShotAttack"",""%"",I308=""MeleeAttack"",""%"", I308=""Defense"",""%"",I308=""CraftSPeed"",""%"",I308=""LifeSteal"",""%"",I308=""MaxInventoryWeight"",""+"",I308=""MoveSpeed"",""%"",REGEXMATCH(I308,""ElementAddItemDrop_""),""%"",I308=""Logging"","&amp;"""+"",I308=""Mining"",""+"",I308=""Maxhp"",""%"",REGEXMATCH(I308,""TemperatureResist_""),""+"",REGEXMATCH(I308,""ElementResist_""),""%"",REGEXMATCH(I308,""TemperatureInvalid_""),""bool"",REGEXMATCH(I308,""BodyPartsWeakDamage""),""%"",REGEXMATCH(I308,""Ele"&amp;"mentBoost_""),""%"",AND(REGEXMATCH(B308,""GiveA""),REGEXMATCH(I308,""Element"")),""bool"")"),"%")</f>
        <v>%</v>
      </c>
      <c r="K308" s="6" t="n">
        <v>260</v>
      </c>
      <c r="L308" s="6" t="s">
        <v>1956</v>
      </c>
      <c r="M308" s="6"/>
      <c r="N308" s="6" t="str">
        <f aca="false">IFERROR(__xludf.dummyfunction("IFS(M308=""ShotAttack"",""%"",M308=""MeleeAttack"",""%"", M308=""Defense"",""%"",M308=""CraftSPeed"",""%"",M308=""LifeSteal"",""%"",M308=""MaxInventoryWeight"",""+"",M308=""MoveSpeed"",""%"",REGEXMATCH(M308,""ElementAddItemDrop_""),""%"",M308=""Logging"","&amp;"""+"",M308=""Mining"",""+"",M308=""Maxhp"",""%"",REGEXMATCH(M308,""TemperatureResist_""),""+"",REGEXMATCH(M308,""ElementResist_""),""%"",REGEXMATCH(M308,""TemperatureInvalid_""),""bool"",REGEXMATCH(M308,""BodyPartsWeakDamage""),""%"",REGEXMATCH(M308,""Ele"&amp;"mentBoost_""),""%"",AND(REGEXMATCH(F308,""GiveA""),REGEXMATCH(M308,""Element"")),""bool"")"),"#N/A")</f>
        <v>#N/A</v>
      </c>
      <c r="O308" s="6" t="n">
        <v>0</v>
      </c>
      <c r="P308" s="6"/>
      <c r="Q308" s="6"/>
      <c r="R308" s="6" t="str">
        <f aca="false">IFERROR(__xludf.dummyfunction("IFS(Q308=""ShotAttack"",""%"",Q308=""MeleeAttack"",""%"", Q308=""Defense"",""%"",Q308=""CraftSPeed"",""%"",Q308=""LifeSteal"",""%"",Q308=""MaxInventoryWeight"",""+"",Q308=""MoveSpeed"",""%"",REGEXMATCH(Q308,""ElementAddItemDrop_""),""%"",Q308=""Logging"","&amp;"""+"",Q308=""Mining"",""+"",Q308=""Maxhp"",""%"",REGEXMATCH(Q308,""TemperatureResist_""),""+"",REGEXMATCH(Q308,""ElementResist_""),""%"",REGEXMATCH(Q308,""TemperatureInvalid_""),""bool"",REGEXMATCH(Q308,""BodyPartsWeakDamage""),""%"",REGEXMATCH(Q308,""Ele"&amp;"mentBoost_""),""%"",AND(REGEXMATCH(J308,""GiveA""),REGEXMATCH(Q308,""Element"")),""bool"")"),"#N/A")</f>
        <v>#N/A</v>
      </c>
      <c r="S308" s="6" t="n">
        <v>0</v>
      </c>
      <c r="T308" s="6"/>
      <c r="U308" s="319" t="b">
        <f aca="false">FALSE()</f>
        <v>0</v>
      </c>
      <c r="V308" s="319" t="b">
        <f aca="false">TRUE()</f>
        <v>1</v>
      </c>
      <c r="W308" s="319" t="b">
        <f aca="false">FALSE()</f>
        <v>0</v>
      </c>
      <c r="X308" s="319" t="b">
        <f aca="false">FALSE()</f>
        <v>0</v>
      </c>
      <c r="Y308" s="319" t="b">
        <f aca="false">FALSE()</f>
        <v>0</v>
      </c>
      <c r="Z308" s="319" t="b">
        <f aca="false">FALSE()</f>
        <v>0</v>
      </c>
      <c r="AA308" s="319" t="b">
        <f aca="false">FALSE()</f>
        <v>0</v>
      </c>
      <c r="AB308" s="319" t="b">
        <f aca="false">FALSE()</f>
        <v>0</v>
      </c>
      <c r="AC308" s="319" t="b">
        <f aca="false">FALSE()</f>
        <v>0</v>
      </c>
      <c r="AD308" s="319" t="b">
        <f aca="false">FALSE()</f>
        <v>0</v>
      </c>
      <c r="AE308" s="319" t="b">
        <f aca="false">FALSE()</f>
        <v>0</v>
      </c>
      <c r="AF308" s="319" t="b">
        <f aca="false">FALSE()</f>
        <v>0</v>
      </c>
      <c r="AG308" s="6" t="s">
        <v>182</v>
      </c>
      <c r="AH308" s="6" t="s">
        <v>182</v>
      </c>
    </row>
    <row r="309" customFormat="false" ht="15.75" hidden="false" customHeight="false" outlineLevel="0" collapsed="false">
      <c r="A309" s="1" t="e">
        <f aca="false">#N/A</f>
        <v>#N/A</v>
      </c>
      <c r="B309" s="6" t="s">
        <v>1173</v>
      </c>
      <c r="C309" s="3"/>
      <c r="D309" s="6" t="str">
        <f aca="false">I309   &amp; IF(ISBLANK(M309),, ". "&amp; M309 &amp; IF(ISBLANK(Q309),, ". "&amp; Q309))</f>
        <v>CraftSpeed</v>
      </c>
      <c r="E309" s="6" t="str">
        <f aca="false">I309  &amp;": # on "&amp; L309  &amp; IF(ISBLANK(M309),, ". "&amp; M309 &amp;": # on "&amp; P309 &amp; IF(ISBLANK(Q309),, ". "&amp; Q309 &amp;": # on "&amp; T309))</f>
        <v>CraftSpeed: # on Self</v>
      </c>
      <c r="F309" s="6" t="str">
        <f aca="false">IF(U309,"active pal",)  &amp; IF(V309,"working",) &amp; IF(W309,"mounted",) &amp; IF(Y309,"in party (buff)",)  &amp; IF(Z309,"always",)</f>
        <v>working</v>
      </c>
      <c r="G309" s="6" t="n">
        <v>1</v>
      </c>
      <c r="H309" s="6" t="s">
        <v>182</v>
      </c>
      <c r="I309" s="6" t="s">
        <v>661</v>
      </c>
      <c r="J309" s="6" t="str">
        <f aca="false">IFERROR(__xludf.dummyfunction("IFS(I309=""ShotAttack"",""%"",I309=""MeleeAttack"",""%"", I309=""Defense"",""%"",I309=""CraftSPeed"",""%"",I309=""LifeSteal"",""%"",I309=""MaxInventoryWeight"",""+"",I309=""MoveSpeed"",""%"",REGEXMATCH(I309,""ElementAddItemDrop_""),""%"",I309=""Logging"","&amp;"""+"",I309=""Mining"",""+"",I309=""Maxhp"",""%"",REGEXMATCH(I309,""TemperatureResist_""),""+"",REGEXMATCH(I309,""ElementResist_""),""%"",REGEXMATCH(I309,""TemperatureInvalid_""),""bool"",REGEXMATCH(I309,""BodyPartsWeakDamage""),""%"",REGEXMATCH(I309,""Ele"&amp;"mentBoost_""),""%"",AND(REGEXMATCH(B309,""GiveA""),REGEXMATCH(I309,""Element"")),""bool"")"),"%")</f>
        <v>%</v>
      </c>
      <c r="K309" s="6" t="n">
        <v>320</v>
      </c>
      <c r="L309" s="6" t="s">
        <v>1956</v>
      </c>
      <c r="M309" s="6"/>
      <c r="N309" s="6" t="str">
        <f aca="false">IFERROR(__xludf.dummyfunction("IFS(M309=""ShotAttack"",""%"",M309=""MeleeAttack"",""%"", M309=""Defense"",""%"",M309=""CraftSPeed"",""%"",M309=""LifeSteal"",""%"",M309=""MaxInventoryWeight"",""+"",M309=""MoveSpeed"",""%"",REGEXMATCH(M309,""ElementAddItemDrop_""),""%"",M309=""Logging"","&amp;"""+"",M309=""Mining"",""+"",M309=""Maxhp"",""%"",REGEXMATCH(M309,""TemperatureResist_""),""+"",REGEXMATCH(M309,""ElementResist_""),""%"",REGEXMATCH(M309,""TemperatureInvalid_""),""bool"",REGEXMATCH(M309,""BodyPartsWeakDamage""),""%"",REGEXMATCH(M309,""Ele"&amp;"mentBoost_""),""%"",AND(REGEXMATCH(F309,""GiveA""),REGEXMATCH(M309,""Element"")),""bool"")"),"#N/A")</f>
        <v>#N/A</v>
      </c>
      <c r="O309" s="6" t="n">
        <v>0</v>
      </c>
      <c r="P309" s="6"/>
      <c r="Q309" s="6"/>
      <c r="R309" s="6" t="str">
        <f aca="false">IFERROR(__xludf.dummyfunction("IFS(Q309=""ShotAttack"",""%"",Q309=""MeleeAttack"",""%"", Q309=""Defense"",""%"",Q309=""CraftSPeed"",""%"",Q309=""LifeSteal"",""%"",Q309=""MaxInventoryWeight"",""+"",Q309=""MoveSpeed"",""%"",REGEXMATCH(Q309,""ElementAddItemDrop_""),""%"",Q309=""Logging"","&amp;"""+"",Q309=""Mining"",""+"",Q309=""Maxhp"",""%"",REGEXMATCH(Q309,""TemperatureResist_""),""+"",REGEXMATCH(Q309,""ElementResist_""),""%"",REGEXMATCH(Q309,""TemperatureInvalid_""),""bool"",REGEXMATCH(Q309,""BodyPartsWeakDamage""),""%"",REGEXMATCH(Q309,""Ele"&amp;"mentBoost_""),""%"",AND(REGEXMATCH(J309,""GiveA""),REGEXMATCH(Q309,""Element"")),""bool"")"),"#N/A")</f>
        <v>#N/A</v>
      </c>
      <c r="S309" s="6" t="n">
        <v>0</v>
      </c>
      <c r="T309" s="6"/>
      <c r="U309" s="319" t="b">
        <f aca="false">FALSE()</f>
        <v>0</v>
      </c>
      <c r="V309" s="319" t="b">
        <f aca="false">TRUE()</f>
        <v>1</v>
      </c>
      <c r="W309" s="319" t="b">
        <f aca="false">FALSE()</f>
        <v>0</v>
      </c>
      <c r="X309" s="319" t="b">
        <f aca="false">FALSE()</f>
        <v>0</v>
      </c>
      <c r="Y309" s="319" t="b">
        <f aca="false">FALSE()</f>
        <v>0</v>
      </c>
      <c r="Z309" s="319" t="b">
        <f aca="false">FALSE()</f>
        <v>0</v>
      </c>
      <c r="AA309" s="319" t="b">
        <f aca="false">FALSE()</f>
        <v>0</v>
      </c>
      <c r="AB309" s="319" t="b">
        <f aca="false">FALSE()</f>
        <v>0</v>
      </c>
      <c r="AC309" s="319" t="b">
        <f aca="false">FALSE()</f>
        <v>0</v>
      </c>
      <c r="AD309" s="319" t="b">
        <f aca="false">FALSE()</f>
        <v>0</v>
      </c>
      <c r="AE309" s="319" t="b">
        <f aca="false">FALSE()</f>
        <v>0</v>
      </c>
      <c r="AF309" s="319" t="b">
        <f aca="false">FALSE()</f>
        <v>0</v>
      </c>
      <c r="AG309" s="6" t="s">
        <v>182</v>
      </c>
      <c r="AH309" s="6" t="s">
        <v>182</v>
      </c>
    </row>
    <row r="310" customFormat="false" ht="15.75" hidden="false" customHeight="false" outlineLevel="0" collapsed="false">
      <c r="A310" s="1" t="e">
        <f aca="false">#N/A</f>
        <v>#N/A</v>
      </c>
      <c r="B310" s="6" t="s">
        <v>1174</v>
      </c>
      <c r="C310" s="3"/>
      <c r="D310" s="6" t="str">
        <f aca="false">I310   &amp; IF(ISBLANK(M310),, ". "&amp; M310 &amp; IF(ISBLANK(Q310),, ". "&amp; Q310))</f>
        <v>CraftSpeed</v>
      </c>
      <c r="E310" s="6" t="str">
        <f aca="false">I310  &amp;": # on "&amp; L310  &amp; IF(ISBLANK(M310),, ". "&amp; M310 &amp;": # on "&amp; P310 &amp; IF(ISBLANK(Q310),, ". "&amp; Q310 &amp;": # on "&amp; T310))</f>
        <v>CraftSpeed: # on Self</v>
      </c>
      <c r="F310" s="6" t="str">
        <f aca="false">IF(U310,"active pal",)  &amp; IF(V310,"working",) &amp; IF(W310,"mounted",) &amp; IF(Y310,"in party (buff)",)  &amp; IF(Z310,"always",)</f>
        <v>working</v>
      </c>
      <c r="G310" s="6" t="n">
        <v>1</v>
      </c>
      <c r="H310" s="6" t="s">
        <v>182</v>
      </c>
      <c r="I310" s="6" t="s">
        <v>661</v>
      </c>
      <c r="J310" s="6" t="str">
        <f aca="false">IFERROR(__xludf.dummyfunction("IFS(I310=""ShotAttack"",""%"",I310=""MeleeAttack"",""%"", I310=""Defense"",""%"",I310=""CraftSPeed"",""%"",I310=""LifeSteal"",""%"",I310=""MaxInventoryWeight"",""+"",I310=""MoveSpeed"",""%"",REGEXMATCH(I310,""ElementAddItemDrop_""),""%"",I310=""Logging"","&amp;"""+"",I310=""Mining"",""+"",I310=""Maxhp"",""%"",REGEXMATCH(I310,""TemperatureResist_""),""+"",REGEXMATCH(I310,""ElementResist_""),""%"",REGEXMATCH(I310,""TemperatureInvalid_""),""bool"",REGEXMATCH(I310,""BodyPartsWeakDamage""),""%"",REGEXMATCH(I310,""Ele"&amp;"mentBoost_""),""%"",AND(REGEXMATCH(B310,""GiveA""),REGEXMATCH(I310,""Element"")),""bool"")"),"%")</f>
        <v>%</v>
      </c>
      <c r="K310" s="6" t="n">
        <v>400</v>
      </c>
      <c r="L310" s="6" t="s">
        <v>1956</v>
      </c>
      <c r="M310" s="6"/>
      <c r="N310" s="6" t="str">
        <f aca="false">IFERROR(__xludf.dummyfunction("IFS(M310=""ShotAttack"",""%"",M310=""MeleeAttack"",""%"", M310=""Defense"",""%"",M310=""CraftSPeed"",""%"",M310=""LifeSteal"",""%"",M310=""MaxInventoryWeight"",""+"",M310=""MoveSpeed"",""%"",REGEXMATCH(M310,""ElementAddItemDrop_""),""%"",M310=""Logging"","&amp;"""+"",M310=""Mining"",""+"",M310=""Maxhp"",""%"",REGEXMATCH(M310,""TemperatureResist_""),""+"",REGEXMATCH(M310,""ElementResist_""),""%"",REGEXMATCH(M310,""TemperatureInvalid_""),""bool"",REGEXMATCH(M310,""BodyPartsWeakDamage""),""%"",REGEXMATCH(M310,""Ele"&amp;"mentBoost_""),""%"",AND(REGEXMATCH(F310,""GiveA""),REGEXMATCH(M310,""Element"")),""bool"")"),"#N/A")</f>
        <v>#N/A</v>
      </c>
      <c r="O310" s="6" t="n">
        <v>0</v>
      </c>
      <c r="P310" s="6"/>
      <c r="Q310" s="6"/>
      <c r="R310" s="6" t="str">
        <f aca="false">IFERROR(__xludf.dummyfunction("IFS(Q310=""ShotAttack"",""%"",Q310=""MeleeAttack"",""%"", Q310=""Defense"",""%"",Q310=""CraftSPeed"",""%"",Q310=""LifeSteal"",""%"",Q310=""MaxInventoryWeight"",""+"",Q310=""MoveSpeed"",""%"",REGEXMATCH(Q310,""ElementAddItemDrop_""),""%"",Q310=""Logging"","&amp;"""+"",Q310=""Mining"",""+"",Q310=""Maxhp"",""%"",REGEXMATCH(Q310,""TemperatureResist_""),""+"",REGEXMATCH(Q310,""ElementResist_""),""%"",REGEXMATCH(Q310,""TemperatureInvalid_""),""bool"",REGEXMATCH(Q310,""BodyPartsWeakDamage""),""%"",REGEXMATCH(Q310,""Ele"&amp;"mentBoost_""),""%"",AND(REGEXMATCH(J310,""GiveA""),REGEXMATCH(Q310,""Element"")),""bool"")"),"#N/A")</f>
        <v>#N/A</v>
      </c>
      <c r="S310" s="6" t="n">
        <v>0</v>
      </c>
      <c r="T310" s="6"/>
      <c r="U310" s="319" t="b">
        <f aca="false">FALSE()</f>
        <v>0</v>
      </c>
      <c r="V310" s="319" t="b">
        <f aca="false">TRUE()</f>
        <v>1</v>
      </c>
      <c r="W310" s="319" t="b">
        <f aca="false">FALSE()</f>
        <v>0</v>
      </c>
      <c r="X310" s="319" t="b">
        <f aca="false">FALSE()</f>
        <v>0</v>
      </c>
      <c r="Y310" s="319" t="b">
        <f aca="false">FALSE()</f>
        <v>0</v>
      </c>
      <c r="Z310" s="319" t="b">
        <f aca="false">FALSE()</f>
        <v>0</v>
      </c>
      <c r="AA310" s="319" t="b">
        <f aca="false">FALSE()</f>
        <v>0</v>
      </c>
      <c r="AB310" s="319" t="b">
        <f aca="false">FALSE()</f>
        <v>0</v>
      </c>
      <c r="AC310" s="319" t="b">
        <f aca="false">FALSE()</f>
        <v>0</v>
      </c>
      <c r="AD310" s="319" t="b">
        <f aca="false">FALSE()</f>
        <v>0</v>
      </c>
      <c r="AE310" s="319" t="b">
        <f aca="false">FALSE()</f>
        <v>0</v>
      </c>
      <c r="AF310" s="319" t="b">
        <f aca="false">FALSE()</f>
        <v>0</v>
      </c>
      <c r="AG310" s="6" t="s">
        <v>182</v>
      </c>
      <c r="AH310" s="6" t="s">
        <v>182</v>
      </c>
    </row>
    <row r="311" customFormat="false" ht="15.75" hidden="false" customHeight="false" outlineLevel="0" collapsed="false">
      <c r="A311" s="1" t="e">
        <f aca="false">#N/A</f>
        <v>#N/A</v>
      </c>
      <c r="B311" s="6" t="s">
        <v>868</v>
      </c>
      <c r="C311" s="3"/>
      <c r="D311" s="6" t="str">
        <f aca="false">I311   &amp; IF(ISBLANK(M311),, ". "&amp; M311 &amp; IF(ISBLANK(Q311),, ". "&amp; Q311))</f>
        <v>ShotAttack</v>
      </c>
      <c r="E311" s="6" t="str">
        <f aca="false">I311  &amp;": # on "&amp; L311  &amp; IF(ISBLANK(M311),, ". "&amp; M311 &amp;": # on "&amp; P311 &amp; IF(ISBLANK(Q311),, ". "&amp; Q311 &amp;": # on "&amp; T311))</f>
        <v>ShotAttack: # on Trainer</v>
      </c>
      <c r="F311" s="6" t="str">
        <f aca="false">IF(U311,"active pal",)  &amp; IF(V311,"working",) &amp; IF(W311,"mounted",) &amp; IF(Y311,"in party (buff)",)  &amp; IF(Z311,"always",)</f>
        <v>always</v>
      </c>
      <c r="G311" s="6" t="n">
        <v>1</v>
      </c>
      <c r="H311" s="6" t="s">
        <v>182</v>
      </c>
      <c r="I311" s="6" t="s">
        <v>659</v>
      </c>
      <c r="J311" s="6" t="str">
        <f aca="false">IFERROR(__xludf.dummyfunction("IFS(I311=""ShotAttack"",""%"",I311=""MeleeAttack"",""%"", I311=""Defense"",""%"",I311=""CraftSPeed"",""%"",I311=""LifeSteal"",""%"",I311=""MaxInventoryWeight"",""+"",I311=""MoveSpeed"",""%"",REGEXMATCH(I311,""ElementAddItemDrop_""),""%"",I311=""Logging"","&amp;"""+"",I311=""Mining"",""+"",I311=""Maxhp"",""%"",REGEXMATCH(I311,""TemperatureResist_""),""+"",REGEXMATCH(I311,""ElementResist_""),""%"",REGEXMATCH(I311,""TemperatureInvalid_""),""bool"",REGEXMATCH(I311,""BodyPartsWeakDamage""),""%"",REGEXMATCH(I311,""Ele"&amp;"mentBoost_""),""%"",AND(REGEXMATCH(B311,""GiveA""),REGEXMATCH(I311,""Element"")),""bool"")"),"%")</f>
        <v>%</v>
      </c>
      <c r="K311" s="6" t="n">
        <v>10</v>
      </c>
      <c r="L311" s="6" t="s">
        <v>2034</v>
      </c>
      <c r="M311" s="6"/>
      <c r="N311" s="6" t="str">
        <f aca="false">IFERROR(__xludf.dummyfunction("IFS(M311=""ShotAttack"",""%"",M311=""MeleeAttack"",""%"", M311=""Defense"",""%"",M311=""CraftSPeed"",""%"",M311=""LifeSteal"",""%"",M311=""MaxInventoryWeight"",""+"",M311=""MoveSpeed"",""%"",REGEXMATCH(M311,""ElementAddItemDrop_""),""%"",M311=""Logging"","&amp;"""+"",M311=""Mining"",""+"",M311=""Maxhp"",""%"",REGEXMATCH(M311,""TemperatureResist_""),""+"",REGEXMATCH(M311,""ElementResist_""),""%"",REGEXMATCH(M311,""TemperatureInvalid_""),""bool"",REGEXMATCH(M311,""BodyPartsWeakDamage""),""%"",REGEXMATCH(M311,""Ele"&amp;"mentBoost_""),""%"",AND(REGEXMATCH(F311,""GiveA""),REGEXMATCH(M311,""Element"")),""bool"")"),"#N/A")</f>
        <v>#N/A</v>
      </c>
      <c r="O311" s="6" t="n">
        <v>0</v>
      </c>
      <c r="P311" s="6"/>
      <c r="Q311" s="6"/>
      <c r="R311" s="6" t="str">
        <f aca="false">IFERROR(__xludf.dummyfunction("IFS(Q311=""ShotAttack"",""%"",Q311=""MeleeAttack"",""%"", Q311=""Defense"",""%"",Q311=""CraftSPeed"",""%"",Q311=""LifeSteal"",""%"",Q311=""MaxInventoryWeight"",""+"",Q311=""MoveSpeed"",""%"",REGEXMATCH(Q311,""ElementAddItemDrop_""),""%"",Q311=""Logging"","&amp;"""+"",Q311=""Mining"",""+"",Q311=""Maxhp"",""%"",REGEXMATCH(Q311,""TemperatureResist_""),""+"",REGEXMATCH(Q311,""ElementResist_""),""%"",REGEXMATCH(Q311,""TemperatureInvalid_""),""bool"",REGEXMATCH(Q311,""BodyPartsWeakDamage""),""%"",REGEXMATCH(Q311,""Ele"&amp;"mentBoost_""),""%"",AND(REGEXMATCH(J311,""GiveA""),REGEXMATCH(Q311,""Element"")),""bool"")"),"#N/A")</f>
        <v>#N/A</v>
      </c>
      <c r="S311" s="6" t="n">
        <v>0</v>
      </c>
      <c r="T311" s="6"/>
      <c r="U311" s="319" t="b">
        <f aca="false">FALSE()</f>
        <v>0</v>
      </c>
      <c r="V311" s="319" t="b">
        <f aca="false">FALSE()</f>
        <v>0</v>
      </c>
      <c r="W311" s="319" t="b">
        <f aca="false">FALSE()</f>
        <v>0</v>
      </c>
      <c r="X311" s="319" t="b">
        <f aca="false">FALSE()</f>
        <v>0</v>
      </c>
      <c r="Y311" s="319" t="b">
        <f aca="false">FALSE()</f>
        <v>0</v>
      </c>
      <c r="Z311" s="319" t="b">
        <f aca="false">TRUE()</f>
        <v>1</v>
      </c>
      <c r="AA311" s="319" t="b">
        <f aca="false">FALSE()</f>
        <v>0</v>
      </c>
      <c r="AB311" s="319" t="b">
        <f aca="false">FALSE()</f>
        <v>0</v>
      </c>
      <c r="AC311" s="319" t="b">
        <f aca="false">FALSE()</f>
        <v>0</v>
      </c>
      <c r="AD311" s="319" t="b">
        <f aca="false">FALSE()</f>
        <v>0</v>
      </c>
      <c r="AE311" s="319" t="b">
        <f aca="false">FALSE()</f>
        <v>0</v>
      </c>
      <c r="AF311" s="319" t="b">
        <f aca="false">FALSE()</f>
        <v>0</v>
      </c>
      <c r="AG311" s="6" t="s">
        <v>182</v>
      </c>
      <c r="AH311" s="6" t="s">
        <v>182</v>
      </c>
    </row>
    <row r="312" customFormat="false" ht="15.75" hidden="false" customHeight="false" outlineLevel="0" collapsed="false">
      <c r="A312" s="1" t="e">
        <f aca="false">#N/A</f>
        <v>#N/A</v>
      </c>
      <c r="B312" s="6" t="s">
        <v>869</v>
      </c>
      <c r="C312" s="3"/>
      <c r="D312" s="6" t="str">
        <f aca="false">I312   &amp; IF(ISBLANK(M312),, ". "&amp; M312 &amp; IF(ISBLANK(Q312),, ". "&amp; Q312))</f>
        <v>ShotAttack</v>
      </c>
      <c r="E312" s="6" t="str">
        <f aca="false">I312  &amp;": # on "&amp; L312  &amp; IF(ISBLANK(M312),, ". "&amp; M312 &amp;": # on "&amp; P312 &amp; IF(ISBLANK(Q312),, ". "&amp; Q312 &amp;": # on "&amp; T312))</f>
        <v>ShotAttack: # on Trainer</v>
      </c>
      <c r="F312" s="6" t="str">
        <f aca="false">IF(U312,"active pal",)  &amp; IF(V312,"working",) &amp; IF(W312,"mounted",) &amp; IF(Y312,"in party (buff)",)  &amp; IF(Z312,"always",)</f>
        <v>always</v>
      </c>
      <c r="G312" s="6" t="n">
        <v>1</v>
      </c>
      <c r="H312" s="6" t="s">
        <v>182</v>
      </c>
      <c r="I312" s="6" t="s">
        <v>659</v>
      </c>
      <c r="J312" s="6" t="str">
        <f aca="false">IFERROR(__xludf.dummyfunction("IFS(I312=""ShotAttack"",""%"",I312=""MeleeAttack"",""%"", I312=""Defense"",""%"",I312=""CraftSPeed"",""%"",I312=""LifeSteal"",""%"",I312=""MaxInventoryWeight"",""+"",I312=""MoveSpeed"",""%"",REGEXMATCH(I312,""ElementAddItemDrop_""),""%"",I312=""Logging"","&amp;"""+"",I312=""Mining"",""+"",I312=""Maxhp"",""%"",REGEXMATCH(I312,""TemperatureResist_""),""+"",REGEXMATCH(I312,""ElementResist_""),""%"",REGEXMATCH(I312,""TemperatureInvalid_""),""bool"",REGEXMATCH(I312,""BodyPartsWeakDamage""),""%"",REGEXMATCH(I312,""Ele"&amp;"mentBoost_""),""%"",AND(REGEXMATCH(B312,""GiveA""),REGEXMATCH(I312,""Element"")),""bool"")"),"%")</f>
        <v>%</v>
      </c>
      <c r="K312" s="6" t="n">
        <v>11</v>
      </c>
      <c r="L312" s="6" t="s">
        <v>2034</v>
      </c>
      <c r="M312" s="6"/>
      <c r="N312" s="6" t="str">
        <f aca="false">IFERROR(__xludf.dummyfunction("IFS(M312=""ShotAttack"",""%"",M312=""MeleeAttack"",""%"", M312=""Defense"",""%"",M312=""CraftSPeed"",""%"",M312=""LifeSteal"",""%"",M312=""MaxInventoryWeight"",""+"",M312=""MoveSpeed"",""%"",REGEXMATCH(M312,""ElementAddItemDrop_""),""%"",M312=""Logging"","&amp;"""+"",M312=""Mining"",""+"",M312=""Maxhp"",""%"",REGEXMATCH(M312,""TemperatureResist_""),""+"",REGEXMATCH(M312,""ElementResist_""),""%"",REGEXMATCH(M312,""TemperatureInvalid_""),""bool"",REGEXMATCH(M312,""BodyPartsWeakDamage""),""%"",REGEXMATCH(M312,""Ele"&amp;"mentBoost_""),""%"",AND(REGEXMATCH(F312,""GiveA""),REGEXMATCH(M312,""Element"")),""bool"")"),"#N/A")</f>
        <v>#N/A</v>
      </c>
      <c r="O312" s="6" t="n">
        <v>0</v>
      </c>
      <c r="P312" s="6"/>
      <c r="Q312" s="6"/>
      <c r="R312" s="6" t="str">
        <f aca="false">IFERROR(__xludf.dummyfunction("IFS(Q312=""ShotAttack"",""%"",Q312=""MeleeAttack"",""%"", Q312=""Defense"",""%"",Q312=""CraftSPeed"",""%"",Q312=""LifeSteal"",""%"",Q312=""MaxInventoryWeight"",""+"",Q312=""MoveSpeed"",""%"",REGEXMATCH(Q312,""ElementAddItemDrop_""),""%"",Q312=""Logging"","&amp;"""+"",Q312=""Mining"",""+"",Q312=""Maxhp"",""%"",REGEXMATCH(Q312,""TemperatureResist_""),""+"",REGEXMATCH(Q312,""ElementResist_""),""%"",REGEXMATCH(Q312,""TemperatureInvalid_""),""bool"",REGEXMATCH(Q312,""BodyPartsWeakDamage""),""%"",REGEXMATCH(Q312,""Ele"&amp;"mentBoost_""),""%"",AND(REGEXMATCH(J312,""GiveA""),REGEXMATCH(Q312,""Element"")),""bool"")"),"#N/A")</f>
        <v>#N/A</v>
      </c>
      <c r="S312" s="6" t="n">
        <v>0</v>
      </c>
      <c r="T312" s="6"/>
      <c r="U312" s="319" t="b">
        <f aca="false">FALSE()</f>
        <v>0</v>
      </c>
      <c r="V312" s="319" t="b">
        <f aca="false">FALSE()</f>
        <v>0</v>
      </c>
      <c r="W312" s="319" t="b">
        <f aca="false">FALSE()</f>
        <v>0</v>
      </c>
      <c r="X312" s="319" t="b">
        <f aca="false">FALSE()</f>
        <v>0</v>
      </c>
      <c r="Y312" s="319" t="b">
        <f aca="false">FALSE()</f>
        <v>0</v>
      </c>
      <c r="Z312" s="319" t="b">
        <f aca="false">TRUE()</f>
        <v>1</v>
      </c>
      <c r="AA312" s="319" t="b">
        <f aca="false">FALSE()</f>
        <v>0</v>
      </c>
      <c r="AB312" s="319" t="b">
        <f aca="false">FALSE()</f>
        <v>0</v>
      </c>
      <c r="AC312" s="319" t="b">
        <f aca="false">FALSE()</f>
        <v>0</v>
      </c>
      <c r="AD312" s="319" t="b">
        <f aca="false">FALSE()</f>
        <v>0</v>
      </c>
      <c r="AE312" s="319" t="b">
        <f aca="false">FALSE()</f>
        <v>0</v>
      </c>
      <c r="AF312" s="319" t="b">
        <f aca="false">FALSE()</f>
        <v>0</v>
      </c>
      <c r="AG312" s="6" t="s">
        <v>182</v>
      </c>
      <c r="AH312" s="6" t="s">
        <v>182</v>
      </c>
    </row>
    <row r="313" customFormat="false" ht="15.75" hidden="false" customHeight="false" outlineLevel="0" collapsed="false">
      <c r="A313" s="1" t="e">
        <f aca="false">#N/A</f>
        <v>#N/A</v>
      </c>
      <c r="B313" s="6" t="s">
        <v>870</v>
      </c>
      <c r="C313" s="3"/>
      <c r="D313" s="6" t="str">
        <f aca="false">I313   &amp; IF(ISBLANK(M313),, ". "&amp; M313 &amp; IF(ISBLANK(Q313),, ". "&amp; Q313))</f>
        <v>ShotAttack</v>
      </c>
      <c r="E313" s="6" t="str">
        <f aca="false">I313  &amp;": # on "&amp; L313  &amp; IF(ISBLANK(M313),, ". "&amp; M313 &amp;": # on "&amp; P313 &amp; IF(ISBLANK(Q313),, ". "&amp; Q313 &amp;": # on "&amp; T313))</f>
        <v>ShotAttack: # on Trainer</v>
      </c>
      <c r="F313" s="6" t="str">
        <f aca="false">IF(U313,"active pal",)  &amp; IF(V313,"working",) &amp; IF(W313,"mounted",) &amp; IF(Y313,"in party (buff)",)  &amp; IF(Z313,"always",)</f>
        <v>always</v>
      </c>
      <c r="G313" s="6" t="n">
        <v>1</v>
      </c>
      <c r="H313" s="6" t="s">
        <v>182</v>
      </c>
      <c r="I313" s="6" t="s">
        <v>659</v>
      </c>
      <c r="J313" s="6" t="str">
        <f aca="false">IFERROR(__xludf.dummyfunction("IFS(I313=""ShotAttack"",""%"",I313=""MeleeAttack"",""%"", I313=""Defense"",""%"",I313=""CraftSPeed"",""%"",I313=""LifeSteal"",""%"",I313=""MaxInventoryWeight"",""+"",I313=""MoveSpeed"",""%"",REGEXMATCH(I313,""ElementAddItemDrop_""),""%"",I313=""Logging"","&amp;"""+"",I313=""Mining"",""+"",I313=""Maxhp"",""%"",REGEXMATCH(I313,""TemperatureResist_""),""+"",REGEXMATCH(I313,""ElementResist_""),""%"",REGEXMATCH(I313,""TemperatureInvalid_""),""bool"",REGEXMATCH(I313,""BodyPartsWeakDamage""),""%"",REGEXMATCH(I313,""Ele"&amp;"mentBoost_""),""%"",AND(REGEXMATCH(B313,""GiveA""),REGEXMATCH(I313,""Element"")),""bool"")"),"%")</f>
        <v>%</v>
      </c>
      <c r="K313" s="6" t="n">
        <v>13</v>
      </c>
      <c r="L313" s="6" t="s">
        <v>2034</v>
      </c>
      <c r="M313" s="6"/>
      <c r="N313" s="6" t="str">
        <f aca="false">IFERROR(__xludf.dummyfunction("IFS(M313=""ShotAttack"",""%"",M313=""MeleeAttack"",""%"", M313=""Defense"",""%"",M313=""CraftSPeed"",""%"",M313=""LifeSteal"",""%"",M313=""MaxInventoryWeight"",""+"",M313=""MoveSpeed"",""%"",REGEXMATCH(M313,""ElementAddItemDrop_""),""%"",M313=""Logging"","&amp;"""+"",M313=""Mining"",""+"",M313=""Maxhp"",""%"",REGEXMATCH(M313,""TemperatureResist_""),""+"",REGEXMATCH(M313,""ElementResist_""),""%"",REGEXMATCH(M313,""TemperatureInvalid_""),""bool"",REGEXMATCH(M313,""BodyPartsWeakDamage""),""%"",REGEXMATCH(M313,""Ele"&amp;"mentBoost_""),""%"",AND(REGEXMATCH(F313,""GiveA""),REGEXMATCH(M313,""Element"")),""bool"")"),"#N/A")</f>
        <v>#N/A</v>
      </c>
      <c r="O313" s="6" t="n">
        <v>0</v>
      </c>
      <c r="P313" s="6"/>
      <c r="Q313" s="6"/>
      <c r="R313" s="6" t="str">
        <f aca="false">IFERROR(__xludf.dummyfunction("IFS(Q313=""ShotAttack"",""%"",Q313=""MeleeAttack"",""%"", Q313=""Defense"",""%"",Q313=""CraftSPeed"",""%"",Q313=""LifeSteal"",""%"",Q313=""MaxInventoryWeight"",""+"",Q313=""MoveSpeed"",""%"",REGEXMATCH(Q313,""ElementAddItemDrop_""),""%"",Q313=""Logging"","&amp;"""+"",Q313=""Mining"",""+"",Q313=""Maxhp"",""%"",REGEXMATCH(Q313,""TemperatureResist_""),""+"",REGEXMATCH(Q313,""ElementResist_""),""%"",REGEXMATCH(Q313,""TemperatureInvalid_""),""bool"",REGEXMATCH(Q313,""BodyPartsWeakDamage""),""%"",REGEXMATCH(Q313,""Ele"&amp;"mentBoost_""),""%"",AND(REGEXMATCH(J313,""GiveA""),REGEXMATCH(Q313,""Element"")),""bool"")"),"#N/A")</f>
        <v>#N/A</v>
      </c>
      <c r="S313" s="6" t="n">
        <v>0</v>
      </c>
      <c r="T313" s="6"/>
      <c r="U313" s="319" t="b">
        <f aca="false">FALSE()</f>
        <v>0</v>
      </c>
      <c r="V313" s="319" t="b">
        <f aca="false">FALSE()</f>
        <v>0</v>
      </c>
      <c r="W313" s="319" t="b">
        <f aca="false">FALSE()</f>
        <v>0</v>
      </c>
      <c r="X313" s="319" t="b">
        <f aca="false">FALSE()</f>
        <v>0</v>
      </c>
      <c r="Y313" s="319" t="b">
        <f aca="false">FALSE()</f>
        <v>0</v>
      </c>
      <c r="Z313" s="319" t="b">
        <f aca="false">TRUE()</f>
        <v>1</v>
      </c>
      <c r="AA313" s="319" t="b">
        <f aca="false">FALSE()</f>
        <v>0</v>
      </c>
      <c r="AB313" s="319" t="b">
        <f aca="false">FALSE()</f>
        <v>0</v>
      </c>
      <c r="AC313" s="319" t="b">
        <f aca="false">FALSE()</f>
        <v>0</v>
      </c>
      <c r="AD313" s="319" t="b">
        <f aca="false">FALSE()</f>
        <v>0</v>
      </c>
      <c r="AE313" s="319" t="b">
        <f aca="false">FALSE()</f>
        <v>0</v>
      </c>
      <c r="AF313" s="319" t="b">
        <f aca="false">FALSE()</f>
        <v>0</v>
      </c>
      <c r="AG313" s="6" t="s">
        <v>182</v>
      </c>
      <c r="AH313" s="6" t="s">
        <v>182</v>
      </c>
    </row>
    <row r="314" customFormat="false" ht="15.75" hidden="false" customHeight="false" outlineLevel="0" collapsed="false">
      <c r="A314" s="1" t="e">
        <f aca="false">#N/A</f>
        <v>#N/A</v>
      </c>
      <c r="B314" s="6" t="s">
        <v>871</v>
      </c>
      <c r="C314" s="3"/>
      <c r="D314" s="6" t="str">
        <f aca="false">I314   &amp; IF(ISBLANK(M314),, ". "&amp; M314 &amp; IF(ISBLANK(Q314),, ". "&amp; Q314))</f>
        <v>ShotAttack</v>
      </c>
      <c r="E314" s="6" t="str">
        <f aca="false">I314  &amp;": # on "&amp; L314  &amp; IF(ISBLANK(M314),, ". "&amp; M314 &amp;": # on "&amp; P314 &amp; IF(ISBLANK(Q314),, ". "&amp; Q314 &amp;": # on "&amp; T314))</f>
        <v>ShotAttack: # on Trainer</v>
      </c>
      <c r="F314" s="6" t="str">
        <f aca="false">IF(U314,"active pal",)  &amp; IF(V314,"working",) &amp; IF(W314,"mounted",) &amp; IF(Y314,"in party (buff)",)  &amp; IF(Z314,"always",)</f>
        <v>always</v>
      </c>
      <c r="G314" s="6" t="n">
        <v>1</v>
      </c>
      <c r="H314" s="6" t="s">
        <v>182</v>
      </c>
      <c r="I314" s="6" t="s">
        <v>659</v>
      </c>
      <c r="J314" s="6" t="str">
        <f aca="false">IFERROR(__xludf.dummyfunction("IFS(I314=""ShotAttack"",""%"",I314=""MeleeAttack"",""%"", I314=""Defense"",""%"",I314=""CraftSPeed"",""%"",I314=""LifeSteal"",""%"",I314=""MaxInventoryWeight"",""+"",I314=""MoveSpeed"",""%"",REGEXMATCH(I314,""ElementAddItemDrop_""),""%"",I314=""Logging"","&amp;"""+"",I314=""Mining"",""+"",I314=""Maxhp"",""%"",REGEXMATCH(I314,""TemperatureResist_""),""+"",REGEXMATCH(I314,""ElementResist_""),""%"",REGEXMATCH(I314,""TemperatureInvalid_""),""bool"",REGEXMATCH(I314,""BodyPartsWeakDamage""),""%"",REGEXMATCH(I314,""Ele"&amp;"mentBoost_""),""%"",AND(REGEXMATCH(B314,""GiveA""),REGEXMATCH(I314,""Element"")),""bool"")"),"%")</f>
        <v>%</v>
      </c>
      <c r="K314" s="6" t="n">
        <v>16</v>
      </c>
      <c r="L314" s="6" t="s">
        <v>2034</v>
      </c>
      <c r="M314" s="6"/>
      <c r="N314" s="6" t="str">
        <f aca="false">IFERROR(__xludf.dummyfunction("IFS(M314=""ShotAttack"",""%"",M314=""MeleeAttack"",""%"", M314=""Defense"",""%"",M314=""CraftSPeed"",""%"",M314=""LifeSteal"",""%"",M314=""MaxInventoryWeight"",""+"",M314=""MoveSpeed"",""%"",REGEXMATCH(M314,""ElementAddItemDrop_""),""%"",M314=""Logging"","&amp;"""+"",M314=""Mining"",""+"",M314=""Maxhp"",""%"",REGEXMATCH(M314,""TemperatureResist_""),""+"",REGEXMATCH(M314,""ElementResist_""),""%"",REGEXMATCH(M314,""TemperatureInvalid_""),""bool"",REGEXMATCH(M314,""BodyPartsWeakDamage""),""%"",REGEXMATCH(M314,""Ele"&amp;"mentBoost_""),""%"",AND(REGEXMATCH(F314,""GiveA""),REGEXMATCH(M314,""Element"")),""bool"")"),"#N/A")</f>
        <v>#N/A</v>
      </c>
      <c r="O314" s="6" t="n">
        <v>0</v>
      </c>
      <c r="P314" s="6"/>
      <c r="Q314" s="6"/>
      <c r="R314" s="6" t="str">
        <f aca="false">IFERROR(__xludf.dummyfunction("IFS(Q314=""ShotAttack"",""%"",Q314=""MeleeAttack"",""%"", Q314=""Defense"",""%"",Q314=""CraftSPeed"",""%"",Q314=""LifeSteal"",""%"",Q314=""MaxInventoryWeight"",""+"",Q314=""MoveSpeed"",""%"",REGEXMATCH(Q314,""ElementAddItemDrop_""),""%"",Q314=""Logging"","&amp;"""+"",Q314=""Mining"",""+"",Q314=""Maxhp"",""%"",REGEXMATCH(Q314,""TemperatureResist_""),""+"",REGEXMATCH(Q314,""ElementResist_""),""%"",REGEXMATCH(Q314,""TemperatureInvalid_""),""bool"",REGEXMATCH(Q314,""BodyPartsWeakDamage""),""%"",REGEXMATCH(Q314,""Ele"&amp;"mentBoost_""),""%"",AND(REGEXMATCH(J314,""GiveA""),REGEXMATCH(Q314,""Element"")),""bool"")"),"#N/A")</f>
        <v>#N/A</v>
      </c>
      <c r="S314" s="6" t="n">
        <v>0</v>
      </c>
      <c r="T314" s="6"/>
      <c r="U314" s="319" t="b">
        <f aca="false">FALSE()</f>
        <v>0</v>
      </c>
      <c r="V314" s="319" t="b">
        <f aca="false">FALSE()</f>
        <v>0</v>
      </c>
      <c r="W314" s="319" t="b">
        <f aca="false">FALSE()</f>
        <v>0</v>
      </c>
      <c r="X314" s="319" t="b">
        <f aca="false">FALSE()</f>
        <v>0</v>
      </c>
      <c r="Y314" s="319" t="b">
        <f aca="false">FALSE()</f>
        <v>0</v>
      </c>
      <c r="Z314" s="319" t="b">
        <f aca="false">TRUE()</f>
        <v>1</v>
      </c>
      <c r="AA314" s="319" t="b">
        <f aca="false">FALSE()</f>
        <v>0</v>
      </c>
      <c r="AB314" s="319" t="b">
        <f aca="false">FALSE()</f>
        <v>0</v>
      </c>
      <c r="AC314" s="319" t="b">
        <f aca="false">FALSE()</f>
        <v>0</v>
      </c>
      <c r="AD314" s="319" t="b">
        <f aca="false">FALSE()</f>
        <v>0</v>
      </c>
      <c r="AE314" s="319" t="b">
        <f aca="false">FALSE()</f>
        <v>0</v>
      </c>
      <c r="AF314" s="319" t="b">
        <f aca="false">FALSE()</f>
        <v>0</v>
      </c>
      <c r="AG314" s="6" t="s">
        <v>182</v>
      </c>
      <c r="AH314" s="6" t="s">
        <v>182</v>
      </c>
    </row>
    <row r="315" customFormat="false" ht="15.75" hidden="false" customHeight="false" outlineLevel="0" collapsed="false">
      <c r="A315" s="1" t="e">
        <f aca="false">#N/A</f>
        <v>#N/A</v>
      </c>
      <c r="B315" s="6" t="s">
        <v>872</v>
      </c>
      <c r="C315" s="3"/>
      <c r="D315" s="6" t="str">
        <f aca="false">I315   &amp; IF(ISBLANK(M315),, ". "&amp; M315 &amp; IF(ISBLANK(Q315),, ". "&amp; Q315))</f>
        <v>ShotAttack</v>
      </c>
      <c r="E315" s="6" t="str">
        <f aca="false">I315  &amp;": # on "&amp; L315  &amp; IF(ISBLANK(M315),, ". "&amp; M315 &amp;": # on "&amp; P315 &amp; IF(ISBLANK(Q315),, ". "&amp; Q315 &amp;": # on "&amp; T315))</f>
        <v>ShotAttack: # on Trainer</v>
      </c>
      <c r="F315" s="6" t="str">
        <f aca="false">IF(U315,"active pal",)  &amp; IF(V315,"working",) &amp; IF(W315,"mounted",) &amp; IF(Y315,"in party (buff)",)  &amp; IF(Z315,"always",)</f>
        <v>always</v>
      </c>
      <c r="G315" s="6" t="n">
        <v>1</v>
      </c>
      <c r="H315" s="6" t="s">
        <v>182</v>
      </c>
      <c r="I315" s="6" t="s">
        <v>659</v>
      </c>
      <c r="J315" s="6" t="str">
        <f aca="false">IFERROR(__xludf.dummyfunction("IFS(I315=""ShotAttack"",""%"",I315=""MeleeAttack"",""%"", I315=""Defense"",""%"",I315=""CraftSPeed"",""%"",I315=""LifeSteal"",""%"",I315=""MaxInventoryWeight"",""+"",I315=""MoveSpeed"",""%"",REGEXMATCH(I315,""ElementAddItemDrop_""),""%"",I315=""Logging"","&amp;"""+"",I315=""Mining"",""+"",I315=""Maxhp"",""%"",REGEXMATCH(I315,""TemperatureResist_""),""+"",REGEXMATCH(I315,""ElementResist_""),""%"",REGEXMATCH(I315,""TemperatureInvalid_""),""bool"",REGEXMATCH(I315,""BodyPartsWeakDamage""),""%"",REGEXMATCH(I315,""Ele"&amp;"mentBoost_""),""%"",AND(REGEXMATCH(B315,""GiveA""),REGEXMATCH(I315,""Element"")),""bool"")"),"%")</f>
        <v>%</v>
      </c>
      <c r="K315" s="6" t="n">
        <v>20</v>
      </c>
      <c r="L315" s="6" t="s">
        <v>2034</v>
      </c>
      <c r="M315" s="6"/>
      <c r="N315" s="6" t="str">
        <f aca="false">IFERROR(__xludf.dummyfunction("IFS(M315=""ShotAttack"",""%"",M315=""MeleeAttack"",""%"", M315=""Defense"",""%"",M315=""CraftSPeed"",""%"",M315=""LifeSteal"",""%"",M315=""MaxInventoryWeight"",""+"",M315=""MoveSpeed"",""%"",REGEXMATCH(M315,""ElementAddItemDrop_""),""%"",M315=""Logging"","&amp;"""+"",M315=""Mining"",""+"",M315=""Maxhp"",""%"",REGEXMATCH(M315,""TemperatureResist_""),""+"",REGEXMATCH(M315,""ElementResist_""),""%"",REGEXMATCH(M315,""TemperatureInvalid_""),""bool"",REGEXMATCH(M315,""BodyPartsWeakDamage""),""%"",REGEXMATCH(M315,""Ele"&amp;"mentBoost_""),""%"",AND(REGEXMATCH(F315,""GiveA""),REGEXMATCH(M315,""Element"")),""bool"")"),"#N/A")</f>
        <v>#N/A</v>
      </c>
      <c r="O315" s="6" t="n">
        <v>0</v>
      </c>
      <c r="P315" s="6"/>
      <c r="Q315" s="6"/>
      <c r="R315" s="6" t="str">
        <f aca="false">IFERROR(__xludf.dummyfunction("IFS(Q315=""ShotAttack"",""%"",Q315=""MeleeAttack"",""%"", Q315=""Defense"",""%"",Q315=""CraftSPeed"",""%"",Q315=""LifeSteal"",""%"",Q315=""MaxInventoryWeight"",""+"",Q315=""MoveSpeed"",""%"",REGEXMATCH(Q315,""ElementAddItemDrop_""),""%"",Q315=""Logging"","&amp;"""+"",Q315=""Mining"",""+"",Q315=""Maxhp"",""%"",REGEXMATCH(Q315,""TemperatureResist_""),""+"",REGEXMATCH(Q315,""ElementResist_""),""%"",REGEXMATCH(Q315,""TemperatureInvalid_""),""bool"",REGEXMATCH(Q315,""BodyPartsWeakDamage""),""%"",REGEXMATCH(Q315,""Ele"&amp;"mentBoost_""),""%"",AND(REGEXMATCH(J315,""GiveA""),REGEXMATCH(Q315,""Element"")),""bool"")"),"#N/A")</f>
        <v>#N/A</v>
      </c>
      <c r="S315" s="6" t="n">
        <v>0</v>
      </c>
      <c r="T315" s="6"/>
      <c r="U315" s="319" t="b">
        <f aca="false">FALSE()</f>
        <v>0</v>
      </c>
      <c r="V315" s="319" t="b">
        <f aca="false">FALSE()</f>
        <v>0</v>
      </c>
      <c r="W315" s="319" t="b">
        <f aca="false">FALSE()</f>
        <v>0</v>
      </c>
      <c r="X315" s="319" t="b">
        <f aca="false">FALSE()</f>
        <v>0</v>
      </c>
      <c r="Y315" s="319" t="b">
        <f aca="false">FALSE()</f>
        <v>0</v>
      </c>
      <c r="Z315" s="319" t="b">
        <f aca="false">TRUE()</f>
        <v>1</v>
      </c>
      <c r="AA315" s="319" t="b">
        <f aca="false">FALSE()</f>
        <v>0</v>
      </c>
      <c r="AB315" s="319" t="b">
        <f aca="false">FALSE()</f>
        <v>0</v>
      </c>
      <c r="AC315" s="319" t="b">
        <f aca="false">FALSE()</f>
        <v>0</v>
      </c>
      <c r="AD315" s="319" t="b">
        <f aca="false">FALSE()</f>
        <v>0</v>
      </c>
      <c r="AE315" s="319" t="b">
        <f aca="false">FALSE()</f>
        <v>0</v>
      </c>
      <c r="AF315" s="319" t="b">
        <f aca="false">FALSE()</f>
        <v>0</v>
      </c>
      <c r="AG315" s="6" t="s">
        <v>182</v>
      </c>
      <c r="AH315" s="6" t="s">
        <v>182</v>
      </c>
    </row>
    <row r="316" customFormat="false" ht="15.75" hidden="false" customHeight="false" outlineLevel="0" collapsed="false">
      <c r="A316" s="1" t="e">
        <f aca="false">#N/A</f>
        <v>#N/A</v>
      </c>
      <c r="B316" s="6" t="s">
        <v>891</v>
      </c>
      <c r="C316" s="3"/>
      <c r="D316" s="6" t="str">
        <f aca="false">I316   &amp; IF(ISBLANK(M316),, ". "&amp; M316 &amp; IF(ISBLANK(Q316),, ". "&amp; Q316))</f>
        <v>ElementBoost_Fire</v>
      </c>
      <c r="E316" s="6" t="str">
        <f aca="false">I316  &amp;": # on "&amp; L316  &amp; IF(ISBLANK(M316),, ". "&amp; M316 &amp;": # on "&amp; P316 &amp; IF(ISBLANK(Q316),, ". "&amp; Q316 &amp;": # on "&amp; T316))</f>
        <v>ElementBoost_Fire: # on SelfAndTrainer</v>
      </c>
      <c r="F316" s="6" t="str">
        <f aca="false">IF(U316,"active pal",)  &amp; IF(V316,"working",) &amp; IF(W316,"mounted",) &amp; IF(Y316,"in party (buff)",)  &amp; IF(Z316,"always",)</f>
        <v>mounted</v>
      </c>
      <c r="G316" s="6" t="n">
        <v>1</v>
      </c>
      <c r="H316" s="6" t="s">
        <v>182</v>
      </c>
      <c r="I316" s="6" t="s">
        <v>2254</v>
      </c>
      <c r="J316" s="6" t="str">
        <f aca="false">IFERROR(__xludf.dummyfunction("IFS(I316=""ShotAttack"",""%"",I316=""MeleeAttack"",""%"", I316=""Defense"",""%"",I316=""CraftSPeed"",""%"",I316=""LifeSteal"",""%"",I316=""MaxInventoryWeight"",""+"",I316=""MoveSpeed"",""%"",REGEXMATCH(I316,""ElementAddItemDrop_""),""%"",I316=""Logging"","&amp;"""+"",I316=""Mining"",""+"",I316=""Maxhp"",""%"",REGEXMATCH(I316,""TemperatureResist_""),""+"",REGEXMATCH(I316,""ElementResist_""),""%"",REGEXMATCH(I316,""TemperatureInvalid_""),""bool"",REGEXMATCH(I316,""BodyPartsWeakDamage""),""%"",REGEXMATCH(I316,""Ele"&amp;"mentBoost_""),""%"",AND(REGEXMATCH(B316,""GiveA""),REGEXMATCH(I316,""Element"")),""bool"")"),"%")</f>
        <v>%</v>
      </c>
      <c r="K316" s="6" t="n">
        <v>50</v>
      </c>
      <c r="L316" s="6" t="s">
        <v>2085</v>
      </c>
      <c r="M316" s="6"/>
      <c r="N316" s="6" t="str">
        <f aca="false">IFERROR(__xludf.dummyfunction("IFS(M316=""ShotAttack"",""%"",M316=""MeleeAttack"",""%"", M316=""Defense"",""%"",M316=""CraftSPeed"",""%"",M316=""LifeSteal"",""%"",M316=""MaxInventoryWeight"",""+"",M316=""MoveSpeed"",""%"",REGEXMATCH(M316,""ElementAddItemDrop_""),""%"",M316=""Logging"","&amp;"""+"",M316=""Mining"",""+"",M316=""Maxhp"",""%"",REGEXMATCH(M316,""TemperatureResist_""),""+"",REGEXMATCH(M316,""ElementResist_""),""%"",REGEXMATCH(M316,""TemperatureInvalid_""),""bool"",REGEXMATCH(M316,""BodyPartsWeakDamage""),""%"",REGEXMATCH(M316,""Ele"&amp;"mentBoost_""),""%"",AND(REGEXMATCH(F316,""GiveA""),REGEXMATCH(M316,""Element"")),""bool"")"),"#N/A")</f>
        <v>#N/A</v>
      </c>
      <c r="O316" s="6" t="n">
        <v>0</v>
      </c>
      <c r="P316" s="6"/>
      <c r="Q316" s="6"/>
      <c r="R316" s="6" t="str">
        <f aca="false">IFERROR(__xludf.dummyfunction("IFS(Q316=""ShotAttack"",""%"",Q316=""MeleeAttack"",""%"", Q316=""Defense"",""%"",Q316=""CraftSPeed"",""%"",Q316=""LifeSteal"",""%"",Q316=""MaxInventoryWeight"",""+"",Q316=""MoveSpeed"",""%"",REGEXMATCH(Q316,""ElementAddItemDrop_""),""%"",Q316=""Logging"","&amp;"""+"",Q316=""Mining"",""+"",Q316=""Maxhp"",""%"",REGEXMATCH(Q316,""TemperatureResist_""),""+"",REGEXMATCH(Q316,""ElementResist_""),""%"",REGEXMATCH(Q316,""TemperatureInvalid_""),""bool"",REGEXMATCH(Q316,""BodyPartsWeakDamage""),""%"",REGEXMATCH(Q316,""Ele"&amp;"mentBoost_""),""%"",AND(REGEXMATCH(J316,""GiveA""),REGEXMATCH(Q316,""Element"")),""bool"")"),"#N/A")</f>
        <v>#N/A</v>
      </c>
      <c r="S316" s="6" t="n">
        <v>0</v>
      </c>
      <c r="T316" s="6"/>
      <c r="U316" s="319" t="b">
        <f aca="false">FALSE()</f>
        <v>0</v>
      </c>
      <c r="V316" s="319" t="b">
        <f aca="false">FALSE()</f>
        <v>0</v>
      </c>
      <c r="W316" s="319" t="b">
        <f aca="false">TRUE()</f>
        <v>1</v>
      </c>
      <c r="X316" s="319" t="b">
        <f aca="false">FALSE()</f>
        <v>0</v>
      </c>
      <c r="Y316" s="319" t="b">
        <f aca="false">FALSE()</f>
        <v>0</v>
      </c>
      <c r="Z316" s="319" t="b">
        <f aca="false">FALSE()</f>
        <v>0</v>
      </c>
      <c r="AA316" s="319" t="b">
        <f aca="false">FALSE()</f>
        <v>0</v>
      </c>
      <c r="AB316" s="319" t="b">
        <f aca="false">FALSE()</f>
        <v>0</v>
      </c>
      <c r="AC316" s="319" t="b">
        <f aca="false">FALSE()</f>
        <v>0</v>
      </c>
      <c r="AD316" s="319" t="b">
        <f aca="false">FALSE()</f>
        <v>0</v>
      </c>
      <c r="AE316" s="319" t="b">
        <f aca="false">FALSE()</f>
        <v>0</v>
      </c>
      <c r="AF316" s="319" t="b">
        <f aca="false">FALSE()</f>
        <v>0</v>
      </c>
      <c r="AG316" s="6" t="s">
        <v>182</v>
      </c>
      <c r="AH316" s="6" t="s">
        <v>182</v>
      </c>
    </row>
    <row r="317" customFormat="false" ht="15.75" hidden="false" customHeight="false" outlineLevel="0" collapsed="false">
      <c r="A317" s="1" t="e">
        <f aca="false">#N/A</f>
        <v>#N/A</v>
      </c>
      <c r="B317" s="6" t="s">
        <v>892</v>
      </c>
      <c r="C317" s="3"/>
      <c r="D317" s="6" t="str">
        <f aca="false">I317   &amp; IF(ISBLANK(M317),, ". "&amp; M317 &amp; IF(ISBLANK(Q317),, ". "&amp; Q317))</f>
        <v>ElementBoost_Fire</v>
      </c>
      <c r="E317" s="6" t="str">
        <f aca="false">I317  &amp;": # on "&amp; L317  &amp; IF(ISBLANK(M317),, ". "&amp; M317 &amp;": # on "&amp; P317 &amp; IF(ISBLANK(Q317),, ". "&amp; Q317 &amp;": # on "&amp; T317))</f>
        <v>ElementBoost_Fire: # on SelfAndTrainer</v>
      </c>
      <c r="F317" s="6" t="str">
        <f aca="false">IF(U317,"active pal",)  &amp; IF(V317,"working",) &amp; IF(W317,"mounted",) &amp; IF(Y317,"in party (buff)",)  &amp; IF(Z317,"always",)</f>
        <v>mounted</v>
      </c>
      <c r="G317" s="6" t="n">
        <v>1</v>
      </c>
      <c r="H317" s="6" t="s">
        <v>182</v>
      </c>
      <c r="I317" s="6" t="s">
        <v>2254</v>
      </c>
      <c r="J317" s="6" t="str">
        <f aca="false">IFERROR(__xludf.dummyfunction("IFS(I317=""ShotAttack"",""%"",I317=""MeleeAttack"",""%"", I317=""Defense"",""%"",I317=""CraftSPeed"",""%"",I317=""LifeSteal"",""%"",I317=""MaxInventoryWeight"",""+"",I317=""MoveSpeed"",""%"",REGEXMATCH(I317,""ElementAddItemDrop_""),""%"",I317=""Logging"","&amp;"""+"",I317=""Mining"",""+"",I317=""Maxhp"",""%"",REGEXMATCH(I317,""TemperatureResist_""),""+"",REGEXMATCH(I317,""ElementResist_""),""%"",REGEXMATCH(I317,""TemperatureInvalid_""),""bool"",REGEXMATCH(I317,""BodyPartsWeakDamage""),""%"",REGEXMATCH(I317,""Ele"&amp;"mentBoost_""),""%"",AND(REGEXMATCH(B317,""GiveA""),REGEXMATCH(I317,""Element"")),""bool"")"),"%")</f>
        <v>%</v>
      </c>
      <c r="K317" s="6" t="n">
        <v>55</v>
      </c>
      <c r="L317" s="6" t="s">
        <v>2085</v>
      </c>
      <c r="M317" s="6"/>
      <c r="N317" s="6" t="str">
        <f aca="false">IFERROR(__xludf.dummyfunction("IFS(M317=""ShotAttack"",""%"",M317=""MeleeAttack"",""%"", M317=""Defense"",""%"",M317=""CraftSPeed"",""%"",M317=""LifeSteal"",""%"",M317=""MaxInventoryWeight"",""+"",M317=""MoveSpeed"",""%"",REGEXMATCH(M317,""ElementAddItemDrop_""),""%"",M317=""Logging"","&amp;"""+"",M317=""Mining"",""+"",M317=""Maxhp"",""%"",REGEXMATCH(M317,""TemperatureResist_""),""+"",REGEXMATCH(M317,""ElementResist_""),""%"",REGEXMATCH(M317,""TemperatureInvalid_""),""bool"",REGEXMATCH(M317,""BodyPartsWeakDamage""),""%"",REGEXMATCH(M317,""Ele"&amp;"mentBoost_""),""%"",AND(REGEXMATCH(F317,""GiveA""),REGEXMATCH(M317,""Element"")),""bool"")"),"#N/A")</f>
        <v>#N/A</v>
      </c>
      <c r="O317" s="6" t="n">
        <v>0</v>
      </c>
      <c r="P317" s="6"/>
      <c r="Q317" s="6"/>
      <c r="R317" s="6" t="str">
        <f aca="false">IFERROR(__xludf.dummyfunction("IFS(Q317=""ShotAttack"",""%"",Q317=""MeleeAttack"",""%"", Q317=""Defense"",""%"",Q317=""CraftSPeed"",""%"",Q317=""LifeSteal"",""%"",Q317=""MaxInventoryWeight"",""+"",Q317=""MoveSpeed"",""%"",REGEXMATCH(Q317,""ElementAddItemDrop_""),""%"",Q317=""Logging"","&amp;"""+"",Q317=""Mining"",""+"",Q317=""Maxhp"",""%"",REGEXMATCH(Q317,""TemperatureResist_""),""+"",REGEXMATCH(Q317,""ElementResist_""),""%"",REGEXMATCH(Q317,""TemperatureInvalid_""),""bool"",REGEXMATCH(Q317,""BodyPartsWeakDamage""),""%"",REGEXMATCH(Q317,""Ele"&amp;"mentBoost_""),""%"",AND(REGEXMATCH(J317,""GiveA""),REGEXMATCH(Q317,""Element"")),""bool"")"),"#N/A")</f>
        <v>#N/A</v>
      </c>
      <c r="S317" s="6" t="n">
        <v>0</v>
      </c>
      <c r="T317" s="6"/>
      <c r="U317" s="319" t="b">
        <f aca="false">FALSE()</f>
        <v>0</v>
      </c>
      <c r="V317" s="319" t="b">
        <f aca="false">FALSE()</f>
        <v>0</v>
      </c>
      <c r="W317" s="319" t="b">
        <f aca="false">TRUE()</f>
        <v>1</v>
      </c>
      <c r="X317" s="319" t="b">
        <f aca="false">FALSE()</f>
        <v>0</v>
      </c>
      <c r="Y317" s="319" t="b">
        <f aca="false">FALSE()</f>
        <v>0</v>
      </c>
      <c r="Z317" s="319" t="b">
        <f aca="false">FALSE()</f>
        <v>0</v>
      </c>
      <c r="AA317" s="319" t="b">
        <f aca="false">FALSE()</f>
        <v>0</v>
      </c>
      <c r="AB317" s="319" t="b">
        <f aca="false">FALSE()</f>
        <v>0</v>
      </c>
      <c r="AC317" s="319" t="b">
        <f aca="false">FALSE()</f>
        <v>0</v>
      </c>
      <c r="AD317" s="319" t="b">
        <f aca="false">FALSE()</f>
        <v>0</v>
      </c>
      <c r="AE317" s="319" t="b">
        <f aca="false">FALSE()</f>
        <v>0</v>
      </c>
      <c r="AF317" s="319" t="b">
        <f aca="false">FALSE()</f>
        <v>0</v>
      </c>
      <c r="AG317" s="6" t="s">
        <v>182</v>
      </c>
      <c r="AH317" s="6" t="s">
        <v>182</v>
      </c>
    </row>
    <row r="318" customFormat="false" ht="15.75" hidden="false" customHeight="false" outlineLevel="0" collapsed="false">
      <c r="A318" s="1" t="e">
        <f aca="false">#N/A</f>
        <v>#N/A</v>
      </c>
      <c r="B318" s="6" t="s">
        <v>893</v>
      </c>
      <c r="C318" s="3"/>
      <c r="D318" s="6" t="str">
        <f aca="false">I318   &amp; IF(ISBLANK(M318),, ". "&amp; M318 &amp; IF(ISBLANK(Q318),, ". "&amp; Q318))</f>
        <v>ElementBoost_Fire</v>
      </c>
      <c r="E318" s="6" t="str">
        <f aca="false">I318  &amp;": # on "&amp; L318  &amp; IF(ISBLANK(M318),, ". "&amp; M318 &amp;": # on "&amp; P318 &amp; IF(ISBLANK(Q318),, ". "&amp; Q318 &amp;": # on "&amp; T318))</f>
        <v>ElementBoost_Fire: # on SelfAndTrainer</v>
      </c>
      <c r="F318" s="6" t="str">
        <f aca="false">IF(U318,"active pal",)  &amp; IF(V318,"working",) &amp; IF(W318,"mounted",) &amp; IF(Y318,"in party (buff)",)  &amp; IF(Z318,"always",)</f>
        <v>mounted</v>
      </c>
      <c r="G318" s="6" t="n">
        <v>1</v>
      </c>
      <c r="H318" s="6" t="s">
        <v>182</v>
      </c>
      <c r="I318" s="6" t="s">
        <v>2254</v>
      </c>
      <c r="J318" s="6" t="str">
        <f aca="false">IFERROR(__xludf.dummyfunction("IFS(I318=""ShotAttack"",""%"",I318=""MeleeAttack"",""%"", I318=""Defense"",""%"",I318=""CraftSPeed"",""%"",I318=""LifeSteal"",""%"",I318=""MaxInventoryWeight"",""+"",I318=""MoveSpeed"",""%"",REGEXMATCH(I318,""ElementAddItemDrop_""),""%"",I318=""Logging"","&amp;"""+"",I318=""Mining"",""+"",I318=""Maxhp"",""%"",REGEXMATCH(I318,""TemperatureResist_""),""+"",REGEXMATCH(I318,""ElementResist_""),""%"",REGEXMATCH(I318,""TemperatureInvalid_""),""bool"",REGEXMATCH(I318,""BodyPartsWeakDamage""),""%"",REGEXMATCH(I318,""Ele"&amp;"mentBoost_""),""%"",AND(REGEXMATCH(B318,""GiveA""),REGEXMATCH(I318,""Element"")),""bool"")"),"%")</f>
        <v>%</v>
      </c>
      <c r="K318" s="6" t="n">
        <v>65</v>
      </c>
      <c r="L318" s="6" t="s">
        <v>2085</v>
      </c>
      <c r="M318" s="6"/>
      <c r="N318" s="6" t="str">
        <f aca="false">IFERROR(__xludf.dummyfunction("IFS(M318=""ShotAttack"",""%"",M318=""MeleeAttack"",""%"", M318=""Defense"",""%"",M318=""CraftSPeed"",""%"",M318=""LifeSteal"",""%"",M318=""MaxInventoryWeight"",""+"",M318=""MoveSpeed"",""%"",REGEXMATCH(M318,""ElementAddItemDrop_""),""%"",M318=""Logging"","&amp;"""+"",M318=""Mining"",""+"",M318=""Maxhp"",""%"",REGEXMATCH(M318,""TemperatureResist_""),""+"",REGEXMATCH(M318,""ElementResist_""),""%"",REGEXMATCH(M318,""TemperatureInvalid_""),""bool"",REGEXMATCH(M318,""BodyPartsWeakDamage""),""%"",REGEXMATCH(M318,""Ele"&amp;"mentBoost_""),""%"",AND(REGEXMATCH(F318,""GiveA""),REGEXMATCH(M318,""Element"")),""bool"")"),"#N/A")</f>
        <v>#N/A</v>
      </c>
      <c r="O318" s="6" t="n">
        <v>0</v>
      </c>
      <c r="P318" s="6"/>
      <c r="Q318" s="6"/>
      <c r="R318" s="6" t="str">
        <f aca="false">IFERROR(__xludf.dummyfunction("IFS(Q318=""ShotAttack"",""%"",Q318=""MeleeAttack"",""%"", Q318=""Defense"",""%"",Q318=""CraftSPeed"",""%"",Q318=""LifeSteal"",""%"",Q318=""MaxInventoryWeight"",""+"",Q318=""MoveSpeed"",""%"",REGEXMATCH(Q318,""ElementAddItemDrop_""),""%"",Q318=""Logging"","&amp;"""+"",Q318=""Mining"",""+"",Q318=""Maxhp"",""%"",REGEXMATCH(Q318,""TemperatureResist_""),""+"",REGEXMATCH(Q318,""ElementResist_""),""%"",REGEXMATCH(Q318,""TemperatureInvalid_""),""bool"",REGEXMATCH(Q318,""BodyPartsWeakDamage""),""%"",REGEXMATCH(Q318,""Ele"&amp;"mentBoost_""),""%"",AND(REGEXMATCH(J318,""GiveA""),REGEXMATCH(Q318,""Element"")),""bool"")"),"#N/A")</f>
        <v>#N/A</v>
      </c>
      <c r="S318" s="6" t="n">
        <v>0</v>
      </c>
      <c r="T318" s="6"/>
      <c r="U318" s="319" t="b">
        <f aca="false">FALSE()</f>
        <v>0</v>
      </c>
      <c r="V318" s="319" t="b">
        <f aca="false">FALSE()</f>
        <v>0</v>
      </c>
      <c r="W318" s="319" t="b">
        <f aca="false">TRUE()</f>
        <v>1</v>
      </c>
      <c r="X318" s="319" t="b">
        <f aca="false">FALSE()</f>
        <v>0</v>
      </c>
      <c r="Y318" s="319" t="b">
        <f aca="false">FALSE()</f>
        <v>0</v>
      </c>
      <c r="Z318" s="319" t="b">
        <f aca="false">FALSE()</f>
        <v>0</v>
      </c>
      <c r="AA318" s="319" t="b">
        <f aca="false">FALSE()</f>
        <v>0</v>
      </c>
      <c r="AB318" s="319" t="b">
        <f aca="false">FALSE()</f>
        <v>0</v>
      </c>
      <c r="AC318" s="319" t="b">
        <f aca="false">FALSE()</f>
        <v>0</v>
      </c>
      <c r="AD318" s="319" t="b">
        <f aca="false">FALSE()</f>
        <v>0</v>
      </c>
      <c r="AE318" s="319" t="b">
        <f aca="false">FALSE()</f>
        <v>0</v>
      </c>
      <c r="AF318" s="319" t="b">
        <f aca="false">FALSE()</f>
        <v>0</v>
      </c>
      <c r="AG318" s="6" t="s">
        <v>182</v>
      </c>
      <c r="AH318" s="6" t="s">
        <v>182</v>
      </c>
    </row>
    <row r="319" customFormat="false" ht="15.75" hidden="false" customHeight="false" outlineLevel="0" collapsed="false">
      <c r="A319" s="1" t="e">
        <f aca="false">#N/A</f>
        <v>#N/A</v>
      </c>
      <c r="B319" s="6" t="s">
        <v>894</v>
      </c>
      <c r="C319" s="3"/>
      <c r="D319" s="6" t="str">
        <f aca="false">I319   &amp; IF(ISBLANK(M319),, ". "&amp; M319 &amp; IF(ISBLANK(Q319),, ". "&amp; Q319))</f>
        <v>ElementBoost_Fire</v>
      </c>
      <c r="E319" s="6" t="str">
        <f aca="false">I319  &amp;": # on "&amp; L319  &amp; IF(ISBLANK(M319),, ". "&amp; M319 &amp;": # on "&amp; P319 &amp; IF(ISBLANK(Q319),, ". "&amp; Q319 &amp;": # on "&amp; T319))</f>
        <v>ElementBoost_Fire: # on SelfAndTrainer</v>
      </c>
      <c r="F319" s="6" t="str">
        <f aca="false">IF(U319,"active pal",)  &amp; IF(V319,"working",) &amp; IF(W319,"mounted",) &amp; IF(Y319,"in party (buff)",)  &amp; IF(Z319,"always",)</f>
        <v>mounted</v>
      </c>
      <c r="G319" s="6" t="n">
        <v>1</v>
      </c>
      <c r="H319" s="6" t="s">
        <v>182</v>
      </c>
      <c r="I319" s="6" t="s">
        <v>2254</v>
      </c>
      <c r="J319" s="6" t="str">
        <f aca="false">IFERROR(__xludf.dummyfunction("IFS(I319=""ShotAttack"",""%"",I319=""MeleeAttack"",""%"", I319=""Defense"",""%"",I319=""CraftSPeed"",""%"",I319=""LifeSteal"",""%"",I319=""MaxInventoryWeight"",""+"",I319=""MoveSpeed"",""%"",REGEXMATCH(I319,""ElementAddItemDrop_""),""%"",I319=""Logging"","&amp;"""+"",I319=""Mining"",""+"",I319=""Maxhp"",""%"",REGEXMATCH(I319,""TemperatureResist_""),""+"",REGEXMATCH(I319,""ElementResist_""),""%"",REGEXMATCH(I319,""TemperatureInvalid_""),""bool"",REGEXMATCH(I319,""BodyPartsWeakDamage""),""%"",REGEXMATCH(I319,""Ele"&amp;"mentBoost_""),""%"",AND(REGEXMATCH(B319,""GiveA""),REGEXMATCH(I319,""Element"")),""bool"")"),"%")</f>
        <v>%</v>
      </c>
      <c r="K319" s="6" t="n">
        <v>80</v>
      </c>
      <c r="L319" s="6" t="s">
        <v>2085</v>
      </c>
      <c r="M319" s="6"/>
      <c r="N319" s="6" t="str">
        <f aca="false">IFERROR(__xludf.dummyfunction("IFS(M319=""ShotAttack"",""%"",M319=""MeleeAttack"",""%"", M319=""Defense"",""%"",M319=""CraftSPeed"",""%"",M319=""LifeSteal"",""%"",M319=""MaxInventoryWeight"",""+"",M319=""MoveSpeed"",""%"",REGEXMATCH(M319,""ElementAddItemDrop_""),""%"",M319=""Logging"","&amp;"""+"",M319=""Mining"",""+"",M319=""Maxhp"",""%"",REGEXMATCH(M319,""TemperatureResist_""),""+"",REGEXMATCH(M319,""ElementResist_""),""%"",REGEXMATCH(M319,""TemperatureInvalid_""),""bool"",REGEXMATCH(M319,""BodyPartsWeakDamage""),""%"",REGEXMATCH(M319,""Ele"&amp;"mentBoost_""),""%"",AND(REGEXMATCH(F319,""GiveA""),REGEXMATCH(M319,""Element"")),""bool"")"),"#N/A")</f>
        <v>#N/A</v>
      </c>
      <c r="O319" s="6" t="n">
        <v>0</v>
      </c>
      <c r="P319" s="6"/>
      <c r="Q319" s="6"/>
      <c r="R319" s="6" t="str">
        <f aca="false">IFERROR(__xludf.dummyfunction("IFS(Q319=""ShotAttack"",""%"",Q319=""MeleeAttack"",""%"", Q319=""Defense"",""%"",Q319=""CraftSPeed"",""%"",Q319=""LifeSteal"",""%"",Q319=""MaxInventoryWeight"",""+"",Q319=""MoveSpeed"",""%"",REGEXMATCH(Q319,""ElementAddItemDrop_""),""%"",Q319=""Logging"","&amp;"""+"",Q319=""Mining"",""+"",Q319=""Maxhp"",""%"",REGEXMATCH(Q319,""TemperatureResist_""),""+"",REGEXMATCH(Q319,""ElementResist_""),""%"",REGEXMATCH(Q319,""TemperatureInvalid_""),""bool"",REGEXMATCH(Q319,""BodyPartsWeakDamage""),""%"",REGEXMATCH(Q319,""Ele"&amp;"mentBoost_""),""%"",AND(REGEXMATCH(J319,""GiveA""),REGEXMATCH(Q319,""Element"")),""bool"")"),"#N/A")</f>
        <v>#N/A</v>
      </c>
      <c r="S319" s="6" t="n">
        <v>0</v>
      </c>
      <c r="T319" s="6"/>
      <c r="U319" s="319" t="b">
        <f aca="false">FALSE()</f>
        <v>0</v>
      </c>
      <c r="V319" s="319" t="b">
        <f aca="false">FALSE()</f>
        <v>0</v>
      </c>
      <c r="W319" s="319" t="b">
        <f aca="false">TRUE()</f>
        <v>1</v>
      </c>
      <c r="X319" s="319" t="b">
        <f aca="false">FALSE()</f>
        <v>0</v>
      </c>
      <c r="Y319" s="319" t="b">
        <f aca="false">FALSE()</f>
        <v>0</v>
      </c>
      <c r="Z319" s="319" t="b">
        <f aca="false">FALSE()</f>
        <v>0</v>
      </c>
      <c r="AA319" s="319" t="b">
        <f aca="false">FALSE()</f>
        <v>0</v>
      </c>
      <c r="AB319" s="319" t="b">
        <f aca="false">FALSE()</f>
        <v>0</v>
      </c>
      <c r="AC319" s="319" t="b">
        <f aca="false">FALSE()</f>
        <v>0</v>
      </c>
      <c r="AD319" s="319" t="b">
        <f aca="false">FALSE()</f>
        <v>0</v>
      </c>
      <c r="AE319" s="319" t="b">
        <f aca="false">FALSE()</f>
        <v>0</v>
      </c>
      <c r="AF319" s="319" t="b">
        <f aca="false">FALSE()</f>
        <v>0</v>
      </c>
      <c r="AG319" s="6" t="s">
        <v>182</v>
      </c>
      <c r="AH319" s="6" t="s">
        <v>182</v>
      </c>
    </row>
    <row r="320" customFormat="false" ht="15.75" hidden="false" customHeight="false" outlineLevel="0" collapsed="false">
      <c r="A320" s="1" t="e">
        <f aca="false">#N/A</f>
        <v>#N/A</v>
      </c>
      <c r="B320" s="6" t="s">
        <v>895</v>
      </c>
      <c r="C320" s="3"/>
      <c r="D320" s="6" t="str">
        <f aca="false">I320   &amp; IF(ISBLANK(M320),, ". "&amp; M320 &amp; IF(ISBLANK(Q320),, ". "&amp; Q320))</f>
        <v>ElementBoost_Fire</v>
      </c>
      <c r="E320" s="6" t="str">
        <f aca="false">I320  &amp;": # on "&amp; L320  &amp; IF(ISBLANK(M320),, ". "&amp; M320 &amp;": # on "&amp; P320 &amp; IF(ISBLANK(Q320),, ". "&amp; Q320 &amp;": # on "&amp; T320))</f>
        <v>ElementBoost_Fire: # on SelfAndTrainer</v>
      </c>
      <c r="F320" s="6" t="str">
        <f aca="false">IF(U320,"active pal",)  &amp; IF(V320,"working",) &amp; IF(W320,"mounted",) &amp; IF(Y320,"in party (buff)",)  &amp; IF(Z320,"always",)</f>
        <v>mounted</v>
      </c>
      <c r="G320" s="6" t="n">
        <v>1</v>
      </c>
      <c r="H320" s="6" t="s">
        <v>182</v>
      </c>
      <c r="I320" s="6" t="s">
        <v>2254</v>
      </c>
      <c r="J320" s="6" t="str">
        <f aca="false">IFERROR(__xludf.dummyfunction("IFS(I320=""ShotAttack"",""%"",I320=""MeleeAttack"",""%"", I320=""Defense"",""%"",I320=""CraftSPeed"",""%"",I320=""LifeSteal"",""%"",I320=""MaxInventoryWeight"",""+"",I320=""MoveSpeed"",""%"",REGEXMATCH(I320,""ElementAddItemDrop_""),""%"",I320=""Logging"","&amp;"""+"",I320=""Mining"",""+"",I320=""Maxhp"",""%"",REGEXMATCH(I320,""TemperatureResist_""),""+"",REGEXMATCH(I320,""ElementResist_""),""%"",REGEXMATCH(I320,""TemperatureInvalid_""),""bool"",REGEXMATCH(I320,""BodyPartsWeakDamage""),""%"",REGEXMATCH(I320,""Ele"&amp;"mentBoost_""),""%"",AND(REGEXMATCH(B320,""GiveA""),REGEXMATCH(I320,""Element"")),""bool"")"),"%")</f>
        <v>%</v>
      </c>
      <c r="K320" s="6" t="n">
        <v>100</v>
      </c>
      <c r="L320" s="6" t="s">
        <v>2085</v>
      </c>
      <c r="M320" s="6"/>
      <c r="N320" s="6" t="str">
        <f aca="false">IFERROR(__xludf.dummyfunction("IFS(M320=""ShotAttack"",""%"",M320=""MeleeAttack"",""%"", M320=""Defense"",""%"",M320=""CraftSPeed"",""%"",M320=""LifeSteal"",""%"",M320=""MaxInventoryWeight"",""+"",M320=""MoveSpeed"",""%"",REGEXMATCH(M320,""ElementAddItemDrop_""),""%"",M320=""Logging"","&amp;"""+"",M320=""Mining"",""+"",M320=""Maxhp"",""%"",REGEXMATCH(M320,""TemperatureResist_""),""+"",REGEXMATCH(M320,""ElementResist_""),""%"",REGEXMATCH(M320,""TemperatureInvalid_""),""bool"",REGEXMATCH(M320,""BodyPartsWeakDamage""),""%"",REGEXMATCH(M320,""Ele"&amp;"mentBoost_""),""%"",AND(REGEXMATCH(F320,""GiveA""),REGEXMATCH(M320,""Element"")),""bool"")"),"#N/A")</f>
        <v>#N/A</v>
      </c>
      <c r="O320" s="6" t="n">
        <v>0</v>
      </c>
      <c r="P320" s="6"/>
      <c r="Q320" s="6"/>
      <c r="R320" s="6" t="str">
        <f aca="false">IFERROR(__xludf.dummyfunction("IFS(Q320=""ShotAttack"",""%"",Q320=""MeleeAttack"",""%"", Q320=""Defense"",""%"",Q320=""CraftSPeed"",""%"",Q320=""LifeSteal"",""%"",Q320=""MaxInventoryWeight"",""+"",Q320=""MoveSpeed"",""%"",REGEXMATCH(Q320,""ElementAddItemDrop_""),""%"",Q320=""Logging"","&amp;"""+"",Q320=""Mining"",""+"",Q320=""Maxhp"",""%"",REGEXMATCH(Q320,""TemperatureResist_""),""+"",REGEXMATCH(Q320,""ElementResist_""),""%"",REGEXMATCH(Q320,""TemperatureInvalid_""),""bool"",REGEXMATCH(Q320,""BodyPartsWeakDamage""),""%"",REGEXMATCH(Q320,""Ele"&amp;"mentBoost_""),""%"",AND(REGEXMATCH(J320,""GiveA""),REGEXMATCH(Q320,""Element"")),""bool"")"),"#N/A")</f>
        <v>#N/A</v>
      </c>
      <c r="S320" s="6" t="n">
        <v>0</v>
      </c>
      <c r="T320" s="6"/>
      <c r="U320" s="319" t="b">
        <f aca="false">FALSE()</f>
        <v>0</v>
      </c>
      <c r="V320" s="319" t="b">
        <f aca="false">FALSE()</f>
        <v>0</v>
      </c>
      <c r="W320" s="319" t="b">
        <f aca="false">TRUE()</f>
        <v>1</v>
      </c>
      <c r="X320" s="319" t="b">
        <f aca="false">FALSE()</f>
        <v>0</v>
      </c>
      <c r="Y320" s="319" t="b">
        <f aca="false">FALSE()</f>
        <v>0</v>
      </c>
      <c r="Z320" s="319" t="b">
        <f aca="false">FALSE()</f>
        <v>0</v>
      </c>
      <c r="AA320" s="319" t="b">
        <f aca="false">FALSE()</f>
        <v>0</v>
      </c>
      <c r="AB320" s="319" t="b">
        <f aca="false">FALSE()</f>
        <v>0</v>
      </c>
      <c r="AC320" s="319" t="b">
        <f aca="false">FALSE()</f>
        <v>0</v>
      </c>
      <c r="AD320" s="319" t="b">
        <f aca="false">FALSE()</f>
        <v>0</v>
      </c>
      <c r="AE320" s="319" t="b">
        <f aca="false">FALSE()</f>
        <v>0</v>
      </c>
      <c r="AF320" s="319" t="b">
        <f aca="false">FALSE()</f>
        <v>0</v>
      </c>
      <c r="AG320" s="6" t="s">
        <v>182</v>
      </c>
      <c r="AH320" s="6" t="s">
        <v>182</v>
      </c>
    </row>
    <row r="321" customFormat="false" ht="15.75" hidden="false" customHeight="false" outlineLevel="0" collapsed="false">
      <c r="A321" s="1" t="e">
        <f aca="false">#N/A</f>
        <v>#N/A</v>
      </c>
      <c r="B321" s="6" t="s">
        <v>904</v>
      </c>
      <c r="C321" s="3"/>
      <c r="D321" s="6" t="str">
        <f aca="false">I321   &amp; IF(ISBLANK(M321),, ". "&amp; M321 &amp; IF(ISBLANK(Q321),, ". "&amp; Q321))</f>
        <v>ElementBoost_Water</v>
      </c>
      <c r="E321" s="6" t="str">
        <f aca="false">I321  &amp;": # on "&amp; L321  &amp; IF(ISBLANK(M321),, ". "&amp; M321 &amp;": # on "&amp; P321 &amp; IF(ISBLANK(Q321),, ". "&amp; Q321 &amp;": # on "&amp; T321))</f>
        <v>ElementBoost_Water: # on SelfAndTrainer</v>
      </c>
      <c r="F321" s="6" t="str">
        <f aca="false">IF(U321,"active pal",)  &amp; IF(V321,"working",) &amp; IF(W321,"mounted",) &amp; IF(Y321,"in party (buff)",)  &amp; IF(Z321,"always",)</f>
        <v>mounted</v>
      </c>
      <c r="G321" s="6" t="n">
        <v>1</v>
      </c>
      <c r="H321" s="6" t="s">
        <v>182</v>
      </c>
      <c r="I321" s="6" t="s">
        <v>2258</v>
      </c>
      <c r="J321" s="6" t="str">
        <f aca="false">IFERROR(__xludf.dummyfunction("IFS(I321=""ShotAttack"",""%"",I321=""MeleeAttack"",""%"", I321=""Defense"",""%"",I321=""CraftSPeed"",""%"",I321=""LifeSteal"",""%"",I321=""MaxInventoryWeight"",""+"",I321=""MoveSpeed"",""%"",REGEXMATCH(I321,""ElementAddItemDrop_""),""%"",I321=""Logging"","&amp;"""+"",I321=""Mining"",""+"",I321=""Maxhp"",""%"",REGEXMATCH(I321,""TemperatureResist_""),""+"",REGEXMATCH(I321,""ElementResist_""),""%"",REGEXMATCH(I321,""TemperatureInvalid_""),""bool"",REGEXMATCH(I321,""BodyPartsWeakDamage""),""%"",REGEXMATCH(I321,""Ele"&amp;"mentBoost_""),""%"",AND(REGEXMATCH(B321,""GiveA""),REGEXMATCH(I321,""Element"")),""bool"")"),"%")</f>
        <v>%</v>
      </c>
      <c r="K321" s="6" t="n">
        <v>50</v>
      </c>
      <c r="L321" s="6" t="s">
        <v>2085</v>
      </c>
      <c r="M321" s="6"/>
      <c r="N321" s="6" t="str">
        <f aca="false">IFERROR(__xludf.dummyfunction("IFS(M321=""ShotAttack"",""%"",M321=""MeleeAttack"",""%"", M321=""Defense"",""%"",M321=""CraftSPeed"",""%"",M321=""LifeSteal"",""%"",M321=""MaxInventoryWeight"",""+"",M321=""MoveSpeed"",""%"",REGEXMATCH(M321,""ElementAddItemDrop_""),""%"",M321=""Logging"","&amp;"""+"",M321=""Mining"",""+"",M321=""Maxhp"",""%"",REGEXMATCH(M321,""TemperatureResist_""),""+"",REGEXMATCH(M321,""ElementResist_""),""%"",REGEXMATCH(M321,""TemperatureInvalid_""),""bool"",REGEXMATCH(M321,""BodyPartsWeakDamage""),""%"",REGEXMATCH(M321,""Ele"&amp;"mentBoost_""),""%"",AND(REGEXMATCH(F321,""GiveA""),REGEXMATCH(M321,""Element"")),""bool"")"),"#N/A")</f>
        <v>#N/A</v>
      </c>
      <c r="O321" s="6" t="n">
        <v>0</v>
      </c>
      <c r="P321" s="6"/>
      <c r="Q321" s="6"/>
      <c r="R321" s="6" t="str">
        <f aca="false">IFERROR(__xludf.dummyfunction("IFS(Q321=""ShotAttack"",""%"",Q321=""MeleeAttack"",""%"", Q321=""Defense"",""%"",Q321=""CraftSPeed"",""%"",Q321=""LifeSteal"",""%"",Q321=""MaxInventoryWeight"",""+"",Q321=""MoveSpeed"",""%"",REGEXMATCH(Q321,""ElementAddItemDrop_""),""%"",Q321=""Logging"","&amp;"""+"",Q321=""Mining"",""+"",Q321=""Maxhp"",""%"",REGEXMATCH(Q321,""TemperatureResist_""),""+"",REGEXMATCH(Q321,""ElementResist_""),""%"",REGEXMATCH(Q321,""TemperatureInvalid_""),""bool"",REGEXMATCH(Q321,""BodyPartsWeakDamage""),""%"",REGEXMATCH(Q321,""Ele"&amp;"mentBoost_""),""%"",AND(REGEXMATCH(J321,""GiveA""),REGEXMATCH(Q321,""Element"")),""bool"")"),"#N/A")</f>
        <v>#N/A</v>
      </c>
      <c r="S321" s="6" t="n">
        <v>0</v>
      </c>
      <c r="T321" s="6"/>
      <c r="U321" s="319" t="b">
        <f aca="false">FALSE()</f>
        <v>0</v>
      </c>
      <c r="V321" s="319" t="b">
        <f aca="false">FALSE()</f>
        <v>0</v>
      </c>
      <c r="W321" s="319" t="b">
        <f aca="false">TRUE()</f>
        <v>1</v>
      </c>
      <c r="X321" s="319" t="b">
        <f aca="false">FALSE()</f>
        <v>0</v>
      </c>
      <c r="Y321" s="319" t="b">
        <f aca="false">FALSE()</f>
        <v>0</v>
      </c>
      <c r="Z321" s="319" t="b">
        <f aca="false">FALSE()</f>
        <v>0</v>
      </c>
      <c r="AA321" s="319" t="b">
        <f aca="false">FALSE()</f>
        <v>0</v>
      </c>
      <c r="AB321" s="319" t="b">
        <f aca="false">FALSE()</f>
        <v>0</v>
      </c>
      <c r="AC321" s="319" t="b">
        <f aca="false">FALSE()</f>
        <v>0</v>
      </c>
      <c r="AD321" s="319" t="b">
        <f aca="false">FALSE()</f>
        <v>0</v>
      </c>
      <c r="AE321" s="319" t="b">
        <f aca="false">FALSE()</f>
        <v>0</v>
      </c>
      <c r="AF321" s="319" t="b">
        <f aca="false">FALSE()</f>
        <v>0</v>
      </c>
      <c r="AG321" s="6" t="s">
        <v>182</v>
      </c>
      <c r="AH321" s="6" t="s">
        <v>182</v>
      </c>
    </row>
    <row r="322" customFormat="false" ht="15.75" hidden="false" customHeight="false" outlineLevel="0" collapsed="false">
      <c r="A322" s="1" t="e">
        <f aca="false">#N/A</f>
        <v>#N/A</v>
      </c>
      <c r="B322" s="6" t="s">
        <v>905</v>
      </c>
      <c r="C322" s="3"/>
      <c r="D322" s="6" t="str">
        <f aca="false">I322   &amp; IF(ISBLANK(M322),, ". "&amp; M322 &amp; IF(ISBLANK(Q322),, ". "&amp; Q322))</f>
        <v>ElementBoost_Water</v>
      </c>
      <c r="E322" s="6" t="str">
        <f aca="false">I322  &amp;": # on "&amp; L322  &amp; IF(ISBLANK(M322),, ". "&amp; M322 &amp;": # on "&amp; P322 &amp; IF(ISBLANK(Q322),, ". "&amp; Q322 &amp;": # on "&amp; T322))</f>
        <v>ElementBoost_Water: # on SelfAndTrainer</v>
      </c>
      <c r="F322" s="6" t="str">
        <f aca="false">IF(U322,"active pal",)  &amp; IF(V322,"working",) &amp; IF(W322,"mounted",) &amp; IF(Y322,"in party (buff)",)  &amp; IF(Z322,"always",)</f>
        <v>mounted</v>
      </c>
      <c r="G322" s="6" t="n">
        <v>1</v>
      </c>
      <c r="H322" s="6" t="s">
        <v>182</v>
      </c>
      <c r="I322" s="6" t="s">
        <v>2258</v>
      </c>
      <c r="J322" s="6" t="str">
        <f aca="false">IFERROR(__xludf.dummyfunction("IFS(I322=""ShotAttack"",""%"",I322=""MeleeAttack"",""%"", I322=""Defense"",""%"",I322=""CraftSPeed"",""%"",I322=""LifeSteal"",""%"",I322=""MaxInventoryWeight"",""+"",I322=""MoveSpeed"",""%"",REGEXMATCH(I322,""ElementAddItemDrop_""),""%"",I322=""Logging"","&amp;"""+"",I322=""Mining"",""+"",I322=""Maxhp"",""%"",REGEXMATCH(I322,""TemperatureResist_""),""+"",REGEXMATCH(I322,""ElementResist_""),""%"",REGEXMATCH(I322,""TemperatureInvalid_""),""bool"",REGEXMATCH(I322,""BodyPartsWeakDamage""),""%"",REGEXMATCH(I322,""Ele"&amp;"mentBoost_""),""%"",AND(REGEXMATCH(B322,""GiveA""),REGEXMATCH(I322,""Element"")),""bool"")"),"%")</f>
        <v>%</v>
      </c>
      <c r="K322" s="6" t="n">
        <v>55</v>
      </c>
      <c r="L322" s="6" t="s">
        <v>2085</v>
      </c>
      <c r="M322" s="6"/>
      <c r="N322" s="6" t="str">
        <f aca="false">IFERROR(__xludf.dummyfunction("IFS(M322=""ShotAttack"",""%"",M322=""MeleeAttack"",""%"", M322=""Defense"",""%"",M322=""CraftSPeed"",""%"",M322=""LifeSteal"",""%"",M322=""MaxInventoryWeight"",""+"",M322=""MoveSpeed"",""%"",REGEXMATCH(M322,""ElementAddItemDrop_""),""%"",M322=""Logging"","&amp;"""+"",M322=""Mining"",""+"",M322=""Maxhp"",""%"",REGEXMATCH(M322,""TemperatureResist_""),""+"",REGEXMATCH(M322,""ElementResist_""),""%"",REGEXMATCH(M322,""TemperatureInvalid_""),""bool"",REGEXMATCH(M322,""BodyPartsWeakDamage""),""%"",REGEXMATCH(M322,""Ele"&amp;"mentBoost_""),""%"",AND(REGEXMATCH(F322,""GiveA""),REGEXMATCH(M322,""Element"")),""bool"")"),"#N/A")</f>
        <v>#N/A</v>
      </c>
      <c r="O322" s="6" t="n">
        <v>0</v>
      </c>
      <c r="P322" s="6"/>
      <c r="Q322" s="6"/>
      <c r="R322" s="6" t="str">
        <f aca="false">IFERROR(__xludf.dummyfunction("IFS(Q322=""ShotAttack"",""%"",Q322=""MeleeAttack"",""%"", Q322=""Defense"",""%"",Q322=""CraftSPeed"",""%"",Q322=""LifeSteal"",""%"",Q322=""MaxInventoryWeight"",""+"",Q322=""MoveSpeed"",""%"",REGEXMATCH(Q322,""ElementAddItemDrop_""),""%"",Q322=""Logging"","&amp;"""+"",Q322=""Mining"",""+"",Q322=""Maxhp"",""%"",REGEXMATCH(Q322,""TemperatureResist_""),""+"",REGEXMATCH(Q322,""ElementResist_""),""%"",REGEXMATCH(Q322,""TemperatureInvalid_""),""bool"",REGEXMATCH(Q322,""BodyPartsWeakDamage""),""%"",REGEXMATCH(Q322,""Ele"&amp;"mentBoost_""),""%"",AND(REGEXMATCH(J322,""GiveA""),REGEXMATCH(Q322,""Element"")),""bool"")"),"#N/A")</f>
        <v>#N/A</v>
      </c>
      <c r="S322" s="6" t="n">
        <v>0</v>
      </c>
      <c r="T322" s="6"/>
      <c r="U322" s="319" t="b">
        <f aca="false">FALSE()</f>
        <v>0</v>
      </c>
      <c r="V322" s="319" t="b">
        <f aca="false">FALSE()</f>
        <v>0</v>
      </c>
      <c r="W322" s="319" t="b">
        <f aca="false">TRUE()</f>
        <v>1</v>
      </c>
      <c r="X322" s="319" t="b">
        <f aca="false">FALSE()</f>
        <v>0</v>
      </c>
      <c r="Y322" s="319" t="b">
        <f aca="false">FALSE()</f>
        <v>0</v>
      </c>
      <c r="Z322" s="319" t="b">
        <f aca="false">FALSE()</f>
        <v>0</v>
      </c>
      <c r="AA322" s="319" t="b">
        <f aca="false">FALSE()</f>
        <v>0</v>
      </c>
      <c r="AB322" s="319" t="b">
        <f aca="false">FALSE()</f>
        <v>0</v>
      </c>
      <c r="AC322" s="319" t="b">
        <f aca="false">FALSE()</f>
        <v>0</v>
      </c>
      <c r="AD322" s="319" t="b">
        <f aca="false">FALSE()</f>
        <v>0</v>
      </c>
      <c r="AE322" s="319" t="b">
        <f aca="false">FALSE()</f>
        <v>0</v>
      </c>
      <c r="AF322" s="319" t="b">
        <f aca="false">FALSE()</f>
        <v>0</v>
      </c>
      <c r="AG322" s="6" t="s">
        <v>182</v>
      </c>
      <c r="AH322" s="6" t="s">
        <v>182</v>
      </c>
    </row>
    <row r="323" customFormat="false" ht="15.75" hidden="false" customHeight="false" outlineLevel="0" collapsed="false">
      <c r="A323" s="1" t="e">
        <f aca="false">#N/A</f>
        <v>#N/A</v>
      </c>
      <c r="B323" s="6" t="s">
        <v>906</v>
      </c>
      <c r="C323" s="3"/>
      <c r="D323" s="6" t="str">
        <f aca="false">I323   &amp; IF(ISBLANK(M323),, ". "&amp; M323 &amp; IF(ISBLANK(Q323),, ". "&amp; Q323))</f>
        <v>ElementBoost_Water</v>
      </c>
      <c r="E323" s="6" t="str">
        <f aca="false">I323  &amp;": # on "&amp; L323  &amp; IF(ISBLANK(M323),, ". "&amp; M323 &amp;": # on "&amp; P323 &amp; IF(ISBLANK(Q323),, ". "&amp; Q323 &amp;": # on "&amp; T323))</f>
        <v>ElementBoost_Water: # on SelfAndTrainer</v>
      </c>
      <c r="F323" s="6" t="str">
        <f aca="false">IF(U323,"active pal",)  &amp; IF(V323,"working",) &amp; IF(W323,"mounted",) &amp; IF(Y323,"in party (buff)",)  &amp; IF(Z323,"always",)</f>
        <v>mounted</v>
      </c>
      <c r="G323" s="6" t="n">
        <v>1</v>
      </c>
      <c r="H323" s="6" t="s">
        <v>182</v>
      </c>
      <c r="I323" s="6" t="s">
        <v>2258</v>
      </c>
      <c r="J323" s="6" t="str">
        <f aca="false">IFERROR(__xludf.dummyfunction("IFS(I323=""ShotAttack"",""%"",I323=""MeleeAttack"",""%"", I323=""Defense"",""%"",I323=""CraftSPeed"",""%"",I323=""LifeSteal"",""%"",I323=""MaxInventoryWeight"",""+"",I323=""MoveSpeed"",""%"",REGEXMATCH(I323,""ElementAddItemDrop_""),""%"",I323=""Logging"","&amp;"""+"",I323=""Mining"",""+"",I323=""Maxhp"",""%"",REGEXMATCH(I323,""TemperatureResist_""),""+"",REGEXMATCH(I323,""ElementResist_""),""%"",REGEXMATCH(I323,""TemperatureInvalid_""),""bool"",REGEXMATCH(I323,""BodyPartsWeakDamage""),""%"",REGEXMATCH(I323,""Ele"&amp;"mentBoost_""),""%"",AND(REGEXMATCH(B323,""GiveA""),REGEXMATCH(I323,""Element"")),""bool"")"),"%")</f>
        <v>%</v>
      </c>
      <c r="K323" s="6" t="n">
        <v>65</v>
      </c>
      <c r="L323" s="6" t="s">
        <v>2085</v>
      </c>
      <c r="M323" s="6"/>
      <c r="N323" s="6" t="str">
        <f aca="false">IFERROR(__xludf.dummyfunction("IFS(M323=""ShotAttack"",""%"",M323=""MeleeAttack"",""%"", M323=""Defense"",""%"",M323=""CraftSPeed"",""%"",M323=""LifeSteal"",""%"",M323=""MaxInventoryWeight"",""+"",M323=""MoveSpeed"",""%"",REGEXMATCH(M323,""ElementAddItemDrop_""),""%"",M323=""Logging"","&amp;"""+"",M323=""Mining"",""+"",M323=""Maxhp"",""%"",REGEXMATCH(M323,""TemperatureResist_""),""+"",REGEXMATCH(M323,""ElementResist_""),""%"",REGEXMATCH(M323,""TemperatureInvalid_""),""bool"",REGEXMATCH(M323,""BodyPartsWeakDamage""),""%"",REGEXMATCH(M323,""Ele"&amp;"mentBoost_""),""%"",AND(REGEXMATCH(F323,""GiveA""),REGEXMATCH(M323,""Element"")),""bool"")"),"#N/A")</f>
        <v>#N/A</v>
      </c>
      <c r="O323" s="6" t="n">
        <v>0</v>
      </c>
      <c r="P323" s="6"/>
      <c r="Q323" s="6"/>
      <c r="R323" s="6" t="str">
        <f aca="false">IFERROR(__xludf.dummyfunction("IFS(Q323=""ShotAttack"",""%"",Q323=""MeleeAttack"",""%"", Q323=""Defense"",""%"",Q323=""CraftSPeed"",""%"",Q323=""LifeSteal"",""%"",Q323=""MaxInventoryWeight"",""+"",Q323=""MoveSpeed"",""%"",REGEXMATCH(Q323,""ElementAddItemDrop_""),""%"",Q323=""Logging"","&amp;"""+"",Q323=""Mining"",""+"",Q323=""Maxhp"",""%"",REGEXMATCH(Q323,""TemperatureResist_""),""+"",REGEXMATCH(Q323,""ElementResist_""),""%"",REGEXMATCH(Q323,""TemperatureInvalid_""),""bool"",REGEXMATCH(Q323,""BodyPartsWeakDamage""),""%"",REGEXMATCH(Q323,""Ele"&amp;"mentBoost_""),""%"",AND(REGEXMATCH(J323,""GiveA""),REGEXMATCH(Q323,""Element"")),""bool"")"),"#N/A")</f>
        <v>#N/A</v>
      </c>
      <c r="S323" s="6" t="n">
        <v>0</v>
      </c>
      <c r="T323" s="6"/>
      <c r="U323" s="319" t="b">
        <f aca="false">FALSE()</f>
        <v>0</v>
      </c>
      <c r="V323" s="319" t="b">
        <f aca="false">FALSE()</f>
        <v>0</v>
      </c>
      <c r="W323" s="319" t="b">
        <f aca="false">TRUE()</f>
        <v>1</v>
      </c>
      <c r="X323" s="319" t="b">
        <f aca="false">FALSE()</f>
        <v>0</v>
      </c>
      <c r="Y323" s="319" t="b">
        <f aca="false">FALSE()</f>
        <v>0</v>
      </c>
      <c r="Z323" s="319" t="b">
        <f aca="false">FALSE()</f>
        <v>0</v>
      </c>
      <c r="AA323" s="319" t="b">
        <f aca="false">FALSE()</f>
        <v>0</v>
      </c>
      <c r="AB323" s="319" t="b">
        <f aca="false">FALSE()</f>
        <v>0</v>
      </c>
      <c r="AC323" s="319" t="b">
        <f aca="false">FALSE()</f>
        <v>0</v>
      </c>
      <c r="AD323" s="319" t="b">
        <f aca="false">FALSE()</f>
        <v>0</v>
      </c>
      <c r="AE323" s="319" t="b">
        <f aca="false">FALSE()</f>
        <v>0</v>
      </c>
      <c r="AF323" s="319" t="b">
        <f aca="false">FALSE()</f>
        <v>0</v>
      </c>
      <c r="AG323" s="6" t="s">
        <v>182</v>
      </c>
      <c r="AH323" s="6" t="s">
        <v>182</v>
      </c>
    </row>
    <row r="324" customFormat="false" ht="15.75" hidden="false" customHeight="false" outlineLevel="0" collapsed="false">
      <c r="A324" s="1" t="e">
        <f aca="false">#N/A</f>
        <v>#N/A</v>
      </c>
      <c r="B324" s="6" t="s">
        <v>907</v>
      </c>
      <c r="C324" s="3"/>
      <c r="D324" s="6" t="str">
        <f aca="false">I324   &amp; IF(ISBLANK(M324),, ". "&amp; M324 &amp; IF(ISBLANK(Q324),, ". "&amp; Q324))</f>
        <v>ElementBoost_Water</v>
      </c>
      <c r="E324" s="6" t="str">
        <f aca="false">I324  &amp;": # on "&amp; L324  &amp; IF(ISBLANK(M324),, ". "&amp; M324 &amp;": # on "&amp; P324 &amp; IF(ISBLANK(Q324),, ". "&amp; Q324 &amp;": # on "&amp; T324))</f>
        <v>ElementBoost_Water: # on SelfAndTrainer</v>
      </c>
      <c r="F324" s="6" t="str">
        <f aca="false">IF(U324,"active pal",)  &amp; IF(V324,"working",) &amp; IF(W324,"mounted",) &amp; IF(Y324,"in party (buff)",)  &amp; IF(Z324,"always",)</f>
        <v>mounted</v>
      </c>
      <c r="G324" s="6" t="n">
        <v>1</v>
      </c>
      <c r="H324" s="6" t="s">
        <v>182</v>
      </c>
      <c r="I324" s="6" t="s">
        <v>2258</v>
      </c>
      <c r="J324" s="6" t="str">
        <f aca="false">IFERROR(__xludf.dummyfunction("IFS(I324=""ShotAttack"",""%"",I324=""MeleeAttack"",""%"", I324=""Defense"",""%"",I324=""CraftSPeed"",""%"",I324=""LifeSteal"",""%"",I324=""MaxInventoryWeight"",""+"",I324=""MoveSpeed"",""%"",REGEXMATCH(I324,""ElementAddItemDrop_""),""%"",I324=""Logging"","&amp;"""+"",I324=""Mining"",""+"",I324=""Maxhp"",""%"",REGEXMATCH(I324,""TemperatureResist_""),""+"",REGEXMATCH(I324,""ElementResist_""),""%"",REGEXMATCH(I324,""TemperatureInvalid_""),""bool"",REGEXMATCH(I324,""BodyPartsWeakDamage""),""%"",REGEXMATCH(I324,""Ele"&amp;"mentBoost_""),""%"",AND(REGEXMATCH(B324,""GiveA""),REGEXMATCH(I324,""Element"")),""bool"")"),"%")</f>
        <v>%</v>
      </c>
      <c r="K324" s="6" t="n">
        <v>80</v>
      </c>
      <c r="L324" s="6" t="s">
        <v>2085</v>
      </c>
      <c r="M324" s="6"/>
      <c r="N324" s="6" t="str">
        <f aca="false">IFERROR(__xludf.dummyfunction("IFS(M324=""ShotAttack"",""%"",M324=""MeleeAttack"",""%"", M324=""Defense"",""%"",M324=""CraftSPeed"",""%"",M324=""LifeSteal"",""%"",M324=""MaxInventoryWeight"",""+"",M324=""MoveSpeed"",""%"",REGEXMATCH(M324,""ElementAddItemDrop_""),""%"",M324=""Logging"","&amp;"""+"",M324=""Mining"",""+"",M324=""Maxhp"",""%"",REGEXMATCH(M324,""TemperatureResist_""),""+"",REGEXMATCH(M324,""ElementResist_""),""%"",REGEXMATCH(M324,""TemperatureInvalid_""),""bool"",REGEXMATCH(M324,""BodyPartsWeakDamage""),""%"",REGEXMATCH(M324,""Ele"&amp;"mentBoost_""),""%"",AND(REGEXMATCH(F324,""GiveA""),REGEXMATCH(M324,""Element"")),""bool"")"),"#N/A")</f>
        <v>#N/A</v>
      </c>
      <c r="O324" s="6" t="n">
        <v>0</v>
      </c>
      <c r="P324" s="6"/>
      <c r="Q324" s="6"/>
      <c r="R324" s="6" t="str">
        <f aca="false">IFERROR(__xludf.dummyfunction("IFS(Q324=""ShotAttack"",""%"",Q324=""MeleeAttack"",""%"", Q324=""Defense"",""%"",Q324=""CraftSPeed"",""%"",Q324=""LifeSteal"",""%"",Q324=""MaxInventoryWeight"",""+"",Q324=""MoveSpeed"",""%"",REGEXMATCH(Q324,""ElementAddItemDrop_""),""%"",Q324=""Logging"","&amp;"""+"",Q324=""Mining"",""+"",Q324=""Maxhp"",""%"",REGEXMATCH(Q324,""TemperatureResist_""),""+"",REGEXMATCH(Q324,""ElementResist_""),""%"",REGEXMATCH(Q324,""TemperatureInvalid_""),""bool"",REGEXMATCH(Q324,""BodyPartsWeakDamage""),""%"",REGEXMATCH(Q324,""Ele"&amp;"mentBoost_""),""%"",AND(REGEXMATCH(J324,""GiveA""),REGEXMATCH(Q324,""Element"")),""bool"")"),"#N/A")</f>
        <v>#N/A</v>
      </c>
      <c r="S324" s="6" t="n">
        <v>0</v>
      </c>
      <c r="T324" s="6"/>
      <c r="U324" s="319" t="b">
        <f aca="false">FALSE()</f>
        <v>0</v>
      </c>
      <c r="V324" s="319" t="b">
        <f aca="false">FALSE()</f>
        <v>0</v>
      </c>
      <c r="W324" s="319" t="b">
        <f aca="false">TRUE()</f>
        <v>1</v>
      </c>
      <c r="X324" s="319" t="b">
        <f aca="false">FALSE()</f>
        <v>0</v>
      </c>
      <c r="Y324" s="319" t="b">
        <f aca="false">FALSE()</f>
        <v>0</v>
      </c>
      <c r="Z324" s="319" t="b">
        <f aca="false">FALSE()</f>
        <v>0</v>
      </c>
      <c r="AA324" s="319" t="b">
        <f aca="false">FALSE()</f>
        <v>0</v>
      </c>
      <c r="AB324" s="319" t="b">
        <f aca="false">FALSE()</f>
        <v>0</v>
      </c>
      <c r="AC324" s="319" t="b">
        <f aca="false">FALSE()</f>
        <v>0</v>
      </c>
      <c r="AD324" s="319" t="b">
        <f aca="false">FALSE()</f>
        <v>0</v>
      </c>
      <c r="AE324" s="319" t="b">
        <f aca="false">FALSE()</f>
        <v>0</v>
      </c>
      <c r="AF324" s="319" t="b">
        <f aca="false">FALSE()</f>
        <v>0</v>
      </c>
      <c r="AG324" s="6" t="s">
        <v>182</v>
      </c>
      <c r="AH324" s="6" t="s">
        <v>182</v>
      </c>
    </row>
    <row r="325" customFormat="false" ht="15.75" hidden="false" customHeight="false" outlineLevel="0" collapsed="false">
      <c r="A325" s="1" t="e">
        <f aca="false">#N/A</f>
        <v>#N/A</v>
      </c>
      <c r="B325" s="6" t="s">
        <v>908</v>
      </c>
      <c r="C325" s="3"/>
      <c r="D325" s="6" t="str">
        <f aca="false">I325   &amp; IF(ISBLANK(M325),, ". "&amp; M325 &amp; IF(ISBLANK(Q325),, ". "&amp; Q325))</f>
        <v>ElementBoost_Water</v>
      </c>
      <c r="E325" s="6" t="str">
        <f aca="false">I325  &amp;": # on "&amp; L325  &amp; IF(ISBLANK(M325),, ". "&amp; M325 &amp;": # on "&amp; P325 &amp; IF(ISBLANK(Q325),, ". "&amp; Q325 &amp;": # on "&amp; T325))</f>
        <v>ElementBoost_Water: # on SelfAndTrainer</v>
      </c>
      <c r="F325" s="6" t="str">
        <f aca="false">IF(U325,"active pal",)  &amp; IF(V325,"working",) &amp; IF(W325,"mounted",) &amp; IF(Y325,"in party (buff)",)  &amp; IF(Z325,"always",)</f>
        <v>mounted</v>
      </c>
      <c r="G325" s="6" t="n">
        <v>1</v>
      </c>
      <c r="H325" s="6" t="s">
        <v>182</v>
      </c>
      <c r="I325" s="6" t="s">
        <v>2258</v>
      </c>
      <c r="J325" s="6" t="str">
        <f aca="false">IFERROR(__xludf.dummyfunction("IFS(I325=""ShotAttack"",""%"",I325=""MeleeAttack"",""%"", I325=""Defense"",""%"",I325=""CraftSPeed"",""%"",I325=""LifeSteal"",""%"",I325=""MaxInventoryWeight"",""+"",I325=""MoveSpeed"",""%"",REGEXMATCH(I325,""ElementAddItemDrop_""),""%"",I325=""Logging"","&amp;"""+"",I325=""Mining"",""+"",I325=""Maxhp"",""%"",REGEXMATCH(I325,""TemperatureResist_""),""+"",REGEXMATCH(I325,""ElementResist_""),""%"",REGEXMATCH(I325,""TemperatureInvalid_""),""bool"",REGEXMATCH(I325,""BodyPartsWeakDamage""),""%"",REGEXMATCH(I325,""Ele"&amp;"mentBoost_""),""%"",AND(REGEXMATCH(B325,""GiveA""),REGEXMATCH(I325,""Element"")),""bool"")"),"%")</f>
        <v>%</v>
      </c>
      <c r="K325" s="6" t="n">
        <v>100</v>
      </c>
      <c r="L325" s="6" t="s">
        <v>2085</v>
      </c>
      <c r="M325" s="6"/>
      <c r="N325" s="6" t="str">
        <f aca="false">IFERROR(__xludf.dummyfunction("IFS(M325=""ShotAttack"",""%"",M325=""MeleeAttack"",""%"", M325=""Defense"",""%"",M325=""CraftSPeed"",""%"",M325=""LifeSteal"",""%"",M325=""MaxInventoryWeight"",""+"",M325=""MoveSpeed"",""%"",REGEXMATCH(M325,""ElementAddItemDrop_""),""%"",M325=""Logging"","&amp;"""+"",M325=""Mining"",""+"",M325=""Maxhp"",""%"",REGEXMATCH(M325,""TemperatureResist_""),""+"",REGEXMATCH(M325,""ElementResist_""),""%"",REGEXMATCH(M325,""TemperatureInvalid_""),""bool"",REGEXMATCH(M325,""BodyPartsWeakDamage""),""%"",REGEXMATCH(M325,""Ele"&amp;"mentBoost_""),""%"",AND(REGEXMATCH(F325,""GiveA""),REGEXMATCH(M325,""Element"")),""bool"")"),"#N/A")</f>
        <v>#N/A</v>
      </c>
      <c r="O325" s="6" t="n">
        <v>0</v>
      </c>
      <c r="P325" s="6"/>
      <c r="Q325" s="6"/>
      <c r="R325" s="6" t="str">
        <f aca="false">IFERROR(__xludf.dummyfunction("IFS(Q325=""ShotAttack"",""%"",Q325=""MeleeAttack"",""%"", Q325=""Defense"",""%"",Q325=""CraftSPeed"",""%"",Q325=""LifeSteal"",""%"",Q325=""MaxInventoryWeight"",""+"",Q325=""MoveSpeed"",""%"",REGEXMATCH(Q325,""ElementAddItemDrop_""),""%"",Q325=""Logging"","&amp;"""+"",Q325=""Mining"",""+"",Q325=""Maxhp"",""%"",REGEXMATCH(Q325,""TemperatureResist_""),""+"",REGEXMATCH(Q325,""ElementResist_""),""%"",REGEXMATCH(Q325,""TemperatureInvalid_""),""bool"",REGEXMATCH(Q325,""BodyPartsWeakDamage""),""%"",REGEXMATCH(Q325,""Ele"&amp;"mentBoost_""),""%"",AND(REGEXMATCH(J325,""GiveA""),REGEXMATCH(Q325,""Element"")),""bool"")"),"#N/A")</f>
        <v>#N/A</v>
      </c>
      <c r="S325" s="6" t="n">
        <v>0</v>
      </c>
      <c r="T325" s="6"/>
      <c r="U325" s="319" t="b">
        <f aca="false">FALSE()</f>
        <v>0</v>
      </c>
      <c r="V325" s="319" t="b">
        <f aca="false">FALSE()</f>
        <v>0</v>
      </c>
      <c r="W325" s="319" t="b">
        <f aca="false">TRUE()</f>
        <v>1</v>
      </c>
      <c r="X325" s="319" t="b">
        <f aca="false">FALSE()</f>
        <v>0</v>
      </c>
      <c r="Y325" s="319" t="b">
        <f aca="false">FALSE()</f>
        <v>0</v>
      </c>
      <c r="Z325" s="319" t="b">
        <f aca="false">FALSE()</f>
        <v>0</v>
      </c>
      <c r="AA325" s="319" t="b">
        <f aca="false">FALSE()</f>
        <v>0</v>
      </c>
      <c r="AB325" s="319" t="b">
        <f aca="false">FALSE()</f>
        <v>0</v>
      </c>
      <c r="AC325" s="319" t="b">
        <f aca="false">FALSE()</f>
        <v>0</v>
      </c>
      <c r="AD325" s="319" t="b">
        <f aca="false">FALSE()</f>
        <v>0</v>
      </c>
      <c r="AE325" s="319" t="b">
        <f aca="false">FALSE()</f>
        <v>0</v>
      </c>
      <c r="AF325" s="319" t="b">
        <f aca="false">FALSE()</f>
        <v>0</v>
      </c>
      <c r="AG325" s="6" t="s">
        <v>182</v>
      </c>
      <c r="AH325" s="6" t="s">
        <v>182</v>
      </c>
    </row>
    <row r="326" customFormat="false" ht="15.75" hidden="false" customHeight="false" outlineLevel="0" collapsed="false">
      <c r="A326" s="1" t="e">
        <f aca="false">#N/A</f>
        <v>#N/A</v>
      </c>
      <c r="B326" s="6" t="s">
        <v>999</v>
      </c>
      <c r="C326" s="3"/>
      <c r="D326" s="6" t="str">
        <f aca="false">I326   &amp; IF(ISBLANK(M326),, ". "&amp; M326 &amp; IF(ISBLANK(Q326),, ". "&amp; Q326))</f>
        <v>ElementBoost_Electricity</v>
      </c>
      <c r="E326" s="6" t="str">
        <f aca="false">I326  &amp;": # on "&amp; L326  &amp; IF(ISBLANK(M326),, ". "&amp; M326 &amp;": # on "&amp; P326 &amp; IF(ISBLANK(Q326),, ". "&amp; Q326 &amp;": # on "&amp; T326))</f>
        <v>ElementBoost_Electricity: # on SelfAndTrainer</v>
      </c>
      <c r="F326" s="6" t="str">
        <f aca="false">IF(U326,"active pal",)  &amp; IF(V326,"working",) &amp; IF(W326,"mounted",) &amp; IF(Y326,"in party (buff)",)  &amp; IF(Z326,"always",)</f>
        <v>mounted</v>
      </c>
      <c r="G326" s="6" t="n">
        <v>1</v>
      </c>
      <c r="H326" s="6" t="s">
        <v>182</v>
      </c>
      <c r="I326" s="6" t="s">
        <v>2262</v>
      </c>
      <c r="J326" s="6" t="str">
        <f aca="false">IFERROR(__xludf.dummyfunction("IFS(I326=""ShotAttack"",""%"",I326=""MeleeAttack"",""%"", I326=""Defense"",""%"",I326=""CraftSPeed"",""%"",I326=""LifeSteal"",""%"",I326=""MaxInventoryWeight"",""+"",I326=""MoveSpeed"",""%"",REGEXMATCH(I326,""ElementAddItemDrop_""),""%"",I326=""Logging"","&amp;"""+"",I326=""Mining"",""+"",I326=""Maxhp"",""%"",REGEXMATCH(I326,""TemperatureResist_""),""+"",REGEXMATCH(I326,""ElementResist_""),""%"",REGEXMATCH(I326,""TemperatureInvalid_""),""bool"",REGEXMATCH(I326,""BodyPartsWeakDamage""),""%"",REGEXMATCH(I326,""Ele"&amp;"mentBoost_""),""%"",AND(REGEXMATCH(B326,""GiveA""),REGEXMATCH(I326,""Element"")),""bool"")"),"%")</f>
        <v>%</v>
      </c>
      <c r="K326" s="6" t="n">
        <v>50</v>
      </c>
      <c r="L326" s="6" t="s">
        <v>2085</v>
      </c>
      <c r="M326" s="6"/>
      <c r="N326" s="6" t="str">
        <f aca="false">IFERROR(__xludf.dummyfunction("IFS(M326=""ShotAttack"",""%"",M326=""MeleeAttack"",""%"", M326=""Defense"",""%"",M326=""CraftSPeed"",""%"",M326=""LifeSteal"",""%"",M326=""MaxInventoryWeight"",""+"",M326=""MoveSpeed"",""%"",REGEXMATCH(M326,""ElementAddItemDrop_""),""%"",M326=""Logging"","&amp;"""+"",M326=""Mining"",""+"",M326=""Maxhp"",""%"",REGEXMATCH(M326,""TemperatureResist_""),""+"",REGEXMATCH(M326,""ElementResist_""),""%"",REGEXMATCH(M326,""TemperatureInvalid_""),""bool"",REGEXMATCH(M326,""BodyPartsWeakDamage""),""%"",REGEXMATCH(M326,""Ele"&amp;"mentBoost_""),""%"",AND(REGEXMATCH(F326,""GiveA""),REGEXMATCH(M326,""Element"")),""bool"")"),"#N/A")</f>
        <v>#N/A</v>
      </c>
      <c r="O326" s="6" t="n">
        <v>0</v>
      </c>
      <c r="P326" s="6"/>
      <c r="Q326" s="6"/>
      <c r="R326" s="6" t="str">
        <f aca="false">IFERROR(__xludf.dummyfunction("IFS(Q326=""ShotAttack"",""%"",Q326=""MeleeAttack"",""%"", Q326=""Defense"",""%"",Q326=""CraftSPeed"",""%"",Q326=""LifeSteal"",""%"",Q326=""MaxInventoryWeight"",""+"",Q326=""MoveSpeed"",""%"",REGEXMATCH(Q326,""ElementAddItemDrop_""),""%"",Q326=""Logging"","&amp;"""+"",Q326=""Mining"",""+"",Q326=""Maxhp"",""%"",REGEXMATCH(Q326,""TemperatureResist_""),""+"",REGEXMATCH(Q326,""ElementResist_""),""%"",REGEXMATCH(Q326,""TemperatureInvalid_""),""bool"",REGEXMATCH(Q326,""BodyPartsWeakDamage""),""%"",REGEXMATCH(Q326,""Ele"&amp;"mentBoost_""),""%"",AND(REGEXMATCH(J326,""GiveA""),REGEXMATCH(Q326,""Element"")),""bool"")"),"#N/A")</f>
        <v>#N/A</v>
      </c>
      <c r="S326" s="6" t="n">
        <v>0</v>
      </c>
      <c r="T326" s="6"/>
      <c r="U326" s="319" t="b">
        <f aca="false">FALSE()</f>
        <v>0</v>
      </c>
      <c r="V326" s="319" t="b">
        <f aca="false">FALSE()</f>
        <v>0</v>
      </c>
      <c r="W326" s="319" t="b">
        <f aca="false">TRUE()</f>
        <v>1</v>
      </c>
      <c r="X326" s="319" t="b">
        <f aca="false">FALSE()</f>
        <v>0</v>
      </c>
      <c r="Y326" s="319" t="b">
        <f aca="false">FALSE()</f>
        <v>0</v>
      </c>
      <c r="Z326" s="319" t="b">
        <f aca="false">FALSE()</f>
        <v>0</v>
      </c>
      <c r="AA326" s="319" t="b">
        <f aca="false">FALSE()</f>
        <v>0</v>
      </c>
      <c r="AB326" s="319" t="b">
        <f aca="false">FALSE()</f>
        <v>0</v>
      </c>
      <c r="AC326" s="319" t="b">
        <f aca="false">FALSE()</f>
        <v>0</v>
      </c>
      <c r="AD326" s="319" t="b">
        <f aca="false">FALSE()</f>
        <v>0</v>
      </c>
      <c r="AE326" s="319" t="b">
        <f aca="false">FALSE()</f>
        <v>0</v>
      </c>
      <c r="AF326" s="319" t="b">
        <f aca="false">FALSE()</f>
        <v>0</v>
      </c>
      <c r="AG326" s="6" t="s">
        <v>182</v>
      </c>
      <c r="AH326" s="6" t="s">
        <v>182</v>
      </c>
    </row>
    <row r="327" customFormat="false" ht="15.75" hidden="false" customHeight="false" outlineLevel="0" collapsed="false">
      <c r="A327" s="1" t="e">
        <f aca="false">#N/A</f>
        <v>#N/A</v>
      </c>
      <c r="B327" s="6" t="s">
        <v>1000</v>
      </c>
      <c r="C327" s="3"/>
      <c r="D327" s="6" t="str">
        <f aca="false">I327   &amp; IF(ISBLANK(M327),, ". "&amp; M327 &amp; IF(ISBLANK(Q327),, ". "&amp; Q327))</f>
        <v>ElementBoost_Electricity</v>
      </c>
      <c r="E327" s="6" t="str">
        <f aca="false">I327  &amp;": # on "&amp; L327  &amp; IF(ISBLANK(M327),, ". "&amp; M327 &amp;": # on "&amp; P327 &amp; IF(ISBLANK(Q327),, ". "&amp; Q327 &amp;": # on "&amp; T327))</f>
        <v>ElementBoost_Electricity: # on SelfAndTrainer</v>
      </c>
      <c r="F327" s="6" t="str">
        <f aca="false">IF(U327,"active pal",)  &amp; IF(V327,"working",) &amp; IF(W327,"mounted",) &amp; IF(Y327,"in party (buff)",)  &amp; IF(Z327,"always",)</f>
        <v>mounted</v>
      </c>
      <c r="G327" s="6" t="n">
        <v>1</v>
      </c>
      <c r="H327" s="6" t="s">
        <v>182</v>
      </c>
      <c r="I327" s="6" t="s">
        <v>2262</v>
      </c>
      <c r="J327" s="6" t="str">
        <f aca="false">IFERROR(__xludf.dummyfunction("IFS(I327=""ShotAttack"",""%"",I327=""MeleeAttack"",""%"", I327=""Defense"",""%"",I327=""CraftSPeed"",""%"",I327=""LifeSteal"",""%"",I327=""MaxInventoryWeight"",""+"",I327=""MoveSpeed"",""%"",REGEXMATCH(I327,""ElementAddItemDrop_""),""%"",I327=""Logging"","&amp;"""+"",I327=""Mining"",""+"",I327=""Maxhp"",""%"",REGEXMATCH(I327,""TemperatureResist_""),""+"",REGEXMATCH(I327,""ElementResist_""),""%"",REGEXMATCH(I327,""TemperatureInvalid_""),""bool"",REGEXMATCH(I327,""BodyPartsWeakDamage""),""%"",REGEXMATCH(I327,""Ele"&amp;"mentBoost_""),""%"",AND(REGEXMATCH(B327,""GiveA""),REGEXMATCH(I327,""Element"")),""bool"")"),"%")</f>
        <v>%</v>
      </c>
      <c r="K327" s="6" t="n">
        <v>55</v>
      </c>
      <c r="L327" s="6" t="s">
        <v>2085</v>
      </c>
      <c r="M327" s="6"/>
      <c r="N327" s="6" t="str">
        <f aca="false">IFERROR(__xludf.dummyfunction("IFS(M327=""ShotAttack"",""%"",M327=""MeleeAttack"",""%"", M327=""Defense"",""%"",M327=""CraftSPeed"",""%"",M327=""LifeSteal"",""%"",M327=""MaxInventoryWeight"",""+"",M327=""MoveSpeed"",""%"",REGEXMATCH(M327,""ElementAddItemDrop_""),""%"",M327=""Logging"","&amp;"""+"",M327=""Mining"",""+"",M327=""Maxhp"",""%"",REGEXMATCH(M327,""TemperatureResist_""),""+"",REGEXMATCH(M327,""ElementResist_""),""%"",REGEXMATCH(M327,""TemperatureInvalid_""),""bool"",REGEXMATCH(M327,""BodyPartsWeakDamage""),""%"",REGEXMATCH(M327,""Ele"&amp;"mentBoost_""),""%"",AND(REGEXMATCH(F327,""GiveA""),REGEXMATCH(M327,""Element"")),""bool"")"),"#N/A")</f>
        <v>#N/A</v>
      </c>
      <c r="O327" s="6" t="n">
        <v>0</v>
      </c>
      <c r="P327" s="6"/>
      <c r="Q327" s="6"/>
      <c r="R327" s="6" t="str">
        <f aca="false">IFERROR(__xludf.dummyfunction("IFS(Q327=""ShotAttack"",""%"",Q327=""MeleeAttack"",""%"", Q327=""Defense"",""%"",Q327=""CraftSPeed"",""%"",Q327=""LifeSteal"",""%"",Q327=""MaxInventoryWeight"",""+"",Q327=""MoveSpeed"",""%"",REGEXMATCH(Q327,""ElementAddItemDrop_""),""%"",Q327=""Logging"","&amp;"""+"",Q327=""Mining"",""+"",Q327=""Maxhp"",""%"",REGEXMATCH(Q327,""TemperatureResist_""),""+"",REGEXMATCH(Q327,""ElementResist_""),""%"",REGEXMATCH(Q327,""TemperatureInvalid_""),""bool"",REGEXMATCH(Q327,""BodyPartsWeakDamage""),""%"",REGEXMATCH(Q327,""Ele"&amp;"mentBoost_""),""%"",AND(REGEXMATCH(J327,""GiveA""),REGEXMATCH(Q327,""Element"")),""bool"")"),"#N/A")</f>
        <v>#N/A</v>
      </c>
      <c r="S327" s="6" t="n">
        <v>0</v>
      </c>
      <c r="T327" s="6"/>
      <c r="U327" s="319" t="b">
        <f aca="false">FALSE()</f>
        <v>0</v>
      </c>
      <c r="V327" s="319" t="b">
        <f aca="false">FALSE()</f>
        <v>0</v>
      </c>
      <c r="W327" s="319" t="b">
        <f aca="false">TRUE()</f>
        <v>1</v>
      </c>
      <c r="X327" s="319" t="b">
        <f aca="false">FALSE()</f>
        <v>0</v>
      </c>
      <c r="Y327" s="319" t="b">
        <f aca="false">FALSE()</f>
        <v>0</v>
      </c>
      <c r="Z327" s="319" t="b">
        <f aca="false">FALSE()</f>
        <v>0</v>
      </c>
      <c r="AA327" s="319" t="b">
        <f aca="false">FALSE()</f>
        <v>0</v>
      </c>
      <c r="AB327" s="319" t="b">
        <f aca="false">FALSE()</f>
        <v>0</v>
      </c>
      <c r="AC327" s="319" t="b">
        <f aca="false">FALSE()</f>
        <v>0</v>
      </c>
      <c r="AD327" s="319" t="b">
        <f aca="false">FALSE()</f>
        <v>0</v>
      </c>
      <c r="AE327" s="319" t="b">
        <f aca="false">FALSE()</f>
        <v>0</v>
      </c>
      <c r="AF327" s="319" t="b">
        <f aca="false">FALSE()</f>
        <v>0</v>
      </c>
      <c r="AG327" s="6" t="s">
        <v>182</v>
      </c>
      <c r="AH327" s="6" t="s">
        <v>182</v>
      </c>
    </row>
    <row r="328" customFormat="false" ht="15.75" hidden="false" customHeight="false" outlineLevel="0" collapsed="false">
      <c r="A328" s="1" t="e">
        <f aca="false">#N/A</f>
        <v>#N/A</v>
      </c>
      <c r="B328" s="6" t="s">
        <v>1001</v>
      </c>
      <c r="C328" s="3"/>
      <c r="D328" s="6" t="str">
        <f aca="false">I328   &amp; IF(ISBLANK(M328),, ". "&amp; M328 &amp; IF(ISBLANK(Q328),, ". "&amp; Q328))</f>
        <v>ElementBoost_Electricity</v>
      </c>
      <c r="E328" s="6" t="str">
        <f aca="false">I328  &amp;": # on "&amp; L328  &amp; IF(ISBLANK(M328),, ". "&amp; M328 &amp;": # on "&amp; P328 &amp; IF(ISBLANK(Q328),, ". "&amp; Q328 &amp;": # on "&amp; T328))</f>
        <v>ElementBoost_Electricity: # on SelfAndTrainer</v>
      </c>
      <c r="F328" s="6" t="str">
        <f aca="false">IF(U328,"active pal",)  &amp; IF(V328,"working",) &amp; IF(W328,"mounted",) &amp; IF(Y328,"in party (buff)",)  &amp; IF(Z328,"always",)</f>
        <v>mounted</v>
      </c>
      <c r="G328" s="6" t="n">
        <v>1</v>
      </c>
      <c r="H328" s="6" t="s">
        <v>182</v>
      </c>
      <c r="I328" s="6" t="s">
        <v>2262</v>
      </c>
      <c r="J328" s="6" t="str">
        <f aca="false">IFERROR(__xludf.dummyfunction("IFS(I328=""ShotAttack"",""%"",I328=""MeleeAttack"",""%"", I328=""Defense"",""%"",I328=""CraftSPeed"",""%"",I328=""LifeSteal"",""%"",I328=""MaxInventoryWeight"",""+"",I328=""MoveSpeed"",""%"",REGEXMATCH(I328,""ElementAddItemDrop_""),""%"",I328=""Logging"","&amp;"""+"",I328=""Mining"",""+"",I328=""Maxhp"",""%"",REGEXMATCH(I328,""TemperatureResist_""),""+"",REGEXMATCH(I328,""ElementResist_""),""%"",REGEXMATCH(I328,""TemperatureInvalid_""),""bool"",REGEXMATCH(I328,""BodyPartsWeakDamage""),""%"",REGEXMATCH(I328,""Ele"&amp;"mentBoost_""),""%"",AND(REGEXMATCH(B328,""GiveA""),REGEXMATCH(I328,""Element"")),""bool"")"),"%")</f>
        <v>%</v>
      </c>
      <c r="K328" s="6" t="n">
        <v>65</v>
      </c>
      <c r="L328" s="6" t="s">
        <v>2085</v>
      </c>
      <c r="M328" s="6"/>
      <c r="N328" s="6" t="str">
        <f aca="false">IFERROR(__xludf.dummyfunction("IFS(M328=""ShotAttack"",""%"",M328=""MeleeAttack"",""%"", M328=""Defense"",""%"",M328=""CraftSPeed"",""%"",M328=""LifeSteal"",""%"",M328=""MaxInventoryWeight"",""+"",M328=""MoveSpeed"",""%"",REGEXMATCH(M328,""ElementAddItemDrop_""),""%"",M328=""Logging"","&amp;"""+"",M328=""Mining"",""+"",M328=""Maxhp"",""%"",REGEXMATCH(M328,""TemperatureResist_""),""+"",REGEXMATCH(M328,""ElementResist_""),""%"",REGEXMATCH(M328,""TemperatureInvalid_""),""bool"",REGEXMATCH(M328,""BodyPartsWeakDamage""),""%"",REGEXMATCH(M328,""Ele"&amp;"mentBoost_""),""%"",AND(REGEXMATCH(F328,""GiveA""),REGEXMATCH(M328,""Element"")),""bool"")"),"#N/A")</f>
        <v>#N/A</v>
      </c>
      <c r="O328" s="6" t="n">
        <v>0</v>
      </c>
      <c r="P328" s="6"/>
      <c r="Q328" s="6"/>
      <c r="R328" s="6" t="str">
        <f aca="false">IFERROR(__xludf.dummyfunction("IFS(Q328=""ShotAttack"",""%"",Q328=""MeleeAttack"",""%"", Q328=""Defense"",""%"",Q328=""CraftSPeed"",""%"",Q328=""LifeSteal"",""%"",Q328=""MaxInventoryWeight"",""+"",Q328=""MoveSpeed"",""%"",REGEXMATCH(Q328,""ElementAddItemDrop_""),""%"",Q328=""Logging"","&amp;"""+"",Q328=""Mining"",""+"",Q328=""Maxhp"",""%"",REGEXMATCH(Q328,""TemperatureResist_""),""+"",REGEXMATCH(Q328,""ElementResist_""),""%"",REGEXMATCH(Q328,""TemperatureInvalid_""),""bool"",REGEXMATCH(Q328,""BodyPartsWeakDamage""),""%"",REGEXMATCH(Q328,""Ele"&amp;"mentBoost_""),""%"",AND(REGEXMATCH(J328,""GiveA""),REGEXMATCH(Q328,""Element"")),""bool"")"),"#N/A")</f>
        <v>#N/A</v>
      </c>
      <c r="S328" s="6" t="n">
        <v>0</v>
      </c>
      <c r="T328" s="6"/>
      <c r="U328" s="319" t="b">
        <f aca="false">FALSE()</f>
        <v>0</v>
      </c>
      <c r="V328" s="319" t="b">
        <f aca="false">FALSE()</f>
        <v>0</v>
      </c>
      <c r="W328" s="319" t="b">
        <f aca="false">TRUE()</f>
        <v>1</v>
      </c>
      <c r="X328" s="319" t="b">
        <f aca="false">FALSE()</f>
        <v>0</v>
      </c>
      <c r="Y328" s="319" t="b">
        <f aca="false">FALSE()</f>
        <v>0</v>
      </c>
      <c r="Z328" s="319" t="b">
        <f aca="false">FALSE()</f>
        <v>0</v>
      </c>
      <c r="AA328" s="319" t="b">
        <f aca="false">FALSE()</f>
        <v>0</v>
      </c>
      <c r="AB328" s="319" t="b">
        <f aca="false">FALSE()</f>
        <v>0</v>
      </c>
      <c r="AC328" s="319" t="b">
        <f aca="false">FALSE()</f>
        <v>0</v>
      </c>
      <c r="AD328" s="319" t="b">
        <f aca="false">FALSE()</f>
        <v>0</v>
      </c>
      <c r="AE328" s="319" t="b">
        <f aca="false">FALSE()</f>
        <v>0</v>
      </c>
      <c r="AF328" s="319" t="b">
        <f aca="false">FALSE()</f>
        <v>0</v>
      </c>
      <c r="AG328" s="6" t="s">
        <v>182</v>
      </c>
      <c r="AH328" s="6" t="s">
        <v>182</v>
      </c>
    </row>
    <row r="329" customFormat="false" ht="15.75" hidden="false" customHeight="false" outlineLevel="0" collapsed="false">
      <c r="A329" s="1" t="e">
        <f aca="false">#N/A</f>
        <v>#N/A</v>
      </c>
      <c r="B329" s="6" t="s">
        <v>1002</v>
      </c>
      <c r="C329" s="3"/>
      <c r="D329" s="6" t="str">
        <f aca="false">I329   &amp; IF(ISBLANK(M329),, ". "&amp; M329 &amp; IF(ISBLANK(Q329),, ". "&amp; Q329))</f>
        <v>ElementBoost_Electricity</v>
      </c>
      <c r="E329" s="6" t="str">
        <f aca="false">I329  &amp;": # on "&amp; L329  &amp; IF(ISBLANK(M329),, ". "&amp; M329 &amp;": # on "&amp; P329 &amp; IF(ISBLANK(Q329),, ". "&amp; Q329 &amp;": # on "&amp; T329))</f>
        <v>ElementBoost_Electricity: # on SelfAndTrainer</v>
      </c>
      <c r="F329" s="6" t="str">
        <f aca="false">IF(U329,"active pal",)  &amp; IF(V329,"working",) &amp; IF(W329,"mounted",) &amp; IF(Y329,"in party (buff)",)  &amp; IF(Z329,"always",)</f>
        <v>mounted</v>
      </c>
      <c r="G329" s="6" t="n">
        <v>1</v>
      </c>
      <c r="H329" s="6" t="s">
        <v>182</v>
      </c>
      <c r="I329" s="6" t="s">
        <v>2262</v>
      </c>
      <c r="J329" s="6" t="str">
        <f aca="false">IFERROR(__xludf.dummyfunction("IFS(I329=""ShotAttack"",""%"",I329=""MeleeAttack"",""%"", I329=""Defense"",""%"",I329=""CraftSPeed"",""%"",I329=""LifeSteal"",""%"",I329=""MaxInventoryWeight"",""+"",I329=""MoveSpeed"",""%"",REGEXMATCH(I329,""ElementAddItemDrop_""),""%"",I329=""Logging"","&amp;"""+"",I329=""Mining"",""+"",I329=""Maxhp"",""%"",REGEXMATCH(I329,""TemperatureResist_""),""+"",REGEXMATCH(I329,""ElementResist_""),""%"",REGEXMATCH(I329,""TemperatureInvalid_""),""bool"",REGEXMATCH(I329,""BodyPartsWeakDamage""),""%"",REGEXMATCH(I329,""Ele"&amp;"mentBoost_""),""%"",AND(REGEXMATCH(B329,""GiveA""),REGEXMATCH(I329,""Element"")),""bool"")"),"%")</f>
        <v>%</v>
      </c>
      <c r="K329" s="6" t="n">
        <v>80</v>
      </c>
      <c r="L329" s="6" t="s">
        <v>2085</v>
      </c>
      <c r="M329" s="6"/>
      <c r="N329" s="6" t="str">
        <f aca="false">IFERROR(__xludf.dummyfunction("IFS(M329=""ShotAttack"",""%"",M329=""MeleeAttack"",""%"", M329=""Defense"",""%"",M329=""CraftSPeed"",""%"",M329=""LifeSteal"",""%"",M329=""MaxInventoryWeight"",""+"",M329=""MoveSpeed"",""%"",REGEXMATCH(M329,""ElementAddItemDrop_""),""%"",M329=""Logging"","&amp;"""+"",M329=""Mining"",""+"",M329=""Maxhp"",""%"",REGEXMATCH(M329,""TemperatureResist_""),""+"",REGEXMATCH(M329,""ElementResist_""),""%"",REGEXMATCH(M329,""TemperatureInvalid_""),""bool"",REGEXMATCH(M329,""BodyPartsWeakDamage""),""%"",REGEXMATCH(M329,""Ele"&amp;"mentBoost_""),""%"",AND(REGEXMATCH(F329,""GiveA""),REGEXMATCH(M329,""Element"")),""bool"")"),"#N/A")</f>
        <v>#N/A</v>
      </c>
      <c r="O329" s="6" t="n">
        <v>0</v>
      </c>
      <c r="P329" s="6"/>
      <c r="Q329" s="6"/>
      <c r="R329" s="6" t="str">
        <f aca="false">IFERROR(__xludf.dummyfunction("IFS(Q329=""ShotAttack"",""%"",Q329=""MeleeAttack"",""%"", Q329=""Defense"",""%"",Q329=""CraftSPeed"",""%"",Q329=""LifeSteal"",""%"",Q329=""MaxInventoryWeight"",""+"",Q329=""MoveSpeed"",""%"",REGEXMATCH(Q329,""ElementAddItemDrop_""),""%"",Q329=""Logging"","&amp;"""+"",Q329=""Mining"",""+"",Q329=""Maxhp"",""%"",REGEXMATCH(Q329,""TemperatureResist_""),""+"",REGEXMATCH(Q329,""ElementResist_""),""%"",REGEXMATCH(Q329,""TemperatureInvalid_""),""bool"",REGEXMATCH(Q329,""BodyPartsWeakDamage""),""%"",REGEXMATCH(Q329,""Ele"&amp;"mentBoost_""),""%"",AND(REGEXMATCH(J329,""GiveA""),REGEXMATCH(Q329,""Element"")),""bool"")"),"#N/A")</f>
        <v>#N/A</v>
      </c>
      <c r="S329" s="6" t="n">
        <v>0</v>
      </c>
      <c r="T329" s="6"/>
      <c r="U329" s="319" t="b">
        <f aca="false">FALSE()</f>
        <v>0</v>
      </c>
      <c r="V329" s="319" t="b">
        <f aca="false">FALSE()</f>
        <v>0</v>
      </c>
      <c r="W329" s="319" t="b">
        <f aca="false">TRUE()</f>
        <v>1</v>
      </c>
      <c r="X329" s="319" t="b">
        <f aca="false">FALSE()</f>
        <v>0</v>
      </c>
      <c r="Y329" s="319" t="b">
        <f aca="false">FALSE()</f>
        <v>0</v>
      </c>
      <c r="Z329" s="319" t="b">
        <f aca="false">FALSE()</f>
        <v>0</v>
      </c>
      <c r="AA329" s="319" t="b">
        <f aca="false">FALSE()</f>
        <v>0</v>
      </c>
      <c r="AB329" s="319" t="b">
        <f aca="false">FALSE()</f>
        <v>0</v>
      </c>
      <c r="AC329" s="319" t="b">
        <f aca="false">FALSE()</f>
        <v>0</v>
      </c>
      <c r="AD329" s="319" t="b">
        <f aca="false">FALSE()</f>
        <v>0</v>
      </c>
      <c r="AE329" s="319" t="b">
        <f aca="false">FALSE()</f>
        <v>0</v>
      </c>
      <c r="AF329" s="319" t="b">
        <f aca="false">FALSE()</f>
        <v>0</v>
      </c>
      <c r="AG329" s="6" t="s">
        <v>182</v>
      </c>
      <c r="AH329" s="6" t="s">
        <v>182</v>
      </c>
    </row>
    <row r="330" customFormat="false" ht="15.75" hidden="false" customHeight="false" outlineLevel="0" collapsed="false">
      <c r="A330" s="1" t="e">
        <f aca="false">#N/A</f>
        <v>#N/A</v>
      </c>
      <c r="B330" s="6" t="s">
        <v>1003</v>
      </c>
      <c r="C330" s="3"/>
      <c r="D330" s="6" t="str">
        <f aca="false">I330   &amp; IF(ISBLANK(M330),, ". "&amp; M330 &amp; IF(ISBLANK(Q330),, ". "&amp; Q330))</f>
        <v>ElementBoost_Electricity</v>
      </c>
      <c r="E330" s="6" t="str">
        <f aca="false">I330  &amp;": # on "&amp; L330  &amp; IF(ISBLANK(M330),, ". "&amp; M330 &amp;": # on "&amp; P330 &amp; IF(ISBLANK(Q330),, ". "&amp; Q330 &amp;": # on "&amp; T330))</f>
        <v>ElementBoost_Electricity: # on SelfAndTrainer</v>
      </c>
      <c r="F330" s="6" t="str">
        <f aca="false">IF(U330,"active pal",)  &amp; IF(V330,"working",) &amp; IF(W330,"mounted",) &amp; IF(Y330,"in party (buff)",)  &amp; IF(Z330,"always",)</f>
        <v>mounted</v>
      </c>
      <c r="G330" s="6" t="n">
        <v>1</v>
      </c>
      <c r="H330" s="6" t="s">
        <v>182</v>
      </c>
      <c r="I330" s="6" t="s">
        <v>2262</v>
      </c>
      <c r="J330" s="6" t="str">
        <f aca="false">IFERROR(__xludf.dummyfunction("IFS(I330=""ShotAttack"",""%"",I330=""MeleeAttack"",""%"", I330=""Defense"",""%"",I330=""CraftSPeed"",""%"",I330=""LifeSteal"",""%"",I330=""MaxInventoryWeight"",""+"",I330=""MoveSpeed"",""%"",REGEXMATCH(I330,""ElementAddItemDrop_""),""%"",I330=""Logging"","&amp;"""+"",I330=""Mining"",""+"",I330=""Maxhp"",""%"",REGEXMATCH(I330,""TemperatureResist_""),""+"",REGEXMATCH(I330,""ElementResist_""),""%"",REGEXMATCH(I330,""TemperatureInvalid_""),""bool"",REGEXMATCH(I330,""BodyPartsWeakDamage""),""%"",REGEXMATCH(I330,""Ele"&amp;"mentBoost_""),""%"",AND(REGEXMATCH(B330,""GiveA""),REGEXMATCH(I330,""Element"")),""bool"")"),"%")</f>
        <v>%</v>
      </c>
      <c r="K330" s="6" t="n">
        <v>100</v>
      </c>
      <c r="L330" s="6" t="s">
        <v>2085</v>
      </c>
      <c r="M330" s="6"/>
      <c r="N330" s="6" t="str">
        <f aca="false">IFERROR(__xludf.dummyfunction("IFS(M330=""ShotAttack"",""%"",M330=""MeleeAttack"",""%"", M330=""Defense"",""%"",M330=""CraftSPeed"",""%"",M330=""LifeSteal"",""%"",M330=""MaxInventoryWeight"",""+"",M330=""MoveSpeed"",""%"",REGEXMATCH(M330,""ElementAddItemDrop_""),""%"",M330=""Logging"","&amp;"""+"",M330=""Mining"",""+"",M330=""Maxhp"",""%"",REGEXMATCH(M330,""TemperatureResist_""),""+"",REGEXMATCH(M330,""ElementResist_""),""%"",REGEXMATCH(M330,""TemperatureInvalid_""),""bool"",REGEXMATCH(M330,""BodyPartsWeakDamage""),""%"",REGEXMATCH(M330,""Ele"&amp;"mentBoost_""),""%"",AND(REGEXMATCH(F330,""GiveA""),REGEXMATCH(M330,""Element"")),""bool"")"),"#N/A")</f>
        <v>#N/A</v>
      </c>
      <c r="O330" s="6" t="n">
        <v>0</v>
      </c>
      <c r="P330" s="6"/>
      <c r="Q330" s="6"/>
      <c r="R330" s="6" t="str">
        <f aca="false">IFERROR(__xludf.dummyfunction("IFS(Q330=""ShotAttack"",""%"",Q330=""MeleeAttack"",""%"", Q330=""Defense"",""%"",Q330=""CraftSPeed"",""%"",Q330=""LifeSteal"",""%"",Q330=""MaxInventoryWeight"",""+"",Q330=""MoveSpeed"",""%"",REGEXMATCH(Q330,""ElementAddItemDrop_""),""%"",Q330=""Logging"","&amp;"""+"",Q330=""Mining"",""+"",Q330=""Maxhp"",""%"",REGEXMATCH(Q330,""TemperatureResist_""),""+"",REGEXMATCH(Q330,""ElementResist_""),""%"",REGEXMATCH(Q330,""TemperatureInvalid_""),""bool"",REGEXMATCH(Q330,""BodyPartsWeakDamage""),""%"",REGEXMATCH(Q330,""Ele"&amp;"mentBoost_""),""%"",AND(REGEXMATCH(J330,""GiveA""),REGEXMATCH(Q330,""Element"")),""bool"")"),"#N/A")</f>
        <v>#N/A</v>
      </c>
      <c r="S330" s="6" t="n">
        <v>0</v>
      </c>
      <c r="T330" s="6"/>
      <c r="U330" s="319" t="b">
        <f aca="false">FALSE()</f>
        <v>0</v>
      </c>
      <c r="V330" s="319" t="b">
        <f aca="false">FALSE()</f>
        <v>0</v>
      </c>
      <c r="W330" s="319" t="b">
        <f aca="false">TRUE()</f>
        <v>1</v>
      </c>
      <c r="X330" s="319" t="b">
        <f aca="false">FALSE()</f>
        <v>0</v>
      </c>
      <c r="Y330" s="319" t="b">
        <f aca="false">FALSE()</f>
        <v>0</v>
      </c>
      <c r="Z330" s="319" t="b">
        <f aca="false">FALSE()</f>
        <v>0</v>
      </c>
      <c r="AA330" s="319" t="b">
        <f aca="false">FALSE()</f>
        <v>0</v>
      </c>
      <c r="AB330" s="319" t="b">
        <f aca="false">FALSE()</f>
        <v>0</v>
      </c>
      <c r="AC330" s="319" t="b">
        <f aca="false">FALSE()</f>
        <v>0</v>
      </c>
      <c r="AD330" s="319" t="b">
        <f aca="false">FALSE()</f>
        <v>0</v>
      </c>
      <c r="AE330" s="319" t="b">
        <f aca="false">FALSE()</f>
        <v>0</v>
      </c>
      <c r="AF330" s="319" t="b">
        <f aca="false">FALSE()</f>
        <v>0</v>
      </c>
      <c r="AG330" s="6" t="s">
        <v>182</v>
      </c>
      <c r="AH330" s="6" t="s">
        <v>182</v>
      </c>
    </row>
    <row r="331" customFormat="false" ht="15.75" hidden="false" customHeight="false" outlineLevel="0" collapsed="false">
      <c r="A331" s="1" t="e">
        <f aca="false">#N/A</f>
        <v>#N/A</v>
      </c>
      <c r="B331" s="6" t="s">
        <v>993</v>
      </c>
      <c r="C331" s="3"/>
      <c r="D331" s="6" t="str">
        <f aca="false">I331   &amp; IF(ISBLANK(M331),, ". "&amp; M331 &amp; IF(ISBLANK(Q331),, ". "&amp; Q331))</f>
        <v>ElementBoost_Leaf</v>
      </c>
      <c r="E331" s="6" t="str">
        <f aca="false">I331  &amp;": # on "&amp; L331  &amp; IF(ISBLANK(M331),, ". "&amp; M331 &amp;": # on "&amp; P331 &amp; IF(ISBLANK(Q331),, ". "&amp; Q331 &amp;": # on "&amp; T331))</f>
        <v>ElementBoost_Leaf: # on SelfAndTrainer</v>
      </c>
      <c r="F331" s="6" t="str">
        <f aca="false">IF(U331,"active pal",)  &amp; IF(V331,"working",) &amp; IF(W331,"mounted",) &amp; IF(Y331,"in party (buff)",)  &amp; IF(Z331,"always",)</f>
        <v>mounted</v>
      </c>
      <c r="G331" s="6" t="n">
        <v>1</v>
      </c>
      <c r="H331" s="6" t="s">
        <v>182</v>
      </c>
      <c r="I331" s="6" t="s">
        <v>2266</v>
      </c>
      <c r="J331" s="6" t="str">
        <f aca="false">IFERROR(__xludf.dummyfunction("IFS(I331=""ShotAttack"",""%"",I331=""MeleeAttack"",""%"", I331=""Defense"",""%"",I331=""CraftSPeed"",""%"",I331=""LifeSteal"",""%"",I331=""MaxInventoryWeight"",""+"",I331=""MoveSpeed"",""%"",REGEXMATCH(I331,""ElementAddItemDrop_""),""%"",I331=""Logging"","&amp;"""+"",I331=""Mining"",""+"",I331=""Maxhp"",""%"",REGEXMATCH(I331,""TemperatureResist_""),""+"",REGEXMATCH(I331,""ElementResist_""),""%"",REGEXMATCH(I331,""TemperatureInvalid_""),""bool"",REGEXMATCH(I331,""BodyPartsWeakDamage""),""%"",REGEXMATCH(I331,""Ele"&amp;"mentBoost_""),""%"",AND(REGEXMATCH(B331,""GiveA""),REGEXMATCH(I331,""Element"")),""bool"")"),"%")</f>
        <v>%</v>
      </c>
      <c r="K331" s="6" t="n">
        <v>50</v>
      </c>
      <c r="L331" s="6" t="s">
        <v>2085</v>
      </c>
      <c r="M331" s="6"/>
      <c r="N331" s="6" t="str">
        <f aca="false">IFERROR(__xludf.dummyfunction("IFS(M331=""ShotAttack"",""%"",M331=""MeleeAttack"",""%"", M331=""Defense"",""%"",M331=""CraftSPeed"",""%"",M331=""LifeSteal"",""%"",M331=""MaxInventoryWeight"",""+"",M331=""MoveSpeed"",""%"",REGEXMATCH(M331,""ElementAddItemDrop_""),""%"",M331=""Logging"","&amp;"""+"",M331=""Mining"",""+"",M331=""Maxhp"",""%"",REGEXMATCH(M331,""TemperatureResist_""),""+"",REGEXMATCH(M331,""ElementResist_""),""%"",REGEXMATCH(M331,""TemperatureInvalid_""),""bool"",REGEXMATCH(M331,""BodyPartsWeakDamage""),""%"",REGEXMATCH(M331,""Ele"&amp;"mentBoost_""),""%"",AND(REGEXMATCH(F331,""GiveA""),REGEXMATCH(M331,""Element"")),""bool"")"),"#N/A")</f>
        <v>#N/A</v>
      </c>
      <c r="O331" s="6" t="n">
        <v>0</v>
      </c>
      <c r="P331" s="6"/>
      <c r="Q331" s="6"/>
      <c r="R331" s="6" t="str">
        <f aca="false">IFERROR(__xludf.dummyfunction("IFS(Q331=""ShotAttack"",""%"",Q331=""MeleeAttack"",""%"", Q331=""Defense"",""%"",Q331=""CraftSPeed"",""%"",Q331=""LifeSteal"",""%"",Q331=""MaxInventoryWeight"",""+"",Q331=""MoveSpeed"",""%"",REGEXMATCH(Q331,""ElementAddItemDrop_""),""%"",Q331=""Logging"","&amp;"""+"",Q331=""Mining"",""+"",Q331=""Maxhp"",""%"",REGEXMATCH(Q331,""TemperatureResist_""),""+"",REGEXMATCH(Q331,""ElementResist_""),""%"",REGEXMATCH(Q331,""TemperatureInvalid_""),""bool"",REGEXMATCH(Q331,""BodyPartsWeakDamage""),""%"",REGEXMATCH(Q331,""Ele"&amp;"mentBoost_""),""%"",AND(REGEXMATCH(J331,""GiveA""),REGEXMATCH(Q331,""Element"")),""bool"")"),"#N/A")</f>
        <v>#N/A</v>
      </c>
      <c r="S331" s="6" t="n">
        <v>0</v>
      </c>
      <c r="T331" s="6"/>
      <c r="U331" s="319" t="b">
        <f aca="false">FALSE()</f>
        <v>0</v>
      </c>
      <c r="V331" s="319" t="b">
        <f aca="false">FALSE()</f>
        <v>0</v>
      </c>
      <c r="W331" s="319" t="b">
        <f aca="false">TRUE()</f>
        <v>1</v>
      </c>
      <c r="X331" s="319" t="b">
        <f aca="false">FALSE()</f>
        <v>0</v>
      </c>
      <c r="Y331" s="319" t="b">
        <f aca="false">FALSE()</f>
        <v>0</v>
      </c>
      <c r="Z331" s="319" t="b">
        <f aca="false">FALSE()</f>
        <v>0</v>
      </c>
      <c r="AA331" s="319" t="b">
        <f aca="false">FALSE()</f>
        <v>0</v>
      </c>
      <c r="AB331" s="319" t="b">
        <f aca="false">FALSE()</f>
        <v>0</v>
      </c>
      <c r="AC331" s="319" t="b">
        <f aca="false">FALSE()</f>
        <v>0</v>
      </c>
      <c r="AD331" s="319" t="b">
        <f aca="false">FALSE()</f>
        <v>0</v>
      </c>
      <c r="AE331" s="319" t="b">
        <f aca="false">FALSE()</f>
        <v>0</v>
      </c>
      <c r="AF331" s="319" t="b">
        <f aca="false">FALSE()</f>
        <v>0</v>
      </c>
      <c r="AG331" s="6" t="s">
        <v>182</v>
      </c>
      <c r="AH331" s="6" t="s">
        <v>182</v>
      </c>
    </row>
    <row r="332" customFormat="false" ht="15.75" hidden="false" customHeight="false" outlineLevel="0" collapsed="false">
      <c r="A332" s="1" t="e">
        <f aca="false">#N/A</f>
        <v>#N/A</v>
      </c>
      <c r="B332" s="6" t="s">
        <v>994</v>
      </c>
      <c r="C332" s="3"/>
      <c r="D332" s="6" t="str">
        <f aca="false">I332   &amp; IF(ISBLANK(M332),, ". "&amp; M332 &amp; IF(ISBLANK(Q332),, ". "&amp; Q332))</f>
        <v>ElementBoost_Leaf</v>
      </c>
      <c r="E332" s="6" t="str">
        <f aca="false">I332  &amp;": # on "&amp; L332  &amp; IF(ISBLANK(M332),, ". "&amp; M332 &amp;": # on "&amp; P332 &amp; IF(ISBLANK(Q332),, ". "&amp; Q332 &amp;": # on "&amp; T332))</f>
        <v>ElementBoost_Leaf: # on SelfAndTrainer</v>
      </c>
      <c r="F332" s="6" t="str">
        <f aca="false">IF(U332,"active pal",)  &amp; IF(V332,"working",) &amp; IF(W332,"mounted",) &amp; IF(Y332,"in party (buff)",)  &amp; IF(Z332,"always",)</f>
        <v>mounted</v>
      </c>
      <c r="G332" s="6" t="n">
        <v>1</v>
      </c>
      <c r="H332" s="6" t="s">
        <v>182</v>
      </c>
      <c r="I332" s="6" t="s">
        <v>2266</v>
      </c>
      <c r="J332" s="6" t="str">
        <f aca="false">IFERROR(__xludf.dummyfunction("IFS(I332=""ShotAttack"",""%"",I332=""MeleeAttack"",""%"", I332=""Defense"",""%"",I332=""CraftSPeed"",""%"",I332=""LifeSteal"",""%"",I332=""MaxInventoryWeight"",""+"",I332=""MoveSpeed"",""%"",REGEXMATCH(I332,""ElementAddItemDrop_""),""%"",I332=""Logging"","&amp;"""+"",I332=""Mining"",""+"",I332=""Maxhp"",""%"",REGEXMATCH(I332,""TemperatureResist_""),""+"",REGEXMATCH(I332,""ElementResist_""),""%"",REGEXMATCH(I332,""TemperatureInvalid_""),""bool"",REGEXMATCH(I332,""BodyPartsWeakDamage""),""%"",REGEXMATCH(I332,""Ele"&amp;"mentBoost_""),""%"",AND(REGEXMATCH(B332,""GiveA""),REGEXMATCH(I332,""Element"")),""bool"")"),"%")</f>
        <v>%</v>
      </c>
      <c r="K332" s="6" t="n">
        <v>55</v>
      </c>
      <c r="L332" s="6" t="s">
        <v>2085</v>
      </c>
      <c r="M332" s="6"/>
      <c r="N332" s="6" t="str">
        <f aca="false">IFERROR(__xludf.dummyfunction("IFS(M332=""ShotAttack"",""%"",M332=""MeleeAttack"",""%"", M332=""Defense"",""%"",M332=""CraftSPeed"",""%"",M332=""LifeSteal"",""%"",M332=""MaxInventoryWeight"",""+"",M332=""MoveSpeed"",""%"",REGEXMATCH(M332,""ElementAddItemDrop_""),""%"",M332=""Logging"","&amp;"""+"",M332=""Mining"",""+"",M332=""Maxhp"",""%"",REGEXMATCH(M332,""TemperatureResist_""),""+"",REGEXMATCH(M332,""ElementResist_""),""%"",REGEXMATCH(M332,""TemperatureInvalid_""),""bool"",REGEXMATCH(M332,""BodyPartsWeakDamage""),""%"",REGEXMATCH(M332,""Ele"&amp;"mentBoost_""),""%"",AND(REGEXMATCH(F332,""GiveA""),REGEXMATCH(M332,""Element"")),""bool"")"),"#N/A")</f>
        <v>#N/A</v>
      </c>
      <c r="O332" s="6" t="n">
        <v>0</v>
      </c>
      <c r="P332" s="6"/>
      <c r="Q332" s="6"/>
      <c r="R332" s="6" t="str">
        <f aca="false">IFERROR(__xludf.dummyfunction("IFS(Q332=""ShotAttack"",""%"",Q332=""MeleeAttack"",""%"", Q332=""Defense"",""%"",Q332=""CraftSPeed"",""%"",Q332=""LifeSteal"",""%"",Q332=""MaxInventoryWeight"",""+"",Q332=""MoveSpeed"",""%"",REGEXMATCH(Q332,""ElementAddItemDrop_""),""%"",Q332=""Logging"","&amp;"""+"",Q332=""Mining"",""+"",Q332=""Maxhp"",""%"",REGEXMATCH(Q332,""TemperatureResist_""),""+"",REGEXMATCH(Q332,""ElementResist_""),""%"",REGEXMATCH(Q332,""TemperatureInvalid_""),""bool"",REGEXMATCH(Q332,""BodyPartsWeakDamage""),""%"",REGEXMATCH(Q332,""Ele"&amp;"mentBoost_""),""%"",AND(REGEXMATCH(J332,""GiveA""),REGEXMATCH(Q332,""Element"")),""bool"")"),"#N/A")</f>
        <v>#N/A</v>
      </c>
      <c r="S332" s="6" t="n">
        <v>0</v>
      </c>
      <c r="T332" s="6"/>
      <c r="U332" s="319" t="b">
        <f aca="false">FALSE()</f>
        <v>0</v>
      </c>
      <c r="V332" s="319" t="b">
        <f aca="false">FALSE()</f>
        <v>0</v>
      </c>
      <c r="W332" s="319" t="b">
        <f aca="false">TRUE()</f>
        <v>1</v>
      </c>
      <c r="X332" s="319" t="b">
        <f aca="false">FALSE()</f>
        <v>0</v>
      </c>
      <c r="Y332" s="319" t="b">
        <f aca="false">FALSE()</f>
        <v>0</v>
      </c>
      <c r="Z332" s="319" t="b">
        <f aca="false">FALSE()</f>
        <v>0</v>
      </c>
      <c r="AA332" s="319" t="b">
        <f aca="false">FALSE()</f>
        <v>0</v>
      </c>
      <c r="AB332" s="319" t="b">
        <f aca="false">FALSE()</f>
        <v>0</v>
      </c>
      <c r="AC332" s="319" t="b">
        <f aca="false">FALSE()</f>
        <v>0</v>
      </c>
      <c r="AD332" s="319" t="b">
        <f aca="false">FALSE()</f>
        <v>0</v>
      </c>
      <c r="AE332" s="319" t="b">
        <f aca="false">FALSE()</f>
        <v>0</v>
      </c>
      <c r="AF332" s="319" t="b">
        <f aca="false">FALSE()</f>
        <v>0</v>
      </c>
      <c r="AG332" s="6" t="s">
        <v>182</v>
      </c>
      <c r="AH332" s="6" t="s">
        <v>182</v>
      </c>
    </row>
    <row r="333" customFormat="false" ht="15.75" hidden="false" customHeight="false" outlineLevel="0" collapsed="false">
      <c r="A333" s="1" t="e">
        <f aca="false">#N/A</f>
        <v>#N/A</v>
      </c>
      <c r="B333" s="6" t="s">
        <v>995</v>
      </c>
      <c r="C333" s="3"/>
      <c r="D333" s="6" t="str">
        <f aca="false">I333   &amp; IF(ISBLANK(M333),, ". "&amp; M333 &amp; IF(ISBLANK(Q333),, ". "&amp; Q333))</f>
        <v>ElementBoost_Leaf</v>
      </c>
      <c r="E333" s="6" t="str">
        <f aca="false">I333  &amp;": # on "&amp; L333  &amp; IF(ISBLANK(M333),, ". "&amp; M333 &amp;": # on "&amp; P333 &amp; IF(ISBLANK(Q333),, ". "&amp; Q333 &amp;": # on "&amp; T333))</f>
        <v>ElementBoost_Leaf: # on SelfAndTrainer</v>
      </c>
      <c r="F333" s="6" t="str">
        <f aca="false">IF(U333,"active pal",)  &amp; IF(V333,"working",) &amp; IF(W333,"mounted",) &amp; IF(Y333,"in party (buff)",)  &amp; IF(Z333,"always",)</f>
        <v>mounted</v>
      </c>
      <c r="G333" s="6" t="n">
        <v>1</v>
      </c>
      <c r="H333" s="6" t="s">
        <v>182</v>
      </c>
      <c r="I333" s="6" t="s">
        <v>2266</v>
      </c>
      <c r="J333" s="6" t="str">
        <f aca="false">IFERROR(__xludf.dummyfunction("IFS(I333=""ShotAttack"",""%"",I333=""MeleeAttack"",""%"", I333=""Defense"",""%"",I333=""CraftSPeed"",""%"",I333=""LifeSteal"",""%"",I333=""MaxInventoryWeight"",""+"",I333=""MoveSpeed"",""%"",REGEXMATCH(I333,""ElementAddItemDrop_""),""%"",I333=""Logging"","&amp;"""+"",I333=""Mining"",""+"",I333=""Maxhp"",""%"",REGEXMATCH(I333,""TemperatureResist_""),""+"",REGEXMATCH(I333,""ElementResist_""),""%"",REGEXMATCH(I333,""TemperatureInvalid_""),""bool"",REGEXMATCH(I333,""BodyPartsWeakDamage""),""%"",REGEXMATCH(I333,""Ele"&amp;"mentBoost_""),""%"",AND(REGEXMATCH(B333,""GiveA""),REGEXMATCH(I333,""Element"")),""bool"")"),"%")</f>
        <v>%</v>
      </c>
      <c r="K333" s="6" t="n">
        <v>65</v>
      </c>
      <c r="L333" s="6" t="s">
        <v>2085</v>
      </c>
      <c r="M333" s="6"/>
      <c r="N333" s="6" t="str">
        <f aca="false">IFERROR(__xludf.dummyfunction("IFS(M333=""ShotAttack"",""%"",M333=""MeleeAttack"",""%"", M333=""Defense"",""%"",M333=""CraftSPeed"",""%"",M333=""LifeSteal"",""%"",M333=""MaxInventoryWeight"",""+"",M333=""MoveSpeed"",""%"",REGEXMATCH(M333,""ElementAddItemDrop_""),""%"",M333=""Logging"","&amp;"""+"",M333=""Mining"",""+"",M333=""Maxhp"",""%"",REGEXMATCH(M333,""TemperatureResist_""),""+"",REGEXMATCH(M333,""ElementResist_""),""%"",REGEXMATCH(M333,""TemperatureInvalid_""),""bool"",REGEXMATCH(M333,""BodyPartsWeakDamage""),""%"",REGEXMATCH(M333,""Ele"&amp;"mentBoost_""),""%"",AND(REGEXMATCH(F333,""GiveA""),REGEXMATCH(M333,""Element"")),""bool"")"),"#N/A")</f>
        <v>#N/A</v>
      </c>
      <c r="O333" s="6" t="n">
        <v>0</v>
      </c>
      <c r="P333" s="6"/>
      <c r="Q333" s="6"/>
      <c r="R333" s="6" t="str">
        <f aca="false">IFERROR(__xludf.dummyfunction("IFS(Q333=""ShotAttack"",""%"",Q333=""MeleeAttack"",""%"", Q333=""Defense"",""%"",Q333=""CraftSPeed"",""%"",Q333=""LifeSteal"",""%"",Q333=""MaxInventoryWeight"",""+"",Q333=""MoveSpeed"",""%"",REGEXMATCH(Q333,""ElementAddItemDrop_""),""%"",Q333=""Logging"","&amp;"""+"",Q333=""Mining"",""+"",Q333=""Maxhp"",""%"",REGEXMATCH(Q333,""TemperatureResist_""),""+"",REGEXMATCH(Q333,""ElementResist_""),""%"",REGEXMATCH(Q333,""TemperatureInvalid_""),""bool"",REGEXMATCH(Q333,""BodyPartsWeakDamage""),""%"",REGEXMATCH(Q333,""Ele"&amp;"mentBoost_""),""%"",AND(REGEXMATCH(J333,""GiveA""),REGEXMATCH(Q333,""Element"")),""bool"")"),"#N/A")</f>
        <v>#N/A</v>
      </c>
      <c r="S333" s="6" t="n">
        <v>0</v>
      </c>
      <c r="T333" s="6"/>
      <c r="U333" s="319" t="b">
        <f aca="false">FALSE()</f>
        <v>0</v>
      </c>
      <c r="V333" s="319" t="b">
        <f aca="false">FALSE()</f>
        <v>0</v>
      </c>
      <c r="W333" s="319" t="b">
        <f aca="false">TRUE()</f>
        <v>1</v>
      </c>
      <c r="X333" s="319" t="b">
        <f aca="false">FALSE()</f>
        <v>0</v>
      </c>
      <c r="Y333" s="319" t="b">
        <f aca="false">FALSE()</f>
        <v>0</v>
      </c>
      <c r="Z333" s="319" t="b">
        <f aca="false">FALSE()</f>
        <v>0</v>
      </c>
      <c r="AA333" s="319" t="b">
        <f aca="false">FALSE()</f>
        <v>0</v>
      </c>
      <c r="AB333" s="319" t="b">
        <f aca="false">FALSE()</f>
        <v>0</v>
      </c>
      <c r="AC333" s="319" t="b">
        <f aca="false">FALSE()</f>
        <v>0</v>
      </c>
      <c r="AD333" s="319" t="b">
        <f aca="false">FALSE()</f>
        <v>0</v>
      </c>
      <c r="AE333" s="319" t="b">
        <f aca="false">FALSE()</f>
        <v>0</v>
      </c>
      <c r="AF333" s="319" t="b">
        <f aca="false">FALSE()</f>
        <v>0</v>
      </c>
      <c r="AG333" s="6" t="s">
        <v>182</v>
      </c>
      <c r="AH333" s="6" t="s">
        <v>182</v>
      </c>
    </row>
    <row r="334" customFormat="false" ht="15.75" hidden="false" customHeight="false" outlineLevel="0" collapsed="false">
      <c r="A334" s="1" t="e">
        <f aca="false">#N/A</f>
        <v>#N/A</v>
      </c>
      <c r="B334" s="6" t="s">
        <v>996</v>
      </c>
      <c r="C334" s="3"/>
      <c r="D334" s="6" t="str">
        <f aca="false">I334   &amp; IF(ISBLANK(M334),, ". "&amp; M334 &amp; IF(ISBLANK(Q334),, ". "&amp; Q334))</f>
        <v>ElementBoost_Leaf</v>
      </c>
      <c r="E334" s="6" t="str">
        <f aca="false">I334  &amp;": # on "&amp; L334  &amp; IF(ISBLANK(M334),, ". "&amp; M334 &amp;": # on "&amp; P334 &amp; IF(ISBLANK(Q334),, ". "&amp; Q334 &amp;": # on "&amp; T334))</f>
        <v>ElementBoost_Leaf: # on SelfAndTrainer</v>
      </c>
      <c r="F334" s="6" t="str">
        <f aca="false">IF(U334,"active pal",)  &amp; IF(V334,"working",) &amp; IF(W334,"mounted",) &amp; IF(Y334,"in party (buff)",)  &amp; IF(Z334,"always",)</f>
        <v>mounted</v>
      </c>
      <c r="G334" s="6" t="n">
        <v>1</v>
      </c>
      <c r="H334" s="6" t="s">
        <v>182</v>
      </c>
      <c r="I334" s="6" t="s">
        <v>2266</v>
      </c>
      <c r="J334" s="6" t="str">
        <f aca="false">IFERROR(__xludf.dummyfunction("IFS(I334=""ShotAttack"",""%"",I334=""MeleeAttack"",""%"", I334=""Defense"",""%"",I334=""CraftSPeed"",""%"",I334=""LifeSteal"",""%"",I334=""MaxInventoryWeight"",""+"",I334=""MoveSpeed"",""%"",REGEXMATCH(I334,""ElementAddItemDrop_""),""%"",I334=""Logging"","&amp;"""+"",I334=""Mining"",""+"",I334=""Maxhp"",""%"",REGEXMATCH(I334,""TemperatureResist_""),""+"",REGEXMATCH(I334,""ElementResist_""),""%"",REGEXMATCH(I334,""TemperatureInvalid_""),""bool"",REGEXMATCH(I334,""BodyPartsWeakDamage""),""%"",REGEXMATCH(I334,""Ele"&amp;"mentBoost_""),""%"",AND(REGEXMATCH(B334,""GiveA""),REGEXMATCH(I334,""Element"")),""bool"")"),"%")</f>
        <v>%</v>
      </c>
      <c r="K334" s="6" t="n">
        <v>80</v>
      </c>
      <c r="L334" s="6" t="s">
        <v>2085</v>
      </c>
      <c r="M334" s="6"/>
      <c r="N334" s="6" t="str">
        <f aca="false">IFERROR(__xludf.dummyfunction("IFS(M334=""ShotAttack"",""%"",M334=""MeleeAttack"",""%"", M334=""Defense"",""%"",M334=""CraftSPeed"",""%"",M334=""LifeSteal"",""%"",M334=""MaxInventoryWeight"",""+"",M334=""MoveSpeed"",""%"",REGEXMATCH(M334,""ElementAddItemDrop_""),""%"",M334=""Logging"","&amp;"""+"",M334=""Mining"",""+"",M334=""Maxhp"",""%"",REGEXMATCH(M334,""TemperatureResist_""),""+"",REGEXMATCH(M334,""ElementResist_""),""%"",REGEXMATCH(M334,""TemperatureInvalid_""),""bool"",REGEXMATCH(M334,""BodyPartsWeakDamage""),""%"",REGEXMATCH(M334,""Ele"&amp;"mentBoost_""),""%"",AND(REGEXMATCH(F334,""GiveA""),REGEXMATCH(M334,""Element"")),""bool"")"),"#N/A")</f>
        <v>#N/A</v>
      </c>
      <c r="O334" s="6" t="n">
        <v>0</v>
      </c>
      <c r="P334" s="6"/>
      <c r="Q334" s="6"/>
      <c r="R334" s="6" t="str">
        <f aca="false">IFERROR(__xludf.dummyfunction("IFS(Q334=""ShotAttack"",""%"",Q334=""MeleeAttack"",""%"", Q334=""Defense"",""%"",Q334=""CraftSPeed"",""%"",Q334=""LifeSteal"",""%"",Q334=""MaxInventoryWeight"",""+"",Q334=""MoveSpeed"",""%"",REGEXMATCH(Q334,""ElementAddItemDrop_""),""%"",Q334=""Logging"","&amp;"""+"",Q334=""Mining"",""+"",Q334=""Maxhp"",""%"",REGEXMATCH(Q334,""TemperatureResist_""),""+"",REGEXMATCH(Q334,""ElementResist_""),""%"",REGEXMATCH(Q334,""TemperatureInvalid_""),""bool"",REGEXMATCH(Q334,""BodyPartsWeakDamage""),""%"",REGEXMATCH(Q334,""Ele"&amp;"mentBoost_""),""%"",AND(REGEXMATCH(J334,""GiveA""),REGEXMATCH(Q334,""Element"")),""bool"")"),"#N/A")</f>
        <v>#N/A</v>
      </c>
      <c r="S334" s="6" t="n">
        <v>0</v>
      </c>
      <c r="T334" s="6"/>
      <c r="U334" s="319" t="b">
        <f aca="false">FALSE()</f>
        <v>0</v>
      </c>
      <c r="V334" s="319" t="b">
        <f aca="false">FALSE()</f>
        <v>0</v>
      </c>
      <c r="W334" s="319" t="b">
        <f aca="false">TRUE()</f>
        <v>1</v>
      </c>
      <c r="X334" s="319" t="b">
        <f aca="false">FALSE()</f>
        <v>0</v>
      </c>
      <c r="Y334" s="319" t="b">
        <f aca="false">FALSE()</f>
        <v>0</v>
      </c>
      <c r="Z334" s="319" t="b">
        <f aca="false">FALSE()</f>
        <v>0</v>
      </c>
      <c r="AA334" s="319" t="b">
        <f aca="false">FALSE()</f>
        <v>0</v>
      </c>
      <c r="AB334" s="319" t="b">
        <f aca="false">FALSE()</f>
        <v>0</v>
      </c>
      <c r="AC334" s="319" t="b">
        <f aca="false">FALSE()</f>
        <v>0</v>
      </c>
      <c r="AD334" s="319" t="b">
        <f aca="false">FALSE()</f>
        <v>0</v>
      </c>
      <c r="AE334" s="319" t="b">
        <f aca="false">FALSE()</f>
        <v>0</v>
      </c>
      <c r="AF334" s="319" t="b">
        <f aca="false">FALSE()</f>
        <v>0</v>
      </c>
      <c r="AG334" s="6" t="s">
        <v>182</v>
      </c>
      <c r="AH334" s="6" t="s">
        <v>182</v>
      </c>
    </row>
    <row r="335" customFormat="false" ht="15.75" hidden="false" customHeight="false" outlineLevel="0" collapsed="false">
      <c r="A335" s="1" t="e">
        <f aca="false">#N/A</f>
        <v>#N/A</v>
      </c>
      <c r="B335" s="6" t="s">
        <v>997</v>
      </c>
      <c r="C335" s="3"/>
      <c r="D335" s="6" t="str">
        <f aca="false">I335   &amp; IF(ISBLANK(M335),, ". "&amp; M335 &amp; IF(ISBLANK(Q335),, ". "&amp; Q335))</f>
        <v>ElementBoost_Leaf</v>
      </c>
      <c r="E335" s="6" t="str">
        <f aca="false">I335  &amp;": # on "&amp; L335  &amp; IF(ISBLANK(M335),, ". "&amp; M335 &amp;": # on "&amp; P335 &amp; IF(ISBLANK(Q335),, ". "&amp; Q335 &amp;": # on "&amp; T335))</f>
        <v>ElementBoost_Leaf: # on SelfAndTrainer</v>
      </c>
      <c r="F335" s="6" t="str">
        <f aca="false">IF(U335,"active pal",)  &amp; IF(V335,"working",) &amp; IF(W335,"mounted",) &amp; IF(Y335,"in party (buff)",)  &amp; IF(Z335,"always",)</f>
        <v>mounted</v>
      </c>
      <c r="G335" s="6" t="n">
        <v>1</v>
      </c>
      <c r="H335" s="6" t="s">
        <v>182</v>
      </c>
      <c r="I335" s="6" t="s">
        <v>2266</v>
      </c>
      <c r="J335" s="6" t="str">
        <f aca="false">IFERROR(__xludf.dummyfunction("IFS(I335=""ShotAttack"",""%"",I335=""MeleeAttack"",""%"", I335=""Defense"",""%"",I335=""CraftSPeed"",""%"",I335=""LifeSteal"",""%"",I335=""MaxInventoryWeight"",""+"",I335=""MoveSpeed"",""%"",REGEXMATCH(I335,""ElementAddItemDrop_""),""%"",I335=""Logging"","&amp;"""+"",I335=""Mining"",""+"",I335=""Maxhp"",""%"",REGEXMATCH(I335,""TemperatureResist_""),""+"",REGEXMATCH(I335,""ElementResist_""),""%"",REGEXMATCH(I335,""TemperatureInvalid_""),""bool"",REGEXMATCH(I335,""BodyPartsWeakDamage""),""%"",REGEXMATCH(I335,""Ele"&amp;"mentBoost_""),""%"",AND(REGEXMATCH(B335,""GiveA""),REGEXMATCH(I335,""Element"")),""bool"")"),"%")</f>
        <v>%</v>
      </c>
      <c r="K335" s="6" t="n">
        <v>100</v>
      </c>
      <c r="L335" s="6" t="s">
        <v>2085</v>
      </c>
      <c r="M335" s="6"/>
      <c r="N335" s="6" t="str">
        <f aca="false">IFERROR(__xludf.dummyfunction("IFS(M335=""ShotAttack"",""%"",M335=""MeleeAttack"",""%"", M335=""Defense"",""%"",M335=""CraftSPeed"",""%"",M335=""LifeSteal"",""%"",M335=""MaxInventoryWeight"",""+"",M335=""MoveSpeed"",""%"",REGEXMATCH(M335,""ElementAddItemDrop_""),""%"",M335=""Logging"","&amp;"""+"",M335=""Mining"",""+"",M335=""Maxhp"",""%"",REGEXMATCH(M335,""TemperatureResist_""),""+"",REGEXMATCH(M335,""ElementResist_""),""%"",REGEXMATCH(M335,""TemperatureInvalid_""),""bool"",REGEXMATCH(M335,""BodyPartsWeakDamage""),""%"",REGEXMATCH(M335,""Ele"&amp;"mentBoost_""),""%"",AND(REGEXMATCH(F335,""GiveA""),REGEXMATCH(M335,""Element"")),""bool"")"),"#N/A")</f>
        <v>#N/A</v>
      </c>
      <c r="O335" s="6" t="n">
        <v>0</v>
      </c>
      <c r="P335" s="6"/>
      <c r="Q335" s="6"/>
      <c r="R335" s="6" t="str">
        <f aca="false">IFERROR(__xludf.dummyfunction("IFS(Q335=""ShotAttack"",""%"",Q335=""MeleeAttack"",""%"", Q335=""Defense"",""%"",Q335=""CraftSPeed"",""%"",Q335=""LifeSteal"",""%"",Q335=""MaxInventoryWeight"",""+"",Q335=""MoveSpeed"",""%"",REGEXMATCH(Q335,""ElementAddItemDrop_""),""%"",Q335=""Logging"","&amp;"""+"",Q335=""Mining"",""+"",Q335=""Maxhp"",""%"",REGEXMATCH(Q335,""TemperatureResist_""),""+"",REGEXMATCH(Q335,""ElementResist_""),""%"",REGEXMATCH(Q335,""TemperatureInvalid_""),""bool"",REGEXMATCH(Q335,""BodyPartsWeakDamage""),""%"",REGEXMATCH(Q335,""Ele"&amp;"mentBoost_""),""%"",AND(REGEXMATCH(J335,""GiveA""),REGEXMATCH(Q335,""Element"")),""bool"")"),"#N/A")</f>
        <v>#N/A</v>
      </c>
      <c r="S335" s="6" t="n">
        <v>0</v>
      </c>
      <c r="T335" s="6"/>
      <c r="U335" s="319" t="b">
        <f aca="false">FALSE()</f>
        <v>0</v>
      </c>
      <c r="V335" s="319" t="b">
        <f aca="false">FALSE()</f>
        <v>0</v>
      </c>
      <c r="W335" s="319" t="b">
        <f aca="false">TRUE()</f>
        <v>1</v>
      </c>
      <c r="X335" s="319" t="b">
        <f aca="false">FALSE()</f>
        <v>0</v>
      </c>
      <c r="Y335" s="319" t="b">
        <f aca="false">FALSE()</f>
        <v>0</v>
      </c>
      <c r="Z335" s="319" t="b">
        <f aca="false">FALSE()</f>
        <v>0</v>
      </c>
      <c r="AA335" s="319" t="b">
        <f aca="false">FALSE()</f>
        <v>0</v>
      </c>
      <c r="AB335" s="319" t="b">
        <f aca="false">FALSE()</f>
        <v>0</v>
      </c>
      <c r="AC335" s="319" t="b">
        <f aca="false">FALSE()</f>
        <v>0</v>
      </c>
      <c r="AD335" s="319" t="b">
        <f aca="false">FALSE()</f>
        <v>0</v>
      </c>
      <c r="AE335" s="319" t="b">
        <f aca="false">FALSE()</f>
        <v>0</v>
      </c>
      <c r="AF335" s="319" t="b">
        <f aca="false">FALSE()</f>
        <v>0</v>
      </c>
      <c r="AG335" s="6" t="s">
        <v>182</v>
      </c>
      <c r="AH335" s="6" t="s">
        <v>182</v>
      </c>
    </row>
    <row r="336" customFormat="false" ht="15.75" hidden="false" customHeight="false" outlineLevel="0" collapsed="false">
      <c r="A336" s="1" t="e">
        <f aca="false">#N/A</f>
        <v>#N/A</v>
      </c>
      <c r="B336" s="6" t="s">
        <v>1010</v>
      </c>
      <c r="C336" s="3"/>
      <c r="D336" s="6" t="str">
        <f aca="false">I336   &amp; IF(ISBLANK(M336),, ". "&amp; M336 &amp; IF(ISBLANK(Q336),, ". "&amp; Q336))</f>
        <v>ElementBoost_Ice</v>
      </c>
      <c r="E336" s="6" t="str">
        <f aca="false">I336  &amp;": # on "&amp; L336  &amp; IF(ISBLANK(M336),, ". "&amp; M336 &amp;": # on "&amp; P336 &amp; IF(ISBLANK(Q336),, ". "&amp; Q336 &amp;": # on "&amp; T336))</f>
        <v>ElementBoost_Ice: # on SelfAndTrainer</v>
      </c>
      <c r="F336" s="6" t="str">
        <f aca="false">IF(U336,"active pal",)  &amp; IF(V336,"working",) &amp; IF(W336,"mounted",) &amp; IF(Y336,"in party (buff)",)  &amp; IF(Z336,"always",)</f>
        <v>mounted</v>
      </c>
      <c r="G336" s="6" t="n">
        <v>1</v>
      </c>
      <c r="H336" s="6" t="s">
        <v>182</v>
      </c>
      <c r="I336" s="6" t="s">
        <v>2270</v>
      </c>
      <c r="J336" s="6" t="str">
        <f aca="false">IFERROR(__xludf.dummyfunction("IFS(I336=""ShotAttack"",""%"",I336=""MeleeAttack"",""%"", I336=""Defense"",""%"",I336=""CraftSPeed"",""%"",I336=""LifeSteal"",""%"",I336=""MaxInventoryWeight"",""+"",I336=""MoveSpeed"",""%"",REGEXMATCH(I336,""ElementAddItemDrop_""),""%"",I336=""Logging"","&amp;"""+"",I336=""Mining"",""+"",I336=""Maxhp"",""%"",REGEXMATCH(I336,""TemperatureResist_""),""+"",REGEXMATCH(I336,""ElementResist_""),""%"",REGEXMATCH(I336,""TemperatureInvalid_""),""bool"",REGEXMATCH(I336,""BodyPartsWeakDamage""),""%"",REGEXMATCH(I336,""Ele"&amp;"mentBoost_""),""%"",AND(REGEXMATCH(B336,""GiveA""),REGEXMATCH(I336,""Element"")),""bool"")"),"%")</f>
        <v>%</v>
      </c>
      <c r="K336" s="6" t="n">
        <v>50</v>
      </c>
      <c r="L336" s="6" t="s">
        <v>2085</v>
      </c>
      <c r="M336" s="6"/>
      <c r="N336" s="6" t="str">
        <f aca="false">IFERROR(__xludf.dummyfunction("IFS(M336=""ShotAttack"",""%"",M336=""MeleeAttack"",""%"", M336=""Defense"",""%"",M336=""CraftSPeed"",""%"",M336=""LifeSteal"",""%"",M336=""MaxInventoryWeight"",""+"",M336=""MoveSpeed"",""%"",REGEXMATCH(M336,""ElementAddItemDrop_""),""%"",M336=""Logging"","&amp;"""+"",M336=""Mining"",""+"",M336=""Maxhp"",""%"",REGEXMATCH(M336,""TemperatureResist_""),""+"",REGEXMATCH(M336,""ElementResist_""),""%"",REGEXMATCH(M336,""TemperatureInvalid_""),""bool"",REGEXMATCH(M336,""BodyPartsWeakDamage""),""%"",REGEXMATCH(M336,""Ele"&amp;"mentBoost_""),""%"",AND(REGEXMATCH(F336,""GiveA""),REGEXMATCH(M336,""Element"")),""bool"")"),"#N/A")</f>
        <v>#N/A</v>
      </c>
      <c r="O336" s="6" t="n">
        <v>0</v>
      </c>
      <c r="P336" s="6"/>
      <c r="Q336" s="6"/>
      <c r="R336" s="6" t="str">
        <f aca="false">IFERROR(__xludf.dummyfunction("IFS(Q336=""ShotAttack"",""%"",Q336=""MeleeAttack"",""%"", Q336=""Defense"",""%"",Q336=""CraftSPeed"",""%"",Q336=""LifeSteal"",""%"",Q336=""MaxInventoryWeight"",""+"",Q336=""MoveSpeed"",""%"",REGEXMATCH(Q336,""ElementAddItemDrop_""),""%"",Q336=""Logging"","&amp;"""+"",Q336=""Mining"",""+"",Q336=""Maxhp"",""%"",REGEXMATCH(Q336,""TemperatureResist_""),""+"",REGEXMATCH(Q336,""ElementResist_""),""%"",REGEXMATCH(Q336,""TemperatureInvalid_""),""bool"",REGEXMATCH(Q336,""BodyPartsWeakDamage""),""%"",REGEXMATCH(Q336,""Ele"&amp;"mentBoost_""),""%"",AND(REGEXMATCH(J336,""GiveA""),REGEXMATCH(Q336,""Element"")),""bool"")"),"#N/A")</f>
        <v>#N/A</v>
      </c>
      <c r="S336" s="6" t="n">
        <v>0</v>
      </c>
      <c r="T336" s="6"/>
      <c r="U336" s="319" t="b">
        <f aca="false">FALSE()</f>
        <v>0</v>
      </c>
      <c r="V336" s="319" t="b">
        <f aca="false">FALSE()</f>
        <v>0</v>
      </c>
      <c r="W336" s="319" t="b">
        <f aca="false">TRUE()</f>
        <v>1</v>
      </c>
      <c r="X336" s="319" t="b">
        <f aca="false">FALSE()</f>
        <v>0</v>
      </c>
      <c r="Y336" s="319" t="b">
        <f aca="false">FALSE()</f>
        <v>0</v>
      </c>
      <c r="Z336" s="319" t="b">
        <f aca="false">FALSE()</f>
        <v>0</v>
      </c>
      <c r="AA336" s="319" t="b">
        <f aca="false">FALSE()</f>
        <v>0</v>
      </c>
      <c r="AB336" s="319" t="b">
        <f aca="false">FALSE()</f>
        <v>0</v>
      </c>
      <c r="AC336" s="319" t="b">
        <f aca="false">FALSE()</f>
        <v>0</v>
      </c>
      <c r="AD336" s="319" t="b">
        <f aca="false">FALSE()</f>
        <v>0</v>
      </c>
      <c r="AE336" s="319" t="b">
        <f aca="false">FALSE()</f>
        <v>0</v>
      </c>
      <c r="AF336" s="319" t="b">
        <f aca="false">FALSE()</f>
        <v>0</v>
      </c>
      <c r="AG336" s="6" t="s">
        <v>182</v>
      </c>
      <c r="AH336" s="6" t="s">
        <v>182</v>
      </c>
    </row>
    <row r="337" customFormat="false" ht="15.75" hidden="false" customHeight="false" outlineLevel="0" collapsed="false">
      <c r="A337" s="1" t="e">
        <f aca="false">#N/A</f>
        <v>#N/A</v>
      </c>
      <c r="B337" s="6" t="s">
        <v>1011</v>
      </c>
      <c r="C337" s="3"/>
      <c r="D337" s="6" t="str">
        <f aca="false">I337   &amp; IF(ISBLANK(M337),, ". "&amp; M337 &amp; IF(ISBLANK(Q337),, ". "&amp; Q337))</f>
        <v>ElementBoost_Ice</v>
      </c>
      <c r="E337" s="6" t="str">
        <f aca="false">I337  &amp;": # on "&amp; L337  &amp; IF(ISBLANK(M337),, ". "&amp; M337 &amp;": # on "&amp; P337 &amp; IF(ISBLANK(Q337),, ". "&amp; Q337 &amp;": # on "&amp; T337))</f>
        <v>ElementBoost_Ice: # on SelfAndTrainer</v>
      </c>
      <c r="F337" s="6" t="str">
        <f aca="false">IF(U337,"active pal",)  &amp; IF(V337,"working",) &amp; IF(W337,"mounted",) &amp; IF(Y337,"in party (buff)",)  &amp; IF(Z337,"always",)</f>
        <v>mounted</v>
      </c>
      <c r="G337" s="6" t="n">
        <v>1</v>
      </c>
      <c r="H337" s="6" t="s">
        <v>182</v>
      </c>
      <c r="I337" s="6" t="s">
        <v>2270</v>
      </c>
      <c r="J337" s="6" t="str">
        <f aca="false">IFERROR(__xludf.dummyfunction("IFS(I337=""ShotAttack"",""%"",I337=""MeleeAttack"",""%"", I337=""Defense"",""%"",I337=""CraftSPeed"",""%"",I337=""LifeSteal"",""%"",I337=""MaxInventoryWeight"",""+"",I337=""MoveSpeed"",""%"",REGEXMATCH(I337,""ElementAddItemDrop_""),""%"",I337=""Logging"","&amp;"""+"",I337=""Mining"",""+"",I337=""Maxhp"",""%"",REGEXMATCH(I337,""TemperatureResist_""),""+"",REGEXMATCH(I337,""ElementResist_""),""%"",REGEXMATCH(I337,""TemperatureInvalid_""),""bool"",REGEXMATCH(I337,""BodyPartsWeakDamage""),""%"",REGEXMATCH(I337,""Ele"&amp;"mentBoost_""),""%"",AND(REGEXMATCH(B337,""GiveA""),REGEXMATCH(I337,""Element"")),""bool"")"),"%")</f>
        <v>%</v>
      </c>
      <c r="K337" s="6" t="n">
        <v>55</v>
      </c>
      <c r="L337" s="6" t="s">
        <v>2085</v>
      </c>
      <c r="M337" s="6"/>
      <c r="N337" s="6" t="str">
        <f aca="false">IFERROR(__xludf.dummyfunction("IFS(M337=""ShotAttack"",""%"",M337=""MeleeAttack"",""%"", M337=""Defense"",""%"",M337=""CraftSPeed"",""%"",M337=""LifeSteal"",""%"",M337=""MaxInventoryWeight"",""+"",M337=""MoveSpeed"",""%"",REGEXMATCH(M337,""ElementAddItemDrop_""),""%"",M337=""Logging"","&amp;"""+"",M337=""Mining"",""+"",M337=""Maxhp"",""%"",REGEXMATCH(M337,""TemperatureResist_""),""+"",REGEXMATCH(M337,""ElementResist_""),""%"",REGEXMATCH(M337,""TemperatureInvalid_""),""bool"",REGEXMATCH(M337,""BodyPartsWeakDamage""),""%"",REGEXMATCH(M337,""Ele"&amp;"mentBoost_""),""%"",AND(REGEXMATCH(F337,""GiveA""),REGEXMATCH(M337,""Element"")),""bool"")"),"#N/A")</f>
        <v>#N/A</v>
      </c>
      <c r="O337" s="6" t="n">
        <v>0</v>
      </c>
      <c r="P337" s="6"/>
      <c r="Q337" s="6"/>
      <c r="R337" s="6" t="str">
        <f aca="false">IFERROR(__xludf.dummyfunction("IFS(Q337=""ShotAttack"",""%"",Q337=""MeleeAttack"",""%"", Q337=""Defense"",""%"",Q337=""CraftSPeed"",""%"",Q337=""LifeSteal"",""%"",Q337=""MaxInventoryWeight"",""+"",Q337=""MoveSpeed"",""%"",REGEXMATCH(Q337,""ElementAddItemDrop_""),""%"",Q337=""Logging"","&amp;"""+"",Q337=""Mining"",""+"",Q337=""Maxhp"",""%"",REGEXMATCH(Q337,""TemperatureResist_""),""+"",REGEXMATCH(Q337,""ElementResist_""),""%"",REGEXMATCH(Q337,""TemperatureInvalid_""),""bool"",REGEXMATCH(Q337,""BodyPartsWeakDamage""),""%"",REGEXMATCH(Q337,""Ele"&amp;"mentBoost_""),""%"",AND(REGEXMATCH(J337,""GiveA""),REGEXMATCH(Q337,""Element"")),""bool"")"),"#N/A")</f>
        <v>#N/A</v>
      </c>
      <c r="S337" s="6" t="n">
        <v>0</v>
      </c>
      <c r="T337" s="6"/>
      <c r="U337" s="319" t="b">
        <f aca="false">FALSE()</f>
        <v>0</v>
      </c>
      <c r="V337" s="319" t="b">
        <f aca="false">FALSE()</f>
        <v>0</v>
      </c>
      <c r="W337" s="319" t="b">
        <f aca="false">TRUE()</f>
        <v>1</v>
      </c>
      <c r="X337" s="319" t="b">
        <f aca="false">FALSE()</f>
        <v>0</v>
      </c>
      <c r="Y337" s="319" t="b">
        <f aca="false">FALSE()</f>
        <v>0</v>
      </c>
      <c r="Z337" s="319" t="b">
        <f aca="false">FALSE()</f>
        <v>0</v>
      </c>
      <c r="AA337" s="319" t="b">
        <f aca="false">FALSE()</f>
        <v>0</v>
      </c>
      <c r="AB337" s="319" t="b">
        <f aca="false">FALSE()</f>
        <v>0</v>
      </c>
      <c r="AC337" s="319" t="b">
        <f aca="false">FALSE()</f>
        <v>0</v>
      </c>
      <c r="AD337" s="319" t="b">
        <f aca="false">FALSE()</f>
        <v>0</v>
      </c>
      <c r="AE337" s="319" t="b">
        <f aca="false">FALSE()</f>
        <v>0</v>
      </c>
      <c r="AF337" s="319" t="b">
        <f aca="false">FALSE()</f>
        <v>0</v>
      </c>
      <c r="AG337" s="6" t="s">
        <v>182</v>
      </c>
      <c r="AH337" s="6" t="s">
        <v>182</v>
      </c>
    </row>
    <row r="338" customFormat="false" ht="15.75" hidden="false" customHeight="false" outlineLevel="0" collapsed="false">
      <c r="A338" s="1" t="e">
        <f aca="false">#N/A</f>
        <v>#N/A</v>
      </c>
      <c r="B338" s="6" t="s">
        <v>1012</v>
      </c>
      <c r="C338" s="3"/>
      <c r="D338" s="6" t="str">
        <f aca="false">I338   &amp; IF(ISBLANK(M338),, ". "&amp; M338 &amp; IF(ISBLANK(Q338),, ". "&amp; Q338))</f>
        <v>ElementBoost_Ice</v>
      </c>
      <c r="E338" s="6" t="str">
        <f aca="false">I338  &amp;": # on "&amp; L338  &amp; IF(ISBLANK(M338),, ". "&amp; M338 &amp;": # on "&amp; P338 &amp; IF(ISBLANK(Q338),, ". "&amp; Q338 &amp;": # on "&amp; T338))</f>
        <v>ElementBoost_Ice: # on SelfAndTrainer</v>
      </c>
      <c r="F338" s="6" t="str">
        <f aca="false">IF(U338,"active pal",)  &amp; IF(V338,"working",) &amp; IF(W338,"mounted",) &amp; IF(Y338,"in party (buff)",)  &amp; IF(Z338,"always",)</f>
        <v>mounted</v>
      </c>
      <c r="G338" s="6" t="n">
        <v>1</v>
      </c>
      <c r="H338" s="6" t="s">
        <v>182</v>
      </c>
      <c r="I338" s="6" t="s">
        <v>2270</v>
      </c>
      <c r="J338" s="6" t="str">
        <f aca="false">IFERROR(__xludf.dummyfunction("IFS(I338=""ShotAttack"",""%"",I338=""MeleeAttack"",""%"", I338=""Defense"",""%"",I338=""CraftSPeed"",""%"",I338=""LifeSteal"",""%"",I338=""MaxInventoryWeight"",""+"",I338=""MoveSpeed"",""%"",REGEXMATCH(I338,""ElementAddItemDrop_""),""%"",I338=""Logging"","&amp;"""+"",I338=""Mining"",""+"",I338=""Maxhp"",""%"",REGEXMATCH(I338,""TemperatureResist_""),""+"",REGEXMATCH(I338,""ElementResist_""),""%"",REGEXMATCH(I338,""TemperatureInvalid_""),""bool"",REGEXMATCH(I338,""BodyPartsWeakDamage""),""%"",REGEXMATCH(I338,""Ele"&amp;"mentBoost_""),""%"",AND(REGEXMATCH(B338,""GiveA""),REGEXMATCH(I338,""Element"")),""bool"")"),"%")</f>
        <v>%</v>
      </c>
      <c r="K338" s="6" t="n">
        <v>65</v>
      </c>
      <c r="L338" s="6" t="s">
        <v>2085</v>
      </c>
      <c r="M338" s="6"/>
      <c r="N338" s="6" t="str">
        <f aca="false">IFERROR(__xludf.dummyfunction("IFS(M338=""ShotAttack"",""%"",M338=""MeleeAttack"",""%"", M338=""Defense"",""%"",M338=""CraftSPeed"",""%"",M338=""LifeSteal"",""%"",M338=""MaxInventoryWeight"",""+"",M338=""MoveSpeed"",""%"",REGEXMATCH(M338,""ElementAddItemDrop_""),""%"",M338=""Logging"","&amp;"""+"",M338=""Mining"",""+"",M338=""Maxhp"",""%"",REGEXMATCH(M338,""TemperatureResist_""),""+"",REGEXMATCH(M338,""ElementResist_""),""%"",REGEXMATCH(M338,""TemperatureInvalid_""),""bool"",REGEXMATCH(M338,""BodyPartsWeakDamage""),""%"",REGEXMATCH(M338,""Ele"&amp;"mentBoost_""),""%"",AND(REGEXMATCH(F338,""GiveA""),REGEXMATCH(M338,""Element"")),""bool"")"),"#N/A")</f>
        <v>#N/A</v>
      </c>
      <c r="O338" s="6" t="n">
        <v>0</v>
      </c>
      <c r="P338" s="6"/>
      <c r="Q338" s="6"/>
      <c r="R338" s="6" t="str">
        <f aca="false">IFERROR(__xludf.dummyfunction("IFS(Q338=""ShotAttack"",""%"",Q338=""MeleeAttack"",""%"", Q338=""Defense"",""%"",Q338=""CraftSPeed"",""%"",Q338=""LifeSteal"",""%"",Q338=""MaxInventoryWeight"",""+"",Q338=""MoveSpeed"",""%"",REGEXMATCH(Q338,""ElementAddItemDrop_""),""%"",Q338=""Logging"","&amp;"""+"",Q338=""Mining"",""+"",Q338=""Maxhp"",""%"",REGEXMATCH(Q338,""TemperatureResist_""),""+"",REGEXMATCH(Q338,""ElementResist_""),""%"",REGEXMATCH(Q338,""TemperatureInvalid_""),""bool"",REGEXMATCH(Q338,""BodyPartsWeakDamage""),""%"",REGEXMATCH(Q338,""Ele"&amp;"mentBoost_""),""%"",AND(REGEXMATCH(J338,""GiveA""),REGEXMATCH(Q338,""Element"")),""bool"")"),"#N/A")</f>
        <v>#N/A</v>
      </c>
      <c r="S338" s="6" t="n">
        <v>0</v>
      </c>
      <c r="T338" s="6"/>
      <c r="U338" s="319" t="b">
        <f aca="false">FALSE()</f>
        <v>0</v>
      </c>
      <c r="V338" s="319" t="b">
        <f aca="false">FALSE()</f>
        <v>0</v>
      </c>
      <c r="W338" s="319" t="b">
        <f aca="false">TRUE()</f>
        <v>1</v>
      </c>
      <c r="X338" s="319" t="b">
        <f aca="false">FALSE()</f>
        <v>0</v>
      </c>
      <c r="Y338" s="319" t="b">
        <f aca="false">FALSE()</f>
        <v>0</v>
      </c>
      <c r="Z338" s="319" t="b">
        <f aca="false">FALSE()</f>
        <v>0</v>
      </c>
      <c r="AA338" s="319" t="b">
        <f aca="false">FALSE()</f>
        <v>0</v>
      </c>
      <c r="AB338" s="319" t="b">
        <f aca="false">FALSE()</f>
        <v>0</v>
      </c>
      <c r="AC338" s="319" t="b">
        <f aca="false">FALSE()</f>
        <v>0</v>
      </c>
      <c r="AD338" s="319" t="b">
        <f aca="false">FALSE()</f>
        <v>0</v>
      </c>
      <c r="AE338" s="319" t="b">
        <f aca="false">FALSE()</f>
        <v>0</v>
      </c>
      <c r="AF338" s="319" t="b">
        <f aca="false">FALSE()</f>
        <v>0</v>
      </c>
      <c r="AG338" s="6" t="s">
        <v>182</v>
      </c>
      <c r="AH338" s="6" t="s">
        <v>182</v>
      </c>
    </row>
    <row r="339" customFormat="false" ht="15.75" hidden="false" customHeight="false" outlineLevel="0" collapsed="false">
      <c r="A339" s="1" t="e">
        <f aca="false">#N/A</f>
        <v>#N/A</v>
      </c>
      <c r="B339" s="6" t="s">
        <v>1013</v>
      </c>
      <c r="C339" s="3"/>
      <c r="D339" s="6" t="str">
        <f aca="false">I339   &amp; IF(ISBLANK(M339),, ". "&amp; M339 &amp; IF(ISBLANK(Q339),, ". "&amp; Q339))</f>
        <v>ElementBoost_Ice</v>
      </c>
      <c r="E339" s="6" t="str">
        <f aca="false">I339  &amp;": # on "&amp; L339  &amp; IF(ISBLANK(M339),, ". "&amp; M339 &amp;": # on "&amp; P339 &amp; IF(ISBLANK(Q339),, ". "&amp; Q339 &amp;": # on "&amp; T339))</f>
        <v>ElementBoost_Ice: # on SelfAndTrainer</v>
      </c>
      <c r="F339" s="6" t="str">
        <f aca="false">IF(U339,"active pal",)  &amp; IF(V339,"working",) &amp; IF(W339,"mounted",) &amp; IF(Y339,"in party (buff)",)  &amp; IF(Z339,"always",)</f>
        <v>mounted</v>
      </c>
      <c r="G339" s="6" t="n">
        <v>1</v>
      </c>
      <c r="H339" s="6" t="s">
        <v>182</v>
      </c>
      <c r="I339" s="6" t="s">
        <v>2270</v>
      </c>
      <c r="J339" s="6" t="str">
        <f aca="false">IFERROR(__xludf.dummyfunction("IFS(I339=""ShotAttack"",""%"",I339=""MeleeAttack"",""%"", I339=""Defense"",""%"",I339=""CraftSPeed"",""%"",I339=""LifeSteal"",""%"",I339=""MaxInventoryWeight"",""+"",I339=""MoveSpeed"",""%"",REGEXMATCH(I339,""ElementAddItemDrop_""),""%"",I339=""Logging"","&amp;"""+"",I339=""Mining"",""+"",I339=""Maxhp"",""%"",REGEXMATCH(I339,""TemperatureResist_""),""+"",REGEXMATCH(I339,""ElementResist_""),""%"",REGEXMATCH(I339,""TemperatureInvalid_""),""bool"",REGEXMATCH(I339,""BodyPartsWeakDamage""),""%"",REGEXMATCH(I339,""Ele"&amp;"mentBoost_""),""%"",AND(REGEXMATCH(B339,""GiveA""),REGEXMATCH(I339,""Element"")),""bool"")"),"%")</f>
        <v>%</v>
      </c>
      <c r="K339" s="6" t="n">
        <v>80</v>
      </c>
      <c r="L339" s="6" t="s">
        <v>2085</v>
      </c>
      <c r="M339" s="6"/>
      <c r="N339" s="6" t="str">
        <f aca="false">IFERROR(__xludf.dummyfunction("IFS(M339=""ShotAttack"",""%"",M339=""MeleeAttack"",""%"", M339=""Defense"",""%"",M339=""CraftSPeed"",""%"",M339=""LifeSteal"",""%"",M339=""MaxInventoryWeight"",""+"",M339=""MoveSpeed"",""%"",REGEXMATCH(M339,""ElementAddItemDrop_""),""%"",M339=""Logging"","&amp;"""+"",M339=""Mining"",""+"",M339=""Maxhp"",""%"",REGEXMATCH(M339,""TemperatureResist_""),""+"",REGEXMATCH(M339,""ElementResist_""),""%"",REGEXMATCH(M339,""TemperatureInvalid_""),""bool"",REGEXMATCH(M339,""BodyPartsWeakDamage""),""%"",REGEXMATCH(M339,""Ele"&amp;"mentBoost_""),""%"",AND(REGEXMATCH(F339,""GiveA""),REGEXMATCH(M339,""Element"")),""bool"")"),"#N/A")</f>
        <v>#N/A</v>
      </c>
      <c r="O339" s="6" t="n">
        <v>0</v>
      </c>
      <c r="P339" s="6"/>
      <c r="Q339" s="6"/>
      <c r="R339" s="6" t="str">
        <f aca="false">IFERROR(__xludf.dummyfunction("IFS(Q339=""ShotAttack"",""%"",Q339=""MeleeAttack"",""%"", Q339=""Defense"",""%"",Q339=""CraftSPeed"",""%"",Q339=""LifeSteal"",""%"",Q339=""MaxInventoryWeight"",""+"",Q339=""MoveSpeed"",""%"",REGEXMATCH(Q339,""ElementAddItemDrop_""),""%"",Q339=""Logging"","&amp;"""+"",Q339=""Mining"",""+"",Q339=""Maxhp"",""%"",REGEXMATCH(Q339,""TemperatureResist_""),""+"",REGEXMATCH(Q339,""ElementResist_""),""%"",REGEXMATCH(Q339,""TemperatureInvalid_""),""bool"",REGEXMATCH(Q339,""BodyPartsWeakDamage""),""%"",REGEXMATCH(Q339,""Ele"&amp;"mentBoost_""),""%"",AND(REGEXMATCH(J339,""GiveA""),REGEXMATCH(Q339,""Element"")),""bool"")"),"#N/A")</f>
        <v>#N/A</v>
      </c>
      <c r="S339" s="6" t="n">
        <v>0</v>
      </c>
      <c r="T339" s="6"/>
      <c r="U339" s="319" t="b">
        <f aca="false">FALSE()</f>
        <v>0</v>
      </c>
      <c r="V339" s="319" t="b">
        <f aca="false">FALSE()</f>
        <v>0</v>
      </c>
      <c r="W339" s="319" t="b">
        <f aca="false">TRUE()</f>
        <v>1</v>
      </c>
      <c r="X339" s="319" t="b">
        <f aca="false">FALSE()</f>
        <v>0</v>
      </c>
      <c r="Y339" s="319" t="b">
        <f aca="false">FALSE()</f>
        <v>0</v>
      </c>
      <c r="Z339" s="319" t="b">
        <f aca="false">FALSE()</f>
        <v>0</v>
      </c>
      <c r="AA339" s="319" t="b">
        <f aca="false">FALSE()</f>
        <v>0</v>
      </c>
      <c r="AB339" s="319" t="b">
        <f aca="false">FALSE()</f>
        <v>0</v>
      </c>
      <c r="AC339" s="319" t="b">
        <f aca="false">FALSE()</f>
        <v>0</v>
      </c>
      <c r="AD339" s="319" t="b">
        <f aca="false">FALSE()</f>
        <v>0</v>
      </c>
      <c r="AE339" s="319" t="b">
        <f aca="false">FALSE()</f>
        <v>0</v>
      </c>
      <c r="AF339" s="319" t="b">
        <f aca="false">FALSE()</f>
        <v>0</v>
      </c>
      <c r="AG339" s="6" t="s">
        <v>182</v>
      </c>
      <c r="AH339" s="6" t="s">
        <v>182</v>
      </c>
    </row>
    <row r="340" customFormat="false" ht="15.75" hidden="false" customHeight="false" outlineLevel="0" collapsed="false">
      <c r="A340" s="1" t="e">
        <f aca="false">#N/A</f>
        <v>#N/A</v>
      </c>
      <c r="B340" s="6" t="s">
        <v>1014</v>
      </c>
      <c r="C340" s="3"/>
      <c r="D340" s="6" t="str">
        <f aca="false">I340   &amp; IF(ISBLANK(M340),, ". "&amp; M340 &amp; IF(ISBLANK(Q340),, ". "&amp; Q340))</f>
        <v>ElementBoost_Ice</v>
      </c>
      <c r="E340" s="6" t="str">
        <f aca="false">I340  &amp;": # on "&amp; L340  &amp; IF(ISBLANK(M340),, ". "&amp; M340 &amp;": # on "&amp; P340 &amp; IF(ISBLANK(Q340),, ". "&amp; Q340 &amp;": # on "&amp; T340))</f>
        <v>ElementBoost_Ice: # on SelfAndTrainer</v>
      </c>
      <c r="F340" s="6" t="str">
        <f aca="false">IF(U340,"active pal",)  &amp; IF(V340,"working",) &amp; IF(W340,"mounted",) &amp; IF(Y340,"in party (buff)",)  &amp; IF(Z340,"always",)</f>
        <v>mounted</v>
      </c>
      <c r="G340" s="6" t="n">
        <v>1</v>
      </c>
      <c r="H340" s="6" t="s">
        <v>182</v>
      </c>
      <c r="I340" s="6" t="s">
        <v>2270</v>
      </c>
      <c r="J340" s="6" t="str">
        <f aca="false">IFERROR(__xludf.dummyfunction("IFS(I340=""ShotAttack"",""%"",I340=""MeleeAttack"",""%"", I340=""Defense"",""%"",I340=""CraftSPeed"",""%"",I340=""LifeSteal"",""%"",I340=""MaxInventoryWeight"",""+"",I340=""MoveSpeed"",""%"",REGEXMATCH(I340,""ElementAddItemDrop_""),""%"",I340=""Logging"","&amp;"""+"",I340=""Mining"",""+"",I340=""Maxhp"",""%"",REGEXMATCH(I340,""TemperatureResist_""),""+"",REGEXMATCH(I340,""ElementResist_""),""%"",REGEXMATCH(I340,""TemperatureInvalid_""),""bool"",REGEXMATCH(I340,""BodyPartsWeakDamage""),""%"",REGEXMATCH(I340,""Ele"&amp;"mentBoost_""),""%"",AND(REGEXMATCH(B340,""GiveA""),REGEXMATCH(I340,""Element"")),""bool"")"),"%")</f>
        <v>%</v>
      </c>
      <c r="K340" s="6" t="n">
        <v>100</v>
      </c>
      <c r="L340" s="6" t="s">
        <v>2085</v>
      </c>
      <c r="M340" s="6"/>
      <c r="N340" s="6" t="str">
        <f aca="false">IFERROR(__xludf.dummyfunction("IFS(M340=""ShotAttack"",""%"",M340=""MeleeAttack"",""%"", M340=""Defense"",""%"",M340=""CraftSPeed"",""%"",M340=""LifeSteal"",""%"",M340=""MaxInventoryWeight"",""+"",M340=""MoveSpeed"",""%"",REGEXMATCH(M340,""ElementAddItemDrop_""),""%"",M340=""Logging"","&amp;"""+"",M340=""Mining"",""+"",M340=""Maxhp"",""%"",REGEXMATCH(M340,""TemperatureResist_""),""+"",REGEXMATCH(M340,""ElementResist_""),""%"",REGEXMATCH(M340,""TemperatureInvalid_""),""bool"",REGEXMATCH(M340,""BodyPartsWeakDamage""),""%"",REGEXMATCH(M340,""Ele"&amp;"mentBoost_""),""%"",AND(REGEXMATCH(F340,""GiveA""),REGEXMATCH(M340,""Element"")),""bool"")"),"#N/A")</f>
        <v>#N/A</v>
      </c>
      <c r="O340" s="6" t="n">
        <v>0</v>
      </c>
      <c r="P340" s="6"/>
      <c r="Q340" s="6"/>
      <c r="R340" s="6" t="str">
        <f aca="false">IFERROR(__xludf.dummyfunction("IFS(Q340=""ShotAttack"",""%"",Q340=""MeleeAttack"",""%"", Q340=""Defense"",""%"",Q340=""CraftSPeed"",""%"",Q340=""LifeSteal"",""%"",Q340=""MaxInventoryWeight"",""+"",Q340=""MoveSpeed"",""%"",REGEXMATCH(Q340,""ElementAddItemDrop_""),""%"",Q340=""Logging"","&amp;"""+"",Q340=""Mining"",""+"",Q340=""Maxhp"",""%"",REGEXMATCH(Q340,""TemperatureResist_""),""+"",REGEXMATCH(Q340,""ElementResist_""),""%"",REGEXMATCH(Q340,""TemperatureInvalid_""),""bool"",REGEXMATCH(Q340,""BodyPartsWeakDamage""),""%"",REGEXMATCH(Q340,""Ele"&amp;"mentBoost_""),""%"",AND(REGEXMATCH(J340,""GiveA""),REGEXMATCH(Q340,""Element"")),""bool"")"),"#N/A")</f>
        <v>#N/A</v>
      </c>
      <c r="S340" s="6" t="n">
        <v>0</v>
      </c>
      <c r="T340" s="6"/>
      <c r="U340" s="319" t="b">
        <f aca="false">FALSE()</f>
        <v>0</v>
      </c>
      <c r="V340" s="319" t="b">
        <f aca="false">FALSE()</f>
        <v>0</v>
      </c>
      <c r="W340" s="319" t="b">
        <f aca="false">TRUE()</f>
        <v>1</v>
      </c>
      <c r="X340" s="319" t="b">
        <f aca="false">FALSE()</f>
        <v>0</v>
      </c>
      <c r="Y340" s="319" t="b">
        <f aca="false">FALSE()</f>
        <v>0</v>
      </c>
      <c r="Z340" s="319" t="b">
        <f aca="false">FALSE()</f>
        <v>0</v>
      </c>
      <c r="AA340" s="319" t="b">
        <f aca="false">FALSE()</f>
        <v>0</v>
      </c>
      <c r="AB340" s="319" t="b">
        <f aca="false">FALSE()</f>
        <v>0</v>
      </c>
      <c r="AC340" s="319" t="b">
        <f aca="false">FALSE()</f>
        <v>0</v>
      </c>
      <c r="AD340" s="319" t="b">
        <f aca="false">FALSE()</f>
        <v>0</v>
      </c>
      <c r="AE340" s="319" t="b">
        <f aca="false">FALSE()</f>
        <v>0</v>
      </c>
      <c r="AF340" s="319" t="b">
        <f aca="false">FALSE()</f>
        <v>0</v>
      </c>
      <c r="AG340" s="6" t="s">
        <v>182</v>
      </c>
      <c r="AH340" s="6" t="s">
        <v>182</v>
      </c>
    </row>
    <row r="341" customFormat="false" ht="15.75" hidden="false" customHeight="false" outlineLevel="0" collapsed="false">
      <c r="A341" s="1" t="e">
        <f aca="false">#N/A</f>
        <v>#N/A</v>
      </c>
      <c r="B341" s="6" t="s">
        <v>1016</v>
      </c>
      <c r="C341" s="3"/>
      <c r="D341" s="6" t="str">
        <f aca="false">I341   &amp; IF(ISBLANK(M341),, ". "&amp; M341 &amp; IF(ISBLANK(Q341),, ". "&amp; Q341))</f>
        <v>ElementBoost_Dark</v>
      </c>
      <c r="E341" s="6" t="str">
        <f aca="false">I341  &amp;": # on "&amp; L341  &amp; IF(ISBLANK(M341),, ". "&amp; M341 &amp;": # on "&amp; P341 &amp; IF(ISBLANK(Q341),, ". "&amp; Q341 &amp;": # on "&amp; T341))</f>
        <v>ElementBoost_Dark: # on SelfAndTrainer</v>
      </c>
      <c r="F341" s="6" t="str">
        <f aca="false">IF(U341,"active pal",)  &amp; IF(V341,"working",) &amp; IF(W341,"mounted",) &amp; IF(Y341,"in party (buff)",)  &amp; IF(Z341,"always",)</f>
        <v>mounted</v>
      </c>
      <c r="G341" s="6" t="n">
        <v>1</v>
      </c>
      <c r="H341" s="6" t="s">
        <v>182</v>
      </c>
      <c r="I341" s="6" t="s">
        <v>2278</v>
      </c>
      <c r="J341" s="6" t="str">
        <f aca="false">IFERROR(__xludf.dummyfunction("IFS(I341=""ShotAttack"",""%"",I341=""MeleeAttack"",""%"", I341=""Defense"",""%"",I341=""CraftSPeed"",""%"",I341=""LifeSteal"",""%"",I341=""MaxInventoryWeight"",""+"",I341=""MoveSpeed"",""%"",REGEXMATCH(I341,""ElementAddItemDrop_""),""%"",I341=""Logging"","&amp;"""+"",I341=""Mining"",""+"",I341=""Maxhp"",""%"",REGEXMATCH(I341,""TemperatureResist_""),""+"",REGEXMATCH(I341,""ElementResist_""),""%"",REGEXMATCH(I341,""TemperatureInvalid_""),""bool"",REGEXMATCH(I341,""BodyPartsWeakDamage""),""%"",REGEXMATCH(I341,""Ele"&amp;"mentBoost_""),""%"",AND(REGEXMATCH(B341,""GiveA""),REGEXMATCH(I341,""Element"")),""bool"")"),"%")</f>
        <v>%</v>
      </c>
      <c r="K341" s="6" t="n">
        <v>50</v>
      </c>
      <c r="L341" s="6" t="s">
        <v>2085</v>
      </c>
      <c r="M341" s="6"/>
      <c r="N341" s="6" t="str">
        <f aca="false">IFERROR(__xludf.dummyfunction("IFS(M341=""ShotAttack"",""%"",M341=""MeleeAttack"",""%"", M341=""Defense"",""%"",M341=""CraftSPeed"",""%"",M341=""LifeSteal"",""%"",M341=""MaxInventoryWeight"",""+"",M341=""MoveSpeed"",""%"",REGEXMATCH(M341,""ElementAddItemDrop_""),""%"",M341=""Logging"","&amp;"""+"",M341=""Mining"",""+"",M341=""Maxhp"",""%"",REGEXMATCH(M341,""TemperatureResist_""),""+"",REGEXMATCH(M341,""ElementResist_""),""%"",REGEXMATCH(M341,""TemperatureInvalid_""),""bool"",REGEXMATCH(M341,""BodyPartsWeakDamage""),""%"",REGEXMATCH(M341,""Ele"&amp;"mentBoost_""),""%"",AND(REGEXMATCH(F341,""GiveA""),REGEXMATCH(M341,""Element"")),""bool"")"),"#N/A")</f>
        <v>#N/A</v>
      </c>
      <c r="O341" s="6" t="n">
        <v>0</v>
      </c>
      <c r="P341" s="6"/>
      <c r="Q341" s="6"/>
      <c r="R341" s="6" t="str">
        <f aca="false">IFERROR(__xludf.dummyfunction("IFS(Q341=""ShotAttack"",""%"",Q341=""MeleeAttack"",""%"", Q341=""Defense"",""%"",Q341=""CraftSPeed"",""%"",Q341=""LifeSteal"",""%"",Q341=""MaxInventoryWeight"",""+"",Q341=""MoveSpeed"",""%"",REGEXMATCH(Q341,""ElementAddItemDrop_""),""%"",Q341=""Logging"","&amp;"""+"",Q341=""Mining"",""+"",Q341=""Maxhp"",""%"",REGEXMATCH(Q341,""TemperatureResist_""),""+"",REGEXMATCH(Q341,""ElementResist_""),""%"",REGEXMATCH(Q341,""TemperatureInvalid_""),""bool"",REGEXMATCH(Q341,""BodyPartsWeakDamage""),""%"",REGEXMATCH(Q341,""Ele"&amp;"mentBoost_""),""%"",AND(REGEXMATCH(J341,""GiveA""),REGEXMATCH(Q341,""Element"")),""bool"")"),"#N/A")</f>
        <v>#N/A</v>
      </c>
      <c r="S341" s="6" t="n">
        <v>0</v>
      </c>
      <c r="T341" s="6"/>
      <c r="U341" s="319" t="b">
        <f aca="false">FALSE()</f>
        <v>0</v>
      </c>
      <c r="V341" s="319" t="b">
        <f aca="false">FALSE()</f>
        <v>0</v>
      </c>
      <c r="W341" s="319" t="b">
        <f aca="false">TRUE()</f>
        <v>1</v>
      </c>
      <c r="X341" s="319" t="b">
        <f aca="false">FALSE()</f>
        <v>0</v>
      </c>
      <c r="Y341" s="319" t="b">
        <f aca="false">FALSE()</f>
        <v>0</v>
      </c>
      <c r="Z341" s="319" t="b">
        <f aca="false">FALSE()</f>
        <v>0</v>
      </c>
      <c r="AA341" s="319" t="b">
        <f aca="false">FALSE()</f>
        <v>0</v>
      </c>
      <c r="AB341" s="319" t="b">
        <f aca="false">FALSE()</f>
        <v>0</v>
      </c>
      <c r="AC341" s="319" t="b">
        <f aca="false">FALSE()</f>
        <v>0</v>
      </c>
      <c r="AD341" s="319" t="b">
        <f aca="false">FALSE()</f>
        <v>0</v>
      </c>
      <c r="AE341" s="319" t="b">
        <f aca="false">FALSE()</f>
        <v>0</v>
      </c>
      <c r="AF341" s="319" t="b">
        <f aca="false">FALSE()</f>
        <v>0</v>
      </c>
      <c r="AG341" s="6" t="s">
        <v>182</v>
      </c>
      <c r="AH341" s="6" t="s">
        <v>182</v>
      </c>
    </row>
    <row r="342" customFormat="false" ht="15.75" hidden="false" customHeight="false" outlineLevel="0" collapsed="false">
      <c r="A342" s="1" t="e">
        <f aca="false">#N/A</f>
        <v>#N/A</v>
      </c>
      <c r="B342" s="6" t="s">
        <v>1017</v>
      </c>
      <c r="C342" s="3"/>
      <c r="D342" s="6" t="str">
        <f aca="false">I342   &amp; IF(ISBLANK(M342),, ". "&amp; M342 &amp; IF(ISBLANK(Q342),, ". "&amp; Q342))</f>
        <v>ElementBoost_Dark</v>
      </c>
      <c r="E342" s="6" t="str">
        <f aca="false">I342  &amp;": # on "&amp; L342  &amp; IF(ISBLANK(M342),, ". "&amp; M342 &amp;": # on "&amp; P342 &amp; IF(ISBLANK(Q342),, ". "&amp; Q342 &amp;": # on "&amp; T342))</f>
        <v>ElementBoost_Dark: # on SelfAndTrainer</v>
      </c>
      <c r="F342" s="6" t="str">
        <f aca="false">IF(U342,"active pal",)  &amp; IF(V342,"working",) &amp; IF(W342,"mounted",) &amp; IF(Y342,"in party (buff)",)  &amp; IF(Z342,"always",)</f>
        <v>mounted</v>
      </c>
      <c r="G342" s="6" t="n">
        <v>1</v>
      </c>
      <c r="H342" s="6" t="s">
        <v>182</v>
      </c>
      <c r="I342" s="6" t="s">
        <v>2278</v>
      </c>
      <c r="J342" s="6" t="str">
        <f aca="false">IFERROR(__xludf.dummyfunction("IFS(I342=""ShotAttack"",""%"",I342=""MeleeAttack"",""%"", I342=""Defense"",""%"",I342=""CraftSPeed"",""%"",I342=""LifeSteal"",""%"",I342=""MaxInventoryWeight"",""+"",I342=""MoveSpeed"",""%"",REGEXMATCH(I342,""ElementAddItemDrop_""),""%"",I342=""Logging"","&amp;"""+"",I342=""Mining"",""+"",I342=""Maxhp"",""%"",REGEXMATCH(I342,""TemperatureResist_""),""+"",REGEXMATCH(I342,""ElementResist_""),""%"",REGEXMATCH(I342,""TemperatureInvalid_""),""bool"",REGEXMATCH(I342,""BodyPartsWeakDamage""),""%"",REGEXMATCH(I342,""Ele"&amp;"mentBoost_""),""%"",AND(REGEXMATCH(B342,""GiveA""),REGEXMATCH(I342,""Element"")),""bool"")"),"%")</f>
        <v>%</v>
      </c>
      <c r="K342" s="6" t="n">
        <v>55</v>
      </c>
      <c r="L342" s="6" t="s">
        <v>2085</v>
      </c>
      <c r="M342" s="6"/>
      <c r="N342" s="6" t="str">
        <f aca="false">IFERROR(__xludf.dummyfunction("IFS(M342=""ShotAttack"",""%"",M342=""MeleeAttack"",""%"", M342=""Defense"",""%"",M342=""CraftSPeed"",""%"",M342=""LifeSteal"",""%"",M342=""MaxInventoryWeight"",""+"",M342=""MoveSpeed"",""%"",REGEXMATCH(M342,""ElementAddItemDrop_""),""%"",M342=""Logging"","&amp;"""+"",M342=""Mining"",""+"",M342=""Maxhp"",""%"",REGEXMATCH(M342,""TemperatureResist_""),""+"",REGEXMATCH(M342,""ElementResist_""),""%"",REGEXMATCH(M342,""TemperatureInvalid_""),""bool"",REGEXMATCH(M342,""BodyPartsWeakDamage""),""%"",REGEXMATCH(M342,""Ele"&amp;"mentBoost_""),""%"",AND(REGEXMATCH(F342,""GiveA""),REGEXMATCH(M342,""Element"")),""bool"")"),"#N/A")</f>
        <v>#N/A</v>
      </c>
      <c r="O342" s="6" t="n">
        <v>0</v>
      </c>
      <c r="P342" s="6"/>
      <c r="Q342" s="6"/>
      <c r="R342" s="6" t="str">
        <f aca="false">IFERROR(__xludf.dummyfunction("IFS(Q342=""ShotAttack"",""%"",Q342=""MeleeAttack"",""%"", Q342=""Defense"",""%"",Q342=""CraftSPeed"",""%"",Q342=""LifeSteal"",""%"",Q342=""MaxInventoryWeight"",""+"",Q342=""MoveSpeed"",""%"",REGEXMATCH(Q342,""ElementAddItemDrop_""),""%"",Q342=""Logging"","&amp;"""+"",Q342=""Mining"",""+"",Q342=""Maxhp"",""%"",REGEXMATCH(Q342,""TemperatureResist_""),""+"",REGEXMATCH(Q342,""ElementResist_""),""%"",REGEXMATCH(Q342,""TemperatureInvalid_""),""bool"",REGEXMATCH(Q342,""BodyPartsWeakDamage""),""%"",REGEXMATCH(Q342,""Ele"&amp;"mentBoost_""),""%"",AND(REGEXMATCH(J342,""GiveA""),REGEXMATCH(Q342,""Element"")),""bool"")"),"#N/A")</f>
        <v>#N/A</v>
      </c>
      <c r="S342" s="6" t="n">
        <v>0</v>
      </c>
      <c r="T342" s="6"/>
      <c r="U342" s="319" t="b">
        <f aca="false">FALSE()</f>
        <v>0</v>
      </c>
      <c r="V342" s="319" t="b">
        <f aca="false">FALSE()</f>
        <v>0</v>
      </c>
      <c r="W342" s="319" t="b">
        <f aca="false">TRUE()</f>
        <v>1</v>
      </c>
      <c r="X342" s="319" t="b">
        <f aca="false">FALSE()</f>
        <v>0</v>
      </c>
      <c r="Y342" s="319" t="b">
        <f aca="false">FALSE()</f>
        <v>0</v>
      </c>
      <c r="Z342" s="319" t="b">
        <f aca="false">FALSE()</f>
        <v>0</v>
      </c>
      <c r="AA342" s="319" t="b">
        <f aca="false">FALSE()</f>
        <v>0</v>
      </c>
      <c r="AB342" s="319" t="b">
        <f aca="false">FALSE()</f>
        <v>0</v>
      </c>
      <c r="AC342" s="319" t="b">
        <f aca="false">FALSE()</f>
        <v>0</v>
      </c>
      <c r="AD342" s="319" t="b">
        <f aca="false">FALSE()</f>
        <v>0</v>
      </c>
      <c r="AE342" s="319" t="b">
        <f aca="false">FALSE()</f>
        <v>0</v>
      </c>
      <c r="AF342" s="319" t="b">
        <f aca="false">FALSE()</f>
        <v>0</v>
      </c>
      <c r="AG342" s="6" t="s">
        <v>182</v>
      </c>
      <c r="AH342" s="6" t="s">
        <v>182</v>
      </c>
    </row>
    <row r="343" customFormat="false" ht="15.75" hidden="false" customHeight="false" outlineLevel="0" collapsed="false">
      <c r="A343" s="1" t="e">
        <f aca="false">#N/A</f>
        <v>#N/A</v>
      </c>
      <c r="B343" s="6" t="s">
        <v>1018</v>
      </c>
      <c r="C343" s="3"/>
      <c r="D343" s="6" t="str">
        <f aca="false">I343   &amp; IF(ISBLANK(M343),, ". "&amp; M343 &amp; IF(ISBLANK(Q343),, ". "&amp; Q343))</f>
        <v>ElementBoost_Dark</v>
      </c>
      <c r="E343" s="6" t="str">
        <f aca="false">I343  &amp;": # on "&amp; L343  &amp; IF(ISBLANK(M343),, ". "&amp; M343 &amp;": # on "&amp; P343 &amp; IF(ISBLANK(Q343),, ". "&amp; Q343 &amp;": # on "&amp; T343))</f>
        <v>ElementBoost_Dark: # on SelfAndTrainer</v>
      </c>
      <c r="F343" s="6" t="str">
        <f aca="false">IF(U343,"active pal",)  &amp; IF(V343,"working",) &amp; IF(W343,"mounted",) &amp; IF(Y343,"in party (buff)",)  &amp; IF(Z343,"always",)</f>
        <v>mounted</v>
      </c>
      <c r="G343" s="6" t="n">
        <v>1</v>
      </c>
      <c r="H343" s="6" t="s">
        <v>182</v>
      </c>
      <c r="I343" s="6" t="s">
        <v>2278</v>
      </c>
      <c r="J343" s="6" t="str">
        <f aca="false">IFERROR(__xludf.dummyfunction("IFS(I343=""ShotAttack"",""%"",I343=""MeleeAttack"",""%"", I343=""Defense"",""%"",I343=""CraftSPeed"",""%"",I343=""LifeSteal"",""%"",I343=""MaxInventoryWeight"",""+"",I343=""MoveSpeed"",""%"",REGEXMATCH(I343,""ElementAddItemDrop_""),""%"",I343=""Logging"","&amp;"""+"",I343=""Mining"",""+"",I343=""Maxhp"",""%"",REGEXMATCH(I343,""TemperatureResist_""),""+"",REGEXMATCH(I343,""ElementResist_""),""%"",REGEXMATCH(I343,""TemperatureInvalid_""),""bool"",REGEXMATCH(I343,""BodyPartsWeakDamage""),""%"",REGEXMATCH(I343,""Ele"&amp;"mentBoost_""),""%"",AND(REGEXMATCH(B343,""GiveA""),REGEXMATCH(I343,""Element"")),""bool"")"),"%")</f>
        <v>%</v>
      </c>
      <c r="K343" s="6" t="n">
        <v>65</v>
      </c>
      <c r="L343" s="6" t="s">
        <v>2085</v>
      </c>
      <c r="M343" s="6"/>
      <c r="N343" s="6" t="str">
        <f aca="false">IFERROR(__xludf.dummyfunction("IFS(M343=""ShotAttack"",""%"",M343=""MeleeAttack"",""%"", M343=""Defense"",""%"",M343=""CraftSPeed"",""%"",M343=""LifeSteal"",""%"",M343=""MaxInventoryWeight"",""+"",M343=""MoveSpeed"",""%"",REGEXMATCH(M343,""ElementAddItemDrop_""),""%"",M343=""Logging"","&amp;"""+"",M343=""Mining"",""+"",M343=""Maxhp"",""%"",REGEXMATCH(M343,""TemperatureResist_""),""+"",REGEXMATCH(M343,""ElementResist_""),""%"",REGEXMATCH(M343,""TemperatureInvalid_""),""bool"",REGEXMATCH(M343,""BodyPartsWeakDamage""),""%"",REGEXMATCH(M343,""Ele"&amp;"mentBoost_""),""%"",AND(REGEXMATCH(F343,""GiveA""),REGEXMATCH(M343,""Element"")),""bool"")"),"#N/A")</f>
        <v>#N/A</v>
      </c>
      <c r="O343" s="6" t="n">
        <v>0</v>
      </c>
      <c r="P343" s="6"/>
      <c r="Q343" s="6"/>
      <c r="R343" s="6" t="str">
        <f aca="false">IFERROR(__xludf.dummyfunction("IFS(Q343=""ShotAttack"",""%"",Q343=""MeleeAttack"",""%"", Q343=""Defense"",""%"",Q343=""CraftSPeed"",""%"",Q343=""LifeSteal"",""%"",Q343=""MaxInventoryWeight"",""+"",Q343=""MoveSpeed"",""%"",REGEXMATCH(Q343,""ElementAddItemDrop_""),""%"",Q343=""Logging"","&amp;"""+"",Q343=""Mining"",""+"",Q343=""Maxhp"",""%"",REGEXMATCH(Q343,""TemperatureResist_""),""+"",REGEXMATCH(Q343,""ElementResist_""),""%"",REGEXMATCH(Q343,""TemperatureInvalid_""),""bool"",REGEXMATCH(Q343,""BodyPartsWeakDamage""),""%"",REGEXMATCH(Q343,""Ele"&amp;"mentBoost_""),""%"",AND(REGEXMATCH(J343,""GiveA""),REGEXMATCH(Q343,""Element"")),""bool"")"),"#N/A")</f>
        <v>#N/A</v>
      </c>
      <c r="S343" s="6" t="n">
        <v>0</v>
      </c>
      <c r="T343" s="6"/>
      <c r="U343" s="319" t="b">
        <f aca="false">FALSE()</f>
        <v>0</v>
      </c>
      <c r="V343" s="319" t="b">
        <f aca="false">FALSE()</f>
        <v>0</v>
      </c>
      <c r="W343" s="319" t="b">
        <f aca="false">TRUE()</f>
        <v>1</v>
      </c>
      <c r="X343" s="319" t="b">
        <f aca="false">FALSE()</f>
        <v>0</v>
      </c>
      <c r="Y343" s="319" t="b">
        <f aca="false">FALSE()</f>
        <v>0</v>
      </c>
      <c r="Z343" s="319" t="b">
        <f aca="false">FALSE()</f>
        <v>0</v>
      </c>
      <c r="AA343" s="319" t="b">
        <f aca="false">FALSE()</f>
        <v>0</v>
      </c>
      <c r="AB343" s="319" t="b">
        <f aca="false">FALSE()</f>
        <v>0</v>
      </c>
      <c r="AC343" s="319" t="b">
        <f aca="false">FALSE()</f>
        <v>0</v>
      </c>
      <c r="AD343" s="319" t="b">
        <f aca="false">FALSE()</f>
        <v>0</v>
      </c>
      <c r="AE343" s="319" t="b">
        <f aca="false">FALSE()</f>
        <v>0</v>
      </c>
      <c r="AF343" s="319" t="b">
        <f aca="false">FALSE()</f>
        <v>0</v>
      </c>
      <c r="AG343" s="6" t="s">
        <v>182</v>
      </c>
      <c r="AH343" s="6" t="s">
        <v>182</v>
      </c>
    </row>
    <row r="344" customFormat="false" ht="15.75" hidden="false" customHeight="false" outlineLevel="0" collapsed="false">
      <c r="A344" s="1" t="e">
        <f aca="false">#N/A</f>
        <v>#N/A</v>
      </c>
      <c r="B344" s="6" t="s">
        <v>1019</v>
      </c>
      <c r="C344" s="3"/>
      <c r="D344" s="6" t="str">
        <f aca="false">I344   &amp; IF(ISBLANK(M344),, ". "&amp; M344 &amp; IF(ISBLANK(Q344),, ". "&amp; Q344))</f>
        <v>ElementBoost_Dark</v>
      </c>
      <c r="E344" s="6" t="str">
        <f aca="false">I344  &amp;": # on "&amp; L344  &amp; IF(ISBLANK(M344),, ". "&amp; M344 &amp;": # on "&amp; P344 &amp; IF(ISBLANK(Q344),, ". "&amp; Q344 &amp;": # on "&amp; T344))</f>
        <v>ElementBoost_Dark: # on SelfAndTrainer</v>
      </c>
      <c r="F344" s="6" t="str">
        <f aca="false">IF(U344,"active pal",)  &amp; IF(V344,"working",) &amp; IF(W344,"mounted",) &amp; IF(Y344,"in party (buff)",)  &amp; IF(Z344,"always",)</f>
        <v>mounted</v>
      </c>
      <c r="G344" s="6" t="n">
        <v>1</v>
      </c>
      <c r="H344" s="6" t="s">
        <v>182</v>
      </c>
      <c r="I344" s="6" t="s">
        <v>2278</v>
      </c>
      <c r="J344" s="6" t="str">
        <f aca="false">IFERROR(__xludf.dummyfunction("IFS(I344=""ShotAttack"",""%"",I344=""MeleeAttack"",""%"", I344=""Defense"",""%"",I344=""CraftSPeed"",""%"",I344=""LifeSteal"",""%"",I344=""MaxInventoryWeight"",""+"",I344=""MoveSpeed"",""%"",REGEXMATCH(I344,""ElementAddItemDrop_""),""%"",I344=""Logging"","&amp;"""+"",I344=""Mining"",""+"",I344=""Maxhp"",""%"",REGEXMATCH(I344,""TemperatureResist_""),""+"",REGEXMATCH(I344,""ElementResist_""),""%"",REGEXMATCH(I344,""TemperatureInvalid_""),""bool"",REGEXMATCH(I344,""BodyPartsWeakDamage""),""%"",REGEXMATCH(I344,""Ele"&amp;"mentBoost_""),""%"",AND(REGEXMATCH(B344,""GiveA""),REGEXMATCH(I344,""Element"")),""bool"")"),"%")</f>
        <v>%</v>
      </c>
      <c r="K344" s="6" t="n">
        <v>80</v>
      </c>
      <c r="L344" s="6" t="s">
        <v>2085</v>
      </c>
      <c r="M344" s="6"/>
      <c r="N344" s="6" t="str">
        <f aca="false">IFERROR(__xludf.dummyfunction("IFS(M344=""ShotAttack"",""%"",M344=""MeleeAttack"",""%"", M344=""Defense"",""%"",M344=""CraftSPeed"",""%"",M344=""LifeSteal"",""%"",M344=""MaxInventoryWeight"",""+"",M344=""MoveSpeed"",""%"",REGEXMATCH(M344,""ElementAddItemDrop_""),""%"",M344=""Logging"","&amp;"""+"",M344=""Mining"",""+"",M344=""Maxhp"",""%"",REGEXMATCH(M344,""TemperatureResist_""),""+"",REGEXMATCH(M344,""ElementResist_""),""%"",REGEXMATCH(M344,""TemperatureInvalid_""),""bool"",REGEXMATCH(M344,""BodyPartsWeakDamage""),""%"",REGEXMATCH(M344,""Ele"&amp;"mentBoost_""),""%"",AND(REGEXMATCH(F344,""GiveA""),REGEXMATCH(M344,""Element"")),""bool"")"),"#N/A")</f>
        <v>#N/A</v>
      </c>
      <c r="O344" s="6" t="n">
        <v>0</v>
      </c>
      <c r="P344" s="6"/>
      <c r="Q344" s="6"/>
      <c r="R344" s="6" t="str">
        <f aca="false">IFERROR(__xludf.dummyfunction("IFS(Q344=""ShotAttack"",""%"",Q344=""MeleeAttack"",""%"", Q344=""Defense"",""%"",Q344=""CraftSPeed"",""%"",Q344=""LifeSteal"",""%"",Q344=""MaxInventoryWeight"",""+"",Q344=""MoveSpeed"",""%"",REGEXMATCH(Q344,""ElementAddItemDrop_""),""%"",Q344=""Logging"","&amp;"""+"",Q344=""Mining"",""+"",Q344=""Maxhp"",""%"",REGEXMATCH(Q344,""TemperatureResist_""),""+"",REGEXMATCH(Q344,""ElementResist_""),""%"",REGEXMATCH(Q344,""TemperatureInvalid_""),""bool"",REGEXMATCH(Q344,""BodyPartsWeakDamage""),""%"",REGEXMATCH(Q344,""Ele"&amp;"mentBoost_""),""%"",AND(REGEXMATCH(J344,""GiveA""),REGEXMATCH(Q344,""Element"")),""bool"")"),"#N/A")</f>
        <v>#N/A</v>
      </c>
      <c r="S344" s="6" t="n">
        <v>0</v>
      </c>
      <c r="T344" s="6"/>
      <c r="U344" s="319" t="b">
        <f aca="false">FALSE()</f>
        <v>0</v>
      </c>
      <c r="V344" s="319" t="b">
        <f aca="false">FALSE()</f>
        <v>0</v>
      </c>
      <c r="W344" s="319" t="b">
        <f aca="false">TRUE()</f>
        <v>1</v>
      </c>
      <c r="X344" s="319" t="b">
        <f aca="false">FALSE()</f>
        <v>0</v>
      </c>
      <c r="Y344" s="319" t="b">
        <f aca="false">FALSE()</f>
        <v>0</v>
      </c>
      <c r="Z344" s="319" t="b">
        <f aca="false">FALSE()</f>
        <v>0</v>
      </c>
      <c r="AA344" s="319" t="b">
        <f aca="false">FALSE()</f>
        <v>0</v>
      </c>
      <c r="AB344" s="319" t="b">
        <f aca="false">FALSE()</f>
        <v>0</v>
      </c>
      <c r="AC344" s="319" t="b">
        <f aca="false">FALSE()</f>
        <v>0</v>
      </c>
      <c r="AD344" s="319" t="b">
        <f aca="false">FALSE()</f>
        <v>0</v>
      </c>
      <c r="AE344" s="319" t="b">
        <f aca="false">FALSE()</f>
        <v>0</v>
      </c>
      <c r="AF344" s="319" t="b">
        <f aca="false">FALSE()</f>
        <v>0</v>
      </c>
      <c r="AG344" s="6" t="s">
        <v>182</v>
      </c>
      <c r="AH344" s="6" t="s">
        <v>182</v>
      </c>
    </row>
    <row r="345" customFormat="false" ht="15.75" hidden="false" customHeight="false" outlineLevel="0" collapsed="false">
      <c r="A345" s="1" t="e">
        <f aca="false">#N/A</f>
        <v>#N/A</v>
      </c>
      <c r="B345" s="6" t="s">
        <v>1020</v>
      </c>
      <c r="C345" s="3"/>
      <c r="D345" s="6" t="str">
        <f aca="false">I345   &amp; IF(ISBLANK(M345),, ". "&amp; M345 &amp; IF(ISBLANK(Q345),, ". "&amp; Q345))</f>
        <v>ElementBoost_Dark</v>
      </c>
      <c r="E345" s="6" t="str">
        <f aca="false">I345  &amp;": # on "&amp; L345  &amp; IF(ISBLANK(M345),, ". "&amp; M345 &amp;": # on "&amp; P345 &amp; IF(ISBLANK(Q345),, ". "&amp; Q345 &amp;": # on "&amp; T345))</f>
        <v>ElementBoost_Dark: # on SelfAndTrainer</v>
      </c>
      <c r="F345" s="6" t="str">
        <f aca="false">IF(U345,"active pal",)  &amp; IF(V345,"working",) &amp; IF(W345,"mounted",) &amp; IF(Y345,"in party (buff)",)  &amp; IF(Z345,"always",)</f>
        <v>mounted</v>
      </c>
      <c r="G345" s="6" t="n">
        <v>1</v>
      </c>
      <c r="H345" s="6" t="s">
        <v>182</v>
      </c>
      <c r="I345" s="6" t="s">
        <v>2278</v>
      </c>
      <c r="J345" s="6" t="str">
        <f aca="false">IFERROR(__xludf.dummyfunction("IFS(I345=""ShotAttack"",""%"",I345=""MeleeAttack"",""%"", I345=""Defense"",""%"",I345=""CraftSPeed"",""%"",I345=""LifeSteal"",""%"",I345=""MaxInventoryWeight"",""+"",I345=""MoveSpeed"",""%"",REGEXMATCH(I345,""ElementAddItemDrop_""),""%"",I345=""Logging"","&amp;"""+"",I345=""Mining"",""+"",I345=""Maxhp"",""%"",REGEXMATCH(I345,""TemperatureResist_""),""+"",REGEXMATCH(I345,""ElementResist_""),""%"",REGEXMATCH(I345,""TemperatureInvalid_""),""bool"",REGEXMATCH(I345,""BodyPartsWeakDamage""),""%"",REGEXMATCH(I345,""Ele"&amp;"mentBoost_""),""%"",AND(REGEXMATCH(B345,""GiveA""),REGEXMATCH(I345,""Element"")),""bool"")"),"%")</f>
        <v>%</v>
      </c>
      <c r="K345" s="6" t="n">
        <v>100</v>
      </c>
      <c r="L345" s="6" t="s">
        <v>2085</v>
      </c>
      <c r="M345" s="6"/>
      <c r="N345" s="6" t="str">
        <f aca="false">IFERROR(__xludf.dummyfunction("IFS(M345=""ShotAttack"",""%"",M345=""MeleeAttack"",""%"", M345=""Defense"",""%"",M345=""CraftSPeed"",""%"",M345=""LifeSteal"",""%"",M345=""MaxInventoryWeight"",""+"",M345=""MoveSpeed"",""%"",REGEXMATCH(M345,""ElementAddItemDrop_""),""%"",M345=""Logging"","&amp;"""+"",M345=""Mining"",""+"",M345=""Maxhp"",""%"",REGEXMATCH(M345,""TemperatureResist_""),""+"",REGEXMATCH(M345,""ElementResist_""),""%"",REGEXMATCH(M345,""TemperatureInvalid_""),""bool"",REGEXMATCH(M345,""BodyPartsWeakDamage""),""%"",REGEXMATCH(M345,""Ele"&amp;"mentBoost_""),""%"",AND(REGEXMATCH(F345,""GiveA""),REGEXMATCH(M345,""Element"")),""bool"")"),"#N/A")</f>
        <v>#N/A</v>
      </c>
      <c r="O345" s="6" t="n">
        <v>0</v>
      </c>
      <c r="P345" s="6"/>
      <c r="Q345" s="6"/>
      <c r="R345" s="6" t="str">
        <f aca="false">IFERROR(__xludf.dummyfunction("IFS(Q345=""ShotAttack"",""%"",Q345=""MeleeAttack"",""%"", Q345=""Defense"",""%"",Q345=""CraftSPeed"",""%"",Q345=""LifeSteal"",""%"",Q345=""MaxInventoryWeight"",""+"",Q345=""MoveSpeed"",""%"",REGEXMATCH(Q345,""ElementAddItemDrop_""),""%"",Q345=""Logging"","&amp;"""+"",Q345=""Mining"",""+"",Q345=""Maxhp"",""%"",REGEXMATCH(Q345,""TemperatureResist_""),""+"",REGEXMATCH(Q345,""ElementResist_""),""%"",REGEXMATCH(Q345,""TemperatureInvalid_""),""bool"",REGEXMATCH(Q345,""BodyPartsWeakDamage""),""%"",REGEXMATCH(Q345,""Ele"&amp;"mentBoost_""),""%"",AND(REGEXMATCH(J345,""GiveA""),REGEXMATCH(Q345,""Element"")),""bool"")"),"#N/A")</f>
        <v>#N/A</v>
      </c>
      <c r="S345" s="6" t="n">
        <v>0</v>
      </c>
      <c r="T345" s="6"/>
      <c r="U345" s="319" t="b">
        <f aca="false">FALSE()</f>
        <v>0</v>
      </c>
      <c r="V345" s="319" t="b">
        <f aca="false">FALSE()</f>
        <v>0</v>
      </c>
      <c r="W345" s="319" t="b">
        <f aca="false">TRUE()</f>
        <v>1</v>
      </c>
      <c r="X345" s="319" t="b">
        <f aca="false">FALSE()</f>
        <v>0</v>
      </c>
      <c r="Y345" s="319" t="b">
        <f aca="false">FALSE()</f>
        <v>0</v>
      </c>
      <c r="Z345" s="319" t="b">
        <f aca="false">FALSE()</f>
        <v>0</v>
      </c>
      <c r="AA345" s="319" t="b">
        <f aca="false">FALSE()</f>
        <v>0</v>
      </c>
      <c r="AB345" s="319" t="b">
        <f aca="false">FALSE()</f>
        <v>0</v>
      </c>
      <c r="AC345" s="319" t="b">
        <f aca="false">FALSE()</f>
        <v>0</v>
      </c>
      <c r="AD345" s="319" t="b">
        <f aca="false">FALSE()</f>
        <v>0</v>
      </c>
      <c r="AE345" s="319" t="b">
        <f aca="false">FALSE()</f>
        <v>0</v>
      </c>
      <c r="AF345" s="319" t="b">
        <f aca="false">FALSE()</f>
        <v>0</v>
      </c>
      <c r="AG345" s="6" t="s">
        <v>182</v>
      </c>
      <c r="AH345" s="6" t="s">
        <v>182</v>
      </c>
    </row>
    <row r="346" customFormat="false" ht="15.75" hidden="false" customHeight="false" outlineLevel="0" collapsed="false">
      <c r="A346" s="1" t="e">
        <f aca="false">#N/A</f>
        <v>#N/A</v>
      </c>
      <c r="B346" s="6" t="s">
        <v>1199</v>
      </c>
      <c r="C346" s="3"/>
      <c r="D346" s="6" t="str">
        <f aca="false">I346   &amp; IF(ISBLANK(M346),, ". "&amp; M346 &amp; IF(ISBLANK(Q346),, ". "&amp; Q346))</f>
        <v>ElementBoost_Dragon</v>
      </c>
      <c r="E346" s="6" t="str">
        <f aca="false">I346  &amp;": # on "&amp; L346  &amp; IF(ISBLANK(M346),, ". "&amp; M346 &amp;": # on "&amp; P346 &amp; IF(ISBLANK(Q346),, ". "&amp; Q346 &amp;": # on "&amp; T346))</f>
        <v>ElementBoost_Dragon: # on SelfAndTrainer</v>
      </c>
      <c r="F346" s="6" t="str">
        <f aca="false">IF(U346,"active pal",)  &amp; IF(V346,"working",) &amp; IF(W346,"mounted",) &amp; IF(Y346,"in party (buff)",)  &amp; IF(Z346,"always",)</f>
        <v>mounted</v>
      </c>
      <c r="G346" s="6" t="n">
        <v>1</v>
      </c>
      <c r="H346" s="6" t="s">
        <v>182</v>
      </c>
      <c r="I346" s="6" t="s">
        <v>2282</v>
      </c>
      <c r="J346" s="6" t="str">
        <f aca="false">IFERROR(__xludf.dummyfunction("IFS(I346=""ShotAttack"",""%"",I346=""MeleeAttack"",""%"", I346=""Defense"",""%"",I346=""CraftSPeed"",""%"",I346=""LifeSteal"",""%"",I346=""MaxInventoryWeight"",""+"",I346=""MoveSpeed"",""%"",REGEXMATCH(I346,""ElementAddItemDrop_""),""%"",I346=""Logging"","&amp;"""+"",I346=""Mining"",""+"",I346=""Maxhp"",""%"",REGEXMATCH(I346,""TemperatureResist_""),""+"",REGEXMATCH(I346,""ElementResist_""),""%"",REGEXMATCH(I346,""TemperatureInvalid_""),""bool"",REGEXMATCH(I346,""BodyPartsWeakDamage""),""%"",REGEXMATCH(I346,""Ele"&amp;"mentBoost_""),""%"",AND(REGEXMATCH(B346,""GiveA""),REGEXMATCH(I346,""Element"")),""bool"")"),"%")</f>
        <v>%</v>
      </c>
      <c r="K346" s="6" t="n">
        <v>50</v>
      </c>
      <c r="L346" s="6" t="s">
        <v>2085</v>
      </c>
      <c r="M346" s="6"/>
      <c r="N346" s="6" t="str">
        <f aca="false">IFERROR(__xludf.dummyfunction("IFS(M346=""ShotAttack"",""%"",M346=""MeleeAttack"",""%"", M346=""Defense"",""%"",M346=""CraftSPeed"",""%"",M346=""LifeSteal"",""%"",M346=""MaxInventoryWeight"",""+"",M346=""MoveSpeed"",""%"",REGEXMATCH(M346,""ElementAddItemDrop_""),""%"",M346=""Logging"","&amp;"""+"",M346=""Mining"",""+"",M346=""Maxhp"",""%"",REGEXMATCH(M346,""TemperatureResist_""),""+"",REGEXMATCH(M346,""ElementResist_""),""%"",REGEXMATCH(M346,""TemperatureInvalid_""),""bool"",REGEXMATCH(M346,""BodyPartsWeakDamage""),""%"",REGEXMATCH(M346,""Ele"&amp;"mentBoost_""),""%"",AND(REGEXMATCH(F346,""GiveA""),REGEXMATCH(M346,""Element"")),""bool"")"),"#N/A")</f>
        <v>#N/A</v>
      </c>
      <c r="O346" s="6" t="n">
        <v>0</v>
      </c>
      <c r="P346" s="6"/>
      <c r="Q346" s="6"/>
      <c r="R346" s="6" t="str">
        <f aca="false">IFERROR(__xludf.dummyfunction("IFS(Q346=""ShotAttack"",""%"",Q346=""MeleeAttack"",""%"", Q346=""Defense"",""%"",Q346=""CraftSPeed"",""%"",Q346=""LifeSteal"",""%"",Q346=""MaxInventoryWeight"",""+"",Q346=""MoveSpeed"",""%"",REGEXMATCH(Q346,""ElementAddItemDrop_""),""%"",Q346=""Logging"","&amp;"""+"",Q346=""Mining"",""+"",Q346=""Maxhp"",""%"",REGEXMATCH(Q346,""TemperatureResist_""),""+"",REGEXMATCH(Q346,""ElementResist_""),""%"",REGEXMATCH(Q346,""TemperatureInvalid_""),""bool"",REGEXMATCH(Q346,""BodyPartsWeakDamage""),""%"",REGEXMATCH(Q346,""Ele"&amp;"mentBoost_""),""%"",AND(REGEXMATCH(J346,""GiveA""),REGEXMATCH(Q346,""Element"")),""bool"")"),"#N/A")</f>
        <v>#N/A</v>
      </c>
      <c r="S346" s="6" t="n">
        <v>0</v>
      </c>
      <c r="T346" s="6"/>
      <c r="U346" s="319" t="b">
        <f aca="false">FALSE()</f>
        <v>0</v>
      </c>
      <c r="V346" s="319" t="b">
        <f aca="false">FALSE()</f>
        <v>0</v>
      </c>
      <c r="W346" s="319" t="b">
        <f aca="false">TRUE()</f>
        <v>1</v>
      </c>
      <c r="X346" s="319" t="b">
        <f aca="false">FALSE()</f>
        <v>0</v>
      </c>
      <c r="Y346" s="319" t="b">
        <f aca="false">FALSE()</f>
        <v>0</v>
      </c>
      <c r="Z346" s="319" t="b">
        <f aca="false">FALSE()</f>
        <v>0</v>
      </c>
      <c r="AA346" s="319" t="b">
        <f aca="false">FALSE()</f>
        <v>0</v>
      </c>
      <c r="AB346" s="319" t="b">
        <f aca="false">FALSE()</f>
        <v>0</v>
      </c>
      <c r="AC346" s="319" t="b">
        <f aca="false">FALSE()</f>
        <v>0</v>
      </c>
      <c r="AD346" s="319" t="b">
        <f aca="false">FALSE()</f>
        <v>0</v>
      </c>
      <c r="AE346" s="319" t="b">
        <f aca="false">FALSE()</f>
        <v>0</v>
      </c>
      <c r="AF346" s="319" t="b">
        <f aca="false">FALSE()</f>
        <v>0</v>
      </c>
      <c r="AG346" s="6" t="s">
        <v>182</v>
      </c>
      <c r="AH346" s="6" t="s">
        <v>182</v>
      </c>
    </row>
    <row r="347" customFormat="false" ht="15.75" hidden="false" customHeight="false" outlineLevel="0" collapsed="false">
      <c r="A347" s="1" t="e">
        <f aca="false">#N/A</f>
        <v>#N/A</v>
      </c>
      <c r="B347" s="6" t="s">
        <v>1200</v>
      </c>
      <c r="C347" s="3"/>
      <c r="D347" s="6" t="str">
        <f aca="false">I347   &amp; IF(ISBLANK(M347),, ". "&amp; M347 &amp; IF(ISBLANK(Q347),, ". "&amp; Q347))</f>
        <v>ElementBoost_Dragon</v>
      </c>
      <c r="E347" s="6" t="str">
        <f aca="false">I347  &amp;": # on "&amp; L347  &amp; IF(ISBLANK(M347),, ". "&amp; M347 &amp;": # on "&amp; P347 &amp; IF(ISBLANK(Q347),, ". "&amp; Q347 &amp;": # on "&amp; T347))</f>
        <v>ElementBoost_Dragon: # on SelfAndTrainer</v>
      </c>
      <c r="F347" s="6" t="str">
        <f aca="false">IF(U347,"active pal",)  &amp; IF(V347,"working",) &amp; IF(W347,"mounted",) &amp; IF(Y347,"in party (buff)",)  &amp; IF(Z347,"always",)</f>
        <v>mounted</v>
      </c>
      <c r="G347" s="6" t="n">
        <v>1</v>
      </c>
      <c r="H347" s="6" t="s">
        <v>182</v>
      </c>
      <c r="I347" s="6" t="s">
        <v>2282</v>
      </c>
      <c r="J347" s="6" t="str">
        <f aca="false">IFERROR(__xludf.dummyfunction("IFS(I347=""ShotAttack"",""%"",I347=""MeleeAttack"",""%"", I347=""Defense"",""%"",I347=""CraftSPeed"",""%"",I347=""LifeSteal"",""%"",I347=""MaxInventoryWeight"",""+"",I347=""MoveSpeed"",""%"",REGEXMATCH(I347,""ElementAddItemDrop_""),""%"",I347=""Logging"","&amp;"""+"",I347=""Mining"",""+"",I347=""Maxhp"",""%"",REGEXMATCH(I347,""TemperatureResist_""),""+"",REGEXMATCH(I347,""ElementResist_""),""%"",REGEXMATCH(I347,""TemperatureInvalid_""),""bool"",REGEXMATCH(I347,""BodyPartsWeakDamage""),""%"",REGEXMATCH(I347,""Ele"&amp;"mentBoost_""),""%"",AND(REGEXMATCH(B347,""GiveA""),REGEXMATCH(I347,""Element"")),""bool"")"),"%")</f>
        <v>%</v>
      </c>
      <c r="K347" s="6" t="n">
        <v>55</v>
      </c>
      <c r="L347" s="6" t="s">
        <v>2085</v>
      </c>
      <c r="M347" s="6"/>
      <c r="N347" s="6" t="str">
        <f aca="false">IFERROR(__xludf.dummyfunction("IFS(M347=""ShotAttack"",""%"",M347=""MeleeAttack"",""%"", M347=""Defense"",""%"",M347=""CraftSPeed"",""%"",M347=""LifeSteal"",""%"",M347=""MaxInventoryWeight"",""+"",M347=""MoveSpeed"",""%"",REGEXMATCH(M347,""ElementAddItemDrop_""),""%"",M347=""Logging"","&amp;"""+"",M347=""Mining"",""+"",M347=""Maxhp"",""%"",REGEXMATCH(M347,""TemperatureResist_""),""+"",REGEXMATCH(M347,""ElementResist_""),""%"",REGEXMATCH(M347,""TemperatureInvalid_""),""bool"",REGEXMATCH(M347,""BodyPartsWeakDamage""),""%"",REGEXMATCH(M347,""Ele"&amp;"mentBoost_""),""%"",AND(REGEXMATCH(F347,""GiveA""),REGEXMATCH(M347,""Element"")),""bool"")"),"#N/A")</f>
        <v>#N/A</v>
      </c>
      <c r="O347" s="6" t="n">
        <v>0</v>
      </c>
      <c r="P347" s="6"/>
      <c r="Q347" s="6"/>
      <c r="R347" s="6" t="str">
        <f aca="false">IFERROR(__xludf.dummyfunction("IFS(Q347=""ShotAttack"",""%"",Q347=""MeleeAttack"",""%"", Q347=""Defense"",""%"",Q347=""CraftSPeed"",""%"",Q347=""LifeSteal"",""%"",Q347=""MaxInventoryWeight"",""+"",Q347=""MoveSpeed"",""%"",REGEXMATCH(Q347,""ElementAddItemDrop_""),""%"",Q347=""Logging"","&amp;"""+"",Q347=""Mining"",""+"",Q347=""Maxhp"",""%"",REGEXMATCH(Q347,""TemperatureResist_""),""+"",REGEXMATCH(Q347,""ElementResist_""),""%"",REGEXMATCH(Q347,""TemperatureInvalid_""),""bool"",REGEXMATCH(Q347,""BodyPartsWeakDamage""),""%"",REGEXMATCH(Q347,""Ele"&amp;"mentBoost_""),""%"",AND(REGEXMATCH(J347,""GiveA""),REGEXMATCH(Q347,""Element"")),""bool"")"),"#N/A")</f>
        <v>#N/A</v>
      </c>
      <c r="S347" s="6" t="n">
        <v>0</v>
      </c>
      <c r="T347" s="6"/>
      <c r="U347" s="319" t="b">
        <f aca="false">FALSE()</f>
        <v>0</v>
      </c>
      <c r="V347" s="319" t="b">
        <f aca="false">FALSE()</f>
        <v>0</v>
      </c>
      <c r="W347" s="319" t="b">
        <f aca="false">TRUE()</f>
        <v>1</v>
      </c>
      <c r="X347" s="319" t="b">
        <f aca="false">FALSE()</f>
        <v>0</v>
      </c>
      <c r="Y347" s="319" t="b">
        <f aca="false">FALSE()</f>
        <v>0</v>
      </c>
      <c r="Z347" s="319" t="b">
        <f aca="false">FALSE()</f>
        <v>0</v>
      </c>
      <c r="AA347" s="319" t="b">
        <f aca="false">FALSE()</f>
        <v>0</v>
      </c>
      <c r="AB347" s="319" t="b">
        <f aca="false">FALSE()</f>
        <v>0</v>
      </c>
      <c r="AC347" s="319" t="b">
        <f aca="false">FALSE()</f>
        <v>0</v>
      </c>
      <c r="AD347" s="319" t="b">
        <f aca="false">FALSE()</f>
        <v>0</v>
      </c>
      <c r="AE347" s="319" t="b">
        <f aca="false">FALSE()</f>
        <v>0</v>
      </c>
      <c r="AF347" s="319" t="b">
        <f aca="false">FALSE()</f>
        <v>0</v>
      </c>
      <c r="AG347" s="6" t="s">
        <v>182</v>
      </c>
      <c r="AH347" s="6" t="s">
        <v>182</v>
      </c>
    </row>
    <row r="348" customFormat="false" ht="15.75" hidden="false" customHeight="false" outlineLevel="0" collapsed="false">
      <c r="A348" s="1" t="e">
        <f aca="false">#N/A</f>
        <v>#N/A</v>
      </c>
      <c r="B348" s="6" t="s">
        <v>1201</v>
      </c>
      <c r="C348" s="3"/>
      <c r="D348" s="6" t="str">
        <f aca="false">I348   &amp; IF(ISBLANK(M348),, ". "&amp; M348 &amp; IF(ISBLANK(Q348),, ". "&amp; Q348))</f>
        <v>ElementBoost_Dragon</v>
      </c>
      <c r="E348" s="6" t="str">
        <f aca="false">I348  &amp;": # on "&amp; L348  &amp; IF(ISBLANK(M348),, ". "&amp; M348 &amp;": # on "&amp; P348 &amp; IF(ISBLANK(Q348),, ". "&amp; Q348 &amp;": # on "&amp; T348))</f>
        <v>ElementBoost_Dragon: # on SelfAndTrainer</v>
      </c>
      <c r="F348" s="6" t="str">
        <f aca="false">IF(U348,"active pal",)  &amp; IF(V348,"working",) &amp; IF(W348,"mounted",) &amp; IF(Y348,"in party (buff)",)  &amp; IF(Z348,"always",)</f>
        <v>mounted</v>
      </c>
      <c r="G348" s="6" t="n">
        <v>1</v>
      </c>
      <c r="H348" s="6" t="s">
        <v>182</v>
      </c>
      <c r="I348" s="6" t="s">
        <v>2282</v>
      </c>
      <c r="J348" s="6" t="str">
        <f aca="false">IFERROR(__xludf.dummyfunction("IFS(I348=""ShotAttack"",""%"",I348=""MeleeAttack"",""%"", I348=""Defense"",""%"",I348=""CraftSPeed"",""%"",I348=""LifeSteal"",""%"",I348=""MaxInventoryWeight"",""+"",I348=""MoveSpeed"",""%"",REGEXMATCH(I348,""ElementAddItemDrop_""),""%"",I348=""Logging"","&amp;"""+"",I348=""Mining"",""+"",I348=""Maxhp"",""%"",REGEXMATCH(I348,""TemperatureResist_""),""+"",REGEXMATCH(I348,""ElementResist_""),""%"",REGEXMATCH(I348,""TemperatureInvalid_""),""bool"",REGEXMATCH(I348,""BodyPartsWeakDamage""),""%"",REGEXMATCH(I348,""Ele"&amp;"mentBoost_""),""%"",AND(REGEXMATCH(B348,""GiveA""),REGEXMATCH(I348,""Element"")),""bool"")"),"%")</f>
        <v>%</v>
      </c>
      <c r="K348" s="6" t="n">
        <v>65</v>
      </c>
      <c r="L348" s="6" t="s">
        <v>2085</v>
      </c>
      <c r="M348" s="6"/>
      <c r="N348" s="6" t="str">
        <f aca="false">IFERROR(__xludf.dummyfunction("IFS(M348=""ShotAttack"",""%"",M348=""MeleeAttack"",""%"", M348=""Defense"",""%"",M348=""CraftSPeed"",""%"",M348=""LifeSteal"",""%"",M348=""MaxInventoryWeight"",""+"",M348=""MoveSpeed"",""%"",REGEXMATCH(M348,""ElementAddItemDrop_""),""%"",M348=""Logging"","&amp;"""+"",M348=""Mining"",""+"",M348=""Maxhp"",""%"",REGEXMATCH(M348,""TemperatureResist_""),""+"",REGEXMATCH(M348,""ElementResist_""),""%"",REGEXMATCH(M348,""TemperatureInvalid_""),""bool"",REGEXMATCH(M348,""BodyPartsWeakDamage""),""%"",REGEXMATCH(M348,""Ele"&amp;"mentBoost_""),""%"",AND(REGEXMATCH(F348,""GiveA""),REGEXMATCH(M348,""Element"")),""bool"")"),"#N/A")</f>
        <v>#N/A</v>
      </c>
      <c r="O348" s="6" t="n">
        <v>0</v>
      </c>
      <c r="P348" s="6"/>
      <c r="Q348" s="6"/>
      <c r="R348" s="6" t="str">
        <f aca="false">IFERROR(__xludf.dummyfunction("IFS(Q348=""ShotAttack"",""%"",Q348=""MeleeAttack"",""%"", Q348=""Defense"",""%"",Q348=""CraftSPeed"",""%"",Q348=""LifeSteal"",""%"",Q348=""MaxInventoryWeight"",""+"",Q348=""MoveSpeed"",""%"",REGEXMATCH(Q348,""ElementAddItemDrop_""),""%"",Q348=""Logging"","&amp;"""+"",Q348=""Mining"",""+"",Q348=""Maxhp"",""%"",REGEXMATCH(Q348,""TemperatureResist_""),""+"",REGEXMATCH(Q348,""ElementResist_""),""%"",REGEXMATCH(Q348,""TemperatureInvalid_""),""bool"",REGEXMATCH(Q348,""BodyPartsWeakDamage""),""%"",REGEXMATCH(Q348,""Ele"&amp;"mentBoost_""),""%"",AND(REGEXMATCH(J348,""GiveA""),REGEXMATCH(Q348,""Element"")),""bool"")"),"#N/A")</f>
        <v>#N/A</v>
      </c>
      <c r="S348" s="6" t="n">
        <v>0</v>
      </c>
      <c r="T348" s="6"/>
      <c r="U348" s="319" t="b">
        <f aca="false">FALSE()</f>
        <v>0</v>
      </c>
      <c r="V348" s="319" t="b">
        <f aca="false">FALSE()</f>
        <v>0</v>
      </c>
      <c r="W348" s="319" t="b">
        <f aca="false">TRUE()</f>
        <v>1</v>
      </c>
      <c r="X348" s="319" t="b">
        <f aca="false">FALSE()</f>
        <v>0</v>
      </c>
      <c r="Y348" s="319" t="b">
        <f aca="false">FALSE()</f>
        <v>0</v>
      </c>
      <c r="Z348" s="319" t="b">
        <f aca="false">FALSE()</f>
        <v>0</v>
      </c>
      <c r="AA348" s="319" t="b">
        <f aca="false">FALSE()</f>
        <v>0</v>
      </c>
      <c r="AB348" s="319" t="b">
        <f aca="false">FALSE()</f>
        <v>0</v>
      </c>
      <c r="AC348" s="319" t="b">
        <f aca="false">FALSE()</f>
        <v>0</v>
      </c>
      <c r="AD348" s="319" t="b">
        <f aca="false">FALSE()</f>
        <v>0</v>
      </c>
      <c r="AE348" s="319" t="b">
        <f aca="false">FALSE()</f>
        <v>0</v>
      </c>
      <c r="AF348" s="319" t="b">
        <f aca="false">FALSE()</f>
        <v>0</v>
      </c>
      <c r="AG348" s="6" t="s">
        <v>182</v>
      </c>
      <c r="AH348" s="6" t="s">
        <v>182</v>
      </c>
    </row>
    <row r="349" customFormat="false" ht="15.75" hidden="false" customHeight="false" outlineLevel="0" collapsed="false">
      <c r="A349" s="1" t="e">
        <f aca="false">#N/A</f>
        <v>#N/A</v>
      </c>
      <c r="B349" s="6" t="s">
        <v>1202</v>
      </c>
      <c r="C349" s="3"/>
      <c r="D349" s="6" t="str">
        <f aca="false">I349   &amp; IF(ISBLANK(M349),, ". "&amp; M349 &amp; IF(ISBLANK(Q349),, ". "&amp; Q349))</f>
        <v>ElementBoost_Dragon</v>
      </c>
      <c r="E349" s="6" t="str">
        <f aca="false">I349  &amp;": # on "&amp; L349  &amp; IF(ISBLANK(M349),, ". "&amp; M349 &amp;": # on "&amp; P349 &amp; IF(ISBLANK(Q349),, ". "&amp; Q349 &amp;": # on "&amp; T349))</f>
        <v>ElementBoost_Dragon: # on SelfAndTrainer</v>
      </c>
      <c r="F349" s="6" t="str">
        <f aca="false">IF(U349,"active pal",)  &amp; IF(V349,"working",) &amp; IF(W349,"mounted",) &amp; IF(Y349,"in party (buff)",)  &amp; IF(Z349,"always",)</f>
        <v>mounted</v>
      </c>
      <c r="G349" s="6" t="n">
        <v>1</v>
      </c>
      <c r="H349" s="6" t="s">
        <v>182</v>
      </c>
      <c r="I349" s="6" t="s">
        <v>2282</v>
      </c>
      <c r="J349" s="6" t="str">
        <f aca="false">IFERROR(__xludf.dummyfunction("IFS(I349=""ShotAttack"",""%"",I349=""MeleeAttack"",""%"", I349=""Defense"",""%"",I349=""CraftSPeed"",""%"",I349=""LifeSteal"",""%"",I349=""MaxInventoryWeight"",""+"",I349=""MoveSpeed"",""%"",REGEXMATCH(I349,""ElementAddItemDrop_""),""%"",I349=""Logging"","&amp;"""+"",I349=""Mining"",""+"",I349=""Maxhp"",""%"",REGEXMATCH(I349,""TemperatureResist_""),""+"",REGEXMATCH(I349,""ElementResist_""),""%"",REGEXMATCH(I349,""TemperatureInvalid_""),""bool"",REGEXMATCH(I349,""BodyPartsWeakDamage""),""%"",REGEXMATCH(I349,""Ele"&amp;"mentBoost_""),""%"",AND(REGEXMATCH(B349,""GiveA""),REGEXMATCH(I349,""Element"")),""bool"")"),"%")</f>
        <v>%</v>
      </c>
      <c r="K349" s="6" t="n">
        <v>80</v>
      </c>
      <c r="L349" s="6" t="s">
        <v>2085</v>
      </c>
      <c r="M349" s="6"/>
      <c r="N349" s="6" t="str">
        <f aca="false">IFERROR(__xludf.dummyfunction("IFS(M349=""ShotAttack"",""%"",M349=""MeleeAttack"",""%"", M349=""Defense"",""%"",M349=""CraftSPeed"",""%"",M349=""LifeSteal"",""%"",M349=""MaxInventoryWeight"",""+"",M349=""MoveSpeed"",""%"",REGEXMATCH(M349,""ElementAddItemDrop_""),""%"",M349=""Logging"","&amp;"""+"",M349=""Mining"",""+"",M349=""Maxhp"",""%"",REGEXMATCH(M349,""TemperatureResist_""),""+"",REGEXMATCH(M349,""ElementResist_""),""%"",REGEXMATCH(M349,""TemperatureInvalid_""),""bool"",REGEXMATCH(M349,""BodyPartsWeakDamage""),""%"",REGEXMATCH(M349,""Ele"&amp;"mentBoost_""),""%"",AND(REGEXMATCH(F349,""GiveA""),REGEXMATCH(M349,""Element"")),""bool"")"),"#N/A")</f>
        <v>#N/A</v>
      </c>
      <c r="O349" s="6" t="n">
        <v>0</v>
      </c>
      <c r="P349" s="6"/>
      <c r="Q349" s="6"/>
      <c r="R349" s="6" t="str">
        <f aca="false">IFERROR(__xludf.dummyfunction("IFS(Q349=""ShotAttack"",""%"",Q349=""MeleeAttack"",""%"", Q349=""Defense"",""%"",Q349=""CraftSPeed"",""%"",Q349=""LifeSteal"",""%"",Q349=""MaxInventoryWeight"",""+"",Q349=""MoveSpeed"",""%"",REGEXMATCH(Q349,""ElementAddItemDrop_""),""%"",Q349=""Logging"","&amp;"""+"",Q349=""Mining"",""+"",Q349=""Maxhp"",""%"",REGEXMATCH(Q349,""TemperatureResist_""),""+"",REGEXMATCH(Q349,""ElementResist_""),""%"",REGEXMATCH(Q349,""TemperatureInvalid_""),""bool"",REGEXMATCH(Q349,""BodyPartsWeakDamage""),""%"",REGEXMATCH(Q349,""Ele"&amp;"mentBoost_""),""%"",AND(REGEXMATCH(J349,""GiveA""),REGEXMATCH(Q349,""Element"")),""bool"")"),"#N/A")</f>
        <v>#N/A</v>
      </c>
      <c r="S349" s="6" t="n">
        <v>0</v>
      </c>
      <c r="T349" s="6"/>
      <c r="U349" s="319" t="b">
        <f aca="false">FALSE()</f>
        <v>0</v>
      </c>
      <c r="V349" s="319" t="b">
        <f aca="false">FALSE()</f>
        <v>0</v>
      </c>
      <c r="W349" s="319" t="b">
        <f aca="false">TRUE()</f>
        <v>1</v>
      </c>
      <c r="X349" s="319" t="b">
        <f aca="false">FALSE()</f>
        <v>0</v>
      </c>
      <c r="Y349" s="319" t="b">
        <f aca="false">FALSE()</f>
        <v>0</v>
      </c>
      <c r="Z349" s="319" t="b">
        <f aca="false">FALSE()</f>
        <v>0</v>
      </c>
      <c r="AA349" s="319" t="b">
        <f aca="false">FALSE()</f>
        <v>0</v>
      </c>
      <c r="AB349" s="319" t="b">
        <f aca="false">FALSE()</f>
        <v>0</v>
      </c>
      <c r="AC349" s="319" t="b">
        <f aca="false">FALSE()</f>
        <v>0</v>
      </c>
      <c r="AD349" s="319" t="b">
        <f aca="false">FALSE()</f>
        <v>0</v>
      </c>
      <c r="AE349" s="319" t="b">
        <f aca="false">FALSE()</f>
        <v>0</v>
      </c>
      <c r="AF349" s="319" t="b">
        <f aca="false">FALSE()</f>
        <v>0</v>
      </c>
      <c r="AG349" s="6" t="s">
        <v>182</v>
      </c>
      <c r="AH349" s="6" t="s">
        <v>182</v>
      </c>
    </row>
    <row r="350" customFormat="false" ht="15.75" hidden="false" customHeight="false" outlineLevel="0" collapsed="false">
      <c r="A350" s="1" t="e">
        <f aca="false">#N/A</f>
        <v>#N/A</v>
      </c>
      <c r="B350" s="6" t="s">
        <v>1203</v>
      </c>
      <c r="C350" s="3"/>
      <c r="D350" s="6" t="str">
        <f aca="false">I350   &amp; IF(ISBLANK(M350),, ". "&amp; M350 &amp; IF(ISBLANK(Q350),, ". "&amp; Q350))</f>
        <v>ElementBoost_Dragon</v>
      </c>
      <c r="E350" s="6" t="str">
        <f aca="false">I350  &amp;": # on "&amp; L350  &amp; IF(ISBLANK(M350),, ". "&amp; M350 &amp;": # on "&amp; P350 &amp; IF(ISBLANK(Q350),, ". "&amp; Q350 &amp;": # on "&amp; T350))</f>
        <v>ElementBoost_Dragon: # on SelfAndTrainer</v>
      </c>
      <c r="F350" s="6" t="str">
        <f aca="false">IF(U350,"active pal",)  &amp; IF(V350,"working",) &amp; IF(W350,"mounted",) &amp; IF(Y350,"in party (buff)",)  &amp; IF(Z350,"always",)</f>
        <v>mounted</v>
      </c>
      <c r="G350" s="6" t="n">
        <v>1</v>
      </c>
      <c r="H350" s="6" t="s">
        <v>182</v>
      </c>
      <c r="I350" s="6" t="s">
        <v>2282</v>
      </c>
      <c r="J350" s="6" t="str">
        <f aca="false">IFERROR(__xludf.dummyfunction("IFS(I350=""ShotAttack"",""%"",I350=""MeleeAttack"",""%"", I350=""Defense"",""%"",I350=""CraftSPeed"",""%"",I350=""LifeSteal"",""%"",I350=""MaxInventoryWeight"",""+"",I350=""MoveSpeed"",""%"",REGEXMATCH(I350,""ElementAddItemDrop_""),""%"",I350=""Logging"","&amp;"""+"",I350=""Mining"",""+"",I350=""Maxhp"",""%"",REGEXMATCH(I350,""TemperatureResist_""),""+"",REGEXMATCH(I350,""ElementResist_""),""%"",REGEXMATCH(I350,""TemperatureInvalid_""),""bool"",REGEXMATCH(I350,""BodyPartsWeakDamage""),""%"",REGEXMATCH(I350,""Ele"&amp;"mentBoost_""),""%"",AND(REGEXMATCH(B350,""GiveA""),REGEXMATCH(I350,""Element"")),""bool"")"),"%")</f>
        <v>%</v>
      </c>
      <c r="K350" s="6" t="n">
        <v>100</v>
      </c>
      <c r="L350" s="6" t="s">
        <v>2085</v>
      </c>
      <c r="M350" s="6"/>
      <c r="N350" s="6" t="str">
        <f aca="false">IFERROR(__xludf.dummyfunction("IFS(M350=""ShotAttack"",""%"",M350=""MeleeAttack"",""%"", M350=""Defense"",""%"",M350=""CraftSPeed"",""%"",M350=""LifeSteal"",""%"",M350=""MaxInventoryWeight"",""+"",M350=""MoveSpeed"",""%"",REGEXMATCH(M350,""ElementAddItemDrop_""),""%"",M350=""Logging"","&amp;"""+"",M350=""Mining"",""+"",M350=""Maxhp"",""%"",REGEXMATCH(M350,""TemperatureResist_""),""+"",REGEXMATCH(M350,""ElementResist_""),""%"",REGEXMATCH(M350,""TemperatureInvalid_""),""bool"",REGEXMATCH(M350,""BodyPartsWeakDamage""),""%"",REGEXMATCH(M350,""Ele"&amp;"mentBoost_""),""%"",AND(REGEXMATCH(F350,""GiveA""),REGEXMATCH(M350,""Element"")),""bool"")"),"#N/A")</f>
        <v>#N/A</v>
      </c>
      <c r="O350" s="6" t="n">
        <v>0</v>
      </c>
      <c r="P350" s="6"/>
      <c r="Q350" s="6"/>
      <c r="R350" s="6" t="str">
        <f aca="false">IFERROR(__xludf.dummyfunction("IFS(Q350=""ShotAttack"",""%"",Q350=""MeleeAttack"",""%"", Q350=""Defense"",""%"",Q350=""CraftSPeed"",""%"",Q350=""LifeSteal"",""%"",Q350=""MaxInventoryWeight"",""+"",Q350=""MoveSpeed"",""%"",REGEXMATCH(Q350,""ElementAddItemDrop_""),""%"",Q350=""Logging"","&amp;"""+"",Q350=""Mining"",""+"",Q350=""Maxhp"",""%"",REGEXMATCH(Q350,""TemperatureResist_""),""+"",REGEXMATCH(Q350,""ElementResist_""),""%"",REGEXMATCH(Q350,""TemperatureInvalid_""),""bool"",REGEXMATCH(Q350,""BodyPartsWeakDamage""),""%"",REGEXMATCH(Q350,""Ele"&amp;"mentBoost_""),""%"",AND(REGEXMATCH(J350,""GiveA""),REGEXMATCH(Q350,""Element"")),""bool"")"),"#N/A")</f>
        <v>#N/A</v>
      </c>
      <c r="S350" s="6" t="n">
        <v>0</v>
      </c>
      <c r="T350" s="6"/>
      <c r="U350" s="319" t="b">
        <f aca="false">FALSE()</f>
        <v>0</v>
      </c>
      <c r="V350" s="319" t="b">
        <f aca="false">FALSE()</f>
        <v>0</v>
      </c>
      <c r="W350" s="319" t="b">
        <f aca="false">TRUE()</f>
        <v>1</v>
      </c>
      <c r="X350" s="319" t="b">
        <f aca="false">FALSE()</f>
        <v>0</v>
      </c>
      <c r="Y350" s="319" t="b">
        <f aca="false">FALSE()</f>
        <v>0</v>
      </c>
      <c r="Z350" s="319" t="b">
        <f aca="false">FALSE()</f>
        <v>0</v>
      </c>
      <c r="AA350" s="319" t="b">
        <f aca="false">FALSE()</f>
        <v>0</v>
      </c>
      <c r="AB350" s="319" t="b">
        <f aca="false">FALSE()</f>
        <v>0</v>
      </c>
      <c r="AC350" s="319" t="b">
        <f aca="false">FALSE()</f>
        <v>0</v>
      </c>
      <c r="AD350" s="319" t="b">
        <f aca="false">FALSE()</f>
        <v>0</v>
      </c>
      <c r="AE350" s="319" t="b">
        <f aca="false">FALSE()</f>
        <v>0</v>
      </c>
      <c r="AF350" s="319" t="b">
        <f aca="false">FALSE()</f>
        <v>0</v>
      </c>
      <c r="AG350" s="6" t="s">
        <v>182</v>
      </c>
      <c r="AH350" s="6" t="s">
        <v>182</v>
      </c>
    </row>
    <row r="351" customFormat="false" ht="15.75" hidden="false" customHeight="false" outlineLevel="0" collapsed="false">
      <c r="A351" s="1" t="e">
        <f aca="false">#N/A</f>
        <v>#N/A</v>
      </c>
      <c r="B351" s="6" t="s">
        <v>1216</v>
      </c>
      <c r="C351" s="3"/>
      <c r="D351" s="6" t="str">
        <f aca="false">I351   &amp; IF(ISBLANK(M351),, ". "&amp; M351 &amp; IF(ISBLANK(Q351),, ". "&amp; Q351))</f>
        <v>ElementBoost_Normal</v>
      </c>
      <c r="E351" s="6" t="str">
        <f aca="false">I351  &amp;": # on "&amp; L351  &amp; IF(ISBLANK(M351),, ". "&amp; M351 &amp;": # on "&amp; P351 &amp; IF(ISBLANK(Q351),, ". "&amp; Q351 &amp;": # on "&amp; T351))</f>
        <v>ElementBoost_Normal: # on SelfAndTrainer</v>
      </c>
      <c r="F351" s="6" t="str">
        <f aca="false">IF(U351,"active pal",)  &amp; IF(V351,"working",) &amp; IF(W351,"mounted",) &amp; IF(Y351,"in party (buff)",)  &amp; IF(Z351,"always",)</f>
        <v>mounted</v>
      </c>
      <c r="G351" s="6" t="n">
        <v>1</v>
      </c>
      <c r="H351" s="6" t="s">
        <v>182</v>
      </c>
      <c r="I351" s="6" t="s">
        <v>2250</v>
      </c>
      <c r="J351" s="6" t="str">
        <f aca="false">IFERROR(__xludf.dummyfunction("IFS(I351=""ShotAttack"",""%"",I351=""MeleeAttack"",""%"", I351=""Defense"",""%"",I351=""CraftSPeed"",""%"",I351=""LifeSteal"",""%"",I351=""MaxInventoryWeight"",""+"",I351=""MoveSpeed"",""%"",REGEXMATCH(I351,""ElementAddItemDrop_""),""%"",I351=""Logging"","&amp;"""+"",I351=""Mining"",""+"",I351=""Maxhp"",""%"",REGEXMATCH(I351,""TemperatureResist_""),""+"",REGEXMATCH(I351,""ElementResist_""),""%"",REGEXMATCH(I351,""TemperatureInvalid_""),""bool"",REGEXMATCH(I351,""BodyPartsWeakDamage""),""%"",REGEXMATCH(I351,""Ele"&amp;"mentBoost_""),""%"",AND(REGEXMATCH(B351,""GiveA""),REGEXMATCH(I351,""Element"")),""bool"")"),"%")</f>
        <v>%</v>
      </c>
      <c r="K351" s="6" t="n">
        <v>50</v>
      </c>
      <c r="L351" s="6" t="s">
        <v>2085</v>
      </c>
      <c r="M351" s="6"/>
      <c r="N351" s="6" t="str">
        <f aca="false">IFERROR(__xludf.dummyfunction("IFS(M351=""ShotAttack"",""%"",M351=""MeleeAttack"",""%"", M351=""Defense"",""%"",M351=""CraftSPeed"",""%"",M351=""LifeSteal"",""%"",M351=""MaxInventoryWeight"",""+"",M351=""MoveSpeed"",""%"",REGEXMATCH(M351,""ElementAddItemDrop_""),""%"",M351=""Logging"","&amp;"""+"",M351=""Mining"",""+"",M351=""Maxhp"",""%"",REGEXMATCH(M351,""TemperatureResist_""),""+"",REGEXMATCH(M351,""ElementResist_""),""%"",REGEXMATCH(M351,""TemperatureInvalid_""),""bool"",REGEXMATCH(M351,""BodyPartsWeakDamage""),""%"",REGEXMATCH(M351,""Ele"&amp;"mentBoost_""),""%"",AND(REGEXMATCH(F351,""GiveA""),REGEXMATCH(M351,""Element"")),""bool"")"),"#N/A")</f>
        <v>#N/A</v>
      </c>
      <c r="O351" s="6" t="n">
        <v>0</v>
      </c>
      <c r="P351" s="6"/>
      <c r="Q351" s="6"/>
      <c r="R351" s="6" t="str">
        <f aca="false">IFERROR(__xludf.dummyfunction("IFS(Q351=""ShotAttack"",""%"",Q351=""MeleeAttack"",""%"", Q351=""Defense"",""%"",Q351=""CraftSPeed"",""%"",Q351=""LifeSteal"",""%"",Q351=""MaxInventoryWeight"",""+"",Q351=""MoveSpeed"",""%"",REGEXMATCH(Q351,""ElementAddItemDrop_""),""%"",Q351=""Logging"","&amp;"""+"",Q351=""Mining"",""+"",Q351=""Maxhp"",""%"",REGEXMATCH(Q351,""TemperatureResist_""),""+"",REGEXMATCH(Q351,""ElementResist_""),""%"",REGEXMATCH(Q351,""TemperatureInvalid_""),""bool"",REGEXMATCH(Q351,""BodyPartsWeakDamage""),""%"",REGEXMATCH(Q351,""Ele"&amp;"mentBoost_""),""%"",AND(REGEXMATCH(J351,""GiveA""),REGEXMATCH(Q351,""Element"")),""bool"")"),"#N/A")</f>
        <v>#N/A</v>
      </c>
      <c r="S351" s="6" t="n">
        <v>0</v>
      </c>
      <c r="T351" s="6"/>
      <c r="U351" s="319" t="b">
        <f aca="false">FALSE()</f>
        <v>0</v>
      </c>
      <c r="V351" s="319" t="b">
        <f aca="false">FALSE()</f>
        <v>0</v>
      </c>
      <c r="W351" s="319" t="b">
        <f aca="false">TRUE()</f>
        <v>1</v>
      </c>
      <c r="X351" s="319" t="b">
        <f aca="false">FALSE()</f>
        <v>0</v>
      </c>
      <c r="Y351" s="319" t="b">
        <f aca="false">FALSE()</f>
        <v>0</v>
      </c>
      <c r="Z351" s="319" t="b">
        <f aca="false">FALSE()</f>
        <v>0</v>
      </c>
      <c r="AA351" s="319" t="b">
        <f aca="false">FALSE()</f>
        <v>0</v>
      </c>
      <c r="AB351" s="319" t="b">
        <f aca="false">FALSE()</f>
        <v>0</v>
      </c>
      <c r="AC351" s="319" t="b">
        <f aca="false">FALSE()</f>
        <v>0</v>
      </c>
      <c r="AD351" s="319" t="b">
        <f aca="false">FALSE()</f>
        <v>0</v>
      </c>
      <c r="AE351" s="319" t="b">
        <f aca="false">FALSE()</f>
        <v>0</v>
      </c>
      <c r="AF351" s="319" t="b">
        <f aca="false">FALSE()</f>
        <v>0</v>
      </c>
      <c r="AG351" s="6" t="s">
        <v>182</v>
      </c>
      <c r="AH351" s="6" t="s">
        <v>182</v>
      </c>
    </row>
    <row r="352" customFormat="false" ht="15.75" hidden="false" customHeight="false" outlineLevel="0" collapsed="false">
      <c r="A352" s="1" t="e">
        <f aca="false">#N/A</f>
        <v>#N/A</v>
      </c>
      <c r="B352" s="6" t="s">
        <v>1217</v>
      </c>
      <c r="C352" s="3"/>
      <c r="D352" s="6" t="str">
        <f aca="false">I352   &amp; IF(ISBLANK(M352),, ". "&amp; M352 &amp; IF(ISBLANK(Q352),, ". "&amp; Q352))</f>
        <v>ElementBoost_Normal</v>
      </c>
      <c r="E352" s="6" t="str">
        <f aca="false">I352  &amp;": # on "&amp; L352  &amp; IF(ISBLANK(M352),, ". "&amp; M352 &amp;": # on "&amp; P352 &amp; IF(ISBLANK(Q352),, ". "&amp; Q352 &amp;": # on "&amp; T352))</f>
        <v>ElementBoost_Normal: # on SelfAndTrainer</v>
      </c>
      <c r="F352" s="6" t="str">
        <f aca="false">IF(U352,"active pal",)  &amp; IF(V352,"working",) &amp; IF(W352,"mounted",) &amp; IF(Y352,"in party (buff)",)  &amp; IF(Z352,"always",)</f>
        <v>mounted</v>
      </c>
      <c r="G352" s="6" t="n">
        <v>1</v>
      </c>
      <c r="H352" s="6" t="s">
        <v>182</v>
      </c>
      <c r="I352" s="6" t="s">
        <v>2250</v>
      </c>
      <c r="J352" s="6" t="str">
        <f aca="false">IFERROR(__xludf.dummyfunction("IFS(I352=""ShotAttack"",""%"",I352=""MeleeAttack"",""%"", I352=""Defense"",""%"",I352=""CraftSPeed"",""%"",I352=""LifeSteal"",""%"",I352=""MaxInventoryWeight"",""+"",I352=""MoveSpeed"",""%"",REGEXMATCH(I352,""ElementAddItemDrop_""),""%"",I352=""Logging"","&amp;"""+"",I352=""Mining"",""+"",I352=""Maxhp"",""%"",REGEXMATCH(I352,""TemperatureResist_""),""+"",REGEXMATCH(I352,""ElementResist_""),""%"",REGEXMATCH(I352,""TemperatureInvalid_""),""bool"",REGEXMATCH(I352,""BodyPartsWeakDamage""),""%"",REGEXMATCH(I352,""Ele"&amp;"mentBoost_""),""%"",AND(REGEXMATCH(B352,""GiveA""),REGEXMATCH(I352,""Element"")),""bool"")"),"%")</f>
        <v>%</v>
      </c>
      <c r="K352" s="6" t="n">
        <v>55</v>
      </c>
      <c r="L352" s="6" t="s">
        <v>2085</v>
      </c>
      <c r="M352" s="6"/>
      <c r="N352" s="6" t="str">
        <f aca="false">IFERROR(__xludf.dummyfunction("IFS(M352=""ShotAttack"",""%"",M352=""MeleeAttack"",""%"", M352=""Defense"",""%"",M352=""CraftSPeed"",""%"",M352=""LifeSteal"",""%"",M352=""MaxInventoryWeight"",""+"",M352=""MoveSpeed"",""%"",REGEXMATCH(M352,""ElementAddItemDrop_""),""%"",M352=""Logging"","&amp;"""+"",M352=""Mining"",""+"",M352=""Maxhp"",""%"",REGEXMATCH(M352,""TemperatureResist_""),""+"",REGEXMATCH(M352,""ElementResist_""),""%"",REGEXMATCH(M352,""TemperatureInvalid_""),""bool"",REGEXMATCH(M352,""BodyPartsWeakDamage""),""%"",REGEXMATCH(M352,""Ele"&amp;"mentBoost_""),""%"",AND(REGEXMATCH(F352,""GiveA""),REGEXMATCH(M352,""Element"")),""bool"")"),"#N/A")</f>
        <v>#N/A</v>
      </c>
      <c r="O352" s="6" t="n">
        <v>0</v>
      </c>
      <c r="P352" s="6"/>
      <c r="Q352" s="6"/>
      <c r="R352" s="6" t="str">
        <f aca="false">IFERROR(__xludf.dummyfunction("IFS(Q352=""ShotAttack"",""%"",Q352=""MeleeAttack"",""%"", Q352=""Defense"",""%"",Q352=""CraftSPeed"",""%"",Q352=""LifeSteal"",""%"",Q352=""MaxInventoryWeight"",""+"",Q352=""MoveSpeed"",""%"",REGEXMATCH(Q352,""ElementAddItemDrop_""),""%"",Q352=""Logging"","&amp;"""+"",Q352=""Mining"",""+"",Q352=""Maxhp"",""%"",REGEXMATCH(Q352,""TemperatureResist_""),""+"",REGEXMATCH(Q352,""ElementResist_""),""%"",REGEXMATCH(Q352,""TemperatureInvalid_""),""bool"",REGEXMATCH(Q352,""BodyPartsWeakDamage""),""%"",REGEXMATCH(Q352,""Ele"&amp;"mentBoost_""),""%"",AND(REGEXMATCH(J352,""GiveA""),REGEXMATCH(Q352,""Element"")),""bool"")"),"#N/A")</f>
        <v>#N/A</v>
      </c>
      <c r="S352" s="6" t="n">
        <v>0</v>
      </c>
      <c r="T352" s="6"/>
      <c r="U352" s="319" t="b">
        <f aca="false">FALSE()</f>
        <v>0</v>
      </c>
      <c r="V352" s="319" t="b">
        <f aca="false">FALSE()</f>
        <v>0</v>
      </c>
      <c r="W352" s="319" t="b">
        <f aca="false">TRUE()</f>
        <v>1</v>
      </c>
      <c r="X352" s="319" t="b">
        <f aca="false">FALSE()</f>
        <v>0</v>
      </c>
      <c r="Y352" s="319" t="b">
        <f aca="false">FALSE()</f>
        <v>0</v>
      </c>
      <c r="Z352" s="319" t="b">
        <f aca="false">FALSE()</f>
        <v>0</v>
      </c>
      <c r="AA352" s="319" t="b">
        <f aca="false">FALSE()</f>
        <v>0</v>
      </c>
      <c r="AB352" s="319" t="b">
        <f aca="false">FALSE()</f>
        <v>0</v>
      </c>
      <c r="AC352" s="319" t="b">
        <f aca="false">FALSE()</f>
        <v>0</v>
      </c>
      <c r="AD352" s="319" t="b">
        <f aca="false">FALSE()</f>
        <v>0</v>
      </c>
      <c r="AE352" s="319" t="b">
        <f aca="false">FALSE()</f>
        <v>0</v>
      </c>
      <c r="AF352" s="319" t="b">
        <f aca="false">FALSE()</f>
        <v>0</v>
      </c>
      <c r="AG352" s="6" t="s">
        <v>182</v>
      </c>
      <c r="AH352" s="6" t="s">
        <v>182</v>
      </c>
    </row>
    <row r="353" customFormat="false" ht="15.75" hidden="false" customHeight="false" outlineLevel="0" collapsed="false">
      <c r="A353" s="1" t="e">
        <f aca="false">#N/A</f>
        <v>#N/A</v>
      </c>
      <c r="B353" s="6" t="s">
        <v>1218</v>
      </c>
      <c r="C353" s="3"/>
      <c r="D353" s="6" t="str">
        <f aca="false">I353   &amp; IF(ISBLANK(M353),, ". "&amp; M353 &amp; IF(ISBLANK(Q353),, ". "&amp; Q353))</f>
        <v>ElementBoost_Normal</v>
      </c>
      <c r="E353" s="6" t="str">
        <f aca="false">I353  &amp;": # on "&amp; L353  &amp; IF(ISBLANK(M353),, ". "&amp; M353 &amp;": # on "&amp; P353 &amp; IF(ISBLANK(Q353),, ". "&amp; Q353 &amp;": # on "&amp; T353))</f>
        <v>ElementBoost_Normal: # on SelfAndTrainer</v>
      </c>
      <c r="F353" s="6" t="str">
        <f aca="false">IF(U353,"active pal",)  &amp; IF(V353,"working",) &amp; IF(W353,"mounted",) &amp; IF(Y353,"in party (buff)",)  &amp; IF(Z353,"always",)</f>
        <v>mounted</v>
      </c>
      <c r="G353" s="6" t="n">
        <v>1</v>
      </c>
      <c r="H353" s="6" t="s">
        <v>182</v>
      </c>
      <c r="I353" s="6" t="s">
        <v>2250</v>
      </c>
      <c r="J353" s="6" t="str">
        <f aca="false">IFERROR(__xludf.dummyfunction("IFS(I353=""ShotAttack"",""%"",I353=""MeleeAttack"",""%"", I353=""Defense"",""%"",I353=""CraftSPeed"",""%"",I353=""LifeSteal"",""%"",I353=""MaxInventoryWeight"",""+"",I353=""MoveSpeed"",""%"",REGEXMATCH(I353,""ElementAddItemDrop_""),""%"",I353=""Logging"","&amp;"""+"",I353=""Mining"",""+"",I353=""Maxhp"",""%"",REGEXMATCH(I353,""TemperatureResist_""),""+"",REGEXMATCH(I353,""ElementResist_""),""%"",REGEXMATCH(I353,""TemperatureInvalid_""),""bool"",REGEXMATCH(I353,""BodyPartsWeakDamage""),""%"",REGEXMATCH(I353,""Ele"&amp;"mentBoost_""),""%"",AND(REGEXMATCH(B353,""GiveA""),REGEXMATCH(I353,""Element"")),""bool"")"),"%")</f>
        <v>%</v>
      </c>
      <c r="K353" s="6" t="n">
        <v>65</v>
      </c>
      <c r="L353" s="6" t="s">
        <v>2085</v>
      </c>
      <c r="M353" s="6"/>
      <c r="N353" s="6" t="str">
        <f aca="false">IFERROR(__xludf.dummyfunction("IFS(M353=""ShotAttack"",""%"",M353=""MeleeAttack"",""%"", M353=""Defense"",""%"",M353=""CraftSPeed"",""%"",M353=""LifeSteal"",""%"",M353=""MaxInventoryWeight"",""+"",M353=""MoveSpeed"",""%"",REGEXMATCH(M353,""ElementAddItemDrop_""),""%"",M353=""Logging"","&amp;"""+"",M353=""Mining"",""+"",M353=""Maxhp"",""%"",REGEXMATCH(M353,""TemperatureResist_""),""+"",REGEXMATCH(M353,""ElementResist_""),""%"",REGEXMATCH(M353,""TemperatureInvalid_""),""bool"",REGEXMATCH(M353,""BodyPartsWeakDamage""),""%"",REGEXMATCH(M353,""Ele"&amp;"mentBoost_""),""%"",AND(REGEXMATCH(F353,""GiveA""),REGEXMATCH(M353,""Element"")),""bool"")"),"#N/A")</f>
        <v>#N/A</v>
      </c>
      <c r="O353" s="6" t="n">
        <v>0</v>
      </c>
      <c r="P353" s="6"/>
      <c r="Q353" s="6"/>
      <c r="R353" s="6" t="str">
        <f aca="false">IFERROR(__xludf.dummyfunction("IFS(Q353=""ShotAttack"",""%"",Q353=""MeleeAttack"",""%"", Q353=""Defense"",""%"",Q353=""CraftSPeed"",""%"",Q353=""LifeSteal"",""%"",Q353=""MaxInventoryWeight"",""+"",Q353=""MoveSpeed"",""%"",REGEXMATCH(Q353,""ElementAddItemDrop_""),""%"",Q353=""Logging"","&amp;"""+"",Q353=""Mining"",""+"",Q353=""Maxhp"",""%"",REGEXMATCH(Q353,""TemperatureResist_""),""+"",REGEXMATCH(Q353,""ElementResist_""),""%"",REGEXMATCH(Q353,""TemperatureInvalid_""),""bool"",REGEXMATCH(Q353,""BodyPartsWeakDamage""),""%"",REGEXMATCH(Q353,""Ele"&amp;"mentBoost_""),""%"",AND(REGEXMATCH(J353,""GiveA""),REGEXMATCH(Q353,""Element"")),""bool"")"),"#N/A")</f>
        <v>#N/A</v>
      </c>
      <c r="S353" s="6" t="n">
        <v>0</v>
      </c>
      <c r="T353" s="6"/>
      <c r="U353" s="319" t="b">
        <f aca="false">FALSE()</f>
        <v>0</v>
      </c>
      <c r="V353" s="319" t="b">
        <f aca="false">FALSE()</f>
        <v>0</v>
      </c>
      <c r="W353" s="319" t="b">
        <f aca="false">TRUE()</f>
        <v>1</v>
      </c>
      <c r="X353" s="319" t="b">
        <f aca="false">FALSE()</f>
        <v>0</v>
      </c>
      <c r="Y353" s="319" t="b">
        <f aca="false">FALSE()</f>
        <v>0</v>
      </c>
      <c r="Z353" s="319" t="b">
        <f aca="false">FALSE()</f>
        <v>0</v>
      </c>
      <c r="AA353" s="319" t="b">
        <f aca="false">FALSE()</f>
        <v>0</v>
      </c>
      <c r="AB353" s="319" t="b">
        <f aca="false">FALSE()</f>
        <v>0</v>
      </c>
      <c r="AC353" s="319" t="b">
        <f aca="false">FALSE()</f>
        <v>0</v>
      </c>
      <c r="AD353" s="319" t="b">
        <f aca="false">FALSE()</f>
        <v>0</v>
      </c>
      <c r="AE353" s="319" t="b">
        <f aca="false">FALSE()</f>
        <v>0</v>
      </c>
      <c r="AF353" s="319" t="b">
        <f aca="false">FALSE()</f>
        <v>0</v>
      </c>
      <c r="AG353" s="6" t="s">
        <v>182</v>
      </c>
      <c r="AH353" s="6" t="s">
        <v>182</v>
      </c>
    </row>
    <row r="354" customFormat="false" ht="15.75" hidden="false" customHeight="false" outlineLevel="0" collapsed="false">
      <c r="A354" s="1" t="e">
        <f aca="false">#N/A</f>
        <v>#N/A</v>
      </c>
      <c r="B354" s="6" t="s">
        <v>1219</v>
      </c>
      <c r="C354" s="3"/>
      <c r="D354" s="6" t="str">
        <f aca="false">I354   &amp; IF(ISBLANK(M354),, ". "&amp; M354 &amp; IF(ISBLANK(Q354),, ". "&amp; Q354))</f>
        <v>ElementBoost_Normal</v>
      </c>
      <c r="E354" s="6" t="str">
        <f aca="false">I354  &amp;": # on "&amp; L354  &amp; IF(ISBLANK(M354),, ". "&amp; M354 &amp;": # on "&amp; P354 &amp; IF(ISBLANK(Q354),, ". "&amp; Q354 &amp;": # on "&amp; T354))</f>
        <v>ElementBoost_Normal: # on SelfAndTrainer</v>
      </c>
      <c r="F354" s="6" t="str">
        <f aca="false">IF(U354,"active pal",)  &amp; IF(V354,"working",) &amp; IF(W354,"mounted",) &amp; IF(Y354,"in party (buff)",)  &amp; IF(Z354,"always",)</f>
        <v>mounted</v>
      </c>
      <c r="G354" s="6" t="n">
        <v>1</v>
      </c>
      <c r="H354" s="6" t="s">
        <v>182</v>
      </c>
      <c r="I354" s="6" t="s">
        <v>2250</v>
      </c>
      <c r="J354" s="6" t="str">
        <f aca="false">IFERROR(__xludf.dummyfunction("IFS(I354=""ShotAttack"",""%"",I354=""MeleeAttack"",""%"", I354=""Defense"",""%"",I354=""CraftSPeed"",""%"",I354=""LifeSteal"",""%"",I354=""MaxInventoryWeight"",""+"",I354=""MoveSpeed"",""%"",REGEXMATCH(I354,""ElementAddItemDrop_""),""%"",I354=""Logging"","&amp;"""+"",I354=""Mining"",""+"",I354=""Maxhp"",""%"",REGEXMATCH(I354,""TemperatureResist_""),""+"",REGEXMATCH(I354,""ElementResist_""),""%"",REGEXMATCH(I354,""TemperatureInvalid_""),""bool"",REGEXMATCH(I354,""BodyPartsWeakDamage""),""%"",REGEXMATCH(I354,""Ele"&amp;"mentBoost_""),""%"",AND(REGEXMATCH(B354,""GiveA""),REGEXMATCH(I354,""Element"")),""bool"")"),"%")</f>
        <v>%</v>
      </c>
      <c r="K354" s="6" t="n">
        <v>80</v>
      </c>
      <c r="L354" s="6" t="s">
        <v>2085</v>
      </c>
      <c r="M354" s="6"/>
      <c r="N354" s="6" t="str">
        <f aca="false">IFERROR(__xludf.dummyfunction("IFS(M354=""ShotAttack"",""%"",M354=""MeleeAttack"",""%"", M354=""Defense"",""%"",M354=""CraftSPeed"",""%"",M354=""LifeSteal"",""%"",M354=""MaxInventoryWeight"",""+"",M354=""MoveSpeed"",""%"",REGEXMATCH(M354,""ElementAddItemDrop_""),""%"",M354=""Logging"","&amp;"""+"",M354=""Mining"",""+"",M354=""Maxhp"",""%"",REGEXMATCH(M354,""TemperatureResist_""),""+"",REGEXMATCH(M354,""ElementResist_""),""%"",REGEXMATCH(M354,""TemperatureInvalid_""),""bool"",REGEXMATCH(M354,""BodyPartsWeakDamage""),""%"",REGEXMATCH(M354,""Ele"&amp;"mentBoost_""),""%"",AND(REGEXMATCH(F354,""GiveA""),REGEXMATCH(M354,""Element"")),""bool"")"),"#N/A")</f>
        <v>#N/A</v>
      </c>
      <c r="O354" s="6" t="n">
        <v>0</v>
      </c>
      <c r="P354" s="6"/>
      <c r="Q354" s="6"/>
      <c r="R354" s="6" t="str">
        <f aca="false">IFERROR(__xludf.dummyfunction("IFS(Q354=""ShotAttack"",""%"",Q354=""MeleeAttack"",""%"", Q354=""Defense"",""%"",Q354=""CraftSPeed"",""%"",Q354=""LifeSteal"",""%"",Q354=""MaxInventoryWeight"",""+"",Q354=""MoveSpeed"",""%"",REGEXMATCH(Q354,""ElementAddItemDrop_""),""%"",Q354=""Logging"","&amp;"""+"",Q354=""Mining"",""+"",Q354=""Maxhp"",""%"",REGEXMATCH(Q354,""TemperatureResist_""),""+"",REGEXMATCH(Q354,""ElementResist_""),""%"",REGEXMATCH(Q354,""TemperatureInvalid_""),""bool"",REGEXMATCH(Q354,""BodyPartsWeakDamage""),""%"",REGEXMATCH(Q354,""Ele"&amp;"mentBoost_""),""%"",AND(REGEXMATCH(J354,""GiveA""),REGEXMATCH(Q354,""Element"")),""bool"")"),"#N/A")</f>
        <v>#N/A</v>
      </c>
      <c r="S354" s="6" t="n">
        <v>0</v>
      </c>
      <c r="T354" s="6"/>
      <c r="U354" s="319" t="b">
        <f aca="false">FALSE()</f>
        <v>0</v>
      </c>
      <c r="V354" s="319" t="b">
        <f aca="false">FALSE()</f>
        <v>0</v>
      </c>
      <c r="W354" s="319" t="b">
        <f aca="false">TRUE()</f>
        <v>1</v>
      </c>
      <c r="X354" s="319" t="b">
        <f aca="false">FALSE()</f>
        <v>0</v>
      </c>
      <c r="Y354" s="319" t="b">
        <f aca="false">FALSE()</f>
        <v>0</v>
      </c>
      <c r="Z354" s="319" t="b">
        <f aca="false">FALSE()</f>
        <v>0</v>
      </c>
      <c r="AA354" s="319" t="b">
        <f aca="false">FALSE()</f>
        <v>0</v>
      </c>
      <c r="AB354" s="319" t="b">
        <f aca="false">FALSE()</f>
        <v>0</v>
      </c>
      <c r="AC354" s="319" t="b">
        <f aca="false">FALSE()</f>
        <v>0</v>
      </c>
      <c r="AD354" s="319" t="b">
        <f aca="false">FALSE()</f>
        <v>0</v>
      </c>
      <c r="AE354" s="319" t="b">
        <f aca="false">FALSE()</f>
        <v>0</v>
      </c>
      <c r="AF354" s="319" t="b">
        <f aca="false">FALSE()</f>
        <v>0</v>
      </c>
      <c r="AG354" s="6" t="s">
        <v>182</v>
      </c>
      <c r="AH354" s="6" t="s">
        <v>182</v>
      </c>
    </row>
    <row r="355" customFormat="false" ht="15.75" hidden="false" customHeight="false" outlineLevel="0" collapsed="false">
      <c r="A355" s="1" t="e">
        <f aca="false">#N/A</f>
        <v>#N/A</v>
      </c>
      <c r="B355" s="6" t="s">
        <v>1220</v>
      </c>
      <c r="C355" s="3"/>
      <c r="D355" s="6" t="str">
        <f aca="false">I355   &amp; IF(ISBLANK(M355),, ". "&amp; M355 &amp; IF(ISBLANK(Q355),, ". "&amp; Q355))</f>
        <v>ElementBoost_Normal</v>
      </c>
      <c r="E355" s="6" t="str">
        <f aca="false">I355  &amp;": # on "&amp; L355  &amp; IF(ISBLANK(M355),, ". "&amp; M355 &amp;": # on "&amp; P355 &amp; IF(ISBLANK(Q355),, ". "&amp; Q355 &amp;": # on "&amp; T355))</f>
        <v>ElementBoost_Normal: # on SelfAndTrainer</v>
      </c>
      <c r="F355" s="6" t="str">
        <f aca="false">IF(U355,"active pal",)  &amp; IF(V355,"working",) &amp; IF(W355,"mounted",) &amp; IF(Y355,"in party (buff)",)  &amp; IF(Z355,"always",)</f>
        <v>mounted</v>
      </c>
      <c r="G355" s="6" t="n">
        <v>1</v>
      </c>
      <c r="H355" s="6" t="s">
        <v>182</v>
      </c>
      <c r="I355" s="6" t="s">
        <v>2250</v>
      </c>
      <c r="J355" s="6" t="str">
        <f aca="false">IFERROR(__xludf.dummyfunction("IFS(I355=""ShotAttack"",""%"",I355=""MeleeAttack"",""%"", I355=""Defense"",""%"",I355=""CraftSPeed"",""%"",I355=""LifeSteal"",""%"",I355=""MaxInventoryWeight"",""+"",I355=""MoveSpeed"",""%"",REGEXMATCH(I355,""ElementAddItemDrop_""),""%"",I355=""Logging"","&amp;"""+"",I355=""Mining"",""+"",I355=""Maxhp"",""%"",REGEXMATCH(I355,""TemperatureResist_""),""+"",REGEXMATCH(I355,""ElementResist_""),""%"",REGEXMATCH(I355,""TemperatureInvalid_""),""bool"",REGEXMATCH(I355,""BodyPartsWeakDamage""),""%"",REGEXMATCH(I355,""Ele"&amp;"mentBoost_""),""%"",AND(REGEXMATCH(B355,""GiveA""),REGEXMATCH(I355,""Element"")),""bool"")"),"%")</f>
        <v>%</v>
      </c>
      <c r="K355" s="6" t="n">
        <v>100</v>
      </c>
      <c r="L355" s="6" t="s">
        <v>2085</v>
      </c>
      <c r="M355" s="6"/>
      <c r="N355" s="6" t="str">
        <f aca="false">IFERROR(__xludf.dummyfunction("IFS(M355=""ShotAttack"",""%"",M355=""MeleeAttack"",""%"", M355=""Defense"",""%"",M355=""CraftSPeed"",""%"",M355=""LifeSteal"",""%"",M355=""MaxInventoryWeight"",""+"",M355=""MoveSpeed"",""%"",REGEXMATCH(M355,""ElementAddItemDrop_""),""%"",M355=""Logging"","&amp;"""+"",M355=""Mining"",""+"",M355=""Maxhp"",""%"",REGEXMATCH(M355,""TemperatureResist_""),""+"",REGEXMATCH(M355,""ElementResist_""),""%"",REGEXMATCH(M355,""TemperatureInvalid_""),""bool"",REGEXMATCH(M355,""BodyPartsWeakDamage""),""%"",REGEXMATCH(M355,""Ele"&amp;"mentBoost_""),""%"",AND(REGEXMATCH(F355,""GiveA""),REGEXMATCH(M355,""Element"")),""bool"")"),"#N/A")</f>
        <v>#N/A</v>
      </c>
      <c r="O355" s="6" t="n">
        <v>0</v>
      </c>
      <c r="P355" s="6"/>
      <c r="Q355" s="6"/>
      <c r="R355" s="6" t="str">
        <f aca="false">IFERROR(__xludf.dummyfunction("IFS(Q355=""ShotAttack"",""%"",Q355=""MeleeAttack"",""%"", Q355=""Defense"",""%"",Q355=""CraftSPeed"",""%"",Q355=""LifeSteal"",""%"",Q355=""MaxInventoryWeight"",""+"",Q355=""MoveSpeed"",""%"",REGEXMATCH(Q355,""ElementAddItemDrop_""),""%"",Q355=""Logging"","&amp;"""+"",Q355=""Mining"",""+"",Q355=""Maxhp"",""%"",REGEXMATCH(Q355,""TemperatureResist_""),""+"",REGEXMATCH(Q355,""ElementResist_""),""%"",REGEXMATCH(Q355,""TemperatureInvalid_""),""bool"",REGEXMATCH(Q355,""BodyPartsWeakDamage""),""%"",REGEXMATCH(Q355,""Ele"&amp;"mentBoost_""),""%"",AND(REGEXMATCH(J355,""GiveA""),REGEXMATCH(Q355,""Element"")),""bool"")"),"#N/A")</f>
        <v>#N/A</v>
      </c>
      <c r="S355" s="6" t="n">
        <v>0</v>
      </c>
      <c r="T355" s="6"/>
      <c r="U355" s="319" t="b">
        <f aca="false">FALSE()</f>
        <v>0</v>
      </c>
      <c r="V355" s="319" t="b">
        <f aca="false">FALSE()</f>
        <v>0</v>
      </c>
      <c r="W355" s="319" t="b">
        <f aca="false">TRUE()</f>
        <v>1</v>
      </c>
      <c r="X355" s="319" t="b">
        <f aca="false">FALSE()</f>
        <v>0</v>
      </c>
      <c r="Y355" s="319" t="b">
        <f aca="false">FALSE()</f>
        <v>0</v>
      </c>
      <c r="Z355" s="319" t="b">
        <f aca="false">FALSE()</f>
        <v>0</v>
      </c>
      <c r="AA355" s="319" t="b">
        <f aca="false">FALSE()</f>
        <v>0</v>
      </c>
      <c r="AB355" s="319" t="b">
        <f aca="false">FALSE()</f>
        <v>0</v>
      </c>
      <c r="AC355" s="319" t="b">
        <f aca="false">FALSE()</f>
        <v>0</v>
      </c>
      <c r="AD355" s="319" t="b">
        <f aca="false">FALSE()</f>
        <v>0</v>
      </c>
      <c r="AE355" s="319" t="b">
        <f aca="false">FALSE()</f>
        <v>0</v>
      </c>
      <c r="AF355" s="319" t="b">
        <f aca="false">FALSE()</f>
        <v>0</v>
      </c>
      <c r="AG355" s="6" t="s">
        <v>182</v>
      </c>
      <c r="AH355" s="6" t="s">
        <v>182</v>
      </c>
    </row>
    <row r="356" customFormat="false" ht="15.75" hidden="false" customHeight="false" outlineLevel="0" collapsed="false">
      <c r="A356" s="1" t="e">
        <f aca="false">#N/A</f>
        <v>#N/A</v>
      </c>
      <c r="B356" s="6" t="s">
        <v>1184</v>
      </c>
      <c r="C356" s="3"/>
      <c r="D356" s="6" t="str">
        <f aca="false">I356   &amp; IF(ISBLANK(M356),, ". "&amp; M356 &amp; IF(ISBLANK(Q356),, ". "&amp; Q356))</f>
        <v>Defense</v>
      </c>
      <c r="E356" s="6" t="str">
        <f aca="false">I356  &amp;": # on "&amp; L356  &amp; IF(ISBLANK(M356),, ". "&amp; M356 &amp;": # on "&amp; P356 &amp; IF(ISBLANK(Q356),, ". "&amp; Q356 &amp;": # on "&amp; T356))</f>
        <v>Defense: # on Trainer</v>
      </c>
      <c r="F356" s="6" t="str">
        <f aca="false">IF(U356,"active pal",)  &amp; IF(V356,"working",) &amp; IF(W356,"mounted",) &amp; IF(Y356,"in party (buff)",)  &amp; IF(Z356,"always",)</f>
        <v>active pal</v>
      </c>
      <c r="G356" s="6" t="n">
        <v>1</v>
      </c>
      <c r="H356" s="6" t="s">
        <v>182</v>
      </c>
      <c r="I356" s="6" t="s">
        <v>175</v>
      </c>
      <c r="J356" s="6" t="str">
        <f aca="false">IFERROR(__xludf.dummyfunction("IFS(I356=""ShotAttack"",""%"",I356=""MeleeAttack"",""%"", I356=""Defense"",""%"",I356=""CraftSPeed"",""%"",I356=""LifeSteal"",""%"",I356=""MaxInventoryWeight"",""+"",I356=""MoveSpeed"",""%"",REGEXMATCH(I356,""ElementAddItemDrop_""),""%"",I356=""Logging"","&amp;"""+"",I356=""Mining"",""+"",I356=""Maxhp"",""%"",REGEXMATCH(I356,""TemperatureResist_""),""+"",REGEXMATCH(I356,""ElementResist_""),""%"",REGEXMATCH(I356,""TemperatureInvalid_""),""bool"",REGEXMATCH(I356,""BodyPartsWeakDamage""),""%"",REGEXMATCH(I356,""Ele"&amp;"mentBoost_""),""%"",AND(REGEXMATCH(B356,""GiveA""),REGEXMATCH(I356,""Element"")),""bool"")"),"%")</f>
        <v>%</v>
      </c>
      <c r="K356" s="6" t="n">
        <v>5</v>
      </c>
      <c r="L356" s="6" t="s">
        <v>2034</v>
      </c>
      <c r="M356" s="6"/>
      <c r="N356" s="6" t="str">
        <f aca="false">IFERROR(__xludf.dummyfunction("IFS(M356=""ShotAttack"",""%"",M356=""MeleeAttack"",""%"", M356=""Defense"",""%"",M356=""CraftSPeed"",""%"",M356=""LifeSteal"",""%"",M356=""MaxInventoryWeight"",""+"",M356=""MoveSpeed"",""%"",REGEXMATCH(M356,""ElementAddItemDrop_""),""%"",M356=""Logging"","&amp;"""+"",M356=""Mining"",""+"",M356=""Maxhp"",""%"",REGEXMATCH(M356,""TemperatureResist_""),""+"",REGEXMATCH(M356,""ElementResist_""),""%"",REGEXMATCH(M356,""TemperatureInvalid_""),""bool"",REGEXMATCH(M356,""BodyPartsWeakDamage""),""%"",REGEXMATCH(M356,""Ele"&amp;"mentBoost_""),""%"",AND(REGEXMATCH(F356,""GiveA""),REGEXMATCH(M356,""Element"")),""bool"")"),"#N/A")</f>
        <v>#N/A</v>
      </c>
      <c r="O356" s="6" t="n">
        <v>0</v>
      </c>
      <c r="P356" s="6"/>
      <c r="Q356" s="6"/>
      <c r="R356" s="6" t="str">
        <f aca="false">IFERROR(__xludf.dummyfunction("IFS(Q356=""ShotAttack"",""%"",Q356=""MeleeAttack"",""%"", Q356=""Defense"",""%"",Q356=""CraftSPeed"",""%"",Q356=""LifeSteal"",""%"",Q356=""MaxInventoryWeight"",""+"",Q356=""MoveSpeed"",""%"",REGEXMATCH(Q356,""ElementAddItemDrop_""),""%"",Q356=""Logging"","&amp;"""+"",Q356=""Mining"",""+"",Q356=""Maxhp"",""%"",REGEXMATCH(Q356,""TemperatureResist_""),""+"",REGEXMATCH(Q356,""ElementResist_""),""%"",REGEXMATCH(Q356,""TemperatureInvalid_""),""bool"",REGEXMATCH(Q356,""BodyPartsWeakDamage""),""%"",REGEXMATCH(Q356,""Ele"&amp;"mentBoost_""),""%"",AND(REGEXMATCH(J356,""GiveA""),REGEXMATCH(Q356,""Element"")),""bool"")"),"#N/A")</f>
        <v>#N/A</v>
      </c>
      <c r="S356" s="6" t="n">
        <v>0</v>
      </c>
      <c r="T356" s="6"/>
      <c r="U356" s="319" t="b">
        <f aca="false">TRUE()</f>
        <v>1</v>
      </c>
      <c r="V356" s="319" t="b">
        <f aca="false">FALSE()</f>
        <v>0</v>
      </c>
      <c r="W356" s="319" t="b">
        <f aca="false">FALSE()</f>
        <v>0</v>
      </c>
      <c r="X356" s="319" t="b">
        <f aca="false">FALSE()</f>
        <v>0</v>
      </c>
      <c r="Y356" s="319" t="b">
        <f aca="false">FALSE()</f>
        <v>0</v>
      </c>
      <c r="Z356" s="319" t="b">
        <f aca="false">FALSE()</f>
        <v>0</v>
      </c>
      <c r="AA356" s="319" t="b">
        <f aca="false">FALSE()</f>
        <v>0</v>
      </c>
      <c r="AB356" s="319" t="b">
        <f aca="false">FALSE()</f>
        <v>0</v>
      </c>
      <c r="AC356" s="319" t="b">
        <f aca="false">FALSE()</f>
        <v>0</v>
      </c>
      <c r="AD356" s="319" t="b">
        <f aca="false">FALSE()</f>
        <v>0</v>
      </c>
      <c r="AE356" s="319" t="b">
        <f aca="false">FALSE()</f>
        <v>0</v>
      </c>
      <c r="AF356" s="319" t="b">
        <f aca="false">FALSE()</f>
        <v>0</v>
      </c>
      <c r="AG356" s="6" t="s">
        <v>182</v>
      </c>
      <c r="AH356" s="6" t="s">
        <v>182</v>
      </c>
    </row>
    <row r="357" customFormat="false" ht="15.75" hidden="false" customHeight="false" outlineLevel="0" collapsed="false">
      <c r="A357" s="1" t="e">
        <f aca="false">#N/A</f>
        <v>#N/A</v>
      </c>
      <c r="B357" s="6" t="s">
        <v>1185</v>
      </c>
      <c r="C357" s="3"/>
      <c r="D357" s="6" t="str">
        <f aca="false">I357   &amp; IF(ISBLANK(M357),, ". "&amp; M357 &amp; IF(ISBLANK(Q357),, ". "&amp; Q357))</f>
        <v>Defense</v>
      </c>
      <c r="E357" s="6" t="str">
        <f aca="false">I357  &amp;": # on "&amp; L357  &amp; IF(ISBLANK(M357),, ". "&amp; M357 &amp;": # on "&amp; P357 &amp; IF(ISBLANK(Q357),, ". "&amp; Q357 &amp;": # on "&amp; T357))</f>
        <v>Defense: # on Trainer</v>
      </c>
      <c r="F357" s="6" t="str">
        <f aca="false">IF(U357,"active pal",)  &amp; IF(V357,"working",) &amp; IF(W357,"mounted",) &amp; IF(Y357,"in party (buff)",)  &amp; IF(Z357,"always",)</f>
        <v>active pal</v>
      </c>
      <c r="G357" s="6" t="n">
        <v>1</v>
      </c>
      <c r="H357" s="6" t="s">
        <v>182</v>
      </c>
      <c r="I357" s="6" t="s">
        <v>175</v>
      </c>
      <c r="J357" s="6" t="str">
        <f aca="false">IFERROR(__xludf.dummyfunction("IFS(I357=""ShotAttack"",""%"",I357=""MeleeAttack"",""%"", I357=""Defense"",""%"",I357=""CraftSPeed"",""%"",I357=""LifeSteal"",""%"",I357=""MaxInventoryWeight"",""+"",I357=""MoveSpeed"",""%"",REGEXMATCH(I357,""ElementAddItemDrop_""),""%"",I357=""Logging"","&amp;"""+"",I357=""Mining"",""+"",I357=""Maxhp"",""%"",REGEXMATCH(I357,""TemperatureResist_""),""+"",REGEXMATCH(I357,""ElementResist_""),""%"",REGEXMATCH(I357,""TemperatureInvalid_""),""bool"",REGEXMATCH(I357,""BodyPartsWeakDamage""),""%"",REGEXMATCH(I357,""Ele"&amp;"mentBoost_""),""%"",AND(REGEXMATCH(B357,""GiveA""),REGEXMATCH(I357,""Element"")),""bool"")"),"%")</f>
        <v>%</v>
      </c>
      <c r="K357" s="6" t="n">
        <v>6</v>
      </c>
      <c r="L357" s="6" t="s">
        <v>2034</v>
      </c>
      <c r="M357" s="6"/>
      <c r="N357" s="6" t="str">
        <f aca="false">IFERROR(__xludf.dummyfunction("IFS(M357=""ShotAttack"",""%"",M357=""MeleeAttack"",""%"", M357=""Defense"",""%"",M357=""CraftSPeed"",""%"",M357=""LifeSteal"",""%"",M357=""MaxInventoryWeight"",""+"",M357=""MoveSpeed"",""%"",REGEXMATCH(M357,""ElementAddItemDrop_""),""%"",M357=""Logging"","&amp;"""+"",M357=""Mining"",""+"",M357=""Maxhp"",""%"",REGEXMATCH(M357,""TemperatureResist_""),""+"",REGEXMATCH(M357,""ElementResist_""),""%"",REGEXMATCH(M357,""TemperatureInvalid_""),""bool"",REGEXMATCH(M357,""BodyPartsWeakDamage""),""%"",REGEXMATCH(M357,""Ele"&amp;"mentBoost_""),""%"",AND(REGEXMATCH(F357,""GiveA""),REGEXMATCH(M357,""Element"")),""bool"")"),"#N/A")</f>
        <v>#N/A</v>
      </c>
      <c r="O357" s="6" t="n">
        <v>0</v>
      </c>
      <c r="P357" s="6"/>
      <c r="Q357" s="6"/>
      <c r="R357" s="6" t="str">
        <f aca="false">IFERROR(__xludf.dummyfunction("IFS(Q357=""ShotAttack"",""%"",Q357=""MeleeAttack"",""%"", Q357=""Defense"",""%"",Q357=""CraftSPeed"",""%"",Q357=""LifeSteal"",""%"",Q357=""MaxInventoryWeight"",""+"",Q357=""MoveSpeed"",""%"",REGEXMATCH(Q357,""ElementAddItemDrop_""),""%"",Q357=""Logging"","&amp;"""+"",Q357=""Mining"",""+"",Q357=""Maxhp"",""%"",REGEXMATCH(Q357,""TemperatureResist_""),""+"",REGEXMATCH(Q357,""ElementResist_""),""%"",REGEXMATCH(Q357,""TemperatureInvalid_""),""bool"",REGEXMATCH(Q357,""BodyPartsWeakDamage""),""%"",REGEXMATCH(Q357,""Ele"&amp;"mentBoost_""),""%"",AND(REGEXMATCH(J357,""GiveA""),REGEXMATCH(Q357,""Element"")),""bool"")"),"#N/A")</f>
        <v>#N/A</v>
      </c>
      <c r="S357" s="6" t="n">
        <v>0</v>
      </c>
      <c r="T357" s="6"/>
      <c r="U357" s="319" t="b">
        <f aca="false">TRUE()</f>
        <v>1</v>
      </c>
      <c r="V357" s="319" t="b">
        <f aca="false">FALSE()</f>
        <v>0</v>
      </c>
      <c r="W357" s="319" t="b">
        <f aca="false">FALSE()</f>
        <v>0</v>
      </c>
      <c r="X357" s="319" t="b">
        <f aca="false">FALSE()</f>
        <v>0</v>
      </c>
      <c r="Y357" s="319" t="b">
        <f aca="false">FALSE()</f>
        <v>0</v>
      </c>
      <c r="Z357" s="319" t="b">
        <f aca="false">FALSE()</f>
        <v>0</v>
      </c>
      <c r="AA357" s="319" t="b">
        <f aca="false">FALSE()</f>
        <v>0</v>
      </c>
      <c r="AB357" s="319" t="b">
        <f aca="false">FALSE()</f>
        <v>0</v>
      </c>
      <c r="AC357" s="319" t="b">
        <f aca="false">FALSE()</f>
        <v>0</v>
      </c>
      <c r="AD357" s="319" t="b">
        <f aca="false">FALSE()</f>
        <v>0</v>
      </c>
      <c r="AE357" s="319" t="b">
        <f aca="false">FALSE()</f>
        <v>0</v>
      </c>
      <c r="AF357" s="319" t="b">
        <f aca="false">FALSE()</f>
        <v>0</v>
      </c>
      <c r="AG357" s="6" t="s">
        <v>182</v>
      </c>
      <c r="AH357" s="6" t="s">
        <v>182</v>
      </c>
    </row>
    <row r="358" customFormat="false" ht="15.75" hidden="false" customHeight="false" outlineLevel="0" collapsed="false">
      <c r="A358" s="1" t="e">
        <f aca="false">#N/A</f>
        <v>#N/A</v>
      </c>
      <c r="B358" s="6" t="s">
        <v>1186</v>
      </c>
      <c r="C358" s="3"/>
      <c r="D358" s="6" t="str">
        <f aca="false">I358   &amp; IF(ISBLANK(M358),, ". "&amp; M358 &amp; IF(ISBLANK(Q358),, ". "&amp; Q358))</f>
        <v>Defense</v>
      </c>
      <c r="E358" s="6" t="str">
        <f aca="false">I358  &amp;": # on "&amp; L358  &amp; IF(ISBLANK(M358),, ". "&amp; M358 &amp;": # on "&amp; P358 &amp; IF(ISBLANK(Q358),, ". "&amp; Q358 &amp;": # on "&amp; T358))</f>
        <v>Defense: # on Trainer</v>
      </c>
      <c r="F358" s="6" t="str">
        <f aca="false">IF(U358,"active pal",)  &amp; IF(V358,"working",) &amp; IF(W358,"mounted",) &amp; IF(Y358,"in party (buff)",)  &amp; IF(Z358,"always",)</f>
        <v>active pal</v>
      </c>
      <c r="G358" s="6" t="n">
        <v>1</v>
      </c>
      <c r="H358" s="6" t="s">
        <v>182</v>
      </c>
      <c r="I358" s="6" t="s">
        <v>175</v>
      </c>
      <c r="J358" s="6" t="str">
        <f aca="false">IFERROR(__xludf.dummyfunction("IFS(I358=""ShotAttack"",""%"",I358=""MeleeAttack"",""%"", I358=""Defense"",""%"",I358=""CraftSPeed"",""%"",I358=""LifeSteal"",""%"",I358=""MaxInventoryWeight"",""+"",I358=""MoveSpeed"",""%"",REGEXMATCH(I358,""ElementAddItemDrop_""),""%"",I358=""Logging"","&amp;"""+"",I358=""Mining"",""+"",I358=""Maxhp"",""%"",REGEXMATCH(I358,""TemperatureResist_""),""+"",REGEXMATCH(I358,""ElementResist_""),""%"",REGEXMATCH(I358,""TemperatureInvalid_""),""bool"",REGEXMATCH(I358,""BodyPartsWeakDamage""),""%"",REGEXMATCH(I358,""Ele"&amp;"mentBoost_""),""%"",AND(REGEXMATCH(B358,""GiveA""),REGEXMATCH(I358,""Element"")),""bool"")"),"%")</f>
        <v>%</v>
      </c>
      <c r="K358" s="6" t="n">
        <v>7</v>
      </c>
      <c r="L358" s="6" t="s">
        <v>2034</v>
      </c>
      <c r="M358" s="6"/>
      <c r="N358" s="6" t="str">
        <f aca="false">IFERROR(__xludf.dummyfunction("IFS(M358=""ShotAttack"",""%"",M358=""MeleeAttack"",""%"", M358=""Defense"",""%"",M358=""CraftSPeed"",""%"",M358=""LifeSteal"",""%"",M358=""MaxInventoryWeight"",""+"",M358=""MoveSpeed"",""%"",REGEXMATCH(M358,""ElementAddItemDrop_""),""%"",M358=""Logging"","&amp;"""+"",M358=""Mining"",""+"",M358=""Maxhp"",""%"",REGEXMATCH(M358,""TemperatureResist_""),""+"",REGEXMATCH(M358,""ElementResist_""),""%"",REGEXMATCH(M358,""TemperatureInvalid_""),""bool"",REGEXMATCH(M358,""BodyPartsWeakDamage""),""%"",REGEXMATCH(M358,""Ele"&amp;"mentBoost_""),""%"",AND(REGEXMATCH(F358,""GiveA""),REGEXMATCH(M358,""Element"")),""bool"")"),"#N/A")</f>
        <v>#N/A</v>
      </c>
      <c r="O358" s="6" t="n">
        <v>0</v>
      </c>
      <c r="P358" s="6"/>
      <c r="Q358" s="6"/>
      <c r="R358" s="6" t="str">
        <f aca="false">IFERROR(__xludf.dummyfunction("IFS(Q358=""ShotAttack"",""%"",Q358=""MeleeAttack"",""%"", Q358=""Defense"",""%"",Q358=""CraftSPeed"",""%"",Q358=""LifeSteal"",""%"",Q358=""MaxInventoryWeight"",""+"",Q358=""MoveSpeed"",""%"",REGEXMATCH(Q358,""ElementAddItemDrop_""),""%"",Q358=""Logging"","&amp;"""+"",Q358=""Mining"",""+"",Q358=""Maxhp"",""%"",REGEXMATCH(Q358,""TemperatureResist_""),""+"",REGEXMATCH(Q358,""ElementResist_""),""%"",REGEXMATCH(Q358,""TemperatureInvalid_""),""bool"",REGEXMATCH(Q358,""BodyPartsWeakDamage""),""%"",REGEXMATCH(Q358,""Ele"&amp;"mentBoost_""),""%"",AND(REGEXMATCH(J358,""GiveA""),REGEXMATCH(Q358,""Element"")),""bool"")"),"#N/A")</f>
        <v>#N/A</v>
      </c>
      <c r="S358" s="6" t="n">
        <v>0</v>
      </c>
      <c r="T358" s="6"/>
      <c r="U358" s="319" t="b">
        <f aca="false">TRUE()</f>
        <v>1</v>
      </c>
      <c r="V358" s="319" t="b">
        <f aca="false">FALSE()</f>
        <v>0</v>
      </c>
      <c r="W358" s="319" t="b">
        <f aca="false">FALSE()</f>
        <v>0</v>
      </c>
      <c r="X358" s="319" t="b">
        <f aca="false">FALSE()</f>
        <v>0</v>
      </c>
      <c r="Y358" s="319" t="b">
        <f aca="false">FALSE()</f>
        <v>0</v>
      </c>
      <c r="Z358" s="319" t="b">
        <f aca="false">FALSE()</f>
        <v>0</v>
      </c>
      <c r="AA358" s="319" t="b">
        <f aca="false">FALSE()</f>
        <v>0</v>
      </c>
      <c r="AB358" s="319" t="b">
        <f aca="false">FALSE()</f>
        <v>0</v>
      </c>
      <c r="AC358" s="319" t="b">
        <f aca="false">FALSE()</f>
        <v>0</v>
      </c>
      <c r="AD358" s="319" t="b">
        <f aca="false">FALSE()</f>
        <v>0</v>
      </c>
      <c r="AE358" s="319" t="b">
        <f aca="false">FALSE()</f>
        <v>0</v>
      </c>
      <c r="AF358" s="319" t="b">
        <f aca="false">FALSE()</f>
        <v>0</v>
      </c>
      <c r="AG358" s="6" t="s">
        <v>182</v>
      </c>
      <c r="AH358" s="6" t="s">
        <v>182</v>
      </c>
    </row>
    <row r="359" customFormat="false" ht="15.75" hidden="false" customHeight="false" outlineLevel="0" collapsed="false">
      <c r="A359" s="1" t="e">
        <f aca="false">#N/A</f>
        <v>#N/A</v>
      </c>
      <c r="B359" s="6" t="s">
        <v>1187</v>
      </c>
      <c r="C359" s="3"/>
      <c r="D359" s="6" t="str">
        <f aca="false">I359   &amp; IF(ISBLANK(M359),, ". "&amp; M359 &amp; IF(ISBLANK(Q359),, ". "&amp; Q359))</f>
        <v>Defense</v>
      </c>
      <c r="E359" s="6" t="str">
        <f aca="false">I359  &amp;": # on "&amp; L359  &amp; IF(ISBLANK(M359),, ". "&amp; M359 &amp;": # on "&amp; P359 &amp; IF(ISBLANK(Q359),, ". "&amp; Q359 &amp;": # on "&amp; T359))</f>
        <v>Defense: # on Trainer</v>
      </c>
      <c r="F359" s="6" t="str">
        <f aca="false">IF(U359,"active pal",)  &amp; IF(V359,"working",) &amp; IF(W359,"mounted",) &amp; IF(Y359,"in party (buff)",)  &amp; IF(Z359,"always",)</f>
        <v>active pal</v>
      </c>
      <c r="G359" s="6" t="n">
        <v>1</v>
      </c>
      <c r="H359" s="6" t="s">
        <v>182</v>
      </c>
      <c r="I359" s="6" t="s">
        <v>175</v>
      </c>
      <c r="J359" s="6" t="str">
        <f aca="false">IFERROR(__xludf.dummyfunction("IFS(I359=""ShotAttack"",""%"",I359=""MeleeAttack"",""%"", I359=""Defense"",""%"",I359=""CraftSPeed"",""%"",I359=""LifeSteal"",""%"",I359=""MaxInventoryWeight"",""+"",I359=""MoveSpeed"",""%"",REGEXMATCH(I359,""ElementAddItemDrop_""),""%"",I359=""Logging"","&amp;"""+"",I359=""Mining"",""+"",I359=""Maxhp"",""%"",REGEXMATCH(I359,""TemperatureResist_""),""+"",REGEXMATCH(I359,""ElementResist_""),""%"",REGEXMATCH(I359,""TemperatureInvalid_""),""bool"",REGEXMATCH(I359,""BodyPartsWeakDamage""),""%"",REGEXMATCH(I359,""Ele"&amp;"mentBoost_""),""%"",AND(REGEXMATCH(B359,""GiveA""),REGEXMATCH(I359,""Element"")),""bool"")"),"%")</f>
        <v>%</v>
      </c>
      <c r="K359" s="6" t="n">
        <v>8</v>
      </c>
      <c r="L359" s="6" t="s">
        <v>2034</v>
      </c>
      <c r="M359" s="6"/>
      <c r="N359" s="6" t="str">
        <f aca="false">IFERROR(__xludf.dummyfunction("IFS(M359=""ShotAttack"",""%"",M359=""MeleeAttack"",""%"", M359=""Defense"",""%"",M359=""CraftSPeed"",""%"",M359=""LifeSteal"",""%"",M359=""MaxInventoryWeight"",""+"",M359=""MoveSpeed"",""%"",REGEXMATCH(M359,""ElementAddItemDrop_""),""%"",M359=""Logging"","&amp;"""+"",M359=""Mining"",""+"",M359=""Maxhp"",""%"",REGEXMATCH(M359,""TemperatureResist_""),""+"",REGEXMATCH(M359,""ElementResist_""),""%"",REGEXMATCH(M359,""TemperatureInvalid_""),""bool"",REGEXMATCH(M359,""BodyPartsWeakDamage""),""%"",REGEXMATCH(M359,""Ele"&amp;"mentBoost_""),""%"",AND(REGEXMATCH(F359,""GiveA""),REGEXMATCH(M359,""Element"")),""bool"")"),"#N/A")</f>
        <v>#N/A</v>
      </c>
      <c r="O359" s="6" t="n">
        <v>0</v>
      </c>
      <c r="P359" s="6"/>
      <c r="Q359" s="6"/>
      <c r="R359" s="6" t="str">
        <f aca="false">IFERROR(__xludf.dummyfunction("IFS(Q359=""ShotAttack"",""%"",Q359=""MeleeAttack"",""%"", Q359=""Defense"",""%"",Q359=""CraftSPeed"",""%"",Q359=""LifeSteal"",""%"",Q359=""MaxInventoryWeight"",""+"",Q359=""MoveSpeed"",""%"",REGEXMATCH(Q359,""ElementAddItemDrop_""),""%"",Q359=""Logging"","&amp;"""+"",Q359=""Mining"",""+"",Q359=""Maxhp"",""%"",REGEXMATCH(Q359,""TemperatureResist_""),""+"",REGEXMATCH(Q359,""ElementResist_""),""%"",REGEXMATCH(Q359,""TemperatureInvalid_""),""bool"",REGEXMATCH(Q359,""BodyPartsWeakDamage""),""%"",REGEXMATCH(Q359,""Ele"&amp;"mentBoost_""),""%"",AND(REGEXMATCH(J359,""GiveA""),REGEXMATCH(Q359,""Element"")),""bool"")"),"#N/A")</f>
        <v>#N/A</v>
      </c>
      <c r="S359" s="6" t="n">
        <v>0</v>
      </c>
      <c r="T359" s="6"/>
      <c r="U359" s="319" t="b">
        <f aca="false">TRUE()</f>
        <v>1</v>
      </c>
      <c r="V359" s="319" t="b">
        <f aca="false">FALSE()</f>
        <v>0</v>
      </c>
      <c r="W359" s="319" t="b">
        <f aca="false">FALSE()</f>
        <v>0</v>
      </c>
      <c r="X359" s="319" t="b">
        <f aca="false">FALSE()</f>
        <v>0</v>
      </c>
      <c r="Y359" s="319" t="b">
        <f aca="false">FALSE()</f>
        <v>0</v>
      </c>
      <c r="Z359" s="319" t="b">
        <f aca="false">FALSE()</f>
        <v>0</v>
      </c>
      <c r="AA359" s="319" t="b">
        <f aca="false">FALSE()</f>
        <v>0</v>
      </c>
      <c r="AB359" s="319" t="b">
        <f aca="false">FALSE()</f>
        <v>0</v>
      </c>
      <c r="AC359" s="319" t="b">
        <f aca="false">FALSE()</f>
        <v>0</v>
      </c>
      <c r="AD359" s="319" t="b">
        <f aca="false">FALSE()</f>
        <v>0</v>
      </c>
      <c r="AE359" s="319" t="b">
        <f aca="false">FALSE()</f>
        <v>0</v>
      </c>
      <c r="AF359" s="319" t="b">
        <f aca="false">FALSE()</f>
        <v>0</v>
      </c>
      <c r="AG359" s="6" t="s">
        <v>182</v>
      </c>
      <c r="AH359" s="6" t="s">
        <v>182</v>
      </c>
    </row>
    <row r="360" customFormat="false" ht="15.75" hidden="false" customHeight="false" outlineLevel="0" collapsed="false">
      <c r="A360" s="1" t="e">
        <f aca="false">#N/A</f>
        <v>#N/A</v>
      </c>
      <c r="B360" s="6" t="s">
        <v>1188</v>
      </c>
      <c r="C360" s="3"/>
      <c r="D360" s="6" t="str">
        <f aca="false">I360   &amp; IF(ISBLANK(M360),, ". "&amp; M360 &amp; IF(ISBLANK(Q360),, ". "&amp; Q360))</f>
        <v>Defense</v>
      </c>
      <c r="E360" s="6" t="str">
        <f aca="false">I360  &amp;": # on "&amp; L360  &amp; IF(ISBLANK(M360),, ". "&amp; M360 &amp;": # on "&amp; P360 &amp; IF(ISBLANK(Q360),, ". "&amp; Q360 &amp;": # on "&amp; T360))</f>
        <v>Defense: # on Trainer</v>
      </c>
      <c r="F360" s="6" t="str">
        <f aca="false">IF(U360,"active pal",)  &amp; IF(V360,"working",) &amp; IF(W360,"mounted",) &amp; IF(Y360,"in party (buff)",)  &amp; IF(Z360,"always",)</f>
        <v>active pal</v>
      </c>
      <c r="G360" s="6" t="n">
        <v>1</v>
      </c>
      <c r="H360" s="6" t="s">
        <v>182</v>
      </c>
      <c r="I360" s="6" t="s">
        <v>175</v>
      </c>
      <c r="J360" s="6" t="str">
        <f aca="false">IFERROR(__xludf.dummyfunction("IFS(I360=""ShotAttack"",""%"",I360=""MeleeAttack"",""%"", I360=""Defense"",""%"",I360=""CraftSPeed"",""%"",I360=""LifeSteal"",""%"",I360=""MaxInventoryWeight"",""+"",I360=""MoveSpeed"",""%"",REGEXMATCH(I360,""ElementAddItemDrop_""),""%"",I360=""Logging"","&amp;"""+"",I360=""Mining"",""+"",I360=""Maxhp"",""%"",REGEXMATCH(I360,""TemperatureResist_""),""+"",REGEXMATCH(I360,""ElementResist_""),""%"",REGEXMATCH(I360,""TemperatureInvalid_""),""bool"",REGEXMATCH(I360,""BodyPartsWeakDamage""),""%"",REGEXMATCH(I360,""Ele"&amp;"mentBoost_""),""%"",AND(REGEXMATCH(B360,""GiveA""),REGEXMATCH(I360,""Element"")),""bool"")"),"%")</f>
        <v>%</v>
      </c>
      <c r="K360" s="6" t="n">
        <v>10</v>
      </c>
      <c r="L360" s="6" t="s">
        <v>2034</v>
      </c>
      <c r="M360" s="6"/>
      <c r="N360" s="6" t="str">
        <f aca="false">IFERROR(__xludf.dummyfunction("IFS(M360=""ShotAttack"",""%"",M360=""MeleeAttack"",""%"", M360=""Defense"",""%"",M360=""CraftSPeed"",""%"",M360=""LifeSteal"",""%"",M360=""MaxInventoryWeight"",""+"",M360=""MoveSpeed"",""%"",REGEXMATCH(M360,""ElementAddItemDrop_""),""%"",M360=""Logging"","&amp;"""+"",M360=""Mining"",""+"",M360=""Maxhp"",""%"",REGEXMATCH(M360,""TemperatureResist_""),""+"",REGEXMATCH(M360,""ElementResist_""),""%"",REGEXMATCH(M360,""TemperatureInvalid_""),""bool"",REGEXMATCH(M360,""BodyPartsWeakDamage""),""%"",REGEXMATCH(M360,""Ele"&amp;"mentBoost_""),""%"",AND(REGEXMATCH(F360,""GiveA""),REGEXMATCH(M360,""Element"")),""bool"")"),"#N/A")</f>
        <v>#N/A</v>
      </c>
      <c r="O360" s="6" t="n">
        <v>0</v>
      </c>
      <c r="P360" s="6"/>
      <c r="Q360" s="6"/>
      <c r="R360" s="6" t="str">
        <f aca="false">IFERROR(__xludf.dummyfunction("IFS(Q360=""ShotAttack"",""%"",Q360=""MeleeAttack"",""%"", Q360=""Defense"",""%"",Q360=""CraftSPeed"",""%"",Q360=""LifeSteal"",""%"",Q360=""MaxInventoryWeight"",""+"",Q360=""MoveSpeed"",""%"",REGEXMATCH(Q360,""ElementAddItemDrop_""),""%"",Q360=""Logging"","&amp;"""+"",Q360=""Mining"",""+"",Q360=""Maxhp"",""%"",REGEXMATCH(Q360,""TemperatureResist_""),""+"",REGEXMATCH(Q360,""ElementResist_""),""%"",REGEXMATCH(Q360,""TemperatureInvalid_""),""bool"",REGEXMATCH(Q360,""BodyPartsWeakDamage""),""%"",REGEXMATCH(Q360,""Ele"&amp;"mentBoost_""),""%"",AND(REGEXMATCH(J360,""GiveA""),REGEXMATCH(Q360,""Element"")),""bool"")"),"#N/A")</f>
        <v>#N/A</v>
      </c>
      <c r="S360" s="6" t="n">
        <v>0</v>
      </c>
      <c r="T360" s="6"/>
      <c r="U360" s="319" t="b">
        <f aca="false">TRUE()</f>
        <v>1</v>
      </c>
      <c r="V360" s="319" t="b">
        <f aca="false">FALSE()</f>
        <v>0</v>
      </c>
      <c r="W360" s="319" t="b">
        <f aca="false">FALSE()</f>
        <v>0</v>
      </c>
      <c r="X360" s="319" t="b">
        <f aca="false">FALSE()</f>
        <v>0</v>
      </c>
      <c r="Y360" s="319" t="b">
        <f aca="false">FALSE()</f>
        <v>0</v>
      </c>
      <c r="Z360" s="319" t="b">
        <f aca="false">FALSE()</f>
        <v>0</v>
      </c>
      <c r="AA360" s="319" t="b">
        <f aca="false">FALSE()</f>
        <v>0</v>
      </c>
      <c r="AB360" s="319" t="b">
        <f aca="false">FALSE()</f>
        <v>0</v>
      </c>
      <c r="AC360" s="319" t="b">
        <f aca="false">FALSE()</f>
        <v>0</v>
      </c>
      <c r="AD360" s="319" t="b">
        <f aca="false">FALSE()</f>
        <v>0</v>
      </c>
      <c r="AE360" s="319" t="b">
        <f aca="false">FALSE()</f>
        <v>0</v>
      </c>
      <c r="AF360" s="319" t="b">
        <f aca="false">FALSE()</f>
        <v>0</v>
      </c>
      <c r="AG360" s="6" t="s">
        <v>182</v>
      </c>
      <c r="AH360" s="6" t="s">
        <v>182</v>
      </c>
    </row>
    <row r="361" customFormat="false" ht="15.75" hidden="false" customHeight="false" outlineLevel="0" collapsed="false">
      <c r="A361" s="1" t="e">
        <f aca="false">#N/A</f>
        <v>#N/A</v>
      </c>
      <c r="B361" s="6" t="s">
        <v>1223</v>
      </c>
      <c r="C361" s="3"/>
      <c r="D361" s="6" t="str">
        <f aca="false">I361   &amp; IF(ISBLANK(M361),, ". "&amp; M361 &amp; IF(ISBLANK(Q361),, ". "&amp; Q361))</f>
        <v>Defense</v>
      </c>
      <c r="E361" s="6" t="str">
        <f aca="false">I361  &amp;": # on "&amp; L361  &amp; IF(ISBLANK(M361),, ". "&amp; M361 &amp;": # on "&amp; P361 &amp; IF(ISBLANK(Q361),, ". "&amp; Q361 &amp;": # on "&amp; T361))</f>
        <v>Defense: # on Trainer</v>
      </c>
      <c r="F361" s="6" t="str">
        <f aca="false">IF(U361,"active pal",)  &amp; IF(V361,"working",) &amp; IF(W361,"mounted",) &amp; IF(Y361,"in party (buff)",)  &amp; IF(Z361,"always",)</f>
        <v>active pal</v>
      </c>
      <c r="G361" s="6" t="n">
        <v>1</v>
      </c>
      <c r="H361" s="6" t="s">
        <v>182</v>
      </c>
      <c r="I361" s="6" t="s">
        <v>175</v>
      </c>
      <c r="J361" s="6" t="str">
        <f aca="false">IFERROR(__xludf.dummyfunction("IFS(I361=""ShotAttack"",""%"",I361=""MeleeAttack"",""%"", I361=""Defense"",""%"",I361=""CraftSPeed"",""%"",I361=""LifeSteal"",""%"",I361=""MaxInventoryWeight"",""+"",I361=""MoveSpeed"",""%"",REGEXMATCH(I361,""ElementAddItemDrop_""),""%"",I361=""Logging"","&amp;"""+"",I361=""Mining"",""+"",I361=""Maxhp"",""%"",REGEXMATCH(I361,""TemperatureResist_""),""+"",REGEXMATCH(I361,""ElementResist_""),""%"",REGEXMATCH(I361,""TemperatureInvalid_""),""bool"",REGEXMATCH(I361,""BodyPartsWeakDamage""),""%"",REGEXMATCH(I361,""Ele"&amp;"mentBoost_""),""%"",AND(REGEXMATCH(B361,""GiveA""),REGEXMATCH(I361,""Element"")),""bool"")"),"%")</f>
        <v>%</v>
      </c>
      <c r="K361" s="6" t="n">
        <v>12</v>
      </c>
      <c r="L361" s="6" t="s">
        <v>2034</v>
      </c>
      <c r="M361" s="6"/>
      <c r="N361" s="6" t="str">
        <f aca="false">IFERROR(__xludf.dummyfunction("IFS(M361=""ShotAttack"",""%"",M361=""MeleeAttack"",""%"", M361=""Defense"",""%"",M361=""CraftSPeed"",""%"",M361=""LifeSteal"",""%"",M361=""MaxInventoryWeight"",""+"",M361=""MoveSpeed"",""%"",REGEXMATCH(M361,""ElementAddItemDrop_""),""%"",M361=""Logging"","&amp;"""+"",M361=""Mining"",""+"",M361=""Maxhp"",""%"",REGEXMATCH(M361,""TemperatureResist_""),""+"",REGEXMATCH(M361,""ElementResist_""),""%"",REGEXMATCH(M361,""TemperatureInvalid_""),""bool"",REGEXMATCH(M361,""BodyPartsWeakDamage""),""%"",REGEXMATCH(M361,""Ele"&amp;"mentBoost_""),""%"",AND(REGEXMATCH(F361,""GiveA""),REGEXMATCH(M361,""Element"")),""bool"")"),"#N/A")</f>
        <v>#N/A</v>
      </c>
      <c r="O361" s="6" t="n">
        <v>0</v>
      </c>
      <c r="P361" s="6"/>
      <c r="Q361" s="6"/>
      <c r="R361" s="6" t="str">
        <f aca="false">IFERROR(__xludf.dummyfunction("IFS(Q361=""ShotAttack"",""%"",Q361=""MeleeAttack"",""%"", Q361=""Defense"",""%"",Q361=""CraftSPeed"",""%"",Q361=""LifeSteal"",""%"",Q361=""MaxInventoryWeight"",""+"",Q361=""MoveSpeed"",""%"",REGEXMATCH(Q361,""ElementAddItemDrop_""),""%"",Q361=""Logging"","&amp;"""+"",Q361=""Mining"",""+"",Q361=""Maxhp"",""%"",REGEXMATCH(Q361,""TemperatureResist_""),""+"",REGEXMATCH(Q361,""ElementResist_""),""%"",REGEXMATCH(Q361,""TemperatureInvalid_""),""bool"",REGEXMATCH(Q361,""BodyPartsWeakDamage""),""%"",REGEXMATCH(Q361,""Ele"&amp;"mentBoost_""),""%"",AND(REGEXMATCH(J361,""GiveA""),REGEXMATCH(Q361,""Element"")),""bool"")"),"#N/A")</f>
        <v>#N/A</v>
      </c>
      <c r="S361" s="6" t="n">
        <v>0</v>
      </c>
      <c r="T361" s="6"/>
      <c r="U361" s="319" t="b">
        <f aca="false">TRUE()</f>
        <v>1</v>
      </c>
      <c r="V361" s="319" t="b">
        <f aca="false">FALSE()</f>
        <v>0</v>
      </c>
      <c r="W361" s="319" t="b">
        <f aca="false">FALSE()</f>
        <v>0</v>
      </c>
      <c r="X361" s="319" t="b">
        <f aca="false">FALSE()</f>
        <v>0</v>
      </c>
      <c r="Y361" s="319" t="b">
        <f aca="false">FALSE()</f>
        <v>0</v>
      </c>
      <c r="Z361" s="319" t="b">
        <f aca="false">FALSE()</f>
        <v>0</v>
      </c>
      <c r="AA361" s="319" t="b">
        <f aca="false">FALSE()</f>
        <v>0</v>
      </c>
      <c r="AB361" s="319" t="b">
        <f aca="false">FALSE()</f>
        <v>0</v>
      </c>
      <c r="AC361" s="319" t="b">
        <f aca="false">FALSE()</f>
        <v>0</v>
      </c>
      <c r="AD361" s="319" t="b">
        <f aca="false">FALSE()</f>
        <v>0</v>
      </c>
      <c r="AE361" s="319" t="b">
        <f aca="false">FALSE()</f>
        <v>0</v>
      </c>
      <c r="AF361" s="319" t="b">
        <f aca="false">FALSE()</f>
        <v>0</v>
      </c>
      <c r="AG361" s="6" t="s">
        <v>182</v>
      </c>
      <c r="AH361" s="6" t="s">
        <v>182</v>
      </c>
    </row>
    <row r="362" customFormat="false" ht="15.75" hidden="false" customHeight="false" outlineLevel="0" collapsed="false">
      <c r="A362" s="1" t="e">
        <f aca="false">#N/A</f>
        <v>#N/A</v>
      </c>
      <c r="B362" s="6" t="s">
        <v>1224</v>
      </c>
      <c r="C362" s="3"/>
      <c r="D362" s="6" t="str">
        <f aca="false">I362   &amp; IF(ISBLANK(M362),, ". "&amp; M362 &amp; IF(ISBLANK(Q362),, ". "&amp; Q362))</f>
        <v>Defense</v>
      </c>
      <c r="E362" s="6" t="str">
        <f aca="false">I362  &amp;": # on "&amp; L362  &amp; IF(ISBLANK(M362),, ". "&amp; M362 &amp;": # on "&amp; P362 &amp; IF(ISBLANK(Q362),, ". "&amp; Q362 &amp;": # on "&amp; T362))</f>
        <v>Defense: # on Trainer</v>
      </c>
      <c r="F362" s="6" t="str">
        <f aca="false">IF(U362,"active pal",)  &amp; IF(V362,"working",) &amp; IF(W362,"mounted",) &amp; IF(Y362,"in party (buff)",)  &amp; IF(Z362,"always",)</f>
        <v>active pal</v>
      </c>
      <c r="G362" s="6" t="n">
        <v>1</v>
      </c>
      <c r="H362" s="6" t="s">
        <v>182</v>
      </c>
      <c r="I362" s="6" t="s">
        <v>175</v>
      </c>
      <c r="J362" s="6" t="str">
        <f aca="false">IFERROR(__xludf.dummyfunction("IFS(I362=""ShotAttack"",""%"",I362=""MeleeAttack"",""%"", I362=""Defense"",""%"",I362=""CraftSPeed"",""%"",I362=""LifeSteal"",""%"",I362=""MaxInventoryWeight"",""+"",I362=""MoveSpeed"",""%"",REGEXMATCH(I362,""ElementAddItemDrop_""),""%"",I362=""Logging"","&amp;"""+"",I362=""Mining"",""+"",I362=""Maxhp"",""%"",REGEXMATCH(I362,""TemperatureResist_""),""+"",REGEXMATCH(I362,""ElementResist_""),""%"",REGEXMATCH(I362,""TemperatureInvalid_""),""bool"",REGEXMATCH(I362,""BodyPartsWeakDamage""),""%"",REGEXMATCH(I362,""Ele"&amp;"mentBoost_""),""%"",AND(REGEXMATCH(B362,""GiveA""),REGEXMATCH(I362,""Element"")),""bool"")"),"%")</f>
        <v>%</v>
      </c>
      <c r="K362" s="6" t="n">
        <v>14</v>
      </c>
      <c r="L362" s="6" t="s">
        <v>2034</v>
      </c>
      <c r="M362" s="6"/>
      <c r="N362" s="6" t="str">
        <f aca="false">IFERROR(__xludf.dummyfunction("IFS(M362=""ShotAttack"",""%"",M362=""MeleeAttack"",""%"", M362=""Defense"",""%"",M362=""CraftSPeed"",""%"",M362=""LifeSteal"",""%"",M362=""MaxInventoryWeight"",""+"",M362=""MoveSpeed"",""%"",REGEXMATCH(M362,""ElementAddItemDrop_""),""%"",M362=""Logging"","&amp;"""+"",M362=""Mining"",""+"",M362=""Maxhp"",""%"",REGEXMATCH(M362,""TemperatureResist_""),""+"",REGEXMATCH(M362,""ElementResist_""),""%"",REGEXMATCH(M362,""TemperatureInvalid_""),""bool"",REGEXMATCH(M362,""BodyPartsWeakDamage""),""%"",REGEXMATCH(M362,""Ele"&amp;"mentBoost_""),""%"",AND(REGEXMATCH(F362,""GiveA""),REGEXMATCH(M362,""Element"")),""bool"")"),"#N/A")</f>
        <v>#N/A</v>
      </c>
      <c r="O362" s="6" t="n">
        <v>0</v>
      </c>
      <c r="P362" s="6"/>
      <c r="Q362" s="6"/>
      <c r="R362" s="6" t="str">
        <f aca="false">IFERROR(__xludf.dummyfunction("IFS(Q362=""ShotAttack"",""%"",Q362=""MeleeAttack"",""%"", Q362=""Defense"",""%"",Q362=""CraftSPeed"",""%"",Q362=""LifeSteal"",""%"",Q362=""MaxInventoryWeight"",""+"",Q362=""MoveSpeed"",""%"",REGEXMATCH(Q362,""ElementAddItemDrop_""),""%"",Q362=""Logging"","&amp;"""+"",Q362=""Mining"",""+"",Q362=""Maxhp"",""%"",REGEXMATCH(Q362,""TemperatureResist_""),""+"",REGEXMATCH(Q362,""ElementResist_""),""%"",REGEXMATCH(Q362,""TemperatureInvalid_""),""bool"",REGEXMATCH(Q362,""BodyPartsWeakDamage""),""%"",REGEXMATCH(Q362,""Ele"&amp;"mentBoost_""),""%"",AND(REGEXMATCH(J362,""GiveA""),REGEXMATCH(Q362,""Element"")),""bool"")"),"#N/A")</f>
        <v>#N/A</v>
      </c>
      <c r="S362" s="6" t="n">
        <v>0</v>
      </c>
      <c r="T362" s="6"/>
      <c r="U362" s="319" t="b">
        <f aca="false">TRUE()</f>
        <v>1</v>
      </c>
      <c r="V362" s="319" t="b">
        <f aca="false">FALSE()</f>
        <v>0</v>
      </c>
      <c r="W362" s="319" t="b">
        <f aca="false">FALSE()</f>
        <v>0</v>
      </c>
      <c r="X362" s="319" t="b">
        <f aca="false">FALSE()</f>
        <v>0</v>
      </c>
      <c r="Y362" s="319" t="b">
        <f aca="false">FALSE()</f>
        <v>0</v>
      </c>
      <c r="Z362" s="319" t="b">
        <f aca="false">FALSE()</f>
        <v>0</v>
      </c>
      <c r="AA362" s="319" t="b">
        <f aca="false">FALSE()</f>
        <v>0</v>
      </c>
      <c r="AB362" s="319" t="b">
        <f aca="false">FALSE()</f>
        <v>0</v>
      </c>
      <c r="AC362" s="319" t="b">
        <f aca="false">FALSE()</f>
        <v>0</v>
      </c>
      <c r="AD362" s="319" t="b">
        <f aca="false">FALSE()</f>
        <v>0</v>
      </c>
      <c r="AE362" s="319" t="b">
        <f aca="false">FALSE()</f>
        <v>0</v>
      </c>
      <c r="AF362" s="319" t="b">
        <f aca="false">FALSE()</f>
        <v>0</v>
      </c>
      <c r="AG362" s="6" t="s">
        <v>182</v>
      </c>
      <c r="AH362" s="6" t="s">
        <v>182</v>
      </c>
    </row>
    <row r="363" customFormat="false" ht="15.75" hidden="false" customHeight="false" outlineLevel="0" collapsed="false">
      <c r="A363" s="1" t="e">
        <f aca="false">#N/A</f>
        <v>#N/A</v>
      </c>
      <c r="B363" s="6" t="s">
        <v>1179</v>
      </c>
      <c r="C363" s="3"/>
      <c r="D363" s="6" t="str">
        <f aca="false">I363   &amp; IF(ISBLANK(M363),, ". "&amp; M363 &amp; IF(ISBLANK(Q363),, ". "&amp; Q363))</f>
        <v>ElementResist_Fire</v>
      </c>
      <c r="E363" s="6" t="str">
        <f aca="false">I363  &amp;": # on "&amp; L363  &amp; IF(ISBLANK(M363),, ". "&amp; M363 &amp;": # on "&amp; P363 &amp; IF(ISBLANK(Q363),, ". "&amp; Q363 &amp;": # on "&amp; T363))</f>
        <v>ElementResist_Fire: # on Trainer</v>
      </c>
      <c r="F363" s="6" t="str">
        <f aca="false">IF(U363,"active pal",)  &amp; IF(V363,"working",) &amp; IF(W363,"mounted",) &amp; IF(Y363,"in party (buff)",)  &amp; IF(Z363,"always",)</f>
        <v>active pal</v>
      </c>
      <c r="G363" s="6" t="n">
        <v>1</v>
      </c>
      <c r="H363" s="6" t="s">
        <v>182</v>
      </c>
      <c r="I363" s="6" t="s">
        <v>2148</v>
      </c>
      <c r="J363" s="6" t="str">
        <f aca="false">IFERROR(__xludf.dummyfunction("IFS(I363=""ShotAttack"",""%"",I363=""MeleeAttack"",""%"", I363=""Defense"",""%"",I363=""CraftSPeed"",""%"",I363=""LifeSteal"",""%"",I363=""MaxInventoryWeight"",""+"",I363=""MoveSpeed"",""%"",REGEXMATCH(I363,""ElementAddItemDrop_""),""%"",I363=""Logging"","&amp;"""+"",I363=""Mining"",""+"",I363=""Maxhp"",""%"",REGEXMATCH(I363,""TemperatureResist_""),""+"",REGEXMATCH(I363,""ElementResist_""),""%"",REGEXMATCH(I363,""TemperatureInvalid_""),""bool"",REGEXMATCH(I363,""BodyPartsWeakDamage""),""%"",REGEXMATCH(I363,""Ele"&amp;"mentBoost_""),""%"",AND(REGEXMATCH(B363,""GiveA""),REGEXMATCH(I363,""Element"")),""bool"")"),"%")</f>
        <v>%</v>
      </c>
      <c r="K363" s="6" t="n">
        <v>5</v>
      </c>
      <c r="L363" s="6" t="s">
        <v>2034</v>
      </c>
      <c r="M363" s="6"/>
      <c r="N363" s="6" t="str">
        <f aca="false">IFERROR(__xludf.dummyfunction("IFS(M363=""ShotAttack"",""%"",M363=""MeleeAttack"",""%"", M363=""Defense"",""%"",M363=""CraftSPeed"",""%"",M363=""LifeSteal"",""%"",M363=""MaxInventoryWeight"",""+"",M363=""MoveSpeed"",""%"",REGEXMATCH(M363,""ElementAddItemDrop_""),""%"",M363=""Logging"","&amp;"""+"",M363=""Mining"",""+"",M363=""Maxhp"",""%"",REGEXMATCH(M363,""TemperatureResist_""),""+"",REGEXMATCH(M363,""ElementResist_""),""%"",REGEXMATCH(M363,""TemperatureInvalid_""),""bool"",REGEXMATCH(M363,""BodyPartsWeakDamage""),""%"",REGEXMATCH(M363,""Ele"&amp;"mentBoost_""),""%"",AND(REGEXMATCH(F363,""GiveA""),REGEXMATCH(M363,""Element"")),""bool"")"),"#N/A")</f>
        <v>#N/A</v>
      </c>
      <c r="O363" s="6" t="n">
        <v>0</v>
      </c>
      <c r="P363" s="6"/>
      <c r="Q363" s="6"/>
      <c r="R363" s="6" t="str">
        <f aca="false">IFERROR(__xludf.dummyfunction("IFS(Q363=""ShotAttack"",""%"",Q363=""MeleeAttack"",""%"", Q363=""Defense"",""%"",Q363=""CraftSPeed"",""%"",Q363=""LifeSteal"",""%"",Q363=""MaxInventoryWeight"",""+"",Q363=""MoveSpeed"",""%"",REGEXMATCH(Q363,""ElementAddItemDrop_""),""%"",Q363=""Logging"","&amp;"""+"",Q363=""Mining"",""+"",Q363=""Maxhp"",""%"",REGEXMATCH(Q363,""TemperatureResist_""),""+"",REGEXMATCH(Q363,""ElementResist_""),""%"",REGEXMATCH(Q363,""TemperatureInvalid_""),""bool"",REGEXMATCH(Q363,""BodyPartsWeakDamage""),""%"",REGEXMATCH(Q363,""Ele"&amp;"mentBoost_""),""%"",AND(REGEXMATCH(J363,""GiveA""),REGEXMATCH(Q363,""Element"")),""bool"")"),"#N/A")</f>
        <v>#N/A</v>
      </c>
      <c r="S363" s="6" t="n">
        <v>0</v>
      </c>
      <c r="T363" s="6"/>
      <c r="U363" s="319" t="b">
        <f aca="false">TRUE()</f>
        <v>1</v>
      </c>
      <c r="V363" s="319" t="b">
        <f aca="false">FALSE()</f>
        <v>0</v>
      </c>
      <c r="W363" s="319" t="b">
        <f aca="false">FALSE()</f>
        <v>0</v>
      </c>
      <c r="X363" s="319" t="b">
        <f aca="false">FALSE()</f>
        <v>0</v>
      </c>
      <c r="Y363" s="319" t="b">
        <f aca="false">FALSE()</f>
        <v>0</v>
      </c>
      <c r="Z363" s="319" t="b">
        <f aca="false">FALSE()</f>
        <v>0</v>
      </c>
      <c r="AA363" s="319" t="b">
        <f aca="false">FALSE()</f>
        <v>0</v>
      </c>
      <c r="AB363" s="319" t="b">
        <f aca="false">FALSE()</f>
        <v>0</v>
      </c>
      <c r="AC363" s="319" t="b">
        <f aca="false">FALSE()</f>
        <v>0</v>
      </c>
      <c r="AD363" s="319" t="b">
        <f aca="false">FALSE()</f>
        <v>0</v>
      </c>
      <c r="AE363" s="319" t="b">
        <f aca="false">FALSE()</f>
        <v>0</v>
      </c>
      <c r="AF363" s="319" t="b">
        <f aca="false">FALSE()</f>
        <v>0</v>
      </c>
      <c r="AG363" s="6" t="s">
        <v>182</v>
      </c>
      <c r="AH363" s="6" t="s">
        <v>182</v>
      </c>
    </row>
    <row r="364" customFormat="false" ht="15.75" hidden="false" customHeight="false" outlineLevel="0" collapsed="false">
      <c r="A364" s="1" t="e">
        <f aca="false">#N/A</f>
        <v>#N/A</v>
      </c>
      <c r="B364" s="6" t="s">
        <v>1180</v>
      </c>
      <c r="C364" s="3"/>
      <c r="D364" s="6" t="str">
        <f aca="false">I364   &amp; IF(ISBLANK(M364),, ". "&amp; M364 &amp; IF(ISBLANK(Q364),, ". "&amp; Q364))</f>
        <v>ElementResist_Fire</v>
      </c>
      <c r="E364" s="6" t="str">
        <f aca="false">I364  &amp;": # on "&amp; L364  &amp; IF(ISBLANK(M364),, ". "&amp; M364 &amp;": # on "&amp; P364 &amp; IF(ISBLANK(Q364),, ". "&amp; Q364 &amp;": # on "&amp; T364))</f>
        <v>ElementResist_Fire: # on Trainer</v>
      </c>
      <c r="F364" s="6" t="str">
        <f aca="false">IF(U364,"active pal",)  &amp; IF(V364,"working",) &amp; IF(W364,"mounted",) &amp; IF(Y364,"in party (buff)",)  &amp; IF(Z364,"always",)</f>
        <v>active pal</v>
      </c>
      <c r="G364" s="6" t="n">
        <v>1</v>
      </c>
      <c r="H364" s="6" t="s">
        <v>182</v>
      </c>
      <c r="I364" s="6" t="s">
        <v>2148</v>
      </c>
      <c r="J364" s="6" t="str">
        <f aca="false">IFERROR(__xludf.dummyfunction("IFS(I364=""ShotAttack"",""%"",I364=""MeleeAttack"",""%"", I364=""Defense"",""%"",I364=""CraftSPeed"",""%"",I364=""LifeSteal"",""%"",I364=""MaxInventoryWeight"",""+"",I364=""MoveSpeed"",""%"",REGEXMATCH(I364,""ElementAddItemDrop_""),""%"",I364=""Logging"","&amp;"""+"",I364=""Mining"",""+"",I364=""Maxhp"",""%"",REGEXMATCH(I364,""TemperatureResist_""),""+"",REGEXMATCH(I364,""ElementResist_""),""%"",REGEXMATCH(I364,""TemperatureInvalid_""),""bool"",REGEXMATCH(I364,""BodyPartsWeakDamage""),""%"",REGEXMATCH(I364,""Ele"&amp;"mentBoost_""),""%"",AND(REGEXMATCH(B364,""GiveA""),REGEXMATCH(I364,""Element"")),""bool"")"),"%")</f>
        <v>%</v>
      </c>
      <c r="K364" s="6" t="n">
        <v>6</v>
      </c>
      <c r="L364" s="6" t="s">
        <v>2034</v>
      </c>
      <c r="M364" s="6"/>
      <c r="N364" s="6" t="str">
        <f aca="false">IFERROR(__xludf.dummyfunction("IFS(M364=""ShotAttack"",""%"",M364=""MeleeAttack"",""%"", M364=""Defense"",""%"",M364=""CraftSPeed"",""%"",M364=""LifeSteal"",""%"",M364=""MaxInventoryWeight"",""+"",M364=""MoveSpeed"",""%"",REGEXMATCH(M364,""ElementAddItemDrop_""),""%"",M364=""Logging"","&amp;"""+"",M364=""Mining"",""+"",M364=""Maxhp"",""%"",REGEXMATCH(M364,""TemperatureResist_""),""+"",REGEXMATCH(M364,""ElementResist_""),""%"",REGEXMATCH(M364,""TemperatureInvalid_""),""bool"",REGEXMATCH(M364,""BodyPartsWeakDamage""),""%"",REGEXMATCH(M364,""Ele"&amp;"mentBoost_""),""%"",AND(REGEXMATCH(F364,""GiveA""),REGEXMATCH(M364,""Element"")),""bool"")"),"#N/A")</f>
        <v>#N/A</v>
      </c>
      <c r="O364" s="6" t="n">
        <v>0</v>
      </c>
      <c r="P364" s="6"/>
      <c r="Q364" s="6"/>
      <c r="R364" s="6" t="str">
        <f aca="false">IFERROR(__xludf.dummyfunction("IFS(Q364=""ShotAttack"",""%"",Q364=""MeleeAttack"",""%"", Q364=""Defense"",""%"",Q364=""CraftSPeed"",""%"",Q364=""LifeSteal"",""%"",Q364=""MaxInventoryWeight"",""+"",Q364=""MoveSpeed"",""%"",REGEXMATCH(Q364,""ElementAddItemDrop_""),""%"",Q364=""Logging"","&amp;"""+"",Q364=""Mining"",""+"",Q364=""Maxhp"",""%"",REGEXMATCH(Q364,""TemperatureResist_""),""+"",REGEXMATCH(Q364,""ElementResist_""),""%"",REGEXMATCH(Q364,""TemperatureInvalid_""),""bool"",REGEXMATCH(Q364,""BodyPartsWeakDamage""),""%"",REGEXMATCH(Q364,""Ele"&amp;"mentBoost_""),""%"",AND(REGEXMATCH(J364,""GiveA""),REGEXMATCH(Q364,""Element"")),""bool"")"),"#N/A")</f>
        <v>#N/A</v>
      </c>
      <c r="S364" s="6" t="n">
        <v>0</v>
      </c>
      <c r="T364" s="6"/>
      <c r="U364" s="319" t="b">
        <f aca="false">TRUE()</f>
        <v>1</v>
      </c>
      <c r="V364" s="319" t="b">
        <f aca="false">FALSE()</f>
        <v>0</v>
      </c>
      <c r="W364" s="319" t="b">
        <f aca="false">FALSE()</f>
        <v>0</v>
      </c>
      <c r="X364" s="319" t="b">
        <f aca="false">FALSE()</f>
        <v>0</v>
      </c>
      <c r="Y364" s="319" t="b">
        <f aca="false">FALSE()</f>
        <v>0</v>
      </c>
      <c r="Z364" s="319" t="b">
        <f aca="false">FALSE()</f>
        <v>0</v>
      </c>
      <c r="AA364" s="319" t="b">
        <f aca="false">FALSE()</f>
        <v>0</v>
      </c>
      <c r="AB364" s="319" t="b">
        <f aca="false">FALSE()</f>
        <v>0</v>
      </c>
      <c r="AC364" s="319" t="b">
        <f aca="false">FALSE()</f>
        <v>0</v>
      </c>
      <c r="AD364" s="319" t="b">
        <f aca="false">FALSE()</f>
        <v>0</v>
      </c>
      <c r="AE364" s="319" t="b">
        <f aca="false">FALSE()</f>
        <v>0</v>
      </c>
      <c r="AF364" s="319" t="b">
        <f aca="false">FALSE()</f>
        <v>0</v>
      </c>
      <c r="AG364" s="6" t="s">
        <v>182</v>
      </c>
      <c r="AH364" s="6" t="s">
        <v>182</v>
      </c>
    </row>
    <row r="365" customFormat="false" ht="15.75" hidden="false" customHeight="false" outlineLevel="0" collapsed="false">
      <c r="A365" s="1" t="e">
        <f aca="false">#N/A</f>
        <v>#N/A</v>
      </c>
      <c r="B365" s="6" t="s">
        <v>1181</v>
      </c>
      <c r="C365" s="3"/>
      <c r="D365" s="6" t="str">
        <f aca="false">I365   &amp; IF(ISBLANK(M365),, ". "&amp; M365 &amp; IF(ISBLANK(Q365),, ". "&amp; Q365))</f>
        <v>ElementResist_Fire</v>
      </c>
      <c r="E365" s="6" t="str">
        <f aca="false">I365  &amp;": # on "&amp; L365  &amp; IF(ISBLANK(M365),, ". "&amp; M365 &amp;": # on "&amp; P365 &amp; IF(ISBLANK(Q365),, ". "&amp; Q365 &amp;": # on "&amp; T365))</f>
        <v>ElementResist_Fire: # on Trainer</v>
      </c>
      <c r="F365" s="6" t="str">
        <f aca="false">IF(U365,"active pal",)  &amp; IF(V365,"working",) &amp; IF(W365,"mounted",) &amp; IF(Y365,"in party (buff)",)  &amp; IF(Z365,"always",)</f>
        <v>active pal</v>
      </c>
      <c r="G365" s="6" t="n">
        <v>1</v>
      </c>
      <c r="H365" s="6" t="s">
        <v>182</v>
      </c>
      <c r="I365" s="6" t="s">
        <v>2148</v>
      </c>
      <c r="J365" s="6" t="str">
        <f aca="false">IFERROR(__xludf.dummyfunction("IFS(I365=""ShotAttack"",""%"",I365=""MeleeAttack"",""%"", I365=""Defense"",""%"",I365=""CraftSPeed"",""%"",I365=""LifeSteal"",""%"",I365=""MaxInventoryWeight"",""+"",I365=""MoveSpeed"",""%"",REGEXMATCH(I365,""ElementAddItemDrop_""),""%"",I365=""Logging"","&amp;"""+"",I365=""Mining"",""+"",I365=""Maxhp"",""%"",REGEXMATCH(I365,""TemperatureResist_""),""+"",REGEXMATCH(I365,""ElementResist_""),""%"",REGEXMATCH(I365,""TemperatureInvalid_""),""bool"",REGEXMATCH(I365,""BodyPartsWeakDamage""),""%"",REGEXMATCH(I365,""Ele"&amp;"mentBoost_""),""%"",AND(REGEXMATCH(B365,""GiveA""),REGEXMATCH(I365,""Element"")),""bool"")"),"%")</f>
        <v>%</v>
      </c>
      <c r="K365" s="6" t="n">
        <v>7</v>
      </c>
      <c r="L365" s="6" t="s">
        <v>2034</v>
      </c>
      <c r="M365" s="6"/>
      <c r="N365" s="6" t="str">
        <f aca="false">IFERROR(__xludf.dummyfunction("IFS(M365=""ShotAttack"",""%"",M365=""MeleeAttack"",""%"", M365=""Defense"",""%"",M365=""CraftSPeed"",""%"",M365=""LifeSteal"",""%"",M365=""MaxInventoryWeight"",""+"",M365=""MoveSpeed"",""%"",REGEXMATCH(M365,""ElementAddItemDrop_""),""%"",M365=""Logging"","&amp;"""+"",M365=""Mining"",""+"",M365=""Maxhp"",""%"",REGEXMATCH(M365,""TemperatureResist_""),""+"",REGEXMATCH(M365,""ElementResist_""),""%"",REGEXMATCH(M365,""TemperatureInvalid_""),""bool"",REGEXMATCH(M365,""BodyPartsWeakDamage""),""%"",REGEXMATCH(M365,""Ele"&amp;"mentBoost_""),""%"",AND(REGEXMATCH(F365,""GiveA""),REGEXMATCH(M365,""Element"")),""bool"")"),"#N/A")</f>
        <v>#N/A</v>
      </c>
      <c r="O365" s="6" t="n">
        <v>0</v>
      </c>
      <c r="P365" s="6"/>
      <c r="Q365" s="6"/>
      <c r="R365" s="6" t="str">
        <f aca="false">IFERROR(__xludf.dummyfunction("IFS(Q365=""ShotAttack"",""%"",Q365=""MeleeAttack"",""%"", Q365=""Defense"",""%"",Q365=""CraftSPeed"",""%"",Q365=""LifeSteal"",""%"",Q365=""MaxInventoryWeight"",""+"",Q365=""MoveSpeed"",""%"",REGEXMATCH(Q365,""ElementAddItemDrop_""),""%"",Q365=""Logging"","&amp;"""+"",Q365=""Mining"",""+"",Q365=""Maxhp"",""%"",REGEXMATCH(Q365,""TemperatureResist_""),""+"",REGEXMATCH(Q365,""ElementResist_""),""%"",REGEXMATCH(Q365,""TemperatureInvalid_""),""bool"",REGEXMATCH(Q365,""BodyPartsWeakDamage""),""%"",REGEXMATCH(Q365,""Ele"&amp;"mentBoost_""),""%"",AND(REGEXMATCH(J365,""GiveA""),REGEXMATCH(Q365,""Element"")),""bool"")"),"#N/A")</f>
        <v>#N/A</v>
      </c>
      <c r="S365" s="6" t="n">
        <v>0</v>
      </c>
      <c r="T365" s="6"/>
      <c r="U365" s="319" t="b">
        <f aca="false">TRUE()</f>
        <v>1</v>
      </c>
      <c r="V365" s="319" t="b">
        <f aca="false">FALSE()</f>
        <v>0</v>
      </c>
      <c r="W365" s="319" t="b">
        <f aca="false">FALSE()</f>
        <v>0</v>
      </c>
      <c r="X365" s="319" t="b">
        <f aca="false">FALSE()</f>
        <v>0</v>
      </c>
      <c r="Y365" s="319" t="b">
        <f aca="false">FALSE()</f>
        <v>0</v>
      </c>
      <c r="Z365" s="319" t="b">
        <f aca="false">FALSE()</f>
        <v>0</v>
      </c>
      <c r="AA365" s="319" t="b">
        <f aca="false">FALSE()</f>
        <v>0</v>
      </c>
      <c r="AB365" s="319" t="b">
        <f aca="false">FALSE()</f>
        <v>0</v>
      </c>
      <c r="AC365" s="319" t="b">
        <f aca="false">FALSE()</f>
        <v>0</v>
      </c>
      <c r="AD365" s="319" t="b">
        <f aca="false">FALSE()</f>
        <v>0</v>
      </c>
      <c r="AE365" s="319" t="b">
        <f aca="false">FALSE()</f>
        <v>0</v>
      </c>
      <c r="AF365" s="319" t="b">
        <f aca="false">FALSE()</f>
        <v>0</v>
      </c>
      <c r="AG365" s="6" t="s">
        <v>182</v>
      </c>
      <c r="AH365" s="6" t="s">
        <v>182</v>
      </c>
    </row>
    <row r="366" customFormat="false" ht="15.75" hidden="false" customHeight="false" outlineLevel="0" collapsed="false">
      <c r="A366" s="1" t="e">
        <f aca="false">#N/A</f>
        <v>#N/A</v>
      </c>
      <c r="B366" s="6" t="s">
        <v>1182</v>
      </c>
      <c r="C366" s="3"/>
      <c r="D366" s="6" t="str">
        <f aca="false">I366   &amp; IF(ISBLANK(M366),, ". "&amp; M366 &amp; IF(ISBLANK(Q366),, ". "&amp; Q366))</f>
        <v>ElementResist_Fire</v>
      </c>
      <c r="E366" s="6" t="str">
        <f aca="false">I366  &amp;": # on "&amp; L366  &amp; IF(ISBLANK(M366),, ". "&amp; M366 &amp;": # on "&amp; P366 &amp; IF(ISBLANK(Q366),, ". "&amp; Q366 &amp;": # on "&amp; T366))</f>
        <v>ElementResist_Fire: # on Trainer</v>
      </c>
      <c r="F366" s="6" t="str">
        <f aca="false">IF(U366,"active pal",)  &amp; IF(V366,"working",) &amp; IF(W366,"mounted",) &amp; IF(Y366,"in party (buff)",)  &amp; IF(Z366,"always",)</f>
        <v>active pal</v>
      </c>
      <c r="G366" s="6" t="n">
        <v>1</v>
      </c>
      <c r="H366" s="6" t="s">
        <v>182</v>
      </c>
      <c r="I366" s="6" t="s">
        <v>2148</v>
      </c>
      <c r="J366" s="6" t="str">
        <f aca="false">IFERROR(__xludf.dummyfunction("IFS(I366=""ShotAttack"",""%"",I366=""MeleeAttack"",""%"", I366=""Defense"",""%"",I366=""CraftSPeed"",""%"",I366=""LifeSteal"",""%"",I366=""MaxInventoryWeight"",""+"",I366=""MoveSpeed"",""%"",REGEXMATCH(I366,""ElementAddItemDrop_""),""%"",I366=""Logging"","&amp;"""+"",I366=""Mining"",""+"",I366=""Maxhp"",""%"",REGEXMATCH(I366,""TemperatureResist_""),""+"",REGEXMATCH(I366,""ElementResist_""),""%"",REGEXMATCH(I366,""TemperatureInvalid_""),""bool"",REGEXMATCH(I366,""BodyPartsWeakDamage""),""%"",REGEXMATCH(I366,""Ele"&amp;"mentBoost_""),""%"",AND(REGEXMATCH(B366,""GiveA""),REGEXMATCH(I366,""Element"")),""bool"")"),"%")</f>
        <v>%</v>
      </c>
      <c r="K366" s="6" t="n">
        <v>8</v>
      </c>
      <c r="L366" s="6" t="s">
        <v>2034</v>
      </c>
      <c r="M366" s="6"/>
      <c r="N366" s="6" t="str">
        <f aca="false">IFERROR(__xludf.dummyfunction("IFS(M366=""ShotAttack"",""%"",M366=""MeleeAttack"",""%"", M366=""Defense"",""%"",M366=""CraftSPeed"",""%"",M366=""LifeSteal"",""%"",M366=""MaxInventoryWeight"",""+"",M366=""MoveSpeed"",""%"",REGEXMATCH(M366,""ElementAddItemDrop_""),""%"",M366=""Logging"","&amp;"""+"",M366=""Mining"",""+"",M366=""Maxhp"",""%"",REGEXMATCH(M366,""TemperatureResist_""),""+"",REGEXMATCH(M366,""ElementResist_""),""%"",REGEXMATCH(M366,""TemperatureInvalid_""),""bool"",REGEXMATCH(M366,""BodyPartsWeakDamage""),""%"",REGEXMATCH(M366,""Ele"&amp;"mentBoost_""),""%"",AND(REGEXMATCH(F366,""GiveA""),REGEXMATCH(M366,""Element"")),""bool"")"),"#N/A")</f>
        <v>#N/A</v>
      </c>
      <c r="O366" s="6" t="n">
        <v>0</v>
      </c>
      <c r="P366" s="6"/>
      <c r="Q366" s="6"/>
      <c r="R366" s="6" t="str">
        <f aca="false">IFERROR(__xludf.dummyfunction("IFS(Q366=""ShotAttack"",""%"",Q366=""MeleeAttack"",""%"", Q366=""Defense"",""%"",Q366=""CraftSPeed"",""%"",Q366=""LifeSteal"",""%"",Q366=""MaxInventoryWeight"",""+"",Q366=""MoveSpeed"",""%"",REGEXMATCH(Q366,""ElementAddItemDrop_""),""%"",Q366=""Logging"","&amp;"""+"",Q366=""Mining"",""+"",Q366=""Maxhp"",""%"",REGEXMATCH(Q366,""TemperatureResist_""),""+"",REGEXMATCH(Q366,""ElementResist_""),""%"",REGEXMATCH(Q366,""TemperatureInvalid_""),""bool"",REGEXMATCH(Q366,""BodyPartsWeakDamage""),""%"",REGEXMATCH(Q366,""Ele"&amp;"mentBoost_""),""%"",AND(REGEXMATCH(J366,""GiveA""),REGEXMATCH(Q366,""Element"")),""bool"")"),"#N/A")</f>
        <v>#N/A</v>
      </c>
      <c r="S366" s="6" t="n">
        <v>0</v>
      </c>
      <c r="T366" s="6"/>
      <c r="U366" s="319" t="b">
        <f aca="false">TRUE()</f>
        <v>1</v>
      </c>
      <c r="V366" s="319" t="b">
        <f aca="false">FALSE()</f>
        <v>0</v>
      </c>
      <c r="W366" s="319" t="b">
        <f aca="false">FALSE()</f>
        <v>0</v>
      </c>
      <c r="X366" s="319" t="b">
        <f aca="false">FALSE()</f>
        <v>0</v>
      </c>
      <c r="Y366" s="319" t="b">
        <f aca="false">FALSE()</f>
        <v>0</v>
      </c>
      <c r="Z366" s="319" t="b">
        <f aca="false">FALSE()</f>
        <v>0</v>
      </c>
      <c r="AA366" s="319" t="b">
        <f aca="false">FALSE()</f>
        <v>0</v>
      </c>
      <c r="AB366" s="319" t="b">
        <f aca="false">FALSE()</f>
        <v>0</v>
      </c>
      <c r="AC366" s="319" t="b">
        <f aca="false">FALSE()</f>
        <v>0</v>
      </c>
      <c r="AD366" s="319" t="b">
        <f aca="false">FALSE()</f>
        <v>0</v>
      </c>
      <c r="AE366" s="319" t="b">
        <f aca="false">FALSE()</f>
        <v>0</v>
      </c>
      <c r="AF366" s="319" t="b">
        <f aca="false">FALSE()</f>
        <v>0</v>
      </c>
      <c r="AG366" s="6" t="s">
        <v>182</v>
      </c>
      <c r="AH366" s="6" t="s">
        <v>182</v>
      </c>
    </row>
    <row r="367" customFormat="false" ht="15.75" hidden="false" customHeight="false" outlineLevel="0" collapsed="false">
      <c r="A367" s="1" t="e">
        <f aca="false">#N/A</f>
        <v>#N/A</v>
      </c>
      <c r="B367" s="6" t="s">
        <v>1183</v>
      </c>
      <c r="C367" s="3"/>
      <c r="D367" s="6" t="str">
        <f aca="false">I367   &amp; IF(ISBLANK(M367),, ". "&amp; M367 &amp; IF(ISBLANK(Q367),, ". "&amp; Q367))</f>
        <v>ElementResist_Fire</v>
      </c>
      <c r="E367" s="6" t="str">
        <f aca="false">I367  &amp;": # on "&amp; L367  &amp; IF(ISBLANK(M367),, ". "&amp; M367 &amp;": # on "&amp; P367 &amp; IF(ISBLANK(Q367),, ". "&amp; Q367 &amp;": # on "&amp; T367))</f>
        <v>ElementResist_Fire: # on Trainer</v>
      </c>
      <c r="F367" s="6" t="str">
        <f aca="false">IF(U367,"active pal",)  &amp; IF(V367,"working",) &amp; IF(W367,"mounted",) &amp; IF(Y367,"in party (buff)",)  &amp; IF(Z367,"always",)</f>
        <v>active pal</v>
      </c>
      <c r="G367" s="6" t="n">
        <v>1</v>
      </c>
      <c r="H367" s="6" t="s">
        <v>182</v>
      </c>
      <c r="I367" s="6" t="s">
        <v>2148</v>
      </c>
      <c r="J367" s="6" t="str">
        <f aca="false">IFERROR(__xludf.dummyfunction("IFS(I367=""ShotAttack"",""%"",I367=""MeleeAttack"",""%"", I367=""Defense"",""%"",I367=""CraftSPeed"",""%"",I367=""LifeSteal"",""%"",I367=""MaxInventoryWeight"",""+"",I367=""MoveSpeed"",""%"",REGEXMATCH(I367,""ElementAddItemDrop_""),""%"",I367=""Logging"","&amp;"""+"",I367=""Mining"",""+"",I367=""Maxhp"",""%"",REGEXMATCH(I367,""TemperatureResist_""),""+"",REGEXMATCH(I367,""ElementResist_""),""%"",REGEXMATCH(I367,""TemperatureInvalid_""),""bool"",REGEXMATCH(I367,""BodyPartsWeakDamage""),""%"",REGEXMATCH(I367,""Ele"&amp;"mentBoost_""),""%"",AND(REGEXMATCH(B367,""GiveA""),REGEXMATCH(I367,""Element"")),""bool"")"),"%")</f>
        <v>%</v>
      </c>
      <c r="K367" s="6" t="n">
        <v>10</v>
      </c>
      <c r="L367" s="6" t="s">
        <v>2034</v>
      </c>
      <c r="M367" s="6"/>
      <c r="N367" s="6" t="str">
        <f aca="false">IFERROR(__xludf.dummyfunction("IFS(M367=""ShotAttack"",""%"",M367=""MeleeAttack"",""%"", M367=""Defense"",""%"",M367=""CraftSPeed"",""%"",M367=""LifeSteal"",""%"",M367=""MaxInventoryWeight"",""+"",M367=""MoveSpeed"",""%"",REGEXMATCH(M367,""ElementAddItemDrop_""),""%"",M367=""Logging"","&amp;"""+"",M367=""Mining"",""+"",M367=""Maxhp"",""%"",REGEXMATCH(M367,""TemperatureResist_""),""+"",REGEXMATCH(M367,""ElementResist_""),""%"",REGEXMATCH(M367,""TemperatureInvalid_""),""bool"",REGEXMATCH(M367,""BodyPartsWeakDamage""),""%"",REGEXMATCH(M367,""Ele"&amp;"mentBoost_""),""%"",AND(REGEXMATCH(F367,""GiveA""),REGEXMATCH(M367,""Element"")),""bool"")"),"#N/A")</f>
        <v>#N/A</v>
      </c>
      <c r="O367" s="6" t="n">
        <v>0</v>
      </c>
      <c r="P367" s="6"/>
      <c r="Q367" s="6"/>
      <c r="R367" s="6" t="str">
        <f aca="false">IFERROR(__xludf.dummyfunction("IFS(Q367=""ShotAttack"",""%"",Q367=""MeleeAttack"",""%"", Q367=""Defense"",""%"",Q367=""CraftSPeed"",""%"",Q367=""LifeSteal"",""%"",Q367=""MaxInventoryWeight"",""+"",Q367=""MoveSpeed"",""%"",REGEXMATCH(Q367,""ElementAddItemDrop_""),""%"",Q367=""Logging"","&amp;"""+"",Q367=""Mining"",""+"",Q367=""Maxhp"",""%"",REGEXMATCH(Q367,""TemperatureResist_""),""+"",REGEXMATCH(Q367,""ElementResist_""),""%"",REGEXMATCH(Q367,""TemperatureInvalid_""),""bool"",REGEXMATCH(Q367,""BodyPartsWeakDamage""),""%"",REGEXMATCH(Q367,""Ele"&amp;"mentBoost_""),""%"",AND(REGEXMATCH(J367,""GiveA""),REGEXMATCH(Q367,""Element"")),""bool"")"),"#N/A")</f>
        <v>#N/A</v>
      </c>
      <c r="S367" s="6" t="n">
        <v>0</v>
      </c>
      <c r="T367" s="6"/>
      <c r="U367" s="319" t="b">
        <f aca="false">TRUE()</f>
        <v>1</v>
      </c>
      <c r="V367" s="319" t="b">
        <f aca="false">FALSE()</f>
        <v>0</v>
      </c>
      <c r="W367" s="319" t="b">
        <f aca="false">FALSE()</f>
        <v>0</v>
      </c>
      <c r="X367" s="319" t="b">
        <f aca="false">FALSE()</f>
        <v>0</v>
      </c>
      <c r="Y367" s="319" t="b">
        <f aca="false">FALSE()</f>
        <v>0</v>
      </c>
      <c r="Z367" s="319" t="b">
        <f aca="false">FALSE()</f>
        <v>0</v>
      </c>
      <c r="AA367" s="319" t="b">
        <f aca="false">FALSE()</f>
        <v>0</v>
      </c>
      <c r="AB367" s="319" t="b">
        <f aca="false">FALSE()</f>
        <v>0</v>
      </c>
      <c r="AC367" s="319" t="b">
        <f aca="false">FALSE()</f>
        <v>0</v>
      </c>
      <c r="AD367" s="319" t="b">
        <f aca="false">FALSE()</f>
        <v>0</v>
      </c>
      <c r="AE367" s="319" t="b">
        <f aca="false">FALSE()</f>
        <v>0</v>
      </c>
      <c r="AF367" s="319" t="b">
        <f aca="false">FALSE()</f>
        <v>0</v>
      </c>
      <c r="AG367" s="6" t="s">
        <v>182</v>
      </c>
      <c r="AH367" s="6" t="s">
        <v>182</v>
      </c>
    </row>
    <row r="368" customFormat="false" ht="15.75" hidden="false" customHeight="false" outlineLevel="0" collapsed="false">
      <c r="A368" s="1" t="e">
        <f aca="false">#N/A</f>
        <v>#N/A</v>
      </c>
      <c r="B368" s="6" t="s">
        <v>752</v>
      </c>
      <c r="C368" s="3"/>
      <c r="D368" s="6" t="str">
        <f aca="false">I368   &amp; IF(ISBLANK(M368),, ". "&amp; M368 &amp; IF(ISBLANK(Q368),, ". "&amp; Q368))</f>
        <v>ShotAttack</v>
      </c>
      <c r="E368" s="6" t="str">
        <f aca="false">I368  &amp;": # on "&amp; L368  &amp; IF(ISBLANK(M368),, ". "&amp; M368 &amp;": # on "&amp; P368 &amp; IF(ISBLANK(Q368),, ". "&amp; Q368 &amp;": # on "&amp; T368))</f>
        <v>ShotAttack: # on Trainer</v>
      </c>
      <c r="F368" s="6" t="str">
        <f aca="false">IF(U368,"active pal",)  &amp; IF(V368,"working",) &amp; IF(W368,"mounted",) &amp; IF(Y368,"in party (buff)",)  &amp; IF(Z368,"always",)</f>
        <v>active pal</v>
      </c>
      <c r="G368" s="6" t="n">
        <v>1</v>
      </c>
      <c r="H368" s="6" t="s">
        <v>182</v>
      </c>
      <c r="I368" s="6" t="s">
        <v>659</v>
      </c>
      <c r="J368" s="6" t="str">
        <f aca="false">IFERROR(__xludf.dummyfunction("IFS(I368=""ShotAttack"",""%"",I368=""MeleeAttack"",""%"", I368=""Defense"",""%"",I368=""CraftSPeed"",""%"",I368=""LifeSteal"",""%"",I368=""MaxInventoryWeight"",""+"",I368=""MoveSpeed"",""%"",REGEXMATCH(I368,""ElementAddItemDrop_""),""%"",I368=""Logging"","&amp;"""+"",I368=""Mining"",""+"",I368=""Maxhp"",""%"",REGEXMATCH(I368,""TemperatureResist_""),""+"",REGEXMATCH(I368,""ElementResist_""),""%"",REGEXMATCH(I368,""TemperatureInvalid_""),""bool"",REGEXMATCH(I368,""BodyPartsWeakDamage""),""%"",REGEXMATCH(I368,""Ele"&amp;"mentBoost_""),""%"",AND(REGEXMATCH(B368,""GiveA""),REGEXMATCH(I368,""Element"")),""bool"")"),"%")</f>
        <v>%</v>
      </c>
      <c r="K368" s="6" t="n">
        <v>5</v>
      </c>
      <c r="L368" s="6" t="s">
        <v>2034</v>
      </c>
      <c r="M368" s="6"/>
      <c r="N368" s="6" t="str">
        <f aca="false">IFERROR(__xludf.dummyfunction("IFS(M368=""ShotAttack"",""%"",M368=""MeleeAttack"",""%"", M368=""Defense"",""%"",M368=""CraftSPeed"",""%"",M368=""LifeSteal"",""%"",M368=""MaxInventoryWeight"",""+"",M368=""MoveSpeed"",""%"",REGEXMATCH(M368,""ElementAddItemDrop_""),""%"",M368=""Logging"","&amp;"""+"",M368=""Mining"",""+"",M368=""Maxhp"",""%"",REGEXMATCH(M368,""TemperatureResist_""),""+"",REGEXMATCH(M368,""ElementResist_""),""%"",REGEXMATCH(M368,""TemperatureInvalid_""),""bool"",REGEXMATCH(M368,""BodyPartsWeakDamage""),""%"",REGEXMATCH(M368,""Ele"&amp;"mentBoost_""),""%"",AND(REGEXMATCH(F368,""GiveA""),REGEXMATCH(M368,""Element"")),""bool"")"),"#N/A")</f>
        <v>#N/A</v>
      </c>
      <c r="O368" s="6" t="n">
        <v>0</v>
      </c>
      <c r="P368" s="6"/>
      <c r="Q368" s="6"/>
      <c r="R368" s="6" t="str">
        <f aca="false">IFERROR(__xludf.dummyfunction("IFS(Q368=""ShotAttack"",""%"",Q368=""MeleeAttack"",""%"", Q368=""Defense"",""%"",Q368=""CraftSPeed"",""%"",Q368=""LifeSteal"",""%"",Q368=""MaxInventoryWeight"",""+"",Q368=""MoveSpeed"",""%"",REGEXMATCH(Q368,""ElementAddItemDrop_""),""%"",Q368=""Logging"","&amp;"""+"",Q368=""Mining"",""+"",Q368=""Maxhp"",""%"",REGEXMATCH(Q368,""TemperatureResist_""),""+"",REGEXMATCH(Q368,""ElementResist_""),""%"",REGEXMATCH(Q368,""TemperatureInvalid_""),""bool"",REGEXMATCH(Q368,""BodyPartsWeakDamage""),""%"",REGEXMATCH(Q368,""Ele"&amp;"mentBoost_""),""%"",AND(REGEXMATCH(J368,""GiveA""),REGEXMATCH(Q368,""Element"")),""bool"")"),"#N/A")</f>
        <v>#N/A</v>
      </c>
      <c r="S368" s="6" t="n">
        <v>0</v>
      </c>
      <c r="T368" s="6"/>
      <c r="U368" s="319" t="b">
        <f aca="false">TRUE()</f>
        <v>1</v>
      </c>
      <c r="V368" s="319" t="b">
        <f aca="false">FALSE()</f>
        <v>0</v>
      </c>
      <c r="W368" s="319" t="b">
        <f aca="false">FALSE()</f>
        <v>0</v>
      </c>
      <c r="X368" s="319" t="b">
        <f aca="false">FALSE()</f>
        <v>0</v>
      </c>
      <c r="Y368" s="319" t="b">
        <f aca="false">FALSE()</f>
        <v>0</v>
      </c>
      <c r="Z368" s="319" t="b">
        <f aca="false">FALSE()</f>
        <v>0</v>
      </c>
      <c r="AA368" s="319" t="b">
        <f aca="false">FALSE()</f>
        <v>0</v>
      </c>
      <c r="AB368" s="319" t="b">
        <f aca="false">FALSE()</f>
        <v>0</v>
      </c>
      <c r="AC368" s="319" t="b">
        <f aca="false">FALSE()</f>
        <v>0</v>
      </c>
      <c r="AD368" s="319" t="b">
        <f aca="false">FALSE()</f>
        <v>0</v>
      </c>
      <c r="AE368" s="319" t="b">
        <f aca="false">FALSE()</f>
        <v>0</v>
      </c>
      <c r="AF368" s="319" t="b">
        <f aca="false">FALSE()</f>
        <v>0</v>
      </c>
      <c r="AG368" s="6" t="s">
        <v>182</v>
      </c>
      <c r="AH368" s="6" t="s">
        <v>182</v>
      </c>
    </row>
    <row r="369" customFormat="false" ht="15.75" hidden="false" customHeight="false" outlineLevel="0" collapsed="false">
      <c r="A369" s="1" t="e">
        <f aca="false">#N/A</f>
        <v>#N/A</v>
      </c>
      <c r="B369" s="6" t="s">
        <v>753</v>
      </c>
      <c r="C369" s="3"/>
      <c r="D369" s="6" t="str">
        <f aca="false">I369   &amp; IF(ISBLANK(M369),, ". "&amp; M369 &amp; IF(ISBLANK(Q369),, ". "&amp; Q369))</f>
        <v>ShotAttack</v>
      </c>
      <c r="E369" s="6" t="str">
        <f aca="false">I369  &amp;": # on "&amp; L369  &amp; IF(ISBLANK(M369),, ". "&amp; M369 &amp;": # on "&amp; P369 &amp; IF(ISBLANK(Q369),, ". "&amp; Q369 &amp;": # on "&amp; T369))</f>
        <v>ShotAttack: # on Trainer</v>
      </c>
      <c r="F369" s="6" t="str">
        <f aca="false">IF(U369,"active pal",)  &amp; IF(V369,"working",) &amp; IF(W369,"mounted",) &amp; IF(Y369,"in party (buff)",)  &amp; IF(Z369,"always",)</f>
        <v>active pal</v>
      </c>
      <c r="G369" s="6" t="n">
        <v>1</v>
      </c>
      <c r="H369" s="6" t="s">
        <v>182</v>
      </c>
      <c r="I369" s="6" t="s">
        <v>659</v>
      </c>
      <c r="J369" s="6" t="str">
        <f aca="false">IFERROR(__xludf.dummyfunction("IFS(I369=""ShotAttack"",""%"",I369=""MeleeAttack"",""%"", I369=""Defense"",""%"",I369=""CraftSPeed"",""%"",I369=""LifeSteal"",""%"",I369=""MaxInventoryWeight"",""+"",I369=""MoveSpeed"",""%"",REGEXMATCH(I369,""ElementAddItemDrop_""),""%"",I369=""Logging"","&amp;"""+"",I369=""Mining"",""+"",I369=""Maxhp"",""%"",REGEXMATCH(I369,""TemperatureResist_""),""+"",REGEXMATCH(I369,""ElementResist_""),""%"",REGEXMATCH(I369,""TemperatureInvalid_""),""bool"",REGEXMATCH(I369,""BodyPartsWeakDamage""),""%"",REGEXMATCH(I369,""Ele"&amp;"mentBoost_""),""%"",AND(REGEXMATCH(B369,""GiveA""),REGEXMATCH(I369,""Element"")),""bool"")"),"%")</f>
        <v>%</v>
      </c>
      <c r="K369" s="6" t="n">
        <v>6</v>
      </c>
      <c r="L369" s="6" t="s">
        <v>2034</v>
      </c>
      <c r="M369" s="6"/>
      <c r="N369" s="6" t="str">
        <f aca="false">IFERROR(__xludf.dummyfunction("IFS(M369=""ShotAttack"",""%"",M369=""MeleeAttack"",""%"", M369=""Defense"",""%"",M369=""CraftSPeed"",""%"",M369=""LifeSteal"",""%"",M369=""MaxInventoryWeight"",""+"",M369=""MoveSpeed"",""%"",REGEXMATCH(M369,""ElementAddItemDrop_""),""%"",M369=""Logging"","&amp;"""+"",M369=""Mining"",""+"",M369=""Maxhp"",""%"",REGEXMATCH(M369,""TemperatureResist_""),""+"",REGEXMATCH(M369,""ElementResist_""),""%"",REGEXMATCH(M369,""TemperatureInvalid_""),""bool"",REGEXMATCH(M369,""BodyPartsWeakDamage""),""%"",REGEXMATCH(M369,""Ele"&amp;"mentBoost_""),""%"",AND(REGEXMATCH(F369,""GiveA""),REGEXMATCH(M369,""Element"")),""bool"")"),"#N/A")</f>
        <v>#N/A</v>
      </c>
      <c r="O369" s="6" t="n">
        <v>0</v>
      </c>
      <c r="P369" s="6"/>
      <c r="Q369" s="6"/>
      <c r="R369" s="6" t="str">
        <f aca="false">IFERROR(__xludf.dummyfunction("IFS(Q369=""ShotAttack"",""%"",Q369=""MeleeAttack"",""%"", Q369=""Defense"",""%"",Q369=""CraftSPeed"",""%"",Q369=""LifeSteal"",""%"",Q369=""MaxInventoryWeight"",""+"",Q369=""MoveSpeed"",""%"",REGEXMATCH(Q369,""ElementAddItemDrop_""),""%"",Q369=""Logging"","&amp;"""+"",Q369=""Mining"",""+"",Q369=""Maxhp"",""%"",REGEXMATCH(Q369,""TemperatureResist_""),""+"",REGEXMATCH(Q369,""ElementResist_""),""%"",REGEXMATCH(Q369,""TemperatureInvalid_""),""bool"",REGEXMATCH(Q369,""BodyPartsWeakDamage""),""%"",REGEXMATCH(Q369,""Ele"&amp;"mentBoost_""),""%"",AND(REGEXMATCH(J369,""GiveA""),REGEXMATCH(Q369,""Element"")),""bool"")"),"#N/A")</f>
        <v>#N/A</v>
      </c>
      <c r="S369" s="6" t="n">
        <v>0</v>
      </c>
      <c r="T369" s="6"/>
      <c r="U369" s="319" t="b">
        <f aca="false">TRUE()</f>
        <v>1</v>
      </c>
      <c r="V369" s="319" t="b">
        <f aca="false">FALSE()</f>
        <v>0</v>
      </c>
      <c r="W369" s="319" t="b">
        <f aca="false">FALSE()</f>
        <v>0</v>
      </c>
      <c r="X369" s="319" t="b">
        <f aca="false">FALSE()</f>
        <v>0</v>
      </c>
      <c r="Y369" s="319" t="b">
        <f aca="false">FALSE()</f>
        <v>0</v>
      </c>
      <c r="Z369" s="319" t="b">
        <f aca="false">FALSE()</f>
        <v>0</v>
      </c>
      <c r="AA369" s="319" t="b">
        <f aca="false">FALSE()</f>
        <v>0</v>
      </c>
      <c r="AB369" s="319" t="b">
        <f aca="false">FALSE()</f>
        <v>0</v>
      </c>
      <c r="AC369" s="319" t="b">
        <f aca="false">FALSE()</f>
        <v>0</v>
      </c>
      <c r="AD369" s="319" t="b">
        <f aca="false">FALSE()</f>
        <v>0</v>
      </c>
      <c r="AE369" s="319" t="b">
        <f aca="false">FALSE()</f>
        <v>0</v>
      </c>
      <c r="AF369" s="319" t="b">
        <f aca="false">FALSE()</f>
        <v>0</v>
      </c>
      <c r="AG369" s="6" t="s">
        <v>182</v>
      </c>
      <c r="AH369" s="6" t="s">
        <v>182</v>
      </c>
    </row>
    <row r="370" customFormat="false" ht="15.75" hidden="false" customHeight="false" outlineLevel="0" collapsed="false">
      <c r="A370" s="1" t="e">
        <f aca="false">#N/A</f>
        <v>#N/A</v>
      </c>
      <c r="B370" s="6" t="s">
        <v>754</v>
      </c>
      <c r="C370" s="3"/>
      <c r="D370" s="6" t="str">
        <f aca="false">I370   &amp; IF(ISBLANK(M370),, ". "&amp; M370 &amp; IF(ISBLANK(Q370),, ". "&amp; Q370))</f>
        <v>ShotAttack</v>
      </c>
      <c r="E370" s="6" t="str">
        <f aca="false">I370  &amp;": # on "&amp; L370  &amp; IF(ISBLANK(M370),, ". "&amp; M370 &amp;": # on "&amp; P370 &amp; IF(ISBLANK(Q370),, ". "&amp; Q370 &amp;": # on "&amp; T370))</f>
        <v>ShotAttack: # on Trainer</v>
      </c>
      <c r="F370" s="6" t="str">
        <f aca="false">IF(U370,"active pal",)  &amp; IF(V370,"working",) &amp; IF(W370,"mounted",) &amp; IF(Y370,"in party (buff)",)  &amp; IF(Z370,"always",)</f>
        <v>active pal</v>
      </c>
      <c r="G370" s="6" t="n">
        <v>1</v>
      </c>
      <c r="H370" s="6" t="s">
        <v>182</v>
      </c>
      <c r="I370" s="6" t="s">
        <v>659</v>
      </c>
      <c r="J370" s="6" t="str">
        <f aca="false">IFERROR(__xludf.dummyfunction("IFS(I370=""ShotAttack"",""%"",I370=""MeleeAttack"",""%"", I370=""Defense"",""%"",I370=""CraftSPeed"",""%"",I370=""LifeSteal"",""%"",I370=""MaxInventoryWeight"",""+"",I370=""MoveSpeed"",""%"",REGEXMATCH(I370,""ElementAddItemDrop_""),""%"",I370=""Logging"","&amp;"""+"",I370=""Mining"",""+"",I370=""Maxhp"",""%"",REGEXMATCH(I370,""TemperatureResist_""),""+"",REGEXMATCH(I370,""ElementResist_""),""%"",REGEXMATCH(I370,""TemperatureInvalid_""),""bool"",REGEXMATCH(I370,""BodyPartsWeakDamage""),""%"",REGEXMATCH(I370,""Ele"&amp;"mentBoost_""),""%"",AND(REGEXMATCH(B370,""GiveA""),REGEXMATCH(I370,""Element"")),""bool"")"),"%")</f>
        <v>%</v>
      </c>
      <c r="K370" s="6" t="n">
        <v>7</v>
      </c>
      <c r="L370" s="6" t="s">
        <v>2034</v>
      </c>
      <c r="M370" s="6"/>
      <c r="N370" s="6" t="str">
        <f aca="false">IFERROR(__xludf.dummyfunction("IFS(M370=""ShotAttack"",""%"",M370=""MeleeAttack"",""%"", M370=""Defense"",""%"",M370=""CraftSPeed"",""%"",M370=""LifeSteal"",""%"",M370=""MaxInventoryWeight"",""+"",M370=""MoveSpeed"",""%"",REGEXMATCH(M370,""ElementAddItemDrop_""),""%"",M370=""Logging"","&amp;"""+"",M370=""Mining"",""+"",M370=""Maxhp"",""%"",REGEXMATCH(M370,""TemperatureResist_""),""+"",REGEXMATCH(M370,""ElementResist_""),""%"",REGEXMATCH(M370,""TemperatureInvalid_""),""bool"",REGEXMATCH(M370,""BodyPartsWeakDamage""),""%"",REGEXMATCH(M370,""Ele"&amp;"mentBoost_""),""%"",AND(REGEXMATCH(F370,""GiveA""),REGEXMATCH(M370,""Element"")),""bool"")"),"#N/A")</f>
        <v>#N/A</v>
      </c>
      <c r="O370" s="6" t="n">
        <v>0</v>
      </c>
      <c r="P370" s="6"/>
      <c r="Q370" s="6"/>
      <c r="R370" s="6" t="str">
        <f aca="false">IFERROR(__xludf.dummyfunction("IFS(Q370=""ShotAttack"",""%"",Q370=""MeleeAttack"",""%"", Q370=""Defense"",""%"",Q370=""CraftSPeed"",""%"",Q370=""LifeSteal"",""%"",Q370=""MaxInventoryWeight"",""+"",Q370=""MoveSpeed"",""%"",REGEXMATCH(Q370,""ElementAddItemDrop_""),""%"",Q370=""Logging"","&amp;"""+"",Q370=""Mining"",""+"",Q370=""Maxhp"",""%"",REGEXMATCH(Q370,""TemperatureResist_""),""+"",REGEXMATCH(Q370,""ElementResist_""),""%"",REGEXMATCH(Q370,""TemperatureInvalid_""),""bool"",REGEXMATCH(Q370,""BodyPartsWeakDamage""),""%"",REGEXMATCH(Q370,""Ele"&amp;"mentBoost_""),""%"",AND(REGEXMATCH(J370,""GiveA""),REGEXMATCH(Q370,""Element"")),""bool"")"),"#N/A")</f>
        <v>#N/A</v>
      </c>
      <c r="S370" s="6" t="n">
        <v>0</v>
      </c>
      <c r="T370" s="6"/>
      <c r="U370" s="319" t="b">
        <f aca="false">TRUE()</f>
        <v>1</v>
      </c>
      <c r="V370" s="319" t="b">
        <f aca="false">FALSE()</f>
        <v>0</v>
      </c>
      <c r="W370" s="319" t="b">
        <f aca="false">FALSE()</f>
        <v>0</v>
      </c>
      <c r="X370" s="319" t="b">
        <f aca="false">FALSE()</f>
        <v>0</v>
      </c>
      <c r="Y370" s="319" t="b">
        <f aca="false">FALSE()</f>
        <v>0</v>
      </c>
      <c r="Z370" s="319" t="b">
        <f aca="false">FALSE()</f>
        <v>0</v>
      </c>
      <c r="AA370" s="319" t="b">
        <f aca="false">FALSE()</f>
        <v>0</v>
      </c>
      <c r="AB370" s="319" t="b">
        <f aca="false">FALSE()</f>
        <v>0</v>
      </c>
      <c r="AC370" s="319" t="b">
        <f aca="false">FALSE()</f>
        <v>0</v>
      </c>
      <c r="AD370" s="319" t="b">
        <f aca="false">FALSE()</f>
        <v>0</v>
      </c>
      <c r="AE370" s="319" t="b">
        <f aca="false">FALSE()</f>
        <v>0</v>
      </c>
      <c r="AF370" s="319" t="b">
        <f aca="false">FALSE()</f>
        <v>0</v>
      </c>
      <c r="AG370" s="6" t="s">
        <v>182</v>
      </c>
      <c r="AH370" s="6" t="s">
        <v>182</v>
      </c>
    </row>
    <row r="371" customFormat="false" ht="15.75" hidden="false" customHeight="false" outlineLevel="0" collapsed="false">
      <c r="A371" s="1" t="e">
        <f aca="false">#N/A</f>
        <v>#N/A</v>
      </c>
      <c r="B371" s="6" t="s">
        <v>755</v>
      </c>
      <c r="C371" s="3"/>
      <c r="D371" s="6" t="str">
        <f aca="false">I371   &amp; IF(ISBLANK(M371),, ". "&amp; M371 &amp; IF(ISBLANK(Q371),, ". "&amp; Q371))</f>
        <v>ShotAttack</v>
      </c>
      <c r="E371" s="6" t="str">
        <f aca="false">I371  &amp;": # on "&amp; L371  &amp; IF(ISBLANK(M371),, ". "&amp; M371 &amp;": # on "&amp; P371 &amp; IF(ISBLANK(Q371),, ". "&amp; Q371 &amp;": # on "&amp; T371))</f>
        <v>ShotAttack: # on Trainer</v>
      </c>
      <c r="F371" s="6" t="str">
        <f aca="false">IF(U371,"active pal",)  &amp; IF(V371,"working",) &amp; IF(W371,"mounted",) &amp; IF(Y371,"in party (buff)",)  &amp; IF(Z371,"always",)</f>
        <v>active pal</v>
      </c>
      <c r="G371" s="6" t="n">
        <v>1</v>
      </c>
      <c r="H371" s="6" t="s">
        <v>182</v>
      </c>
      <c r="I371" s="6" t="s">
        <v>659</v>
      </c>
      <c r="J371" s="6" t="str">
        <f aca="false">IFERROR(__xludf.dummyfunction("IFS(I371=""ShotAttack"",""%"",I371=""MeleeAttack"",""%"", I371=""Defense"",""%"",I371=""CraftSPeed"",""%"",I371=""LifeSteal"",""%"",I371=""MaxInventoryWeight"",""+"",I371=""MoveSpeed"",""%"",REGEXMATCH(I371,""ElementAddItemDrop_""),""%"",I371=""Logging"","&amp;"""+"",I371=""Mining"",""+"",I371=""Maxhp"",""%"",REGEXMATCH(I371,""TemperatureResist_""),""+"",REGEXMATCH(I371,""ElementResist_""),""%"",REGEXMATCH(I371,""TemperatureInvalid_""),""bool"",REGEXMATCH(I371,""BodyPartsWeakDamage""),""%"",REGEXMATCH(I371,""Ele"&amp;"mentBoost_""),""%"",AND(REGEXMATCH(B371,""GiveA""),REGEXMATCH(I371,""Element"")),""bool"")"),"%")</f>
        <v>%</v>
      </c>
      <c r="K371" s="6" t="n">
        <v>8</v>
      </c>
      <c r="L371" s="6" t="s">
        <v>2034</v>
      </c>
      <c r="M371" s="6"/>
      <c r="N371" s="6" t="str">
        <f aca="false">IFERROR(__xludf.dummyfunction("IFS(M371=""ShotAttack"",""%"",M371=""MeleeAttack"",""%"", M371=""Defense"",""%"",M371=""CraftSPeed"",""%"",M371=""LifeSteal"",""%"",M371=""MaxInventoryWeight"",""+"",M371=""MoveSpeed"",""%"",REGEXMATCH(M371,""ElementAddItemDrop_""),""%"",M371=""Logging"","&amp;"""+"",M371=""Mining"",""+"",M371=""Maxhp"",""%"",REGEXMATCH(M371,""TemperatureResist_""),""+"",REGEXMATCH(M371,""ElementResist_""),""%"",REGEXMATCH(M371,""TemperatureInvalid_""),""bool"",REGEXMATCH(M371,""BodyPartsWeakDamage""),""%"",REGEXMATCH(M371,""Ele"&amp;"mentBoost_""),""%"",AND(REGEXMATCH(F371,""GiveA""),REGEXMATCH(M371,""Element"")),""bool"")"),"#N/A")</f>
        <v>#N/A</v>
      </c>
      <c r="O371" s="6" t="n">
        <v>0</v>
      </c>
      <c r="P371" s="6"/>
      <c r="Q371" s="6"/>
      <c r="R371" s="6" t="str">
        <f aca="false">IFERROR(__xludf.dummyfunction("IFS(Q371=""ShotAttack"",""%"",Q371=""MeleeAttack"",""%"", Q371=""Defense"",""%"",Q371=""CraftSPeed"",""%"",Q371=""LifeSteal"",""%"",Q371=""MaxInventoryWeight"",""+"",Q371=""MoveSpeed"",""%"",REGEXMATCH(Q371,""ElementAddItemDrop_""),""%"",Q371=""Logging"","&amp;"""+"",Q371=""Mining"",""+"",Q371=""Maxhp"",""%"",REGEXMATCH(Q371,""TemperatureResist_""),""+"",REGEXMATCH(Q371,""ElementResist_""),""%"",REGEXMATCH(Q371,""TemperatureInvalid_""),""bool"",REGEXMATCH(Q371,""BodyPartsWeakDamage""),""%"",REGEXMATCH(Q371,""Ele"&amp;"mentBoost_""),""%"",AND(REGEXMATCH(J371,""GiveA""),REGEXMATCH(Q371,""Element"")),""bool"")"),"#N/A")</f>
        <v>#N/A</v>
      </c>
      <c r="S371" s="6" t="n">
        <v>0</v>
      </c>
      <c r="T371" s="6"/>
      <c r="U371" s="319" t="b">
        <f aca="false">TRUE()</f>
        <v>1</v>
      </c>
      <c r="V371" s="319" t="b">
        <f aca="false">FALSE()</f>
        <v>0</v>
      </c>
      <c r="W371" s="319" t="b">
        <f aca="false">FALSE()</f>
        <v>0</v>
      </c>
      <c r="X371" s="319" t="b">
        <f aca="false">FALSE()</f>
        <v>0</v>
      </c>
      <c r="Y371" s="319" t="b">
        <f aca="false">FALSE()</f>
        <v>0</v>
      </c>
      <c r="Z371" s="319" t="b">
        <f aca="false">FALSE()</f>
        <v>0</v>
      </c>
      <c r="AA371" s="319" t="b">
        <f aca="false">FALSE()</f>
        <v>0</v>
      </c>
      <c r="AB371" s="319" t="b">
        <f aca="false">FALSE()</f>
        <v>0</v>
      </c>
      <c r="AC371" s="319" t="b">
        <f aca="false">FALSE()</f>
        <v>0</v>
      </c>
      <c r="AD371" s="319" t="b">
        <f aca="false">FALSE()</f>
        <v>0</v>
      </c>
      <c r="AE371" s="319" t="b">
        <f aca="false">FALSE()</f>
        <v>0</v>
      </c>
      <c r="AF371" s="319" t="b">
        <f aca="false">FALSE()</f>
        <v>0</v>
      </c>
      <c r="AG371" s="6" t="s">
        <v>182</v>
      </c>
      <c r="AH371" s="6" t="s">
        <v>182</v>
      </c>
    </row>
    <row r="372" customFormat="false" ht="15.75" hidden="false" customHeight="false" outlineLevel="0" collapsed="false">
      <c r="A372" s="1" t="e">
        <f aca="false">#N/A</f>
        <v>#N/A</v>
      </c>
      <c r="B372" s="6" t="s">
        <v>756</v>
      </c>
      <c r="C372" s="3"/>
      <c r="D372" s="6" t="str">
        <f aca="false">I372   &amp; IF(ISBLANK(M372),, ". "&amp; M372 &amp; IF(ISBLANK(Q372),, ". "&amp; Q372))</f>
        <v>ShotAttack</v>
      </c>
      <c r="E372" s="6" t="str">
        <f aca="false">I372  &amp;": # on "&amp; L372  &amp; IF(ISBLANK(M372),, ". "&amp; M372 &amp;": # on "&amp; P372 &amp; IF(ISBLANK(Q372),, ". "&amp; Q372 &amp;": # on "&amp; T372))</f>
        <v>ShotAttack: # on Trainer</v>
      </c>
      <c r="F372" s="6" t="str">
        <f aca="false">IF(U372,"active pal",)  &amp; IF(V372,"working",) &amp; IF(W372,"mounted",) &amp; IF(Y372,"in party (buff)",)  &amp; IF(Z372,"always",)</f>
        <v>active pal</v>
      </c>
      <c r="G372" s="6" t="n">
        <v>1</v>
      </c>
      <c r="H372" s="6" t="s">
        <v>182</v>
      </c>
      <c r="I372" s="6" t="s">
        <v>659</v>
      </c>
      <c r="J372" s="6" t="str">
        <f aca="false">IFERROR(__xludf.dummyfunction("IFS(I372=""ShotAttack"",""%"",I372=""MeleeAttack"",""%"", I372=""Defense"",""%"",I372=""CraftSPeed"",""%"",I372=""LifeSteal"",""%"",I372=""MaxInventoryWeight"",""+"",I372=""MoveSpeed"",""%"",REGEXMATCH(I372,""ElementAddItemDrop_""),""%"",I372=""Logging"","&amp;"""+"",I372=""Mining"",""+"",I372=""Maxhp"",""%"",REGEXMATCH(I372,""TemperatureResist_""),""+"",REGEXMATCH(I372,""ElementResist_""),""%"",REGEXMATCH(I372,""TemperatureInvalid_""),""bool"",REGEXMATCH(I372,""BodyPartsWeakDamage""),""%"",REGEXMATCH(I372,""Ele"&amp;"mentBoost_""),""%"",AND(REGEXMATCH(B372,""GiveA""),REGEXMATCH(I372,""Element"")),""bool"")"),"%")</f>
        <v>%</v>
      </c>
      <c r="K372" s="6" t="n">
        <v>10</v>
      </c>
      <c r="L372" s="6" t="s">
        <v>2034</v>
      </c>
      <c r="M372" s="6"/>
      <c r="N372" s="6" t="str">
        <f aca="false">IFERROR(__xludf.dummyfunction("IFS(M372=""ShotAttack"",""%"",M372=""MeleeAttack"",""%"", M372=""Defense"",""%"",M372=""CraftSPeed"",""%"",M372=""LifeSteal"",""%"",M372=""MaxInventoryWeight"",""+"",M372=""MoveSpeed"",""%"",REGEXMATCH(M372,""ElementAddItemDrop_""),""%"",M372=""Logging"","&amp;"""+"",M372=""Mining"",""+"",M372=""Maxhp"",""%"",REGEXMATCH(M372,""TemperatureResist_""),""+"",REGEXMATCH(M372,""ElementResist_""),""%"",REGEXMATCH(M372,""TemperatureInvalid_""),""bool"",REGEXMATCH(M372,""BodyPartsWeakDamage""),""%"",REGEXMATCH(M372,""Ele"&amp;"mentBoost_""),""%"",AND(REGEXMATCH(F372,""GiveA""),REGEXMATCH(M372,""Element"")),""bool"")"),"#N/A")</f>
        <v>#N/A</v>
      </c>
      <c r="O372" s="6" t="n">
        <v>0</v>
      </c>
      <c r="P372" s="6"/>
      <c r="Q372" s="6"/>
      <c r="R372" s="6" t="str">
        <f aca="false">IFERROR(__xludf.dummyfunction("IFS(Q372=""ShotAttack"",""%"",Q372=""MeleeAttack"",""%"", Q372=""Defense"",""%"",Q372=""CraftSPeed"",""%"",Q372=""LifeSteal"",""%"",Q372=""MaxInventoryWeight"",""+"",Q372=""MoveSpeed"",""%"",REGEXMATCH(Q372,""ElementAddItemDrop_""),""%"",Q372=""Logging"","&amp;"""+"",Q372=""Mining"",""+"",Q372=""Maxhp"",""%"",REGEXMATCH(Q372,""TemperatureResist_""),""+"",REGEXMATCH(Q372,""ElementResist_""),""%"",REGEXMATCH(Q372,""TemperatureInvalid_""),""bool"",REGEXMATCH(Q372,""BodyPartsWeakDamage""),""%"",REGEXMATCH(Q372,""Ele"&amp;"mentBoost_""),""%"",AND(REGEXMATCH(J372,""GiveA""),REGEXMATCH(Q372,""Element"")),""bool"")"),"#N/A")</f>
        <v>#N/A</v>
      </c>
      <c r="S372" s="6" t="n">
        <v>0</v>
      </c>
      <c r="T372" s="6"/>
      <c r="U372" s="319" t="b">
        <f aca="false">TRUE()</f>
        <v>1</v>
      </c>
      <c r="V372" s="319" t="b">
        <f aca="false">FALSE()</f>
        <v>0</v>
      </c>
      <c r="W372" s="319" t="b">
        <f aca="false">FALSE()</f>
        <v>0</v>
      </c>
      <c r="X372" s="319" t="b">
        <f aca="false">FALSE()</f>
        <v>0</v>
      </c>
      <c r="Y372" s="319" t="b">
        <f aca="false">FALSE()</f>
        <v>0</v>
      </c>
      <c r="Z372" s="319" t="b">
        <f aca="false">FALSE()</f>
        <v>0</v>
      </c>
      <c r="AA372" s="319" t="b">
        <f aca="false">FALSE()</f>
        <v>0</v>
      </c>
      <c r="AB372" s="319" t="b">
        <f aca="false">FALSE()</f>
        <v>0</v>
      </c>
      <c r="AC372" s="319" t="b">
        <f aca="false">FALSE()</f>
        <v>0</v>
      </c>
      <c r="AD372" s="319" t="b">
        <f aca="false">FALSE()</f>
        <v>0</v>
      </c>
      <c r="AE372" s="319" t="b">
        <f aca="false">FALSE()</f>
        <v>0</v>
      </c>
      <c r="AF372" s="319" t="b">
        <f aca="false">FALSE()</f>
        <v>0</v>
      </c>
      <c r="AG372" s="6" t="s">
        <v>182</v>
      </c>
      <c r="AH372" s="6" t="s">
        <v>182</v>
      </c>
    </row>
    <row r="373" customFormat="false" ht="15.75" hidden="false" customHeight="false" outlineLevel="0" collapsed="false">
      <c r="A373" s="1" t="e">
        <f aca="false">#N/A</f>
        <v>#N/A</v>
      </c>
      <c r="B373" s="6" t="s">
        <v>839</v>
      </c>
      <c r="C373" s="3"/>
      <c r="D373" s="6" t="str">
        <f aca="false">I373   &amp; IF(ISBLANK(M373),, ". "&amp; M373 &amp; IF(ISBLANK(Q373),, ". "&amp; Q373))</f>
        <v>ShotAttack</v>
      </c>
      <c r="E373" s="6" t="str">
        <f aca="false">I373  &amp;": # on "&amp; L373  &amp; IF(ISBLANK(M373),, ". "&amp; M373 &amp;": # on "&amp; P373 &amp; IF(ISBLANK(Q373),, ". "&amp; Q373 &amp;": # on "&amp; T373))</f>
        <v>ShotAttack: # on Trainer</v>
      </c>
      <c r="F373" s="6" t="str">
        <f aca="false">IF(U373,"active pal",)  &amp; IF(V373,"working",) &amp; IF(W373,"mounted",) &amp; IF(Y373,"in party (buff)",)  &amp; IF(Z373,"always",)</f>
        <v>mounted</v>
      </c>
      <c r="G373" s="6" t="n">
        <v>1</v>
      </c>
      <c r="H373" s="6" t="s">
        <v>182</v>
      </c>
      <c r="I373" s="6" t="s">
        <v>659</v>
      </c>
      <c r="J373" s="6" t="str">
        <f aca="false">IFERROR(__xludf.dummyfunction("IFS(I373=""ShotAttack"",""%"",I373=""MeleeAttack"",""%"", I373=""Defense"",""%"",I373=""CraftSPeed"",""%"",I373=""LifeSteal"",""%"",I373=""MaxInventoryWeight"",""+"",I373=""MoveSpeed"",""%"",REGEXMATCH(I373,""ElementAddItemDrop_""),""%"",I373=""Logging"","&amp;"""+"",I373=""Mining"",""+"",I373=""Maxhp"",""%"",REGEXMATCH(I373,""TemperatureResist_""),""+"",REGEXMATCH(I373,""ElementResist_""),""%"",REGEXMATCH(I373,""TemperatureInvalid_""),""bool"",REGEXMATCH(I373,""BodyPartsWeakDamage""),""%"",REGEXMATCH(I373,""Ele"&amp;"mentBoost_""),""%"",AND(REGEXMATCH(B373,""GiveA""),REGEXMATCH(I373,""Element"")),""bool"")"),"%")</f>
        <v>%</v>
      </c>
      <c r="K373" s="6" t="n">
        <v>50</v>
      </c>
      <c r="L373" s="6" t="s">
        <v>2034</v>
      </c>
      <c r="M373" s="6"/>
      <c r="N373" s="6" t="str">
        <f aca="false">IFERROR(__xludf.dummyfunction("IFS(M373=""ShotAttack"",""%"",M373=""MeleeAttack"",""%"", M373=""Defense"",""%"",M373=""CraftSPeed"",""%"",M373=""LifeSteal"",""%"",M373=""MaxInventoryWeight"",""+"",M373=""MoveSpeed"",""%"",REGEXMATCH(M373,""ElementAddItemDrop_""),""%"",M373=""Logging"","&amp;"""+"",M373=""Mining"",""+"",M373=""Maxhp"",""%"",REGEXMATCH(M373,""TemperatureResist_""),""+"",REGEXMATCH(M373,""ElementResist_""),""%"",REGEXMATCH(M373,""TemperatureInvalid_""),""bool"",REGEXMATCH(M373,""BodyPartsWeakDamage""),""%"",REGEXMATCH(M373,""Ele"&amp;"mentBoost_""),""%"",AND(REGEXMATCH(F373,""GiveA""),REGEXMATCH(M373,""Element"")),""bool"")"),"#N/A")</f>
        <v>#N/A</v>
      </c>
      <c r="O373" s="6" t="n">
        <v>0</v>
      </c>
      <c r="P373" s="6"/>
      <c r="Q373" s="6"/>
      <c r="R373" s="6" t="str">
        <f aca="false">IFERROR(__xludf.dummyfunction("IFS(Q373=""ShotAttack"",""%"",Q373=""MeleeAttack"",""%"", Q373=""Defense"",""%"",Q373=""CraftSPeed"",""%"",Q373=""LifeSteal"",""%"",Q373=""MaxInventoryWeight"",""+"",Q373=""MoveSpeed"",""%"",REGEXMATCH(Q373,""ElementAddItemDrop_""),""%"",Q373=""Logging"","&amp;"""+"",Q373=""Mining"",""+"",Q373=""Maxhp"",""%"",REGEXMATCH(Q373,""TemperatureResist_""),""+"",REGEXMATCH(Q373,""ElementResist_""),""%"",REGEXMATCH(Q373,""TemperatureInvalid_""),""bool"",REGEXMATCH(Q373,""BodyPartsWeakDamage""),""%"",REGEXMATCH(Q373,""Ele"&amp;"mentBoost_""),""%"",AND(REGEXMATCH(J373,""GiveA""),REGEXMATCH(Q373,""Element"")),""bool"")"),"#N/A")</f>
        <v>#N/A</v>
      </c>
      <c r="S373" s="6" t="n">
        <v>0</v>
      </c>
      <c r="T373" s="6"/>
      <c r="U373" s="319" t="b">
        <f aca="false">FALSE()</f>
        <v>0</v>
      </c>
      <c r="V373" s="319" t="b">
        <f aca="false">FALSE()</f>
        <v>0</v>
      </c>
      <c r="W373" s="319" t="b">
        <f aca="false">TRUE()</f>
        <v>1</v>
      </c>
      <c r="X373" s="319" t="b">
        <f aca="false">FALSE()</f>
        <v>0</v>
      </c>
      <c r="Y373" s="319" t="b">
        <f aca="false">FALSE()</f>
        <v>0</v>
      </c>
      <c r="Z373" s="319" t="b">
        <f aca="false">FALSE()</f>
        <v>0</v>
      </c>
      <c r="AA373" s="319" t="b">
        <f aca="false">FALSE()</f>
        <v>0</v>
      </c>
      <c r="AB373" s="319" t="b">
        <f aca="false">FALSE()</f>
        <v>0</v>
      </c>
      <c r="AC373" s="319" t="b">
        <f aca="false">FALSE()</f>
        <v>0</v>
      </c>
      <c r="AD373" s="319" t="b">
        <f aca="false">FALSE()</f>
        <v>0</v>
      </c>
      <c r="AE373" s="319" t="b">
        <f aca="false">FALSE()</f>
        <v>0</v>
      </c>
      <c r="AF373" s="319" t="b">
        <f aca="false">FALSE()</f>
        <v>0</v>
      </c>
      <c r="AG373" s="6" t="s">
        <v>182</v>
      </c>
      <c r="AH373" s="6" t="s">
        <v>182</v>
      </c>
    </row>
    <row r="374" customFormat="false" ht="15.75" hidden="false" customHeight="false" outlineLevel="0" collapsed="false">
      <c r="A374" s="1" t="e">
        <f aca="false">#N/A</f>
        <v>#N/A</v>
      </c>
      <c r="B374" s="6" t="s">
        <v>840</v>
      </c>
      <c r="C374" s="3"/>
      <c r="D374" s="6" t="str">
        <f aca="false">I374   &amp; IF(ISBLANK(M374),, ". "&amp; M374 &amp; IF(ISBLANK(Q374),, ". "&amp; Q374))</f>
        <v>ShotAttack</v>
      </c>
      <c r="E374" s="6" t="str">
        <f aca="false">I374  &amp;": # on "&amp; L374  &amp; IF(ISBLANK(M374),, ". "&amp; M374 &amp;": # on "&amp; P374 &amp; IF(ISBLANK(Q374),, ". "&amp; Q374 &amp;": # on "&amp; T374))</f>
        <v>ShotAttack: # on Trainer</v>
      </c>
      <c r="F374" s="6" t="str">
        <f aca="false">IF(U374,"active pal",)  &amp; IF(V374,"working",) &amp; IF(W374,"mounted",) &amp; IF(Y374,"in party (buff)",)  &amp; IF(Z374,"always",)</f>
        <v>mounted</v>
      </c>
      <c r="G374" s="6" t="n">
        <v>1</v>
      </c>
      <c r="H374" s="6" t="s">
        <v>182</v>
      </c>
      <c r="I374" s="6" t="s">
        <v>659</v>
      </c>
      <c r="J374" s="6" t="str">
        <f aca="false">IFERROR(__xludf.dummyfunction("IFS(I374=""ShotAttack"",""%"",I374=""MeleeAttack"",""%"", I374=""Defense"",""%"",I374=""CraftSPeed"",""%"",I374=""LifeSteal"",""%"",I374=""MaxInventoryWeight"",""+"",I374=""MoveSpeed"",""%"",REGEXMATCH(I374,""ElementAddItemDrop_""),""%"",I374=""Logging"","&amp;"""+"",I374=""Mining"",""+"",I374=""Maxhp"",""%"",REGEXMATCH(I374,""TemperatureResist_""),""+"",REGEXMATCH(I374,""ElementResist_""),""%"",REGEXMATCH(I374,""TemperatureInvalid_""),""bool"",REGEXMATCH(I374,""BodyPartsWeakDamage""),""%"",REGEXMATCH(I374,""Ele"&amp;"mentBoost_""),""%"",AND(REGEXMATCH(B374,""GiveA""),REGEXMATCH(I374,""Element"")),""bool"")"),"%")</f>
        <v>%</v>
      </c>
      <c r="K374" s="6" t="n">
        <v>55</v>
      </c>
      <c r="L374" s="6" t="s">
        <v>2034</v>
      </c>
      <c r="M374" s="6"/>
      <c r="N374" s="6" t="str">
        <f aca="false">IFERROR(__xludf.dummyfunction("IFS(M374=""ShotAttack"",""%"",M374=""MeleeAttack"",""%"", M374=""Defense"",""%"",M374=""CraftSPeed"",""%"",M374=""LifeSteal"",""%"",M374=""MaxInventoryWeight"",""+"",M374=""MoveSpeed"",""%"",REGEXMATCH(M374,""ElementAddItemDrop_""),""%"",M374=""Logging"","&amp;"""+"",M374=""Mining"",""+"",M374=""Maxhp"",""%"",REGEXMATCH(M374,""TemperatureResist_""),""+"",REGEXMATCH(M374,""ElementResist_""),""%"",REGEXMATCH(M374,""TemperatureInvalid_""),""bool"",REGEXMATCH(M374,""BodyPartsWeakDamage""),""%"",REGEXMATCH(M374,""Ele"&amp;"mentBoost_""),""%"",AND(REGEXMATCH(F374,""GiveA""),REGEXMATCH(M374,""Element"")),""bool"")"),"#N/A")</f>
        <v>#N/A</v>
      </c>
      <c r="O374" s="6" t="n">
        <v>0</v>
      </c>
      <c r="P374" s="6"/>
      <c r="Q374" s="6"/>
      <c r="R374" s="6" t="str">
        <f aca="false">IFERROR(__xludf.dummyfunction("IFS(Q374=""ShotAttack"",""%"",Q374=""MeleeAttack"",""%"", Q374=""Defense"",""%"",Q374=""CraftSPeed"",""%"",Q374=""LifeSteal"",""%"",Q374=""MaxInventoryWeight"",""+"",Q374=""MoveSpeed"",""%"",REGEXMATCH(Q374,""ElementAddItemDrop_""),""%"",Q374=""Logging"","&amp;"""+"",Q374=""Mining"",""+"",Q374=""Maxhp"",""%"",REGEXMATCH(Q374,""TemperatureResist_""),""+"",REGEXMATCH(Q374,""ElementResist_""),""%"",REGEXMATCH(Q374,""TemperatureInvalid_""),""bool"",REGEXMATCH(Q374,""BodyPartsWeakDamage""),""%"",REGEXMATCH(Q374,""Ele"&amp;"mentBoost_""),""%"",AND(REGEXMATCH(J374,""GiveA""),REGEXMATCH(Q374,""Element"")),""bool"")"),"#N/A")</f>
        <v>#N/A</v>
      </c>
      <c r="S374" s="6" t="n">
        <v>0</v>
      </c>
      <c r="T374" s="6"/>
      <c r="U374" s="319" t="b">
        <f aca="false">FALSE()</f>
        <v>0</v>
      </c>
      <c r="V374" s="319" t="b">
        <f aca="false">FALSE()</f>
        <v>0</v>
      </c>
      <c r="W374" s="319" t="b">
        <f aca="false">TRUE()</f>
        <v>1</v>
      </c>
      <c r="X374" s="319" t="b">
        <f aca="false">FALSE()</f>
        <v>0</v>
      </c>
      <c r="Y374" s="319" t="b">
        <f aca="false">FALSE()</f>
        <v>0</v>
      </c>
      <c r="Z374" s="319" t="b">
        <f aca="false">FALSE()</f>
        <v>0</v>
      </c>
      <c r="AA374" s="319" t="b">
        <f aca="false">FALSE()</f>
        <v>0</v>
      </c>
      <c r="AB374" s="319" t="b">
        <f aca="false">FALSE()</f>
        <v>0</v>
      </c>
      <c r="AC374" s="319" t="b">
        <f aca="false">FALSE()</f>
        <v>0</v>
      </c>
      <c r="AD374" s="319" t="b">
        <f aca="false">FALSE()</f>
        <v>0</v>
      </c>
      <c r="AE374" s="319" t="b">
        <f aca="false">FALSE()</f>
        <v>0</v>
      </c>
      <c r="AF374" s="319" t="b">
        <f aca="false">FALSE()</f>
        <v>0</v>
      </c>
      <c r="AG374" s="6" t="s">
        <v>182</v>
      </c>
      <c r="AH374" s="6" t="s">
        <v>182</v>
      </c>
    </row>
    <row r="375" customFormat="false" ht="15.75" hidden="false" customHeight="false" outlineLevel="0" collapsed="false">
      <c r="A375" s="1" t="e">
        <f aca="false">#N/A</f>
        <v>#N/A</v>
      </c>
      <c r="B375" s="6" t="s">
        <v>841</v>
      </c>
      <c r="C375" s="3"/>
      <c r="D375" s="6" t="str">
        <f aca="false">I375   &amp; IF(ISBLANK(M375),, ". "&amp; M375 &amp; IF(ISBLANK(Q375),, ". "&amp; Q375))</f>
        <v>ShotAttack</v>
      </c>
      <c r="E375" s="6" t="str">
        <f aca="false">I375  &amp;": # on "&amp; L375  &amp; IF(ISBLANK(M375),, ". "&amp; M375 &amp;": # on "&amp; P375 &amp; IF(ISBLANK(Q375),, ". "&amp; Q375 &amp;": # on "&amp; T375))</f>
        <v>ShotAttack: # on Trainer</v>
      </c>
      <c r="F375" s="6" t="str">
        <f aca="false">IF(U375,"active pal",)  &amp; IF(V375,"working",) &amp; IF(W375,"mounted",) &amp; IF(Y375,"in party (buff)",)  &amp; IF(Z375,"always",)</f>
        <v>mounted</v>
      </c>
      <c r="G375" s="6" t="n">
        <v>1</v>
      </c>
      <c r="H375" s="6" t="s">
        <v>182</v>
      </c>
      <c r="I375" s="6" t="s">
        <v>659</v>
      </c>
      <c r="J375" s="6" t="str">
        <f aca="false">IFERROR(__xludf.dummyfunction("IFS(I375=""ShotAttack"",""%"",I375=""MeleeAttack"",""%"", I375=""Defense"",""%"",I375=""CraftSPeed"",""%"",I375=""LifeSteal"",""%"",I375=""MaxInventoryWeight"",""+"",I375=""MoveSpeed"",""%"",REGEXMATCH(I375,""ElementAddItemDrop_""),""%"",I375=""Logging"","&amp;"""+"",I375=""Mining"",""+"",I375=""Maxhp"",""%"",REGEXMATCH(I375,""TemperatureResist_""),""+"",REGEXMATCH(I375,""ElementResist_""),""%"",REGEXMATCH(I375,""TemperatureInvalid_""),""bool"",REGEXMATCH(I375,""BodyPartsWeakDamage""),""%"",REGEXMATCH(I375,""Ele"&amp;"mentBoost_""),""%"",AND(REGEXMATCH(B375,""GiveA""),REGEXMATCH(I375,""Element"")),""bool"")"),"%")</f>
        <v>%</v>
      </c>
      <c r="K375" s="6" t="n">
        <v>65</v>
      </c>
      <c r="L375" s="6" t="s">
        <v>2034</v>
      </c>
      <c r="M375" s="6"/>
      <c r="N375" s="6" t="str">
        <f aca="false">IFERROR(__xludf.dummyfunction("IFS(M375=""ShotAttack"",""%"",M375=""MeleeAttack"",""%"", M375=""Defense"",""%"",M375=""CraftSPeed"",""%"",M375=""LifeSteal"",""%"",M375=""MaxInventoryWeight"",""+"",M375=""MoveSpeed"",""%"",REGEXMATCH(M375,""ElementAddItemDrop_""),""%"",M375=""Logging"","&amp;"""+"",M375=""Mining"",""+"",M375=""Maxhp"",""%"",REGEXMATCH(M375,""TemperatureResist_""),""+"",REGEXMATCH(M375,""ElementResist_""),""%"",REGEXMATCH(M375,""TemperatureInvalid_""),""bool"",REGEXMATCH(M375,""BodyPartsWeakDamage""),""%"",REGEXMATCH(M375,""Ele"&amp;"mentBoost_""),""%"",AND(REGEXMATCH(F375,""GiveA""),REGEXMATCH(M375,""Element"")),""bool"")"),"#N/A")</f>
        <v>#N/A</v>
      </c>
      <c r="O375" s="6" t="n">
        <v>0</v>
      </c>
      <c r="P375" s="6"/>
      <c r="Q375" s="6"/>
      <c r="R375" s="6" t="str">
        <f aca="false">IFERROR(__xludf.dummyfunction("IFS(Q375=""ShotAttack"",""%"",Q375=""MeleeAttack"",""%"", Q375=""Defense"",""%"",Q375=""CraftSPeed"",""%"",Q375=""LifeSteal"",""%"",Q375=""MaxInventoryWeight"",""+"",Q375=""MoveSpeed"",""%"",REGEXMATCH(Q375,""ElementAddItemDrop_""),""%"",Q375=""Logging"","&amp;"""+"",Q375=""Mining"",""+"",Q375=""Maxhp"",""%"",REGEXMATCH(Q375,""TemperatureResist_""),""+"",REGEXMATCH(Q375,""ElementResist_""),""%"",REGEXMATCH(Q375,""TemperatureInvalid_""),""bool"",REGEXMATCH(Q375,""BodyPartsWeakDamage""),""%"",REGEXMATCH(Q375,""Ele"&amp;"mentBoost_""),""%"",AND(REGEXMATCH(J375,""GiveA""),REGEXMATCH(Q375,""Element"")),""bool"")"),"#N/A")</f>
        <v>#N/A</v>
      </c>
      <c r="S375" s="6" t="n">
        <v>0</v>
      </c>
      <c r="T375" s="6"/>
      <c r="U375" s="319" t="b">
        <f aca="false">FALSE()</f>
        <v>0</v>
      </c>
      <c r="V375" s="319" t="b">
        <f aca="false">FALSE()</f>
        <v>0</v>
      </c>
      <c r="W375" s="319" t="b">
        <f aca="false">TRUE()</f>
        <v>1</v>
      </c>
      <c r="X375" s="319" t="b">
        <f aca="false">FALSE()</f>
        <v>0</v>
      </c>
      <c r="Y375" s="319" t="b">
        <f aca="false">FALSE()</f>
        <v>0</v>
      </c>
      <c r="Z375" s="319" t="b">
        <f aca="false">FALSE()</f>
        <v>0</v>
      </c>
      <c r="AA375" s="319" t="b">
        <f aca="false">FALSE()</f>
        <v>0</v>
      </c>
      <c r="AB375" s="319" t="b">
        <f aca="false">FALSE()</f>
        <v>0</v>
      </c>
      <c r="AC375" s="319" t="b">
        <f aca="false">FALSE()</f>
        <v>0</v>
      </c>
      <c r="AD375" s="319" t="b">
        <f aca="false">FALSE()</f>
        <v>0</v>
      </c>
      <c r="AE375" s="319" t="b">
        <f aca="false">FALSE()</f>
        <v>0</v>
      </c>
      <c r="AF375" s="319" t="b">
        <f aca="false">FALSE()</f>
        <v>0</v>
      </c>
      <c r="AG375" s="6" t="s">
        <v>182</v>
      </c>
      <c r="AH375" s="6" t="s">
        <v>182</v>
      </c>
    </row>
    <row r="376" customFormat="false" ht="15.75" hidden="false" customHeight="false" outlineLevel="0" collapsed="false">
      <c r="A376" s="1" t="e">
        <f aca="false">#N/A</f>
        <v>#N/A</v>
      </c>
      <c r="B376" s="6" t="s">
        <v>842</v>
      </c>
      <c r="C376" s="3"/>
      <c r="D376" s="6" t="str">
        <f aca="false">I376   &amp; IF(ISBLANK(M376),, ". "&amp; M376 &amp; IF(ISBLANK(Q376),, ". "&amp; Q376))</f>
        <v>ShotAttack</v>
      </c>
      <c r="E376" s="6" t="str">
        <f aca="false">I376  &amp;": # on "&amp; L376  &amp; IF(ISBLANK(M376),, ". "&amp; M376 &amp;": # on "&amp; P376 &amp; IF(ISBLANK(Q376),, ". "&amp; Q376 &amp;": # on "&amp; T376))</f>
        <v>ShotAttack: # on Trainer</v>
      </c>
      <c r="F376" s="6" t="str">
        <f aca="false">IF(U376,"active pal",)  &amp; IF(V376,"working",) &amp; IF(W376,"mounted",) &amp; IF(Y376,"in party (buff)",)  &amp; IF(Z376,"always",)</f>
        <v>mounted</v>
      </c>
      <c r="G376" s="6" t="n">
        <v>1</v>
      </c>
      <c r="H376" s="6" t="s">
        <v>182</v>
      </c>
      <c r="I376" s="6" t="s">
        <v>659</v>
      </c>
      <c r="J376" s="6" t="str">
        <f aca="false">IFERROR(__xludf.dummyfunction("IFS(I376=""ShotAttack"",""%"",I376=""MeleeAttack"",""%"", I376=""Defense"",""%"",I376=""CraftSPeed"",""%"",I376=""LifeSteal"",""%"",I376=""MaxInventoryWeight"",""+"",I376=""MoveSpeed"",""%"",REGEXMATCH(I376,""ElementAddItemDrop_""),""%"",I376=""Logging"","&amp;"""+"",I376=""Mining"",""+"",I376=""Maxhp"",""%"",REGEXMATCH(I376,""TemperatureResist_""),""+"",REGEXMATCH(I376,""ElementResist_""),""%"",REGEXMATCH(I376,""TemperatureInvalid_""),""bool"",REGEXMATCH(I376,""BodyPartsWeakDamage""),""%"",REGEXMATCH(I376,""Ele"&amp;"mentBoost_""),""%"",AND(REGEXMATCH(B376,""GiveA""),REGEXMATCH(I376,""Element"")),""bool"")"),"%")</f>
        <v>%</v>
      </c>
      <c r="K376" s="6" t="n">
        <v>80</v>
      </c>
      <c r="L376" s="6" t="s">
        <v>2034</v>
      </c>
      <c r="M376" s="6"/>
      <c r="N376" s="6" t="str">
        <f aca="false">IFERROR(__xludf.dummyfunction("IFS(M376=""ShotAttack"",""%"",M376=""MeleeAttack"",""%"", M376=""Defense"",""%"",M376=""CraftSPeed"",""%"",M376=""LifeSteal"",""%"",M376=""MaxInventoryWeight"",""+"",M376=""MoveSpeed"",""%"",REGEXMATCH(M376,""ElementAddItemDrop_""),""%"",M376=""Logging"","&amp;"""+"",M376=""Mining"",""+"",M376=""Maxhp"",""%"",REGEXMATCH(M376,""TemperatureResist_""),""+"",REGEXMATCH(M376,""ElementResist_""),""%"",REGEXMATCH(M376,""TemperatureInvalid_""),""bool"",REGEXMATCH(M376,""BodyPartsWeakDamage""),""%"",REGEXMATCH(M376,""Ele"&amp;"mentBoost_""),""%"",AND(REGEXMATCH(F376,""GiveA""),REGEXMATCH(M376,""Element"")),""bool"")"),"#N/A")</f>
        <v>#N/A</v>
      </c>
      <c r="O376" s="6" t="n">
        <v>0</v>
      </c>
      <c r="P376" s="6"/>
      <c r="Q376" s="6"/>
      <c r="R376" s="6" t="str">
        <f aca="false">IFERROR(__xludf.dummyfunction("IFS(Q376=""ShotAttack"",""%"",Q376=""MeleeAttack"",""%"", Q376=""Defense"",""%"",Q376=""CraftSPeed"",""%"",Q376=""LifeSteal"",""%"",Q376=""MaxInventoryWeight"",""+"",Q376=""MoveSpeed"",""%"",REGEXMATCH(Q376,""ElementAddItemDrop_""),""%"",Q376=""Logging"","&amp;"""+"",Q376=""Mining"",""+"",Q376=""Maxhp"",""%"",REGEXMATCH(Q376,""TemperatureResist_""),""+"",REGEXMATCH(Q376,""ElementResist_""),""%"",REGEXMATCH(Q376,""TemperatureInvalid_""),""bool"",REGEXMATCH(Q376,""BodyPartsWeakDamage""),""%"",REGEXMATCH(Q376,""Ele"&amp;"mentBoost_""),""%"",AND(REGEXMATCH(J376,""GiveA""),REGEXMATCH(Q376,""Element"")),""bool"")"),"#N/A")</f>
        <v>#N/A</v>
      </c>
      <c r="S376" s="6" t="n">
        <v>0</v>
      </c>
      <c r="T376" s="6"/>
      <c r="U376" s="319" t="b">
        <f aca="false">FALSE()</f>
        <v>0</v>
      </c>
      <c r="V376" s="319" t="b">
        <f aca="false">FALSE()</f>
        <v>0</v>
      </c>
      <c r="W376" s="319" t="b">
        <f aca="false">TRUE()</f>
        <v>1</v>
      </c>
      <c r="X376" s="319" t="b">
        <f aca="false">FALSE()</f>
        <v>0</v>
      </c>
      <c r="Y376" s="319" t="b">
        <f aca="false">FALSE()</f>
        <v>0</v>
      </c>
      <c r="Z376" s="319" t="b">
        <f aca="false">FALSE()</f>
        <v>0</v>
      </c>
      <c r="AA376" s="319" t="b">
        <f aca="false">FALSE()</f>
        <v>0</v>
      </c>
      <c r="AB376" s="319" t="b">
        <f aca="false">FALSE()</f>
        <v>0</v>
      </c>
      <c r="AC376" s="319" t="b">
        <f aca="false">FALSE()</f>
        <v>0</v>
      </c>
      <c r="AD376" s="319" t="b">
        <f aca="false">FALSE()</f>
        <v>0</v>
      </c>
      <c r="AE376" s="319" t="b">
        <f aca="false">FALSE()</f>
        <v>0</v>
      </c>
      <c r="AF376" s="319" t="b">
        <f aca="false">FALSE()</f>
        <v>0</v>
      </c>
      <c r="AG376" s="6" t="s">
        <v>182</v>
      </c>
      <c r="AH376" s="6" t="s">
        <v>182</v>
      </c>
    </row>
    <row r="377" customFormat="false" ht="15.75" hidden="false" customHeight="false" outlineLevel="0" collapsed="false">
      <c r="A377" s="1" t="e">
        <f aca="false">#N/A</f>
        <v>#N/A</v>
      </c>
      <c r="B377" s="6" t="s">
        <v>843</v>
      </c>
      <c r="C377" s="3"/>
      <c r="D377" s="6" t="str">
        <f aca="false">I377   &amp; IF(ISBLANK(M377),, ". "&amp; M377 &amp; IF(ISBLANK(Q377),, ". "&amp; Q377))</f>
        <v>ShotAttack</v>
      </c>
      <c r="E377" s="6" t="str">
        <f aca="false">I377  &amp;": # on "&amp; L377  &amp; IF(ISBLANK(M377),, ". "&amp; M377 &amp;": # on "&amp; P377 &amp; IF(ISBLANK(Q377),, ". "&amp; Q377 &amp;": # on "&amp; T377))</f>
        <v>ShotAttack: # on Trainer</v>
      </c>
      <c r="F377" s="6" t="str">
        <f aca="false">IF(U377,"active pal",)  &amp; IF(V377,"working",) &amp; IF(W377,"mounted",) &amp; IF(Y377,"in party (buff)",)  &amp; IF(Z377,"always",)</f>
        <v>mounted</v>
      </c>
      <c r="G377" s="6" t="n">
        <v>1</v>
      </c>
      <c r="H377" s="6" t="s">
        <v>182</v>
      </c>
      <c r="I377" s="6" t="s">
        <v>659</v>
      </c>
      <c r="J377" s="6" t="str">
        <f aca="false">IFERROR(__xludf.dummyfunction("IFS(I377=""ShotAttack"",""%"",I377=""MeleeAttack"",""%"", I377=""Defense"",""%"",I377=""CraftSPeed"",""%"",I377=""LifeSteal"",""%"",I377=""MaxInventoryWeight"",""+"",I377=""MoveSpeed"",""%"",REGEXMATCH(I377,""ElementAddItemDrop_""),""%"",I377=""Logging"","&amp;"""+"",I377=""Mining"",""+"",I377=""Maxhp"",""%"",REGEXMATCH(I377,""TemperatureResist_""),""+"",REGEXMATCH(I377,""ElementResist_""),""%"",REGEXMATCH(I377,""TemperatureInvalid_""),""bool"",REGEXMATCH(I377,""BodyPartsWeakDamage""),""%"",REGEXMATCH(I377,""Ele"&amp;"mentBoost_""),""%"",AND(REGEXMATCH(B377,""GiveA""),REGEXMATCH(I377,""Element"")),""bool"")"),"%")</f>
        <v>%</v>
      </c>
      <c r="K377" s="6" t="n">
        <v>100</v>
      </c>
      <c r="L377" s="6" t="s">
        <v>2034</v>
      </c>
      <c r="M377" s="6"/>
      <c r="N377" s="6" t="str">
        <f aca="false">IFERROR(__xludf.dummyfunction("IFS(M377=""ShotAttack"",""%"",M377=""MeleeAttack"",""%"", M377=""Defense"",""%"",M377=""CraftSPeed"",""%"",M377=""LifeSteal"",""%"",M377=""MaxInventoryWeight"",""+"",M377=""MoveSpeed"",""%"",REGEXMATCH(M377,""ElementAddItemDrop_""),""%"",M377=""Logging"","&amp;"""+"",M377=""Mining"",""+"",M377=""Maxhp"",""%"",REGEXMATCH(M377,""TemperatureResist_""),""+"",REGEXMATCH(M377,""ElementResist_""),""%"",REGEXMATCH(M377,""TemperatureInvalid_""),""bool"",REGEXMATCH(M377,""BodyPartsWeakDamage""),""%"",REGEXMATCH(M377,""Ele"&amp;"mentBoost_""),""%"",AND(REGEXMATCH(F377,""GiveA""),REGEXMATCH(M377,""Element"")),""bool"")"),"#N/A")</f>
        <v>#N/A</v>
      </c>
      <c r="O377" s="6" t="n">
        <v>0</v>
      </c>
      <c r="P377" s="6"/>
      <c r="Q377" s="6"/>
      <c r="R377" s="6" t="str">
        <f aca="false">IFERROR(__xludf.dummyfunction("IFS(Q377=""ShotAttack"",""%"",Q377=""MeleeAttack"",""%"", Q377=""Defense"",""%"",Q377=""CraftSPeed"",""%"",Q377=""LifeSteal"",""%"",Q377=""MaxInventoryWeight"",""+"",Q377=""MoveSpeed"",""%"",REGEXMATCH(Q377,""ElementAddItemDrop_""),""%"",Q377=""Logging"","&amp;"""+"",Q377=""Mining"",""+"",Q377=""Maxhp"",""%"",REGEXMATCH(Q377,""TemperatureResist_""),""+"",REGEXMATCH(Q377,""ElementResist_""),""%"",REGEXMATCH(Q377,""TemperatureInvalid_""),""bool"",REGEXMATCH(Q377,""BodyPartsWeakDamage""),""%"",REGEXMATCH(Q377,""Ele"&amp;"mentBoost_""),""%"",AND(REGEXMATCH(J377,""GiveA""),REGEXMATCH(Q377,""Element"")),""bool"")"),"#N/A")</f>
        <v>#N/A</v>
      </c>
      <c r="S377" s="6" t="n">
        <v>0</v>
      </c>
      <c r="T377" s="6"/>
      <c r="U377" s="319" t="b">
        <f aca="false">FALSE()</f>
        <v>0</v>
      </c>
      <c r="V377" s="319" t="b">
        <f aca="false">FALSE()</f>
        <v>0</v>
      </c>
      <c r="W377" s="319" t="b">
        <f aca="false">TRUE()</f>
        <v>1</v>
      </c>
      <c r="X377" s="319" t="b">
        <f aca="false">FALSE()</f>
        <v>0</v>
      </c>
      <c r="Y377" s="319" t="b">
        <f aca="false">FALSE()</f>
        <v>0</v>
      </c>
      <c r="Z377" s="319" t="b">
        <f aca="false">FALSE()</f>
        <v>0</v>
      </c>
      <c r="AA377" s="319" t="b">
        <f aca="false">FALSE()</f>
        <v>0</v>
      </c>
      <c r="AB377" s="319" t="b">
        <f aca="false">FALSE()</f>
        <v>0</v>
      </c>
      <c r="AC377" s="319" t="b">
        <f aca="false">FALSE()</f>
        <v>0</v>
      </c>
      <c r="AD377" s="319" t="b">
        <f aca="false">FALSE()</f>
        <v>0</v>
      </c>
      <c r="AE377" s="319" t="b">
        <f aca="false">FALSE()</f>
        <v>0</v>
      </c>
      <c r="AF377" s="319" t="b">
        <f aca="false">FALSE()</f>
        <v>0</v>
      </c>
      <c r="AG377" s="6" t="s">
        <v>182</v>
      </c>
      <c r="AH377" s="6" t="s">
        <v>182</v>
      </c>
    </row>
    <row r="378" customFormat="false" ht="15.75" hidden="false" customHeight="false" outlineLevel="0" collapsed="false">
      <c r="A378" s="1" t="e">
        <f aca="false">#N/A</f>
        <v>#N/A</v>
      </c>
      <c r="B378" s="6" t="s">
        <v>1129</v>
      </c>
      <c r="C378" s="3"/>
      <c r="D378" s="6" t="str">
        <f aca="false">I378   &amp; IF(ISBLANK(M378),, ". "&amp; M378 &amp; IF(ISBLANK(Q378),, ". "&amp; Q378))</f>
        <v>MoveSpeed</v>
      </c>
      <c r="E378" s="6" t="str">
        <f aca="false">I378  &amp;": # on "&amp; L378  &amp; IF(ISBLANK(M378),, ". "&amp; M378 &amp;": # on "&amp; P378 &amp; IF(ISBLANK(Q378),, ". "&amp; Q378 &amp;": # on "&amp; T378))</f>
        <v>MoveSpeed: # on SelfAndTrainer</v>
      </c>
      <c r="F378" s="6" t="str">
        <f aca="false">IF(U378,"active pal",)  &amp; IF(V378,"working",) &amp; IF(W378,"mounted",) &amp; IF(Y378,"in party (buff)",)  &amp; IF(Z378,"always",)</f>
        <v>active pal</v>
      </c>
      <c r="G378" s="6" t="n">
        <v>1</v>
      </c>
      <c r="H378" s="6" t="s">
        <v>182</v>
      </c>
      <c r="I378" s="6" t="s">
        <v>2115</v>
      </c>
      <c r="J378" s="6" t="str">
        <f aca="false">IFERROR(__xludf.dummyfunction("IFS(I378=""ShotAttack"",""%"",I378=""MeleeAttack"",""%"", I378=""Defense"",""%"",I378=""CraftSPeed"",""%"",I378=""LifeSteal"",""%"",I378=""MaxInventoryWeight"",""+"",I378=""MoveSpeed"",""%"",REGEXMATCH(I378,""ElementAddItemDrop_""),""%"",I378=""Logging"","&amp;"""+"",I378=""Mining"",""+"",I378=""Maxhp"",""%"",REGEXMATCH(I378,""TemperatureResist_""),""+"",REGEXMATCH(I378,""ElementResist_""),""%"",REGEXMATCH(I378,""TemperatureInvalid_""),""bool"",REGEXMATCH(I378,""BodyPartsWeakDamage""),""%"",REGEXMATCH(I378,""Ele"&amp;"mentBoost_""),""%"",AND(REGEXMATCH(B378,""GiveA""),REGEXMATCH(I378,""Element"")),""bool"")"),"%")</f>
        <v>%</v>
      </c>
      <c r="K378" s="6" t="n">
        <v>20</v>
      </c>
      <c r="L378" s="6" t="s">
        <v>2085</v>
      </c>
      <c r="M378" s="6"/>
      <c r="N378" s="6" t="str">
        <f aca="false">IFERROR(__xludf.dummyfunction("IFS(M378=""ShotAttack"",""%"",M378=""MeleeAttack"",""%"", M378=""Defense"",""%"",M378=""CraftSPeed"",""%"",M378=""LifeSteal"",""%"",M378=""MaxInventoryWeight"",""+"",M378=""MoveSpeed"",""%"",REGEXMATCH(M378,""ElementAddItemDrop_""),""%"",M378=""Logging"","&amp;"""+"",M378=""Mining"",""+"",M378=""Maxhp"",""%"",REGEXMATCH(M378,""TemperatureResist_""),""+"",REGEXMATCH(M378,""ElementResist_""),""%"",REGEXMATCH(M378,""TemperatureInvalid_""),""bool"",REGEXMATCH(M378,""BodyPartsWeakDamage""),""%"",REGEXMATCH(M378,""Ele"&amp;"mentBoost_""),""%"",AND(REGEXMATCH(F378,""GiveA""),REGEXMATCH(M378,""Element"")),""bool"")"),"#N/A")</f>
        <v>#N/A</v>
      </c>
      <c r="O378" s="6" t="n">
        <v>0</v>
      </c>
      <c r="P378" s="6"/>
      <c r="Q378" s="6"/>
      <c r="R378" s="6" t="str">
        <f aca="false">IFERROR(__xludf.dummyfunction("IFS(Q378=""ShotAttack"",""%"",Q378=""MeleeAttack"",""%"", Q378=""Defense"",""%"",Q378=""CraftSPeed"",""%"",Q378=""LifeSteal"",""%"",Q378=""MaxInventoryWeight"",""+"",Q378=""MoveSpeed"",""%"",REGEXMATCH(Q378,""ElementAddItemDrop_""),""%"",Q378=""Logging"","&amp;"""+"",Q378=""Mining"",""+"",Q378=""Maxhp"",""%"",REGEXMATCH(Q378,""TemperatureResist_""),""+"",REGEXMATCH(Q378,""ElementResist_""),""%"",REGEXMATCH(Q378,""TemperatureInvalid_""),""bool"",REGEXMATCH(Q378,""BodyPartsWeakDamage""),""%"",REGEXMATCH(Q378,""Ele"&amp;"mentBoost_""),""%"",AND(REGEXMATCH(J378,""GiveA""),REGEXMATCH(Q378,""Element"")),""bool"")"),"#N/A")</f>
        <v>#N/A</v>
      </c>
      <c r="S378" s="6" t="n">
        <v>0</v>
      </c>
      <c r="T378" s="6"/>
      <c r="U378" s="319" t="b">
        <f aca="false">TRUE()</f>
        <v>1</v>
      </c>
      <c r="V378" s="319" t="b">
        <f aca="false">FALSE()</f>
        <v>0</v>
      </c>
      <c r="W378" s="319" t="b">
        <f aca="false">FALSE()</f>
        <v>0</v>
      </c>
      <c r="X378" s="319" t="b">
        <f aca="false">FALSE()</f>
        <v>0</v>
      </c>
      <c r="Y378" s="319" t="b">
        <f aca="false">FALSE()</f>
        <v>0</v>
      </c>
      <c r="Z378" s="319" t="b">
        <f aca="false">FALSE()</f>
        <v>0</v>
      </c>
      <c r="AA378" s="319" t="b">
        <f aca="false">FALSE()</f>
        <v>0</v>
      </c>
      <c r="AB378" s="319" t="b">
        <f aca="false">FALSE()</f>
        <v>0</v>
      </c>
      <c r="AC378" s="319" t="b">
        <f aca="false">FALSE()</f>
        <v>0</v>
      </c>
      <c r="AD378" s="319" t="b">
        <f aca="false">FALSE()</f>
        <v>0</v>
      </c>
      <c r="AE378" s="319" t="b">
        <f aca="false">FALSE()</f>
        <v>0</v>
      </c>
      <c r="AF378" s="319" t="b">
        <f aca="false">FALSE()</f>
        <v>0</v>
      </c>
      <c r="AG378" s="6" t="s">
        <v>182</v>
      </c>
      <c r="AH378" s="6" t="s">
        <v>182</v>
      </c>
    </row>
    <row r="379" customFormat="false" ht="15.75" hidden="false" customHeight="false" outlineLevel="0" collapsed="false">
      <c r="A379" s="1" t="e">
        <f aca="false">#N/A</f>
        <v>#N/A</v>
      </c>
      <c r="B379" s="6" t="s">
        <v>1130</v>
      </c>
      <c r="C379" s="3"/>
      <c r="D379" s="6" t="str">
        <f aca="false">I379   &amp; IF(ISBLANK(M379),, ". "&amp; M379 &amp; IF(ISBLANK(Q379),, ". "&amp; Q379))</f>
        <v>MoveSpeed</v>
      </c>
      <c r="E379" s="6" t="str">
        <f aca="false">I379  &amp;": # on "&amp; L379  &amp; IF(ISBLANK(M379),, ". "&amp; M379 &amp;": # on "&amp; P379 &amp; IF(ISBLANK(Q379),, ". "&amp; Q379 &amp;": # on "&amp; T379))</f>
        <v>MoveSpeed: # on SelfAndTrainer</v>
      </c>
      <c r="F379" s="6" t="str">
        <f aca="false">IF(U379,"active pal",)  &amp; IF(V379,"working",) &amp; IF(W379,"mounted",) &amp; IF(Y379,"in party (buff)",)  &amp; IF(Z379,"always",)</f>
        <v>active pal</v>
      </c>
      <c r="G379" s="6" t="n">
        <v>1</v>
      </c>
      <c r="H379" s="6" t="s">
        <v>182</v>
      </c>
      <c r="I379" s="6" t="s">
        <v>2115</v>
      </c>
      <c r="J379" s="6" t="str">
        <f aca="false">IFERROR(__xludf.dummyfunction("IFS(I379=""ShotAttack"",""%"",I379=""MeleeAttack"",""%"", I379=""Defense"",""%"",I379=""CraftSPeed"",""%"",I379=""LifeSteal"",""%"",I379=""MaxInventoryWeight"",""+"",I379=""MoveSpeed"",""%"",REGEXMATCH(I379,""ElementAddItemDrop_""),""%"",I379=""Logging"","&amp;"""+"",I379=""Mining"",""+"",I379=""Maxhp"",""%"",REGEXMATCH(I379,""TemperatureResist_""),""+"",REGEXMATCH(I379,""ElementResist_""),""%"",REGEXMATCH(I379,""TemperatureInvalid_""),""bool"",REGEXMATCH(I379,""BodyPartsWeakDamage""),""%"",REGEXMATCH(I379,""Ele"&amp;"mentBoost_""),""%"",AND(REGEXMATCH(B379,""GiveA""),REGEXMATCH(I379,""Element"")),""bool"")"),"%")</f>
        <v>%</v>
      </c>
      <c r="K379" s="6" t="n">
        <v>22</v>
      </c>
      <c r="L379" s="6" t="s">
        <v>2085</v>
      </c>
      <c r="M379" s="6"/>
      <c r="N379" s="6" t="str">
        <f aca="false">IFERROR(__xludf.dummyfunction("IFS(M379=""ShotAttack"",""%"",M379=""MeleeAttack"",""%"", M379=""Defense"",""%"",M379=""CraftSPeed"",""%"",M379=""LifeSteal"",""%"",M379=""MaxInventoryWeight"",""+"",M379=""MoveSpeed"",""%"",REGEXMATCH(M379,""ElementAddItemDrop_""),""%"",M379=""Logging"","&amp;"""+"",M379=""Mining"",""+"",M379=""Maxhp"",""%"",REGEXMATCH(M379,""TemperatureResist_""),""+"",REGEXMATCH(M379,""ElementResist_""),""%"",REGEXMATCH(M379,""TemperatureInvalid_""),""bool"",REGEXMATCH(M379,""BodyPartsWeakDamage""),""%"",REGEXMATCH(M379,""Ele"&amp;"mentBoost_""),""%"",AND(REGEXMATCH(F379,""GiveA""),REGEXMATCH(M379,""Element"")),""bool"")"),"#N/A")</f>
        <v>#N/A</v>
      </c>
      <c r="O379" s="6" t="n">
        <v>0</v>
      </c>
      <c r="P379" s="6"/>
      <c r="Q379" s="6"/>
      <c r="R379" s="6" t="str">
        <f aca="false">IFERROR(__xludf.dummyfunction("IFS(Q379=""ShotAttack"",""%"",Q379=""MeleeAttack"",""%"", Q379=""Defense"",""%"",Q379=""CraftSPeed"",""%"",Q379=""LifeSteal"",""%"",Q379=""MaxInventoryWeight"",""+"",Q379=""MoveSpeed"",""%"",REGEXMATCH(Q379,""ElementAddItemDrop_""),""%"",Q379=""Logging"","&amp;"""+"",Q379=""Mining"",""+"",Q379=""Maxhp"",""%"",REGEXMATCH(Q379,""TemperatureResist_""),""+"",REGEXMATCH(Q379,""ElementResist_""),""%"",REGEXMATCH(Q379,""TemperatureInvalid_""),""bool"",REGEXMATCH(Q379,""BodyPartsWeakDamage""),""%"",REGEXMATCH(Q379,""Ele"&amp;"mentBoost_""),""%"",AND(REGEXMATCH(J379,""GiveA""),REGEXMATCH(Q379,""Element"")),""bool"")"),"#N/A")</f>
        <v>#N/A</v>
      </c>
      <c r="S379" s="6" t="n">
        <v>0</v>
      </c>
      <c r="T379" s="6"/>
      <c r="U379" s="319" t="b">
        <f aca="false">TRUE()</f>
        <v>1</v>
      </c>
      <c r="V379" s="319" t="b">
        <f aca="false">FALSE()</f>
        <v>0</v>
      </c>
      <c r="W379" s="319" t="b">
        <f aca="false">FALSE()</f>
        <v>0</v>
      </c>
      <c r="X379" s="319" t="b">
        <f aca="false">FALSE()</f>
        <v>0</v>
      </c>
      <c r="Y379" s="319" t="b">
        <f aca="false">FALSE()</f>
        <v>0</v>
      </c>
      <c r="Z379" s="319" t="b">
        <f aca="false">FALSE()</f>
        <v>0</v>
      </c>
      <c r="AA379" s="319" t="b">
        <f aca="false">FALSE()</f>
        <v>0</v>
      </c>
      <c r="AB379" s="319" t="b">
        <f aca="false">FALSE()</f>
        <v>0</v>
      </c>
      <c r="AC379" s="319" t="b">
        <f aca="false">FALSE()</f>
        <v>0</v>
      </c>
      <c r="AD379" s="319" t="b">
        <f aca="false">FALSE()</f>
        <v>0</v>
      </c>
      <c r="AE379" s="319" t="b">
        <f aca="false">FALSE()</f>
        <v>0</v>
      </c>
      <c r="AF379" s="319" t="b">
        <f aca="false">FALSE()</f>
        <v>0</v>
      </c>
      <c r="AG379" s="6" t="s">
        <v>182</v>
      </c>
      <c r="AH379" s="6" t="s">
        <v>182</v>
      </c>
    </row>
    <row r="380" customFormat="false" ht="15.75" hidden="false" customHeight="false" outlineLevel="0" collapsed="false">
      <c r="A380" s="1" t="e">
        <f aca="false">#N/A</f>
        <v>#N/A</v>
      </c>
      <c r="B380" s="6" t="s">
        <v>1131</v>
      </c>
      <c r="C380" s="3"/>
      <c r="D380" s="6" t="str">
        <f aca="false">I380   &amp; IF(ISBLANK(M380),, ". "&amp; M380 &amp; IF(ISBLANK(Q380),, ". "&amp; Q380))</f>
        <v>MoveSpeed</v>
      </c>
      <c r="E380" s="6" t="str">
        <f aca="false">I380  &amp;": # on "&amp; L380  &amp; IF(ISBLANK(M380),, ". "&amp; M380 &amp;": # on "&amp; P380 &amp; IF(ISBLANK(Q380),, ". "&amp; Q380 &amp;": # on "&amp; T380))</f>
        <v>MoveSpeed: # on SelfAndTrainer</v>
      </c>
      <c r="F380" s="6" t="str">
        <f aca="false">IF(U380,"active pal",)  &amp; IF(V380,"working",) &amp; IF(W380,"mounted",) &amp; IF(Y380,"in party (buff)",)  &amp; IF(Z380,"always",)</f>
        <v>active pal</v>
      </c>
      <c r="G380" s="6" t="n">
        <v>1</v>
      </c>
      <c r="H380" s="6" t="s">
        <v>182</v>
      </c>
      <c r="I380" s="6" t="s">
        <v>2115</v>
      </c>
      <c r="J380" s="6" t="str">
        <f aca="false">IFERROR(__xludf.dummyfunction("IFS(I380=""ShotAttack"",""%"",I380=""MeleeAttack"",""%"", I380=""Defense"",""%"",I380=""CraftSPeed"",""%"",I380=""LifeSteal"",""%"",I380=""MaxInventoryWeight"",""+"",I380=""MoveSpeed"",""%"",REGEXMATCH(I380,""ElementAddItemDrop_""),""%"",I380=""Logging"","&amp;"""+"",I380=""Mining"",""+"",I380=""Maxhp"",""%"",REGEXMATCH(I380,""TemperatureResist_""),""+"",REGEXMATCH(I380,""ElementResist_""),""%"",REGEXMATCH(I380,""TemperatureInvalid_""),""bool"",REGEXMATCH(I380,""BodyPartsWeakDamage""),""%"",REGEXMATCH(I380,""Ele"&amp;"mentBoost_""),""%"",AND(REGEXMATCH(B380,""GiveA""),REGEXMATCH(I380,""Element"")),""bool"")"),"%")</f>
        <v>%</v>
      </c>
      <c r="K380" s="6" t="n">
        <v>26</v>
      </c>
      <c r="L380" s="6" t="s">
        <v>2085</v>
      </c>
      <c r="M380" s="6"/>
      <c r="N380" s="6" t="str">
        <f aca="false">IFERROR(__xludf.dummyfunction("IFS(M380=""ShotAttack"",""%"",M380=""MeleeAttack"",""%"", M380=""Defense"",""%"",M380=""CraftSPeed"",""%"",M380=""LifeSteal"",""%"",M380=""MaxInventoryWeight"",""+"",M380=""MoveSpeed"",""%"",REGEXMATCH(M380,""ElementAddItemDrop_""),""%"",M380=""Logging"","&amp;"""+"",M380=""Mining"",""+"",M380=""Maxhp"",""%"",REGEXMATCH(M380,""TemperatureResist_""),""+"",REGEXMATCH(M380,""ElementResist_""),""%"",REGEXMATCH(M380,""TemperatureInvalid_""),""bool"",REGEXMATCH(M380,""BodyPartsWeakDamage""),""%"",REGEXMATCH(M380,""Ele"&amp;"mentBoost_""),""%"",AND(REGEXMATCH(F380,""GiveA""),REGEXMATCH(M380,""Element"")),""bool"")"),"#N/A")</f>
        <v>#N/A</v>
      </c>
      <c r="O380" s="6" t="n">
        <v>0</v>
      </c>
      <c r="P380" s="6"/>
      <c r="Q380" s="6"/>
      <c r="R380" s="6" t="str">
        <f aca="false">IFERROR(__xludf.dummyfunction("IFS(Q380=""ShotAttack"",""%"",Q380=""MeleeAttack"",""%"", Q380=""Defense"",""%"",Q380=""CraftSPeed"",""%"",Q380=""LifeSteal"",""%"",Q380=""MaxInventoryWeight"",""+"",Q380=""MoveSpeed"",""%"",REGEXMATCH(Q380,""ElementAddItemDrop_""),""%"",Q380=""Logging"","&amp;"""+"",Q380=""Mining"",""+"",Q380=""Maxhp"",""%"",REGEXMATCH(Q380,""TemperatureResist_""),""+"",REGEXMATCH(Q380,""ElementResist_""),""%"",REGEXMATCH(Q380,""TemperatureInvalid_""),""bool"",REGEXMATCH(Q380,""BodyPartsWeakDamage""),""%"",REGEXMATCH(Q380,""Ele"&amp;"mentBoost_""),""%"",AND(REGEXMATCH(J380,""GiveA""),REGEXMATCH(Q380,""Element"")),""bool"")"),"#N/A")</f>
        <v>#N/A</v>
      </c>
      <c r="S380" s="6" t="n">
        <v>0</v>
      </c>
      <c r="T380" s="6"/>
      <c r="U380" s="319" t="b">
        <f aca="false">TRUE()</f>
        <v>1</v>
      </c>
      <c r="V380" s="319" t="b">
        <f aca="false">FALSE()</f>
        <v>0</v>
      </c>
      <c r="W380" s="319" t="b">
        <f aca="false">FALSE()</f>
        <v>0</v>
      </c>
      <c r="X380" s="319" t="b">
        <f aca="false">FALSE()</f>
        <v>0</v>
      </c>
      <c r="Y380" s="319" t="b">
        <f aca="false">FALSE()</f>
        <v>0</v>
      </c>
      <c r="Z380" s="319" t="b">
        <f aca="false">FALSE()</f>
        <v>0</v>
      </c>
      <c r="AA380" s="319" t="b">
        <f aca="false">FALSE()</f>
        <v>0</v>
      </c>
      <c r="AB380" s="319" t="b">
        <f aca="false">FALSE()</f>
        <v>0</v>
      </c>
      <c r="AC380" s="319" t="b">
        <f aca="false">FALSE()</f>
        <v>0</v>
      </c>
      <c r="AD380" s="319" t="b">
        <f aca="false">FALSE()</f>
        <v>0</v>
      </c>
      <c r="AE380" s="319" t="b">
        <f aca="false">FALSE()</f>
        <v>0</v>
      </c>
      <c r="AF380" s="319" t="b">
        <f aca="false">FALSE()</f>
        <v>0</v>
      </c>
      <c r="AG380" s="6" t="s">
        <v>182</v>
      </c>
      <c r="AH380" s="6" t="s">
        <v>182</v>
      </c>
    </row>
    <row r="381" customFormat="false" ht="15.75" hidden="false" customHeight="false" outlineLevel="0" collapsed="false">
      <c r="A381" s="1" t="e">
        <f aca="false">#N/A</f>
        <v>#N/A</v>
      </c>
      <c r="B381" s="6" t="s">
        <v>1132</v>
      </c>
      <c r="C381" s="3"/>
      <c r="D381" s="6" t="str">
        <f aca="false">I381   &amp; IF(ISBLANK(M381),, ". "&amp; M381 &amp; IF(ISBLANK(Q381),, ". "&amp; Q381))</f>
        <v>MoveSpeed</v>
      </c>
      <c r="E381" s="6" t="str">
        <f aca="false">I381  &amp;": # on "&amp; L381  &amp; IF(ISBLANK(M381),, ". "&amp; M381 &amp;": # on "&amp; P381 &amp; IF(ISBLANK(Q381),, ". "&amp; Q381 &amp;": # on "&amp; T381))</f>
        <v>MoveSpeed: # on SelfAndTrainer</v>
      </c>
      <c r="F381" s="6" t="str">
        <f aca="false">IF(U381,"active pal",)  &amp; IF(V381,"working",) &amp; IF(W381,"mounted",) &amp; IF(Y381,"in party (buff)",)  &amp; IF(Z381,"always",)</f>
        <v>active pal</v>
      </c>
      <c r="G381" s="6" t="n">
        <v>1</v>
      </c>
      <c r="H381" s="6" t="s">
        <v>182</v>
      </c>
      <c r="I381" s="6" t="s">
        <v>2115</v>
      </c>
      <c r="J381" s="6" t="str">
        <f aca="false">IFERROR(__xludf.dummyfunction("IFS(I381=""ShotAttack"",""%"",I381=""MeleeAttack"",""%"", I381=""Defense"",""%"",I381=""CraftSPeed"",""%"",I381=""LifeSteal"",""%"",I381=""MaxInventoryWeight"",""+"",I381=""MoveSpeed"",""%"",REGEXMATCH(I381,""ElementAddItemDrop_""),""%"",I381=""Logging"","&amp;"""+"",I381=""Mining"",""+"",I381=""Maxhp"",""%"",REGEXMATCH(I381,""TemperatureResist_""),""+"",REGEXMATCH(I381,""ElementResist_""),""%"",REGEXMATCH(I381,""TemperatureInvalid_""),""bool"",REGEXMATCH(I381,""BodyPartsWeakDamage""),""%"",REGEXMATCH(I381,""Ele"&amp;"mentBoost_""),""%"",AND(REGEXMATCH(B381,""GiveA""),REGEXMATCH(I381,""Element"")),""bool"")"),"%")</f>
        <v>%</v>
      </c>
      <c r="K381" s="6" t="n">
        <v>32</v>
      </c>
      <c r="L381" s="6" t="s">
        <v>2085</v>
      </c>
      <c r="M381" s="6"/>
      <c r="N381" s="6" t="str">
        <f aca="false">IFERROR(__xludf.dummyfunction("IFS(M381=""ShotAttack"",""%"",M381=""MeleeAttack"",""%"", M381=""Defense"",""%"",M381=""CraftSPeed"",""%"",M381=""LifeSteal"",""%"",M381=""MaxInventoryWeight"",""+"",M381=""MoveSpeed"",""%"",REGEXMATCH(M381,""ElementAddItemDrop_""),""%"",M381=""Logging"","&amp;"""+"",M381=""Mining"",""+"",M381=""Maxhp"",""%"",REGEXMATCH(M381,""TemperatureResist_""),""+"",REGEXMATCH(M381,""ElementResist_""),""%"",REGEXMATCH(M381,""TemperatureInvalid_""),""bool"",REGEXMATCH(M381,""BodyPartsWeakDamage""),""%"",REGEXMATCH(M381,""Ele"&amp;"mentBoost_""),""%"",AND(REGEXMATCH(F381,""GiveA""),REGEXMATCH(M381,""Element"")),""bool"")"),"#N/A")</f>
        <v>#N/A</v>
      </c>
      <c r="O381" s="6" t="n">
        <v>0</v>
      </c>
      <c r="P381" s="6"/>
      <c r="Q381" s="6"/>
      <c r="R381" s="6" t="str">
        <f aca="false">IFERROR(__xludf.dummyfunction("IFS(Q381=""ShotAttack"",""%"",Q381=""MeleeAttack"",""%"", Q381=""Defense"",""%"",Q381=""CraftSPeed"",""%"",Q381=""LifeSteal"",""%"",Q381=""MaxInventoryWeight"",""+"",Q381=""MoveSpeed"",""%"",REGEXMATCH(Q381,""ElementAddItemDrop_""),""%"",Q381=""Logging"","&amp;"""+"",Q381=""Mining"",""+"",Q381=""Maxhp"",""%"",REGEXMATCH(Q381,""TemperatureResist_""),""+"",REGEXMATCH(Q381,""ElementResist_""),""%"",REGEXMATCH(Q381,""TemperatureInvalid_""),""bool"",REGEXMATCH(Q381,""BodyPartsWeakDamage""),""%"",REGEXMATCH(Q381,""Ele"&amp;"mentBoost_""),""%"",AND(REGEXMATCH(J381,""GiveA""),REGEXMATCH(Q381,""Element"")),""bool"")"),"#N/A")</f>
        <v>#N/A</v>
      </c>
      <c r="S381" s="6" t="n">
        <v>0</v>
      </c>
      <c r="T381" s="6"/>
      <c r="U381" s="319" t="b">
        <f aca="false">TRUE()</f>
        <v>1</v>
      </c>
      <c r="V381" s="319" t="b">
        <f aca="false">FALSE()</f>
        <v>0</v>
      </c>
      <c r="W381" s="319" t="b">
        <f aca="false">FALSE()</f>
        <v>0</v>
      </c>
      <c r="X381" s="319" t="b">
        <f aca="false">FALSE()</f>
        <v>0</v>
      </c>
      <c r="Y381" s="319" t="b">
        <f aca="false">FALSE()</f>
        <v>0</v>
      </c>
      <c r="Z381" s="319" t="b">
        <f aca="false">FALSE()</f>
        <v>0</v>
      </c>
      <c r="AA381" s="319" t="b">
        <f aca="false">FALSE()</f>
        <v>0</v>
      </c>
      <c r="AB381" s="319" t="b">
        <f aca="false">FALSE()</f>
        <v>0</v>
      </c>
      <c r="AC381" s="319" t="b">
        <f aca="false">FALSE()</f>
        <v>0</v>
      </c>
      <c r="AD381" s="319" t="b">
        <f aca="false">FALSE()</f>
        <v>0</v>
      </c>
      <c r="AE381" s="319" t="b">
        <f aca="false">FALSE()</f>
        <v>0</v>
      </c>
      <c r="AF381" s="319" t="b">
        <f aca="false">FALSE()</f>
        <v>0</v>
      </c>
      <c r="AG381" s="6" t="s">
        <v>182</v>
      </c>
      <c r="AH381" s="6" t="s">
        <v>182</v>
      </c>
    </row>
    <row r="382" customFormat="false" ht="15.75" hidden="false" customHeight="false" outlineLevel="0" collapsed="false">
      <c r="A382" s="1" t="e">
        <f aca="false">#N/A</f>
        <v>#N/A</v>
      </c>
      <c r="B382" s="6" t="s">
        <v>1133</v>
      </c>
      <c r="C382" s="3"/>
      <c r="D382" s="6" t="str">
        <f aca="false">I382   &amp; IF(ISBLANK(M382),, ". "&amp; M382 &amp; IF(ISBLANK(Q382),, ". "&amp; Q382))</f>
        <v>MoveSpeed</v>
      </c>
      <c r="E382" s="6" t="str">
        <f aca="false">I382  &amp;": # on "&amp; L382  &amp; IF(ISBLANK(M382),, ". "&amp; M382 &amp;": # on "&amp; P382 &amp; IF(ISBLANK(Q382),, ". "&amp; Q382 &amp;": # on "&amp; T382))</f>
        <v>MoveSpeed: # on SelfAndTrainer</v>
      </c>
      <c r="F382" s="6" t="str">
        <f aca="false">IF(U382,"active pal",)  &amp; IF(V382,"working",) &amp; IF(W382,"mounted",) &amp; IF(Y382,"in party (buff)",)  &amp; IF(Z382,"always",)</f>
        <v>active pal</v>
      </c>
      <c r="G382" s="6" t="n">
        <v>1</v>
      </c>
      <c r="H382" s="6" t="s">
        <v>182</v>
      </c>
      <c r="I382" s="6" t="s">
        <v>2115</v>
      </c>
      <c r="J382" s="6" t="str">
        <f aca="false">IFERROR(__xludf.dummyfunction("IFS(I382=""ShotAttack"",""%"",I382=""MeleeAttack"",""%"", I382=""Defense"",""%"",I382=""CraftSPeed"",""%"",I382=""LifeSteal"",""%"",I382=""MaxInventoryWeight"",""+"",I382=""MoveSpeed"",""%"",REGEXMATCH(I382,""ElementAddItemDrop_""),""%"",I382=""Logging"","&amp;"""+"",I382=""Mining"",""+"",I382=""Maxhp"",""%"",REGEXMATCH(I382,""TemperatureResist_""),""+"",REGEXMATCH(I382,""ElementResist_""),""%"",REGEXMATCH(I382,""TemperatureInvalid_""),""bool"",REGEXMATCH(I382,""BodyPartsWeakDamage""),""%"",REGEXMATCH(I382,""Ele"&amp;"mentBoost_""),""%"",AND(REGEXMATCH(B382,""GiveA""),REGEXMATCH(I382,""Element"")),""bool"")"),"%")</f>
        <v>%</v>
      </c>
      <c r="K382" s="6" t="n">
        <v>40</v>
      </c>
      <c r="L382" s="6" t="s">
        <v>2085</v>
      </c>
      <c r="M382" s="6"/>
      <c r="N382" s="6" t="str">
        <f aca="false">IFERROR(__xludf.dummyfunction("IFS(M382=""ShotAttack"",""%"",M382=""MeleeAttack"",""%"", M382=""Defense"",""%"",M382=""CraftSPeed"",""%"",M382=""LifeSteal"",""%"",M382=""MaxInventoryWeight"",""+"",M382=""MoveSpeed"",""%"",REGEXMATCH(M382,""ElementAddItemDrop_""),""%"",M382=""Logging"","&amp;"""+"",M382=""Mining"",""+"",M382=""Maxhp"",""%"",REGEXMATCH(M382,""TemperatureResist_""),""+"",REGEXMATCH(M382,""ElementResist_""),""%"",REGEXMATCH(M382,""TemperatureInvalid_""),""bool"",REGEXMATCH(M382,""BodyPartsWeakDamage""),""%"",REGEXMATCH(M382,""Ele"&amp;"mentBoost_""),""%"",AND(REGEXMATCH(F382,""GiveA""),REGEXMATCH(M382,""Element"")),""bool"")"),"#N/A")</f>
        <v>#N/A</v>
      </c>
      <c r="O382" s="6" t="n">
        <v>0</v>
      </c>
      <c r="P382" s="6"/>
      <c r="Q382" s="6"/>
      <c r="R382" s="6" t="str">
        <f aca="false">IFERROR(__xludf.dummyfunction("IFS(Q382=""ShotAttack"",""%"",Q382=""MeleeAttack"",""%"", Q382=""Defense"",""%"",Q382=""CraftSPeed"",""%"",Q382=""LifeSteal"",""%"",Q382=""MaxInventoryWeight"",""+"",Q382=""MoveSpeed"",""%"",REGEXMATCH(Q382,""ElementAddItemDrop_""),""%"",Q382=""Logging"","&amp;"""+"",Q382=""Mining"",""+"",Q382=""Maxhp"",""%"",REGEXMATCH(Q382,""TemperatureResist_""),""+"",REGEXMATCH(Q382,""ElementResist_""),""%"",REGEXMATCH(Q382,""TemperatureInvalid_""),""bool"",REGEXMATCH(Q382,""BodyPartsWeakDamage""),""%"",REGEXMATCH(Q382,""Ele"&amp;"mentBoost_""),""%"",AND(REGEXMATCH(J382,""GiveA""),REGEXMATCH(Q382,""Element"")),""bool"")"),"#N/A")</f>
        <v>#N/A</v>
      </c>
      <c r="S382" s="6" t="n">
        <v>0</v>
      </c>
      <c r="T382" s="6"/>
      <c r="U382" s="319" t="b">
        <f aca="false">TRUE()</f>
        <v>1</v>
      </c>
      <c r="V382" s="319" t="b">
        <f aca="false">FALSE()</f>
        <v>0</v>
      </c>
      <c r="W382" s="319" t="b">
        <f aca="false">FALSE()</f>
        <v>0</v>
      </c>
      <c r="X382" s="319" t="b">
        <f aca="false">FALSE()</f>
        <v>0</v>
      </c>
      <c r="Y382" s="319" t="b">
        <f aca="false">FALSE()</f>
        <v>0</v>
      </c>
      <c r="Z382" s="319" t="b">
        <f aca="false">FALSE()</f>
        <v>0</v>
      </c>
      <c r="AA382" s="319" t="b">
        <f aca="false">FALSE()</f>
        <v>0</v>
      </c>
      <c r="AB382" s="319" t="b">
        <f aca="false">FALSE()</f>
        <v>0</v>
      </c>
      <c r="AC382" s="319" t="b">
        <f aca="false">FALSE()</f>
        <v>0</v>
      </c>
      <c r="AD382" s="319" t="b">
        <f aca="false">FALSE()</f>
        <v>0</v>
      </c>
      <c r="AE382" s="319" t="b">
        <f aca="false">FALSE()</f>
        <v>0</v>
      </c>
      <c r="AF382" s="319" t="b">
        <f aca="false">FALSE()</f>
        <v>0</v>
      </c>
      <c r="AG382" s="6" t="s">
        <v>182</v>
      </c>
      <c r="AH382" s="6" t="s">
        <v>182</v>
      </c>
    </row>
    <row r="383" customFormat="false" ht="15.75" hidden="false" customHeight="false" outlineLevel="0" collapsed="false">
      <c r="A383" s="1" t="e">
        <f aca="false">#N/A</f>
        <v>#N/A</v>
      </c>
      <c r="B383" s="6" t="s">
        <v>1100</v>
      </c>
      <c r="C383" s="3"/>
      <c r="D383" s="6" t="str">
        <f aca="false">I383   &amp; IF(ISBLANK(M383),, ". "&amp; M383 &amp; IF(ISBLANK(Q383),, ". "&amp; Q383))</f>
        <v>ShotAttack</v>
      </c>
      <c r="E383" s="6" t="str">
        <f aca="false">I383  &amp;": # on "&amp; L383  &amp; IF(ISBLANK(M383),, ". "&amp; M383 &amp;": # on "&amp; P383 &amp; IF(ISBLANK(Q383),, ". "&amp; Q383 &amp;": # on "&amp; T383))</f>
        <v>ShotAttack: # on Self</v>
      </c>
      <c r="F383" s="6" t="str">
        <f aca="false">IF(U383,"active pal",)  &amp; IF(V383,"working",) &amp; IF(W383,"mounted",) &amp; IF(Y383,"in party (buff)",)  &amp; IF(Z383,"always",)</f>
        <v>always</v>
      </c>
      <c r="G383" s="6" t="n">
        <v>1</v>
      </c>
      <c r="H383" s="6" t="s">
        <v>182</v>
      </c>
      <c r="I383" s="6" t="s">
        <v>659</v>
      </c>
      <c r="J383" s="6" t="str">
        <f aca="false">IFERROR(__xludf.dummyfunction("IFS(I383=""ShotAttack"",""%"",I383=""MeleeAttack"",""%"", I383=""Defense"",""%"",I383=""CraftSPeed"",""%"",I383=""LifeSteal"",""%"",I383=""MaxInventoryWeight"",""+"",I383=""MoveSpeed"",""%"",REGEXMATCH(I383,""ElementAddItemDrop_""),""%"",I383=""Logging"","&amp;"""+"",I383=""Mining"",""+"",I383=""Maxhp"",""%"",REGEXMATCH(I383,""TemperatureResist_""),""+"",REGEXMATCH(I383,""ElementResist_""),""%"",REGEXMATCH(I383,""TemperatureInvalid_""),""bool"",REGEXMATCH(I383,""BodyPartsWeakDamage""),""%"",REGEXMATCH(I383,""Ele"&amp;"mentBoost_""),""%"",AND(REGEXMATCH(B383,""GiveA""),REGEXMATCH(I383,""Element"")),""bool"")"),"%")</f>
        <v>%</v>
      </c>
      <c r="K383" s="6" t="n">
        <v>5</v>
      </c>
      <c r="L383" s="6" t="s">
        <v>1956</v>
      </c>
      <c r="M383" s="6"/>
      <c r="N383" s="6" t="str">
        <f aca="false">IFERROR(__xludf.dummyfunction("IFS(M383=""ShotAttack"",""%"",M383=""MeleeAttack"",""%"", M383=""Defense"",""%"",M383=""CraftSPeed"",""%"",M383=""LifeSteal"",""%"",M383=""MaxInventoryWeight"",""+"",M383=""MoveSpeed"",""%"",REGEXMATCH(M383,""ElementAddItemDrop_""),""%"",M383=""Logging"","&amp;"""+"",M383=""Mining"",""+"",M383=""Maxhp"",""%"",REGEXMATCH(M383,""TemperatureResist_""),""+"",REGEXMATCH(M383,""ElementResist_""),""%"",REGEXMATCH(M383,""TemperatureInvalid_""),""bool"",REGEXMATCH(M383,""BodyPartsWeakDamage""),""%"",REGEXMATCH(M383,""Ele"&amp;"mentBoost_""),""%"",AND(REGEXMATCH(F383,""GiveA""),REGEXMATCH(M383,""Element"")),""bool"")"),"#N/A")</f>
        <v>#N/A</v>
      </c>
      <c r="O383" s="6" t="n">
        <v>0</v>
      </c>
      <c r="P383" s="6"/>
      <c r="Q383" s="6"/>
      <c r="R383" s="6" t="str">
        <f aca="false">IFERROR(__xludf.dummyfunction("IFS(Q383=""ShotAttack"",""%"",Q383=""MeleeAttack"",""%"", Q383=""Defense"",""%"",Q383=""CraftSPeed"",""%"",Q383=""LifeSteal"",""%"",Q383=""MaxInventoryWeight"",""+"",Q383=""MoveSpeed"",""%"",REGEXMATCH(Q383,""ElementAddItemDrop_""),""%"",Q383=""Logging"","&amp;"""+"",Q383=""Mining"",""+"",Q383=""Maxhp"",""%"",REGEXMATCH(Q383,""TemperatureResist_""),""+"",REGEXMATCH(Q383,""ElementResist_""),""%"",REGEXMATCH(Q383,""TemperatureInvalid_""),""bool"",REGEXMATCH(Q383,""BodyPartsWeakDamage""),""%"",REGEXMATCH(Q383,""Ele"&amp;"mentBoost_""),""%"",AND(REGEXMATCH(J383,""GiveA""),REGEXMATCH(Q383,""Element"")),""bool"")"),"#N/A")</f>
        <v>#N/A</v>
      </c>
      <c r="S383" s="6" t="n">
        <v>0</v>
      </c>
      <c r="T383" s="6"/>
      <c r="U383" s="319" t="b">
        <f aca="false">FALSE()</f>
        <v>0</v>
      </c>
      <c r="V383" s="319" t="b">
        <f aca="false">FALSE()</f>
        <v>0</v>
      </c>
      <c r="W383" s="319" t="b">
        <f aca="false">FALSE()</f>
        <v>0</v>
      </c>
      <c r="X383" s="319" t="b">
        <f aca="false">FALSE()</f>
        <v>0</v>
      </c>
      <c r="Y383" s="319" t="b">
        <f aca="false">FALSE()</f>
        <v>0</v>
      </c>
      <c r="Z383" s="319" t="b">
        <f aca="false">TRUE()</f>
        <v>1</v>
      </c>
      <c r="AA383" s="319" t="b">
        <f aca="false">FALSE()</f>
        <v>0</v>
      </c>
      <c r="AB383" s="319" t="b">
        <f aca="false">FALSE()</f>
        <v>0</v>
      </c>
      <c r="AC383" s="319" t="b">
        <f aca="false">FALSE()</f>
        <v>0</v>
      </c>
      <c r="AD383" s="319" t="b">
        <f aca="false">FALSE()</f>
        <v>0</v>
      </c>
      <c r="AE383" s="319" t="b">
        <f aca="false">FALSE()</f>
        <v>0</v>
      </c>
      <c r="AF383" s="319" t="b">
        <f aca="false">FALSE()</f>
        <v>0</v>
      </c>
      <c r="AG383" s="6" t="s">
        <v>182</v>
      </c>
      <c r="AH383" s="6" t="s">
        <v>182</v>
      </c>
    </row>
    <row r="384" customFormat="false" ht="15.75" hidden="false" customHeight="false" outlineLevel="0" collapsed="false">
      <c r="A384" s="1" t="e">
        <f aca="false">#N/A</f>
        <v>#N/A</v>
      </c>
      <c r="B384" s="6" t="s">
        <v>1101</v>
      </c>
      <c r="C384" s="3"/>
      <c r="D384" s="6" t="str">
        <f aca="false">I384   &amp; IF(ISBLANK(M384),, ". "&amp; M384 &amp; IF(ISBLANK(Q384),, ". "&amp; Q384))</f>
        <v>ShotAttack</v>
      </c>
      <c r="E384" s="6" t="str">
        <f aca="false">I384  &amp;": # on "&amp; L384  &amp; IF(ISBLANK(M384),, ". "&amp; M384 &amp;": # on "&amp; P384 &amp; IF(ISBLANK(Q384),, ". "&amp; Q384 &amp;": # on "&amp; T384))</f>
        <v>ShotAttack: # on Self</v>
      </c>
      <c r="F384" s="6" t="str">
        <f aca="false">IF(U384,"active pal",)  &amp; IF(V384,"working",) &amp; IF(W384,"mounted",) &amp; IF(Y384,"in party (buff)",)  &amp; IF(Z384,"always",)</f>
        <v>always</v>
      </c>
      <c r="G384" s="6" t="n">
        <v>1</v>
      </c>
      <c r="H384" s="6" t="s">
        <v>182</v>
      </c>
      <c r="I384" s="6" t="s">
        <v>659</v>
      </c>
      <c r="J384" s="6" t="str">
        <f aca="false">IFERROR(__xludf.dummyfunction("IFS(I384=""ShotAttack"",""%"",I384=""MeleeAttack"",""%"", I384=""Defense"",""%"",I384=""CraftSPeed"",""%"",I384=""LifeSteal"",""%"",I384=""MaxInventoryWeight"",""+"",I384=""MoveSpeed"",""%"",REGEXMATCH(I384,""ElementAddItemDrop_""),""%"",I384=""Logging"","&amp;"""+"",I384=""Mining"",""+"",I384=""Maxhp"",""%"",REGEXMATCH(I384,""TemperatureResist_""),""+"",REGEXMATCH(I384,""ElementResist_""),""%"",REGEXMATCH(I384,""TemperatureInvalid_""),""bool"",REGEXMATCH(I384,""BodyPartsWeakDamage""),""%"",REGEXMATCH(I384,""Ele"&amp;"mentBoost_""),""%"",AND(REGEXMATCH(B384,""GiveA""),REGEXMATCH(I384,""Element"")),""bool"")"),"%")</f>
        <v>%</v>
      </c>
      <c r="K384" s="6" t="n">
        <v>6</v>
      </c>
      <c r="L384" s="6" t="s">
        <v>1956</v>
      </c>
      <c r="M384" s="6"/>
      <c r="N384" s="6" t="str">
        <f aca="false">IFERROR(__xludf.dummyfunction("IFS(M384=""ShotAttack"",""%"",M384=""MeleeAttack"",""%"", M384=""Defense"",""%"",M384=""CraftSPeed"",""%"",M384=""LifeSteal"",""%"",M384=""MaxInventoryWeight"",""+"",M384=""MoveSpeed"",""%"",REGEXMATCH(M384,""ElementAddItemDrop_""),""%"",M384=""Logging"","&amp;"""+"",M384=""Mining"",""+"",M384=""Maxhp"",""%"",REGEXMATCH(M384,""TemperatureResist_""),""+"",REGEXMATCH(M384,""ElementResist_""),""%"",REGEXMATCH(M384,""TemperatureInvalid_""),""bool"",REGEXMATCH(M384,""BodyPartsWeakDamage""),""%"",REGEXMATCH(M384,""Ele"&amp;"mentBoost_""),""%"",AND(REGEXMATCH(F384,""GiveA""),REGEXMATCH(M384,""Element"")),""bool"")"),"#N/A")</f>
        <v>#N/A</v>
      </c>
      <c r="O384" s="6" t="n">
        <v>0</v>
      </c>
      <c r="P384" s="6"/>
      <c r="Q384" s="6"/>
      <c r="R384" s="6" t="str">
        <f aca="false">IFERROR(__xludf.dummyfunction("IFS(Q384=""ShotAttack"",""%"",Q384=""MeleeAttack"",""%"", Q384=""Defense"",""%"",Q384=""CraftSPeed"",""%"",Q384=""LifeSteal"",""%"",Q384=""MaxInventoryWeight"",""+"",Q384=""MoveSpeed"",""%"",REGEXMATCH(Q384,""ElementAddItemDrop_""),""%"",Q384=""Logging"","&amp;"""+"",Q384=""Mining"",""+"",Q384=""Maxhp"",""%"",REGEXMATCH(Q384,""TemperatureResist_""),""+"",REGEXMATCH(Q384,""ElementResist_""),""%"",REGEXMATCH(Q384,""TemperatureInvalid_""),""bool"",REGEXMATCH(Q384,""BodyPartsWeakDamage""),""%"",REGEXMATCH(Q384,""Ele"&amp;"mentBoost_""),""%"",AND(REGEXMATCH(J384,""GiveA""),REGEXMATCH(Q384,""Element"")),""bool"")"),"#N/A")</f>
        <v>#N/A</v>
      </c>
      <c r="S384" s="6" t="n">
        <v>0</v>
      </c>
      <c r="T384" s="6"/>
      <c r="U384" s="319" t="b">
        <f aca="false">FALSE()</f>
        <v>0</v>
      </c>
      <c r="V384" s="319" t="b">
        <f aca="false">FALSE()</f>
        <v>0</v>
      </c>
      <c r="W384" s="319" t="b">
        <f aca="false">FALSE()</f>
        <v>0</v>
      </c>
      <c r="X384" s="319" t="b">
        <f aca="false">FALSE()</f>
        <v>0</v>
      </c>
      <c r="Y384" s="319" t="b">
        <f aca="false">FALSE()</f>
        <v>0</v>
      </c>
      <c r="Z384" s="319" t="b">
        <f aca="false">TRUE()</f>
        <v>1</v>
      </c>
      <c r="AA384" s="319" t="b">
        <f aca="false">FALSE()</f>
        <v>0</v>
      </c>
      <c r="AB384" s="319" t="b">
        <f aca="false">FALSE()</f>
        <v>0</v>
      </c>
      <c r="AC384" s="319" t="b">
        <f aca="false">FALSE()</f>
        <v>0</v>
      </c>
      <c r="AD384" s="319" t="b">
        <f aca="false">FALSE()</f>
        <v>0</v>
      </c>
      <c r="AE384" s="319" t="b">
        <f aca="false">FALSE()</f>
        <v>0</v>
      </c>
      <c r="AF384" s="319" t="b">
        <f aca="false">FALSE()</f>
        <v>0</v>
      </c>
      <c r="AG384" s="6" t="s">
        <v>182</v>
      </c>
      <c r="AH384" s="6" t="s">
        <v>182</v>
      </c>
    </row>
    <row r="385" customFormat="false" ht="15.75" hidden="false" customHeight="false" outlineLevel="0" collapsed="false">
      <c r="A385" s="1" t="e">
        <f aca="false">#N/A</f>
        <v>#N/A</v>
      </c>
      <c r="B385" s="6" t="s">
        <v>1102</v>
      </c>
      <c r="C385" s="3"/>
      <c r="D385" s="6" t="str">
        <f aca="false">I385   &amp; IF(ISBLANK(M385),, ". "&amp; M385 &amp; IF(ISBLANK(Q385),, ". "&amp; Q385))</f>
        <v>ShotAttack</v>
      </c>
      <c r="E385" s="6" t="str">
        <f aca="false">I385  &amp;": # on "&amp; L385  &amp; IF(ISBLANK(M385),, ". "&amp; M385 &amp;": # on "&amp; P385 &amp; IF(ISBLANK(Q385),, ". "&amp; Q385 &amp;": # on "&amp; T385))</f>
        <v>ShotAttack: # on Self</v>
      </c>
      <c r="F385" s="6" t="str">
        <f aca="false">IF(U385,"active pal",)  &amp; IF(V385,"working",) &amp; IF(W385,"mounted",) &amp; IF(Y385,"in party (buff)",)  &amp; IF(Z385,"always",)</f>
        <v>always</v>
      </c>
      <c r="G385" s="6" t="n">
        <v>1</v>
      </c>
      <c r="H385" s="6" t="s">
        <v>182</v>
      </c>
      <c r="I385" s="6" t="s">
        <v>659</v>
      </c>
      <c r="J385" s="6" t="str">
        <f aca="false">IFERROR(__xludf.dummyfunction("IFS(I385=""ShotAttack"",""%"",I385=""MeleeAttack"",""%"", I385=""Defense"",""%"",I385=""CraftSPeed"",""%"",I385=""LifeSteal"",""%"",I385=""MaxInventoryWeight"",""+"",I385=""MoveSpeed"",""%"",REGEXMATCH(I385,""ElementAddItemDrop_""),""%"",I385=""Logging"","&amp;"""+"",I385=""Mining"",""+"",I385=""Maxhp"",""%"",REGEXMATCH(I385,""TemperatureResist_""),""+"",REGEXMATCH(I385,""ElementResist_""),""%"",REGEXMATCH(I385,""TemperatureInvalid_""),""bool"",REGEXMATCH(I385,""BodyPartsWeakDamage""),""%"",REGEXMATCH(I385,""Ele"&amp;"mentBoost_""),""%"",AND(REGEXMATCH(B385,""GiveA""),REGEXMATCH(I385,""Element"")),""bool"")"),"%")</f>
        <v>%</v>
      </c>
      <c r="K385" s="6" t="n">
        <v>7</v>
      </c>
      <c r="L385" s="6" t="s">
        <v>1956</v>
      </c>
      <c r="M385" s="6"/>
      <c r="N385" s="6" t="str">
        <f aca="false">IFERROR(__xludf.dummyfunction("IFS(M385=""ShotAttack"",""%"",M385=""MeleeAttack"",""%"", M385=""Defense"",""%"",M385=""CraftSPeed"",""%"",M385=""LifeSteal"",""%"",M385=""MaxInventoryWeight"",""+"",M385=""MoveSpeed"",""%"",REGEXMATCH(M385,""ElementAddItemDrop_""),""%"",M385=""Logging"","&amp;"""+"",M385=""Mining"",""+"",M385=""Maxhp"",""%"",REGEXMATCH(M385,""TemperatureResist_""),""+"",REGEXMATCH(M385,""ElementResist_""),""%"",REGEXMATCH(M385,""TemperatureInvalid_""),""bool"",REGEXMATCH(M385,""BodyPartsWeakDamage""),""%"",REGEXMATCH(M385,""Ele"&amp;"mentBoost_""),""%"",AND(REGEXMATCH(F385,""GiveA""),REGEXMATCH(M385,""Element"")),""bool"")"),"#N/A")</f>
        <v>#N/A</v>
      </c>
      <c r="O385" s="6" t="n">
        <v>0</v>
      </c>
      <c r="P385" s="6"/>
      <c r="Q385" s="6"/>
      <c r="R385" s="6" t="str">
        <f aca="false">IFERROR(__xludf.dummyfunction("IFS(Q385=""ShotAttack"",""%"",Q385=""MeleeAttack"",""%"", Q385=""Defense"",""%"",Q385=""CraftSPeed"",""%"",Q385=""LifeSteal"",""%"",Q385=""MaxInventoryWeight"",""+"",Q385=""MoveSpeed"",""%"",REGEXMATCH(Q385,""ElementAddItemDrop_""),""%"",Q385=""Logging"","&amp;"""+"",Q385=""Mining"",""+"",Q385=""Maxhp"",""%"",REGEXMATCH(Q385,""TemperatureResist_""),""+"",REGEXMATCH(Q385,""ElementResist_""),""%"",REGEXMATCH(Q385,""TemperatureInvalid_""),""bool"",REGEXMATCH(Q385,""BodyPartsWeakDamage""),""%"",REGEXMATCH(Q385,""Ele"&amp;"mentBoost_""),""%"",AND(REGEXMATCH(J385,""GiveA""),REGEXMATCH(Q385,""Element"")),""bool"")"),"#N/A")</f>
        <v>#N/A</v>
      </c>
      <c r="S385" s="6" t="n">
        <v>0</v>
      </c>
      <c r="T385" s="6"/>
      <c r="U385" s="319" t="b">
        <f aca="false">FALSE()</f>
        <v>0</v>
      </c>
      <c r="V385" s="319" t="b">
        <f aca="false">FALSE()</f>
        <v>0</v>
      </c>
      <c r="W385" s="319" t="b">
        <f aca="false">FALSE()</f>
        <v>0</v>
      </c>
      <c r="X385" s="319" t="b">
        <f aca="false">FALSE()</f>
        <v>0</v>
      </c>
      <c r="Y385" s="319" t="b">
        <f aca="false">FALSE()</f>
        <v>0</v>
      </c>
      <c r="Z385" s="319" t="b">
        <f aca="false">TRUE()</f>
        <v>1</v>
      </c>
      <c r="AA385" s="319" t="b">
        <f aca="false">FALSE()</f>
        <v>0</v>
      </c>
      <c r="AB385" s="319" t="b">
        <f aca="false">FALSE()</f>
        <v>0</v>
      </c>
      <c r="AC385" s="319" t="b">
        <f aca="false">FALSE()</f>
        <v>0</v>
      </c>
      <c r="AD385" s="319" t="b">
        <f aca="false">FALSE()</f>
        <v>0</v>
      </c>
      <c r="AE385" s="319" t="b">
        <f aca="false">FALSE()</f>
        <v>0</v>
      </c>
      <c r="AF385" s="319" t="b">
        <f aca="false">FALSE()</f>
        <v>0</v>
      </c>
      <c r="AG385" s="6" t="s">
        <v>182</v>
      </c>
      <c r="AH385" s="6" t="s">
        <v>182</v>
      </c>
    </row>
    <row r="386" customFormat="false" ht="15.75" hidden="false" customHeight="false" outlineLevel="0" collapsed="false">
      <c r="A386" s="1" t="e">
        <f aca="false">#N/A</f>
        <v>#N/A</v>
      </c>
      <c r="B386" s="6" t="s">
        <v>1103</v>
      </c>
      <c r="C386" s="3"/>
      <c r="D386" s="6" t="str">
        <f aca="false">I386   &amp; IF(ISBLANK(M386),, ". "&amp; M386 &amp; IF(ISBLANK(Q386),, ". "&amp; Q386))</f>
        <v>ShotAttack</v>
      </c>
      <c r="E386" s="6" t="str">
        <f aca="false">I386  &amp;": # on "&amp; L386  &amp; IF(ISBLANK(M386),, ". "&amp; M386 &amp;": # on "&amp; P386 &amp; IF(ISBLANK(Q386),, ". "&amp; Q386 &amp;": # on "&amp; T386))</f>
        <v>ShotAttack: # on Self</v>
      </c>
      <c r="F386" s="6" t="str">
        <f aca="false">IF(U386,"active pal",)  &amp; IF(V386,"working",) &amp; IF(W386,"mounted",) &amp; IF(Y386,"in party (buff)",)  &amp; IF(Z386,"always",)</f>
        <v>always</v>
      </c>
      <c r="G386" s="6" t="n">
        <v>1</v>
      </c>
      <c r="H386" s="6" t="s">
        <v>182</v>
      </c>
      <c r="I386" s="6" t="s">
        <v>659</v>
      </c>
      <c r="J386" s="6" t="str">
        <f aca="false">IFERROR(__xludf.dummyfunction("IFS(I386=""ShotAttack"",""%"",I386=""MeleeAttack"",""%"", I386=""Defense"",""%"",I386=""CraftSPeed"",""%"",I386=""LifeSteal"",""%"",I386=""MaxInventoryWeight"",""+"",I386=""MoveSpeed"",""%"",REGEXMATCH(I386,""ElementAddItemDrop_""),""%"",I386=""Logging"","&amp;"""+"",I386=""Mining"",""+"",I386=""Maxhp"",""%"",REGEXMATCH(I386,""TemperatureResist_""),""+"",REGEXMATCH(I386,""ElementResist_""),""%"",REGEXMATCH(I386,""TemperatureInvalid_""),""bool"",REGEXMATCH(I386,""BodyPartsWeakDamage""),""%"",REGEXMATCH(I386,""Ele"&amp;"mentBoost_""),""%"",AND(REGEXMATCH(B386,""GiveA""),REGEXMATCH(I386,""Element"")),""bool"")"),"%")</f>
        <v>%</v>
      </c>
      <c r="K386" s="6" t="n">
        <v>8</v>
      </c>
      <c r="L386" s="6" t="s">
        <v>1956</v>
      </c>
      <c r="M386" s="6"/>
      <c r="N386" s="6" t="str">
        <f aca="false">IFERROR(__xludf.dummyfunction("IFS(M386=""ShotAttack"",""%"",M386=""MeleeAttack"",""%"", M386=""Defense"",""%"",M386=""CraftSPeed"",""%"",M386=""LifeSteal"",""%"",M386=""MaxInventoryWeight"",""+"",M386=""MoveSpeed"",""%"",REGEXMATCH(M386,""ElementAddItemDrop_""),""%"",M386=""Logging"","&amp;"""+"",M386=""Mining"",""+"",M386=""Maxhp"",""%"",REGEXMATCH(M386,""TemperatureResist_""),""+"",REGEXMATCH(M386,""ElementResist_""),""%"",REGEXMATCH(M386,""TemperatureInvalid_""),""bool"",REGEXMATCH(M386,""BodyPartsWeakDamage""),""%"",REGEXMATCH(M386,""Ele"&amp;"mentBoost_""),""%"",AND(REGEXMATCH(F386,""GiveA""),REGEXMATCH(M386,""Element"")),""bool"")"),"#N/A")</f>
        <v>#N/A</v>
      </c>
      <c r="O386" s="6" t="n">
        <v>0</v>
      </c>
      <c r="P386" s="6"/>
      <c r="Q386" s="6"/>
      <c r="R386" s="6" t="str">
        <f aca="false">IFERROR(__xludf.dummyfunction("IFS(Q386=""ShotAttack"",""%"",Q386=""MeleeAttack"",""%"", Q386=""Defense"",""%"",Q386=""CraftSPeed"",""%"",Q386=""LifeSteal"",""%"",Q386=""MaxInventoryWeight"",""+"",Q386=""MoveSpeed"",""%"",REGEXMATCH(Q386,""ElementAddItemDrop_""),""%"",Q386=""Logging"","&amp;"""+"",Q386=""Mining"",""+"",Q386=""Maxhp"",""%"",REGEXMATCH(Q386,""TemperatureResist_""),""+"",REGEXMATCH(Q386,""ElementResist_""),""%"",REGEXMATCH(Q386,""TemperatureInvalid_""),""bool"",REGEXMATCH(Q386,""BodyPartsWeakDamage""),""%"",REGEXMATCH(Q386,""Ele"&amp;"mentBoost_""),""%"",AND(REGEXMATCH(J386,""GiveA""),REGEXMATCH(Q386,""Element"")),""bool"")"),"#N/A")</f>
        <v>#N/A</v>
      </c>
      <c r="S386" s="6" t="n">
        <v>0</v>
      </c>
      <c r="T386" s="6"/>
      <c r="U386" s="319" t="b">
        <f aca="false">FALSE()</f>
        <v>0</v>
      </c>
      <c r="V386" s="319" t="b">
        <f aca="false">FALSE()</f>
        <v>0</v>
      </c>
      <c r="W386" s="319" t="b">
        <f aca="false">FALSE()</f>
        <v>0</v>
      </c>
      <c r="X386" s="319" t="b">
        <f aca="false">FALSE()</f>
        <v>0</v>
      </c>
      <c r="Y386" s="319" t="b">
        <f aca="false">FALSE()</f>
        <v>0</v>
      </c>
      <c r="Z386" s="319" t="b">
        <f aca="false">TRUE()</f>
        <v>1</v>
      </c>
      <c r="AA386" s="319" t="b">
        <f aca="false">FALSE()</f>
        <v>0</v>
      </c>
      <c r="AB386" s="319" t="b">
        <f aca="false">FALSE()</f>
        <v>0</v>
      </c>
      <c r="AC386" s="319" t="b">
        <f aca="false">FALSE()</f>
        <v>0</v>
      </c>
      <c r="AD386" s="319" t="b">
        <f aca="false">FALSE()</f>
        <v>0</v>
      </c>
      <c r="AE386" s="319" t="b">
        <f aca="false">FALSE()</f>
        <v>0</v>
      </c>
      <c r="AF386" s="319" t="b">
        <f aca="false">FALSE()</f>
        <v>0</v>
      </c>
      <c r="AG386" s="6" t="s">
        <v>182</v>
      </c>
      <c r="AH386" s="6" t="s">
        <v>182</v>
      </c>
    </row>
    <row r="387" customFormat="false" ht="15.75" hidden="false" customHeight="false" outlineLevel="0" collapsed="false">
      <c r="A387" s="1" t="e">
        <f aca="false">#N/A</f>
        <v>#N/A</v>
      </c>
      <c r="B387" s="6" t="s">
        <v>1159</v>
      </c>
      <c r="C387" s="3"/>
      <c r="D387" s="6" t="str">
        <f aca="false">I387   &amp; IF(ISBLANK(M387),, ". "&amp; M387 &amp; IF(ISBLANK(Q387),, ". "&amp; Q387))</f>
        <v>Logging</v>
      </c>
      <c r="E387" s="6" t="str">
        <f aca="false">I387  &amp;": # on "&amp; L387  &amp; IF(ISBLANK(M387),, ". "&amp; M387 &amp;": # on "&amp; P387 &amp; IF(ISBLANK(Q387),, ". "&amp; Q387 &amp;": # on "&amp; T387))</f>
        <v>Logging: # on Trainer</v>
      </c>
      <c r="F387" s="6" t="str">
        <f aca="false">IF(U387,"active pal",)  &amp; IF(V387,"working",) &amp; IF(W387,"mounted",) &amp; IF(Y387,"in party (buff)",)  &amp; IF(Z387,"always",)</f>
        <v>always</v>
      </c>
      <c r="G387" s="6" t="n">
        <v>1</v>
      </c>
      <c r="H387" s="6" t="s">
        <v>182</v>
      </c>
      <c r="I387" s="6" t="s">
        <v>2065</v>
      </c>
      <c r="J387" s="6" t="str">
        <f aca="false">IFERROR(__xludf.dummyfunction("IFS(I387=""ShotAttack"",""%"",I387=""MeleeAttack"",""%"", I387=""Defense"",""%"",I387=""CraftSPeed"",""%"",I387=""LifeSteal"",""%"",I387=""MaxInventoryWeight"",""+"",I387=""MoveSpeed"",""%"",REGEXMATCH(I387,""ElementAddItemDrop_""),""%"",I387=""Logging"","&amp;"""+"",I387=""Mining"",""+"",I387=""Maxhp"",""%"",REGEXMATCH(I387,""TemperatureResist_""),""+"",REGEXMATCH(I387,""ElementResist_""),""%"",REGEXMATCH(I387,""TemperatureInvalid_""),""bool"",REGEXMATCH(I387,""BodyPartsWeakDamage""),""%"",REGEXMATCH(I387,""Ele"&amp;"mentBoost_""),""%"",AND(REGEXMATCH(B387,""GiveA""),REGEXMATCH(I387,""Element"")),""bool"")"),"+")</f>
        <v>+</v>
      </c>
      <c r="K387" s="6" t="n">
        <v>10</v>
      </c>
      <c r="L387" s="6" t="s">
        <v>2034</v>
      </c>
      <c r="M387" s="6"/>
      <c r="N387" s="6" t="str">
        <f aca="false">IFERROR(__xludf.dummyfunction("IFS(M387=""ShotAttack"",""%"",M387=""MeleeAttack"",""%"", M387=""Defense"",""%"",M387=""CraftSPeed"",""%"",M387=""LifeSteal"",""%"",M387=""MaxInventoryWeight"",""+"",M387=""MoveSpeed"",""%"",REGEXMATCH(M387,""ElementAddItemDrop_""),""%"",M387=""Logging"","&amp;"""+"",M387=""Mining"",""+"",M387=""Maxhp"",""%"",REGEXMATCH(M387,""TemperatureResist_""),""+"",REGEXMATCH(M387,""ElementResist_""),""%"",REGEXMATCH(M387,""TemperatureInvalid_""),""bool"",REGEXMATCH(M387,""BodyPartsWeakDamage""),""%"",REGEXMATCH(M387,""Ele"&amp;"mentBoost_""),""%"",AND(REGEXMATCH(F387,""GiveA""),REGEXMATCH(M387,""Element"")),""bool"")"),"#N/A")</f>
        <v>#N/A</v>
      </c>
      <c r="O387" s="6" t="n">
        <v>0</v>
      </c>
      <c r="P387" s="6"/>
      <c r="Q387" s="6"/>
      <c r="R387" s="6" t="str">
        <f aca="false">IFERROR(__xludf.dummyfunction("IFS(Q387=""ShotAttack"",""%"",Q387=""MeleeAttack"",""%"", Q387=""Defense"",""%"",Q387=""CraftSPeed"",""%"",Q387=""LifeSteal"",""%"",Q387=""MaxInventoryWeight"",""+"",Q387=""MoveSpeed"",""%"",REGEXMATCH(Q387,""ElementAddItemDrop_""),""%"",Q387=""Logging"","&amp;"""+"",Q387=""Mining"",""+"",Q387=""Maxhp"",""%"",REGEXMATCH(Q387,""TemperatureResist_""),""+"",REGEXMATCH(Q387,""ElementResist_""),""%"",REGEXMATCH(Q387,""TemperatureInvalid_""),""bool"",REGEXMATCH(Q387,""BodyPartsWeakDamage""),""%"",REGEXMATCH(Q387,""Ele"&amp;"mentBoost_""),""%"",AND(REGEXMATCH(J387,""GiveA""),REGEXMATCH(Q387,""Element"")),""bool"")"),"#N/A")</f>
        <v>#N/A</v>
      </c>
      <c r="S387" s="6" t="n">
        <v>0</v>
      </c>
      <c r="T387" s="6"/>
      <c r="U387" s="319" t="b">
        <f aca="false">FALSE()</f>
        <v>0</v>
      </c>
      <c r="V387" s="319" t="b">
        <f aca="false">FALSE()</f>
        <v>0</v>
      </c>
      <c r="W387" s="319" t="b">
        <f aca="false">FALSE()</f>
        <v>0</v>
      </c>
      <c r="X387" s="319" t="b">
        <f aca="false">FALSE()</f>
        <v>0</v>
      </c>
      <c r="Y387" s="319" t="b">
        <f aca="false">FALSE()</f>
        <v>0</v>
      </c>
      <c r="Z387" s="319" t="b">
        <f aca="false">TRUE()</f>
        <v>1</v>
      </c>
      <c r="AA387" s="319" t="b">
        <f aca="false">FALSE()</f>
        <v>0</v>
      </c>
      <c r="AB387" s="319" t="b">
        <f aca="false">FALSE()</f>
        <v>0</v>
      </c>
      <c r="AC387" s="319" t="b">
        <f aca="false">FALSE()</f>
        <v>0</v>
      </c>
      <c r="AD387" s="319" t="b">
        <f aca="false">FALSE()</f>
        <v>0</v>
      </c>
      <c r="AE387" s="319" t="b">
        <f aca="false">FALSE()</f>
        <v>0</v>
      </c>
      <c r="AF387" s="319" t="b">
        <f aca="false">FALSE()</f>
        <v>0</v>
      </c>
      <c r="AG387" s="6" t="s">
        <v>182</v>
      </c>
      <c r="AH387" s="6" t="s">
        <v>182</v>
      </c>
    </row>
    <row r="388" customFormat="false" ht="15.75" hidden="false" customHeight="false" outlineLevel="0" collapsed="false">
      <c r="A388" s="1" t="e">
        <f aca="false">#N/A</f>
        <v>#N/A</v>
      </c>
      <c r="B388" s="6" t="s">
        <v>1160</v>
      </c>
      <c r="C388" s="3"/>
      <c r="D388" s="6" t="str">
        <f aca="false">I388   &amp; IF(ISBLANK(M388),, ". "&amp; M388 &amp; IF(ISBLANK(Q388),, ". "&amp; Q388))</f>
        <v>Logging</v>
      </c>
      <c r="E388" s="6" t="str">
        <f aca="false">I388  &amp;": # on "&amp; L388  &amp; IF(ISBLANK(M388),, ". "&amp; M388 &amp;": # on "&amp; P388 &amp; IF(ISBLANK(Q388),, ". "&amp; Q388 &amp;": # on "&amp; T388))</f>
        <v>Logging: # on Trainer</v>
      </c>
      <c r="F388" s="6" t="str">
        <f aca="false">IF(U388,"active pal",)  &amp; IF(V388,"working",) &amp; IF(W388,"mounted",) &amp; IF(Y388,"in party (buff)",)  &amp; IF(Z388,"always",)</f>
        <v>always</v>
      </c>
      <c r="G388" s="6" t="n">
        <v>1</v>
      </c>
      <c r="H388" s="6" t="s">
        <v>182</v>
      </c>
      <c r="I388" s="6" t="s">
        <v>2065</v>
      </c>
      <c r="J388" s="6" t="str">
        <f aca="false">IFERROR(__xludf.dummyfunction("IFS(I388=""ShotAttack"",""%"",I388=""MeleeAttack"",""%"", I388=""Defense"",""%"",I388=""CraftSPeed"",""%"",I388=""LifeSteal"",""%"",I388=""MaxInventoryWeight"",""+"",I388=""MoveSpeed"",""%"",REGEXMATCH(I388,""ElementAddItemDrop_""),""%"",I388=""Logging"","&amp;"""+"",I388=""Mining"",""+"",I388=""Maxhp"",""%"",REGEXMATCH(I388,""TemperatureResist_""),""+"",REGEXMATCH(I388,""ElementResist_""),""%"",REGEXMATCH(I388,""TemperatureInvalid_""),""bool"",REGEXMATCH(I388,""BodyPartsWeakDamage""),""%"",REGEXMATCH(I388,""Ele"&amp;"mentBoost_""),""%"",AND(REGEXMATCH(B388,""GiveA""),REGEXMATCH(I388,""Element"")),""bool"")"),"+")</f>
        <v>+</v>
      </c>
      <c r="K388" s="6" t="n">
        <v>11</v>
      </c>
      <c r="L388" s="6" t="s">
        <v>2034</v>
      </c>
      <c r="M388" s="6"/>
      <c r="N388" s="6" t="str">
        <f aca="false">IFERROR(__xludf.dummyfunction("IFS(M388=""ShotAttack"",""%"",M388=""MeleeAttack"",""%"", M388=""Defense"",""%"",M388=""CraftSPeed"",""%"",M388=""LifeSteal"",""%"",M388=""MaxInventoryWeight"",""+"",M388=""MoveSpeed"",""%"",REGEXMATCH(M388,""ElementAddItemDrop_""),""%"",M388=""Logging"","&amp;"""+"",M388=""Mining"",""+"",M388=""Maxhp"",""%"",REGEXMATCH(M388,""TemperatureResist_""),""+"",REGEXMATCH(M388,""ElementResist_""),""%"",REGEXMATCH(M388,""TemperatureInvalid_""),""bool"",REGEXMATCH(M388,""BodyPartsWeakDamage""),""%"",REGEXMATCH(M388,""Ele"&amp;"mentBoost_""),""%"",AND(REGEXMATCH(F388,""GiveA""),REGEXMATCH(M388,""Element"")),""bool"")"),"#N/A")</f>
        <v>#N/A</v>
      </c>
      <c r="O388" s="6" t="n">
        <v>0</v>
      </c>
      <c r="P388" s="6"/>
      <c r="Q388" s="6"/>
      <c r="R388" s="6" t="str">
        <f aca="false">IFERROR(__xludf.dummyfunction("IFS(Q388=""ShotAttack"",""%"",Q388=""MeleeAttack"",""%"", Q388=""Defense"",""%"",Q388=""CraftSPeed"",""%"",Q388=""LifeSteal"",""%"",Q388=""MaxInventoryWeight"",""+"",Q388=""MoveSpeed"",""%"",REGEXMATCH(Q388,""ElementAddItemDrop_""),""%"",Q388=""Logging"","&amp;"""+"",Q388=""Mining"",""+"",Q388=""Maxhp"",""%"",REGEXMATCH(Q388,""TemperatureResist_""),""+"",REGEXMATCH(Q388,""ElementResist_""),""%"",REGEXMATCH(Q388,""TemperatureInvalid_""),""bool"",REGEXMATCH(Q388,""BodyPartsWeakDamage""),""%"",REGEXMATCH(Q388,""Ele"&amp;"mentBoost_""),""%"",AND(REGEXMATCH(J388,""GiveA""),REGEXMATCH(Q388,""Element"")),""bool"")"),"#N/A")</f>
        <v>#N/A</v>
      </c>
      <c r="S388" s="6" t="n">
        <v>0</v>
      </c>
      <c r="T388" s="6"/>
      <c r="U388" s="319" t="b">
        <f aca="false">FALSE()</f>
        <v>0</v>
      </c>
      <c r="V388" s="319" t="b">
        <f aca="false">FALSE()</f>
        <v>0</v>
      </c>
      <c r="W388" s="319" t="b">
        <f aca="false">FALSE()</f>
        <v>0</v>
      </c>
      <c r="X388" s="319" t="b">
        <f aca="false">FALSE()</f>
        <v>0</v>
      </c>
      <c r="Y388" s="319" t="b">
        <f aca="false">FALSE()</f>
        <v>0</v>
      </c>
      <c r="Z388" s="319" t="b">
        <f aca="false">TRUE()</f>
        <v>1</v>
      </c>
      <c r="AA388" s="319" t="b">
        <f aca="false">FALSE()</f>
        <v>0</v>
      </c>
      <c r="AB388" s="319" t="b">
        <f aca="false">FALSE()</f>
        <v>0</v>
      </c>
      <c r="AC388" s="319" t="b">
        <f aca="false">FALSE()</f>
        <v>0</v>
      </c>
      <c r="AD388" s="319" t="b">
        <f aca="false">FALSE()</f>
        <v>0</v>
      </c>
      <c r="AE388" s="319" t="b">
        <f aca="false">FALSE()</f>
        <v>0</v>
      </c>
      <c r="AF388" s="319" t="b">
        <f aca="false">FALSE()</f>
        <v>0</v>
      </c>
      <c r="AG388" s="6" t="s">
        <v>182</v>
      </c>
      <c r="AH388" s="6" t="s">
        <v>182</v>
      </c>
    </row>
    <row r="389" customFormat="false" ht="15.75" hidden="false" customHeight="false" outlineLevel="0" collapsed="false">
      <c r="A389" s="1" t="e">
        <f aca="false">#N/A</f>
        <v>#N/A</v>
      </c>
      <c r="B389" s="6" t="s">
        <v>1161</v>
      </c>
      <c r="C389" s="3"/>
      <c r="D389" s="6" t="str">
        <f aca="false">I389   &amp; IF(ISBLANK(M389),, ". "&amp; M389 &amp; IF(ISBLANK(Q389),, ". "&amp; Q389))</f>
        <v>Logging</v>
      </c>
      <c r="E389" s="6" t="str">
        <f aca="false">I389  &amp;": # on "&amp; L389  &amp; IF(ISBLANK(M389),, ". "&amp; M389 &amp;": # on "&amp; P389 &amp; IF(ISBLANK(Q389),, ". "&amp; Q389 &amp;": # on "&amp; T389))</f>
        <v>Logging: # on Trainer</v>
      </c>
      <c r="F389" s="6" t="str">
        <f aca="false">IF(U389,"active pal",)  &amp; IF(V389,"working",) &amp; IF(W389,"mounted",) &amp; IF(Y389,"in party (buff)",)  &amp; IF(Z389,"always",)</f>
        <v>always</v>
      </c>
      <c r="G389" s="6" t="n">
        <v>1</v>
      </c>
      <c r="H389" s="6" t="s">
        <v>182</v>
      </c>
      <c r="I389" s="6" t="s">
        <v>2065</v>
      </c>
      <c r="J389" s="6" t="str">
        <f aca="false">IFERROR(__xludf.dummyfunction("IFS(I389=""ShotAttack"",""%"",I389=""MeleeAttack"",""%"", I389=""Defense"",""%"",I389=""CraftSPeed"",""%"",I389=""LifeSteal"",""%"",I389=""MaxInventoryWeight"",""+"",I389=""MoveSpeed"",""%"",REGEXMATCH(I389,""ElementAddItemDrop_""),""%"",I389=""Logging"","&amp;"""+"",I389=""Mining"",""+"",I389=""Maxhp"",""%"",REGEXMATCH(I389,""TemperatureResist_""),""+"",REGEXMATCH(I389,""ElementResist_""),""%"",REGEXMATCH(I389,""TemperatureInvalid_""),""bool"",REGEXMATCH(I389,""BodyPartsWeakDamage""),""%"",REGEXMATCH(I389,""Ele"&amp;"mentBoost_""),""%"",AND(REGEXMATCH(B389,""GiveA""),REGEXMATCH(I389,""Element"")),""bool"")"),"+")</f>
        <v>+</v>
      </c>
      <c r="K389" s="6" t="n">
        <v>13</v>
      </c>
      <c r="L389" s="6" t="s">
        <v>2034</v>
      </c>
      <c r="M389" s="6"/>
      <c r="N389" s="6" t="str">
        <f aca="false">IFERROR(__xludf.dummyfunction("IFS(M389=""ShotAttack"",""%"",M389=""MeleeAttack"",""%"", M389=""Defense"",""%"",M389=""CraftSPeed"",""%"",M389=""LifeSteal"",""%"",M389=""MaxInventoryWeight"",""+"",M389=""MoveSpeed"",""%"",REGEXMATCH(M389,""ElementAddItemDrop_""),""%"",M389=""Logging"","&amp;"""+"",M389=""Mining"",""+"",M389=""Maxhp"",""%"",REGEXMATCH(M389,""TemperatureResist_""),""+"",REGEXMATCH(M389,""ElementResist_""),""%"",REGEXMATCH(M389,""TemperatureInvalid_""),""bool"",REGEXMATCH(M389,""BodyPartsWeakDamage""),""%"",REGEXMATCH(M389,""Ele"&amp;"mentBoost_""),""%"",AND(REGEXMATCH(F389,""GiveA""),REGEXMATCH(M389,""Element"")),""bool"")"),"#N/A")</f>
        <v>#N/A</v>
      </c>
      <c r="O389" s="6" t="n">
        <v>0</v>
      </c>
      <c r="P389" s="6"/>
      <c r="Q389" s="6"/>
      <c r="R389" s="6" t="str">
        <f aca="false">IFERROR(__xludf.dummyfunction("IFS(Q389=""ShotAttack"",""%"",Q389=""MeleeAttack"",""%"", Q389=""Defense"",""%"",Q389=""CraftSPeed"",""%"",Q389=""LifeSteal"",""%"",Q389=""MaxInventoryWeight"",""+"",Q389=""MoveSpeed"",""%"",REGEXMATCH(Q389,""ElementAddItemDrop_""),""%"",Q389=""Logging"","&amp;"""+"",Q389=""Mining"",""+"",Q389=""Maxhp"",""%"",REGEXMATCH(Q389,""TemperatureResist_""),""+"",REGEXMATCH(Q389,""ElementResist_""),""%"",REGEXMATCH(Q389,""TemperatureInvalid_""),""bool"",REGEXMATCH(Q389,""BodyPartsWeakDamage""),""%"",REGEXMATCH(Q389,""Ele"&amp;"mentBoost_""),""%"",AND(REGEXMATCH(J389,""GiveA""),REGEXMATCH(Q389,""Element"")),""bool"")"),"#N/A")</f>
        <v>#N/A</v>
      </c>
      <c r="S389" s="6" t="n">
        <v>0</v>
      </c>
      <c r="T389" s="6"/>
      <c r="U389" s="319" t="b">
        <f aca="false">FALSE()</f>
        <v>0</v>
      </c>
      <c r="V389" s="319" t="b">
        <f aca="false">FALSE()</f>
        <v>0</v>
      </c>
      <c r="W389" s="319" t="b">
        <f aca="false">FALSE()</f>
        <v>0</v>
      </c>
      <c r="X389" s="319" t="b">
        <f aca="false">FALSE()</f>
        <v>0</v>
      </c>
      <c r="Y389" s="319" t="b">
        <f aca="false">FALSE()</f>
        <v>0</v>
      </c>
      <c r="Z389" s="319" t="b">
        <f aca="false">TRUE()</f>
        <v>1</v>
      </c>
      <c r="AA389" s="319" t="b">
        <f aca="false">FALSE()</f>
        <v>0</v>
      </c>
      <c r="AB389" s="319" t="b">
        <f aca="false">FALSE()</f>
        <v>0</v>
      </c>
      <c r="AC389" s="319" t="b">
        <f aca="false">FALSE()</f>
        <v>0</v>
      </c>
      <c r="AD389" s="319" t="b">
        <f aca="false">FALSE()</f>
        <v>0</v>
      </c>
      <c r="AE389" s="319" t="b">
        <f aca="false">FALSE()</f>
        <v>0</v>
      </c>
      <c r="AF389" s="319" t="b">
        <f aca="false">FALSE()</f>
        <v>0</v>
      </c>
      <c r="AG389" s="6" t="s">
        <v>182</v>
      </c>
      <c r="AH389" s="6" t="s">
        <v>182</v>
      </c>
    </row>
    <row r="390" customFormat="false" ht="15.75" hidden="false" customHeight="false" outlineLevel="0" collapsed="false">
      <c r="A390" s="1" t="e">
        <f aca="false">#N/A</f>
        <v>#N/A</v>
      </c>
      <c r="B390" s="6" t="s">
        <v>1162</v>
      </c>
      <c r="C390" s="3"/>
      <c r="D390" s="6" t="str">
        <f aca="false">I390   &amp; IF(ISBLANK(M390),, ". "&amp; M390 &amp; IF(ISBLANK(Q390),, ". "&amp; Q390))</f>
        <v>Logging</v>
      </c>
      <c r="E390" s="6" t="str">
        <f aca="false">I390  &amp;": # on "&amp; L390  &amp; IF(ISBLANK(M390),, ". "&amp; M390 &amp;": # on "&amp; P390 &amp; IF(ISBLANK(Q390),, ". "&amp; Q390 &amp;": # on "&amp; T390))</f>
        <v>Logging: # on Trainer</v>
      </c>
      <c r="F390" s="6" t="str">
        <f aca="false">IF(U390,"active pal",)  &amp; IF(V390,"working",) &amp; IF(W390,"mounted",) &amp; IF(Y390,"in party (buff)",)  &amp; IF(Z390,"always",)</f>
        <v>always</v>
      </c>
      <c r="G390" s="6" t="n">
        <v>1</v>
      </c>
      <c r="H390" s="6" t="s">
        <v>182</v>
      </c>
      <c r="I390" s="6" t="s">
        <v>2065</v>
      </c>
      <c r="J390" s="6" t="str">
        <f aca="false">IFERROR(__xludf.dummyfunction("IFS(I390=""ShotAttack"",""%"",I390=""MeleeAttack"",""%"", I390=""Defense"",""%"",I390=""CraftSPeed"",""%"",I390=""LifeSteal"",""%"",I390=""MaxInventoryWeight"",""+"",I390=""MoveSpeed"",""%"",REGEXMATCH(I390,""ElementAddItemDrop_""),""%"",I390=""Logging"","&amp;"""+"",I390=""Mining"",""+"",I390=""Maxhp"",""%"",REGEXMATCH(I390,""TemperatureResist_""),""+"",REGEXMATCH(I390,""ElementResist_""),""%"",REGEXMATCH(I390,""TemperatureInvalid_""),""bool"",REGEXMATCH(I390,""BodyPartsWeakDamage""),""%"",REGEXMATCH(I390,""Ele"&amp;"mentBoost_""),""%"",AND(REGEXMATCH(B390,""GiveA""),REGEXMATCH(I390,""Element"")),""bool"")"),"+")</f>
        <v>+</v>
      </c>
      <c r="K390" s="6" t="n">
        <v>16</v>
      </c>
      <c r="L390" s="6" t="s">
        <v>2034</v>
      </c>
      <c r="M390" s="6"/>
      <c r="N390" s="6" t="str">
        <f aca="false">IFERROR(__xludf.dummyfunction("IFS(M390=""ShotAttack"",""%"",M390=""MeleeAttack"",""%"", M390=""Defense"",""%"",M390=""CraftSPeed"",""%"",M390=""LifeSteal"",""%"",M390=""MaxInventoryWeight"",""+"",M390=""MoveSpeed"",""%"",REGEXMATCH(M390,""ElementAddItemDrop_""),""%"",M390=""Logging"","&amp;"""+"",M390=""Mining"",""+"",M390=""Maxhp"",""%"",REGEXMATCH(M390,""TemperatureResist_""),""+"",REGEXMATCH(M390,""ElementResist_""),""%"",REGEXMATCH(M390,""TemperatureInvalid_""),""bool"",REGEXMATCH(M390,""BodyPartsWeakDamage""),""%"",REGEXMATCH(M390,""Ele"&amp;"mentBoost_""),""%"",AND(REGEXMATCH(F390,""GiveA""),REGEXMATCH(M390,""Element"")),""bool"")"),"#N/A")</f>
        <v>#N/A</v>
      </c>
      <c r="O390" s="6" t="n">
        <v>0</v>
      </c>
      <c r="P390" s="6"/>
      <c r="Q390" s="6"/>
      <c r="R390" s="6" t="str">
        <f aca="false">IFERROR(__xludf.dummyfunction("IFS(Q390=""ShotAttack"",""%"",Q390=""MeleeAttack"",""%"", Q390=""Defense"",""%"",Q390=""CraftSPeed"",""%"",Q390=""LifeSteal"",""%"",Q390=""MaxInventoryWeight"",""+"",Q390=""MoveSpeed"",""%"",REGEXMATCH(Q390,""ElementAddItemDrop_""),""%"",Q390=""Logging"","&amp;"""+"",Q390=""Mining"",""+"",Q390=""Maxhp"",""%"",REGEXMATCH(Q390,""TemperatureResist_""),""+"",REGEXMATCH(Q390,""ElementResist_""),""%"",REGEXMATCH(Q390,""TemperatureInvalid_""),""bool"",REGEXMATCH(Q390,""BodyPartsWeakDamage""),""%"",REGEXMATCH(Q390,""Ele"&amp;"mentBoost_""),""%"",AND(REGEXMATCH(J390,""GiveA""),REGEXMATCH(Q390,""Element"")),""bool"")"),"#N/A")</f>
        <v>#N/A</v>
      </c>
      <c r="S390" s="6" t="n">
        <v>0</v>
      </c>
      <c r="T390" s="6"/>
      <c r="U390" s="319" t="b">
        <f aca="false">FALSE()</f>
        <v>0</v>
      </c>
      <c r="V390" s="319" t="b">
        <f aca="false">FALSE()</f>
        <v>0</v>
      </c>
      <c r="W390" s="319" t="b">
        <f aca="false">FALSE()</f>
        <v>0</v>
      </c>
      <c r="X390" s="319" t="b">
        <f aca="false">FALSE()</f>
        <v>0</v>
      </c>
      <c r="Y390" s="319" t="b">
        <f aca="false">FALSE()</f>
        <v>0</v>
      </c>
      <c r="Z390" s="319" t="b">
        <f aca="false">TRUE()</f>
        <v>1</v>
      </c>
      <c r="AA390" s="319" t="b">
        <f aca="false">FALSE()</f>
        <v>0</v>
      </c>
      <c r="AB390" s="319" t="b">
        <f aca="false">FALSE()</f>
        <v>0</v>
      </c>
      <c r="AC390" s="319" t="b">
        <f aca="false">FALSE()</f>
        <v>0</v>
      </c>
      <c r="AD390" s="319" t="b">
        <f aca="false">FALSE()</f>
        <v>0</v>
      </c>
      <c r="AE390" s="319" t="b">
        <f aca="false">FALSE()</f>
        <v>0</v>
      </c>
      <c r="AF390" s="319" t="b">
        <f aca="false">FALSE()</f>
        <v>0</v>
      </c>
      <c r="AG390" s="6" t="s">
        <v>182</v>
      </c>
      <c r="AH390" s="6" t="s">
        <v>182</v>
      </c>
    </row>
    <row r="391" customFormat="false" ht="15.75" hidden="false" customHeight="false" outlineLevel="0" collapsed="false">
      <c r="A391" s="1" t="e">
        <f aca="false">#N/A</f>
        <v>#N/A</v>
      </c>
      <c r="B391" s="6" t="s">
        <v>1163</v>
      </c>
      <c r="C391" s="3"/>
      <c r="D391" s="6" t="str">
        <f aca="false">I391   &amp; IF(ISBLANK(M391),, ". "&amp; M391 &amp; IF(ISBLANK(Q391),, ". "&amp; Q391))</f>
        <v>Logging</v>
      </c>
      <c r="E391" s="6" t="str">
        <f aca="false">I391  &amp;": # on "&amp; L391  &amp; IF(ISBLANK(M391),, ". "&amp; M391 &amp;": # on "&amp; P391 &amp; IF(ISBLANK(Q391),, ". "&amp; Q391 &amp;": # on "&amp; T391))</f>
        <v>Logging: # on Trainer</v>
      </c>
      <c r="F391" s="6" t="str">
        <f aca="false">IF(U391,"active pal",)  &amp; IF(V391,"working",) &amp; IF(W391,"mounted",) &amp; IF(Y391,"in party (buff)",)  &amp; IF(Z391,"always",)</f>
        <v>always</v>
      </c>
      <c r="G391" s="6" t="n">
        <v>1</v>
      </c>
      <c r="H391" s="6" t="s">
        <v>182</v>
      </c>
      <c r="I391" s="6" t="s">
        <v>2065</v>
      </c>
      <c r="J391" s="6" t="str">
        <f aca="false">IFERROR(__xludf.dummyfunction("IFS(I391=""ShotAttack"",""%"",I391=""MeleeAttack"",""%"", I391=""Defense"",""%"",I391=""CraftSPeed"",""%"",I391=""LifeSteal"",""%"",I391=""MaxInventoryWeight"",""+"",I391=""MoveSpeed"",""%"",REGEXMATCH(I391,""ElementAddItemDrop_""),""%"",I391=""Logging"","&amp;"""+"",I391=""Mining"",""+"",I391=""Maxhp"",""%"",REGEXMATCH(I391,""TemperatureResist_""),""+"",REGEXMATCH(I391,""ElementResist_""),""%"",REGEXMATCH(I391,""TemperatureInvalid_""),""bool"",REGEXMATCH(I391,""BodyPartsWeakDamage""),""%"",REGEXMATCH(I391,""Ele"&amp;"mentBoost_""),""%"",AND(REGEXMATCH(B391,""GiveA""),REGEXMATCH(I391,""Element"")),""bool"")"),"+")</f>
        <v>+</v>
      </c>
      <c r="K391" s="6" t="n">
        <v>20</v>
      </c>
      <c r="L391" s="6" t="s">
        <v>2034</v>
      </c>
      <c r="M391" s="6"/>
      <c r="N391" s="6" t="str">
        <f aca="false">IFERROR(__xludf.dummyfunction("IFS(M391=""ShotAttack"",""%"",M391=""MeleeAttack"",""%"", M391=""Defense"",""%"",M391=""CraftSPeed"",""%"",M391=""LifeSteal"",""%"",M391=""MaxInventoryWeight"",""+"",M391=""MoveSpeed"",""%"",REGEXMATCH(M391,""ElementAddItemDrop_""),""%"",M391=""Logging"","&amp;"""+"",M391=""Mining"",""+"",M391=""Maxhp"",""%"",REGEXMATCH(M391,""TemperatureResist_""),""+"",REGEXMATCH(M391,""ElementResist_""),""%"",REGEXMATCH(M391,""TemperatureInvalid_""),""bool"",REGEXMATCH(M391,""BodyPartsWeakDamage""),""%"",REGEXMATCH(M391,""Ele"&amp;"mentBoost_""),""%"",AND(REGEXMATCH(F391,""GiveA""),REGEXMATCH(M391,""Element"")),""bool"")"),"#N/A")</f>
        <v>#N/A</v>
      </c>
      <c r="O391" s="6" t="n">
        <v>0</v>
      </c>
      <c r="P391" s="6"/>
      <c r="Q391" s="6"/>
      <c r="R391" s="6" t="str">
        <f aca="false">IFERROR(__xludf.dummyfunction("IFS(Q391=""ShotAttack"",""%"",Q391=""MeleeAttack"",""%"", Q391=""Defense"",""%"",Q391=""CraftSPeed"",""%"",Q391=""LifeSteal"",""%"",Q391=""MaxInventoryWeight"",""+"",Q391=""MoveSpeed"",""%"",REGEXMATCH(Q391,""ElementAddItemDrop_""),""%"",Q391=""Logging"","&amp;"""+"",Q391=""Mining"",""+"",Q391=""Maxhp"",""%"",REGEXMATCH(Q391,""TemperatureResist_""),""+"",REGEXMATCH(Q391,""ElementResist_""),""%"",REGEXMATCH(Q391,""TemperatureInvalid_""),""bool"",REGEXMATCH(Q391,""BodyPartsWeakDamage""),""%"",REGEXMATCH(Q391,""Ele"&amp;"mentBoost_""),""%"",AND(REGEXMATCH(J391,""GiveA""),REGEXMATCH(Q391,""Element"")),""bool"")"),"#N/A")</f>
        <v>#N/A</v>
      </c>
      <c r="S391" s="6" t="n">
        <v>0</v>
      </c>
      <c r="T391" s="6"/>
      <c r="U391" s="319" t="b">
        <f aca="false">FALSE()</f>
        <v>0</v>
      </c>
      <c r="V391" s="319" t="b">
        <f aca="false">FALSE()</f>
        <v>0</v>
      </c>
      <c r="W391" s="319" t="b">
        <f aca="false">FALSE()</f>
        <v>0</v>
      </c>
      <c r="X391" s="319" t="b">
        <f aca="false">FALSE()</f>
        <v>0</v>
      </c>
      <c r="Y391" s="319" t="b">
        <f aca="false">FALSE()</f>
        <v>0</v>
      </c>
      <c r="Z391" s="319" t="b">
        <f aca="false">TRUE()</f>
        <v>1</v>
      </c>
      <c r="AA391" s="319" t="b">
        <f aca="false">FALSE()</f>
        <v>0</v>
      </c>
      <c r="AB391" s="319" t="b">
        <f aca="false">FALSE()</f>
        <v>0</v>
      </c>
      <c r="AC391" s="319" t="b">
        <f aca="false">FALSE()</f>
        <v>0</v>
      </c>
      <c r="AD391" s="319" t="b">
        <f aca="false">FALSE()</f>
        <v>0</v>
      </c>
      <c r="AE391" s="319" t="b">
        <f aca="false">FALSE()</f>
        <v>0</v>
      </c>
      <c r="AF391" s="319" t="b">
        <f aca="false">FALSE()</f>
        <v>0</v>
      </c>
      <c r="AG391" s="6" t="s">
        <v>182</v>
      </c>
      <c r="AH391" s="6" t="s">
        <v>182</v>
      </c>
    </row>
    <row r="392" customFormat="false" ht="15.75" hidden="false" customHeight="false" outlineLevel="0" collapsed="false">
      <c r="A392" s="3" t="s">
        <v>2336</v>
      </c>
      <c r="B392" s="6" t="s">
        <v>940</v>
      </c>
      <c r="C392" s="3"/>
      <c r="D392" s="6" t="str">
        <f aca="false">I392   &amp; IF(ISBLANK(M392),, ". "&amp; M392 &amp; IF(ISBLANK(Q392),, ". "&amp; Q392))</f>
        <v>FindWool</v>
      </c>
      <c r="E392" s="6" t="str">
        <f aca="false">I392  &amp;": # "&amp; L392  &amp; IF(ISBLANK(M392),, ". "&amp; M392 &amp;": # "&amp; P392 &amp; IF(ISBLANK(Q392),, ". "&amp; Q392 &amp;": # "&amp; T392))</f>
        <v>FindWool: # </v>
      </c>
      <c r="F392" s="6" t="str">
        <f aca="false">IF(U392,"active pal",)  &amp; IF(V392,"working",) &amp; IF(W392,"mounted",) &amp; IF(Y392,"in party (buff)",)  &amp; IF(Z392,"always",)</f>
        <v/>
      </c>
      <c r="G392" s="6"/>
      <c r="H392" s="6"/>
      <c r="I392" s="3" t="s">
        <v>2337</v>
      </c>
      <c r="J392" s="3" t="s">
        <v>2338</v>
      </c>
      <c r="K392" s="6" t="s">
        <v>2339</v>
      </c>
      <c r="L392" s="6"/>
      <c r="M392" s="6"/>
      <c r="N392" s="6"/>
      <c r="O392" s="6"/>
      <c r="P392" s="6"/>
      <c r="Q392" s="6"/>
      <c r="R392" s="6"/>
      <c r="S392" s="6"/>
      <c r="T392" s="6"/>
      <c r="U392" s="6"/>
      <c r="V392" s="6"/>
      <c r="W392" s="6"/>
      <c r="X392" s="6"/>
      <c r="Y392" s="6"/>
      <c r="Z392" s="6"/>
      <c r="AA392" s="6"/>
      <c r="AB392" s="6"/>
      <c r="AC392" s="6"/>
      <c r="AD392" s="6"/>
      <c r="AE392" s="6"/>
      <c r="AF392" s="6"/>
      <c r="AG392" s="6"/>
      <c r="AH392" s="6"/>
    </row>
    <row r="393" customFormat="false" ht="15.75" hidden="false" customHeight="false" outlineLevel="0" collapsed="false">
      <c r="A393" s="3" t="s">
        <v>2336</v>
      </c>
      <c r="B393" s="6" t="s">
        <v>941</v>
      </c>
      <c r="C393" s="3"/>
      <c r="D393" s="6" t="str">
        <f aca="false">I393   &amp; IF(ISBLANK(M393),, ". "&amp; M393 &amp; IF(ISBLANK(Q393),, ". "&amp; Q393))</f>
        <v>FindWool</v>
      </c>
      <c r="E393" s="6" t="str">
        <f aca="false">I393  &amp;": # "&amp; L393  &amp; IF(ISBLANK(M393),, ". "&amp; M393 &amp;": # "&amp; P393 &amp; IF(ISBLANK(Q393),, ". "&amp; Q393 &amp;": # "&amp; T393))</f>
        <v>FindWool: # </v>
      </c>
      <c r="F393" s="6" t="str">
        <f aca="false">IF(U393,"active pal",)  &amp; IF(V393,"working",) &amp; IF(W393,"mounted",) &amp; IF(Y393,"in party (buff)",)  &amp; IF(Z393,"always",)</f>
        <v/>
      </c>
      <c r="G393" s="6"/>
      <c r="H393" s="6"/>
      <c r="I393" s="3" t="s">
        <v>2337</v>
      </c>
      <c r="J393" s="3" t="s">
        <v>2338</v>
      </c>
      <c r="K393" s="6" t="s">
        <v>2339</v>
      </c>
      <c r="L393" s="6"/>
      <c r="M393" s="6"/>
      <c r="N393" s="6"/>
      <c r="O393" s="6"/>
      <c r="P393" s="6"/>
      <c r="Q393" s="6"/>
      <c r="R393" s="6"/>
      <c r="S393" s="6"/>
      <c r="T393" s="6"/>
      <c r="U393" s="6"/>
      <c r="V393" s="6"/>
      <c r="W393" s="6"/>
      <c r="X393" s="6"/>
      <c r="Y393" s="6"/>
      <c r="Z393" s="6"/>
      <c r="AA393" s="6"/>
      <c r="AB393" s="6"/>
      <c r="AC393" s="6"/>
      <c r="AD393" s="6"/>
      <c r="AE393" s="6"/>
      <c r="AF393" s="6"/>
      <c r="AG393" s="6"/>
      <c r="AH393" s="6"/>
    </row>
    <row r="394" customFormat="false" ht="15.75" hidden="false" customHeight="false" outlineLevel="0" collapsed="false">
      <c r="A394" s="3" t="s">
        <v>2336</v>
      </c>
      <c r="B394" s="6" t="s">
        <v>942</v>
      </c>
      <c r="C394" s="3"/>
      <c r="D394" s="6" t="str">
        <f aca="false">I394   &amp; IF(ISBLANK(M394),, ". "&amp; M394 &amp; IF(ISBLANK(Q394),, ". "&amp; Q394))</f>
        <v>FindWool</v>
      </c>
      <c r="E394" s="6" t="str">
        <f aca="false">I394  &amp;": # "&amp; L394  &amp; IF(ISBLANK(M394),, ". "&amp; M394 &amp;": # "&amp; P394 &amp; IF(ISBLANK(Q394),, ". "&amp; Q394 &amp;": # "&amp; T394))</f>
        <v>FindWool: # </v>
      </c>
      <c r="F394" s="6" t="str">
        <f aca="false">IF(U394,"active pal",)  &amp; IF(V394,"working",) &amp; IF(W394,"mounted",) &amp; IF(Y394,"in party (buff)",)  &amp; IF(Z394,"always",)</f>
        <v/>
      </c>
      <c r="G394" s="6"/>
      <c r="H394" s="6"/>
      <c r="I394" s="3" t="s">
        <v>2337</v>
      </c>
      <c r="J394" s="3" t="s">
        <v>2338</v>
      </c>
      <c r="K394" s="6" t="s">
        <v>2340</v>
      </c>
      <c r="L394" s="6"/>
      <c r="M394" s="6"/>
      <c r="N394" s="6"/>
      <c r="O394" s="6"/>
      <c r="P394" s="6"/>
      <c r="Q394" s="6"/>
      <c r="R394" s="6"/>
      <c r="S394" s="6"/>
      <c r="T394" s="6"/>
      <c r="U394" s="6"/>
      <c r="V394" s="6"/>
      <c r="W394" s="6"/>
      <c r="X394" s="6"/>
      <c r="Y394" s="6"/>
      <c r="Z394" s="6"/>
      <c r="AA394" s="6"/>
      <c r="AB394" s="6"/>
      <c r="AC394" s="6"/>
      <c r="AD394" s="6"/>
      <c r="AE394" s="6"/>
      <c r="AF394" s="6"/>
      <c r="AG394" s="6"/>
      <c r="AH394" s="6"/>
    </row>
    <row r="395" customFormat="false" ht="15.75" hidden="false" customHeight="false" outlineLevel="0" collapsed="false">
      <c r="A395" s="3" t="s">
        <v>2336</v>
      </c>
      <c r="B395" s="6" t="s">
        <v>943</v>
      </c>
      <c r="C395" s="3"/>
      <c r="D395" s="6" t="str">
        <f aca="false">I395   &amp; IF(ISBLANK(M395),, ". "&amp; M395 &amp; IF(ISBLANK(Q395),, ". "&amp; Q395))</f>
        <v>FindWool</v>
      </c>
      <c r="E395" s="6" t="str">
        <f aca="false">I395  &amp;": # "&amp; L395  &amp; IF(ISBLANK(M395),, ". "&amp; M395 &amp;": # "&amp; P395 &amp; IF(ISBLANK(Q395),, ". "&amp; Q395 &amp;": # "&amp; T395))</f>
        <v>FindWool: # </v>
      </c>
      <c r="F395" s="6" t="str">
        <f aca="false">IF(U395,"active pal",)  &amp; IF(V395,"working",) &amp; IF(W395,"mounted",) &amp; IF(Y395,"in party (buff)",)  &amp; IF(Z395,"always",)</f>
        <v/>
      </c>
      <c r="G395" s="6"/>
      <c r="H395" s="6"/>
      <c r="I395" s="3" t="s">
        <v>2337</v>
      </c>
      <c r="J395" s="3" t="s">
        <v>2338</v>
      </c>
      <c r="K395" s="6" t="s">
        <v>2341</v>
      </c>
      <c r="L395" s="6"/>
      <c r="M395" s="6"/>
      <c r="N395" s="6"/>
      <c r="O395" s="6"/>
      <c r="P395" s="6"/>
      <c r="Q395" s="6"/>
      <c r="R395" s="6"/>
      <c r="S395" s="6"/>
      <c r="T395" s="6"/>
      <c r="U395" s="6"/>
      <c r="V395" s="6"/>
      <c r="W395" s="6"/>
      <c r="X395" s="6"/>
      <c r="Y395" s="6"/>
      <c r="Z395" s="6"/>
      <c r="AA395" s="6"/>
      <c r="AB395" s="6"/>
      <c r="AC395" s="6"/>
      <c r="AD395" s="6"/>
      <c r="AE395" s="6"/>
      <c r="AF395" s="6"/>
      <c r="AG395" s="6"/>
      <c r="AH395" s="6"/>
    </row>
    <row r="396" customFormat="false" ht="15.75" hidden="false" customHeight="false" outlineLevel="0" collapsed="false">
      <c r="A396" s="3" t="s">
        <v>2336</v>
      </c>
      <c r="B396" s="6" t="s">
        <v>944</v>
      </c>
      <c r="C396" s="3"/>
      <c r="D396" s="6" t="str">
        <f aca="false">I396   &amp; IF(ISBLANK(M396),, ". "&amp; M396 &amp; IF(ISBLANK(Q396),, ". "&amp; Q396))</f>
        <v>FindWool</v>
      </c>
      <c r="E396" s="6" t="str">
        <f aca="false">I396  &amp;": # "&amp; L396  &amp; IF(ISBLANK(M396),, ". "&amp; M396 &amp;": # "&amp; P396 &amp; IF(ISBLANK(Q396),, ". "&amp; Q396 &amp;": # "&amp; T396))</f>
        <v>FindWool: # </v>
      </c>
      <c r="F396" s="6" t="str">
        <f aca="false">IF(U396,"active pal",)  &amp; IF(V396,"working",) &amp; IF(W396,"mounted",) &amp; IF(Y396,"in party (buff)",)  &amp; IF(Z396,"always",)</f>
        <v/>
      </c>
      <c r="G396" s="6"/>
      <c r="H396" s="6"/>
      <c r="I396" s="3" t="s">
        <v>2337</v>
      </c>
      <c r="J396" s="3" t="s">
        <v>2338</v>
      </c>
      <c r="K396" s="6" t="s">
        <v>2342</v>
      </c>
      <c r="L396" s="6"/>
      <c r="M396" s="6"/>
      <c r="N396" s="6"/>
      <c r="O396" s="6"/>
      <c r="P396" s="6"/>
      <c r="Q396" s="6"/>
      <c r="R396" s="6"/>
      <c r="S396" s="6"/>
      <c r="T396" s="6"/>
      <c r="U396" s="6"/>
      <c r="V396" s="6"/>
      <c r="W396" s="6"/>
      <c r="X396" s="6"/>
      <c r="Y396" s="6"/>
      <c r="Z396" s="6"/>
      <c r="AA396" s="6"/>
      <c r="AB396" s="6"/>
      <c r="AC396" s="6"/>
      <c r="AD396" s="6"/>
      <c r="AE396" s="6"/>
      <c r="AF396" s="6"/>
      <c r="AG396" s="6"/>
      <c r="AH396" s="6"/>
    </row>
    <row r="397" customFormat="false" ht="15.75" hidden="false" customHeight="false" outlineLevel="0" collapsed="false">
      <c r="A397" s="3" t="s">
        <v>2336</v>
      </c>
      <c r="B397" s="6" t="s">
        <v>766</v>
      </c>
      <c r="C397" s="3"/>
      <c r="D397" s="6" t="str">
        <f aca="false">I397   &amp; IF(ISBLANK(M397),, ". "&amp; M397 &amp; IF(ISBLANK(Q397),, ". "&amp; Q397))</f>
        <v>FindMoney</v>
      </c>
      <c r="E397" s="6" t="str">
        <f aca="false">I397  &amp;": # "&amp; L397  &amp; IF(ISBLANK(M397),, ". "&amp; M397 &amp;": # "&amp; P397 &amp; IF(ISBLANK(Q397),, ". "&amp; Q397 &amp;": # "&amp; T397))</f>
        <v>FindMoney: # </v>
      </c>
      <c r="F397" s="6" t="str">
        <f aca="false">IF(U397,"active pal",)  &amp; IF(V397,"working",) &amp; IF(W397,"mounted",) &amp; IF(Y397,"in party (buff)",)  &amp; IF(Z397,"always",)</f>
        <v/>
      </c>
      <c r="G397" s="6"/>
      <c r="H397" s="6"/>
      <c r="I397" s="3" t="s">
        <v>2343</v>
      </c>
      <c r="J397" s="3" t="s">
        <v>2338</v>
      </c>
      <c r="K397" s="6" t="s">
        <v>2344</v>
      </c>
      <c r="L397" s="6"/>
      <c r="M397" s="6"/>
      <c r="N397" s="6"/>
      <c r="O397" s="6"/>
      <c r="P397" s="6"/>
      <c r="Q397" s="6"/>
      <c r="R397" s="6"/>
      <c r="S397" s="6"/>
      <c r="T397" s="6"/>
      <c r="U397" s="6"/>
      <c r="V397" s="6"/>
      <c r="W397" s="6"/>
      <c r="X397" s="6"/>
      <c r="Y397" s="6"/>
      <c r="Z397" s="6"/>
      <c r="AA397" s="6"/>
      <c r="AB397" s="6"/>
      <c r="AC397" s="6"/>
      <c r="AD397" s="6"/>
      <c r="AE397" s="6"/>
      <c r="AF397" s="6"/>
      <c r="AG397" s="6"/>
      <c r="AH397" s="6"/>
    </row>
    <row r="398" customFormat="false" ht="15.75" hidden="false" customHeight="false" outlineLevel="0" collapsed="false">
      <c r="A398" s="3" t="s">
        <v>2336</v>
      </c>
      <c r="B398" s="6" t="s">
        <v>767</v>
      </c>
      <c r="C398" s="3"/>
      <c r="D398" s="6" t="str">
        <f aca="false">I398   &amp; IF(ISBLANK(M398),, ". "&amp; M398 &amp; IF(ISBLANK(Q398),, ". "&amp; Q398))</f>
        <v>FindMoney</v>
      </c>
      <c r="E398" s="6" t="str">
        <f aca="false">I398  &amp;": # "&amp; L398  &amp; IF(ISBLANK(M398),, ". "&amp; M398 &amp;": # "&amp; P398 &amp; IF(ISBLANK(Q398),, ". "&amp; Q398 &amp;": # "&amp; T398))</f>
        <v>FindMoney: # </v>
      </c>
      <c r="F398" s="6" t="str">
        <f aca="false">IF(U398,"active pal",)  &amp; IF(V398,"working",) &amp; IF(W398,"mounted",) &amp; IF(Y398,"in party (buff)",)  &amp; IF(Z398,"always",)</f>
        <v/>
      </c>
      <c r="G398" s="6"/>
      <c r="H398" s="6"/>
      <c r="I398" s="3" t="s">
        <v>2343</v>
      </c>
      <c r="J398" s="3" t="s">
        <v>2338</v>
      </c>
      <c r="K398" s="6" t="s">
        <v>2345</v>
      </c>
      <c r="L398" s="6"/>
      <c r="M398" s="6"/>
      <c r="N398" s="6"/>
      <c r="O398" s="6"/>
      <c r="P398" s="6"/>
      <c r="Q398" s="6"/>
      <c r="R398" s="6"/>
      <c r="S398" s="6"/>
      <c r="T398" s="6"/>
      <c r="U398" s="6"/>
      <c r="V398" s="6"/>
      <c r="W398" s="6"/>
      <c r="X398" s="6"/>
      <c r="Y398" s="6"/>
      <c r="Z398" s="6"/>
      <c r="AA398" s="6"/>
      <c r="AB398" s="6"/>
      <c r="AC398" s="6"/>
      <c r="AD398" s="6"/>
      <c r="AE398" s="6"/>
      <c r="AF398" s="6"/>
      <c r="AG398" s="6"/>
      <c r="AH398" s="6"/>
    </row>
    <row r="399" customFormat="false" ht="15.75" hidden="false" customHeight="false" outlineLevel="0" collapsed="false">
      <c r="A399" s="3" t="s">
        <v>2336</v>
      </c>
      <c r="B399" s="6" t="s">
        <v>768</v>
      </c>
      <c r="C399" s="3"/>
      <c r="D399" s="6" t="str">
        <f aca="false">I399   &amp; IF(ISBLANK(M399),, ". "&amp; M399 &amp; IF(ISBLANK(Q399),, ". "&amp; Q399))</f>
        <v>FindMoney</v>
      </c>
      <c r="E399" s="6" t="str">
        <f aca="false">I399  &amp;": # "&amp; L399  &amp; IF(ISBLANK(M399),, ". "&amp; M399 &amp;": # "&amp; P399 &amp; IF(ISBLANK(Q399),, ". "&amp; Q399 &amp;": # "&amp; T399))</f>
        <v>FindMoney: # </v>
      </c>
      <c r="F399" s="6" t="str">
        <f aca="false">IF(U399,"active pal",)  &amp; IF(V399,"working",) &amp; IF(W399,"mounted",) &amp; IF(Y399,"in party (buff)",)  &amp; IF(Z399,"always",)</f>
        <v/>
      </c>
      <c r="G399" s="6"/>
      <c r="H399" s="6"/>
      <c r="I399" s="3" t="s">
        <v>2343</v>
      </c>
      <c r="J399" s="3" t="s">
        <v>2338</v>
      </c>
      <c r="K399" s="6" t="s">
        <v>2346</v>
      </c>
      <c r="L399" s="6"/>
      <c r="M399" s="6"/>
      <c r="N399" s="6"/>
      <c r="O399" s="6"/>
      <c r="P399" s="6"/>
      <c r="Q399" s="6"/>
      <c r="R399" s="6"/>
      <c r="S399" s="6"/>
      <c r="T399" s="6"/>
      <c r="U399" s="6"/>
      <c r="V399" s="6"/>
      <c r="W399" s="6"/>
      <c r="X399" s="6"/>
      <c r="Y399" s="6"/>
      <c r="Z399" s="6"/>
      <c r="AA399" s="6"/>
      <c r="AB399" s="6"/>
      <c r="AC399" s="6"/>
      <c r="AD399" s="6"/>
      <c r="AE399" s="6"/>
      <c r="AF399" s="6"/>
      <c r="AG399" s="6"/>
      <c r="AH399" s="6"/>
    </row>
    <row r="400" customFormat="false" ht="15.75" hidden="false" customHeight="false" outlineLevel="0" collapsed="false">
      <c r="A400" s="3" t="s">
        <v>2336</v>
      </c>
      <c r="B400" s="6" t="s">
        <v>769</v>
      </c>
      <c r="C400" s="3"/>
      <c r="D400" s="6" t="str">
        <f aca="false">I400   &amp; IF(ISBLANK(M400),, ". "&amp; M400 &amp; IF(ISBLANK(Q400),, ". "&amp; Q400))</f>
        <v>FindMoney</v>
      </c>
      <c r="E400" s="6" t="str">
        <f aca="false">I400  &amp;": # "&amp; L400  &amp; IF(ISBLANK(M400),, ". "&amp; M400 &amp;": # "&amp; P400 &amp; IF(ISBLANK(Q400),, ". "&amp; Q400 &amp;": # "&amp; T400))</f>
        <v>FindMoney: # </v>
      </c>
      <c r="F400" s="6" t="str">
        <f aca="false">IF(U400,"active pal",)  &amp; IF(V400,"working",) &amp; IF(W400,"mounted",) &amp; IF(Y400,"in party (buff)",)  &amp; IF(Z400,"always",)</f>
        <v/>
      </c>
      <c r="G400" s="6"/>
      <c r="H400" s="6"/>
      <c r="I400" s="3" t="s">
        <v>2343</v>
      </c>
      <c r="J400" s="3" t="s">
        <v>2338</v>
      </c>
      <c r="K400" s="6" t="s">
        <v>2347</v>
      </c>
      <c r="L400" s="6"/>
      <c r="M400" s="6"/>
      <c r="N400" s="6"/>
      <c r="O400" s="6"/>
      <c r="P400" s="6"/>
      <c r="Q400" s="6"/>
      <c r="R400" s="6"/>
      <c r="S400" s="6"/>
      <c r="T400" s="6"/>
      <c r="U400" s="6"/>
      <c r="V400" s="6"/>
      <c r="W400" s="6"/>
      <c r="X400" s="6"/>
      <c r="Y400" s="6"/>
      <c r="Z400" s="6"/>
      <c r="AA400" s="6"/>
      <c r="AB400" s="6"/>
      <c r="AC400" s="6"/>
      <c r="AD400" s="6"/>
      <c r="AE400" s="6"/>
      <c r="AF400" s="6"/>
      <c r="AG400" s="6"/>
      <c r="AH400" s="6"/>
    </row>
    <row r="401" customFormat="false" ht="15.75" hidden="false" customHeight="false" outlineLevel="0" collapsed="false">
      <c r="A401" s="3" t="s">
        <v>2336</v>
      </c>
      <c r="B401" s="6" t="s">
        <v>770</v>
      </c>
      <c r="C401" s="3"/>
      <c r="D401" s="6" t="str">
        <f aca="false">I401   &amp; IF(ISBLANK(M401),, ". "&amp; M401 &amp; IF(ISBLANK(Q401),, ". "&amp; Q401))</f>
        <v>FindMoney</v>
      </c>
      <c r="E401" s="6" t="str">
        <f aca="false">I401  &amp;": # "&amp; L401  &amp; IF(ISBLANK(M401),, ". "&amp; M401 &amp;": # "&amp; P401 &amp; IF(ISBLANK(Q401),, ". "&amp; Q401 &amp;": # "&amp; T401))</f>
        <v>FindMoney: # </v>
      </c>
      <c r="F401" s="6" t="str">
        <f aca="false">IF(U401,"active pal",)  &amp; IF(V401,"working",) &amp; IF(W401,"mounted",) &amp; IF(Y401,"in party (buff)",)  &amp; IF(Z401,"always",)</f>
        <v/>
      </c>
      <c r="G401" s="6"/>
      <c r="H401" s="6"/>
      <c r="I401" s="3" t="s">
        <v>2343</v>
      </c>
      <c r="J401" s="3" t="s">
        <v>2338</v>
      </c>
      <c r="K401" s="6" t="s">
        <v>2348</v>
      </c>
      <c r="L401" s="6"/>
      <c r="M401" s="6"/>
      <c r="N401" s="6"/>
      <c r="O401" s="6"/>
      <c r="P401" s="6"/>
      <c r="Q401" s="6"/>
      <c r="R401" s="6"/>
      <c r="S401" s="6"/>
      <c r="T401" s="6"/>
      <c r="U401" s="6"/>
      <c r="V401" s="6"/>
      <c r="W401" s="6"/>
      <c r="X401" s="6"/>
      <c r="Y401" s="6"/>
      <c r="Z401" s="6"/>
      <c r="AA401" s="6"/>
      <c r="AB401" s="6"/>
      <c r="AC401" s="6"/>
      <c r="AD401" s="6"/>
      <c r="AE401" s="6"/>
      <c r="AF401" s="6"/>
      <c r="AG401" s="6"/>
      <c r="AH401" s="6"/>
    </row>
    <row r="402" customFormat="false" ht="15.75" hidden="false" customHeight="false" outlineLevel="0" collapsed="false">
      <c r="A402" s="3" t="s">
        <v>2336</v>
      </c>
      <c r="B402" s="6" t="s">
        <v>1043</v>
      </c>
      <c r="C402" s="3"/>
      <c r="D402" s="6" t="str">
        <f aca="false">I402   &amp; IF(ISBLANK(M402),, ". "&amp; M402 &amp; IF(ISBLANK(Q402),, ". "&amp; Q402))</f>
        <v>FindBerry</v>
      </c>
      <c r="E402" s="6" t="str">
        <f aca="false">I402  &amp;": # "&amp; L402  &amp; IF(ISBLANK(M402),, ". "&amp; M402 &amp;": # "&amp; P402 &amp; IF(ISBLANK(Q402),, ". "&amp; Q402 &amp;": # "&amp; T402))</f>
        <v>FindBerry: # </v>
      </c>
      <c r="F402" s="6" t="str">
        <f aca="false">IF(U402,"active pal",)  &amp; IF(V402,"working",) &amp; IF(W402,"mounted",) &amp; IF(Y402,"in party (buff)",)  &amp; IF(Z402,"always",)</f>
        <v/>
      </c>
      <c r="G402" s="6"/>
      <c r="H402" s="6"/>
      <c r="I402" s="3" t="s">
        <v>2349</v>
      </c>
      <c r="J402" s="3" t="s">
        <v>2338</v>
      </c>
      <c r="K402" s="6" t="s">
        <v>2350</v>
      </c>
      <c r="L402" s="6"/>
      <c r="M402" s="6"/>
      <c r="N402" s="6"/>
      <c r="O402" s="6"/>
      <c r="P402" s="6"/>
      <c r="Q402" s="6"/>
      <c r="R402" s="6"/>
      <c r="S402" s="6"/>
      <c r="T402" s="6"/>
      <c r="U402" s="6"/>
      <c r="V402" s="6"/>
      <c r="W402" s="6"/>
      <c r="X402" s="6"/>
      <c r="Y402" s="6"/>
      <c r="Z402" s="6"/>
      <c r="AA402" s="6"/>
      <c r="AB402" s="6"/>
      <c r="AC402" s="6"/>
      <c r="AD402" s="6"/>
      <c r="AE402" s="6"/>
      <c r="AF402" s="6"/>
      <c r="AG402" s="6"/>
      <c r="AH402" s="6"/>
    </row>
    <row r="403" customFormat="false" ht="15.75" hidden="false" customHeight="false" outlineLevel="0" collapsed="false">
      <c r="A403" s="3" t="s">
        <v>2336</v>
      </c>
      <c r="B403" s="6" t="s">
        <v>1044</v>
      </c>
      <c r="C403" s="3"/>
      <c r="D403" s="6" t="str">
        <f aca="false">I403   &amp; IF(ISBLANK(M403),, ". "&amp; M403 &amp; IF(ISBLANK(Q403),, ". "&amp; Q403))</f>
        <v>FindBerry</v>
      </c>
      <c r="E403" s="6" t="str">
        <f aca="false">I403  &amp;": # "&amp; L403  &amp; IF(ISBLANK(M403),, ". "&amp; M403 &amp;": # "&amp; P403 &amp; IF(ISBLANK(Q403),, ". "&amp; Q403 &amp;": # "&amp; T403))</f>
        <v>FindBerry: # </v>
      </c>
      <c r="F403" s="6" t="str">
        <f aca="false">IF(U403,"active pal",)  &amp; IF(V403,"working",) &amp; IF(W403,"mounted",) &amp; IF(Y403,"in party (buff)",)  &amp; IF(Z403,"always",)</f>
        <v/>
      </c>
      <c r="G403" s="6"/>
      <c r="H403" s="6"/>
      <c r="I403" s="3" t="s">
        <v>2349</v>
      </c>
      <c r="J403" s="3" t="s">
        <v>2338</v>
      </c>
      <c r="K403" s="6" t="s">
        <v>2351</v>
      </c>
      <c r="L403" s="6"/>
      <c r="M403" s="6"/>
      <c r="N403" s="6"/>
      <c r="O403" s="6"/>
      <c r="P403" s="6"/>
      <c r="Q403" s="6"/>
      <c r="R403" s="6"/>
      <c r="S403" s="6"/>
      <c r="T403" s="6"/>
      <c r="U403" s="6"/>
      <c r="V403" s="6"/>
      <c r="W403" s="6"/>
      <c r="X403" s="6"/>
      <c r="Y403" s="6"/>
      <c r="Z403" s="6"/>
      <c r="AA403" s="6"/>
      <c r="AB403" s="6"/>
      <c r="AC403" s="6"/>
      <c r="AD403" s="6"/>
      <c r="AE403" s="6"/>
      <c r="AF403" s="6"/>
      <c r="AG403" s="6"/>
      <c r="AH403" s="6"/>
    </row>
    <row r="404" customFormat="false" ht="15.75" hidden="false" customHeight="false" outlineLevel="0" collapsed="false">
      <c r="A404" s="3" t="s">
        <v>2336</v>
      </c>
      <c r="B404" s="6" t="s">
        <v>1045</v>
      </c>
      <c r="C404" s="3"/>
      <c r="D404" s="6" t="str">
        <f aca="false">I404   &amp; IF(ISBLANK(M404),, ". "&amp; M404 &amp; IF(ISBLANK(Q404),, ". "&amp; Q404))</f>
        <v>FindBerry</v>
      </c>
      <c r="E404" s="6" t="str">
        <f aca="false">I404  &amp;": # "&amp; L404  &amp; IF(ISBLANK(M404),, ". "&amp; M404 &amp;": # "&amp; P404 &amp; IF(ISBLANK(Q404),, ". "&amp; Q404 &amp;": # "&amp; T404))</f>
        <v>FindBerry: # </v>
      </c>
      <c r="F404" s="6" t="str">
        <f aca="false">IF(U404,"active pal",)  &amp; IF(V404,"working",) &amp; IF(W404,"mounted",) &amp; IF(Y404,"in party (buff)",)  &amp; IF(Z404,"always",)</f>
        <v/>
      </c>
      <c r="G404" s="6"/>
      <c r="H404" s="6"/>
      <c r="I404" s="3" t="s">
        <v>2349</v>
      </c>
      <c r="J404" s="3" t="s">
        <v>2338</v>
      </c>
      <c r="K404" s="6" t="s">
        <v>2352</v>
      </c>
      <c r="L404" s="6"/>
      <c r="M404" s="6"/>
      <c r="N404" s="6"/>
      <c r="O404" s="6"/>
      <c r="P404" s="6"/>
      <c r="Q404" s="6"/>
      <c r="R404" s="6"/>
      <c r="S404" s="6"/>
      <c r="T404" s="6"/>
      <c r="U404" s="6"/>
      <c r="V404" s="6"/>
      <c r="W404" s="6"/>
      <c r="X404" s="6"/>
      <c r="Y404" s="6"/>
      <c r="Z404" s="6"/>
      <c r="AA404" s="6"/>
      <c r="AB404" s="6"/>
      <c r="AC404" s="6"/>
      <c r="AD404" s="6"/>
      <c r="AE404" s="6"/>
      <c r="AF404" s="6"/>
      <c r="AG404" s="6"/>
      <c r="AH404" s="6"/>
    </row>
    <row r="405" customFormat="false" ht="15.75" hidden="false" customHeight="false" outlineLevel="0" collapsed="false">
      <c r="A405" s="3" t="s">
        <v>2336</v>
      </c>
      <c r="B405" s="6" t="s">
        <v>1046</v>
      </c>
      <c r="C405" s="3"/>
      <c r="D405" s="6" t="str">
        <f aca="false">I405   &amp; IF(ISBLANK(M405),, ". "&amp; M405 &amp; IF(ISBLANK(Q405),, ". "&amp; Q405))</f>
        <v>FindBerry</v>
      </c>
      <c r="E405" s="6" t="str">
        <f aca="false">I405  &amp;": # "&amp; L405  &amp; IF(ISBLANK(M405),, ". "&amp; M405 &amp;": # "&amp; P405 &amp; IF(ISBLANK(Q405),, ". "&amp; Q405 &amp;": # "&amp; T405))</f>
        <v>FindBerry: # </v>
      </c>
      <c r="F405" s="6" t="str">
        <f aca="false">IF(U405,"active pal",)  &amp; IF(V405,"working",) &amp; IF(W405,"mounted",) &amp; IF(Y405,"in party (buff)",)  &amp; IF(Z405,"always",)</f>
        <v/>
      </c>
      <c r="G405" s="6"/>
      <c r="H405" s="6"/>
      <c r="I405" s="3" t="s">
        <v>2349</v>
      </c>
      <c r="J405" s="3" t="s">
        <v>2338</v>
      </c>
      <c r="K405" s="6" t="s">
        <v>2353</v>
      </c>
      <c r="L405" s="6"/>
      <c r="M405" s="6"/>
      <c r="N405" s="6"/>
      <c r="O405" s="6"/>
      <c r="P405" s="6"/>
      <c r="Q405" s="6"/>
      <c r="R405" s="6"/>
      <c r="S405" s="6"/>
      <c r="T405" s="6"/>
      <c r="U405" s="6"/>
      <c r="V405" s="6"/>
      <c r="W405" s="6"/>
      <c r="X405" s="6"/>
      <c r="Y405" s="6"/>
      <c r="Z405" s="6"/>
      <c r="AA405" s="6"/>
      <c r="AB405" s="6"/>
      <c r="AC405" s="6"/>
      <c r="AD405" s="6"/>
      <c r="AE405" s="6"/>
      <c r="AF405" s="6"/>
      <c r="AG405" s="6"/>
      <c r="AH405" s="6"/>
    </row>
    <row r="406" customFormat="false" ht="15.75" hidden="false" customHeight="false" outlineLevel="0" collapsed="false">
      <c r="A406" s="3" t="s">
        <v>2336</v>
      </c>
      <c r="B406" s="6" t="s">
        <v>1047</v>
      </c>
      <c r="C406" s="3"/>
      <c r="D406" s="6" t="str">
        <f aca="false">I406   &amp; IF(ISBLANK(M406),, ". "&amp; M406 &amp; IF(ISBLANK(Q406),, ". "&amp; Q406))</f>
        <v>FindBerry</v>
      </c>
      <c r="E406" s="6" t="str">
        <f aca="false">I406  &amp;": # "&amp; L406  &amp; IF(ISBLANK(M406),, ". "&amp; M406 &amp;": # "&amp; P406 &amp; IF(ISBLANK(Q406),, ". "&amp; Q406 &amp;": # "&amp; T406))</f>
        <v>FindBerry: # </v>
      </c>
      <c r="F406" s="6" t="str">
        <f aca="false">IF(U406,"active pal",)  &amp; IF(V406,"working",) &amp; IF(W406,"mounted",) &amp; IF(Y406,"in party (buff)",)  &amp; IF(Z406,"always",)</f>
        <v/>
      </c>
      <c r="G406" s="6"/>
      <c r="H406" s="6"/>
      <c r="I406" s="3" t="s">
        <v>2349</v>
      </c>
      <c r="J406" s="3" t="s">
        <v>2338</v>
      </c>
      <c r="K406" s="6" t="s">
        <v>2354</v>
      </c>
      <c r="L406" s="6"/>
      <c r="M406" s="6"/>
      <c r="N406" s="6"/>
      <c r="O406" s="6"/>
      <c r="P406" s="6"/>
      <c r="Q406" s="6"/>
      <c r="R406" s="6"/>
      <c r="S406" s="6"/>
      <c r="T406" s="6"/>
      <c r="U406" s="6"/>
      <c r="V406" s="6"/>
      <c r="W406" s="6"/>
      <c r="X406" s="6"/>
      <c r="Y406" s="6"/>
      <c r="Z406" s="6"/>
      <c r="AA406" s="6"/>
      <c r="AB406" s="6"/>
      <c r="AC406" s="6"/>
      <c r="AD406" s="6"/>
      <c r="AE406" s="6"/>
      <c r="AF406" s="6"/>
      <c r="AG406" s="6"/>
      <c r="AH406" s="6"/>
    </row>
    <row r="407" customFormat="false" ht="15.75" hidden="false" customHeight="false" outlineLevel="0" collapsed="false">
      <c r="A407" s="3" t="s">
        <v>2336</v>
      </c>
      <c r="B407" s="6" t="s">
        <v>987</v>
      </c>
      <c r="C407" s="3"/>
      <c r="D407" s="6" t="str">
        <f aca="false">I407   &amp; IF(ISBLANK(M407),, ". "&amp; M407 &amp; IF(ISBLANK(Q407),, ". "&amp; Q407))</f>
        <v>FindEgg</v>
      </c>
      <c r="E407" s="6" t="str">
        <f aca="false">I407  &amp;": # "&amp; L407  &amp; IF(ISBLANK(M407),, ". "&amp; M407 &amp;": # "&amp; P407 &amp; IF(ISBLANK(Q407),, ". "&amp; Q407 &amp;": # "&amp; T407))</f>
        <v>FindEgg: # </v>
      </c>
      <c r="F407" s="6" t="str">
        <f aca="false">IF(U407,"active pal",)  &amp; IF(V407,"working",) &amp; IF(W407,"mounted",) &amp; IF(Y407,"in party (buff)",)  &amp; IF(Z407,"always",)</f>
        <v/>
      </c>
      <c r="G407" s="6"/>
      <c r="H407" s="6"/>
      <c r="I407" s="3" t="s">
        <v>2355</v>
      </c>
      <c r="J407" s="3" t="s">
        <v>2338</v>
      </c>
      <c r="K407" s="6" t="s">
        <v>2350</v>
      </c>
      <c r="L407" s="6"/>
      <c r="M407" s="6"/>
      <c r="N407" s="6"/>
      <c r="O407" s="6"/>
      <c r="P407" s="6"/>
      <c r="Q407" s="6"/>
      <c r="R407" s="6"/>
      <c r="S407" s="6"/>
      <c r="T407" s="6"/>
      <c r="U407" s="6"/>
      <c r="V407" s="6"/>
      <c r="W407" s="6"/>
      <c r="X407" s="6"/>
      <c r="Y407" s="6"/>
      <c r="Z407" s="6"/>
      <c r="AA407" s="6"/>
      <c r="AB407" s="6"/>
      <c r="AC407" s="6"/>
      <c r="AD407" s="6"/>
      <c r="AE407" s="6"/>
      <c r="AF407" s="6"/>
      <c r="AG407" s="6"/>
      <c r="AH407" s="6"/>
    </row>
    <row r="408" customFormat="false" ht="15.75" hidden="false" customHeight="false" outlineLevel="0" collapsed="false">
      <c r="A408" s="3" t="s">
        <v>2336</v>
      </c>
      <c r="B408" s="6" t="s">
        <v>988</v>
      </c>
      <c r="C408" s="3"/>
      <c r="D408" s="6" t="str">
        <f aca="false">I408   &amp; IF(ISBLANK(M408),, ". "&amp; M408 &amp; IF(ISBLANK(Q408),, ". "&amp; Q408))</f>
        <v>FindEgg</v>
      </c>
      <c r="E408" s="6" t="str">
        <f aca="false">I408  &amp;": # "&amp; L408  &amp; IF(ISBLANK(M408),, ". "&amp; M408 &amp;": # "&amp; P408 &amp; IF(ISBLANK(Q408),, ". "&amp; Q408 &amp;": # "&amp; T408))</f>
        <v>FindEgg: # </v>
      </c>
      <c r="F408" s="6" t="str">
        <f aca="false">IF(U408,"active pal",)  &amp; IF(V408,"working",) &amp; IF(W408,"mounted",) &amp; IF(Y408,"in party (buff)",)  &amp; IF(Z408,"always",)</f>
        <v/>
      </c>
      <c r="G408" s="6"/>
      <c r="H408" s="6"/>
      <c r="I408" s="3" t="s">
        <v>2355</v>
      </c>
      <c r="J408" s="3" t="s">
        <v>2338</v>
      </c>
      <c r="K408" s="6" t="s">
        <v>2351</v>
      </c>
      <c r="L408" s="6"/>
      <c r="M408" s="6"/>
      <c r="N408" s="6"/>
      <c r="O408" s="6"/>
      <c r="P408" s="6"/>
      <c r="Q408" s="6"/>
      <c r="R408" s="6"/>
      <c r="S408" s="6"/>
      <c r="T408" s="6"/>
      <c r="U408" s="6"/>
      <c r="V408" s="6"/>
      <c r="W408" s="6"/>
      <c r="X408" s="6"/>
      <c r="Y408" s="6"/>
      <c r="Z408" s="6"/>
      <c r="AA408" s="6"/>
      <c r="AB408" s="6"/>
      <c r="AC408" s="6"/>
      <c r="AD408" s="6"/>
      <c r="AE408" s="6"/>
      <c r="AF408" s="6"/>
      <c r="AG408" s="6"/>
      <c r="AH408" s="6"/>
    </row>
    <row r="409" customFormat="false" ht="15.75" hidden="false" customHeight="false" outlineLevel="0" collapsed="false">
      <c r="A409" s="3" t="s">
        <v>2336</v>
      </c>
      <c r="B409" s="6" t="s">
        <v>989</v>
      </c>
      <c r="C409" s="3"/>
      <c r="D409" s="6" t="str">
        <f aca="false">I409   &amp; IF(ISBLANK(M409),, ". "&amp; M409 &amp; IF(ISBLANK(Q409),, ". "&amp; Q409))</f>
        <v>FindEgg</v>
      </c>
      <c r="E409" s="6" t="str">
        <f aca="false">I409  &amp;": # "&amp; L409  &amp; IF(ISBLANK(M409),, ". "&amp; M409 &amp;": # "&amp; P409 &amp; IF(ISBLANK(Q409),, ". "&amp; Q409 &amp;": # "&amp; T409))</f>
        <v>FindEgg: # </v>
      </c>
      <c r="F409" s="6" t="str">
        <f aca="false">IF(U409,"active pal",)  &amp; IF(V409,"working",) &amp; IF(W409,"mounted",) &amp; IF(Y409,"in party (buff)",)  &amp; IF(Z409,"always",)</f>
        <v/>
      </c>
      <c r="G409" s="6"/>
      <c r="H409" s="6"/>
      <c r="I409" s="3" t="s">
        <v>2355</v>
      </c>
      <c r="J409" s="3" t="s">
        <v>2338</v>
      </c>
      <c r="K409" s="6" t="s">
        <v>2352</v>
      </c>
      <c r="L409" s="6"/>
      <c r="M409" s="6"/>
      <c r="N409" s="6"/>
      <c r="O409" s="6"/>
      <c r="P409" s="6"/>
      <c r="Q409" s="6"/>
      <c r="R409" s="6"/>
      <c r="S409" s="6"/>
      <c r="T409" s="6"/>
      <c r="U409" s="6"/>
      <c r="V409" s="6"/>
      <c r="W409" s="6"/>
      <c r="X409" s="6"/>
      <c r="Y409" s="6"/>
      <c r="Z409" s="6"/>
      <c r="AA409" s="6"/>
      <c r="AB409" s="6"/>
      <c r="AC409" s="6"/>
      <c r="AD409" s="6"/>
      <c r="AE409" s="6"/>
      <c r="AF409" s="6"/>
      <c r="AG409" s="6"/>
      <c r="AH409" s="6"/>
    </row>
    <row r="410" customFormat="false" ht="15.75" hidden="false" customHeight="false" outlineLevel="0" collapsed="false">
      <c r="A410" s="3" t="s">
        <v>2336</v>
      </c>
      <c r="B410" s="6" t="s">
        <v>990</v>
      </c>
      <c r="C410" s="3"/>
      <c r="D410" s="6" t="str">
        <f aca="false">I410   &amp; IF(ISBLANK(M410),, ". "&amp; M410 &amp; IF(ISBLANK(Q410),, ". "&amp; Q410))</f>
        <v>FindEgg</v>
      </c>
      <c r="E410" s="6" t="str">
        <f aca="false">I410  &amp;": # "&amp; L410  &amp; IF(ISBLANK(M410),, ". "&amp; M410 &amp;": # "&amp; P410 &amp; IF(ISBLANK(Q410),, ". "&amp; Q410 &amp;": # "&amp; T410))</f>
        <v>FindEgg: # </v>
      </c>
      <c r="F410" s="6" t="str">
        <f aca="false">IF(U410,"active pal",)  &amp; IF(V410,"working",) &amp; IF(W410,"mounted",) &amp; IF(Y410,"in party (buff)",)  &amp; IF(Z410,"always",)</f>
        <v/>
      </c>
      <c r="G410" s="6"/>
      <c r="H410" s="6"/>
      <c r="I410" s="3" t="s">
        <v>2355</v>
      </c>
      <c r="J410" s="3" t="s">
        <v>2338</v>
      </c>
      <c r="K410" s="6" t="s">
        <v>2353</v>
      </c>
      <c r="L410" s="6"/>
      <c r="M410" s="6"/>
      <c r="N410" s="6"/>
      <c r="O410" s="6"/>
      <c r="P410" s="6"/>
      <c r="Q410" s="6"/>
      <c r="R410" s="6"/>
      <c r="S410" s="6"/>
      <c r="T410" s="6"/>
      <c r="U410" s="6"/>
      <c r="V410" s="6"/>
      <c r="W410" s="6"/>
      <c r="X410" s="6"/>
      <c r="Y410" s="6"/>
      <c r="Z410" s="6"/>
      <c r="AA410" s="6"/>
      <c r="AB410" s="6"/>
      <c r="AC410" s="6"/>
      <c r="AD410" s="6"/>
      <c r="AE410" s="6"/>
      <c r="AF410" s="6"/>
      <c r="AG410" s="6"/>
      <c r="AH410" s="6"/>
    </row>
    <row r="411" customFormat="false" ht="15.75" hidden="false" customHeight="false" outlineLevel="0" collapsed="false">
      <c r="A411" s="3" t="s">
        <v>2336</v>
      </c>
      <c r="B411" s="6" t="s">
        <v>991</v>
      </c>
      <c r="C411" s="3"/>
      <c r="D411" s="6" t="str">
        <f aca="false">I411   &amp; IF(ISBLANK(M411),, ". "&amp; M411 &amp; IF(ISBLANK(Q411),, ". "&amp; Q411))</f>
        <v>FindEgg</v>
      </c>
      <c r="E411" s="6" t="str">
        <f aca="false">I411  &amp;": # "&amp; L411  &amp; IF(ISBLANK(M411),, ". "&amp; M411 &amp;": # "&amp; P411 &amp; IF(ISBLANK(Q411),, ". "&amp; Q411 &amp;": # "&amp; T411))</f>
        <v>FindEgg: # </v>
      </c>
      <c r="F411" s="6" t="str">
        <f aca="false">IF(U411,"active pal",)  &amp; IF(V411,"working",) &amp; IF(W411,"mounted",) &amp; IF(Y411,"in party (buff)",)  &amp; IF(Z411,"always",)</f>
        <v/>
      </c>
      <c r="G411" s="6"/>
      <c r="H411" s="6"/>
      <c r="I411" s="3" t="s">
        <v>2355</v>
      </c>
      <c r="J411" s="3" t="s">
        <v>2338</v>
      </c>
      <c r="K411" s="6" t="s">
        <v>2354</v>
      </c>
      <c r="L411" s="6"/>
      <c r="M411" s="6"/>
      <c r="N411" s="6"/>
      <c r="O411" s="6"/>
      <c r="P411" s="6"/>
      <c r="Q411" s="6"/>
      <c r="R411" s="6"/>
      <c r="S411" s="6"/>
      <c r="T411" s="6"/>
      <c r="U411" s="6"/>
      <c r="V411" s="6"/>
      <c r="W411" s="6"/>
      <c r="X411" s="6"/>
      <c r="Y411" s="6"/>
      <c r="Z411" s="6"/>
      <c r="AA411" s="6"/>
      <c r="AB411" s="6"/>
      <c r="AC411" s="6"/>
      <c r="AD411" s="6"/>
      <c r="AE411" s="6"/>
      <c r="AF411" s="6"/>
      <c r="AG411" s="6"/>
      <c r="AH411" s="6"/>
    </row>
    <row r="412" customFormat="false" ht="15.75" hidden="false" customHeight="false" outlineLevel="0" collapsed="false">
      <c r="A412" s="3" t="s">
        <v>2336</v>
      </c>
      <c r="B412" s="6" t="s">
        <v>1077</v>
      </c>
      <c r="C412" s="3"/>
      <c r="D412" s="6" t="str">
        <f aca="false">I412   &amp; IF(ISBLANK(M412),, ". "&amp; M412 &amp; IF(ISBLANK(Q412),, ". "&amp; Q412))</f>
        <v>FindMilk</v>
      </c>
      <c r="E412" s="6" t="str">
        <f aca="false">I412  &amp;": # "&amp; L412  &amp; IF(ISBLANK(M412),, ". "&amp; M412 &amp;": # "&amp; P412 &amp; IF(ISBLANK(Q412),, ". "&amp; Q412 &amp;": # "&amp; T412))</f>
        <v>FindMilk: # </v>
      </c>
      <c r="F412" s="6" t="str">
        <f aca="false">IF(U412,"active pal",)  &amp; IF(V412,"working",) &amp; IF(W412,"mounted",) &amp; IF(Y412,"in party (buff)",)  &amp; IF(Z412,"always",)</f>
        <v/>
      </c>
      <c r="G412" s="6"/>
      <c r="H412" s="6"/>
      <c r="I412" s="3" t="s">
        <v>2356</v>
      </c>
      <c r="J412" s="3" t="s">
        <v>2338</v>
      </c>
      <c r="K412" s="6" t="s">
        <v>2350</v>
      </c>
      <c r="L412" s="6"/>
      <c r="M412" s="6"/>
      <c r="N412" s="6"/>
      <c r="O412" s="6"/>
      <c r="P412" s="6"/>
      <c r="Q412" s="6"/>
      <c r="R412" s="6"/>
      <c r="S412" s="6"/>
      <c r="T412" s="6"/>
      <c r="U412" s="6"/>
      <c r="V412" s="6"/>
      <c r="W412" s="6"/>
      <c r="X412" s="6"/>
      <c r="Y412" s="6"/>
      <c r="Z412" s="6"/>
      <c r="AA412" s="6"/>
      <c r="AB412" s="6"/>
      <c r="AC412" s="6"/>
      <c r="AD412" s="6"/>
      <c r="AE412" s="6"/>
      <c r="AF412" s="6"/>
      <c r="AG412" s="6"/>
      <c r="AH412" s="6"/>
    </row>
    <row r="413" customFormat="false" ht="15.75" hidden="false" customHeight="false" outlineLevel="0" collapsed="false">
      <c r="A413" s="3" t="s">
        <v>2336</v>
      </c>
      <c r="B413" s="6" t="s">
        <v>1078</v>
      </c>
      <c r="C413" s="3"/>
      <c r="D413" s="6" t="str">
        <f aca="false">I413   &amp; IF(ISBLANK(M413),, ". "&amp; M413 &amp; IF(ISBLANK(Q413),, ". "&amp; Q413))</f>
        <v>FindMilk</v>
      </c>
      <c r="E413" s="6" t="str">
        <f aca="false">I413  &amp;": # "&amp; L413  &amp; IF(ISBLANK(M413),, ". "&amp; M413 &amp;": # "&amp; P413 &amp; IF(ISBLANK(Q413),, ". "&amp; Q413 &amp;": # "&amp; T413))</f>
        <v>FindMilk: # </v>
      </c>
      <c r="F413" s="6" t="str">
        <f aca="false">IF(U413,"active pal",)  &amp; IF(V413,"working",) &amp; IF(W413,"mounted",) &amp; IF(Y413,"in party (buff)",)  &amp; IF(Z413,"always",)</f>
        <v/>
      </c>
      <c r="G413" s="6"/>
      <c r="H413" s="6"/>
      <c r="I413" s="3" t="s">
        <v>2356</v>
      </c>
      <c r="J413" s="3" t="s">
        <v>2338</v>
      </c>
      <c r="K413" s="6" t="s">
        <v>2351</v>
      </c>
      <c r="L413" s="6"/>
      <c r="M413" s="6"/>
      <c r="N413" s="6"/>
      <c r="O413" s="6"/>
      <c r="P413" s="6"/>
      <c r="Q413" s="6"/>
      <c r="R413" s="6"/>
      <c r="S413" s="6"/>
      <c r="T413" s="6"/>
      <c r="U413" s="6"/>
      <c r="V413" s="6"/>
      <c r="W413" s="6"/>
      <c r="X413" s="6"/>
      <c r="Y413" s="6"/>
      <c r="Z413" s="6"/>
      <c r="AA413" s="6"/>
      <c r="AB413" s="6"/>
      <c r="AC413" s="6"/>
      <c r="AD413" s="6"/>
      <c r="AE413" s="6"/>
      <c r="AF413" s="6"/>
      <c r="AG413" s="6"/>
      <c r="AH413" s="6"/>
    </row>
    <row r="414" customFormat="false" ht="15.75" hidden="false" customHeight="false" outlineLevel="0" collapsed="false">
      <c r="A414" s="3" t="s">
        <v>2336</v>
      </c>
      <c r="B414" s="6" t="s">
        <v>1079</v>
      </c>
      <c r="C414" s="3"/>
      <c r="D414" s="6" t="str">
        <f aca="false">I414   &amp; IF(ISBLANK(M414),, ". "&amp; M414 &amp; IF(ISBLANK(Q414),, ". "&amp; Q414))</f>
        <v>FindMilk</v>
      </c>
      <c r="E414" s="6" t="str">
        <f aca="false">I414  &amp;": # "&amp; L414  &amp; IF(ISBLANK(M414),, ". "&amp; M414 &amp;": # "&amp; P414 &amp; IF(ISBLANK(Q414),, ". "&amp; Q414 &amp;": # "&amp; T414))</f>
        <v>FindMilk: # </v>
      </c>
      <c r="F414" s="6" t="str">
        <f aca="false">IF(U414,"active pal",)  &amp; IF(V414,"working",) &amp; IF(W414,"mounted",) &amp; IF(Y414,"in party (buff)",)  &amp; IF(Z414,"always",)</f>
        <v/>
      </c>
      <c r="G414" s="6"/>
      <c r="H414" s="6"/>
      <c r="I414" s="3" t="s">
        <v>2356</v>
      </c>
      <c r="J414" s="3" t="s">
        <v>2338</v>
      </c>
      <c r="K414" s="6" t="s">
        <v>2352</v>
      </c>
      <c r="L414" s="6"/>
      <c r="M414" s="6"/>
      <c r="N414" s="6"/>
      <c r="O414" s="6"/>
      <c r="P414" s="6"/>
      <c r="Q414" s="6"/>
      <c r="R414" s="6"/>
      <c r="S414" s="6"/>
      <c r="T414" s="6"/>
      <c r="U414" s="6"/>
      <c r="V414" s="6"/>
      <c r="W414" s="6"/>
      <c r="X414" s="6"/>
      <c r="Y414" s="6"/>
      <c r="Z414" s="6"/>
      <c r="AA414" s="6"/>
      <c r="AB414" s="6"/>
      <c r="AC414" s="6"/>
      <c r="AD414" s="6"/>
      <c r="AE414" s="6"/>
      <c r="AF414" s="6"/>
      <c r="AG414" s="6"/>
      <c r="AH414" s="6"/>
    </row>
    <row r="415" customFormat="false" ht="15.75" hidden="false" customHeight="false" outlineLevel="0" collapsed="false">
      <c r="A415" s="3" t="s">
        <v>2336</v>
      </c>
      <c r="B415" s="6" t="s">
        <v>1080</v>
      </c>
      <c r="C415" s="3"/>
      <c r="D415" s="6" t="str">
        <f aca="false">I415   &amp; IF(ISBLANK(M415),, ". "&amp; M415 &amp; IF(ISBLANK(Q415),, ". "&amp; Q415))</f>
        <v>FindMilk</v>
      </c>
      <c r="E415" s="6" t="str">
        <f aca="false">I415  &amp;": # "&amp; L415  &amp; IF(ISBLANK(M415),, ". "&amp; M415 &amp;": # "&amp; P415 &amp; IF(ISBLANK(Q415),, ". "&amp; Q415 &amp;": # "&amp; T415))</f>
        <v>FindMilk: # </v>
      </c>
      <c r="F415" s="6" t="str">
        <f aca="false">IF(U415,"active pal",)  &amp; IF(V415,"working",) &amp; IF(W415,"mounted",) &amp; IF(Y415,"in party (buff)",)  &amp; IF(Z415,"always",)</f>
        <v/>
      </c>
      <c r="G415" s="6"/>
      <c r="H415" s="6"/>
      <c r="I415" s="3" t="s">
        <v>2356</v>
      </c>
      <c r="J415" s="3" t="s">
        <v>2338</v>
      </c>
      <c r="K415" s="6" t="s">
        <v>2353</v>
      </c>
      <c r="L415" s="6"/>
      <c r="M415" s="6"/>
      <c r="N415" s="6"/>
      <c r="O415" s="6"/>
      <c r="P415" s="6"/>
      <c r="Q415" s="6"/>
      <c r="R415" s="6"/>
      <c r="S415" s="6"/>
      <c r="T415" s="6"/>
      <c r="U415" s="6"/>
      <c r="V415" s="6"/>
      <c r="W415" s="6"/>
      <c r="X415" s="6"/>
      <c r="Y415" s="6"/>
      <c r="Z415" s="6"/>
      <c r="AA415" s="6"/>
      <c r="AB415" s="6"/>
      <c r="AC415" s="6"/>
      <c r="AD415" s="6"/>
      <c r="AE415" s="6"/>
      <c r="AF415" s="6"/>
      <c r="AG415" s="6"/>
      <c r="AH415" s="6"/>
    </row>
    <row r="416" customFormat="false" ht="15.75" hidden="false" customHeight="false" outlineLevel="0" collapsed="false">
      <c r="A416" s="3" t="s">
        <v>2336</v>
      </c>
      <c r="B416" s="6" t="s">
        <v>1081</v>
      </c>
      <c r="C416" s="3"/>
      <c r="D416" s="6" t="str">
        <f aca="false">I416   &amp; IF(ISBLANK(M416),, ". "&amp; M416 &amp; IF(ISBLANK(Q416),, ". "&amp; Q416))</f>
        <v>FindMilk</v>
      </c>
      <c r="E416" s="6" t="str">
        <f aca="false">I416  &amp;": # "&amp; L416  &amp; IF(ISBLANK(M416),, ". "&amp; M416 &amp;": # "&amp; P416 &amp; IF(ISBLANK(Q416),, ". "&amp; Q416 &amp;": # "&amp; T416))</f>
        <v>FindMilk: # </v>
      </c>
      <c r="F416" s="6" t="str">
        <f aca="false">IF(U416,"active pal",)  &amp; IF(V416,"working",) &amp; IF(W416,"mounted",) &amp; IF(Y416,"in party (buff)",)  &amp; IF(Z416,"always",)</f>
        <v/>
      </c>
      <c r="G416" s="6"/>
      <c r="H416" s="6"/>
      <c r="I416" s="3" t="s">
        <v>2356</v>
      </c>
      <c r="J416" s="3" t="s">
        <v>2338</v>
      </c>
      <c r="K416" s="6" t="s">
        <v>2354</v>
      </c>
      <c r="L416" s="6"/>
      <c r="M416" s="6"/>
      <c r="N416" s="6"/>
      <c r="O416" s="6"/>
      <c r="P416" s="6"/>
      <c r="Q416" s="6"/>
      <c r="R416" s="6"/>
      <c r="S416" s="6"/>
      <c r="T416" s="6"/>
      <c r="U416" s="6"/>
      <c r="V416" s="6"/>
      <c r="W416" s="6"/>
      <c r="X416" s="6"/>
      <c r="Y416" s="6"/>
      <c r="Z416" s="6"/>
      <c r="AA416" s="6"/>
      <c r="AB416" s="6"/>
      <c r="AC416" s="6"/>
      <c r="AD416" s="6"/>
      <c r="AE416" s="6"/>
      <c r="AF416" s="6"/>
      <c r="AG416" s="6"/>
      <c r="AH416" s="6"/>
    </row>
    <row r="417" customFormat="false" ht="15.75" hidden="false" customHeight="false" outlineLevel="0" collapsed="false">
      <c r="A417" s="3" t="s">
        <v>2336</v>
      </c>
      <c r="B417" s="6" t="s">
        <v>1058</v>
      </c>
      <c r="C417" s="3"/>
      <c r="D417" s="6" t="str">
        <f aca="false">I417   &amp; IF(ISBLANK(M417),, ". "&amp; M417 &amp; IF(ISBLANK(Q417),, ". "&amp; Q417))</f>
        <v>FindPalSphere. FindArrow. FindMoney</v>
      </c>
      <c r="E417" s="6" t="str">
        <f aca="false">I417  &amp;": # "&amp; "("&amp;L417&amp;")"  &amp; IF(ISBLANK(M417),, ". "&amp; M417 &amp;": # "&amp; "("&amp;P417&amp;")" &amp; IF(ISBLANK(Q417),, ". "&amp; Q417 &amp;": # "&amp; "("&amp;T417&amp;")"))</f>
        <v>FindPalSphere: # (5 weight). FindArrow: # (2 weight). FindMoney: # (1 weight)</v>
      </c>
      <c r="F417" s="6" t="str">
        <f aca="false">IF(U417,"active pal",)  &amp; IF(V417,"working",) &amp; IF(W417,"mounted",) &amp; IF(Y417,"in party (buff)",)  &amp; IF(Z417,"always",)</f>
        <v/>
      </c>
      <c r="G417" s="6"/>
      <c r="H417" s="6"/>
      <c r="I417" s="3" t="s">
        <v>2357</v>
      </c>
      <c r="J417" s="3" t="s">
        <v>2338</v>
      </c>
      <c r="K417" s="6" t="s">
        <v>2350</v>
      </c>
      <c r="L417" s="6" t="s">
        <v>2358</v>
      </c>
      <c r="M417" s="3" t="s">
        <v>2359</v>
      </c>
      <c r="N417" s="3" t="s">
        <v>2338</v>
      </c>
      <c r="O417" s="6" t="s">
        <v>2350</v>
      </c>
      <c r="P417" s="6" t="s">
        <v>2360</v>
      </c>
      <c r="Q417" s="3" t="s">
        <v>2343</v>
      </c>
      <c r="R417" s="3" t="s">
        <v>2338</v>
      </c>
      <c r="S417" s="6" t="s">
        <v>2344</v>
      </c>
      <c r="T417" s="6" t="s">
        <v>2361</v>
      </c>
      <c r="U417" s="6"/>
      <c r="V417" s="6"/>
      <c r="W417" s="6"/>
      <c r="X417" s="6"/>
      <c r="Y417" s="6"/>
      <c r="Z417" s="6"/>
      <c r="AA417" s="6"/>
      <c r="AB417" s="6"/>
      <c r="AC417" s="6"/>
      <c r="AD417" s="6"/>
      <c r="AE417" s="6"/>
      <c r="AF417" s="6"/>
      <c r="AG417" s="6"/>
      <c r="AH417" s="6"/>
    </row>
    <row r="418" customFormat="false" ht="15.75" hidden="false" customHeight="false" outlineLevel="0" collapsed="false">
      <c r="A418" s="3" t="s">
        <v>2336</v>
      </c>
      <c r="B418" s="6" t="s">
        <v>1059</v>
      </c>
      <c r="C418" s="3"/>
      <c r="D418" s="6" t="str">
        <f aca="false">I418   &amp; IF(ISBLANK(M418),, ". "&amp; M418 &amp; IF(ISBLANK(Q418),, ". "&amp; Q418))</f>
        <v>FindPalSphere. FindArrow. FindMoney</v>
      </c>
      <c r="E418" s="6" t="str">
        <f aca="false">I418  &amp;": # "&amp; "("&amp;L418&amp;")"  &amp; IF(ISBLANK(M418),, ". "&amp; M418 &amp;": # "&amp; "("&amp;P418&amp;")" &amp; IF(ISBLANK(Q418),, ". "&amp; Q418 &amp;": # "&amp; "("&amp;T418&amp;")"))</f>
        <v>FindPalSphere: # (5 weight). FindArrow: # (3 weight). FindMoney: # (1 weight)</v>
      </c>
      <c r="F418" s="6" t="str">
        <f aca="false">IF(U418,"active pal",)  &amp; IF(V418,"working",) &amp; IF(W418,"mounted",) &amp; IF(Y418,"in party (buff)",)  &amp; IF(Z418,"always",)</f>
        <v/>
      </c>
      <c r="G418" s="6"/>
      <c r="H418" s="6"/>
      <c r="I418" s="3" t="s">
        <v>2357</v>
      </c>
      <c r="J418" s="3" t="s">
        <v>2338</v>
      </c>
      <c r="K418" s="6" t="s">
        <v>2351</v>
      </c>
      <c r="L418" s="6" t="s">
        <v>2358</v>
      </c>
      <c r="M418" s="3" t="s">
        <v>2359</v>
      </c>
      <c r="N418" s="3" t="s">
        <v>2338</v>
      </c>
      <c r="O418" s="6" t="s">
        <v>2351</v>
      </c>
      <c r="P418" s="6" t="s">
        <v>2362</v>
      </c>
      <c r="Q418" s="3" t="s">
        <v>2343</v>
      </c>
      <c r="R418" s="3" t="s">
        <v>2338</v>
      </c>
      <c r="S418" s="6" t="s">
        <v>2345</v>
      </c>
      <c r="T418" s="6" t="s">
        <v>2361</v>
      </c>
      <c r="U418" s="6"/>
      <c r="V418" s="6"/>
      <c r="W418" s="6"/>
      <c r="X418" s="6"/>
      <c r="Y418" s="6"/>
      <c r="Z418" s="6"/>
      <c r="AA418" s="6"/>
      <c r="AB418" s="6"/>
      <c r="AC418" s="6"/>
      <c r="AD418" s="6"/>
      <c r="AE418" s="6"/>
      <c r="AF418" s="6"/>
      <c r="AG418" s="6"/>
      <c r="AH418" s="6"/>
    </row>
    <row r="419" customFormat="false" ht="15.75" hidden="false" customHeight="false" outlineLevel="0" collapsed="false">
      <c r="A419" s="3" t="s">
        <v>2336</v>
      </c>
      <c r="B419" s="6" t="s">
        <v>1060</v>
      </c>
      <c r="C419" s="3"/>
      <c r="D419" s="6" t="str">
        <f aca="false">I419   &amp; IF(ISBLANK(M419),, ". "&amp; M419 &amp; IF(ISBLANK(Q419),, ". "&amp; Q419))</f>
        <v>FindPalSphere. FindArrow. FindMoney</v>
      </c>
      <c r="E419" s="6" t="str">
        <f aca="false">I419  &amp;": # "&amp; "("&amp;L419&amp;")"  &amp; IF(ISBLANK(M419),, ". "&amp; M419 &amp;": # "&amp; "("&amp;P419&amp;")" &amp; IF(ISBLANK(Q419),, ". "&amp; Q419 &amp;": # "&amp; "("&amp;T419&amp;")"))</f>
        <v>FindPalSphere: # (5 weight). FindArrow: # (4 weight). FindMoney: # (1 weight)</v>
      </c>
      <c r="F419" s="6" t="str">
        <f aca="false">IF(U419,"active pal",)  &amp; IF(V419,"working",) &amp; IF(W419,"mounted",) &amp; IF(Y419,"in party (buff)",)  &amp; IF(Z419,"always",)</f>
        <v/>
      </c>
      <c r="G419" s="6"/>
      <c r="H419" s="6"/>
      <c r="I419" s="3" t="s">
        <v>2357</v>
      </c>
      <c r="J419" s="3" t="s">
        <v>2338</v>
      </c>
      <c r="K419" s="6" t="s">
        <v>2339</v>
      </c>
      <c r="L419" s="6" t="s">
        <v>2358</v>
      </c>
      <c r="M419" s="3" t="s">
        <v>2359</v>
      </c>
      <c r="N419" s="3" t="s">
        <v>2338</v>
      </c>
      <c r="O419" s="6" t="s">
        <v>2339</v>
      </c>
      <c r="P419" s="6" t="s">
        <v>2363</v>
      </c>
      <c r="Q419" s="3" t="s">
        <v>2343</v>
      </c>
      <c r="R419" s="3" t="s">
        <v>2338</v>
      </c>
      <c r="S419" s="6" t="s">
        <v>2346</v>
      </c>
      <c r="T419" s="6" t="s">
        <v>2361</v>
      </c>
      <c r="U419" s="6"/>
      <c r="V419" s="6"/>
      <c r="W419" s="6"/>
      <c r="X419" s="6"/>
      <c r="Y419" s="6"/>
      <c r="Z419" s="6"/>
      <c r="AA419" s="6"/>
      <c r="AB419" s="6"/>
      <c r="AC419" s="6"/>
      <c r="AD419" s="6"/>
      <c r="AE419" s="6"/>
      <c r="AF419" s="6"/>
      <c r="AG419" s="6"/>
      <c r="AH419" s="6"/>
    </row>
    <row r="420" customFormat="false" ht="15.75" hidden="false" customHeight="false" outlineLevel="0" collapsed="false">
      <c r="A420" s="3" t="s">
        <v>2336</v>
      </c>
      <c r="B420" s="6" t="s">
        <v>1061</v>
      </c>
      <c r="C420" s="3"/>
      <c r="D420" s="6" t="str">
        <f aca="false">I420   &amp; IF(ISBLANK(M420),, ". "&amp; M420 &amp; IF(ISBLANK(Q420),, ". "&amp; Q420))</f>
        <v>FindPalSphere/FindMegaPalSphere. FindArrow. FindMoney</v>
      </c>
      <c r="E420" s="6" t="str">
        <f aca="false">I420  &amp;": # "&amp; "("&amp;L420&amp;")"  &amp; IF(ISBLANK(M420),, ". "&amp; M420 &amp;": # "&amp; "("&amp;P420&amp;")" &amp; IF(ISBLANK(Q420),, ". "&amp; Q420 &amp;": # "&amp; "("&amp;T420&amp;")"))</f>
        <v>FindPalSphere/FindMegaPalSphere: # (5 weight / 1 weight). FindArrow: # (2 weight). FindMoney: # (1 weight)</v>
      </c>
      <c r="F420" s="6" t="str">
        <f aca="false">IF(U420,"active pal",)  &amp; IF(V420,"working",) &amp; IF(W420,"mounted",) &amp; IF(Y420,"in party (buff)",)  &amp; IF(Z420,"always",)</f>
        <v/>
      </c>
      <c r="G420" s="6"/>
      <c r="H420" s="6"/>
      <c r="I420" s="3" t="s">
        <v>2364</v>
      </c>
      <c r="J420" s="3" t="s">
        <v>2338</v>
      </c>
      <c r="K420" s="6" t="s">
        <v>2365</v>
      </c>
      <c r="L420" s="6" t="s">
        <v>2366</v>
      </c>
      <c r="M420" s="3" t="s">
        <v>2359</v>
      </c>
      <c r="N420" s="3" t="s">
        <v>2338</v>
      </c>
      <c r="O420" s="6" t="s">
        <v>2367</v>
      </c>
      <c r="P420" s="6" t="s">
        <v>2360</v>
      </c>
      <c r="Q420" s="3" t="s">
        <v>2343</v>
      </c>
      <c r="R420" s="3" t="s">
        <v>2338</v>
      </c>
      <c r="S420" s="6" t="s">
        <v>2347</v>
      </c>
      <c r="T420" s="6" t="s">
        <v>2361</v>
      </c>
      <c r="U420" s="6"/>
      <c r="V420" s="6"/>
      <c r="W420" s="6"/>
      <c r="X420" s="6"/>
      <c r="Y420" s="6"/>
      <c r="Z420" s="6"/>
      <c r="AA420" s="6"/>
      <c r="AB420" s="6"/>
      <c r="AC420" s="6"/>
      <c r="AD420" s="6"/>
      <c r="AE420" s="6"/>
      <c r="AF420" s="6"/>
      <c r="AG420" s="6"/>
      <c r="AH420" s="6"/>
    </row>
    <row r="421" customFormat="false" ht="15.75" hidden="false" customHeight="false" outlineLevel="0" collapsed="false">
      <c r="A421" s="3" t="s">
        <v>2336</v>
      </c>
      <c r="B421" s="6" t="s">
        <v>1062</v>
      </c>
      <c r="C421" s="3"/>
      <c r="D421" s="6" t="str">
        <f aca="false">I421   &amp; IF(ISBLANK(M421),, ". "&amp; M421 &amp; IF(ISBLANK(Q421),, ". "&amp; Q421))</f>
        <v>FindPalSphere/FindMegaPalSphere. FindArrow. FindMoney</v>
      </c>
      <c r="E421" s="6" t="str">
        <f aca="false">I421  &amp;": # "&amp; "("&amp;L421&amp;")"  &amp; IF(ISBLANK(M421),, ". "&amp; M421 &amp;": # "&amp; "("&amp;P421&amp;")" &amp; IF(ISBLANK(Q421),, ". "&amp; Q421 &amp;": # "&amp; "("&amp;T421&amp;")"))</f>
        <v>FindPalSphere/FindMegaPalSphere: # (5 weight / 1 weight). FindArrow: # (2 weight). FindMoney: # (1 weight)</v>
      </c>
      <c r="F421" s="6" t="str">
        <f aca="false">IF(U421,"active pal",)  &amp; IF(V421,"working",) &amp; IF(W421,"mounted",) &amp; IF(Y421,"in party (buff)",)  &amp; IF(Z421,"always",)</f>
        <v/>
      </c>
      <c r="G421" s="6"/>
      <c r="H421" s="6"/>
      <c r="I421" s="3" t="s">
        <v>2364</v>
      </c>
      <c r="J421" s="3" t="s">
        <v>2338</v>
      </c>
      <c r="K421" s="6" t="s">
        <v>2368</v>
      </c>
      <c r="L421" s="6" t="s">
        <v>2366</v>
      </c>
      <c r="M421" s="3" t="s">
        <v>2359</v>
      </c>
      <c r="N421" s="3" t="s">
        <v>2338</v>
      </c>
      <c r="O421" s="6" t="s">
        <v>2369</v>
      </c>
      <c r="P421" s="6" t="s">
        <v>2360</v>
      </c>
      <c r="Q421" s="3" t="s">
        <v>2343</v>
      </c>
      <c r="R421" s="3" t="s">
        <v>2338</v>
      </c>
      <c r="S421" s="6" t="s">
        <v>2348</v>
      </c>
      <c r="T421" s="6" t="s">
        <v>2361</v>
      </c>
      <c r="U421" s="6"/>
      <c r="V421" s="6"/>
      <c r="W421" s="6"/>
      <c r="X421" s="6"/>
      <c r="Y421" s="6"/>
      <c r="Z421" s="6"/>
      <c r="AA421" s="6"/>
      <c r="AB421" s="6"/>
      <c r="AC421" s="6"/>
      <c r="AD421" s="6"/>
      <c r="AE421" s="6"/>
      <c r="AF421" s="6"/>
      <c r="AG421" s="6"/>
      <c r="AH421" s="6"/>
    </row>
    <row r="422" customFormat="false" ht="15.75" hidden="false" customHeight="false" outlineLevel="0" collapsed="false">
      <c r="A422" s="3" t="s">
        <v>2336</v>
      </c>
      <c r="B422" s="6" t="s">
        <v>1238</v>
      </c>
      <c r="C422" s="3"/>
      <c r="D422" s="6" t="str">
        <f aca="false">I422   &amp; IF(ISBLANK(M422),, ". "&amp; M422 &amp; IF(ISBLANK(Q422),, ". "&amp; Q422))</f>
        <v>FindFireOrgan</v>
      </c>
      <c r="E422" s="6" t="str">
        <f aca="false">I422  &amp;": # "&amp; L422  &amp; IF(ISBLANK(M422),, ". "&amp; M422 &amp;": # "&amp; P422 &amp; IF(ISBLANK(Q422),, ". "&amp; Q422 &amp;": # "&amp; T422))</f>
        <v>FindFireOrgan: # </v>
      </c>
      <c r="F422" s="6" t="str">
        <f aca="false">IF(U422,"active pal",)  &amp; IF(V422,"working",) &amp; IF(W422,"mounted",) &amp; IF(Y422,"in party (buff)",)  &amp; IF(Z422,"always",)</f>
        <v/>
      </c>
      <c r="G422" s="6"/>
      <c r="H422" s="6"/>
      <c r="I422" s="3" t="s">
        <v>2370</v>
      </c>
      <c r="J422" s="3" t="s">
        <v>2338</v>
      </c>
      <c r="K422" s="6" t="s">
        <v>2350</v>
      </c>
      <c r="L422" s="6"/>
      <c r="M422" s="6"/>
      <c r="N422" s="6"/>
      <c r="O422" s="6"/>
      <c r="P422" s="6"/>
      <c r="Q422" s="6"/>
      <c r="R422" s="6"/>
      <c r="S422" s="6"/>
      <c r="T422" s="6"/>
      <c r="U422" s="6"/>
      <c r="V422" s="6"/>
      <c r="W422" s="6"/>
      <c r="X422" s="6"/>
      <c r="Y422" s="6"/>
      <c r="Z422" s="6"/>
      <c r="AA422" s="6"/>
      <c r="AB422" s="6"/>
      <c r="AC422" s="6"/>
      <c r="AD422" s="6"/>
      <c r="AE422" s="6"/>
      <c r="AF422" s="6"/>
      <c r="AG422" s="6"/>
      <c r="AH422" s="6"/>
    </row>
    <row r="423" customFormat="false" ht="15.75" hidden="false" customHeight="false" outlineLevel="0" collapsed="false">
      <c r="A423" s="3" t="s">
        <v>2336</v>
      </c>
      <c r="B423" s="6" t="s">
        <v>1239</v>
      </c>
      <c r="C423" s="3"/>
      <c r="D423" s="6" t="str">
        <f aca="false">I423   &amp; IF(ISBLANK(M423),, ". "&amp; M423 &amp; IF(ISBLANK(Q423),, ". "&amp; Q423))</f>
        <v>FindFireOrgan</v>
      </c>
      <c r="E423" s="6" t="str">
        <f aca="false">I423  &amp;": # "&amp; L423  &amp; IF(ISBLANK(M423),, ". "&amp; M423 &amp;": # "&amp; P423 &amp; IF(ISBLANK(Q423),, ". "&amp; Q423 &amp;": # "&amp; T423))</f>
        <v>FindFireOrgan: # </v>
      </c>
      <c r="F423" s="6" t="str">
        <f aca="false">IF(U423,"active pal",)  &amp; IF(V423,"working",) &amp; IF(W423,"mounted",) &amp; IF(Y423,"in party (buff)",)  &amp; IF(Z423,"always",)</f>
        <v/>
      </c>
      <c r="G423" s="6"/>
      <c r="H423" s="6"/>
      <c r="I423" s="3" t="s">
        <v>2370</v>
      </c>
      <c r="J423" s="3" t="s">
        <v>2338</v>
      </c>
      <c r="K423" s="6" t="s">
        <v>2351</v>
      </c>
      <c r="L423" s="6"/>
      <c r="M423" s="6"/>
      <c r="N423" s="6"/>
      <c r="O423" s="6"/>
      <c r="P423" s="6"/>
      <c r="Q423" s="6"/>
      <c r="R423" s="6"/>
      <c r="S423" s="6"/>
      <c r="T423" s="6"/>
      <c r="U423" s="6"/>
      <c r="V423" s="6"/>
      <c r="W423" s="6"/>
      <c r="X423" s="6"/>
      <c r="Y423" s="6"/>
      <c r="Z423" s="6"/>
      <c r="AA423" s="6"/>
      <c r="AB423" s="6"/>
      <c r="AC423" s="6"/>
      <c r="AD423" s="6"/>
      <c r="AE423" s="6"/>
      <c r="AF423" s="6"/>
      <c r="AG423" s="6"/>
      <c r="AH423" s="6"/>
    </row>
    <row r="424" customFormat="false" ht="15.75" hidden="false" customHeight="false" outlineLevel="0" collapsed="false">
      <c r="A424" s="3" t="s">
        <v>2336</v>
      </c>
      <c r="B424" s="6" t="s">
        <v>1240</v>
      </c>
      <c r="C424" s="3"/>
      <c r="D424" s="6" t="str">
        <f aca="false">I424   &amp; IF(ISBLANK(M424),, ". "&amp; M424 &amp; IF(ISBLANK(Q424),, ". "&amp; Q424))</f>
        <v>FindFireOrgan</v>
      </c>
      <c r="E424" s="6" t="str">
        <f aca="false">I424  &amp;": # "&amp; L424  &amp; IF(ISBLANK(M424),, ". "&amp; M424 &amp;": # "&amp; P424 &amp; IF(ISBLANK(Q424),, ". "&amp; Q424 &amp;": # "&amp; T424))</f>
        <v>FindFireOrgan: # </v>
      </c>
      <c r="F424" s="6" t="str">
        <f aca="false">IF(U424,"active pal",)  &amp; IF(V424,"working",) &amp; IF(W424,"mounted",) &amp; IF(Y424,"in party (buff)",)  &amp; IF(Z424,"always",)</f>
        <v/>
      </c>
      <c r="G424" s="6"/>
      <c r="H424" s="6"/>
      <c r="I424" s="3" t="s">
        <v>2370</v>
      </c>
      <c r="J424" s="3" t="s">
        <v>2338</v>
      </c>
      <c r="K424" s="6" t="s">
        <v>2352</v>
      </c>
      <c r="L424" s="6"/>
      <c r="M424" s="6"/>
      <c r="N424" s="6"/>
      <c r="O424" s="6"/>
      <c r="P424" s="6"/>
      <c r="Q424" s="6"/>
      <c r="R424" s="6"/>
      <c r="S424" s="6"/>
      <c r="T424" s="6"/>
      <c r="U424" s="6"/>
      <c r="V424" s="6"/>
      <c r="W424" s="6"/>
      <c r="X424" s="6"/>
      <c r="Y424" s="6"/>
      <c r="Z424" s="6"/>
      <c r="AA424" s="6"/>
      <c r="AB424" s="6"/>
      <c r="AC424" s="6"/>
      <c r="AD424" s="6"/>
      <c r="AE424" s="6"/>
      <c r="AF424" s="6"/>
      <c r="AG424" s="6"/>
      <c r="AH424" s="6"/>
    </row>
    <row r="425" customFormat="false" ht="15.75" hidden="false" customHeight="false" outlineLevel="0" collapsed="false">
      <c r="A425" s="3" t="s">
        <v>2336</v>
      </c>
      <c r="B425" s="6" t="s">
        <v>1241</v>
      </c>
      <c r="C425" s="3"/>
      <c r="D425" s="6" t="str">
        <f aca="false">I425   &amp; IF(ISBLANK(M425),, ". "&amp; M425 &amp; IF(ISBLANK(Q425),, ". "&amp; Q425))</f>
        <v>FindFireOrgan</v>
      </c>
      <c r="E425" s="6" t="str">
        <f aca="false">I425  &amp;": # "&amp; L425  &amp; IF(ISBLANK(M425),, ". "&amp; M425 &amp;": # "&amp; P425 &amp; IF(ISBLANK(Q425),, ". "&amp; Q425 &amp;": # "&amp; T425))</f>
        <v>FindFireOrgan: # </v>
      </c>
      <c r="F425" s="6" t="str">
        <f aca="false">IF(U425,"active pal",)  &amp; IF(V425,"working",) &amp; IF(W425,"mounted",) &amp; IF(Y425,"in party (buff)",)  &amp; IF(Z425,"always",)</f>
        <v/>
      </c>
      <c r="G425" s="6"/>
      <c r="H425" s="6"/>
      <c r="I425" s="3" t="s">
        <v>2370</v>
      </c>
      <c r="J425" s="3" t="s">
        <v>2338</v>
      </c>
      <c r="K425" s="6" t="s">
        <v>2353</v>
      </c>
      <c r="L425" s="6"/>
      <c r="M425" s="6"/>
      <c r="N425" s="6"/>
      <c r="O425" s="6"/>
      <c r="P425" s="6"/>
      <c r="Q425" s="6"/>
      <c r="R425" s="6"/>
      <c r="S425" s="6"/>
      <c r="T425" s="6"/>
      <c r="U425" s="6"/>
      <c r="V425" s="6"/>
      <c r="W425" s="6"/>
      <c r="X425" s="6"/>
      <c r="Y425" s="6"/>
      <c r="Z425" s="6"/>
      <c r="AA425" s="6"/>
      <c r="AB425" s="6"/>
      <c r="AC425" s="6"/>
      <c r="AD425" s="6"/>
      <c r="AE425" s="6"/>
      <c r="AF425" s="6"/>
      <c r="AG425" s="6"/>
      <c r="AH425" s="6"/>
    </row>
    <row r="426" customFormat="false" ht="15.75" hidden="false" customHeight="false" outlineLevel="0" collapsed="false">
      <c r="A426" s="3" t="s">
        <v>2336</v>
      </c>
      <c r="B426" s="6" t="s">
        <v>1242</v>
      </c>
      <c r="C426" s="3"/>
      <c r="D426" s="6" t="str">
        <f aca="false">I426   &amp; IF(ISBLANK(M426),, ". "&amp; M426 &amp; IF(ISBLANK(Q426),, ". "&amp; Q426))</f>
        <v>FindFireOrgan</v>
      </c>
      <c r="E426" s="6" t="str">
        <f aca="false">I426  &amp;": # "&amp; L426  &amp; IF(ISBLANK(M426),, ". "&amp; M426 &amp;": # "&amp; P426 &amp; IF(ISBLANK(Q426),, ". "&amp; Q426 &amp;": # "&amp; T426))</f>
        <v>FindFireOrgan: # </v>
      </c>
      <c r="F426" s="6" t="str">
        <f aca="false">IF(U426,"active pal",)  &amp; IF(V426,"working",) &amp; IF(W426,"mounted",) &amp; IF(Y426,"in party (buff)",)  &amp; IF(Z426,"always",)</f>
        <v/>
      </c>
      <c r="G426" s="6"/>
      <c r="H426" s="6"/>
      <c r="I426" s="3" t="s">
        <v>2370</v>
      </c>
      <c r="J426" s="3" t="s">
        <v>2338</v>
      </c>
      <c r="K426" s="6" t="s">
        <v>2354</v>
      </c>
      <c r="L426" s="6"/>
      <c r="M426" s="6"/>
      <c r="N426" s="6"/>
      <c r="O426" s="6"/>
      <c r="P426" s="6"/>
      <c r="Q426" s="6"/>
      <c r="R426" s="6"/>
      <c r="S426" s="6"/>
      <c r="T426" s="6"/>
      <c r="U426" s="6"/>
      <c r="V426" s="6"/>
      <c r="W426" s="6"/>
      <c r="X426" s="6"/>
      <c r="Y426" s="6"/>
      <c r="Z426" s="6"/>
      <c r="AA426" s="6"/>
      <c r="AB426" s="6"/>
      <c r="AC426" s="6"/>
      <c r="AD426" s="6"/>
      <c r="AE426" s="6"/>
      <c r="AF426" s="6"/>
      <c r="AG426" s="6"/>
      <c r="AH426" s="6"/>
    </row>
    <row r="427" customFormat="false" ht="15.75" hidden="false" customHeight="false" outlineLevel="0" collapsed="false">
      <c r="A427" s="3" t="s">
        <v>2336</v>
      </c>
      <c r="B427" s="6" t="s">
        <v>879</v>
      </c>
      <c r="C427" s="3"/>
      <c r="D427" s="6" t="str">
        <f aca="false">I427   &amp; IF(ISBLANK(M427),, ". "&amp; M427 &amp; IF(ISBLANK(Q427),, ". "&amp; Q427))</f>
        <v>FindWool</v>
      </c>
      <c r="E427" s="6" t="str">
        <f aca="false">I427  &amp;": # "&amp; L427  &amp; IF(ISBLANK(M427),, ". "&amp; M427 &amp;": # "&amp; P427 &amp; IF(ISBLANK(Q427),, ". "&amp; Q427 &amp;": # "&amp; T427))</f>
        <v>FindWool: # </v>
      </c>
      <c r="F427" s="6" t="str">
        <f aca="false">IF(U427,"active pal",)  &amp; IF(V427,"working",) &amp; IF(W427,"mounted",) &amp; IF(Y427,"in party (buff)",)  &amp; IF(Z427,"always",)</f>
        <v/>
      </c>
      <c r="G427" s="6"/>
      <c r="H427" s="6"/>
      <c r="I427" s="3" t="s">
        <v>2337</v>
      </c>
      <c r="J427" s="3" t="s">
        <v>2338</v>
      </c>
      <c r="K427" s="6" t="s">
        <v>2350</v>
      </c>
      <c r="L427" s="6"/>
      <c r="M427" s="6"/>
      <c r="N427" s="6"/>
      <c r="O427" s="6"/>
      <c r="P427" s="6"/>
      <c r="Q427" s="6"/>
      <c r="R427" s="6"/>
      <c r="S427" s="6"/>
      <c r="T427" s="6"/>
      <c r="U427" s="6"/>
      <c r="V427" s="6"/>
      <c r="W427" s="6"/>
      <c r="X427" s="6"/>
      <c r="Y427" s="6"/>
      <c r="Z427" s="6"/>
      <c r="AA427" s="6"/>
      <c r="AB427" s="6"/>
      <c r="AC427" s="6"/>
      <c r="AD427" s="6"/>
      <c r="AE427" s="6"/>
      <c r="AF427" s="6"/>
      <c r="AG427" s="6"/>
      <c r="AH427" s="6"/>
    </row>
    <row r="428" customFormat="false" ht="15.75" hidden="false" customHeight="false" outlineLevel="0" collapsed="false">
      <c r="A428" s="3" t="s">
        <v>2336</v>
      </c>
      <c r="B428" s="6" t="s">
        <v>880</v>
      </c>
      <c r="C428" s="3"/>
      <c r="D428" s="6" t="str">
        <f aca="false">I428   &amp; IF(ISBLANK(M428),, ". "&amp; M428 &amp; IF(ISBLANK(Q428),, ". "&amp; Q428))</f>
        <v>FindWool</v>
      </c>
      <c r="E428" s="6" t="str">
        <f aca="false">I428  &amp;": # "&amp; L428  &amp; IF(ISBLANK(M428),, ". "&amp; M428 &amp;": # "&amp; P428 &amp; IF(ISBLANK(Q428),, ". "&amp; Q428 &amp;": # "&amp; T428))</f>
        <v>FindWool: # </v>
      </c>
      <c r="F428" s="6" t="str">
        <f aca="false">IF(U428,"active pal",)  &amp; IF(V428,"working",) &amp; IF(W428,"mounted",) &amp; IF(Y428,"in party (buff)",)  &amp; IF(Z428,"always",)</f>
        <v/>
      </c>
      <c r="G428" s="6"/>
      <c r="H428" s="6"/>
      <c r="I428" s="3" t="s">
        <v>2337</v>
      </c>
      <c r="J428" s="3" t="s">
        <v>2338</v>
      </c>
      <c r="K428" s="6" t="s">
        <v>2351</v>
      </c>
      <c r="L428" s="6"/>
      <c r="M428" s="6"/>
      <c r="N428" s="6"/>
      <c r="O428" s="6"/>
      <c r="P428" s="6"/>
      <c r="Q428" s="6"/>
      <c r="R428" s="6"/>
      <c r="S428" s="6"/>
      <c r="T428" s="6"/>
      <c r="U428" s="6"/>
      <c r="V428" s="6"/>
      <c r="W428" s="6"/>
      <c r="X428" s="6"/>
      <c r="Y428" s="6"/>
      <c r="Z428" s="6"/>
      <c r="AA428" s="6"/>
      <c r="AB428" s="6"/>
      <c r="AC428" s="6"/>
      <c r="AD428" s="6"/>
      <c r="AE428" s="6"/>
      <c r="AF428" s="6"/>
      <c r="AG428" s="6"/>
      <c r="AH428" s="6"/>
    </row>
    <row r="429" customFormat="false" ht="15.75" hidden="false" customHeight="false" outlineLevel="0" collapsed="false">
      <c r="A429" s="3" t="s">
        <v>2336</v>
      </c>
      <c r="B429" s="6" t="s">
        <v>881</v>
      </c>
      <c r="C429" s="3"/>
      <c r="D429" s="6" t="str">
        <f aca="false">I429   &amp; IF(ISBLANK(M429),, ". "&amp; M429 &amp; IF(ISBLANK(Q429),, ". "&amp; Q429))</f>
        <v>FindWool</v>
      </c>
      <c r="E429" s="6" t="str">
        <f aca="false">I429  &amp;": # "&amp; L429  &amp; IF(ISBLANK(M429),, ". "&amp; M429 &amp;": # "&amp; P429 &amp; IF(ISBLANK(Q429),, ". "&amp; Q429 &amp;": # "&amp; T429))</f>
        <v>FindWool: # </v>
      </c>
      <c r="F429" s="6" t="str">
        <f aca="false">IF(U429,"active pal",)  &amp; IF(V429,"working",) &amp; IF(W429,"mounted",) &amp; IF(Y429,"in party (buff)",)  &amp; IF(Z429,"always",)</f>
        <v/>
      </c>
      <c r="G429" s="6"/>
      <c r="H429" s="6"/>
      <c r="I429" s="3" t="s">
        <v>2337</v>
      </c>
      <c r="J429" s="3" t="s">
        <v>2338</v>
      </c>
      <c r="K429" s="6" t="s">
        <v>2352</v>
      </c>
      <c r="L429" s="6"/>
      <c r="M429" s="6"/>
      <c r="N429" s="6"/>
      <c r="O429" s="6"/>
      <c r="P429" s="6"/>
      <c r="Q429" s="6"/>
      <c r="R429" s="6"/>
      <c r="S429" s="6"/>
      <c r="T429" s="6"/>
      <c r="U429" s="6"/>
      <c r="V429" s="6"/>
      <c r="W429" s="6"/>
      <c r="X429" s="6"/>
      <c r="Y429" s="6"/>
      <c r="Z429" s="6"/>
      <c r="AA429" s="6"/>
      <c r="AB429" s="6"/>
      <c r="AC429" s="6"/>
      <c r="AD429" s="6"/>
      <c r="AE429" s="6"/>
      <c r="AF429" s="6"/>
      <c r="AG429" s="6"/>
      <c r="AH429" s="6"/>
    </row>
    <row r="430" customFormat="false" ht="15.75" hidden="false" customHeight="false" outlineLevel="0" collapsed="false">
      <c r="A430" s="3" t="s">
        <v>2336</v>
      </c>
      <c r="B430" s="6" t="s">
        <v>882</v>
      </c>
      <c r="C430" s="3"/>
      <c r="D430" s="6" t="str">
        <f aca="false">I430   &amp; IF(ISBLANK(M430),, ". "&amp; M430 &amp; IF(ISBLANK(Q430),, ". "&amp; Q430))</f>
        <v>FindWool</v>
      </c>
      <c r="E430" s="6" t="str">
        <f aca="false">I430  &amp;": # "&amp; L430  &amp; IF(ISBLANK(M430),, ". "&amp; M430 &amp;": # "&amp; P430 &amp; IF(ISBLANK(Q430),, ". "&amp; Q430 &amp;": # "&amp; T430))</f>
        <v>FindWool: # </v>
      </c>
      <c r="F430" s="6" t="str">
        <f aca="false">IF(U430,"active pal",)  &amp; IF(V430,"working",) &amp; IF(W430,"mounted",) &amp; IF(Y430,"in party (buff)",)  &amp; IF(Z430,"always",)</f>
        <v/>
      </c>
      <c r="G430" s="6"/>
      <c r="H430" s="6"/>
      <c r="I430" s="3" t="s">
        <v>2337</v>
      </c>
      <c r="J430" s="3" t="s">
        <v>2338</v>
      </c>
      <c r="K430" s="6" t="s">
        <v>2353</v>
      </c>
      <c r="L430" s="6"/>
      <c r="M430" s="6"/>
      <c r="N430" s="6"/>
      <c r="O430" s="6"/>
      <c r="P430" s="6"/>
      <c r="Q430" s="6"/>
      <c r="R430" s="6"/>
      <c r="S430" s="6"/>
      <c r="T430" s="6"/>
      <c r="U430" s="6"/>
      <c r="V430" s="6"/>
      <c r="W430" s="6"/>
      <c r="X430" s="6"/>
      <c r="Y430" s="6"/>
      <c r="Z430" s="6"/>
      <c r="AA430" s="6"/>
      <c r="AB430" s="6"/>
      <c r="AC430" s="6"/>
      <c r="AD430" s="6"/>
      <c r="AE430" s="6"/>
      <c r="AF430" s="6"/>
      <c r="AG430" s="6"/>
      <c r="AH430" s="6"/>
    </row>
    <row r="431" customFormat="false" ht="15.75" hidden="false" customHeight="false" outlineLevel="0" collapsed="false">
      <c r="A431" s="3" t="s">
        <v>2336</v>
      </c>
      <c r="B431" s="6" t="s">
        <v>883</v>
      </c>
      <c r="C431" s="3"/>
      <c r="D431" s="6" t="str">
        <f aca="false">I431   &amp; IF(ISBLANK(M431),, ". "&amp; M431 &amp; IF(ISBLANK(Q431),, ". "&amp; Q431))</f>
        <v>FindWool</v>
      </c>
      <c r="E431" s="6" t="str">
        <f aca="false">I431  &amp;": # "&amp; L431  &amp; IF(ISBLANK(M431),, ". "&amp; M431 &amp;": # "&amp; P431 &amp; IF(ISBLANK(Q431),, ". "&amp; Q431 &amp;": # "&amp; T431))</f>
        <v>FindWool: # </v>
      </c>
      <c r="F431" s="6" t="str">
        <f aca="false">IF(U431,"active pal",)  &amp; IF(V431,"working",) &amp; IF(W431,"mounted",) &amp; IF(Y431,"in party (buff)",)  &amp; IF(Z431,"always",)</f>
        <v/>
      </c>
      <c r="G431" s="6"/>
      <c r="H431" s="6"/>
      <c r="I431" s="3" t="s">
        <v>2337</v>
      </c>
      <c r="J431" s="3" t="s">
        <v>2338</v>
      </c>
      <c r="K431" s="6" t="s">
        <v>2354</v>
      </c>
      <c r="L431" s="6"/>
      <c r="M431" s="6"/>
      <c r="N431" s="6"/>
      <c r="O431" s="6"/>
      <c r="P431" s="6"/>
      <c r="Q431" s="6"/>
      <c r="R431" s="6"/>
      <c r="S431" s="6"/>
      <c r="T431" s="6"/>
      <c r="U431" s="6"/>
      <c r="V431" s="6"/>
      <c r="W431" s="6"/>
      <c r="X431" s="6"/>
      <c r="Y431" s="6"/>
      <c r="Z431" s="6"/>
      <c r="AA431" s="6"/>
      <c r="AB431" s="6"/>
      <c r="AC431" s="6"/>
      <c r="AD431" s="6"/>
      <c r="AE431" s="6"/>
      <c r="AF431" s="6"/>
      <c r="AG431" s="6"/>
      <c r="AH431" s="6"/>
    </row>
    <row r="432" customFormat="false" ht="15.75" hidden="false" customHeight="false" outlineLevel="0" collapsed="false">
      <c r="A432" s="3" t="s">
        <v>2336</v>
      </c>
      <c r="B432" s="6" t="s">
        <v>927</v>
      </c>
      <c r="C432" s="3"/>
      <c r="D432" s="6" t="str">
        <f aca="false">I432   &amp; IF(ISBLANK(M432),, ". "&amp; M432 &amp; IF(ISBLANK(Q432),, ". "&amp; Q432))</f>
        <v>FindSweet</v>
      </c>
      <c r="E432" s="6" t="str">
        <f aca="false">I432  &amp;": # "&amp; L432  &amp; IF(ISBLANK(M432),, ". "&amp; M432 &amp;": # "&amp; P432 &amp; IF(ISBLANK(Q432),, ". "&amp; Q432 &amp;": # "&amp; T432))</f>
        <v>FindSweet: # </v>
      </c>
      <c r="F432" s="6" t="str">
        <f aca="false">IF(U432,"active pal",)  &amp; IF(V432,"working",) &amp; IF(W432,"mounted",) &amp; IF(Y432,"in party (buff)",)  &amp; IF(Z432,"always",)</f>
        <v/>
      </c>
      <c r="G432" s="6"/>
      <c r="H432" s="6"/>
      <c r="I432" s="3" t="s">
        <v>2371</v>
      </c>
      <c r="J432" s="3" t="s">
        <v>2338</v>
      </c>
      <c r="K432" s="6" t="s">
        <v>2350</v>
      </c>
      <c r="L432" s="6"/>
      <c r="M432" s="6"/>
      <c r="N432" s="6"/>
      <c r="O432" s="6"/>
      <c r="P432" s="6"/>
      <c r="Q432" s="6"/>
      <c r="R432" s="6"/>
      <c r="S432" s="6"/>
      <c r="T432" s="6"/>
      <c r="U432" s="6"/>
      <c r="V432" s="6"/>
      <c r="W432" s="6"/>
      <c r="X432" s="6"/>
      <c r="Y432" s="6"/>
      <c r="Z432" s="6"/>
      <c r="AA432" s="6"/>
      <c r="AB432" s="6"/>
      <c r="AC432" s="6"/>
      <c r="AD432" s="6"/>
      <c r="AE432" s="6"/>
      <c r="AF432" s="6"/>
      <c r="AG432" s="6"/>
      <c r="AH432" s="6"/>
    </row>
    <row r="433" customFormat="false" ht="15.75" hidden="false" customHeight="false" outlineLevel="0" collapsed="false">
      <c r="A433" s="3" t="s">
        <v>2336</v>
      </c>
      <c r="B433" s="6" t="s">
        <v>928</v>
      </c>
      <c r="C433" s="3"/>
      <c r="D433" s="6" t="str">
        <f aca="false">I433   &amp; IF(ISBLANK(M433),, ". "&amp; M433 &amp; IF(ISBLANK(Q433),, ". "&amp; Q433))</f>
        <v>FindSweet</v>
      </c>
      <c r="E433" s="6" t="str">
        <f aca="false">I433  &amp;": # "&amp; L433  &amp; IF(ISBLANK(M433),, ". "&amp; M433 &amp;": # "&amp; P433 &amp; IF(ISBLANK(Q433),, ". "&amp; Q433 &amp;": # "&amp; T433))</f>
        <v>FindSweet: # </v>
      </c>
      <c r="F433" s="6" t="str">
        <f aca="false">IF(U433,"active pal",)  &amp; IF(V433,"working",) &amp; IF(W433,"mounted",) &amp; IF(Y433,"in party (buff)",)  &amp; IF(Z433,"always",)</f>
        <v/>
      </c>
      <c r="G433" s="6"/>
      <c r="H433" s="6"/>
      <c r="I433" s="3" t="s">
        <v>2371</v>
      </c>
      <c r="J433" s="3" t="s">
        <v>2338</v>
      </c>
      <c r="K433" s="6" t="s">
        <v>2351</v>
      </c>
      <c r="L433" s="6"/>
      <c r="M433" s="6"/>
      <c r="N433" s="6"/>
      <c r="O433" s="6"/>
      <c r="P433" s="6"/>
      <c r="Q433" s="6"/>
      <c r="R433" s="6"/>
      <c r="S433" s="6"/>
      <c r="T433" s="6"/>
      <c r="U433" s="6"/>
      <c r="V433" s="6"/>
      <c r="W433" s="6"/>
      <c r="X433" s="6"/>
      <c r="Y433" s="6"/>
      <c r="Z433" s="6"/>
      <c r="AA433" s="6"/>
      <c r="AB433" s="6"/>
      <c r="AC433" s="6"/>
      <c r="AD433" s="6"/>
      <c r="AE433" s="6"/>
      <c r="AF433" s="6"/>
      <c r="AG433" s="6"/>
      <c r="AH433" s="6"/>
    </row>
    <row r="434" customFormat="false" ht="15.75" hidden="false" customHeight="false" outlineLevel="0" collapsed="false">
      <c r="A434" s="3" t="s">
        <v>2336</v>
      </c>
      <c r="B434" s="6" t="s">
        <v>929</v>
      </c>
      <c r="C434" s="3"/>
      <c r="D434" s="6" t="str">
        <f aca="false">I434   &amp; IF(ISBLANK(M434),, ". "&amp; M434 &amp; IF(ISBLANK(Q434),, ". "&amp; Q434))</f>
        <v>FindSweet</v>
      </c>
      <c r="E434" s="6" t="str">
        <f aca="false">I434  &amp;": # "&amp; L434  &amp; IF(ISBLANK(M434),, ". "&amp; M434 &amp;": # "&amp; P434 &amp; IF(ISBLANK(Q434),, ". "&amp; Q434 &amp;": # "&amp; T434))</f>
        <v>FindSweet: # </v>
      </c>
      <c r="F434" s="6" t="str">
        <f aca="false">IF(U434,"active pal",)  &amp; IF(V434,"working",) &amp; IF(W434,"mounted",) &amp; IF(Y434,"in party (buff)",)  &amp; IF(Z434,"always",)</f>
        <v/>
      </c>
      <c r="G434" s="6"/>
      <c r="H434" s="6"/>
      <c r="I434" s="3" t="s">
        <v>2371</v>
      </c>
      <c r="J434" s="3" t="s">
        <v>2338</v>
      </c>
      <c r="K434" s="6" t="s">
        <v>2352</v>
      </c>
      <c r="L434" s="6"/>
      <c r="M434" s="6"/>
      <c r="N434" s="6"/>
      <c r="O434" s="6"/>
      <c r="P434" s="6"/>
      <c r="Q434" s="6"/>
      <c r="R434" s="6"/>
      <c r="S434" s="6"/>
      <c r="T434" s="6"/>
      <c r="U434" s="6"/>
      <c r="V434" s="6"/>
      <c r="W434" s="6"/>
      <c r="X434" s="6"/>
      <c r="Y434" s="6"/>
      <c r="Z434" s="6"/>
      <c r="AA434" s="6"/>
      <c r="AB434" s="6"/>
      <c r="AC434" s="6"/>
      <c r="AD434" s="6"/>
      <c r="AE434" s="6"/>
      <c r="AF434" s="6"/>
      <c r="AG434" s="6"/>
      <c r="AH434" s="6"/>
    </row>
    <row r="435" customFormat="false" ht="15.75" hidden="false" customHeight="false" outlineLevel="0" collapsed="false">
      <c r="A435" s="3" t="s">
        <v>2336</v>
      </c>
      <c r="B435" s="6" t="s">
        <v>930</v>
      </c>
      <c r="C435" s="3"/>
      <c r="D435" s="6" t="str">
        <f aca="false">I435   &amp; IF(ISBLANK(M435),, ". "&amp; M435 &amp; IF(ISBLANK(Q435),, ". "&amp; Q435))</f>
        <v>FindSweet</v>
      </c>
      <c r="E435" s="6" t="str">
        <f aca="false">I435  &amp;": # "&amp; L435  &amp; IF(ISBLANK(M435),, ". "&amp; M435 &amp;": # "&amp; P435 &amp; IF(ISBLANK(Q435),, ". "&amp; Q435 &amp;": # "&amp; T435))</f>
        <v>FindSweet: # </v>
      </c>
      <c r="F435" s="6" t="str">
        <f aca="false">IF(U435,"active pal",)  &amp; IF(V435,"working",) &amp; IF(W435,"mounted",) &amp; IF(Y435,"in party (buff)",)  &amp; IF(Z435,"always",)</f>
        <v/>
      </c>
      <c r="G435" s="6"/>
      <c r="H435" s="6"/>
      <c r="I435" s="3" t="s">
        <v>2371</v>
      </c>
      <c r="J435" s="3" t="s">
        <v>2338</v>
      </c>
      <c r="K435" s="6" t="s">
        <v>2353</v>
      </c>
      <c r="L435" s="6"/>
      <c r="M435" s="6"/>
      <c r="N435" s="6"/>
      <c r="O435" s="6"/>
      <c r="P435" s="6"/>
      <c r="Q435" s="6"/>
      <c r="R435" s="6"/>
      <c r="S435" s="6"/>
      <c r="T435" s="6"/>
      <c r="U435" s="6"/>
      <c r="V435" s="6"/>
      <c r="W435" s="6"/>
      <c r="X435" s="6"/>
      <c r="Y435" s="6"/>
      <c r="Z435" s="6"/>
      <c r="AA435" s="6"/>
      <c r="AB435" s="6"/>
      <c r="AC435" s="6"/>
      <c r="AD435" s="6"/>
      <c r="AE435" s="6"/>
      <c r="AF435" s="6"/>
      <c r="AG435" s="6"/>
      <c r="AH435" s="6"/>
    </row>
    <row r="436" customFormat="false" ht="15.75" hidden="false" customHeight="false" outlineLevel="0" collapsed="false">
      <c r="A436" s="3" t="s">
        <v>2336</v>
      </c>
      <c r="B436" s="6" t="s">
        <v>931</v>
      </c>
      <c r="C436" s="3"/>
      <c r="D436" s="6" t="str">
        <f aca="false">I436   &amp; IF(ISBLANK(M436),, ". "&amp; M436 &amp; IF(ISBLANK(Q436),, ". "&amp; Q436))</f>
        <v>FindSweet</v>
      </c>
      <c r="E436" s="6" t="str">
        <f aca="false">I436  &amp;": # "&amp; L436  &amp; IF(ISBLANK(M436),, ". "&amp; M436 &amp;": # "&amp; P436 &amp; IF(ISBLANK(Q436),, ". "&amp; Q436 &amp;": # "&amp; T436))</f>
        <v>FindSweet: # </v>
      </c>
      <c r="F436" s="6" t="str">
        <f aca="false">IF(U436,"active pal",)  &amp; IF(V436,"working",) &amp; IF(W436,"mounted",) &amp; IF(Y436,"in party (buff)",)  &amp; IF(Z436,"always",)</f>
        <v/>
      </c>
      <c r="G436" s="6"/>
      <c r="H436" s="6"/>
      <c r="I436" s="3" t="s">
        <v>2371</v>
      </c>
      <c r="J436" s="3" t="s">
        <v>2338</v>
      </c>
      <c r="K436" s="6" t="s">
        <v>2354</v>
      </c>
      <c r="L436" s="6"/>
      <c r="M436" s="6"/>
      <c r="N436" s="6"/>
      <c r="O436" s="6"/>
      <c r="P436" s="6"/>
      <c r="Q436" s="6"/>
      <c r="R436" s="6"/>
      <c r="S436" s="6"/>
      <c r="T436" s="6"/>
      <c r="U436" s="6"/>
      <c r="V436" s="6"/>
      <c r="W436" s="6"/>
      <c r="X436" s="6"/>
      <c r="Y436" s="6"/>
      <c r="Z436" s="6"/>
      <c r="AA436" s="6"/>
      <c r="AB436" s="6"/>
      <c r="AC436" s="6"/>
      <c r="AD436" s="6"/>
      <c r="AE436" s="6"/>
      <c r="AF436" s="6"/>
      <c r="AG436" s="6"/>
      <c r="AH436" s="6"/>
    </row>
    <row r="437" customFormat="false" ht="15.75" hidden="false" customHeight="false" outlineLevel="0" collapsed="false">
      <c r="A437" s="3" t="s">
        <v>2336</v>
      </c>
      <c r="B437" s="6" t="s">
        <v>1052</v>
      </c>
      <c r="C437" s="3"/>
      <c r="D437" s="6" t="str">
        <f aca="false">I437   &amp; IF(ISBLANK(M437),, ". "&amp; M437 &amp; IF(ISBLANK(Q437),, ". "&amp; Q437))</f>
        <v>FindCloth</v>
      </c>
      <c r="E437" s="6" t="str">
        <f aca="false">I437  &amp;": # "&amp; L437  &amp; IF(ISBLANK(M437),, ". "&amp; M437 &amp;": # "&amp; P437 &amp; IF(ISBLANK(Q437),, ". "&amp; Q437 &amp;": # "&amp; T437))</f>
        <v>FindCloth: # </v>
      </c>
      <c r="F437" s="6" t="str">
        <f aca="false">IF(U437,"active pal",)  &amp; IF(V437,"working",) &amp; IF(W437,"mounted",) &amp; IF(Y437,"in party (buff)",)  &amp; IF(Z437,"always",)</f>
        <v/>
      </c>
      <c r="G437" s="6"/>
      <c r="H437" s="6"/>
      <c r="I437" s="3" t="s">
        <v>2372</v>
      </c>
      <c r="J437" s="3" t="s">
        <v>2338</v>
      </c>
      <c r="K437" s="6" t="s">
        <v>2350</v>
      </c>
      <c r="L437" s="6"/>
      <c r="M437" s="6"/>
      <c r="N437" s="6"/>
      <c r="O437" s="6"/>
      <c r="P437" s="6"/>
      <c r="Q437" s="6"/>
      <c r="R437" s="6"/>
      <c r="S437" s="6"/>
      <c r="T437" s="6"/>
      <c r="U437" s="6"/>
      <c r="V437" s="6"/>
      <c r="W437" s="6"/>
      <c r="X437" s="6"/>
      <c r="Y437" s="6"/>
      <c r="Z437" s="6"/>
      <c r="AA437" s="6"/>
      <c r="AB437" s="6"/>
      <c r="AC437" s="6"/>
      <c r="AD437" s="6"/>
      <c r="AE437" s="6"/>
      <c r="AF437" s="6"/>
      <c r="AG437" s="6"/>
      <c r="AH437" s="6"/>
    </row>
    <row r="438" customFormat="false" ht="15.75" hidden="false" customHeight="false" outlineLevel="0" collapsed="false">
      <c r="A438" s="3" t="s">
        <v>2336</v>
      </c>
      <c r="B438" s="6" t="s">
        <v>1053</v>
      </c>
      <c r="C438" s="3"/>
      <c r="D438" s="6" t="str">
        <f aca="false">I438   &amp; IF(ISBLANK(M438),, ". "&amp; M438 &amp; IF(ISBLANK(Q438),, ". "&amp; Q438))</f>
        <v>FindCloth</v>
      </c>
      <c r="E438" s="6" t="str">
        <f aca="false">I438  &amp;": # "&amp; L438  &amp; IF(ISBLANK(M438),, ". "&amp; M438 &amp;": # "&amp; P438 &amp; IF(ISBLANK(Q438),, ". "&amp; Q438 &amp;": # "&amp; T438))</f>
        <v>FindCloth: # </v>
      </c>
      <c r="F438" s="6" t="str">
        <f aca="false">IF(U438,"active pal",)  &amp; IF(V438,"working",) &amp; IF(W438,"mounted",) &amp; IF(Y438,"in party (buff)",)  &amp; IF(Z438,"always",)</f>
        <v/>
      </c>
      <c r="G438" s="6"/>
      <c r="H438" s="6"/>
      <c r="I438" s="3" t="s">
        <v>2372</v>
      </c>
      <c r="J438" s="3" t="s">
        <v>2338</v>
      </c>
      <c r="K438" s="6" t="s">
        <v>2351</v>
      </c>
      <c r="L438" s="6"/>
      <c r="M438" s="6"/>
      <c r="N438" s="6"/>
      <c r="O438" s="6"/>
      <c r="P438" s="6"/>
      <c r="Q438" s="6"/>
      <c r="R438" s="6"/>
      <c r="S438" s="6"/>
      <c r="T438" s="6"/>
      <c r="U438" s="6"/>
      <c r="V438" s="6"/>
      <c r="W438" s="6"/>
      <c r="X438" s="6"/>
      <c r="Y438" s="6"/>
      <c r="Z438" s="6"/>
      <c r="AA438" s="6"/>
      <c r="AB438" s="6"/>
      <c r="AC438" s="6"/>
      <c r="AD438" s="6"/>
      <c r="AE438" s="6"/>
      <c r="AF438" s="6"/>
      <c r="AG438" s="6"/>
      <c r="AH438" s="6"/>
    </row>
    <row r="439" customFormat="false" ht="15.75" hidden="false" customHeight="false" outlineLevel="0" collapsed="false">
      <c r="A439" s="3" t="s">
        <v>2336</v>
      </c>
      <c r="B439" s="6" t="s">
        <v>1054</v>
      </c>
      <c r="C439" s="3"/>
      <c r="D439" s="6" t="str">
        <f aca="false">I439   &amp; IF(ISBLANK(M439),, ". "&amp; M439 &amp; IF(ISBLANK(Q439),, ". "&amp; Q439))</f>
        <v>FindCloth</v>
      </c>
      <c r="E439" s="6" t="str">
        <f aca="false">I439  &amp;": # "&amp; L439  &amp; IF(ISBLANK(M439),, ". "&amp; M439 &amp;": # "&amp; P439 &amp; IF(ISBLANK(Q439),, ". "&amp; Q439 &amp;": # "&amp; T439))</f>
        <v>FindCloth: # </v>
      </c>
      <c r="F439" s="6" t="str">
        <f aca="false">IF(U439,"active pal",)  &amp; IF(V439,"working",) &amp; IF(W439,"mounted",) &amp; IF(Y439,"in party (buff)",)  &amp; IF(Z439,"always",)</f>
        <v/>
      </c>
      <c r="G439" s="6"/>
      <c r="H439" s="6"/>
      <c r="I439" s="3" t="s">
        <v>2372</v>
      </c>
      <c r="J439" s="3" t="s">
        <v>2338</v>
      </c>
      <c r="K439" s="6" t="s">
        <v>2352</v>
      </c>
      <c r="L439" s="6"/>
      <c r="M439" s="6"/>
      <c r="N439" s="6"/>
      <c r="O439" s="6"/>
      <c r="P439" s="6"/>
      <c r="Q439" s="6"/>
      <c r="R439" s="6"/>
      <c r="S439" s="6"/>
      <c r="T439" s="6"/>
      <c r="U439" s="6"/>
      <c r="V439" s="6"/>
      <c r="W439" s="6"/>
      <c r="X439" s="6"/>
      <c r="Y439" s="6"/>
      <c r="Z439" s="6"/>
      <c r="AA439" s="6"/>
      <c r="AB439" s="6"/>
      <c r="AC439" s="6"/>
      <c r="AD439" s="6"/>
      <c r="AE439" s="6"/>
      <c r="AF439" s="6"/>
      <c r="AG439" s="6"/>
      <c r="AH439" s="6"/>
    </row>
    <row r="440" customFormat="false" ht="15.75" hidden="false" customHeight="false" outlineLevel="0" collapsed="false">
      <c r="A440" s="3" t="s">
        <v>2336</v>
      </c>
      <c r="B440" s="6" t="s">
        <v>1055</v>
      </c>
      <c r="C440" s="3"/>
      <c r="D440" s="6" t="str">
        <f aca="false">I440   &amp; IF(ISBLANK(M440),, ". "&amp; M440 &amp; IF(ISBLANK(Q440),, ". "&amp; Q440))</f>
        <v>FindCloth</v>
      </c>
      <c r="E440" s="6" t="str">
        <f aca="false">I440  &amp;": # "&amp; L440  &amp; IF(ISBLANK(M440),, ". "&amp; M440 &amp;": # "&amp; P440 &amp; IF(ISBLANK(Q440),, ". "&amp; Q440 &amp;": # "&amp; T440))</f>
        <v>FindCloth: # </v>
      </c>
      <c r="F440" s="6" t="str">
        <f aca="false">IF(U440,"active pal",)  &amp; IF(V440,"working",) &amp; IF(W440,"mounted",) &amp; IF(Y440,"in party (buff)",)  &amp; IF(Z440,"always",)</f>
        <v/>
      </c>
      <c r="G440" s="6"/>
      <c r="H440" s="6"/>
      <c r="I440" s="3" t="s">
        <v>2372</v>
      </c>
      <c r="J440" s="3" t="s">
        <v>2338</v>
      </c>
      <c r="K440" s="6" t="s">
        <v>2353</v>
      </c>
      <c r="L440" s="6"/>
      <c r="M440" s="6"/>
      <c r="N440" s="6"/>
      <c r="O440" s="6"/>
      <c r="P440" s="6"/>
      <c r="Q440" s="6"/>
      <c r="R440" s="6"/>
      <c r="S440" s="6"/>
      <c r="T440" s="6"/>
      <c r="U440" s="6"/>
      <c r="V440" s="6"/>
      <c r="W440" s="6"/>
      <c r="X440" s="6"/>
      <c r="Y440" s="6"/>
      <c r="Z440" s="6"/>
      <c r="AA440" s="6"/>
      <c r="AB440" s="6"/>
      <c r="AC440" s="6"/>
      <c r="AD440" s="6"/>
      <c r="AE440" s="6"/>
      <c r="AF440" s="6"/>
      <c r="AG440" s="6"/>
      <c r="AH440" s="6"/>
    </row>
    <row r="441" customFormat="false" ht="15.75" hidden="false" customHeight="false" outlineLevel="0" collapsed="false">
      <c r="A441" s="3" t="s">
        <v>2336</v>
      </c>
      <c r="B441" s="6" t="s">
        <v>1056</v>
      </c>
      <c r="C441" s="3"/>
      <c r="D441" s="6" t="str">
        <f aca="false">I441   &amp; IF(ISBLANK(M441),, ". "&amp; M441 &amp; IF(ISBLANK(Q441),, ". "&amp; Q441))</f>
        <v>FindCloth</v>
      </c>
      <c r="E441" s="6" t="str">
        <f aca="false">I441  &amp;": # "&amp; L441  &amp; IF(ISBLANK(M441),, ". "&amp; M441 &amp;": # "&amp; P441 &amp; IF(ISBLANK(Q441),, ". "&amp; Q441 &amp;": # "&amp; T441))</f>
        <v>FindCloth: # </v>
      </c>
      <c r="F441" s="6" t="str">
        <f aca="false">IF(U441,"active pal",)  &amp; IF(V441,"working",) &amp; IF(W441,"mounted",) &amp; IF(Y441,"in party (buff)",)  &amp; IF(Z441,"always",)</f>
        <v/>
      </c>
      <c r="G441" s="6"/>
      <c r="H441" s="6"/>
      <c r="I441" s="3" t="s">
        <v>2372</v>
      </c>
      <c r="J441" s="3" t="s">
        <v>2338</v>
      </c>
      <c r="K441" s="6" t="s">
        <v>2354</v>
      </c>
      <c r="L441" s="6"/>
      <c r="M441" s="6"/>
      <c r="N441" s="6"/>
      <c r="O441" s="6"/>
      <c r="P441" s="6"/>
      <c r="Q441" s="6"/>
      <c r="R441" s="6"/>
      <c r="S441" s="6"/>
      <c r="T441" s="6"/>
      <c r="U441" s="6"/>
      <c r="V441" s="6"/>
      <c r="W441" s="6"/>
      <c r="X441" s="6"/>
      <c r="Y441" s="6"/>
      <c r="Z441" s="6"/>
      <c r="AA441" s="6"/>
      <c r="AB441" s="6"/>
      <c r="AC441" s="6"/>
      <c r="AD441" s="6"/>
      <c r="AE441" s="6"/>
      <c r="AF441" s="6"/>
      <c r="AG441" s="6"/>
      <c r="AH441" s="6"/>
    </row>
    <row r="442" customFormat="false" ht="15.75" hidden="false" customHeight="false" outlineLevel="0" collapsed="false">
      <c r="A442" s="3" t="s">
        <v>2336</v>
      </c>
      <c r="B442" s="6" t="s">
        <v>1105</v>
      </c>
      <c r="C442" s="3"/>
      <c r="D442" s="6" t="str">
        <f aca="false">I442   &amp; IF(ISBLANK(M442),, ". "&amp; M442 &amp; IF(ISBLANK(Q442),, ". "&amp; Q442))</f>
        <v>FindHoney</v>
      </c>
      <c r="E442" s="6" t="str">
        <f aca="false">I442  &amp;": # "&amp; L442  &amp; IF(ISBLANK(M442),, ". "&amp; M442 &amp;": # "&amp; P442 &amp; IF(ISBLANK(Q442),, ". "&amp; Q442 &amp;": # "&amp; T442))</f>
        <v>FindHoney: # </v>
      </c>
      <c r="F442" s="6"/>
      <c r="G442" s="6"/>
      <c r="H442" s="6"/>
      <c r="I442" s="3" t="s">
        <v>2373</v>
      </c>
      <c r="J442" s="3" t="s">
        <v>2338</v>
      </c>
      <c r="K442" s="6" t="s">
        <v>2350</v>
      </c>
      <c r="L442" s="6"/>
      <c r="M442" s="6"/>
      <c r="N442" s="6"/>
      <c r="O442" s="6"/>
      <c r="P442" s="6"/>
      <c r="Q442" s="6"/>
      <c r="R442" s="6"/>
      <c r="S442" s="6"/>
      <c r="T442" s="6"/>
      <c r="U442" s="6"/>
      <c r="V442" s="6"/>
      <c r="W442" s="6"/>
      <c r="X442" s="6"/>
      <c r="Y442" s="6"/>
      <c r="Z442" s="6"/>
      <c r="AA442" s="6"/>
      <c r="AB442" s="6"/>
      <c r="AC442" s="6"/>
      <c r="AD442" s="6"/>
      <c r="AE442" s="6"/>
      <c r="AF442" s="6"/>
      <c r="AG442" s="6"/>
      <c r="AH442" s="6"/>
    </row>
    <row r="443" customFormat="false" ht="15.75" hidden="false" customHeight="false" outlineLevel="0" collapsed="false">
      <c r="A443" s="3" t="s">
        <v>2336</v>
      </c>
      <c r="B443" s="6" t="s">
        <v>1106</v>
      </c>
      <c r="C443" s="3"/>
      <c r="D443" s="6" t="str">
        <f aca="false">I443   &amp; IF(ISBLANK(M443),, ". "&amp; M443 &amp; IF(ISBLANK(Q443),, ". "&amp; Q443))</f>
        <v>FindHoney</v>
      </c>
      <c r="E443" s="6" t="str">
        <f aca="false">I443  &amp;": # "&amp; L443  &amp; IF(ISBLANK(M443),, ". "&amp; M443 &amp;": # "&amp; P443 &amp; IF(ISBLANK(Q443),, ". "&amp; Q443 &amp;": # "&amp; T443))</f>
        <v>FindHoney: # </v>
      </c>
      <c r="F443" s="6"/>
      <c r="G443" s="6"/>
      <c r="H443" s="6"/>
      <c r="I443" s="3" t="s">
        <v>2373</v>
      </c>
      <c r="J443" s="3" t="s">
        <v>2338</v>
      </c>
      <c r="K443" s="6" t="s">
        <v>2351</v>
      </c>
      <c r="L443" s="6"/>
      <c r="M443" s="6"/>
      <c r="N443" s="6"/>
      <c r="O443" s="6"/>
      <c r="P443" s="6"/>
      <c r="Q443" s="6"/>
      <c r="R443" s="6"/>
      <c r="S443" s="6"/>
      <c r="T443" s="6"/>
      <c r="U443" s="6"/>
      <c r="V443" s="6"/>
      <c r="W443" s="6"/>
      <c r="X443" s="6"/>
      <c r="Y443" s="6"/>
      <c r="Z443" s="6"/>
      <c r="AA443" s="6"/>
      <c r="AB443" s="6"/>
      <c r="AC443" s="6"/>
      <c r="AD443" s="6"/>
      <c r="AE443" s="6"/>
      <c r="AF443" s="6"/>
      <c r="AG443" s="6"/>
      <c r="AH443" s="6"/>
    </row>
    <row r="444" customFormat="false" ht="15.75" hidden="false" customHeight="false" outlineLevel="0" collapsed="false">
      <c r="A444" s="3" t="s">
        <v>2336</v>
      </c>
      <c r="B444" s="6" t="s">
        <v>1107</v>
      </c>
      <c r="C444" s="3"/>
      <c r="D444" s="6" t="str">
        <f aca="false">I444   &amp; IF(ISBLANK(M444),, ". "&amp; M444 &amp; IF(ISBLANK(Q444),, ". "&amp; Q444))</f>
        <v>FindHoney</v>
      </c>
      <c r="E444" s="6" t="str">
        <f aca="false">I444  &amp;": # "&amp; L444  &amp; IF(ISBLANK(M444),, ". "&amp; M444 &amp;": # "&amp; P444 &amp; IF(ISBLANK(Q444),, ". "&amp; Q444 &amp;": # "&amp; T444))</f>
        <v>FindHoney: # </v>
      </c>
      <c r="F444" s="6"/>
      <c r="G444" s="6"/>
      <c r="H444" s="6"/>
      <c r="I444" s="3" t="s">
        <v>2373</v>
      </c>
      <c r="J444" s="3" t="s">
        <v>2338</v>
      </c>
      <c r="K444" s="6" t="s">
        <v>2352</v>
      </c>
      <c r="L444" s="6"/>
      <c r="M444" s="6"/>
      <c r="N444" s="6"/>
      <c r="O444" s="6"/>
      <c r="P444" s="6"/>
      <c r="Q444" s="6"/>
      <c r="R444" s="6"/>
      <c r="S444" s="6"/>
      <c r="T444" s="6"/>
      <c r="U444" s="6"/>
      <c r="V444" s="6"/>
      <c r="W444" s="6"/>
      <c r="X444" s="6"/>
      <c r="Y444" s="6"/>
      <c r="Z444" s="6"/>
      <c r="AA444" s="6"/>
      <c r="AB444" s="6"/>
      <c r="AC444" s="6"/>
      <c r="AD444" s="6"/>
      <c r="AE444" s="6"/>
      <c r="AF444" s="6"/>
      <c r="AG444" s="6"/>
      <c r="AH444" s="6"/>
    </row>
    <row r="445" customFormat="false" ht="15.75" hidden="false" customHeight="false" outlineLevel="0" collapsed="false">
      <c r="A445" s="3" t="s">
        <v>2336</v>
      </c>
      <c r="B445" s="6" t="s">
        <v>1108</v>
      </c>
      <c r="C445" s="3"/>
      <c r="D445" s="6" t="str">
        <f aca="false">I445   &amp; IF(ISBLANK(M445),, ". "&amp; M445 &amp; IF(ISBLANK(Q445),, ". "&amp; Q445))</f>
        <v>FindHoney</v>
      </c>
      <c r="E445" s="6" t="str">
        <f aca="false">I445  &amp;": # "&amp; L445  &amp; IF(ISBLANK(M445),, ". "&amp; M445 &amp;": # "&amp; P445 &amp; IF(ISBLANK(Q445),, ". "&amp; Q445 &amp;": # "&amp; T445))</f>
        <v>FindHoney: # </v>
      </c>
      <c r="F445" s="6"/>
      <c r="G445" s="6"/>
      <c r="H445" s="6"/>
      <c r="I445" s="3" t="s">
        <v>2373</v>
      </c>
      <c r="J445" s="3" t="s">
        <v>2338</v>
      </c>
      <c r="K445" s="6" t="s">
        <v>2353</v>
      </c>
      <c r="L445" s="6"/>
      <c r="M445" s="6"/>
      <c r="N445" s="6"/>
      <c r="O445" s="6"/>
      <c r="P445" s="6"/>
      <c r="Q445" s="6"/>
      <c r="R445" s="6"/>
      <c r="S445" s="6"/>
      <c r="T445" s="6"/>
      <c r="U445" s="6"/>
      <c r="V445" s="6"/>
      <c r="W445" s="6"/>
      <c r="X445" s="6"/>
      <c r="Y445" s="6"/>
      <c r="Z445" s="6"/>
      <c r="AA445" s="6"/>
      <c r="AB445" s="6"/>
      <c r="AC445" s="6"/>
      <c r="AD445" s="6"/>
      <c r="AE445" s="6"/>
      <c r="AF445" s="6"/>
      <c r="AG445" s="6"/>
      <c r="AH445" s="6"/>
    </row>
    <row r="446" customFormat="false" ht="15.75" hidden="false" customHeight="false" outlineLevel="0" collapsed="false">
      <c r="A446" s="3" t="s">
        <v>2336</v>
      </c>
      <c r="B446" s="6" t="s">
        <v>1109</v>
      </c>
      <c r="C446" s="3"/>
      <c r="D446" s="6" t="str">
        <f aca="false">I446   &amp; IF(ISBLANK(M446),, ". "&amp; M446 &amp; IF(ISBLANK(Q446),, ". "&amp; Q446))</f>
        <v>FindHoney</v>
      </c>
      <c r="E446" s="6" t="str">
        <f aca="false">I446  &amp;": # "&amp; L446  &amp; IF(ISBLANK(M446),, ". "&amp; M446 &amp;": # "&amp; P446 &amp; IF(ISBLANK(Q446),, ". "&amp; Q446 &amp;": # "&amp; T446))</f>
        <v>FindHoney: # </v>
      </c>
      <c r="F446" s="6"/>
      <c r="G446" s="6"/>
      <c r="H446" s="6"/>
      <c r="I446" s="3" t="s">
        <v>2373</v>
      </c>
      <c r="J446" s="3" t="s">
        <v>2338</v>
      </c>
      <c r="K446" s="6" t="s">
        <v>2354</v>
      </c>
      <c r="L446" s="6"/>
      <c r="M446" s="6"/>
      <c r="N446" s="6"/>
      <c r="O446" s="6"/>
      <c r="P446" s="6"/>
      <c r="Q446" s="6"/>
      <c r="R446" s="6"/>
      <c r="S446" s="6"/>
      <c r="T446" s="6"/>
      <c r="U446" s="6"/>
      <c r="V446" s="6"/>
      <c r="W446" s="6"/>
      <c r="X446" s="6"/>
      <c r="Y446" s="6"/>
      <c r="Z446" s="6"/>
      <c r="AA446" s="6"/>
      <c r="AB446" s="6"/>
      <c r="AC446" s="6"/>
      <c r="AD446" s="6"/>
      <c r="AE446" s="6"/>
      <c r="AF446" s="6"/>
      <c r="AG446" s="6"/>
      <c r="AH446" s="6"/>
    </row>
    <row r="447" customFormat="false" ht="15.75" hidden="false" customHeight="false" outlineLevel="0" collapsed="false">
      <c r="A447" s="3"/>
      <c r="B447" s="6"/>
      <c r="C447" s="3"/>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row>
    <row r="448" customFormat="false" ht="15.75" hidden="false" customHeight="false" outlineLevel="0" collapsed="false">
      <c r="A448" s="3"/>
      <c r="B448" s="6"/>
      <c r="C448" s="3"/>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row>
    <row r="449" customFormat="false" ht="15.75" hidden="false" customHeight="false" outlineLevel="0" collapsed="false">
      <c r="A449" s="3"/>
      <c r="B449" s="6"/>
      <c r="C449" s="3"/>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row>
    <row r="450" customFormat="false" ht="15.75" hidden="false" customHeight="false" outlineLevel="0" collapsed="false">
      <c r="A450" s="3"/>
      <c r="B450" s="6"/>
      <c r="C450" s="3"/>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row>
    <row r="451" customFormat="false" ht="15.75" hidden="false" customHeight="false" outlineLevel="0" collapsed="false">
      <c r="A451" s="3"/>
      <c r="B451" s="6"/>
      <c r="C451" s="3"/>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row>
    <row r="452" customFormat="false" ht="15.75" hidden="false" customHeight="false" outlineLevel="0" collapsed="false">
      <c r="A452" s="3"/>
      <c r="B452" s="6"/>
      <c r="C452" s="3"/>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row>
    <row r="453" customFormat="false" ht="15.75" hidden="false" customHeight="false" outlineLevel="0" collapsed="false">
      <c r="A453" s="3"/>
      <c r="B453" s="6"/>
      <c r="C453" s="3"/>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row>
    <row r="454" customFormat="false" ht="15.75" hidden="false" customHeight="false" outlineLevel="0" collapsed="false">
      <c r="A454" s="3"/>
      <c r="B454" s="6"/>
      <c r="C454" s="3"/>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row>
    <row r="455" customFormat="false" ht="15.75" hidden="false" customHeight="false" outlineLevel="0" collapsed="false">
      <c r="A455" s="3"/>
      <c r="B455" s="6"/>
      <c r="C455" s="3"/>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row>
    <row r="456" customFormat="false" ht="15.75" hidden="false" customHeight="false" outlineLevel="0" collapsed="false">
      <c r="A456" s="3"/>
      <c r="B456" s="6"/>
      <c r="C456" s="3"/>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row>
    <row r="457" customFormat="false" ht="15.75" hidden="false" customHeight="false" outlineLevel="0" collapsed="false">
      <c r="A457" s="3"/>
      <c r="B457" s="6"/>
      <c r="C457" s="3"/>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row>
    <row r="458" customFormat="false" ht="15.75" hidden="false" customHeight="false" outlineLevel="0" collapsed="false">
      <c r="A458" s="3"/>
      <c r="B458" s="6"/>
      <c r="C458" s="3"/>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row>
    <row r="459" customFormat="false" ht="15.75" hidden="false" customHeight="false" outlineLevel="0" collapsed="false">
      <c r="A459" s="3"/>
      <c r="B459" s="6"/>
      <c r="C459" s="3"/>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row>
    <row r="460" customFormat="false" ht="15.75" hidden="false" customHeight="false" outlineLevel="0" collapsed="false">
      <c r="A460" s="3"/>
      <c r="B460" s="6"/>
      <c r="C460" s="3"/>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row>
    <row r="461" customFormat="false" ht="15.75" hidden="false" customHeight="false" outlineLevel="0" collapsed="false">
      <c r="A461" s="3"/>
      <c r="B461" s="6"/>
      <c r="C461" s="3"/>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row>
    <row r="462" customFormat="false" ht="15.75" hidden="false" customHeight="false" outlineLevel="0" collapsed="false">
      <c r="A462" s="3"/>
      <c r="B462" s="6"/>
      <c r="C462" s="3"/>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row>
    <row r="463" customFormat="false" ht="15.75" hidden="false" customHeight="false" outlineLevel="0" collapsed="false">
      <c r="A463" s="3"/>
      <c r="B463" s="6"/>
      <c r="C463" s="3"/>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row>
    <row r="464" customFormat="false" ht="15.75" hidden="false" customHeight="false" outlineLevel="0" collapsed="false">
      <c r="A464" s="3"/>
      <c r="B464" s="6"/>
      <c r="C464" s="3"/>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row>
    <row r="465" customFormat="false" ht="15.75" hidden="false" customHeight="false" outlineLevel="0" collapsed="false">
      <c r="A465" s="3"/>
      <c r="B465" s="6"/>
      <c r="C465" s="3"/>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row>
    <row r="466" customFormat="false" ht="15.75" hidden="false" customHeight="false" outlineLevel="0" collapsed="false">
      <c r="A466" s="3"/>
      <c r="B466" s="6"/>
      <c r="C466" s="3"/>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row>
    <row r="467" customFormat="false" ht="15.75" hidden="false" customHeight="false" outlineLevel="0" collapsed="false">
      <c r="A467" s="3"/>
      <c r="B467" s="6"/>
      <c r="C467" s="3"/>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row>
    <row r="468" customFormat="false" ht="15.75" hidden="false" customHeight="false" outlineLevel="0" collapsed="false">
      <c r="A468" s="3"/>
      <c r="B468" s="6"/>
      <c r="C468" s="3"/>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row>
    <row r="469" customFormat="false" ht="15.75" hidden="false" customHeight="false" outlineLevel="0" collapsed="false">
      <c r="A469" s="3"/>
      <c r="B469" s="6"/>
      <c r="C469" s="3"/>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row>
    <row r="470" customFormat="false" ht="15.75" hidden="false" customHeight="false" outlineLevel="0" collapsed="false">
      <c r="A470" s="3"/>
      <c r="B470" s="6"/>
      <c r="C470" s="3"/>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row>
    <row r="471" customFormat="false" ht="15.75" hidden="false" customHeight="false" outlineLevel="0" collapsed="false">
      <c r="A471" s="3"/>
      <c r="B471" s="6"/>
      <c r="C471" s="3"/>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row>
    <row r="472" customFormat="false" ht="15.75" hidden="false" customHeight="false" outlineLevel="0" collapsed="false">
      <c r="A472" s="3"/>
      <c r="B472" s="6"/>
      <c r="C472" s="3"/>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row>
    <row r="473" customFormat="false" ht="15.75" hidden="false" customHeight="false" outlineLevel="0" collapsed="false">
      <c r="A473" s="3"/>
      <c r="B473" s="6"/>
      <c r="C473" s="3"/>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row>
    <row r="474" customFormat="false" ht="15.75" hidden="false" customHeight="false" outlineLevel="0" collapsed="false">
      <c r="A474" s="3"/>
      <c r="B474" s="6"/>
      <c r="C474" s="3"/>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row>
    <row r="475" customFormat="false" ht="15.75" hidden="false" customHeight="false" outlineLevel="0" collapsed="false">
      <c r="A475" s="3"/>
      <c r="B475" s="6"/>
      <c r="C475" s="3"/>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row>
    <row r="476" customFormat="false" ht="15.75" hidden="false" customHeight="false" outlineLevel="0" collapsed="false">
      <c r="A476" s="3"/>
      <c r="B476" s="6"/>
      <c r="C476" s="3"/>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row>
    <row r="477" customFormat="false" ht="15.75" hidden="false" customHeight="false" outlineLevel="0" collapsed="false">
      <c r="A477" s="3"/>
      <c r="B477" s="6"/>
      <c r="C477" s="3"/>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row>
    <row r="478" customFormat="false" ht="15.75" hidden="false" customHeight="false" outlineLevel="0" collapsed="false">
      <c r="A478" s="3"/>
      <c r="B478" s="6"/>
      <c r="C478" s="3"/>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row>
    <row r="479" customFormat="false" ht="15.75" hidden="false" customHeight="false" outlineLevel="0" collapsed="false">
      <c r="A479" s="3"/>
      <c r="B479" s="6"/>
      <c r="C479" s="3"/>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row>
    <row r="480" customFormat="false" ht="15.75" hidden="false" customHeight="false" outlineLevel="0" collapsed="false">
      <c r="A480" s="3"/>
      <c r="B480" s="6"/>
      <c r="C480" s="3"/>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row>
    <row r="481" customFormat="false" ht="15.75" hidden="false" customHeight="false" outlineLevel="0" collapsed="false">
      <c r="A481" s="3"/>
      <c r="B481" s="6"/>
      <c r="C481" s="3"/>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row>
    <row r="482" customFormat="false" ht="15.75" hidden="false" customHeight="false" outlineLevel="0" collapsed="false">
      <c r="A482" s="3"/>
      <c r="B482" s="6"/>
      <c r="C482" s="3"/>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row>
    <row r="483" customFormat="false" ht="15.75" hidden="false" customHeight="false" outlineLevel="0" collapsed="false">
      <c r="A483" s="3"/>
      <c r="B483" s="6"/>
      <c r="C483" s="3"/>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row>
    <row r="484" customFormat="false" ht="15.75" hidden="false" customHeight="false" outlineLevel="0" collapsed="false">
      <c r="A484" s="3"/>
      <c r="B484" s="6"/>
      <c r="C484" s="3"/>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row>
    <row r="485" customFormat="false" ht="15.75" hidden="false" customHeight="false" outlineLevel="0" collapsed="false">
      <c r="A485" s="3"/>
      <c r="B485" s="6"/>
      <c r="C485" s="3"/>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row>
    <row r="486" customFormat="false" ht="15.75" hidden="false" customHeight="false" outlineLevel="0" collapsed="false">
      <c r="A486" s="3"/>
      <c r="B486" s="6"/>
      <c r="C486" s="3"/>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row>
    <row r="487" customFormat="false" ht="15.75" hidden="false" customHeight="false" outlineLevel="0" collapsed="false">
      <c r="A487" s="3"/>
      <c r="B487" s="6"/>
      <c r="C487" s="3"/>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row>
    <row r="488" customFormat="false" ht="15.75" hidden="false" customHeight="false" outlineLevel="0" collapsed="false">
      <c r="A488" s="3"/>
      <c r="B488" s="6"/>
      <c r="C488" s="3"/>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row>
    <row r="489" customFormat="false" ht="15.75" hidden="false" customHeight="false" outlineLevel="0" collapsed="false">
      <c r="A489" s="3"/>
      <c r="B489" s="6"/>
      <c r="C489" s="3"/>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row>
    <row r="490" customFormat="false" ht="15.75" hidden="false" customHeight="false" outlineLevel="0" collapsed="false">
      <c r="A490" s="3"/>
      <c r="B490" s="6"/>
      <c r="C490" s="3"/>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row>
    <row r="491" customFormat="false" ht="15.75" hidden="false" customHeight="false" outlineLevel="0" collapsed="false">
      <c r="A491" s="3"/>
      <c r="B491" s="6"/>
      <c r="C491" s="3"/>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row>
    <row r="492" customFormat="false" ht="15.75" hidden="false" customHeight="false" outlineLevel="0" collapsed="false">
      <c r="A492" s="3"/>
      <c r="B492" s="6"/>
      <c r="C492" s="3"/>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row>
    <row r="493" customFormat="false" ht="15.75" hidden="false" customHeight="false" outlineLevel="0" collapsed="false">
      <c r="A493" s="3"/>
      <c r="B493" s="6"/>
      <c r="C493" s="3"/>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row>
    <row r="494" customFormat="false" ht="15.75" hidden="false" customHeight="false" outlineLevel="0" collapsed="false">
      <c r="A494" s="3"/>
      <c r="B494" s="6"/>
      <c r="C494" s="3"/>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row>
    <row r="495" customFormat="false" ht="15.75" hidden="false" customHeight="false" outlineLevel="0" collapsed="false">
      <c r="A495" s="3"/>
      <c r="B495" s="6"/>
      <c r="C495" s="3"/>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row>
    <row r="496" customFormat="false" ht="15.75" hidden="false" customHeight="false" outlineLevel="0" collapsed="false">
      <c r="A496" s="3"/>
      <c r="B496" s="6"/>
      <c r="C496" s="3"/>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row>
    <row r="497" customFormat="false" ht="15.75" hidden="false" customHeight="false" outlineLevel="0" collapsed="false">
      <c r="A497" s="3"/>
      <c r="B497" s="6"/>
      <c r="C497" s="3"/>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row>
    <row r="498" customFormat="false" ht="15.75" hidden="false" customHeight="false" outlineLevel="0" collapsed="false">
      <c r="A498" s="3"/>
      <c r="B498" s="6"/>
      <c r="C498" s="3"/>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row>
    <row r="499" customFormat="false" ht="15.75" hidden="false" customHeight="false" outlineLevel="0" collapsed="false">
      <c r="A499" s="3"/>
      <c r="B499" s="6"/>
      <c r="C499" s="3"/>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row>
    <row r="500" customFormat="false" ht="15.75" hidden="false" customHeight="false" outlineLevel="0" collapsed="false">
      <c r="A500" s="3"/>
      <c r="B500" s="6"/>
      <c r="C500" s="3"/>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row>
    <row r="501" customFormat="false" ht="15.75" hidden="false" customHeight="false" outlineLevel="0" collapsed="false">
      <c r="A501" s="3"/>
      <c r="B501" s="6"/>
      <c r="C501" s="3"/>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row>
    <row r="502" customFormat="false" ht="15.75" hidden="false" customHeight="false" outlineLevel="0" collapsed="false">
      <c r="A502" s="3"/>
      <c r="B502" s="6"/>
      <c r="C502" s="3"/>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row>
    <row r="503" customFormat="false" ht="15.75" hidden="false" customHeight="false" outlineLevel="0" collapsed="false">
      <c r="A503" s="3"/>
      <c r="B503" s="6"/>
      <c r="C503" s="3"/>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row>
    <row r="504" customFormat="false" ht="15.75" hidden="false" customHeight="false" outlineLevel="0" collapsed="false">
      <c r="A504" s="3"/>
      <c r="B504" s="6"/>
      <c r="C504" s="3"/>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row>
    <row r="505" customFormat="false" ht="15.75" hidden="false" customHeight="false" outlineLevel="0" collapsed="false">
      <c r="A505" s="3"/>
      <c r="B505" s="6"/>
      <c r="C505" s="3"/>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row>
    <row r="506" customFormat="false" ht="15.75" hidden="false" customHeight="false" outlineLevel="0" collapsed="false">
      <c r="A506" s="3"/>
      <c r="B506" s="6"/>
      <c r="C506" s="3"/>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row>
    <row r="507" customFormat="false" ht="15.75" hidden="false" customHeight="false" outlineLevel="0" collapsed="false">
      <c r="A507" s="3"/>
      <c r="B507" s="6"/>
      <c r="C507" s="3"/>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row>
    <row r="508" customFormat="false" ht="15.75" hidden="false" customHeight="false" outlineLevel="0" collapsed="false">
      <c r="A508" s="3"/>
      <c r="B508" s="6"/>
      <c r="C508" s="3"/>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row>
    <row r="509" customFormat="false" ht="15.75" hidden="false" customHeight="false" outlineLevel="0" collapsed="false">
      <c r="A509" s="3"/>
      <c r="B509" s="6"/>
      <c r="C509" s="3"/>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row>
    <row r="510" customFormat="false" ht="15.75" hidden="false" customHeight="false" outlineLevel="0" collapsed="false">
      <c r="A510" s="3"/>
      <c r="B510" s="6"/>
      <c r="C510" s="3"/>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row>
    <row r="511" customFormat="false" ht="15.75" hidden="false" customHeight="false" outlineLevel="0" collapsed="false">
      <c r="A511" s="3"/>
      <c r="B511" s="6"/>
      <c r="C511" s="3"/>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row>
    <row r="512" customFormat="false" ht="15.75" hidden="false" customHeight="false" outlineLevel="0" collapsed="false">
      <c r="A512" s="3"/>
      <c r="B512" s="6"/>
      <c r="C512" s="3"/>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row>
    <row r="513" customFormat="false" ht="15.75" hidden="false" customHeight="false" outlineLevel="0" collapsed="false">
      <c r="A513" s="3"/>
      <c r="B513" s="6"/>
      <c r="C513" s="3"/>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row>
    <row r="514" customFormat="false" ht="15.75" hidden="false" customHeight="false" outlineLevel="0" collapsed="false">
      <c r="A514" s="3"/>
      <c r="B514" s="6"/>
      <c r="C514" s="3"/>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row>
    <row r="515" customFormat="false" ht="15.75" hidden="false" customHeight="false" outlineLevel="0" collapsed="false">
      <c r="A515" s="3"/>
      <c r="B515" s="6"/>
      <c r="C515" s="3"/>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row>
    <row r="516" customFormat="false" ht="15.75" hidden="false" customHeight="false" outlineLevel="0" collapsed="false">
      <c r="A516" s="3"/>
      <c r="B516" s="6"/>
      <c r="C516" s="3"/>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row>
    <row r="517" customFormat="false" ht="15.75" hidden="false" customHeight="false" outlineLevel="0" collapsed="false">
      <c r="A517" s="3"/>
      <c r="B517" s="6"/>
      <c r="C517" s="3"/>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row>
    <row r="518" customFormat="false" ht="15.75" hidden="false" customHeight="false" outlineLevel="0" collapsed="false">
      <c r="A518" s="3"/>
      <c r="B518" s="6"/>
      <c r="C518" s="3"/>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row>
    <row r="519" customFormat="false" ht="15.75" hidden="false" customHeight="false" outlineLevel="0" collapsed="false">
      <c r="A519" s="3"/>
      <c r="B519" s="6"/>
      <c r="C519" s="3"/>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row>
    <row r="520" customFormat="false" ht="15.75" hidden="false" customHeight="false" outlineLevel="0" collapsed="false">
      <c r="A520" s="3"/>
      <c r="B520" s="6"/>
      <c r="C520" s="3"/>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row>
    <row r="521" customFormat="false" ht="15.75" hidden="false" customHeight="false" outlineLevel="0" collapsed="false">
      <c r="A521" s="3"/>
      <c r="B521" s="6"/>
      <c r="C521" s="3"/>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row>
    <row r="522" customFormat="false" ht="15.75" hidden="false" customHeight="false" outlineLevel="0" collapsed="false">
      <c r="A522" s="3"/>
      <c r="B522" s="6"/>
      <c r="C522" s="3"/>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row>
    <row r="523" customFormat="false" ht="15.75" hidden="false" customHeight="false" outlineLevel="0" collapsed="false">
      <c r="A523" s="3"/>
      <c r="B523" s="6"/>
      <c r="C523" s="3"/>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row>
    <row r="524" customFormat="false" ht="15.75" hidden="false" customHeight="false" outlineLevel="0" collapsed="false">
      <c r="A524" s="3"/>
      <c r="B524" s="6"/>
      <c r="C524" s="3"/>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row>
    <row r="525" customFormat="false" ht="15.75" hidden="false" customHeight="false" outlineLevel="0" collapsed="false">
      <c r="A525" s="3"/>
      <c r="B525" s="6"/>
      <c r="C525" s="3"/>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row>
    <row r="526" customFormat="false" ht="15.75" hidden="false" customHeight="false" outlineLevel="0" collapsed="false">
      <c r="A526" s="3"/>
      <c r="B526" s="6"/>
      <c r="C526" s="3"/>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row>
    <row r="527" customFormat="false" ht="15.75" hidden="false" customHeight="false" outlineLevel="0" collapsed="false">
      <c r="A527" s="3"/>
      <c r="B527" s="6"/>
      <c r="C527" s="3"/>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row>
    <row r="528" customFormat="false" ht="15.75" hidden="false" customHeight="false" outlineLevel="0" collapsed="false">
      <c r="A528" s="3"/>
      <c r="B528" s="6"/>
      <c r="C528" s="3"/>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row>
    <row r="529" customFormat="false" ht="15.75" hidden="false" customHeight="false" outlineLevel="0" collapsed="false">
      <c r="A529" s="3"/>
      <c r="B529" s="6"/>
      <c r="C529" s="3"/>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row>
    <row r="530" customFormat="false" ht="15.75" hidden="false" customHeight="false" outlineLevel="0" collapsed="false">
      <c r="A530" s="3"/>
      <c r="B530" s="6"/>
      <c r="C530" s="3"/>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row>
    <row r="531" customFormat="false" ht="15.75" hidden="false" customHeight="false" outlineLevel="0" collapsed="false">
      <c r="A531" s="3"/>
      <c r="B531" s="6"/>
      <c r="C531" s="3"/>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row>
    <row r="532" customFormat="false" ht="15.75" hidden="false" customHeight="false" outlineLevel="0" collapsed="false">
      <c r="A532" s="3"/>
      <c r="B532" s="6"/>
      <c r="C532" s="3"/>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row>
    <row r="533" customFormat="false" ht="15.75" hidden="false" customHeight="false" outlineLevel="0" collapsed="false">
      <c r="A533" s="3"/>
      <c r="B533" s="6"/>
      <c r="C533" s="3"/>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row>
    <row r="534" customFormat="false" ht="15.75" hidden="false" customHeight="false" outlineLevel="0" collapsed="false">
      <c r="A534" s="3"/>
      <c r="B534" s="6"/>
      <c r="C534" s="3"/>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row>
    <row r="535" customFormat="false" ht="15.75" hidden="false" customHeight="false" outlineLevel="0" collapsed="false">
      <c r="A535" s="3"/>
      <c r="B535" s="6"/>
      <c r="C535" s="3"/>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row>
    <row r="536" customFormat="false" ht="15.75" hidden="false" customHeight="false" outlineLevel="0" collapsed="false">
      <c r="A536" s="3"/>
      <c r="B536" s="6"/>
      <c r="C536" s="3"/>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row>
    <row r="537" customFormat="false" ht="15.75" hidden="false" customHeight="false" outlineLevel="0" collapsed="false">
      <c r="A537" s="3"/>
      <c r="B537" s="6"/>
      <c r="C537" s="3"/>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row>
    <row r="538" customFormat="false" ht="15.75" hidden="false" customHeight="false" outlineLevel="0" collapsed="false">
      <c r="A538" s="3"/>
      <c r="B538" s="6"/>
      <c r="C538" s="3"/>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row>
    <row r="539" customFormat="false" ht="15.75" hidden="false" customHeight="false" outlineLevel="0" collapsed="false">
      <c r="A539" s="3"/>
      <c r="B539" s="6"/>
      <c r="C539" s="3"/>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row>
    <row r="540" customFormat="false" ht="15.75" hidden="false" customHeight="false" outlineLevel="0" collapsed="false">
      <c r="A540" s="3"/>
      <c r="B540" s="6"/>
      <c r="C540" s="3"/>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row>
    <row r="541" customFormat="false" ht="15.75" hidden="false" customHeight="false" outlineLevel="0" collapsed="false">
      <c r="A541" s="3"/>
      <c r="B541" s="6"/>
      <c r="C541" s="3"/>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row>
    <row r="542" customFormat="false" ht="15.75" hidden="false" customHeight="false" outlineLevel="0" collapsed="false">
      <c r="A542" s="3"/>
      <c r="B542" s="6"/>
      <c r="C542" s="3"/>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row>
    <row r="543" customFormat="false" ht="15.75" hidden="false" customHeight="false" outlineLevel="0" collapsed="false">
      <c r="A543" s="3"/>
      <c r="B543" s="6"/>
      <c r="C543" s="3"/>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row>
    <row r="544" customFormat="false" ht="15.75" hidden="false" customHeight="false" outlineLevel="0" collapsed="false">
      <c r="A544" s="3"/>
      <c r="B544" s="6"/>
      <c r="C544" s="3"/>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row>
    <row r="545" customFormat="false" ht="15.75" hidden="false" customHeight="false" outlineLevel="0" collapsed="false">
      <c r="A545" s="3"/>
      <c r="B545" s="6"/>
      <c r="C545" s="3"/>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row>
    <row r="546" customFormat="false" ht="15.75" hidden="false" customHeight="false" outlineLevel="0" collapsed="false">
      <c r="A546" s="3"/>
      <c r="B546" s="6"/>
      <c r="C546" s="3"/>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row>
    <row r="547" customFormat="false" ht="15.75" hidden="false" customHeight="false" outlineLevel="0" collapsed="false">
      <c r="A547" s="3"/>
      <c r="B547" s="6"/>
      <c r="C547" s="3"/>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row>
    <row r="548" customFormat="false" ht="15.75" hidden="false" customHeight="false" outlineLevel="0" collapsed="false">
      <c r="A548" s="3"/>
      <c r="B548" s="6"/>
      <c r="C548" s="3"/>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row>
    <row r="549" customFormat="false" ht="15.75" hidden="false" customHeight="false" outlineLevel="0" collapsed="false">
      <c r="A549" s="3"/>
      <c r="B549" s="6"/>
      <c r="C549" s="3"/>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row>
    <row r="550" customFormat="false" ht="15.75" hidden="false" customHeight="false" outlineLevel="0" collapsed="false">
      <c r="A550" s="3"/>
      <c r="B550" s="6"/>
      <c r="C550" s="3"/>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row>
    <row r="551" customFormat="false" ht="15.75" hidden="false" customHeight="false" outlineLevel="0" collapsed="false">
      <c r="A551" s="3"/>
      <c r="B551" s="6"/>
      <c r="C551" s="3"/>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row>
    <row r="552" customFormat="false" ht="15.75" hidden="false" customHeight="false" outlineLevel="0" collapsed="false">
      <c r="A552" s="3"/>
      <c r="B552" s="6"/>
      <c r="C552" s="3"/>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row>
    <row r="553" customFormat="false" ht="15.75" hidden="false" customHeight="false" outlineLevel="0" collapsed="false">
      <c r="A553" s="3"/>
      <c r="B553" s="6"/>
      <c r="C553" s="3"/>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row>
    <row r="554" customFormat="false" ht="15.75" hidden="false" customHeight="false" outlineLevel="0" collapsed="false">
      <c r="A554" s="3"/>
      <c r="B554" s="6"/>
      <c r="C554" s="3"/>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row>
    <row r="555" customFormat="false" ht="15.75" hidden="false" customHeight="false" outlineLevel="0" collapsed="false">
      <c r="A555" s="3"/>
      <c r="B555" s="6"/>
      <c r="C555" s="3"/>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row>
    <row r="556" customFormat="false" ht="15.75" hidden="false" customHeight="false" outlineLevel="0" collapsed="false">
      <c r="A556" s="3"/>
      <c r="B556" s="6"/>
      <c r="C556" s="3"/>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row>
    <row r="557" customFormat="false" ht="15.75" hidden="false" customHeight="false" outlineLevel="0" collapsed="false">
      <c r="A557" s="3"/>
      <c r="B557" s="6"/>
      <c r="C557" s="3"/>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row>
    <row r="558" customFormat="false" ht="15.75" hidden="false" customHeight="false" outlineLevel="0" collapsed="false">
      <c r="A558" s="3"/>
      <c r="B558" s="6"/>
      <c r="C558" s="3"/>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row>
    <row r="559" customFormat="false" ht="15.75" hidden="false" customHeight="false" outlineLevel="0" collapsed="false">
      <c r="A559" s="3"/>
      <c r="B559" s="6"/>
      <c r="C559" s="3"/>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row>
    <row r="560" customFormat="false" ht="15.75" hidden="false" customHeight="false" outlineLevel="0" collapsed="false">
      <c r="A560" s="3"/>
      <c r="B560" s="6"/>
      <c r="C560" s="3"/>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row>
    <row r="561" customFormat="false" ht="15.75" hidden="false" customHeight="false" outlineLevel="0" collapsed="false">
      <c r="A561" s="3"/>
      <c r="B561" s="6"/>
      <c r="C561" s="3"/>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row>
    <row r="562" customFormat="false" ht="15.75" hidden="false" customHeight="false" outlineLevel="0" collapsed="false">
      <c r="A562" s="3"/>
      <c r="B562" s="6"/>
      <c r="C562" s="3"/>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row>
    <row r="563" customFormat="false" ht="15.75" hidden="false" customHeight="false" outlineLevel="0" collapsed="false">
      <c r="A563" s="3"/>
      <c r="B563" s="6"/>
      <c r="C563" s="3"/>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row>
    <row r="564" customFormat="false" ht="15.75" hidden="false" customHeight="false" outlineLevel="0" collapsed="false">
      <c r="A564" s="3"/>
      <c r="B564" s="6"/>
      <c r="C564" s="3"/>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row>
    <row r="565" customFormat="false" ht="15.75" hidden="false" customHeight="false" outlineLevel="0" collapsed="false">
      <c r="A565" s="3"/>
      <c r="B565" s="6"/>
      <c r="C565" s="3"/>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row>
    <row r="566" customFormat="false" ht="15.75" hidden="false" customHeight="false" outlineLevel="0" collapsed="false">
      <c r="A566" s="3"/>
      <c r="B566" s="6"/>
      <c r="C566" s="3"/>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row>
    <row r="567" customFormat="false" ht="15.75" hidden="false" customHeight="false" outlineLevel="0" collapsed="false">
      <c r="A567" s="3"/>
      <c r="B567" s="6"/>
      <c r="C567" s="3"/>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row>
    <row r="568" customFormat="false" ht="15.75" hidden="false" customHeight="false" outlineLevel="0" collapsed="false">
      <c r="A568" s="3"/>
      <c r="B568" s="6"/>
      <c r="C568" s="3"/>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row>
    <row r="569" customFormat="false" ht="15.75" hidden="false" customHeight="false" outlineLevel="0" collapsed="false">
      <c r="A569" s="3"/>
      <c r="B569" s="6"/>
      <c r="C569" s="3"/>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row>
    <row r="570" customFormat="false" ht="15.75" hidden="false" customHeight="false" outlineLevel="0" collapsed="false">
      <c r="A570" s="3"/>
      <c r="B570" s="6"/>
      <c r="C570" s="3"/>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row>
    <row r="571" customFormat="false" ht="15.75" hidden="false" customHeight="false" outlineLevel="0" collapsed="false">
      <c r="A571" s="3"/>
      <c r="B571" s="6"/>
      <c r="C571" s="3"/>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row>
    <row r="572" customFormat="false" ht="15.75" hidden="false" customHeight="false" outlineLevel="0" collapsed="false">
      <c r="A572" s="3"/>
      <c r="B572" s="6"/>
      <c r="C572" s="3"/>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row>
    <row r="573" customFormat="false" ht="15.75" hidden="false" customHeight="false" outlineLevel="0" collapsed="false">
      <c r="A573" s="3"/>
      <c r="B573" s="6"/>
      <c r="C573" s="3"/>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row>
    <row r="574" customFormat="false" ht="15.75" hidden="false" customHeight="false" outlineLevel="0" collapsed="false">
      <c r="A574" s="3"/>
      <c r="B574" s="6"/>
      <c r="C574" s="3"/>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row>
    <row r="575" customFormat="false" ht="15.75" hidden="false" customHeight="false" outlineLevel="0" collapsed="false">
      <c r="A575" s="3"/>
      <c r="B575" s="6"/>
      <c r="C575" s="3"/>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row>
    <row r="576" customFormat="false" ht="15.75" hidden="false" customHeight="false" outlineLevel="0" collapsed="false">
      <c r="A576" s="3"/>
      <c r="B576" s="6"/>
      <c r="C576" s="3"/>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row>
    <row r="577" customFormat="false" ht="15.75" hidden="false" customHeight="false" outlineLevel="0" collapsed="false">
      <c r="A577" s="3"/>
      <c r="B577" s="6"/>
      <c r="C577" s="3"/>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row>
    <row r="578" customFormat="false" ht="15.75" hidden="false" customHeight="false" outlineLevel="0" collapsed="false">
      <c r="A578" s="3"/>
      <c r="B578" s="6"/>
      <c r="C578" s="3"/>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row>
    <row r="579" customFormat="false" ht="15.75" hidden="false" customHeight="false" outlineLevel="0" collapsed="false">
      <c r="A579" s="3"/>
      <c r="B579" s="6"/>
      <c r="C579" s="3"/>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row>
    <row r="580" customFormat="false" ht="15.75" hidden="false" customHeight="false" outlineLevel="0" collapsed="false">
      <c r="A580" s="3"/>
      <c r="B580" s="6"/>
      <c r="C580" s="3"/>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row>
    <row r="581" customFormat="false" ht="15.75" hidden="false" customHeight="false" outlineLevel="0" collapsed="false">
      <c r="A581" s="3"/>
      <c r="B581" s="6"/>
      <c r="C581" s="3"/>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row>
    <row r="582" customFormat="false" ht="15.75" hidden="false" customHeight="false" outlineLevel="0" collapsed="false">
      <c r="A582" s="3"/>
      <c r="B582" s="6"/>
      <c r="C582" s="3"/>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row>
    <row r="583" customFormat="false" ht="15.75" hidden="false" customHeight="false" outlineLevel="0" collapsed="false">
      <c r="A583" s="3"/>
      <c r="B583" s="6"/>
      <c r="C583" s="3"/>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row>
    <row r="584" customFormat="false" ht="15.75" hidden="false" customHeight="false" outlineLevel="0" collapsed="false">
      <c r="A584" s="3"/>
      <c r="B584" s="6"/>
      <c r="C584" s="3"/>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row>
    <row r="585" customFormat="false" ht="15.75" hidden="false" customHeight="false" outlineLevel="0" collapsed="false">
      <c r="A585" s="3"/>
      <c r="B585" s="6"/>
      <c r="C585" s="3"/>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row>
    <row r="586" customFormat="false" ht="15.75" hidden="false" customHeight="false" outlineLevel="0" collapsed="false">
      <c r="A586" s="3"/>
      <c r="B586" s="6"/>
      <c r="C586" s="3"/>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row>
    <row r="587" customFormat="false" ht="15.75" hidden="false" customHeight="false" outlineLevel="0" collapsed="false">
      <c r="A587" s="3"/>
      <c r="B587" s="6"/>
      <c r="C587" s="3"/>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row>
    <row r="588" customFormat="false" ht="15.75" hidden="false" customHeight="false" outlineLevel="0" collapsed="false">
      <c r="A588" s="3"/>
      <c r="B588" s="6"/>
      <c r="C588" s="3"/>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row>
    <row r="589" customFormat="false" ht="15.75" hidden="false" customHeight="false" outlineLevel="0" collapsed="false">
      <c r="A589" s="3"/>
      <c r="B589" s="6"/>
      <c r="C589" s="3"/>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row>
    <row r="590" customFormat="false" ht="15.75" hidden="false" customHeight="false" outlineLevel="0" collapsed="false">
      <c r="A590" s="3"/>
      <c r="B590" s="6"/>
      <c r="C590" s="3"/>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row>
    <row r="591" customFormat="false" ht="15.75" hidden="false" customHeight="false" outlineLevel="0" collapsed="false">
      <c r="A591" s="3"/>
      <c r="B591" s="6"/>
      <c r="C591" s="3"/>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row>
    <row r="592" customFormat="false" ht="15.75" hidden="false" customHeight="false" outlineLevel="0" collapsed="false">
      <c r="A592" s="3"/>
      <c r="B592" s="6"/>
      <c r="C592" s="3"/>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row>
    <row r="593" customFormat="false" ht="15.75" hidden="false" customHeight="false" outlineLevel="0" collapsed="false">
      <c r="A593" s="3"/>
      <c r="B593" s="6"/>
      <c r="C593" s="3"/>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row>
    <row r="594" customFormat="false" ht="15.75" hidden="false" customHeight="false" outlineLevel="0" collapsed="false">
      <c r="A594" s="3"/>
      <c r="B594" s="6"/>
      <c r="C594" s="3"/>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row>
    <row r="595" customFormat="false" ht="15.75" hidden="false" customHeight="false" outlineLevel="0" collapsed="false">
      <c r="A595" s="3"/>
      <c r="B595" s="6"/>
      <c r="C595" s="3"/>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row>
    <row r="596" customFormat="false" ht="15.75" hidden="false" customHeight="false" outlineLevel="0" collapsed="false">
      <c r="A596" s="3"/>
      <c r="B596" s="6"/>
      <c r="C596" s="3"/>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row>
    <row r="597" customFormat="false" ht="15.75" hidden="false" customHeight="false" outlineLevel="0" collapsed="false">
      <c r="A597" s="3"/>
      <c r="B597" s="6"/>
      <c r="C597" s="3"/>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row>
    <row r="598" customFormat="false" ht="15.75" hidden="false" customHeight="false" outlineLevel="0" collapsed="false">
      <c r="A598" s="3"/>
      <c r="B598" s="6"/>
      <c r="C598" s="3"/>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row>
    <row r="599" customFormat="false" ht="15.75" hidden="false" customHeight="false" outlineLevel="0" collapsed="false">
      <c r="A599" s="3"/>
      <c r="B599" s="6"/>
      <c r="C599" s="3"/>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row>
    <row r="600" customFormat="false" ht="15.75" hidden="false" customHeight="false" outlineLevel="0" collapsed="false">
      <c r="A600" s="3"/>
      <c r="B600" s="6"/>
      <c r="C600" s="3"/>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row>
    <row r="601" customFormat="false" ht="15.75" hidden="false" customHeight="false" outlineLevel="0" collapsed="false">
      <c r="A601" s="3"/>
      <c r="B601" s="6"/>
      <c r="C601" s="3"/>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row>
    <row r="602" customFormat="false" ht="15.75" hidden="false" customHeight="false" outlineLevel="0" collapsed="false">
      <c r="A602" s="3"/>
      <c r="B602" s="6"/>
      <c r="C602" s="3"/>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row>
    <row r="603" customFormat="false" ht="15.75" hidden="false" customHeight="false" outlineLevel="0" collapsed="false">
      <c r="A603" s="3"/>
      <c r="B603" s="6"/>
      <c r="C603" s="3"/>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row>
    <row r="604" customFormat="false" ht="15.75" hidden="false" customHeight="false" outlineLevel="0" collapsed="false">
      <c r="A604" s="3"/>
      <c r="B604" s="6"/>
      <c r="C604" s="3"/>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row>
    <row r="605" customFormat="false" ht="15.75" hidden="false" customHeight="false" outlineLevel="0" collapsed="false">
      <c r="A605" s="3"/>
      <c r="B605" s="6"/>
      <c r="C605" s="3"/>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row>
    <row r="606" customFormat="false" ht="15.75" hidden="false" customHeight="false" outlineLevel="0" collapsed="false">
      <c r="A606" s="3"/>
      <c r="B606" s="6"/>
      <c r="C606" s="3"/>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row>
    <row r="607" customFormat="false" ht="15.75" hidden="false" customHeight="false" outlineLevel="0" collapsed="false">
      <c r="A607" s="3"/>
      <c r="B607" s="6"/>
      <c r="C607" s="3"/>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row>
    <row r="608" customFormat="false" ht="15.75" hidden="false" customHeight="false" outlineLevel="0" collapsed="false">
      <c r="A608" s="3"/>
      <c r="B608" s="6"/>
      <c r="C608" s="3"/>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row>
    <row r="609" customFormat="false" ht="15.75" hidden="false" customHeight="false" outlineLevel="0" collapsed="false">
      <c r="A609" s="3"/>
      <c r="B609" s="6"/>
      <c r="C609" s="3"/>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row>
    <row r="610" customFormat="false" ht="15.75" hidden="false" customHeight="false" outlineLevel="0" collapsed="false">
      <c r="A610" s="3"/>
      <c r="B610" s="6"/>
      <c r="C610" s="3"/>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row>
    <row r="611" customFormat="false" ht="15.75" hidden="false" customHeight="false" outlineLevel="0" collapsed="false">
      <c r="A611" s="3"/>
      <c r="B611" s="6"/>
      <c r="C611" s="3"/>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row>
    <row r="612" customFormat="false" ht="15.75" hidden="false" customHeight="false" outlineLevel="0" collapsed="false">
      <c r="A612" s="3"/>
      <c r="B612" s="6"/>
      <c r="C612" s="3"/>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row>
    <row r="613" customFormat="false" ht="15.75" hidden="false" customHeight="false" outlineLevel="0" collapsed="false">
      <c r="A613" s="3"/>
      <c r="B613" s="6"/>
      <c r="C613" s="3"/>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row>
    <row r="614" customFormat="false" ht="15.75" hidden="false" customHeight="false" outlineLevel="0" collapsed="false">
      <c r="A614" s="3"/>
      <c r="B614" s="6"/>
      <c r="C614" s="3"/>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row>
    <row r="615" customFormat="false" ht="15.75" hidden="false" customHeight="false" outlineLevel="0" collapsed="false">
      <c r="A615" s="3"/>
      <c r="B615" s="6"/>
      <c r="C615" s="3"/>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row>
    <row r="616" customFormat="false" ht="15.75" hidden="false" customHeight="false" outlineLevel="0" collapsed="false">
      <c r="A616" s="3"/>
      <c r="B616" s="6"/>
      <c r="C616" s="3"/>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row>
    <row r="617" customFormat="false" ht="15.75" hidden="false" customHeight="false" outlineLevel="0" collapsed="false">
      <c r="A617" s="3"/>
      <c r="B617" s="6"/>
      <c r="C617" s="3"/>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row>
    <row r="618" customFormat="false" ht="15.75" hidden="false" customHeight="false" outlineLevel="0" collapsed="false">
      <c r="A618" s="3"/>
      <c r="B618" s="6"/>
      <c r="C618" s="3"/>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row>
    <row r="619" customFormat="false" ht="15.75" hidden="false" customHeight="false" outlineLevel="0" collapsed="false">
      <c r="A619" s="3"/>
      <c r="B619" s="6"/>
      <c r="C619" s="3"/>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row>
    <row r="620" customFormat="false" ht="15.75" hidden="false" customHeight="false" outlineLevel="0" collapsed="false">
      <c r="A620" s="3"/>
      <c r="B620" s="6"/>
      <c r="C620" s="3"/>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row>
    <row r="621" customFormat="false" ht="15.75" hidden="false" customHeight="false" outlineLevel="0" collapsed="false">
      <c r="A621" s="3"/>
      <c r="B621" s="6"/>
      <c r="C621" s="3"/>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row>
    <row r="622" customFormat="false" ht="15.75" hidden="false" customHeight="false" outlineLevel="0" collapsed="false">
      <c r="A622" s="3"/>
      <c r="B622" s="6"/>
      <c r="C622" s="3"/>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row>
    <row r="623" customFormat="false" ht="15.75" hidden="false" customHeight="false" outlineLevel="0" collapsed="false">
      <c r="A623" s="3"/>
      <c r="B623" s="6"/>
      <c r="C623" s="3"/>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row>
    <row r="624" customFormat="false" ht="15.75" hidden="false" customHeight="false" outlineLevel="0" collapsed="false">
      <c r="A624" s="3"/>
      <c r="B624" s="6"/>
      <c r="C624" s="3"/>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row>
    <row r="625" customFormat="false" ht="15.75" hidden="false" customHeight="false" outlineLevel="0" collapsed="false">
      <c r="A625" s="3"/>
      <c r="B625" s="6"/>
      <c r="C625" s="3"/>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row>
    <row r="626" customFormat="false" ht="15.75" hidden="false" customHeight="false" outlineLevel="0" collapsed="false">
      <c r="A626" s="3"/>
      <c r="B626" s="6"/>
      <c r="C626" s="3"/>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row>
    <row r="627" customFormat="false" ht="15.75" hidden="false" customHeight="false" outlineLevel="0" collapsed="false">
      <c r="A627" s="3"/>
      <c r="B627" s="6"/>
      <c r="C627" s="3"/>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row>
    <row r="628" customFormat="false" ht="15.75" hidden="false" customHeight="false" outlineLevel="0" collapsed="false">
      <c r="A628" s="3"/>
      <c r="B628" s="6"/>
      <c r="C628" s="3"/>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row>
    <row r="629" customFormat="false" ht="15.75" hidden="false" customHeight="false" outlineLevel="0" collapsed="false">
      <c r="A629" s="3"/>
      <c r="B629" s="6"/>
      <c r="C629" s="3"/>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row>
    <row r="630" customFormat="false" ht="15.75" hidden="false" customHeight="false" outlineLevel="0" collapsed="false">
      <c r="A630" s="3"/>
      <c r="B630" s="6"/>
      <c r="C630" s="3"/>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row>
    <row r="631" customFormat="false" ht="15.75" hidden="false" customHeight="false" outlineLevel="0" collapsed="false">
      <c r="A631" s="3"/>
      <c r="B631" s="6"/>
      <c r="C631" s="3"/>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row>
    <row r="632" customFormat="false" ht="15.75" hidden="false" customHeight="false" outlineLevel="0" collapsed="false">
      <c r="A632" s="3"/>
      <c r="B632" s="6"/>
      <c r="C632" s="3"/>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row>
    <row r="633" customFormat="false" ht="15.75" hidden="false" customHeight="false" outlineLevel="0" collapsed="false">
      <c r="A633" s="3"/>
      <c r="B633" s="6"/>
      <c r="C633" s="3"/>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row>
    <row r="634" customFormat="false" ht="15.75" hidden="false" customHeight="false" outlineLevel="0" collapsed="false">
      <c r="A634" s="3"/>
      <c r="B634" s="6"/>
      <c r="C634" s="3"/>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row>
    <row r="635" customFormat="false" ht="15.75" hidden="false" customHeight="false" outlineLevel="0" collapsed="false">
      <c r="A635" s="3"/>
      <c r="B635" s="6"/>
      <c r="C635" s="3"/>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row>
    <row r="636" customFormat="false" ht="15.75" hidden="false" customHeight="false" outlineLevel="0" collapsed="false">
      <c r="A636" s="3"/>
      <c r="B636" s="6"/>
      <c r="C636" s="3"/>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row>
    <row r="637" customFormat="false" ht="15.75" hidden="false" customHeight="false" outlineLevel="0" collapsed="false">
      <c r="A637" s="3"/>
      <c r="B637" s="6"/>
      <c r="C637" s="3"/>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row>
    <row r="638" customFormat="false" ht="15.75" hidden="false" customHeight="false" outlineLevel="0" collapsed="false">
      <c r="A638" s="3"/>
      <c r="B638" s="6"/>
      <c r="C638" s="3"/>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row>
    <row r="639" customFormat="false" ht="15.75" hidden="false" customHeight="false" outlineLevel="0" collapsed="false">
      <c r="A639" s="3"/>
      <c r="B639" s="6"/>
      <c r="C639" s="3"/>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row>
    <row r="640" customFormat="false" ht="15.75" hidden="false" customHeight="false" outlineLevel="0" collapsed="false">
      <c r="A640" s="3"/>
      <c r="B640" s="6"/>
      <c r="C640" s="3"/>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row>
    <row r="641" customFormat="false" ht="15.75" hidden="false" customHeight="false" outlineLevel="0" collapsed="false">
      <c r="A641" s="3"/>
      <c r="B641" s="6"/>
      <c r="C641" s="3"/>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row>
    <row r="642" customFormat="false" ht="15.75" hidden="false" customHeight="false" outlineLevel="0" collapsed="false">
      <c r="A642" s="3"/>
      <c r="B642" s="6"/>
      <c r="C642" s="3"/>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row>
    <row r="643" customFormat="false" ht="15.75" hidden="false" customHeight="false" outlineLevel="0" collapsed="false">
      <c r="A643" s="3"/>
      <c r="B643" s="6"/>
      <c r="C643" s="3"/>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row>
    <row r="644" customFormat="false" ht="15.75" hidden="false" customHeight="false" outlineLevel="0" collapsed="false">
      <c r="A644" s="3"/>
      <c r="B644" s="6"/>
      <c r="C644" s="3"/>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row>
    <row r="645" customFormat="false" ht="15.75" hidden="false" customHeight="false" outlineLevel="0" collapsed="false">
      <c r="A645" s="3"/>
      <c r="B645" s="6"/>
      <c r="C645" s="3"/>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row>
    <row r="646" customFormat="false" ht="15.75" hidden="false" customHeight="false" outlineLevel="0" collapsed="false">
      <c r="A646" s="3"/>
      <c r="B646" s="6"/>
      <c r="C646" s="3"/>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row>
    <row r="647" customFormat="false" ht="15.75" hidden="false" customHeight="false" outlineLevel="0" collapsed="false">
      <c r="A647" s="3"/>
      <c r="B647" s="6"/>
      <c r="C647" s="3"/>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row>
    <row r="648" customFormat="false" ht="15.75" hidden="false" customHeight="false" outlineLevel="0" collapsed="false">
      <c r="A648" s="3"/>
      <c r="B648" s="6"/>
      <c r="C648" s="3"/>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row>
    <row r="649" customFormat="false" ht="15.75" hidden="false" customHeight="false" outlineLevel="0" collapsed="false">
      <c r="A649" s="3"/>
      <c r="B649" s="6"/>
      <c r="C649" s="3"/>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row>
    <row r="650" customFormat="false" ht="15.75" hidden="false" customHeight="false" outlineLevel="0" collapsed="false">
      <c r="A650" s="3"/>
      <c r="B650" s="6"/>
      <c r="C650" s="3"/>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row>
    <row r="651" customFormat="false" ht="15.75" hidden="false" customHeight="false" outlineLevel="0" collapsed="false">
      <c r="A651" s="3"/>
      <c r="B651" s="6"/>
      <c r="C651" s="3"/>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row>
    <row r="652" customFormat="false" ht="15.75" hidden="false" customHeight="false" outlineLevel="0" collapsed="false">
      <c r="A652" s="3"/>
      <c r="B652" s="6"/>
      <c r="C652" s="3"/>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row>
    <row r="653" customFormat="false" ht="15.75" hidden="false" customHeight="false" outlineLevel="0" collapsed="false">
      <c r="A653" s="3"/>
      <c r="B653" s="6"/>
      <c r="C653" s="3"/>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row>
    <row r="654" customFormat="false" ht="15.75" hidden="false" customHeight="false" outlineLevel="0" collapsed="false">
      <c r="A654" s="3"/>
      <c r="B654" s="6"/>
      <c r="C654" s="3"/>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row>
    <row r="655" customFormat="false" ht="15.75" hidden="false" customHeight="false" outlineLevel="0" collapsed="false">
      <c r="A655" s="3"/>
      <c r="B655" s="6"/>
      <c r="C655" s="3"/>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row>
    <row r="656" customFormat="false" ht="15.75" hidden="false" customHeight="false" outlineLevel="0" collapsed="false">
      <c r="A656" s="3"/>
      <c r="B656" s="6"/>
      <c r="C656" s="3"/>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row>
    <row r="657" customFormat="false" ht="15.75" hidden="false" customHeight="false" outlineLevel="0" collapsed="false">
      <c r="A657" s="3"/>
      <c r="B657" s="6"/>
      <c r="C657" s="3"/>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row>
    <row r="658" customFormat="false" ht="15.75" hidden="false" customHeight="false" outlineLevel="0" collapsed="false">
      <c r="A658" s="3"/>
      <c r="B658" s="6"/>
      <c r="C658" s="3"/>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row>
    <row r="659" customFormat="false" ht="15.75" hidden="false" customHeight="false" outlineLevel="0" collapsed="false">
      <c r="A659" s="3"/>
      <c r="B659" s="6"/>
      <c r="C659" s="3"/>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row>
    <row r="660" customFormat="false" ht="15.75" hidden="false" customHeight="false" outlineLevel="0" collapsed="false">
      <c r="A660" s="3"/>
      <c r="B660" s="6"/>
      <c r="C660" s="3"/>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row>
    <row r="661" customFormat="false" ht="15.75" hidden="false" customHeight="false" outlineLevel="0" collapsed="false">
      <c r="A661" s="3"/>
      <c r="B661" s="6"/>
      <c r="C661" s="3"/>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row>
    <row r="662" customFormat="false" ht="15.75" hidden="false" customHeight="false" outlineLevel="0" collapsed="false">
      <c r="A662" s="3"/>
      <c r="B662" s="6"/>
      <c r="C662" s="3"/>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row>
    <row r="663" customFormat="false" ht="15.75" hidden="false" customHeight="false" outlineLevel="0" collapsed="false">
      <c r="A663" s="3"/>
      <c r="B663" s="6"/>
      <c r="C663" s="3"/>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row>
    <row r="664" customFormat="false" ht="15.75" hidden="false" customHeight="false" outlineLevel="0" collapsed="false">
      <c r="A664" s="3"/>
      <c r="B664" s="6"/>
      <c r="C664" s="3"/>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row>
    <row r="665" customFormat="false" ht="15.75" hidden="false" customHeight="false" outlineLevel="0" collapsed="false">
      <c r="A665" s="3"/>
      <c r="B665" s="6"/>
      <c r="C665" s="3"/>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row>
    <row r="666" customFormat="false" ht="15.75" hidden="false" customHeight="false" outlineLevel="0" collapsed="false">
      <c r="A666" s="3"/>
      <c r="B666" s="6"/>
      <c r="C666" s="3"/>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row>
    <row r="667" customFormat="false" ht="15.75" hidden="false" customHeight="false" outlineLevel="0" collapsed="false">
      <c r="A667" s="3"/>
      <c r="B667" s="6"/>
      <c r="C667" s="3"/>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row>
    <row r="668" customFormat="false" ht="15.75" hidden="false" customHeight="false" outlineLevel="0" collapsed="false">
      <c r="A668" s="3"/>
      <c r="B668" s="6"/>
      <c r="C668" s="3"/>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row>
    <row r="669" customFormat="false" ht="15.75" hidden="false" customHeight="false" outlineLevel="0" collapsed="false">
      <c r="A669" s="3"/>
      <c r="B669" s="6"/>
      <c r="C669" s="3"/>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row>
    <row r="670" customFormat="false" ht="15.75" hidden="false" customHeight="false" outlineLevel="0" collapsed="false">
      <c r="A670" s="3"/>
      <c r="B670" s="6"/>
      <c r="C670" s="3"/>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row>
    <row r="671" customFormat="false" ht="15.75" hidden="false" customHeight="false" outlineLevel="0" collapsed="false">
      <c r="A671" s="3"/>
      <c r="B671" s="6"/>
      <c r="C671" s="3"/>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row>
    <row r="672" customFormat="false" ht="15.75" hidden="false" customHeight="false" outlineLevel="0" collapsed="false">
      <c r="A672" s="3"/>
      <c r="B672" s="6"/>
      <c r="C672" s="3"/>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row>
    <row r="673" customFormat="false" ht="15.75" hidden="false" customHeight="false" outlineLevel="0" collapsed="false">
      <c r="A673" s="3"/>
      <c r="B673" s="6"/>
      <c r="C673" s="3"/>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row>
    <row r="674" customFormat="false" ht="15.75" hidden="false" customHeight="false" outlineLevel="0" collapsed="false">
      <c r="A674" s="3"/>
      <c r="B674" s="6"/>
      <c r="C674" s="3"/>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row>
    <row r="675" customFormat="false" ht="15.75" hidden="false" customHeight="false" outlineLevel="0" collapsed="false">
      <c r="A675" s="3"/>
      <c r="B675" s="6"/>
      <c r="C675" s="3"/>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row>
    <row r="676" customFormat="false" ht="15.75" hidden="false" customHeight="false" outlineLevel="0" collapsed="false">
      <c r="A676" s="3"/>
      <c r="B676" s="6"/>
      <c r="C676" s="3"/>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row>
    <row r="677" customFormat="false" ht="15.75" hidden="false" customHeight="false" outlineLevel="0" collapsed="false">
      <c r="A677" s="3"/>
      <c r="B677" s="6"/>
      <c r="C677" s="3"/>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row>
    <row r="678" customFormat="false" ht="15.75" hidden="false" customHeight="false" outlineLevel="0" collapsed="false">
      <c r="A678" s="3"/>
      <c r="B678" s="6"/>
      <c r="C678" s="3"/>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row>
    <row r="679" customFormat="false" ht="15.75" hidden="false" customHeight="false" outlineLevel="0" collapsed="false">
      <c r="A679" s="3"/>
      <c r="B679" s="6"/>
      <c r="C679" s="3"/>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row>
    <row r="680" customFormat="false" ht="15.75" hidden="false" customHeight="false" outlineLevel="0" collapsed="false">
      <c r="A680" s="3"/>
      <c r="B680" s="6"/>
      <c r="C680" s="3"/>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row>
    <row r="681" customFormat="false" ht="15.75" hidden="false" customHeight="false" outlineLevel="0" collapsed="false">
      <c r="A681" s="3"/>
      <c r="B681" s="6"/>
      <c r="C681" s="3"/>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row>
    <row r="682" customFormat="false" ht="15.75" hidden="false" customHeight="false" outlineLevel="0" collapsed="false">
      <c r="A682" s="3"/>
      <c r="B682" s="6"/>
      <c r="C682" s="3"/>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row>
    <row r="683" customFormat="false" ht="15.75" hidden="false" customHeight="false" outlineLevel="0" collapsed="false">
      <c r="A683" s="3"/>
      <c r="B683" s="6"/>
      <c r="C683" s="3"/>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row>
    <row r="684" customFormat="false" ht="15.75" hidden="false" customHeight="false" outlineLevel="0" collapsed="false">
      <c r="A684" s="3"/>
      <c r="B684" s="6"/>
      <c r="C684" s="3"/>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row>
    <row r="685" customFormat="false" ht="15.75" hidden="false" customHeight="false" outlineLevel="0" collapsed="false">
      <c r="A685" s="3"/>
      <c r="B685" s="6"/>
      <c r="C685" s="3"/>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row>
    <row r="686" customFormat="false" ht="15.75" hidden="false" customHeight="false" outlineLevel="0" collapsed="false">
      <c r="A686" s="3"/>
      <c r="B686" s="6"/>
      <c r="C686" s="3"/>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row>
    <row r="687" customFormat="false" ht="15.75" hidden="false" customHeight="false" outlineLevel="0" collapsed="false">
      <c r="A687" s="3"/>
      <c r="B687" s="6"/>
      <c r="C687" s="3"/>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row>
    <row r="688" customFormat="false" ht="15.75" hidden="false" customHeight="false" outlineLevel="0" collapsed="false">
      <c r="A688" s="3"/>
      <c r="B688" s="6"/>
      <c r="C688" s="3"/>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row>
    <row r="689" customFormat="false" ht="15.75" hidden="false" customHeight="false" outlineLevel="0" collapsed="false">
      <c r="A689" s="3"/>
      <c r="B689" s="6"/>
      <c r="C689" s="3"/>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row>
    <row r="690" customFormat="false" ht="15.75" hidden="false" customHeight="false" outlineLevel="0" collapsed="false">
      <c r="A690" s="3"/>
      <c r="B690" s="6"/>
      <c r="C690" s="3"/>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row>
    <row r="691" customFormat="false" ht="15.75" hidden="false" customHeight="false" outlineLevel="0" collapsed="false">
      <c r="A691" s="3"/>
      <c r="B691" s="6"/>
      <c r="C691" s="3"/>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row>
    <row r="692" customFormat="false" ht="15.75" hidden="false" customHeight="false" outlineLevel="0" collapsed="false">
      <c r="A692" s="3"/>
      <c r="B692" s="6"/>
      <c r="C692" s="3"/>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row>
    <row r="693" customFormat="false" ht="15.75" hidden="false" customHeight="false" outlineLevel="0" collapsed="false">
      <c r="A693" s="3"/>
      <c r="B693" s="6"/>
      <c r="C693" s="3"/>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row>
    <row r="694" customFormat="false" ht="15.75" hidden="false" customHeight="false" outlineLevel="0" collapsed="false">
      <c r="A694" s="3"/>
      <c r="B694" s="6"/>
      <c r="C694" s="3"/>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row>
    <row r="695" customFormat="false" ht="15.75" hidden="false" customHeight="false" outlineLevel="0" collapsed="false">
      <c r="A695" s="3"/>
      <c r="B695" s="6"/>
      <c r="C695" s="3"/>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row>
    <row r="696" customFormat="false" ht="15.75" hidden="false" customHeight="false" outlineLevel="0" collapsed="false">
      <c r="A696" s="3"/>
      <c r="B696" s="6"/>
      <c r="C696" s="3"/>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row>
    <row r="697" customFormat="false" ht="15.75" hidden="false" customHeight="false" outlineLevel="0" collapsed="false">
      <c r="A697" s="3"/>
      <c r="B697" s="6"/>
      <c r="C697" s="3"/>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row>
    <row r="698" customFormat="false" ht="15.75" hidden="false" customHeight="false" outlineLevel="0" collapsed="false">
      <c r="A698" s="3"/>
      <c r="B698" s="6"/>
      <c r="C698" s="3"/>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row>
    <row r="699" customFormat="false" ht="15.75" hidden="false" customHeight="false" outlineLevel="0" collapsed="false">
      <c r="A699" s="3"/>
      <c r="B699" s="6"/>
      <c r="C699" s="3"/>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row>
    <row r="700" customFormat="false" ht="15.75" hidden="false" customHeight="false" outlineLevel="0" collapsed="false">
      <c r="A700" s="3"/>
      <c r="B700" s="6"/>
      <c r="C700" s="3"/>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row>
    <row r="701" customFormat="false" ht="15.75" hidden="false" customHeight="false" outlineLevel="0" collapsed="false">
      <c r="A701" s="3"/>
      <c r="B701" s="6"/>
      <c r="C701" s="3"/>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row>
    <row r="702" customFormat="false" ht="15.75" hidden="false" customHeight="false" outlineLevel="0" collapsed="false">
      <c r="A702" s="3"/>
      <c r="B702" s="6"/>
      <c r="C702" s="3"/>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row>
    <row r="703" customFormat="false" ht="15.75" hidden="false" customHeight="false" outlineLevel="0" collapsed="false">
      <c r="A703" s="3"/>
      <c r="B703" s="6"/>
      <c r="C703" s="3"/>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row>
    <row r="704" customFormat="false" ht="15.75" hidden="false" customHeight="false" outlineLevel="0" collapsed="false">
      <c r="A704" s="3"/>
      <c r="B704" s="6"/>
      <c r="C704" s="3"/>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row>
    <row r="705" customFormat="false" ht="15.75" hidden="false" customHeight="false" outlineLevel="0" collapsed="false">
      <c r="A705" s="3"/>
      <c r="B705" s="6"/>
      <c r="C705" s="3"/>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row>
    <row r="706" customFormat="false" ht="15.75" hidden="false" customHeight="false" outlineLevel="0" collapsed="false">
      <c r="A706" s="3"/>
      <c r="B706" s="6"/>
      <c r="C706" s="3"/>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row>
    <row r="707" customFormat="false" ht="15.75" hidden="false" customHeight="false" outlineLevel="0" collapsed="false">
      <c r="A707" s="3"/>
      <c r="B707" s="6"/>
      <c r="C707" s="3"/>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row>
    <row r="708" customFormat="false" ht="15.75" hidden="false" customHeight="false" outlineLevel="0" collapsed="false">
      <c r="A708" s="3"/>
      <c r="B708" s="6"/>
      <c r="C708" s="3"/>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row>
    <row r="709" customFormat="false" ht="15.75" hidden="false" customHeight="false" outlineLevel="0" collapsed="false">
      <c r="A709" s="3"/>
      <c r="B709" s="6"/>
      <c r="C709" s="3"/>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row>
    <row r="710" customFormat="false" ht="15.75" hidden="false" customHeight="false" outlineLevel="0" collapsed="false">
      <c r="A710" s="3"/>
      <c r="B710" s="6"/>
      <c r="C710" s="3"/>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row>
    <row r="711" customFormat="false" ht="15.75" hidden="false" customHeight="false" outlineLevel="0" collapsed="false">
      <c r="A711" s="3"/>
      <c r="B711" s="6"/>
      <c r="C711" s="3"/>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row>
    <row r="712" customFormat="false" ht="15.75" hidden="false" customHeight="false" outlineLevel="0" collapsed="false">
      <c r="A712" s="3"/>
      <c r="B712" s="6"/>
      <c r="C712" s="3"/>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row>
    <row r="713" customFormat="false" ht="15.75" hidden="false" customHeight="false" outlineLevel="0" collapsed="false">
      <c r="A713" s="3"/>
      <c r="B713" s="6"/>
      <c r="C713" s="3"/>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row>
    <row r="714" customFormat="false" ht="15.75" hidden="false" customHeight="false" outlineLevel="0" collapsed="false">
      <c r="A714" s="3"/>
      <c r="B714" s="6"/>
      <c r="C714" s="3"/>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row>
    <row r="715" customFormat="false" ht="15.75" hidden="false" customHeight="false" outlineLevel="0" collapsed="false">
      <c r="A715" s="3"/>
      <c r="B715" s="6"/>
      <c r="C715" s="3"/>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row>
    <row r="716" customFormat="false" ht="15.75" hidden="false" customHeight="false" outlineLevel="0" collapsed="false">
      <c r="A716" s="3"/>
      <c r="B716" s="6"/>
      <c r="C716" s="3"/>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row>
    <row r="717" customFormat="false" ht="15.75" hidden="false" customHeight="false" outlineLevel="0" collapsed="false">
      <c r="A717" s="3"/>
      <c r="B717" s="6"/>
      <c r="C717" s="3"/>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row>
    <row r="718" customFormat="false" ht="15.75" hidden="false" customHeight="false" outlineLevel="0" collapsed="false">
      <c r="A718" s="3"/>
      <c r="B718" s="6"/>
      <c r="C718" s="3"/>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row>
    <row r="719" customFormat="false" ht="15.75" hidden="false" customHeight="false" outlineLevel="0" collapsed="false">
      <c r="A719" s="3"/>
      <c r="B719" s="6"/>
      <c r="C719" s="3"/>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row>
    <row r="720" customFormat="false" ht="15.75" hidden="false" customHeight="false" outlineLevel="0" collapsed="false">
      <c r="A720" s="3"/>
      <c r="B720" s="6"/>
      <c r="C720" s="3"/>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row>
    <row r="721" customFormat="false" ht="15.75" hidden="false" customHeight="false" outlineLevel="0" collapsed="false">
      <c r="A721" s="3"/>
      <c r="B721" s="6"/>
      <c r="C721" s="3"/>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row>
    <row r="722" customFormat="false" ht="15.75" hidden="false" customHeight="false" outlineLevel="0" collapsed="false">
      <c r="A722" s="3"/>
      <c r="B722" s="6"/>
      <c r="C722" s="3"/>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row>
    <row r="723" customFormat="false" ht="15.75" hidden="false" customHeight="false" outlineLevel="0" collapsed="false">
      <c r="A723" s="3"/>
      <c r="B723" s="6"/>
      <c r="C723" s="3"/>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row>
    <row r="724" customFormat="false" ht="15.75" hidden="false" customHeight="false" outlineLevel="0" collapsed="false">
      <c r="A724" s="3"/>
      <c r="B724" s="6"/>
      <c r="C724" s="3"/>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row>
    <row r="725" customFormat="false" ht="15.75" hidden="false" customHeight="false" outlineLevel="0" collapsed="false">
      <c r="A725" s="3"/>
      <c r="B725" s="6"/>
      <c r="C725" s="3"/>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row>
    <row r="726" customFormat="false" ht="15.75" hidden="false" customHeight="false" outlineLevel="0" collapsed="false">
      <c r="A726" s="3"/>
      <c r="B726" s="6"/>
      <c r="C726" s="3"/>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row>
    <row r="727" customFormat="false" ht="15.75" hidden="false" customHeight="false" outlineLevel="0" collapsed="false">
      <c r="A727" s="3"/>
      <c r="B727" s="6"/>
      <c r="C727" s="3"/>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row>
    <row r="728" customFormat="false" ht="15.75" hidden="false" customHeight="false" outlineLevel="0" collapsed="false">
      <c r="A728" s="3"/>
      <c r="B728" s="6"/>
      <c r="C728" s="3"/>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row>
    <row r="729" customFormat="false" ht="15.75" hidden="false" customHeight="false" outlineLevel="0" collapsed="false">
      <c r="A729" s="3"/>
      <c r="B729" s="6"/>
      <c r="C729" s="3"/>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row>
    <row r="730" customFormat="false" ht="15.75" hidden="false" customHeight="false" outlineLevel="0" collapsed="false">
      <c r="A730" s="3"/>
      <c r="B730" s="6"/>
      <c r="C730" s="3"/>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row>
    <row r="731" customFormat="false" ht="15.75" hidden="false" customHeight="false" outlineLevel="0" collapsed="false">
      <c r="A731" s="3"/>
      <c r="B731" s="6"/>
      <c r="C731" s="3"/>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row>
    <row r="732" customFormat="false" ht="15.75" hidden="false" customHeight="false" outlineLevel="0" collapsed="false">
      <c r="A732" s="3"/>
      <c r="B732" s="6"/>
      <c r="C732" s="3"/>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row>
    <row r="733" customFormat="false" ht="15.75" hidden="false" customHeight="false" outlineLevel="0" collapsed="false">
      <c r="A733" s="3"/>
      <c r="B733" s="6"/>
      <c r="C733" s="3"/>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row>
    <row r="734" customFormat="false" ht="15.75" hidden="false" customHeight="false" outlineLevel="0" collapsed="false">
      <c r="A734" s="3"/>
      <c r="B734" s="6"/>
      <c r="C734" s="3"/>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row>
    <row r="735" customFormat="false" ht="15.75" hidden="false" customHeight="false" outlineLevel="0" collapsed="false">
      <c r="A735" s="3"/>
      <c r="B735" s="6"/>
      <c r="C735" s="3"/>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row>
    <row r="736" customFormat="false" ht="15.75" hidden="false" customHeight="false" outlineLevel="0" collapsed="false">
      <c r="A736" s="3"/>
      <c r="B736" s="6"/>
      <c r="C736" s="3"/>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row>
    <row r="737" customFormat="false" ht="15.75" hidden="false" customHeight="false" outlineLevel="0" collapsed="false">
      <c r="A737" s="3"/>
      <c r="B737" s="6"/>
      <c r="C737" s="3"/>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row>
    <row r="738" customFormat="false" ht="15.75" hidden="false" customHeight="false" outlineLevel="0" collapsed="false">
      <c r="A738" s="3"/>
      <c r="B738" s="6"/>
      <c r="C738" s="3"/>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row>
    <row r="739" customFormat="false" ht="15.75" hidden="false" customHeight="false" outlineLevel="0" collapsed="false">
      <c r="A739" s="3"/>
      <c r="B739" s="6"/>
      <c r="C739" s="3"/>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row>
    <row r="740" customFormat="false" ht="15.75" hidden="false" customHeight="false" outlineLevel="0" collapsed="false">
      <c r="A740" s="3"/>
      <c r="B740" s="6"/>
      <c r="C740" s="3"/>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row>
    <row r="741" customFormat="false" ht="15.75" hidden="false" customHeight="false" outlineLevel="0" collapsed="false">
      <c r="A741" s="3"/>
      <c r="B741" s="6"/>
      <c r="C741" s="3"/>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row>
    <row r="742" customFormat="false" ht="15.75" hidden="false" customHeight="false" outlineLevel="0" collapsed="false">
      <c r="A742" s="3"/>
      <c r="B742" s="6"/>
      <c r="C742" s="3"/>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row>
    <row r="743" customFormat="false" ht="15.75" hidden="false" customHeight="false" outlineLevel="0" collapsed="false">
      <c r="A743" s="3"/>
      <c r="B743" s="6"/>
      <c r="C743" s="3"/>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row>
    <row r="744" customFormat="false" ht="15.75" hidden="false" customHeight="false" outlineLevel="0" collapsed="false">
      <c r="A744" s="3"/>
      <c r="B744" s="6"/>
      <c r="C744" s="3"/>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row>
    <row r="745" customFormat="false" ht="15.75" hidden="false" customHeight="false" outlineLevel="0" collapsed="false">
      <c r="A745" s="3"/>
      <c r="B745" s="6"/>
      <c r="C745" s="3"/>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row>
    <row r="746" customFormat="false" ht="15.75" hidden="false" customHeight="false" outlineLevel="0" collapsed="false">
      <c r="A746" s="3"/>
      <c r="B746" s="6"/>
      <c r="C746" s="3"/>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row>
    <row r="747" customFormat="false" ht="15.75" hidden="false" customHeight="false" outlineLevel="0" collapsed="false">
      <c r="A747" s="3"/>
      <c r="B747" s="6"/>
      <c r="C747" s="3"/>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row>
    <row r="748" customFormat="false" ht="15.75" hidden="false" customHeight="false" outlineLevel="0" collapsed="false">
      <c r="A748" s="3"/>
      <c r="B748" s="6"/>
      <c r="C748" s="3"/>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row>
    <row r="749" customFormat="false" ht="15.75" hidden="false" customHeight="false" outlineLevel="0" collapsed="false">
      <c r="A749" s="3"/>
      <c r="B749" s="6"/>
      <c r="C749" s="3"/>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row>
    <row r="750" customFormat="false" ht="15.75" hidden="false" customHeight="false" outlineLevel="0" collapsed="false">
      <c r="A750" s="3"/>
      <c r="B750" s="6"/>
      <c r="C750" s="3"/>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row>
    <row r="751" customFormat="false" ht="15.75" hidden="false" customHeight="false" outlineLevel="0" collapsed="false">
      <c r="A751" s="3"/>
      <c r="B751" s="6"/>
      <c r="C751" s="3"/>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row>
    <row r="752" customFormat="false" ht="15.75" hidden="false" customHeight="false" outlineLevel="0" collapsed="false">
      <c r="A752" s="3"/>
      <c r="B752" s="6"/>
      <c r="C752" s="3"/>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row>
    <row r="753" customFormat="false" ht="15.75" hidden="false" customHeight="false" outlineLevel="0" collapsed="false">
      <c r="A753" s="3"/>
      <c r="B753" s="6"/>
      <c r="C753" s="3"/>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row>
    <row r="754" customFormat="false" ht="15.75" hidden="false" customHeight="false" outlineLevel="0" collapsed="false">
      <c r="A754" s="3"/>
      <c r="B754" s="6"/>
      <c r="C754" s="3"/>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row>
    <row r="755" customFormat="false" ht="15.75" hidden="false" customHeight="false" outlineLevel="0" collapsed="false">
      <c r="A755" s="3"/>
      <c r="B755" s="6"/>
      <c r="C755" s="3"/>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row>
    <row r="756" customFormat="false" ht="15.75" hidden="false" customHeight="false" outlineLevel="0" collapsed="false">
      <c r="A756" s="3"/>
      <c r="B756" s="6"/>
      <c r="C756" s="3"/>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row>
    <row r="757" customFormat="false" ht="15.75" hidden="false" customHeight="false" outlineLevel="0" collapsed="false">
      <c r="A757" s="3"/>
      <c r="B757" s="6"/>
      <c r="C757" s="3"/>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row>
    <row r="758" customFormat="false" ht="15.75" hidden="false" customHeight="false" outlineLevel="0" collapsed="false">
      <c r="A758" s="3"/>
      <c r="B758" s="6"/>
      <c r="C758" s="3"/>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row>
    <row r="759" customFormat="false" ht="15.75" hidden="false" customHeight="false" outlineLevel="0" collapsed="false">
      <c r="A759" s="3"/>
      <c r="B759" s="6"/>
      <c r="C759" s="3"/>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row>
    <row r="760" customFormat="false" ht="15.75" hidden="false" customHeight="false" outlineLevel="0" collapsed="false">
      <c r="A760" s="3"/>
      <c r="B760" s="6"/>
      <c r="C760" s="3"/>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row>
    <row r="761" customFormat="false" ht="15.75" hidden="false" customHeight="false" outlineLevel="0" collapsed="false">
      <c r="A761" s="3"/>
      <c r="B761" s="6"/>
      <c r="C761" s="3"/>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row>
    <row r="762" customFormat="false" ht="15.75" hidden="false" customHeight="false" outlineLevel="0" collapsed="false">
      <c r="A762" s="3"/>
      <c r="B762" s="6"/>
      <c r="C762" s="3"/>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row>
    <row r="763" customFormat="false" ht="15.75" hidden="false" customHeight="false" outlineLevel="0" collapsed="false">
      <c r="A763" s="3"/>
      <c r="B763" s="6"/>
      <c r="C763" s="3"/>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row>
    <row r="764" customFormat="false" ht="15.75" hidden="false" customHeight="false" outlineLevel="0" collapsed="false">
      <c r="A764" s="3"/>
      <c r="B764" s="6"/>
      <c r="C764" s="3"/>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row>
    <row r="765" customFormat="false" ht="15.75" hidden="false" customHeight="false" outlineLevel="0" collapsed="false">
      <c r="A765" s="3"/>
      <c r="B765" s="6"/>
      <c r="C765" s="3"/>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row>
    <row r="766" customFormat="false" ht="15.75" hidden="false" customHeight="false" outlineLevel="0" collapsed="false">
      <c r="A766" s="3"/>
      <c r="B766" s="6"/>
      <c r="C766" s="3"/>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row>
    <row r="767" customFormat="false" ht="15.75" hidden="false" customHeight="false" outlineLevel="0" collapsed="false">
      <c r="A767" s="3"/>
      <c r="B767" s="6"/>
      <c r="C767" s="3"/>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row>
    <row r="768" customFormat="false" ht="15.75" hidden="false" customHeight="false" outlineLevel="0" collapsed="false">
      <c r="A768" s="3"/>
      <c r="B768" s="6"/>
      <c r="C768" s="3"/>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row>
    <row r="769" customFormat="false" ht="15.75" hidden="false" customHeight="false" outlineLevel="0" collapsed="false">
      <c r="A769" s="3"/>
      <c r="B769" s="6"/>
      <c r="C769" s="3"/>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row>
    <row r="770" customFormat="false" ht="15.75" hidden="false" customHeight="false" outlineLevel="0" collapsed="false">
      <c r="A770" s="3"/>
      <c r="B770" s="6"/>
      <c r="C770" s="3"/>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row>
    <row r="771" customFormat="false" ht="15.75" hidden="false" customHeight="false" outlineLevel="0" collapsed="false">
      <c r="A771" s="3"/>
      <c r="B771" s="6"/>
      <c r="C771" s="3"/>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row>
    <row r="772" customFormat="false" ht="15.75" hidden="false" customHeight="false" outlineLevel="0" collapsed="false">
      <c r="A772" s="3"/>
      <c r="B772" s="6"/>
      <c r="C772" s="3"/>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row>
    <row r="773" customFormat="false" ht="15.75" hidden="false" customHeight="false" outlineLevel="0" collapsed="false">
      <c r="A773" s="3"/>
      <c r="B773" s="6"/>
      <c r="C773" s="3"/>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row>
    <row r="774" customFormat="false" ht="15.75" hidden="false" customHeight="false" outlineLevel="0" collapsed="false">
      <c r="A774" s="3"/>
      <c r="B774" s="6"/>
      <c r="C774" s="3"/>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row>
    <row r="775" customFormat="false" ht="15.75" hidden="false" customHeight="false" outlineLevel="0" collapsed="false">
      <c r="A775" s="3"/>
      <c r="B775" s="6"/>
      <c r="C775" s="3"/>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row>
    <row r="776" customFormat="false" ht="15.75" hidden="false" customHeight="false" outlineLevel="0" collapsed="false">
      <c r="A776" s="3"/>
      <c r="B776" s="6"/>
      <c r="C776" s="3"/>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row>
    <row r="777" customFormat="false" ht="15.75" hidden="false" customHeight="false" outlineLevel="0" collapsed="false">
      <c r="A777" s="3"/>
      <c r="B777" s="6"/>
      <c r="C777" s="3"/>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row>
    <row r="778" customFormat="false" ht="15.75" hidden="false" customHeight="false" outlineLevel="0" collapsed="false">
      <c r="A778" s="3"/>
      <c r="B778" s="6"/>
      <c r="C778" s="3"/>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row>
    <row r="779" customFormat="false" ht="15.75" hidden="false" customHeight="false" outlineLevel="0" collapsed="false">
      <c r="A779" s="3"/>
      <c r="B779" s="6"/>
      <c r="C779" s="3"/>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row>
    <row r="780" customFormat="false" ht="15.75" hidden="false" customHeight="false" outlineLevel="0" collapsed="false">
      <c r="A780" s="3"/>
      <c r="B780" s="6"/>
      <c r="C780" s="3"/>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row>
    <row r="781" customFormat="false" ht="15.75" hidden="false" customHeight="false" outlineLevel="0" collapsed="false">
      <c r="A781" s="3"/>
      <c r="B781" s="6"/>
      <c r="C781" s="3"/>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row>
    <row r="782" customFormat="false" ht="15.75" hidden="false" customHeight="false" outlineLevel="0" collapsed="false">
      <c r="A782" s="3"/>
      <c r="B782" s="6"/>
      <c r="C782" s="3"/>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row>
    <row r="783" customFormat="false" ht="15.75" hidden="false" customHeight="false" outlineLevel="0" collapsed="false">
      <c r="A783" s="3"/>
      <c r="B783" s="6"/>
      <c r="C783" s="3"/>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row>
    <row r="784" customFormat="false" ht="15.75" hidden="false" customHeight="false" outlineLevel="0" collapsed="false">
      <c r="A784" s="3"/>
      <c r="B784" s="6"/>
      <c r="C784" s="3"/>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row>
    <row r="785" customFormat="false" ht="15.75" hidden="false" customHeight="false" outlineLevel="0" collapsed="false">
      <c r="A785" s="3"/>
      <c r="B785" s="6"/>
      <c r="C785" s="3"/>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row>
    <row r="786" customFormat="false" ht="15.75" hidden="false" customHeight="false" outlineLevel="0" collapsed="false">
      <c r="A786" s="3"/>
      <c r="B786" s="6"/>
      <c r="C786" s="3"/>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row>
    <row r="787" customFormat="false" ht="15.75" hidden="false" customHeight="false" outlineLevel="0" collapsed="false">
      <c r="A787" s="3"/>
      <c r="B787" s="6"/>
      <c r="C787" s="3"/>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row>
    <row r="788" customFormat="false" ht="15.75" hidden="false" customHeight="false" outlineLevel="0" collapsed="false">
      <c r="A788" s="3"/>
      <c r="B788" s="6"/>
      <c r="C788" s="3"/>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row>
    <row r="789" customFormat="false" ht="15.75" hidden="false" customHeight="false" outlineLevel="0" collapsed="false">
      <c r="A789" s="3"/>
      <c r="B789" s="6"/>
      <c r="C789" s="3"/>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row>
    <row r="790" customFormat="false" ht="15.75" hidden="false" customHeight="false" outlineLevel="0" collapsed="false">
      <c r="A790" s="3"/>
      <c r="B790" s="6"/>
      <c r="C790" s="3"/>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row>
    <row r="791" customFormat="false" ht="15.75" hidden="false" customHeight="false" outlineLevel="0" collapsed="false">
      <c r="A791" s="3"/>
      <c r="B791" s="6"/>
      <c r="C791" s="3"/>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row>
    <row r="792" customFormat="false" ht="15.75" hidden="false" customHeight="false" outlineLevel="0" collapsed="false">
      <c r="A792" s="3"/>
      <c r="B792" s="6"/>
      <c r="C792" s="3"/>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row>
    <row r="793" customFormat="false" ht="15.75" hidden="false" customHeight="false" outlineLevel="0" collapsed="false">
      <c r="A793" s="3"/>
      <c r="B793" s="6"/>
      <c r="C793" s="3"/>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row>
    <row r="794" customFormat="false" ht="15.75" hidden="false" customHeight="false" outlineLevel="0" collapsed="false">
      <c r="A794" s="3"/>
      <c r="B794" s="6"/>
      <c r="C794" s="3"/>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row>
    <row r="795" customFormat="false" ht="15.75" hidden="false" customHeight="false" outlineLevel="0" collapsed="false">
      <c r="A795" s="3"/>
      <c r="B795" s="6"/>
      <c r="C795" s="3"/>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row>
    <row r="796" customFormat="false" ht="15.75" hidden="false" customHeight="false" outlineLevel="0" collapsed="false">
      <c r="A796" s="3"/>
      <c r="B796" s="6"/>
      <c r="C796" s="3"/>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row>
    <row r="797" customFormat="false" ht="15.75" hidden="false" customHeight="false" outlineLevel="0" collapsed="false">
      <c r="A797" s="3"/>
      <c r="B797" s="6"/>
      <c r="C797" s="3"/>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row>
    <row r="798" customFormat="false" ht="15.75" hidden="false" customHeight="false" outlineLevel="0" collapsed="false">
      <c r="A798" s="3"/>
      <c r="B798" s="6"/>
      <c r="C798" s="3"/>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row>
    <row r="799" customFormat="false" ht="15.75" hidden="false" customHeight="false" outlineLevel="0" collapsed="false">
      <c r="A799" s="3"/>
      <c r="B799" s="6"/>
      <c r="C799" s="3"/>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row>
    <row r="800" customFormat="false" ht="15.75" hidden="false" customHeight="false" outlineLevel="0" collapsed="false">
      <c r="A800" s="3"/>
      <c r="B800" s="6"/>
      <c r="C800" s="3"/>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row>
    <row r="801" customFormat="false" ht="15.75" hidden="false" customHeight="false" outlineLevel="0" collapsed="false">
      <c r="A801" s="3"/>
      <c r="B801" s="6"/>
      <c r="C801" s="3"/>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row>
    <row r="802" customFormat="false" ht="15.75" hidden="false" customHeight="false" outlineLevel="0" collapsed="false">
      <c r="A802" s="3"/>
      <c r="B802" s="6"/>
      <c r="C802" s="3"/>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row>
    <row r="803" customFormat="false" ht="15.75" hidden="false" customHeight="false" outlineLevel="0" collapsed="false">
      <c r="A803" s="3"/>
      <c r="B803" s="6"/>
      <c r="C803" s="3"/>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row>
    <row r="804" customFormat="false" ht="15.75" hidden="false" customHeight="false" outlineLevel="0" collapsed="false">
      <c r="A804" s="3"/>
      <c r="B804" s="6"/>
      <c r="C804" s="3"/>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row>
    <row r="805" customFormat="false" ht="15.75" hidden="false" customHeight="false" outlineLevel="0" collapsed="false">
      <c r="A805" s="3"/>
      <c r="B805" s="6"/>
      <c r="C805" s="3"/>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row>
    <row r="806" customFormat="false" ht="15.75" hidden="false" customHeight="false" outlineLevel="0" collapsed="false">
      <c r="A806" s="3"/>
      <c r="B806" s="6"/>
      <c r="C806" s="3"/>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row>
    <row r="807" customFormat="false" ht="15.75" hidden="false" customHeight="false" outlineLevel="0" collapsed="false">
      <c r="A807" s="3"/>
      <c r="B807" s="6"/>
      <c r="C807" s="3"/>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row>
    <row r="808" customFormat="false" ht="15.75" hidden="false" customHeight="false" outlineLevel="0" collapsed="false">
      <c r="A808" s="3"/>
      <c r="B808" s="6"/>
      <c r="C808" s="3"/>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row>
    <row r="809" customFormat="false" ht="15.75" hidden="false" customHeight="false" outlineLevel="0" collapsed="false">
      <c r="A809" s="3"/>
      <c r="B809" s="6"/>
      <c r="C809" s="3"/>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row>
    <row r="810" customFormat="false" ht="15.75" hidden="false" customHeight="false" outlineLevel="0" collapsed="false">
      <c r="A810" s="3"/>
      <c r="B810" s="6"/>
      <c r="C810" s="3"/>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row>
    <row r="811" customFormat="false" ht="15.75" hidden="false" customHeight="false" outlineLevel="0" collapsed="false">
      <c r="A811" s="3"/>
      <c r="B811" s="6"/>
      <c r="C811" s="3"/>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row>
    <row r="812" customFormat="false" ht="15.75" hidden="false" customHeight="false" outlineLevel="0" collapsed="false">
      <c r="A812" s="3"/>
      <c r="B812" s="6"/>
      <c r="C812" s="3"/>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row>
    <row r="813" customFormat="false" ht="15.75" hidden="false" customHeight="false" outlineLevel="0" collapsed="false">
      <c r="A813" s="3"/>
      <c r="B813" s="6"/>
      <c r="C813" s="3"/>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row>
    <row r="814" customFormat="false" ht="15.75" hidden="false" customHeight="false" outlineLevel="0" collapsed="false">
      <c r="A814" s="3"/>
      <c r="B814" s="6"/>
      <c r="C814" s="3"/>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row>
    <row r="815" customFormat="false" ht="15.75" hidden="false" customHeight="false" outlineLevel="0" collapsed="false">
      <c r="A815" s="3"/>
      <c r="B815" s="6"/>
      <c r="C815" s="3"/>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row>
    <row r="816" customFormat="false" ht="15.75" hidden="false" customHeight="false" outlineLevel="0" collapsed="false">
      <c r="A816" s="3"/>
      <c r="B816" s="6"/>
      <c r="C816" s="3"/>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row>
    <row r="817" customFormat="false" ht="15.75" hidden="false" customHeight="false" outlineLevel="0" collapsed="false">
      <c r="A817" s="3"/>
      <c r="B817" s="6"/>
      <c r="C817" s="3"/>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row>
    <row r="818" customFormat="false" ht="15.75" hidden="false" customHeight="false" outlineLevel="0" collapsed="false">
      <c r="A818" s="3"/>
      <c r="B818" s="6"/>
      <c r="C818" s="3"/>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row>
    <row r="819" customFormat="false" ht="15.75" hidden="false" customHeight="false" outlineLevel="0" collapsed="false">
      <c r="A819" s="3"/>
      <c r="B819" s="6"/>
      <c r="C819" s="3"/>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row>
    <row r="820" customFormat="false" ht="15.75" hidden="false" customHeight="false" outlineLevel="0" collapsed="false">
      <c r="A820" s="3"/>
      <c r="B820" s="6"/>
      <c r="C820" s="3"/>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row>
    <row r="821" customFormat="false" ht="15.75" hidden="false" customHeight="false" outlineLevel="0" collapsed="false">
      <c r="A821" s="3"/>
      <c r="B821" s="6"/>
      <c r="C821" s="3"/>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row>
    <row r="822" customFormat="false" ht="15.75" hidden="false" customHeight="false" outlineLevel="0" collapsed="false">
      <c r="A822" s="3"/>
      <c r="B822" s="6"/>
      <c r="C822" s="3"/>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row>
    <row r="823" customFormat="false" ht="15.75" hidden="false" customHeight="false" outlineLevel="0" collapsed="false">
      <c r="A823" s="3"/>
      <c r="B823" s="6"/>
      <c r="C823" s="3"/>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row>
    <row r="824" customFormat="false" ht="15.75" hidden="false" customHeight="false" outlineLevel="0" collapsed="false">
      <c r="A824" s="3"/>
      <c r="B824" s="6"/>
      <c r="C824" s="3"/>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row>
    <row r="825" customFormat="false" ht="15.75" hidden="false" customHeight="false" outlineLevel="0" collapsed="false">
      <c r="A825" s="3"/>
      <c r="B825" s="6"/>
      <c r="C825" s="3"/>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row>
    <row r="826" customFormat="false" ht="15.75" hidden="false" customHeight="false" outlineLevel="0" collapsed="false">
      <c r="A826" s="3"/>
      <c r="B826" s="6"/>
      <c r="C826" s="3"/>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row>
    <row r="827" customFormat="false" ht="15.75" hidden="false" customHeight="false" outlineLevel="0" collapsed="false">
      <c r="A827" s="3"/>
      <c r="B827" s="6"/>
      <c r="C827" s="3"/>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row>
    <row r="828" customFormat="false" ht="15.75" hidden="false" customHeight="false" outlineLevel="0" collapsed="false">
      <c r="A828" s="3"/>
      <c r="B828" s="6"/>
      <c r="C828" s="3"/>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row>
    <row r="829" customFormat="false" ht="15.75" hidden="false" customHeight="false" outlineLevel="0" collapsed="false">
      <c r="A829" s="3"/>
      <c r="B829" s="6"/>
      <c r="C829" s="3"/>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row>
    <row r="830" customFormat="false" ht="15.75" hidden="false" customHeight="false" outlineLevel="0" collapsed="false">
      <c r="A830" s="3"/>
      <c r="B830" s="6"/>
      <c r="C830" s="3"/>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row>
    <row r="831" customFormat="false" ht="15.75" hidden="false" customHeight="false" outlineLevel="0" collapsed="false">
      <c r="A831" s="3"/>
      <c r="B831" s="6"/>
      <c r="C831" s="3"/>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row>
    <row r="832" customFormat="false" ht="15.75" hidden="false" customHeight="false" outlineLevel="0" collapsed="false">
      <c r="A832" s="3"/>
      <c r="B832" s="6"/>
      <c r="C832" s="3"/>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row>
    <row r="833" customFormat="false" ht="15.75" hidden="false" customHeight="false" outlineLevel="0" collapsed="false">
      <c r="A833" s="3"/>
      <c r="B833" s="6"/>
      <c r="C833" s="3"/>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row>
    <row r="834" customFormat="false" ht="15.75" hidden="false" customHeight="false" outlineLevel="0" collapsed="false">
      <c r="A834" s="3"/>
      <c r="B834" s="6"/>
      <c r="C834" s="3"/>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row>
    <row r="835" customFormat="false" ht="15.75" hidden="false" customHeight="false" outlineLevel="0" collapsed="false">
      <c r="A835" s="3"/>
      <c r="B835" s="6"/>
      <c r="C835" s="3"/>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row>
    <row r="836" customFormat="false" ht="15.75" hidden="false" customHeight="false" outlineLevel="0" collapsed="false">
      <c r="A836" s="3"/>
      <c r="B836" s="6"/>
      <c r="C836" s="3"/>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row>
    <row r="837" customFormat="false" ht="15.75" hidden="false" customHeight="false" outlineLevel="0" collapsed="false">
      <c r="A837" s="3"/>
      <c r="B837" s="6"/>
      <c r="C837" s="3"/>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row>
    <row r="838" customFormat="false" ht="15.75" hidden="false" customHeight="false" outlineLevel="0" collapsed="false">
      <c r="A838" s="3"/>
      <c r="B838" s="6"/>
      <c r="C838" s="3"/>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row>
    <row r="839" customFormat="false" ht="15.75" hidden="false" customHeight="false" outlineLevel="0" collapsed="false">
      <c r="A839" s="3"/>
      <c r="B839" s="6"/>
      <c r="C839" s="3"/>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row>
    <row r="840" customFormat="false" ht="15.75" hidden="false" customHeight="false" outlineLevel="0" collapsed="false">
      <c r="A840" s="3"/>
      <c r="B840" s="6"/>
      <c r="C840" s="3"/>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row>
    <row r="841" customFormat="false" ht="15.75" hidden="false" customHeight="false" outlineLevel="0" collapsed="false">
      <c r="A841" s="3"/>
      <c r="B841" s="6"/>
      <c r="C841" s="3"/>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row>
    <row r="842" customFormat="false" ht="15.75" hidden="false" customHeight="false" outlineLevel="0" collapsed="false">
      <c r="A842" s="3"/>
      <c r="B842" s="6"/>
      <c r="C842" s="3"/>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row>
    <row r="843" customFormat="false" ht="15.75" hidden="false" customHeight="false" outlineLevel="0" collapsed="false">
      <c r="A843" s="3"/>
      <c r="B843" s="6"/>
      <c r="C843" s="3"/>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row>
    <row r="844" customFormat="false" ht="15.75" hidden="false" customHeight="false" outlineLevel="0" collapsed="false">
      <c r="A844" s="3"/>
      <c r="B844" s="6"/>
      <c r="C844" s="3"/>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row>
    <row r="845" customFormat="false" ht="15.75" hidden="false" customHeight="false" outlineLevel="0" collapsed="false">
      <c r="A845" s="3"/>
      <c r="B845" s="6"/>
      <c r="C845" s="3"/>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row>
    <row r="846" customFormat="false" ht="15.75" hidden="false" customHeight="false" outlineLevel="0" collapsed="false">
      <c r="A846" s="3"/>
      <c r="B846" s="6"/>
      <c r="C846" s="3"/>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row>
    <row r="847" customFormat="false" ht="15.75" hidden="false" customHeight="false" outlineLevel="0" collapsed="false">
      <c r="A847" s="3"/>
      <c r="B847" s="6"/>
      <c r="C847" s="3"/>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row>
    <row r="848" customFormat="false" ht="15.75" hidden="false" customHeight="false" outlineLevel="0" collapsed="false">
      <c r="A848" s="3"/>
      <c r="B848" s="6"/>
      <c r="C848" s="3"/>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row>
    <row r="849" customFormat="false" ht="15.75" hidden="false" customHeight="false" outlineLevel="0" collapsed="false">
      <c r="A849" s="3"/>
      <c r="B849" s="6"/>
      <c r="C849" s="3"/>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row>
    <row r="850" customFormat="false" ht="15.75" hidden="false" customHeight="false" outlineLevel="0" collapsed="false">
      <c r="A850" s="3"/>
      <c r="B850" s="6"/>
      <c r="C850" s="3"/>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row>
    <row r="851" customFormat="false" ht="15.75" hidden="false" customHeight="false" outlineLevel="0" collapsed="false">
      <c r="A851" s="3"/>
      <c r="B851" s="6"/>
      <c r="C851" s="3"/>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row>
    <row r="852" customFormat="false" ht="15.75" hidden="false" customHeight="false" outlineLevel="0" collapsed="false">
      <c r="A852" s="3"/>
      <c r="B852" s="6"/>
      <c r="C852" s="3"/>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row>
    <row r="853" customFormat="false" ht="15.75" hidden="false" customHeight="false" outlineLevel="0" collapsed="false">
      <c r="A853" s="3"/>
      <c r="B853" s="6"/>
      <c r="C853" s="3"/>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row>
    <row r="854" customFormat="false" ht="15.75" hidden="false" customHeight="false" outlineLevel="0" collapsed="false">
      <c r="A854" s="3"/>
      <c r="B854" s="6"/>
      <c r="C854" s="3"/>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row>
    <row r="855" customFormat="false" ht="15.75" hidden="false" customHeight="false" outlineLevel="0" collapsed="false">
      <c r="A855" s="3"/>
      <c r="B855" s="6"/>
      <c r="C855" s="3"/>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row>
    <row r="856" customFormat="false" ht="15.75" hidden="false" customHeight="false" outlineLevel="0" collapsed="false">
      <c r="A856" s="3"/>
      <c r="B856" s="6"/>
      <c r="C856" s="3"/>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row>
    <row r="857" customFormat="false" ht="15.75" hidden="false" customHeight="false" outlineLevel="0" collapsed="false">
      <c r="A857" s="3"/>
      <c r="B857" s="6"/>
      <c r="C857" s="3"/>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row>
    <row r="858" customFormat="false" ht="15.75" hidden="false" customHeight="false" outlineLevel="0" collapsed="false">
      <c r="A858" s="3"/>
      <c r="B858" s="6"/>
      <c r="C858" s="3"/>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row>
    <row r="859" customFormat="false" ht="15.75" hidden="false" customHeight="false" outlineLevel="0" collapsed="false">
      <c r="A859" s="3"/>
      <c r="B859" s="6"/>
      <c r="C859" s="3"/>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row>
    <row r="860" customFormat="false" ht="15.75" hidden="false" customHeight="false" outlineLevel="0" collapsed="false">
      <c r="A860" s="3"/>
      <c r="B860" s="6"/>
      <c r="C860" s="3"/>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row>
    <row r="861" customFormat="false" ht="15.75" hidden="false" customHeight="false" outlineLevel="0" collapsed="false">
      <c r="A861" s="3"/>
      <c r="B861" s="6"/>
      <c r="C861" s="3"/>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row>
    <row r="862" customFormat="false" ht="15.75" hidden="false" customHeight="false" outlineLevel="0" collapsed="false">
      <c r="A862" s="3"/>
      <c r="B862" s="6"/>
      <c r="C862" s="3"/>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row>
    <row r="863" customFormat="false" ht="15.75" hidden="false" customHeight="false" outlineLevel="0" collapsed="false">
      <c r="A863" s="3"/>
      <c r="B863" s="6"/>
      <c r="C863" s="3"/>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row>
    <row r="864" customFormat="false" ht="15.75" hidden="false" customHeight="false" outlineLevel="0" collapsed="false">
      <c r="A864" s="3"/>
      <c r="B864" s="6"/>
      <c r="C864" s="3"/>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row>
    <row r="865" customFormat="false" ht="15.75" hidden="false" customHeight="false" outlineLevel="0" collapsed="false">
      <c r="A865" s="3"/>
      <c r="B865" s="6"/>
      <c r="C865" s="3"/>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row>
    <row r="866" customFormat="false" ht="15.75" hidden="false" customHeight="false" outlineLevel="0" collapsed="false">
      <c r="A866" s="3"/>
      <c r="B866" s="6"/>
      <c r="C866" s="3"/>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row>
    <row r="867" customFormat="false" ht="15.75" hidden="false" customHeight="false" outlineLevel="0" collapsed="false">
      <c r="A867" s="3"/>
      <c r="B867" s="6"/>
      <c r="C867" s="3"/>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row>
    <row r="868" customFormat="false" ht="15.75" hidden="false" customHeight="false" outlineLevel="0" collapsed="false">
      <c r="A868" s="3"/>
      <c r="B868" s="6"/>
      <c r="C868" s="3"/>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row>
    <row r="869" customFormat="false" ht="15.75" hidden="false" customHeight="false" outlineLevel="0" collapsed="false">
      <c r="A869" s="3"/>
      <c r="B869" s="6"/>
      <c r="C869" s="3"/>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row>
    <row r="870" customFormat="false" ht="15.75" hidden="false" customHeight="false" outlineLevel="0" collapsed="false">
      <c r="A870" s="3"/>
      <c r="B870" s="6"/>
      <c r="C870" s="3"/>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row>
    <row r="871" customFormat="false" ht="15.75" hidden="false" customHeight="false" outlineLevel="0" collapsed="false">
      <c r="A871" s="3"/>
      <c r="B871" s="6"/>
      <c r="C871" s="3"/>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row>
    <row r="872" customFormat="false" ht="15.75" hidden="false" customHeight="false" outlineLevel="0" collapsed="false">
      <c r="A872" s="3"/>
      <c r="B872" s="6"/>
      <c r="C872" s="3"/>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row>
    <row r="873" customFormat="false" ht="15.75" hidden="false" customHeight="false" outlineLevel="0" collapsed="false">
      <c r="A873" s="3"/>
      <c r="B873" s="6"/>
      <c r="C873" s="3"/>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row>
    <row r="874" customFormat="false" ht="15.75" hidden="false" customHeight="false" outlineLevel="0" collapsed="false">
      <c r="A874" s="3"/>
      <c r="B874" s="6"/>
      <c r="C874" s="3"/>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row>
    <row r="875" customFormat="false" ht="15.75" hidden="false" customHeight="false" outlineLevel="0" collapsed="false">
      <c r="A875" s="3"/>
      <c r="B875" s="6"/>
      <c r="C875" s="3"/>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row>
    <row r="876" customFormat="false" ht="15.75" hidden="false" customHeight="false" outlineLevel="0" collapsed="false">
      <c r="A876" s="3"/>
      <c r="B876" s="6"/>
      <c r="C876" s="3"/>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row>
    <row r="877" customFormat="false" ht="15.75" hidden="false" customHeight="false" outlineLevel="0" collapsed="false">
      <c r="A877" s="3"/>
      <c r="B877" s="6"/>
      <c r="C877" s="3"/>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row>
    <row r="878" customFormat="false" ht="15.75" hidden="false" customHeight="false" outlineLevel="0" collapsed="false">
      <c r="A878" s="3"/>
      <c r="B878" s="6"/>
      <c r="C878" s="3"/>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row>
    <row r="879" customFormat="false" ht="15.75" hidden="false" customHeight="false" outlineLevel="0" collapsed="false">
      <c r="A879" s="3"/>
      <c r="B879" s="6"/>
      <c r="C879" s="3"/>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row>
    <row r="880" customFormat="false" ht="15.75" hidden="false" customHeight="false" outlineLevel="0" collapsed="false">
      <c r="A880" s="3"/>
      <c r="B880" s="6"/>
      <c r="C880" s="3"/>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row>
    <row r="881" customFormat="false" ht="15.75" hidden="false" customHeight="false" outlineLevel="0" collapsed="false">
      <c r="A881" s="3"/>
      <c r="B881" s="6"/>
      <c r="C881" s="3"/>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row>
    <row r="882" customFormat="false" ht="15.75" hidden="false" customHeight="false" outlineLevel="0" collapsed="false">
      <c r="A882" s="3"/>
      <c r="B882" s="6"/>
      <c r="C882" s="3"/>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row>
    <row r="883" customFormat="false" ht="15.75" hidden="false" customHeight="false" outlineLevel="0" collapsed="false">
      <c r="A883" s="3"/>
      <c r="B883" s="6"/>
      <c r="C883" s="3"/>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row>
    <row r="884" customFormat="false" ht="15.75" hidden="false" customHeight="false" outlineLevel="0" collapsed="false">
      <c r="A884" s="3"/>
      <c r="B884" s="6"/>
      <c r="C884" s="3"/>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row>
    <row r="885" customFormat="false" ht="15.75" hidden="false" customHeight="false" outlineLevel="0" collapsed="false">
      <c r="A885" s="3"/>
      <c r="B885" s="6"/>
      <c r="C885" s="3"/>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row>
    <row r="886" customFormat="false" ht="15.75" hidden="false" customHeight="false" outlineLevel="0" collapsed="false">
      <c r="A886" s="3"/>
      <c r="B886" s="6"/>
      <c r="C886" s="3"/>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row>
    <row r="887" customFormat="false" ht="15.75" hidden="false" customHeight="false" outlineLevel="0" collapsed="false">
      <c r="A887" s="3"/>
      <c r="B887" s="6"/>
      <c r="C887" s="3"/>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row>
    <row r="888" customFormat="false" ht="15.75" hidden="false" customHeight="false" outlineLevel="0" collapsed="false">
      <c r="A888" s="3"/>
      <c r="B888" s="6"/>
      <c r="C888" s="3"/>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row>
    <row r="889" customFormat="false" ht="15.75" hidden="false" customHeight="false" outlineLevel="0" collapsed="false">
      <c r="A889" s="3"/>
      <c r="B889" s="6"/>
      <c r="C889" s="3"/>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row>
    <row r="890" customFormat="false" ht="15.75" hidden="false" customHeight="false" outlineLevel="0" collapsed="false">
      <c r="A890" s="3"/>
      <c r="B890" s="6"/>
      <c r="C890" s="3"/>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row>
    <row r="891" customFormat="false" ht="15.75" hidden="false" customHeight="false" outlineLevel="0" collapsed="false">
      <c r="A891" s="3"/>
      <c r="B891" s="6"/>
      <c r="C891" s="3"/>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row>
    <row r="892" customFormat="false" ht="15.75" hidden="false" customHeight="false" outlineLevel="0" collapsed="false">
      <c r="A892" s="3"/>
      <c r="B892" s="6"/>
      <c r="C892" s="3"/>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row>
    <row r="893" customFormat="false" ht="15.75" hidden="false" customHeight="false" outlineLevel="0" collapsed="false">
      <c r="A893" s="3"/>
      <c r="B893" s="6"/>
      <c r="C893" s="3"/>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row>
    <row r="894" customFormat="false" ht="15.75" hidden="false" customHeight="false" outlineLevel="0" collapsed="false">
      <c r="A894" s="3"/>
      <c r="B894" s="6"/>
      <c r="C894" s="3"/>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row>
    <row r="895" customFormat="false" ht="15.75" hidden="false" customHeight="false" outlineLevel="0" collapsed="false">
      <c r="A895" s="3"/>
      <c r="B895" s="6"/>
      <c r="C895" s="3"/>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row>
    <row r="896" customFormat="false" ht="15.75" hidden="false" customHeight="false" outlineLevel="0" collapsed="false">
      <c r="A896" s="3"/>
      <c r="B896" s="6"/>
      <c r="C896" s="3"/>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row>
    <row r="897" customFormat="false" ht="15.75" hidden="false" customHeight="false" outlineLevel="0" collapsed="false">
      <c r="A897" s="3"/>
      <c r="B897" s="6"/>
      <c r="C897" s="3"/>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row>
    <row r="898" customFormat="false" ht="15.75" hidden="false" customHeight="false" outlineLevel="0" collapsed="false">
      <c r="A898" s="3"/>
      <c r="B898" s="6"/>
      <c r="C898" s="3"/>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row>
    <row r="899" customFormat="false" ht="15.75" hidden="false" customHeight="false" outlineLevel="0" collapsed="false">
      <c r="A899" s="3"/>
      <c r="B899" s="6"/>
      <c r="C899" s="3"/>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row>
    <row r="900" customFormat="false" ht="15.75" hidden="false" customHeight="false" outlineLevel="0" collapsed="false">
      <c r="A900" s="3"/>
      <c r="B900" s="6"/>
      <c r="C900" s="3"/>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row>
    <row r="901" customFormat="false" ht="15.75" hidden="false" customHeight="false" outlineLevel="0" collapsed="false">
      <c r="A901" s="3"/>
      <c r="B901" s="6"/>
      <c r="C901" s="3"/>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row>
    <row r="902" customFormat="false" ht="15.75" hidden="false" customHeight="false" outlineLevel="0" collapsed="false">
      <c r="A902" s="3"/>
      <c r="B902" s="6"/>
      <c r="C902" s="3"/>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row>
    <row r="903" customFormat="false" ht="15.75" hidden="false" customHeight="false" outlineLevel="0" collapsed="false">
      <c r="A903" s="3"/>
      <c r="B903" s="6"/>
      <c r="C903" s="3"/>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row>
    <row r="904" customFormat="false" ht="15.75" hidden="false" customHeight="false" outlineLevel="0" collapsed="false">
      <c r="A904" s="3"/>
      <c r="B904" s="6"/>
      <c r="C904" s="3"/>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row>
    <row r="905" customFormat="false" ht="15.75" hidden="false" customHeight="false" outlineLevel="0" collapsed="false">
      <c r="A905" s="3"/>
      <c r="B905" s="6"/>
      <c r="C905" s="3"/>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row>
    <row r="906" customFormat="false" ht="15.75" hidden="false" customHeight="false" outlineLevel="0" collapsed="false">
      <c r="A906" s="3"/>
      <c r="B906" s="6"/>
      <c r="C906" s="3"/>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row>
    <row r="907" customFormat="false" ht="15.75" hidden="false" customHeight="false" outlineLevel="0" collapsed="false">
      <c r="A907" s="3"/>
      <c r="B907" s="6"/>
      <c r="C907" s="3"/>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row>
    <row r="908" customFormat="false" ht="15.75" hidden="false" customHeight="false" outlineLevel="0" collapsed="false">
      <c r="A908" s="3"/>
      <c r="B908" s="6"/>
      <c r="C908" s="3"/>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row>
    <row r="909" customFormat="false" ht="15.75" hidden="false" customHeight="false" outlineLevel="0" collapsed="false">
      <c r="A909" s="3"/>
      <c r="B909" s="6"/>
      <c r="C909" s="3"/>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row>
    <row r="910" customFormat="false" ht="15.75" hidden="false" customHeight="false" outlineLevel="0" collapsed="false">
      <c r="A910" s="3"/>
      <c r="B910" s="6"/>
      <c r="C910" s="3"/>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row>
    <row r="911" customFormat="false" ht="15.75" hidden="false" customHeight="false" outlineLevel="0" collapsed="false">
      <c r="A911" s="3"/>
      <c r="B911" s="6"/>
      <c r="C911" s="3"/>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row>
    <row r="912" customFormat="false" ht="15.75" hidden="false" customHeight="false" outlineLevel="0" collapsed="false">
      <c r="A912" s="3"/>
      <c r="B912" s="6"/>
      <c r="C912" s="3"/>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row>
    <row r="913" customFormat="false" ht="15.75" hidden="false" customHeight="false" outlineLevel="0" collapsed="false">
      <c r="A913" s="3"/>
      <c r="B913" s="6"/>
      <c r="C913" s="3"/>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row>
    <row r="914" customFormat="false" ht="15.75" hidden="false" customHeight="false" outlineLevel="0" collapsed="false">
      <c r="A914" s="3"/>
      <c r="B914" s="6"/>
      <c r="C914" s="3"/>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row>
    <row r="915" customFormat="false" ht="15.75" hidden="false" customHeight="false" outlineLevel="0" collapsed="false">
      <c r="A915" s="3"/>
      <c r="B915" s="6"/>
      <c r="C915" s="3"/>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row>
    <row r="916" customFormat="false" ht="15.75" hidden="false" customHeight="false" outlineLevel="0" collapsed="false">
      <c r="A916" s="3"/>
      <c r="B916" s="6"/>
      <c r="C916" s="3"/>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row>
    <row r="917" customFormat="false" ht="15.75" hidden="false" customHeight="false" outlineLevel="0" collapsed="false">
      <c r="A917" s="3"/>
      <c r="B917" s="6"/>
      <c r="C917" s="3"/>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row>
    <row r="918" customFormat="false" ht="15.75" hidden="false" customHeight="false" outlineLevel="0" collapsed="false">
      <c r="A918" s="3"/>
      <c r="B918" s="6"/>
      <c r="C918" s="3"/>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row>
    <row r="919" customFormat="false" ht="15.75" hidden="false" customHeight="false" outlineLevel="0" collapsed="false">
      <c r="A919" s="3"/>
      <c r="B919" s="6"/>
      <c r="C919" s="3"/>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row>
    <row r="920" customFormat="false" ht="15.75" hidden="false" customHeight="false" outlineLevel="0" collapsed="false">
      <c r="A920" s="3"/>
      <c r="B920" s="6"/>
      <c r="C920" s="3"/>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row>
    <row r="921" customFormat="false" ht="15.75" hidden="false" customHeight="false" outlineLevel="0" collapsed="false">
      <c r="A921" s="3"/>
      <c r="B921" s="6"/>
      <c r="C921" s="3"/>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row>
    <row r="922" customFormat="false" ht="15.75" hidden="false" customHeight="false" outlineLevel="0" collapsed="false">
      <c r="A922" s="3"/>
      <c r="B922" s="6"/>
      <c r="C922" s="3"/>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row>
    <row r="923" customFormat="false" ht="15.75" hidden="false" customHeight="false" outlineLevel="0" collapsed="false">
      <c r="A923" s="3"/>
      <c r="B923" s="6"/>
      <c r="C923" s="3"/>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row>
    <row r="924" customFormat="false" ht="15.75" hidden="false" customHeight="false" outlineLevel="0" collapsed="false">
      <c r="A924" s="3"/>
      <c r="B924" s="6"/>
      <c r="C924" s="3"/>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row>
    <row r="925" customFormat="false" ht="15.75" hidden="false" customHeight="false" outlineLevel="0" collapsed="false">
      <c r="A925" s="3"/>
      <c r="B925" s="6"/>
      <c r="C925" s="3"/>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row>
    <row r="926" customFormat="false" ht="15.75" hidden="false" customHeight="false" outlineLevel="0" collapsed="false">
      <c r="A926" s="3"/>
      <c r="B926" s="6"/>
      <c r="C926" s="3"/>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row>
    <row r="927" customFormat="false" ht="15.75" hidden="false" customHeight="false" outlineLevel="0" collapsed="false">
      <c r="A927" s="3"/>
      <c r="B927" s="6"/>
      <c r="C927" s="3"/>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row>
    <row r="928" customFormat="false" ht="15.75" hidden="false" customHeight="false" outlineLevel="0" collapsed="false">
      <c r="A928" s="3"/>
      <c r="B928" s="6"/>
      <c r="C928" s="3"/>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row>
    <row r="929" customFormat="false" ht="15.75" hidden="false" customHeight="false" outlineLevel="0" collapsed="false">
      <c r="A929" s="3"/>
      <c r="B929" s="6"/>
      <c r="C929" s="3"/>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row>
    <row r="930" customFormat="false" ht="15.75" hidden="false" customHeight="false" outlineLevel="0" collapsed="false">
      <c r="A930" s="3"/>
      <c r="B930" s="6"/>
      <c r="C930" s="3"/>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row>
    <row r="931" customFormat="false" ht="15.75" hidden="false" customHeight="false" outlineLevel="0" collapsed="false">
      <c r="A931" s="3"/>
      <c r="B931" s="6"/>
      <c r="C931" s="3"/>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row>
    <row r="932" customFormat="false" ht="15.75" hidden="false" customHeight="false" outlineLevel="0" collapsed="false">
      <c r="A932" s="3"/>
      <c r="B932" s="6"/>
      <c r="C932" s="3"/>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row>
    <row r="933" customFormat="false" ht="15.75" hidden="false" customHeight="false" outlineLevel="0" collapsed="false">
      <c r="A933" s="3"/>
      <c r="B933" s="6"/>
      <c r="C933" s="3"/>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row>
    <row r="934" customFormat="false" ht="15.75" hidden="false" customHeight="false" outlineLevel="0" collapsed="false">
      <c r="A934" s="3"/>
      <c r="B934" s="6"/>
      <c r="C934" s="3"/>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row>
    <row r="935" customFormat="false" ht="15.75" hidden="false" customHeight="false" outlineLevel="0" collapsed="false">
      <c r="A935" s="3"/>
      <c r="B935" s="6"/>
      <c r="C935" s="3"/>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row>
    <row r="936" customFormat="false" ht="15.75" hidden="false" customHeight="false" outlineLevel="0" collapsed="false">
      <c r="A936" s="3"/>
      <c r="B936" s="6"/>
      <c r="C936" s="3"/>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row>
    <row r="937" customFormat="false" ht="15.75" hidden="false" customHeight="false" outlineLevel="0" collapsed="false">
      <c r="A937" s="3"/>
      <c r="B937" s="6"/>
      <c r="C937" s="3"/>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row>
    <row r="938" customFormat="false" ht="15.75" hidden="false" customHeight="false" outlineLevel="0" collapsed="false">
      <c r="A938" s="3"/>
      <c r="B938" s="6"/>
      <c r="C938" s="3"/>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row>
    <row r="939" customFormat="false" ht="15.75" hidden="false" customHeight="false" outlineLevel="0" collapsed="false">
      <c r="A939" s="3"/>
      <c r="B939" s="6"/>
      <c r="C939" s="3"/>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row>
    <row r="940" customFormat="false" ht="15.75" hidden="false" customHeight="false" outlineLevel="0" collapsed="false">
      <c r="A940" s="3"/>
      <c r="B940" s="6"/>
      <c r="C940" s="3"/>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row>
    <row r="941" customFormat="false" ht="15.75" hidden="false" customHeight="false" outlineLevel="0" collapsed="false">
      <c r="A941" s="3"/>
      <c r="B941" s="6"/>
      <c r="C941" s="3"/>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row>
    <row r="942" customFormat="false" ht="15.75" hidden="false" customHeight="false" outlineLevel="0" collapsed="false">
      <c r="A942" s="3"/>
      <c r="B942" s="6"/>
      <c r="C942" s="3"/>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row>
    <row r="943" customFormat="false" ht="15.75" hidden="false" customHeight="false" outlineLevel="0" collapsed="false">
      <c r="A943" s="3"/>
      <c r="B943" s="6"/>
      <c r="C943" s="3"/>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row>
    <row r="944" customFormat="false" ht="15.75" hidden="false" customHeight="false" outlineLevel="0" collapsed="false">
      <c r="A944" s="3"/>
      <c r="B944" s="6"/>
      <c r="C944" s="3"/>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row>
    <row r="945" customFormat="false" ht="15.75" hidden="false" customHeight="false" outlineLevel="0" collapsed="false">
      <c r="A945" s="3"/>
      <c r="B945" s="6"/>
      <c r="C945" s="3"/>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row>
    <row r="946" customFormat="false" ht="15.75" hidden="false" customHeight="false" outlineLevel="0" collapsed="false">
      <c r="A946" s="3"/>
      <c r="B946" s="6"/>
      <c r="C946" s="3"/>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row>
    <row r="947" customFormat="false" ht="15.75" hidden="false" customHeight="false" outlineLevel="0" collapsed="false">
      <c r="A947" s="3"/>
      <c r="B947" s="6"/>
      <c r="C947" s="3"/>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row>
    <row r="948" customFormat="false" ht="15.75" hidden="false" customHeight="false" outlineLevel="0" collapsed="false">
      <c r="A948" s="3"/>
      <c r="B948" s="6"/>
      <c r="C948" s="3"/>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row>
    <row r="949" customFormat="false" ht="15.75" hidden="false" customHeight="false" outlineLevel="0" collapsed="false">
      <c r="A949" s="3"/>
      <c r="B949" s="6"/>
      <c r="C949" s="3"/>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row>
    <row r="950" customFormat="false" ht="15.75" hidden="false" customHeight="false" outlineLevel="0" collapsed="false">
      <c r="A950" s="3"/>
      <c r="B950" s="6"/>
      <c r="C950" s="3"/>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row>
    <row r="951" customFormat="false" ht="15.75" hidden="false" customHeight="false" outlineLevel="0" collapsed="false">
      <c r="A951" s="3"/>
      <c r="B951" s="6"/>
      <c r="C951" s="3"/>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row>
    <row r="952" customFormat="false" ht="15.75" hidden="false" customHeight="false" outlineLevel="0" collapsed="false">
      <c r="A952" s="3"/>
      <c r="B952" s="6"/>
      <c r="C952" s="3"/>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row>
    <row r="953" customFormat="false" ht="15.75" hidden="false" customHeight="false" outlineLevel="0" collapsed="false">
      <c r="A953" s="3"/>
      <c r="B953" s="6"/>
      <c r="C953" s="3"/>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row>
    <row r="954" customFormat="false" ht="15.75" hidden="false" customHeight="false" outlineLevel="0" collapsed="false">
      <c r="A954" s="3"/>
      <c r="B954" s="6"/>
      <c r="C954" s="3"/>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row>
    <row r="955" customFormat="false" ht="15.75" hidden="false" customHeight="false" outlineLevel="0" collapsed="false">
      <c r="A955" s="3"/>
      <c r="B955" s="6"/>
      <c r="C955" s="3"/>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row>
    <row r="956" customFormat="false" ht="15.75" hidden="false" customHeight="false" outlineLevel="0" collapsed="false">
      <c r="A956" s="3"/>
      <c r="B956" s="6"/>
      <c r="C956" s="3"/>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row>
    <row r="957" customFormat="false" ht="15.75" hidden="false" customHeight="false" outlineLevel="0" collapsed="false">
      <c r="A957" s="3"/>
      <c r="B957" s="6"/>
      <c r="C957" s="3"/>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row>
    <row r="958" customFormat="false" ht="15.75" hidden="false" customHeight="false" outlineLevel="0" collapsed="false">
      <c r="A958" s="3"/>
      <c r="B958" s="6"/>
      <c r="C958" s="3"/>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row>
    <row r="959" customFormat="false" ht="15.75" hidden="false" customHeight="false" outlineLevel="0" collapsed="false">
      <c r="A959" s="3"/>
      <c r="B959" s="6"/>
      <c r="C959" s="3"/>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row>
    <row r="960" customFormat="false" ht="15.75" hidden="false" customHeight="false" outlineLevel="0" collapsed="false">
      <c r="A960" s="3"/>
      <c r="B960" s="6"/>
      <c r="C960" s="3"/>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row>
    <row r="961" customFormat="false" ht="15.75" hidden="false" customHeight="false" outlineLevel="0" collapsed="false">
      <c r="A961" s="3"/>
      <c r="B961" s="6"/>
      <c r="C961" s="3"/>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row>
    <row r="962" customFormat="false" ht="15.75" hidden="false" customHeight="false" outlineLevel="0" collapsed="false">
      <c r="A962" s="3"/>
      <c r="B962" s="6"/>
      <c r="C962" s="3"/>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row>
    <row r="963" customFormat="false" ht="15.75" hidden="false" customHeight="false" outlineLevel="0" collapsed="false">
      <c r="A963" s="3"/>
      <c r="B963" s="6"/>
      <c r="C963" s="3"/>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row>
    <row r="964" customFormat="false" ht="15.75" hidden="false" customHeight="false" outlineLevel="0" collapsed="false">
      <c r="A964" s="3"/>
      <c r="B964" s="6"/>
      <c r="C964" s="3"/>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row>
    <row r="965" customFormat="false" ht="15.75" hidden="false" customHeight="false" outlineLevel="0" collapsed="false">
      <c r="A965" s="3"/>
      <c r="B965" s="6"/>
      <c r="C965" s="3"/>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row>
    <row r="966" customFormat="false" ht="15.75" hidden="false" customHeight="false" outlineLevel="0" collapsed="false">
      <c r="A966" s="3"/>
      <c r="B966" s="6"/>
      <c r="C966" s="3"/>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row>
    <row r="967" customFormat="false" ht="15.75" hidden="false" customHeight="false" outlineLevel="0" collapsed="false">
      <c r="A967" s="3"/>
      <c r="B967" s="6"/>
      <c r="C967" s="3"/>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row>
    <row r="968" customFormat="false" ht="15.75" hidden="false" customHeight="false" outlineLevel="0" collapsed="false">
      <c r="A968" s="3"/>
      <c r="B968" s="6"/>
      <c r="C968" s="3"/>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row>
    <row r="969" customFormat="false" ht="15.75" hidden="false" customHeight="false" outlineLevel="0" collapsed="false">
      <c r="A969" s="3"/>
      <c r="B969" s="6"/>
      <c r="C969" s="3"/>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row>
    <row r="970" customFormat="false" ht="15.75" hidden="false" customHeight="false" outlineLevel="0" collapsed="false">
      <c r="A970" s="3"/>
      <c r="B970" s="6"/>
      <c r="C970" s="3"/>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row>
    <row r="971" customFormat="false" ht="15.75" hidden="false" customHeight="false" outlineLevel="0" collapsed="false">
      <c r="A971" s="3"/>
      <c r="B971" s="6"/>
      <c r="C971" s="3"/>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row>
    <row r="972" customFormat="false" ht="15.75" hidden="false" customHeight="false" outlineLevel="0" collapsed="false">
      <c r="A972" s="3"/>
      <c r="B972" s="6"/>
      <c r="C972" s="3"/>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row>
    <row r="973" customFormat="false" ht="15.75" hidden="false" customHeight="false" outlineLevel="0" collapsed="false">
      <c r="A973" s="3"/>
      <c r="B973" s="6"/>
      <c r="C973" s="3"/>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row>
    <row r="974" customFormat="false" ht="15.75" hidden="false" customHeight="false" outlineLevel="0" collapsed="false">
      <c r="A974" s="3"/>
      <c r="B974" s="6"/>
      <c r="C974" s="3"/>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row>
    <row r="975" customFormat="false" ht="15.75" hidden="false" customHeight="false" outlineLevel="0" collapsed="false">
      <c r="A975" s="3"/>
      <c r="B975" s="6"/>
      <c r="C975" s="3"/>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row>
    <row r="976" customFormat="false" ht="15.75" hidden="false" customHeight="false" outlineLevel="0" collapsed="false">
      <c r="A976" s="3"/>
      <c r="B976" s="6"/>
      <c r="C976" s="3"/>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row>
    <row r="977" customFormat="false" ht="15.75" hidden="false" customHeight="false" outlineLevel="0" collapsed="false">
      <c r="A977" s="3"/>
      <c r="B977" s="6"/>
      <c r="C977" s="3"/>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row>
    <row r="978" customFormat="false" ht="15.75" hidden="false" customHeight="false" outlineLevel="0" collapsed="false">
      <c r="A978" s="3"/>
      <c r="B978" s="6"/>
      <c r="C978" s="3"/>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row>
    <row r="979" customFormat="false" ht="15.75" hidden="false" customHeight="false" outlineLevel="0" collapsed="false">
      <c r="A979" s="3"/>
      <c r="B979" s="6"/>
      <c r="C979" s="3"/>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row>
    <row r="980" customFormat="false" ht="15.75" hidden="false" customHeight="false" outlineLevel="0" collapsed="false">
      <c r="A980" s="3"/>
      <c r="B980" s="6"/>
      <c r="C980" s="3"/>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row>
    <row r="981" customFormat="false" ht="15.75" hidden="false" customHeight="false" outlineLevel="0" collapsed="false">
      <c r="A981" s="3"/>
      <c r="B981" s="6"/>
      <c r="C981" s="3"/>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row>
    <row r="982" customFormat="false" ht="15.75" hidden="false" customHeight="false" outlineLevel="0" collapsed="false">
      <c r="A982" s="3"/>
      <c r="B982" s="6"/>
      <c r="C982" s="3"/>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row>
    <row r="983" customFormat="false" ht="15.75" hidden="false" customHeight="false" outlineLevel="0" collapsed="false">
      <c r="A983" s="3"/>
      <c r="B983" s="6"/>
      <c r="C983" s="3"/>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row>
    <row r="984" customFormat="false" ht="15.75" hidden="false" customHeight="false" outlineLevel="0" collapsed="false">
      <c r="A984" s="3"/>
      <c r="B984" s="6"/>
      <c r="C984" s="3"/>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row>
    <row r="985" customFormat="false" ht="15.75" hidden="false" customHeight="false" outlineLevel="0" collapsed="false">
      <c r="A985" s="3"/>
      <c r="B985" s="6"/>
      <c r="C985" s="3"/>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row>
    <row r="986" customFormat="false" ht="15.75" hidden="false" customHeight="false" outlineLevel="0" collapsed="false">
      <c r="A986" s="3"/>
      <c r="B986" s="6"/>
      <c r="C986" s="3"/>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row>
    <row r="987" customFormat="false" ht="15.75" hidden="false" customHeight="false" outlineLevel="0" collapsed="false">
      <c r="A987" s="3"/>
      <c r="B987" s="6"/>
      <c r="C987" s="3"/>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row>
    <row r="988" customFormat="false" ht="15.75" hidden="false" customHeight="false" outlineLevel="0" collapsed="false">
      <c r="A988" s="3"/>
      <c r="B988" s="6"/>
      <c r="C988" s="3"/>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row>
    <row r="989" customFormat="false" ht="15.75" hidden="false" customHeight="false" outlineLevel="0" collapsed="false">
      <c r="A989" s="3"/>
      <c r="B989" s="6"/>
      <c r="C989" s="3"/>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row>
    <row r="990" customFormat="false" ht="15.75" hidden="false" customHeight="false" outlineLevel="0" collapsed="false">
      <c r="A990" s="3"/>
      <c r="B990" s="6"/>
      <c r="C990" s="3"/>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row>
    <row r="991" customFormat="false" ht="15.75" hidden="false" customHeight="false" outlineLevel="0" collapsed="false">
      <c r="A991" s="3"/>
      <c r="B991" s="6"/>
      <c r="C991" s="3"/>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row>
    <row r="992" customFormat="false" ht="15.75" hidden="false" customHeight="false" outlineLevel="0" collapsed="false">
      <c r="A992" s="3"/>
      <c r="B992" s="6"/>
      <c r="C992" s="3"/>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row>
    <row r="993" customFormat="false" ht="15.75" hidden="false" customHeight="false" outlineLevel="0" collapsed="false">
      <c r="A993" s="3"/>
      <c r="B993" s="6"/>
      <c r="C993" s="3"/>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row>
    <row r="994" customFormat="false" ht="15.75" hidden="false" customHeight="false" outlineLevel="0" collapsed="false">
      <c r="A994" s="3"/>
      <c r="B994" s="6"/>
      <c r="C994" s="3"/>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row>
    <row r="995" customFormat="false" ht="15.75" hidden="false" customHeight="false" outlineLevel="0" collapsed="false">
      <c r="A995" s="3"/>
      <c r="B995" s="6"/>
      <c r="C995" s="3"/>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row>
    <row r="996" customFormat="false" ht="15.75" hidden="false" customHeight="false" outlineLevel="0" collapsed="false">
      <c r="A996" s="3"/>
      <c r="B996" s="6"/>
      <c r="C996" s="3"/>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row>
    <row r="997" customFormat="false" ht="15.75" hidden="false" customHeight="false" outlineLevel="0" collapsed="false">
      <c r="A997" s="3"/>
      <c r="B997" s="6"/>
      <c r="C997" s="3"/>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row>
    <row r="998" customFormat="false" ht="15.75" hidden="false" customHeight="false" outlineLevel="0" collapsed="false">
      <c r="A998" s="3"/>
      <c r="B998" s="6"/>
      <c r="C998" s="3"/>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row>
    <row r="999" customFormat="false" ht="15.75" hidden="false" customHeight="false" outlineLevel="0" collapsed="false">
      <c r="A999" s="3"/>
      <c r="B999" s="6"/>
      <c r="C999" s="3"/>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row>
    <row r="1000" customFormat="false" ht="15.75" hidden="false" customHeight="false" outlineLevel="0" collapsed="false">
      <c r="A1000" s="3"/>
      <c r="B1000" s="6"/>
      <c r="C1000" s="3"/>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row>
    <row r="1001" customFormat="false" ht="15.75" hidden="false" customHeight="false" outlineLevel="0" collapsed="false">
      <c r="A1001" s="3"/>
      <c r="B1001" s="6"/>
      <c r="C1001" s="3"/>
      <c r="D1001" s="6"/>
      <c r="E1001" s="6"/>
      <c r="F1001" s="6"/>
      <c r="G1001" s="6"/>
      <c r="H1001" s="6"/>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c r="AG1001" s="6"/>
      <c r="AH1001" s="6"/>
    </row>
    <row r="1002" customFormat="false" ht="15.75" hidden="false" customHeight="false" outlineLevel="0" collapsed="false">
      <c r="A1002" s="3"/>
      <c r="B1002" s="6"/>
      <c r="C1002" s="3"/>
      <c r="D1002" s="6"/>
      <c r="E1002" s="6"/>
      <c r="F1002" s="6"/>
      <c r="G1002" s="6"/>
      <c r="H1002" s="6"/>
      <c r="I1002" s="6"/>
      <c r="J1002" s="6"/>
      <c r="K1002" s="6"/>
      <c r="L1002" s="6"/>
      <c r="M1002" s="6"/>
      <c r="N1002" s="6"/>
      <c r="O1002" s="6"/>
      <c r="P1002" s="6"/>
      <c r="Q1002" s="6"/>
      <c r="R1002" s="6"/>
      <c r="S1002" s="6"/>
      <c r="T1002" s="6"/>
      <c r="U1002" s="6"/>
      <c r="V1002" s="6"/>
      <c r="W1002" s="6"/>
      <c r="X1002" s="6"/>
      <c r="Y1002" s="6"/>
      <c r="Z1002" s="6"/>
      <c r="AA1002" s="6"/>
      <c r="AB1002" s="6"/>
      <c r="AC1002" s="6"/>
      <c r="AD1002" s="6"/>
      <c r="AE1002" s="6"/>
      <c r="AF1002" s="6"/>
      <c r="AG1002" s="6"/>
      <c r="AH1002" s="6"/>
    </row>
    <row r="1003" customFormat="false" ht="15.75" hidden="false" customHeight="false" outlineLevel="0" collapsed="false">
      <c r="A1003" s="3"/>
      <c r="B1003" s="6"/>
      <c r="C1003" s="3"/>
      <c r="D1003" s="6"/>
      <c r="E1003" s="6"/>
      <c r="F1003" s="6"/>
      <c r="G1003" s="6"/>
      <c r="H1003" s="6"/>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c r="AG1003" s="6"/>
      <c r="AH1003" s="6"/>
    </row>
    <row r="1004" customFormat="false" ht="15.75" hidden="false" customHeight="false" outlineLevel="0" collapsed="false">
      <c r="A1004" s="3"/>
      <c r="B1004" s="6"/>
      <c r="C1004" s="3"/>
      <c r="D1004" s="6"/>
      <c r="E1004" s="6"/>
      <c r="F1004" s="6"/>
      <c r="G1004" s="6"/>
      <c r="H1004" s="6"/>
      <c r="I1004" s="6"/>
      <c r="J1004" s="6"/>
      <c r="K1004" s="6"/>
      <c r="L1004" s="6"/>
      <c r="M1004" s="6"/>
      <c r="N1004" s="6"/>
      <c r="O1004" s="6"/>
      <c r="P1004" s="6"/>
      <c r="Q1004" s="6"/>
      <c r="R1004" s="6"/>
      <c r="S1004" s="6"/>
      <c r="T1004" s="6"/>
      <c r="U1004" s="6"/>
      <c r="V1004" s="6"/>
      <c r="W1004" s="6"/>
      <c r="X1004" s="6"/>
      <c r="Y1004" s="6"/>
      <c r="Z1004" s="6"/>
      <c r="AA1004" s="6"/>
      <c r="AB1004" s="6"/>
      <c r="AC1004" s="6"/>
      <c r="AD1004" s="6"/>
      <c r="AE1004" s="6"/>
      <c r="AF1004" s="6"/>
      <c r="AG1004" s="6"/>
      <c r="AH1004" s="6"/>
    </row>
    <row r="1005" customFormat="false" ht="15.75" hidden="false" customHeight="false" outlineLevel="0" collapsed="false">
      <c r="A1005" s="3"/>
      <c r="B1005" s="6"/>
      <c r="C1005" s="3"/>
      <c r="D1005" s="6"/>
      <c r="E1005" s="6"/>
      <c r="F1005" s="6"/>
      <c r="G1005" s="6"/>
      <c r="H1005" s="6"/>
      <c r="I1005" s="6"/>
      <c r="J1005" s="6"/>
      <c r="K1005" s="6"/>
      <c r="L1005" s="6"/>
      <c r="M1005" s="6"/>
      <c r="N1005" s="6"/>
      <c r="O1005" s="6"/>
      <c r="P1005" s="6"/>
      <c r="Q1005" s="6"/>
      <c r="R1005" s="6"/>
      <c r="S1005" s="6"/>
      <c r="T1005" s="6"/>
      <c r="U1005" s="6"/>
      <c r="V1005" s="6"/>
      <c r="W1005" s="6"/>
      <c r="X1005" s="6"/>
      <c r="Y1005" s="6"/>
      <c r="Z1005" s="6"/>
      <c r="AA1005" s="6"/>
      <c r="AB1005" s="6"/>
      <c r="AC1005" s="6"/>
      <c r="AD1005" s="6"/>
      <c r="AE1005" s="6"/>
      <c r="AF1005" s="6"/>
      <c r="AG1005" s="6"/>
      <c r="AH1005" s="6"/>
    </row>
    <row r="1006" customFormat="false" ht="15.75" hidden="false" customHeight="false" outlineLevel="0" collapsed="false">
      <c r="A1006" s="3"/>
      <c r="B1006" s="6"/>
      <c r="C1006" s="3"/>
      <c r="D1006" s="6"/>
      <c r="E1006" s="6"/>
      <c r="F1006" s="6"/>
      <c r="G1006" s="6"/>
      <c r="H1006" s="6"/>
      <c r="I1006" s="6"/>
      <c r="J1006" s="6"/>
      <c r="K1006" s="6"/>
      <c r="L1006" s="6"/>
      <c r="M1006" s="6"/>
      <c r="N1006" s="6"/>
      <c r="O1006" s="6"/>
      <c r="P1006" s="6"/>
      <c r="Q1006" s="6"/>
      <c r="R1006" s="6"/>
      <c r="S1006" s="6"/>
      <c r="T1006" s="6"/>
      <c r="U1006" s="6"/>
      <c r="V1006" s="6"/>
      <c r="W1006" s="6"/>
      <c r="X1006" s="6"/>
      <c r="Y1006" s="6"/>
      <c r="Z1006" s="6"/>
      <c r="AA1006" s="6"/>
      <c r="AB1006" s="6"/>
      <c r="AC1006" s="6"/>
      <c r="AD1006" s="6"/>
      <c r="AE1006" s="6"/>
      <c r="AF1006" s="6"/>
      <c r="AG1006" s="6"/>
      <c r="AH1006" s="6"/>
    </row>
    <row r="1007" customFormat="false" ht="15.75" hidden="false" customHeight="false" outlineLevel="0" collapsed="false">
      <c r="A1007" s="3"/>
      <c r="B1007" s="6"/>
      <c r="C1007" s="3"/>
      <c r="D1007" s="6"/>
      <c r="E1007" s="6"/>
      <c r="F1007" s="6"/>
      <c r="G1007" s="6"/>
      <c r="H1007" s="6"/>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c r="AG1007" s="6"/>
      <c r="AH1007" s="6"/>
    </row>
    <row r="1008" customFormat="false" ht="15.75" hidden="false" customHeight="false" outlineLevel="0" collapsed="false">
      <c r="A1008" s="3"/>
      <c r="B1008" s="6"/>
      <c r="C1008" s="3"/>
      <c r="D1008" s="6"/>
      <c r="E1008" s="6"/>
      <c r="F1008" s="6"/>
      <c r="G1008" s="6"/>
      <c r="H1008" s="6"/>
      <c r="I1008" s="6"/>
      <c r="J1008" s="6"/>
      <c r="K1008" s="6"/>
      <c r="L1008" s="6"/>
      <c r="M1008" s="6"/>
      <c r="N1008" s="6"/>
      <c r="O1008" s="6"/>
      <c r="P1008" s="6"/>
      <c r="Q1008" s="6"/>
      <c r="R1008" s="6"/>
      <c r="S1008" s="6"/>
      <c r="T1008" s="6"/>
      <c r="U1008" s="6"/>
      <c r="V1008" s="6"/>
      <c r="W1008" s="6"/>
      <c r="X1008" s="6"/>
      <c r="Y1008" s="6"/>
      <c r="Z1008" s="6"/>
      <c r="AA1008" s="6"/>
      <c r="AB1008" s="6"/>
      <c r="AC1008" s="6"/>
      <c r="AD1008" s="6"/>
      <c r="AE1008" s="6"/>
      <c r="AF1008" s="6"/>
      <c r="AG1008" s="6"/>
      <c r="AH1008" s="6"/>
    </row>
    <row r="1009" customFormat="false" ht="15.75" hidden="false" customHeight="false" outlineLevel="0" collapsed="false">
      <c r="A1009" s="3"/>
      <c r="B1009" s="6"/>
      <c r="C1009" s="3"/>
      <c r="D1009" s="6"/>
      <c r="E1009" s="6"/>
      <c r="F1009" s="6"/>
      <c r="G1009" s="6"/>
      <c r="H1009" s="6"/>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c r="AG1009" s="6"/>
      <c r="AH1009" s="6"/>
    </row>
    <row r="1010" customFormat="false" ht="15.75" hidden="false" customHeight="false" outlineLevel="0" collapsed="false">
      <c r="A1010" s="3"/>
      <c r="B1010" s="6"/>
      <c r="C1010" s="3"/>
      <c r="D1010" s="6"/>
      <c r="E1010" s="6"/>
      <c r="F1010" s="6"/>
      <c r="G1010" s="6"/>
      <c r="H1010" s="6"/>
      <c r="I1010" s="6"/>
      <c r="J1010" s="6"/>
      <c r="K1010" s="6"/>
      <c r="L1010" s="6"/>
      <c r="M1010" s="6"/>
      <c r="N1010" s="6"/>
      <c r="O1010" s="6"/>
      <c r="P1010" s="6"/>
      <c r="Q1010" s="6"/>
      <c r="R1010" s="6"/>
      <c r="S1010" s="6"/>
      <c r="T1010" s="6"/>
      <c r="U1010" s="6"/>
      <c r="V1010" s="6"/>
      <c r="W1010" s="6"/>
      <c r="X1010" s="6"/>
      <c r="Y1010" s="6"/>
      <c r="Z1010" s="6"/>
      <c r="AA1010" s="6"/>
      <c r="AB1010" s="6"/>
      <c r="AC1010" s="6"/>
      <c r="AD1010" s="6"/>
      <c r="AE1010" s="6"/>
      <c r="AF1010" s="6"/>
      <c r="AG1010" s="6"/>
      <c r="AH1010" s="6"/>
    </row>
    <row r="1011" customFormat="false" ht="15.75" hidden="false" customHeight="false" outlineLevel="0" collapsed="false">
      <c r="A1011" s="3"/>
      <c r="B1011" s="6"/>
      <c r="C1011" s="3"/>
      <c r="D1011" s="6"/>
      <c r="E1011" s="6"/>
      <c r="F1011" s="6"/>
      <c r="G1011" s="6"/>
      <c r="H1011" s="6"/>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c r="AG1011" s="6"/>
      <c r="AH1011" s="6"/>
    </row>
    <row r="1012" customFormat="false" ht="15.75" hidden="false" customHeight="false" outlineLevel="0" collapsed="false">
      <c r="A1012" s="3"/>
      <c r="B1012" s="6"/>
      <c r="C1012" s="3"/>
      <c r="D1012" s="6"/>
      <c r="E1012" s="6"/>
      <c r="F1012" s="6"/>
      <c r="G1012" s="6"/>
      <c r="H1012" s="6"/>
      <c r="I1012" s="6"/>
      <c r="J1012" s="6"/>
      <c r="K1012" s="6"/>
      <c r="L1012" s="6"/>
      <c r="M1012" s="6"/>
      <c r="N1012" s="6"/>
      <c r="O1012" s="6"/>
      <c r="P1012" s="6"/>
      <c r="Q1012" s="6"/>
      <c r="R1012" s="6"/>
      <c r="S1012" s="6"/>
      <c r="T1012" s="6"/>
      <c r="U1012" s="6"/>
      <c r="V1012" s="6"/>
      <c r="W1012" s="6"/>
      <c r="X1012" s="6"/>
      <c r="Y1012" s="6"/>
      <c r="Z1012" s="6"/>
      <c r="AA1012" s="6"/>
      <c r="AB1012" s="6"/>
      <c r="AC1012" s="6"/>
      <c r="AD1012" s="6"/>
      <c r="AE1012" s="6"/>
      <c r="AF1012" s="6"/>
      <c r="AG1012" s="6"/>
      <c r="AH1012" s="6"/>
    </row>
    <row r="1013" customFormat="false" ht="15.75" hidden="false" customHeight="false" outlineLevel="0" collapsed="false">
      <c r="A1013" s="3"/>
      <c r="B1013" s="6"/>
      <c r="C1013" s="3"/>
      <c r="D1013" s="6"/>
      <c r="E1013" s="6"/>
      <c r="F1013" s="6"/>
      <c r="G1013" s="6"/>
      <c r="H1013" s="6"/>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c r="AG1013" s="6"/>
      <c r="AH1013" s="6"/>
    </row>
    <row r="1014" customFormat="false" ht="15.75" hidden="false" customHeight="false" outlineLevel="0" collapsed="false">
      <c r="A1014" s="3"/>
      <c r="B1014" s="6"/>
      <c r="C1014" s="3"/>
      <c r="D1014" s="6"/>
      <c r="E1014" s="6"/>
      <c r="F1014" s="6"/>
      <c r="G1014" s="6"/>
      <c r="H1014" s="6"/>
      <c r="I1014" s="6"/>
      <c r="J1014" s="6"/>
      <c r="K1014" s="6"/>
      <c r="L1014" s="6"/>
      <c r="M1014" s="6"/>
      <c r="N1014" s="6"/>
      <c r="O1014" s="6"/>
      <c r="P1014" s="6"/>
      <c r="Q1014" s="6"/>
      <c r="R1014" s="6"/>
      <c r="S1014" s="6"/>
      <c r="T1014" s="6"/>
      <c r="U1014" s="6"/>
      <c r="V1014" s="6"/>
      <c r="W1014" s="6"/>
      <c r="X1014" s="6"/>
      <c r="Y1014" s="6"/>
      <c r="Z1014" s="6"/>
      <c r="AA1014" s="6"/>
      <c r="AB1014" s="6"/>
      <c r="AC1014" s="6"/>
      <c r="AD1014" s="6"/>
      <c r="AE1014" s="6"/>
      <c r="AF1014" s="6"/>
      <c r="AG1014" s="6"/>
      <c r="AH1014" s="6"/>
    </row>
    <row r="1015" customFormat="false" ht="15.75" hidden="false" customHeight="false" outlineLevel="0" collapsed="false">
      <c r="A1015" s="3"/>
      <c r="B1015" s="6"/>
      <c r="C1015" s="3"/>
      <c r="D1015" s="6"/>
      <c r="E1015" s="6"/>
      <c r="F1015" s="6"/>
      <c r="G1015" s="6"/>
      <c r="H1015" s="6"/>
      <c r="I1015" s="6"/>
      <c r="J1015" s="6"/>
      <c r="K1015" s="6"/>
      <c r="L1015" s="6"/>
      <c r="M1015" s="6"/>
      <c r="N1015" s="6"/>
      <c r="O1015" s="6"/>
      <c r="P1015" s="6"/>
      <c r="Q1015" s="6"/>
      <c r="R1015" s="6"/>
      <c r="S1015" s="6"/>
      <c r="T1015" s="6"/>
      <c r="U1015" s="6"/>
      <c r="V1015" s="6"/>
      <c r="W1015" s="6"/>
      <c r="X1015" s="6"/>
      <c r="Y1015" s="6"/>
      <c r="Z1015" s="6"/>
      <c r="AA1015" s="6"/>
      <c r="AB1015" s="6"/>
      <c r="AC1015" s="6"/>
      <c r="AD1015" s="6"/>
      <c r="AE1015" s="6"/>
      <c r="AF1015" s="6"/>
      <c r="AG1015" s="6"/>
      <c r="AH1015" s="6"/>
    </row>
  </sheetData>
  <printOptions headings="false" gridLines="false" gridLinesSet="true" horizontalCentered="false" verticalCentered="false"/>
  <pageMargins left="0.75" right="0.75" top="0.75" bottom="0.5" header="0.511811023622047" footer="0.511811023622047"/>
  <pageSetup paperSize="1" scale="100" fitToWidth="1" fitToHeight="1" pageOrder="downThenOver" orientation="landscape" blackAndWhite="false" draft="false" cellComments="none" horizontalDpi="300" verticalDpi="300" copies="1"/>
  <headerFooter differentFirst="false" differentOddEven="false">
    <oddHeader/>
    <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S1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75" zeroHeight="false" outlineLevelRow="0" outlineLevelCol="0"/>
  <cols>
    <col collapsed="false" customWidth="true" hidden="false" outlineLevel="0" max="2" min="2" style="0" width="19.76"/>
  </cols>
  <sheetData>
    <row r="1" customFormat="false" ht="15.75" hidden="false" customHeight="false" outlineLevel="0" collapsed="false">
      <c r="A1" s="6" t="s">
        <v>2374</v>
      </c>
      <c r="B1" s="6" t="s">
        <v>1928</v>
      </c>
      <c r="C1" s="6" t="s">
        <v>1930</v>
      </c>
      <c r="D1" s="6" t="s">
        <v>1932</v>
      </c>
      <c r="E1" s="6" t="s">
        <v>1934</v>
      </c>
      <c r="F1" s="6" t="s">
        <v>1936</v>
      </c>
      <c r="G1" s="6" t="s">
        <v>1938</v>
      </c>
      <c r="H1" s="6" t="s">
        <v>1931</v>
      </c>
      <c r="I1" s="6" t="s">
        <v>1935</v>
      </c>
      <c r="J1" s="6" t="s">
        <v>1939</v>
      </c>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row>
    <row r="2" customFormat="false" ht="15.75" hidden="false" customHeight="false" outlineLevel="0" collapsed="false">
      <c r="A2" s="3" t="s">
        <v>182</v>
      </c>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row>
    <row r="3" customFormat="false" ht="15.75" hidden="false" customHeight="false" outlineLevel="0" collapsed="false">
      <c r="A3" s="3" t="s">
        <v>2221</v>
      </c>
      <c r="B3" s="3" t="str">
        <f aca="false" t="array" ref="B3:B3">INDEX(SkillData,MATCH(A3,SkillData_Names,0)+1,MATCH("EffectType1",SkillData_Header,0))</f>
        <v>ElementResist_Normal</v>
      </c>
      <c r="C3" s="85" t="n">
        <f aca="false" t="array" ref="C3:C3">INDEX(SkillData,MATCH(A3,SkillData_Names,0)+1,MATCH("EffectValue1",SkillData_Header,0))</f>
        <v>10</v>
      </c>
      <c r="D3" s="3" t="n">
        <f aca="false">INDEX(SkillData,MATCH(A3,SkillData_Names,0)+1,MATCH("EffectType2",SkillData_Header,0))</f>
        <v>0</v>
      </c>
      <c r="E3" s="85" t="n">
        <f aca="false" t="array" ref="E3:E3">INDEX(SkillData,MATCH(A3,SkillData_Names,0)+1,MATCH("EffectValue2",SkillData_Header,0))</f>
        <v>0</v>
      </c>
      <c r="F3" s="3" t="n">
        <f aca="false">INDEX(SkillData,MATCH(A3,SkillData_Names,0)+1,MATCH("EffectType3",SkillData_Header,0))</f>
        <v>0</v>
      </c>
      <c r="G3" s="85" t="n">
        <f aca="false" t="array" ref="G3:G3">INDEX(SkillData,MATCH(A3,SkillData_Names,0)+1,MATCH("EffectValue3",SkillData_Header,0))</f>
        <v>0</v>
      </c>
      <c r="H3" s="3" t="str">
        <f aca="false" t="array" ref="H3:H3">INDEX(SkillData,MATCH(A3,SkillData_Names,0)+1,MATCH("TargetType1",SkillData_Header,0))</f>
        <v>Self</v>
      </c>
      <c r="I3" s="3" t="n">
        <f aca="false">INDEX(SkillData,MATCH(A3,SkillData_Names,0)+1,MATCH("TargetType2",SkillData_Header,0))</f>
        <v>0</v>
      </c>
      <c r="J3" s="3" t="n">
        <f aca="false">INDEX(SkillData,MATCH(A3,SkillData_Names,0)+1,MATCH("TargetType3",SkillData_Header,0))</f>
        <v>0</v>
      </c>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row>
    <row r="4" customFormat="false" ht="15.75" hidden="false" customHeight="false" outlineLevel="0" collapsed="false">
      <c r="A4" s="3" t="s">
        <v>2141</v>
      </c>
      <c r="B4" s="3" t="str">
        <f aca="false" t="array" ref="B4:B4">INDEX(SkillData,MATCH(A4,SkillData_Names,0)+1,MATCH("EffectType1",SkillData_Header,0))</f>
        <v>ShotAttack</v>
      </c>
      <c r="C4" s="85" t="n">
        <f aca="false" t="array" ref="C4:C4">INDEX(SkillData,MATCH(A4,SkillData_Names,0)+1,MATCH("EffectValue1",SkillData_Header,0))</f>
        <v>10</v>
      </c>
      <c r="D4" s="3" t="str">
        <f aca="false" t="array" ref="D4:D4">INDEX(SkillData,MATCH(A4,SkillData_Names,0)+1,MATCH("EffectType2",SkillData_Header,0))</f>
        <v>Defense</v>
      </c>
      <c r="E4" s="85" t="n">
        <f aca="false" t="array" ref="E4:E4">INDEX(SkillData,MATCH(A4,SkillData_Names,0)+1,MATCH("EffectValue2",SkillData_Header,0))</f>
        <v>-10</v>
      </c>
      <c r="F4" s="3" t="n">
        <f aca="false">INDEX(SkillData,MATCH(A4,SkillData_Names,0)+1,MATCH("EffectType3",SkillData_Header,0))</f>
        <v>0</v>
      </c>
      <c r="G4" s="85" t="n">
        <f aca="false" t="array" ref="G4:G4">INDEX(SkillData,MATCH(A4,SkillData_Names,0)+1,MATCH("EffectValue3",SkillData_Header,0))</f>
        <v>0</v>
      </c>
      <c r="H4" s="3" t="str">
        <f aca="false" t="array" ref="H4:H4">INDEX(SkillData,MATCH(A4,SkillData_Names,0)+1,MATCH("TargetType1",SkillData_Header,0))</f>
        <v>Self</v>
      </c>
      <c r="I4" s="3" t="str">
        <f aca="false" t="array" ref="I4:I4">INDEX(SkillData,MATCH(A4,SkillData_Names,0)+1,MATCH("TargetType2",SkillData_Header,0))</f>
        <v>Self</v>
      </c>
      <c r="J4" s="3" t="n">
        <f aca="false">INDEX(SkillData,MATCH(A4,SkillData_Names,0)+1,MATCH("TargetType3",SkillData_Header,0))</f>
        <v>0</v>
      </c>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row>
    <row r="5" customFormat="false" ht="15.75" hidden="false" customHeight="false" outlineLevel="0" collapsed="false">
      <c r="A5" s="3" t="s">
        <v>2004</v>
      </c>
      <c r="B5" s="3" t="str">
        <f aca="false" t="array" ref="B5:B5">INDEX(SkillData,MATCH(A5,SkillData_Names,0)+1,MATCH("EffectType1",SkillData_Header,0))</f>
        <v>CraftSpeed</v>
      </c>
      <c r="C5" s="85" t="n">
        <f aca="false" t="array" ref="C5:C5">INDEX(SkillData,MATCH(A5,SkillData_Names,0)+1,MATCH("EffectValue1",SkillData_Header,0))</f>
        <v>50</v>
      </c>
      <c r="D5" s="3" t="n">
        <f aca="false">INDEX(SkillData,MATCH(A5,SkillData_Names,0)+1,MATCH("EffectType2",SkillData_Header,0))</f>
        <v>0</v>
      </c>
      <c r="E5" s="85" t="n">
        <f aca="false" t="array" ref="E5:E5">INDEX(SkillData,MATCH(A5,SkillData_Names,0)+1,MATCH("EffectValue2",SkillData_Header,0))</f>
        <v>0</v>
      </c>
      <c r="F5" s="3" t="n">
        <f aca="false">INDEX(SkillData,MATCH(A5,SkillData_Names,0)+1,MATCH("EffectType3",SkillData_Header,0))</f>
        <v>0</v>
      </c>
      <c r="G5" s="85" t="n">
        <f aca="false" t="array" ref="G5:G5">INDEX(SkillData,MATCH(A5,SkillData_Names,0)+1,MATCH("EffectValue3",SkillData_Header,0))</f>
        <v>0</v>
      </c>
      <c r="H5" s="3" t="str">
        <f aca="false" t="array" ref="H5:H5">INDEX(SkillData,MATCH(A5,SkillData_Names,0)+1,MATCH("TargetType1",SkillData_Header,0))</f>
        <v>Self</v>
      </c>
      <c r="I5" s="3" t="n">
        <f aca="false">INDEX(SkillData,MATCH(A5,SkillData_Names,0)+1,MATCH("TargetType2",SkillData_Header,0))</f>
        <v>0</v>
      </c>
      <c r="J5" s="3" t="n">
        <f aca="false">INDEX(SkillData,MATCH(A5,SkillData_Names,0)+1,MATCH("TargetType3",SkillData_Header,0))</f>
        <v>0</v>
      </c>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row>
    <row r="6" customFormat="false" ht="15.75" hidden="false" customHeight="false" outlineLevel="0" collapsed="false">
      <c r="A6" s="3" t="s">
        <v>2279</v>
      </c>
      <c r="B6" s="3" t="str">
        <f aca="false" t="array" ref="B6:B6">INDEX(SkillData,MATCH(A6,SkillData_Names,0)+1,MATCH("EffectType1",SkillData_Header,0))</f>
        <v>ElementBoost_Dragon</v>
      </c>
      <c r="C6" s="85" t="n">
        <f aca="false" t="array" ref="C6:C6">INDEX(SkillData,MATCH(A6,SkillData_Names,0)+1,MATCH("EffectValue1",SkillData_Header,0))</f>
        <v>10</v>
      </c>
      <c r="D6" s="3" t="n">
        <f aca="false">INDEX(SkillData,MATCH(A6,SkillData_Names,0)+1,MATCH("EffectType2",SkillData_Header,0))</f>
        <v>0</v>
      </c>
      <c r="E6" s="85" t="n">
        <f aca="false" t="array" ref="E6:E6">INDEX(SkillData,MATCH(A6,SkillData_Names,0)+1,MATCH("EffectValue2",SkillData_Header,0))</f>
        <v>0</v>
      </c>
      <c r="F6" s="3" t="n">
        <f aca="false">INDEX(SkillData,MATCH(A6,SkillData_Names,0)+1,MATCH("EffectType3",SkillData_Header,0))</f>
        <v>0</v>
      </c>
      <c r="G6" s="85" t="n">
        <f aca="false" t="array" ref="G6:G6">INDEX(SkillData,MATCH(A6,SkillData_Names,0)+1,MATCH("EffectValue3",SkillData_Header,0))</f>
        <v>0</v>
      </c>
      <c r="H6" s="3" t="str">
        <f aca="false" t="array" ref="H6:H6">INDEX(SkillData,MATCH(A6,SkillData_Names,0)+1,MATCH("TargetType1",SkillData_Header,0))</f>
        <v>Self</v>
      </c>
      <c r="I6" s="3" t="n">
        <f aca="false">INDEX(SkillData,MATCH(A6,SkillData_Names,0)+1,MATCH("TargetType2",SkillData_Header,0))</f>
        <v>0</v>
      </c>
      <c r="J6" s="3" t="n">
        <f aca="false">INDEX(SkillData,MATCH(A6,SkillData_Names,0)+1,MATCH("TargetType3",SkillData_Header,0))</f>
        <v>0</v>
      </c>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row>
    <row r="7" customFormat="false" ht="15.75" hidden="false" customHeight="false" outlineLevel="0" collapsed="false">
      <c r="A7" s="3" t="s">
        <v>2232</v>
      </c>
      <c r="B7" s="3" t="str">
        <f aca="false" t="array" ref="B7:B7">INDEX(SkillData,MATCH(A7,SkillData_Names,0)+1,MATCH("EffectType1",SkillData_Header,0))</f>
        <v>ElementResist_Leaf</v>
      </c>
      <c r="C7" s="85" t="n">
        <f aca="false" t="array" ref="C7:C7">INDEX(SkillData,MATCH(A7,SkillData_Names,0)+1,MATCH("EffectValue1",SkillData_Header,0))</f>
        <v>10</v>
      </c>
      <c r="D7" s="3" t="n">
        <f aca="false">INDEX(SkillData,MATCH(A7,SkillData_Names,0)+1,MATCH("EffectType2",SkillData_Header,0))</f>
        <v>0</v>
      </c>
      <c r="E7" s="85" t="n">
        <f aca="false" t="array" ref="E7:E7">INDEX(SkillData,MATCH(A7,SkillData_Names,0)+1,MATCH("EffectValue2",SkillData_Header,0))</f>
        <v>0</v>
      </c>
      <c r="F7" s="3" t="n">
        <f aca="false">INDEX(SkillData,MATCH(A7,SkillData_Names,0)+1,MATCH("EffectType3",SkillData_Header,0))</f>
        <v>0</v>
      </c>
      <c r="G7" s="85" t="n">
        <f aca="false" t="array" ref="G7:G7">INDEX(SkillData,MATCH(A7,SkillData_Names,0)+1,MATCH("EffectValue3",SkillData_Header,0))</f>
        <v>0</v>
      </c>
      <c r="H7" s="3" t="str">
        <f aca="false" t="array" ref="H7:H7">INDEX(SkillData,MATCH(A7,SkillData_Names,0)+1,MATCH("TargetType1",SkillData_Header,0))</f>
        <v>Self</v>
      </c>
      <c r="I7" s="3" t="n">
        <f aca="false">INDEX(SkillData,MATCH(A7,SkillData_Names,0)+1,MATCH("TargetType2",SkillData_Header,0))</f>
        <v>0</v>
      </c>
      <c r="J7" s="3" t="n">
        <f aca="false">INDEX(SkillData,MATCH(A7,SkillData_Names,0)+1,MATCH("TargetType3",SkillData_Header,0))</f>
        <v>0</v>
      </c>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row>
    <row r="8" customFormat="false" ht="15.75" hidden="false" customHeight="false" outlineLevel="0" collapsed="false">
      <c r="A8" s="3" t="s">
        <v>2286</v>
      </c>
      <c r="B8" s="3" t="str">
        <f aca="false" t="array" ref="B8:B8">INDEX(SkillData,MATCH(A8,SkillData_Names,0)+1,MATCH("EffectType1",SkillData_Header,0))</f>
        <v>FullStomatch_Decrease</v>
      </c>
      <c r="C8" s="85" t="n">
        <f aca="false" t="array" ref="C8:C8">INDEX(SkillData,MATCH(A8,SkillData_Names,0)+1,MATCH("EffectValue1",SkillData_Header,0))</f>
        <v>15</v>
      </c>
      <c r="D8" s="3" t="n">
        <f aca="false">INDEX(SkillData,MATCH(A8,SkillData_Names,0)+1,MATCH("EffectType2",SkillData_Header,0))</f>
        <v>0</v>
      </c>
      <c r="E8" s="85" t="n">
        <f aca="false" t="array" ref="E8:E8">INDEX(SkillData,MATCH(A8,SkillData_Names,0)+1,MATCH("EffectValue2",SkillData_Header,0))</f>
        <v>0</v>
      </c>
      <c r="F8" s="3" t="n">
        <f aca="false">INDEX(SkillData,MATCH(A8,SkillData_Names,0)+1,MATCH("EffectType3",SkillData_Header,0))</f>
        <v>0</v>
      </c>
      <c r="G8" s="85" t="n">
        <f aca="false" t="array" ref="G8:G8">INDEX(SkillData,MATCH(A8,SkillData_Names,0)+1,MATCH("EffectValue3",SkillData_Header,0))</f>
        <v>0</v>
      </c>
      <c r="H8" s="3" t="str">
        <f aca="false" t="array" ref="H8:H8">INDEX(SkillData,MATCH(A8,SkillData_Names,0)+1,MATCH("TargetType1",SkillData_Header,0))</f>
        <v>Self</v>
      </c>
      <c r="I8" s="3" t="n">
        <f aca="false">INDEX(SkillData,MATCH(A8,SkillData_Names,0)+1,MATCH("TargetType2",SkillData_Header,0))</f>
        <v>0</v>
      </c>
      <c r="J8" s="3" t="n">
        <f aca="false">INDEX(SkillData,MATCH(A8,SkillData_Names,0)+1,MATCH("TargetType3",SkillData_Header,0))</f>
        <v>0</v>
      </c>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row>
    <row r="9" customFormat="false" ht="15.75" hidden="false" customHeight="false" outlineLevel="0" collapsed="false">
      <c r="A9" s="3" t="s">
        <v>2125</v>
      </c>
      <c r="B9" s="3" t="str">
        <f aca="false" t="array" ref="B9:B9">INDEX(SkillData,MATCH(A9,SkillData_Names,0)+1,MATCH("EffectType1",SkillData_Header,0))</f>
        <v>ShotAttack</v>
      </c>
      <c r="C9" s="85" t="n">
        <f aca="false" t="array" ref="C9:C9">INDEX(SkillData,MATCH(A9,SkillData_Names,0)+1,MATCH("EffectValue1",SkillData_Header,0))</f>
        <v>10</v>
      </c>
      <c r="D9" s="3" t="n">
        <f aca="false">INDEX(SkillData,MATCH(A9,SkillData_Names,0)+1,MATCH("EffectType2",SkillData_Header,0))</f>
        <v>0</v>
      </c>
      <c r="E9" s="85" t="n">
        <f aca="false" t="array" ref="E9:E9">INDEX(SkillData,MATCH(A9,SkillData_Names,0)+1,MATCH("EffectValue2",SkillData_Header,0))</f>
        <v>0</v>
      </c>
      <c r="F9" s="3" t="n">
        <f aca="false">INDEX(SkillData,MATCH(A9,SkillData_Names,0)+1,MATCH("EffectType3",SkillData_Header,0))</f>
        <v>0</v>
      </c>
      <c r="G9" s="85" t="n">
        <f aca="false" t="array" ref="G9:G9">INDEX(SkillData,MATCH(A9,SkillData_Names,0)+1,MATCH("EffectValue3",SkillData_Header,0))</f>
        <v>0</v>
      </c>
      <c r="H9" s="3" t="str">
        <f aca="false" t="array" ref="H9:H9">INDEX(SkillData,MATCH(A9,SkillData_Names,0)+1,MATCH("TargetType1",SkillData_Header,0))</f>
        <v>Self</v>
      </c>
      <c r="I9" s="3" t="n">
        <f aca="false">INDEX(SkillData,MATCH(A9,SkillData_Names,0)+1,MATCH("TargetType2",SkillData_Header,0))</f>
        <v>0</v>
      </c>
      <c r="J9" s="3" t="n">
        <f aca="false">INDEX(SkillData,MATCH(A9,SkillData_Names,0)+1,MATCH("TargetType3",SkillData_Header,0))</f>
        <v>0</v>
      </c>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row>
    <row r="10" customFormat="false" ht="15.75" hidden="false" customHeight="false" outlineLevel="0" collapsed="false">
      <c r="A10" s="3" t="s">
        <v>2025</v>
      </c>
      <c r="B10" s="3" t="str">
        <f aca="false" t="array" ref="B10:B10">INDEX(SkillData,MATCH(A10,SkillData_Names,0)+1,MATCH("EffectType1",SkillData_Header,0))</f>
        <v>Defense</v>
      </c>
      <c r="C10" s="85" t="n">
        <f aca="false" t="array" ref="C10:C10">INDEX(SkillData,MATCH(A10,SkillData_Names,0)+1,MATCH("EffectValue1",SkillData_Header,0))</f>
        <v>-20</v>
      </c>
      <c r="D10" s="3" t="n">
        <f aca="false">INDEX(SkillData,MATCH(A10,SkillData_Names,0)+1,MATCH("EffectType2",SkillData_Header,0))</f>
        <v>0</v>
      </c>
      <c r="E10" s="85" t="n">
        <f aca="false" t="array" ref="E10:E10">INDEX(SkillData,MATCH(A10,SkillData_Names,0)+1,MATCH("EffectValue2",SkillData_Header,0))</f>
        <v>0</v>
      </c>
      <c r="F10" s="3" t="n">
        <f aca="false">INDEX(SkillData,MATCH(A10,SkillData_Names,0)+1,MATCH("EffectType3",SkillData_Header,0))</f>
        <v>0</v>
      </c>
      <c r="G10" s="85" t="n">
        <f aca="false" t="array" ref="G10:G10">INDEX(SkillData,MATCH(A10,SkillData_Names,0)+1,MATCH("EffectValue3",SkillData_Header,0))</f>
        <v>0</v>
      </c>
      <c r="H10" s="3" t="str">
        <f aca="false" t="array" ref="H10:H10">INDEX(SkillData,MATCH(A10,SkillData_Names,0)+1,MATCH("TargetType1",SkillData_Header,0))</f>
        <v>Self</v>
      </c>
      <c r="I10" s="3" t="n">
        <f aca="false">INDEX(SkillData,MATCH(A10,SkillData_Names,0)+1,MATCH("TargetType2",SkillData_Header,0))</f>
        <v>0</v>
      </c>
      <c r="J10" s="3" t="n">
        <f aca="false">INDEX(SkillData,MATCH(A10,SkillData_Names,0)+1,MATCH("TargetType3",SkillData_Header,0))</f>
        <v>0</v>
      </c>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row>
    <row r="11" customFormat="false" ht="15.75" hidden="false" customHeight="false" outlineLevel="0" collapsed="false">
      <c r="A11" s="3" t="s">
        <v>2020</v>
      </c>
      <c r="B11" s="3" t="str">
        <f aca="false" t="array" ref="B11:B11">INDEX(SkillData,MATCH(A11,SkillData_Names,0)+1,MATCH("EffectType1",SkillData_Header,0))</f>
        <v>Defense</v>
      </c>
      <c r="C11" s="85" t="n">
        <f aca="false" t="array" ref="C11:C11">INDEX(SkillData,MATCH(A11,SkillData_Names,0)+1,MATCH("EffectValue1",SkillData_Header,0))</f>
        <v>20</v>
      </c>
      <c r="D11" s="3" t="n">
        <f aca="false">INDEX(SkillData,MATCH(A11,SkillData_Names,0)+1,MATCH("EffectType2",SkillData_Header,0))</f>
        <v>0</v>
      </c>
      <c r="E11" s="85" t="n">
        <f aca="false" t="array" ref="E11:E11">INDEX(SkillData,MATCH(A11,SkillData_Names,0)+1,MATCH("EffectValue2",SkillData_Header,0))</f>
        <v>0</v>
      </c>
      <c r="F11" s="3" t="n">
        <f aca="false">INDEX(SkillData,MATCH(A11,SkillData_Names,0)+1,MATCH("EffectType3",SkillData_Header,0))</f>
        <v>0</v>
      </c>
      <c r="G11" s="85" t="n">
        <f aca="false" t="array" ref="G11:G11">INDEX(SkillData,MATCH(A11,SkillData_Names,0)+1,MATCH("EffectValue3",SkillData_Header,0))</f>
        <v>0</v>
      </c>
      <c r="H11" s="3" t="str">
        <f aca="false" t="array" ref="H11:H11">INDEX(SkillData,MATCH(A11,SkillData_Names,0)+1,MATCH("TargetType1",SkillData_Header,0))</f>
        <v>Self</v>
      </c>
      <c r="I11" s="3" t="n">
        <f aca="false">INDEX(SkillData,MATCH(A11,SkillData_Names,0)+1,MATCH("TargetType2",SkillData_Header,0))</f>
        <v>0</v>
      </c>
      <c r="J11" s="3" t="n">
        <f aca="false">INDEX(SkillData,MATCH(A11,SkillData_Names,0)+1,MATCH("TargetType3",SkillData_Header,0))</f>
        <v>0</v>
      </c>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row>
    <row r="12" customFormat="false" ht="15.75" hidden="false" customHeight="false" outlineLevel="0" collapsed="false">
      <c r="A12" s="3" t="s">
        <v>2259</v>
      </c>
      <c r="B12" s="3" t="str">
        <f aca="false" t="array" ref="B12:B12">INDEX(SkillData,MATCH(A12,SkillData_Names,0)+1,MATCH("EffectType1",SkillData_Header,0))</f>
        <v>ElementBoost_Electricity</v>
      </c>
      <c r="C12" s="85" t="n">
        <f aca="false" t="array" ref="C12:C12">INDEX(SkillData,MATCH(A12,SkillData_Names,0)+1,MATCH("EffectValue1",SkillData_Header,0))</f>
        <v>10</v>
      </c>
      <c r="D12" s="3" t="n">
        <f aca="false">INDEX(SkillData,MATCH(A12,SkillData_Names,0)+1,MATCH("EffectType2",SkillData_Header,0))</f>
        <v>0</v>
      </c>
      <c r="E12" s="85" t="n">
        <f aca="false" t="array" ref="E12:E12">INDEX(SkillData,MATCH(A12,SkillData_Names,0)+1,MATCH("EffectValue2",SkillData_Header,0))</f>
        <v>0</v>
      </c>
      <c r="F12" s="3" t="n">
        <f aca="false">INDEX(SkillData,MATCH(A12,SkillData_Names,0)+1,MATCH("EffectType3",SkillData_Header,0))</f>
        <v>0</v>
      </c>
      <c r="G12" s="85" t="n">
        <f aca="false" t="array" ref="G12:G12">INDEX(SkillData,MATCH(A12,SkillData_Names,0)+1,MATCH("EffectValue3",SkillData_Header,0))</f>
        <v>0</v>
      </c>
      <c r="H12" s="3" t="str">
        <f aca="false" t="array" ref="H12:H12">INDEX(SkillData,MATCH(A12,SkillData_Names,0)+1,MATCH("TargetType1",SkillData_Header,0))</f>
        <v>Self</v>
      </c>
      <c r="I12" s="3" t="n">
        <f aca="false">INDEX(SkillData,MATCH(A12,SkillData_Names,0)+1,MATCH("TargetType2",SkillData_Header,0))</f>
        <v>0</v>
      </c>
      <c r="J12" s="3" t="n">
        <f aca="false">INDEX(SkillData,MATCH(A12,SkillData_Names,0)+1,MATCH("TargetType3",SkillData_Header,0))</f>
        <v>0</v>
      </c>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row>
    <row r="13" customFormat="false" ht="15.75" hidden="false" customHeight="false" outlineLevel="0" collapsed="false">
      <c r="A13" s="3" t="s">
        <v>2308</v>
      </c>
      <c r="B13" s="3" t="str">
        <f aca="false" t="array" ref="B13:B13">INDEX(SkillData,MATCH(A13,SkillData_Names,0)+1,MATCH("EffectType1",SkillData_Header,0))</f>
        <v>ElementBoost_Normal</v>
      </c>
      <c r="C13" s="85" t="n">
        <f aca="false" t="array" ref="C13:C13">INDEX(SkillData,MATCH(A13,SkillData_Names,0)+1,MATCH("EffectValue1",SkillData_Header,0))</f>
        <v>20</v>
      </c>
      <c r="D13" s="3" t="n">
        <f aca="false">INDEX(SkillData,MATCH(A13,SkillData_Names,0)+1,MATCH("EffectType2",SkillData_Header,0))</f>
        <v>0</v>
      </c>
      <c r="E13" s="85" t="n">
        <f aca="false" t="array" ref="E13:E13">INDEX(SkillData,MATCH(A13,SkillData_Names,0)+1,MATCH("EffectValue2",SkillData_Header,0))</f>
        <v>0</v>
      </c>
      <c r="F13" s="3" t="n">
        <f aca="false">INDEX(SkillData,MATCH(A13,SkillData_Names,0)+1,MATCH("EffectType3",SkillData_Header,0))</f>
        <v>0</v>
      </c>
      <c r="G13" s="85" t="n">
        <f aca="false" t="array" ref="G13:G13">INDEX(SkillData,MATCH(A13,SkillData_Names,0)+1,MATCH("EffectValue3",SkillData_Header,0))</f>
        <v>0</v>
      </c>
      <c r="H13" s="3" t="str">
        <f aca="false" t="array" ref="H13:H13">INDEX(SkillData,MATCH(A13,SkillData_Names,0)+1,MATCH("TargetType1",SkillData_Header,0))</f>
        <v>Self</v>
      </c>
      <c r="I13" s="3" t="n">
        <f aca="false">INDEX(SkillData,MATCH(A13,SkillData_Names,0)+1,MATCH("TargetType2",SkillData_Header,0))</f>
        <v>0</v>
      </c>
      <c r="J13" s="3" t="n">
        <f aca="false">INDEX(SkillData,MATCH(A13,SkillData_Names,0)+1,MATCH("TargetType3",SkillData_Header,0))</f>
        <v>0</v>
      </c>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row>
    <row r="14" customFormat="false" ht="15.75" hidden="false" customHeight="false" outlineLevel="0" collapsed="false">
      <c r="A14" s="3" t="s">
        <v>2241</v>
      </c>
      <c r="B14" s="3" t="str">
        <f aca="false" t="array" ref="B14:B14">INDEX(SkillData,MATCH(A14,SkillData_Names,0)+1,MATCH("EffectType1",SkillData_Header,0))</f>
        <v>ElementResist_Dark</v>
      </c>
      <c r="C14" s="85" t="n">
        <f aca="false" t="array" ref="C14:C14">INDEX(SkillData,MATCH(A14,SkillData_Names,0)+1,MATCH("EffectValue1",SkillData_Header,0))</f>
        <v>10</v>
      </c>
      <c r="D14" s="3" t="n">
        <f aca="false">INDEX(SkillData,MATCH(A14,SkillData_Names,0)+1,MATCH("EffectType2",SkillData_Header,0))</f>
        <v>0</v>
      </c>
      <c r="E14" s="85" t="n">
        <f aca="false" t="array" ref="E14:E14">INDEX(SkillData,MATCH(A14,SkillData_Names,0)+1,MATCH("EffectValue2",SkillData_Header,0))</f>
        <v>0</v>
      </c>
      <c r="F14" s="3" t="n">
        <f aca="false">INDEX(SkillData,MATCH(A14,SkillData_Names,0)+1,MATCH("EffectType3",SkillData_Header,0))</f>
        <v>0</v>
      </c>
      <c r="G14" s="85" t="n">
        <f aca="false" t="array" ref="G14:G14">INDEX(SkillData,MATCH(A14,SkillData_Names,0)+1,MATCH("EffectValue3",SkillData_Header,0))</f>
        <v>0</v>
      </c>
      <c r="H14" s="3" t="str">
        <f aca="false" t="array" ref="H14:H14">INDEX(SkillData,MATCH(A14,SkillData_Names,0)+1,MATCH("TargetType1",SkillData_Header,0))</f>
        <v>Self</v>
      </c>
      <c r="I14" s="3" t="n">
        <f aca="false">INDEX(SkillData,MATCH(A14,SkillData_Names,0)+1,MATCH("TargetType2",SkillData_Header,0))</f>
        <v>0</v>
      </c>
      <c r="J14" s="3" t="n">
        <f aca="false">INDEX(SkillData,MATCH(A14,SkillData_Names,0)+1,MATCH("TargetType3",SkillData_Header,0))</f>
        <v>0</v>
      </c>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row>
    <row r="15" customFormat="false" ht="15.75" hidden="false" customHeight="false" outlineLevel="0" collapsed="false">
      <c r="A15" s="3" t="s">
        <v>2008</v>
      </c>
      <c r="B15" s="3" t="str">
        <f aca="false" t="array" ref="B15:B15">INDEX(SkillData,MATCH(A15,SkillData_Names,0)+1,MATCH("EffectType1",SkillData_Header,0))</f>
        <v>CraftSpeed</v>
      </c>
      <c r="C15" s="85" t="n">
        <f aca="false" t="array" ref="C15:C15">INDEX(SkillData,MATCH(A15,SkillData_Names,0)+1,MATCH("EffectValue1",SkillData_Header,0))</f>
        <v>-10</v>
      </c>
      <c r="D15" s="3" t="n">
        <f aca="false">INDEX(SkillData,MATCH(A15,SkillData_Names,0)+1,MATCH("EffectType2",SkillData_Header,0))</f>
        <v>0</v>
      </c>
      <c r="E15" s="85" t="n">
        <f aca="false" t="array" ref="E15:E15">INDEX(SkillData,MATCH(A15,SkillData_Names,0)+1,MATCH("EffectValue2",SkillData_Header,0))</f>
        <v>0</v>
      </c>
      <c r="F15" s="3" t="n">
        <f aca="false">INDEX(SkillData,MATCH(A15,SkillData_Names,0)+1,MATCH("EffectType3",SkillData_Header,0))</f>
        <v>0</v>
      </c>
      <c r="G15" s="85" t="n">
        <f aca="false" t="array" ref="G15:G15">INDEX(SkillData,MATCH(A15,SkillData_Names,0)+1,MATCH("EffectValue3",SkillData_Header,0))</f>
        <v>0</v>
      </c>
      <c r="H15" s="3" t="str">
        <f aca="false" t="array" ref="H15:H15">INDEX(SkillData,MATCH(A15,SkillData_Names,0)+1,MATCH("TargetType1",SkillData_Header,0))</f>
        <v>Self</v>
      </c>
      <c r="I15" s="3" t="n">
        <f aca="false">INDEX(SkillData,MATCH(A15,SkillData_Names,0)+1,MATCH("TargetType2",SkillData_Header,0))</f>
        <v>0</v>
      </c>
      <c r="J15" s="3" t="n">
        <f aca="false">INDEX(SkillData,MATCH(A15,SkillData_Names,0)+1,MATCH("TargetType3",SkillData_Header,0))</f>
        <v>0</v>
      </c>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row>
    <row r="16" customFormat="false" ht="15.75" hidden="false" customHeight="false" outlineLevel="0" collapsed="false">
      <c r="A16" s="3" t="s">
        <v>2267</v>
      </c>
      <c r="B16" s="3" t="str">
        <f aca="false" t="array" ref="B16:B16">INDEX(SkillData,MATCH(A16,SkillData_Names,0)+1,MATCH("EffectType1",SkillData_Header,0))</f>
        <v>ElementBoost_Ice</v>
      </c>
      <c r="C16" s="85" t="n">
        <f aca="false" t="array" ref="C16:C16">INDEX(SkillData,MATCH(A16,SkillData_Names,0)+1,MATCH("EffectValue1",SkillData_Header,0))</f>
        <v>10</v>
      </c>
      <c r="D16" s="3" t="n">
        <f aca="false">INDEX(SkillData,MATCH(A16,SkillData_Names,0)+1,MATCH("EffectType2",SkillData_Header,0))</f>
        <v>0</v>
      </c>
      <c r="E16" s="85" t="n">
        <f aca="false" t="array" ref="E16:E16">INDEX(SkillData,MATCH(A16,SkillData_Names,0)+1,MATCH("EffectValue2",SkillData_Header,0))</f>
        <v>0</v>
      </c>
      <c r="F16" s="3" t="n">
        <f aca="false">INDEX(SkillData,MATCH(A16,SkillData_Names,0)+1,MATCH("EffectType3",SkillData_Header,0))</f>
        <v>0</v>
      </c>
      <c r="G16" s="85" t="n">
        <f aca="false" t="array" ref="G16:G16">INDEX(SkillData,MATCH(A16,SkillData_Names,0)+1,MATCH("EffectValue3",SkillData_Header,0))</f>
        <v>0</v>
      </c>
      <c r="H16" s="3" t="str">
        <f aca="false" t="array" ref="H16:H16">INDEX(SkillData,MATCH(A16,SkillData_Names,0)+1,MATCH("TargetType1",SkillData_Header,0))</f>
        <v>Self</v>
      </c>
      <c r="I16" s="3" t="n">
        <f aca="false">INDEX(SkillData,MATCH(A16,SkillData_Names,0)+1,MATCH("TargetType2",SkillData_Header,0))</f>
        <v>0</v>
      </c>
      <c r="J16" s="3" t="n">
        <f aca="false">INDEX(SkillData,MATCH(A16,SkillData_Names,0)+1,MATCH("TargetType3",SkillData_Header,0))</f>
        <v>0</v>
      </c>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row>
    <row r="17" customFormat="false" ht="15.75" hidden="false" customHeight="false" outlineLevel="0" collapsed="false">
      <c r="A17" s="3" t="s">
        <v>2131</v>
      </c>
      <c r="B17" s="3" t="str">
        <f aca="false" t="array" ref="B17:B17">INDEX(SkillData,MATCH(A17,SkillData_Names,0)+1,MATCH("EffectType1",SkillData_Header,0))</f>
        <v>CraftSpeed</v>
      </c>
      <c r="C17" s="85" t="n">
        <f aca="false" t="array" ref="C17:C17">INDEX(SkillData,MATCH(A17,SkillData_Names,0)+1,MATCH("EffectValue1",SkillData_Header,0))</f>
        <v>10</v>
      </c>
      <c r="D17" s="3" t="str">
        <f aca="false" t="array" ref="D17:D17">INDEX(SkillData,MATCH(A17,SkillData_Names,0)+1,MATCH("EffectType2",SkillData_Header,0))</f>
        <v>Defense</v>
      </c>
      <c r="E17" s="85" t="n">
        <f aca="false" t="array" ref="E17:E17">INDEX(SkillData,MATCH(A17,SkillData_Names,0)+1,MATCH("EffectValue2",SkillData_Header,0))</f>
        <v>-10</v>
      </c>
      <c r="F17" s="3" t="n">
        <f aca="false">INDEX(SkillData,MATCH(A17,SkillData_Names,0)+1,MATCH("EffectType3",SkillData_Header,0))</f>
        <v>0</v>
      </c>
      <c r="G17" s="85" t="n">
        <f aca="false" t="array" ref="G17:G17">INDEX(SkillData,MATCH(A17,SkillData_Names,0)+1,MATCH("EffectValue3",SkillData_Header,0))</f>
        <v>0</v>
      </c>
      <c r="H17" s="3" t="str">
        <f aca="false" t="array" ref="H17:H17">INDEX(SkillData,MATCH(A17,SkillData_Names,0)+1,MATCH("TargetType1",SkillData_Header,0))</f>
        <v>Self</v>
      </c>
      <c r="I17" s="3" t="str">
        <f aca="false" t="array" ref="I17:I17">INDEX(SkillData,MATCH(A17,SkillData_Names,0)+1,MATCH("TargetType2",SkillData_Header,0))</f>
        <v>Self</v>
      </c>
      <c r="J17" s="3" t="n">
        <f aca="false">INDEX(SkillData,MATCH(A17,SkillData_Names,0)+1,MATCH("TargetType3",SkillData_Header,0))</f>
        <v>0</v>
      </c>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row>
    <row r="18" customFormat="false" ht="15.75" hidden="false" customHeight="false" outlineLevel="0" collapsed="false">
      <c r="A18" s="3" t="s">
        <v>2127</v>
      </c>
      <c r="B18" s="3" t="str">
        <f aca="false" t="array" ref="B18:B18">INDEX(SkillData,MATCH(A18,SkillData_Names,0)+1,MATCH("EffectType1",SkillData_Header,0))</f>
        <v>ShotAttack</v>
      </c>
      <c r="C18" s="85" t="n">
        <f aca="false" t="array" ref="C18:C18">INDEX(SkillData,MATCH(A18,SkillData_Names,0)+1,MATCH("EffectValue1",SkillData_Header,0))</f>
        <v>-10</v>
      </c>
      <c r="D18" s="3" t="n">
        <f aca="false">INDEX(SkillData,MATCH(A18,SkillData_Names,0)+1,MATCH("EffectType2",SkillData_Header,0))</f>
        <v>0</v>
      </c>
      <c r="E18" s="85" t="n">
        <f aca="false" t="array" ref="E18:E18">INDEX(SkillData,MATCH(A18,SkillData_Names,0)+1,MATCH("EffectValue2",SkillData_Header,0))</f>
        <v>0</v>
      </c>
      <c r="F18" s="3" t="n">
        <f aca="false">INDEX(SkillData,MATCH(A18,SkillData_Names,0)+1,MATCH("EffectType3",SkillData_Header,0))</f>
        <v>0</v>
      </c>
      <c r="G18" s="85" t="n">
        <f aca="false" t="array" ref="G18:G18">INDEX(SkillData,MATCH(A18,SkillData_Names,0)+1,MATCH("EffectValue3",SkillData_Header,0))</f>
        <v>0</v>
      </c>
      <c r="H18" s="3" t="str">
        <f aca="false" t="array" ref="H18:H18">INDEX(SkillData,MATCH(A18,SkillData_Names,0)+1,MATCH("TargetType1",SkillData_Header,0))</f>
        <v>Self</v>
      </c>
      <c r="I18" s="3" t="n">
        <f aca="false">INDEX(SkillData,MATCH(A18,SkillData_Names,0)+1,MATCH("TargetType2",SkillData_Header,0))</f>
        <v>0</v>
      </c>
      <c r="J18" s="3" t="n">
        <f aca="false">INDEX(SkillData,MATCH(A18,SkillData_Names,0)+1,MATCH("TargetType3",SkillData_Header,0))</f>
        <v>0</v>
      </c>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row>
    <row r="19" customFormat="false" ht="15.75" hidden="false" customHeight="false" outlineLevel="0" collapsed="false">
      <c r="A19" s="3" t="s">
        <v>2289</v>
      </c>
      <c r="B19" s="3" t="str">
        <f aca="false" t="array" ref="B19:B19">INDEX(SkillData,MATCH(A19,SkillData_Names,0)+1,MATCH("EffectType1",SkillData_Header,0))</f>
        <v>FullStomatch_Decrease</v>
      </c>
      <c r="C19" s="85" t="n">
        <f aca="false" t="array" ref="C19:C19">INDEX(SkillData,MATCH(A19,SkillData_Names,0)+1,MATCH("EffectValue1",SkillData_Header,0))</f>
        <v>-10</v>
      </c>
      <c r="D19" s="3" t="n">
        <f aca="false">INDEX(SkillData,MATCH(A19,SkillData_Names,0)+1,MATCH("EffectType2",SkillData_Header,0))</f>
        <v>0</v>
      </c>
      <c r="E19" s="85" t="n">
        <f aca="false" t="array" ref="E19:E19">INDEX(SkillData,MATCH(A19,SkillData_Names,0)+1,MATCH("EffectValue2",SkillData_Header,0))</f>
        <v>0</v>
      </c>
      <c r="F19" s="3" t="n">
        <f aca="false">INDEX(SkillData,MATCH(A19,SkillData_Names,0)+1,MATCH("EffectType3",SkillData_Header,0))</f>
        <v>0</v>
      </c>
      <c r="G19" s="85" t="n">
        <f aca="false" t="array" ref="G19:G19">INDEX(SkillData,MATCH(A19,SkillData_Names,0)+1,MATCH("EffectValue3",SkillData_Header,0))</f>
        <v>0</v>
      </c>
      <c r="H19" s="3" t="str">
        <f aca="false" t="array" ref="H19:H19">INDEX(SkillData,MATCH(A19,SkillData_Names,0)+1,MATCH("TargetType1",SkillData_Header,0))</f>
        <v>Self</v>
      </c>
      <c r="I19" s="3" t="n">
        <f aca="false">INDEX(SkillData,MATCH(A19,SkillData_Names,0)+1,MATCH("TargetType2",SkillData_Header,0))</f>
        <v>0</v>
      </c>
      <c r="J19" s="3" t="n">
        <f aca="false">INDEX(SkillData,MATCH(A19,SkillData_Names,0)+1,MATCH("TargetType3",SkillData_Header,0))</f>
        <v>0</v>
      </c>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row>
    <row r="20" customFormat="false" ht="15.75" hidden="false" customHeight="false" outlineLevel="0" collapsed="false">
      <c r="A20" s="3" t="s">
        <v>2299</v>
      </c>
      <c r="B20" s="3" t="str">
        <f aca="false" t="array" ref="B20:B20">INDEX(SkillData,MATCH(A20,SkillData_Names,0)+1,MATCH("EffectType1",SkillData_Header,0))</f>
        <v>Sanity_Decrease</v>
      </c>
      <c r="C20" s="85" t="n">
        <f aca="false" t="array" ref="C20:C20">INDEX(SkillData,MATCH(A20,SkillData_Names,0)+1,MATCH("EffectValue1",SkillData_Header,0))</f>
        <v>15</v>
      </c>
      <c r="D20" s="3" t="n">
        <f aca="false">INDEX(SkillData,MATCH(A20,SkillData_Names,0)+1,MATCH("EffectType2",SkillData_Header,0))</f>
        <v>0</v>
      </c>
      <c r="E20" s="85" t="n">
        <f aca="false" t="array" ref="E20:E20">INDEX(SkillData,MATCH(A20,SkillData_Names,0)+1,MATCH("EffectValue2",SkillData_Header,0))</f>
        <v>0</v>
      </c>
      <c r="F20" s="3" t="n">
        <f aca="false">INDEX(SkillData,MATCH(A20,SkillData_Names,0)+1,MATCH("EffectType3",SkillData_Header,0))</f>
        <v>0</v>
      </c>
      <c r="G20" s="85" t="n">
        <f aca="false" t="array" ref="G20:G20">INDEX(SkillData,MATCH(A20,SkillData_Names,0)+1,MATCH("EffectValue3",SkillData_Header,0))</f>
        <v>0</v>
      </c>
      <c r="H20" s="3" t="str">
        <f aca="false" t="array" ref="H20:H20">INDEX(SkillData,MATCH(A20,SkillData_Names,0)+1,MATCH("TargetType1",SkillData_Header,0))</f>
        <v>Self</v>
      </c>
      <c r="I20" s="3" t="n">
        <f aca="false">INDEX(SkillData,MATCH(A20,SkillData_Names,0)+1,MATCH("TargetType2",SkillData_Header,0))</f>
        <v>0</v>
      </c>
      <c r="J20" s="3" t="n">
        <f aca="false">INDEX(SkillData,MATCH(A20,SkillData_Names,0)+1,MATCH("TargetType3",SkillData_Header,0))</f>
        <v>0</v>
      </c>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row>
    <row r="21" customFormat="false" ht="15.75" hidden="false" customHeight="false" outlineLevel="0" collapsed="false">
      <c r="A21" s="3" t="s">
        <v>2292</v>
      </c>
      <c r="B21" s="3" t="str">
        <f aca="false" t="array" ref="B21:B21">INDEX(SkillData,MATCH(A21,SkillData_Names,0)+1,MATCH("EffectType1",SkillData_Header,0))</f>
        <v>FullStomatch_Decrease</v>
      </c>
      <c r="C21" s="85" t="n">
        <f aca="false" t="array" ref="C21:C21">INDEX(SkillData,MATCH(A21,SkillData_Names,0)+1,MATCH("EffectValue1",SkillData_Header,0))</f>
        <v>-15</v>
      </c>
      <c r="D21" s="3" t="n">
        <f aca="false">INDEX(SkillData,MATCH(A21,SkillData_Names,0)+1,MATCH("EffectType2",SkillData_Header,0))</f>
        <v>0</v>
      </c>
      <c r="E21" s="85" t="n">
        <f aca="false" t="array" ref="E21:E21">INDEX(SkillData,MATCH(A21,SkillData_Names,0)+1,MATCH("EffectValue2",SkillData_Header,0))</f>
        <v>0</v>
      </c>
      <c r="F21" s="3" t="n">
        <f aca="false">INDEX(SkillData,MATCH(A21,SkillData_Names,0)+1,MATCH("EffectType3",SkillData_Header,0))</f>
        <v>0</v>
      </c>
      <c r="G21" s="85" t="n">
        <f aca="false" t="array" ref="G21:G21">INDEX(SkillData,MATCH(A21,SkillData_Names,0)+1,MATCH("EffectValue3",SkillData_Header,0))</f>
        <v>0</v>
      </c>
      <c r="H21" s="3" t="str">
        <f aca="false" t="array" ref="H21:H21">INDEX(SkillData,MATCH(A21,SkillData_Names,0)+1,MATCH("TargetType1",SkillData_Header,0))</f>
        <v>Self</v>
      </c>
      <c r="I21" s="3" t="n">
        <f aca="false">INDEX(SkillData,MATCH(A21,SkillData_Names,0)+1,MATCH("TargetType2",SkillData_Header,0))</f>
        <v>0</v>
      </c>
      <c r="J21" s="3" t="n">
        <f aca="false">INDEX(SkillData,MATCH(A21,SkillData_Names,0)+1,MATCH("TargetType3",SkillData_Header,0))</f>
        <v>0</v>
      </c>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row>
    <row r="22" customFormat="false" ht="15.75" hidden="false" customHeight="false" outlineLevel="0" collapsed="false">
      <c r="A22" s="3" t="s">
        <v>2316</v>
      </c>
      <c r="B22" s="3" t="str">
        <f aca="false" t="array" ref="B22:B22">INDEX(SkillData,MATCH(A22,SkillData_Names,0)+1,MATCH("EffectType1",SkillData_Header,0))</f>
        <v>ElementBoost_Dragon</v>
      </c>
      <c r="C22" s="85" t="n">
        <f aca="false" t="array" ref="C22:C22">INDEX(SkillData,MATCH(A22,SkillData_Names,0)+1,MATCH("EffectValue1",SkillData_Header,0))</f>
        <v>20</v>
      </c>
      <c r="D22" s="3" t="n">
        <f aca="false">INDEX(SkillData,MATCH(A22,SkillData_Names,0)+1,MATCH("EffectType2",SkillData_Header,0))</f>
        <v>0</v>
      </c>
      <c r="E22" s="85" t="n">
        <f aca="false" t="array" ref="E22:E22">INDEX(SkillData,MATCH(A22,SkillData_Names,0)+1,MATCH("EffectValue2",SkillData_Header,0))</f>
        <v>0</v>
      </c>
      <c r="F22" s="3" t="n">
        <f aca="false">INDEX(SkillData,MATCH(A22,SkillData_Names,0)+1,MATCH("EffectType3",SkillData_Header,0))</f>
        <v>0</v>
      </c>
      <c r="G22" s="85" t="n">
        <f aca="false" t="array" ref="G22:G22">INDEX(SkillData,MATCH(A22,SkillData_Names,0)+1,MATCH("EffectValue3",SkillData_Header,0))</f>
        <v>0</v>
      </c>
      <c r="H22" s="3" t="str">
        <f aca="false" t="array" ref="H22:H22">INDEX(SkillData,MATCH(A22,SkillData_Names,0)+1,MATCH("TargetType1",SkillData_Header,0))</f>
        <v>Self</v>
      </c>
      <c r="I22" s="3" t="n">
        <f aca="false">INDEX(SkillData,MATCH(A22,SkillData_Names,0)+1,MATCH("TargetType2",SkillData_Header,0))</f>
        <v>0</v>
      </c>
      <c r="J22" s="3" t="n">
        <f aca="false">INDEX(SkillData,MATCH(A22,SkillData_Names,0)+1,MATCH("TargetType3",SkillData_Header,0))</f>
        <v>0</v>
      </c>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row>
    <row r="23" customFormat="false" ht="15.75" hidden="false" customHeight="false" outlineLevel="0" collapsed="false">
      <c r="A23" s="3" t="s">
        <v>2023</v>
      </c>
      <c r="B23" s="3" t="str">
        <f aca="false" t="array" ref="B23:B23">INDEX(SkillData,MATCH(A23,SkillData_Names,0)+1,MATCH("EffectType1",SkillData_Header,0))</f>
        <v>Defense</v>
      </c>
      <c r="C23" s="85" t="n">
        <f aca="false" t="array" ref="C23:C23">INDEX(SkillData,MATCH(A23,SkillData_Names,0)+1,MATCH("EffectValue1",SkillData_Header,0))</f>
        <v>-10</v>
      </c>
      <c r="D23" s="3" t="n">
        <f aca="false">INDEX(SkillData,MATCH(A23,SkillData_Names,0)+1,MATCH("EffectType2",SkillData_Header,0))</f>
        <v>0</v>
      </c>
      <c r="E23" s="85" t="n">
        <f aca="false" t="array" ref="E23:E23">INDEX(SkillData,MATCH(A23,SkillData_Names,0)+1,MATCH("EffectValue2",SkillData_Header,0))</f>
        <v>0</v>
      </c>
      <c r="F23" s="3" t="n">
        <f aca="false">INDEX(SkillData,MATCH(A23,SkillData_Names,0)+1,MATCH("EffectType3",SkillData_Header,0))</f>
        <v>0</v>
      </c>
      <c r="G23" s="85" t="n">
        <f aca="false" t="array" ref="G23:G23">INDEX(SkillData,MATCH(A23,SkillData_Names,0)+1,MATCH("EffectValue3",SkillData_Header,0))</f>
        <v>0</v>
      </c>
      <c r="H23" s="3" t="str">
        <f aca="false" t="array" ref="H23:H23">INDEX(SkillData,MATCH(A23,SkillData_Names,0)+1,MATCH("TargetType1",SkillData_Header,0))</f>
        <v>Self</v>
      </c>
      <c r="I23" s="3" t="n">
        <f aca="false">INDEX(SkillData,MATCH(A23,SkillData_Names,0)+1,MATCH("TargetType2",SkillData_Header,0))</f>
        <v>0</v>
      </c>
      <c r="J23" s="3" t="n">
        <f aca="false">INDEX(SkillData,MATCH(A23,SkillData_Names,0)+1,MATCH("TargetType3",SkillData_Header,0))</f>
        <v>0</v>
      </c>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row>
    <row r="24" customFormat="false" ht="15.75" hidden="false" customHeight="false" outlineLevel="0" collapsed="false">
      <c r="A24" s="3" t="s">
        <v>2244</v>
      </c>
      <c r="B24" s="3" t="str">
        <f aca="false" t="array" ref="B24:B24">INDEX(SkillData,MATCH(A24,SkillData_Names,0)+1,MATCH("EffectType1",SkillData_Header,0))</f>
        <v>ElementResist_Dragon</v>
      </c>
      <c r="C24" s="85" t="n">
        <f aca="false" t="array" ref="C24:C24">INDEX(SkillData,MATCH(A24,SkillData_Names,0)+1,MATCH("EffectValue1",SkillData_Header,0))</f>
        <v>10</v>
      </c>
      <c r="D24" s="3" t="n">
        <f aca="false">INDEX(SkillData,MATCH(A24,SkillData_Names,0)+1,MATCH("EffectType2",SkillData_Header,0))</f>
        <v>0</v>
      </c>
      <c r="E24" s="85" t="n">
        <f aca="false" t="array" ref="E24:E24">INDEX(SkillData,MATCH(A24,SkillData_Names,0)+1,MATCH("EffectValue2",SkillData_Header,0))</f>
        <v>0</v>
      </c>
      <c r="F24" s="3" t="n">
        <f aca="false">INDEX(SkillData,MATCH(A24,SkillData_Names,0)+1,MATCH("EffectType3",SkillData_Header,0))</f>
        <v>0</v>
      </c>
      <c r="G24" s="85" t="n">
        <f aca="false" t="array" ref="G24:G24">INDEX(SkillData,MATCH(A24,SkillData_Names,0)+1,MATCH("EffectValue3",SkillData_Header,0))</f>
        <v>0</v>
      </c>
      <c r="H24" s="3" t="str">
        <f aca="false" t="array" ref="H24:H24">INDEX(SkillData,MATCH(A24,SkillData_Names,0)+1,MATCH("TargetType1",SkillData_Header,0))</f>
        <v>Self</v>
      </c>
      <c r="I24" s="3" t="n">
        <f aca="false">INDEX(SkillData,MATCH(A24,SkillData_Names,0)+1,MATCH("TargetType2",SkillData_Header,0))</f>
        <v>0</v>
      </c>
      <c r="J24" s="3" t="n">
        <f aca="false">INDEX(SkillData,MATCH(A24,SkillData_Names,0)+1,MATCH("TargetType3",SkillData_Header,0))</f>
        <v>0</v>
      </c>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row>
    <row r="25" customFormat="false" ht="15.75" hidden="false" customHeight="false" outlineLevel="0" collapsed="false">
      <c r="A25" s="3" t="s">
        <v>2314</v>
      </c>
      <c r="B25" s="3" t="str">
        <f aca="false" t="array" ref="B25:B25">INDEX(SkillData,MATCH(A25,SkillData_Names,0)+1,MATCH("EffectType1",SkillData_Header,0))</f>
        <v>ElementBoost_Earth</v>
      </c>
      <c r="C25" s="85" t="n">
        <f aca="false" t="array" ref="C25:C25">INDEX(SkillData,MATCH(A25,SkillData_Names,0)+1,MATCH("EffectValue1",SkillData_Header,0))</f>
        <v>20</v>
      </c>
      <c r="D25" s="3" t="n">
        <f aca="false">INDEX(SkillData,MATCH(A25,SkillData_Names,0)+1,MATCH("EffectType2",SkillData_Header,0))</f>
        <v>0</v>
      </c>
      <c r="E25" s="85" t="n">
        <f aca="false" t="array" ref="E25:E25">INDEX(SkillData,MATCH(A25,SkillData_Names,0)+1,MATCH("EffectValue2",SkillData_Header,0))</f>
        <v>0</v>
      </c>
      <c r="F25" s="3" t="n">
        <f aca="false">INDEX(SkillData,MATCH(A25,SkillData_Names,0)+1,MATCH("EffectType3",SkillData_Header,0))</f>
        <v>0</v>
      </c>
      <c r="G25" s="85" t="n">
        <f aca="false" t="array" ref="G25:G25">INDEX(SkillData,MATCH(A25,SkillData_Names,0)+1,MATCH("EffectValue3",SkillData_Header,0))</f>
        <v>0</v>
      </c>
      <c r="H25" s="3" t="str">
        <f aca="false" t="array" ref="H25:H25">INDEX(SkillData,MATCH(A25,SkillData_Names,0)+1,MATCH("TargetType1",SkillData_Header,0))</f>
        <v>Self</v>
      </c>
      <c r="I25" s="3" t="n">
        <f aca="false">INDEX(SkillData,MATCH(A25,SkillData_Names,0)+1,MATCH("TargetType2",SkillData_Header,0))</f>
        <v>0</v>
      </c>
      <c r="J25" s="3" t="n">
        <f aca="false">INDEX(SkillData,MATCH(A25,SkillData_Names,0)+1,MATCH("TargetType3",SkillData_Header,0))</f>
        <v>0</v>
      </c>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row>
    <row r="26" customFormat="false" ht="15.75" hidden="false" customHeight="false" outlineLevel="0" collapsed="false">
      <c r="A26" s="3" t="s">
        <v>2238</v>
      </c>
      <c r="B26" s="3" t="str">
        <f aca="false" t="array" ref="B26:B26">INDEX(SkillData,MATCH(A26,SkillData_Names,0)+1,MATCH("EffectType1",SkillData_Header,0))</f>
        <v>ElementResist_Earth</v>
      </c>
      <c r="C26" s="85" t="n">
        <f aca="false" t="array" ref="C26:C26">INDEX(SkillData,MATCH(A26,SkillData_Names,0)+1,MATCH("EffectValue1",SkillData_Header,0))</f>
        <v>10</v>
      </c>
      <c r="D26" s="3" t="n">
        <f aca="false">INDEX(SkillData,MATCH(A26,SkillData_Names,0)+1,MATCH("EffectType2",SkillData_Header,0))</f>
        <v>0</v>
      </c>
      <c r="E26" s="85" t="n">
        <f aca="false" t="array" ref="E26:E26">INDEX(SkillData,MATCH(A26,SkillData_Names,0)+1,MATCH("EffectValue2",SkillData_Header,0))</f>
        <v>0</v>
      </c>
      <c r="F26" s="3" t="n">
        <f aca="false">INDEX(SkillData,MATCH(A26,SkillData_Names,0)+1,MATCH("EffectType3",SkillData_Header,0))</f>
        <v>0</v>
      </c>
      <c r="G26" s="85" t="n">
        <f aca="false" t="array" ref="G26:G26">INDEX(SkillData,MATCH(A26,SkillData_Names,0)+1,MATCH("EffectValue3",SkillData_Header,0))</f>
        <v>0</v>
      </c>
      <c r="H26" s="3" t="str">
        <f aca="false" t="array" ref="H26:H26">INDEX(SkillData,MATCH(A26,SkillData_Names,0)+1,MATCH("TargetType1",SkillData_Header,0))</f>
        <v>Self</v>
      </c>
      <c r="I26" s="3" t="n">
        <f aca="false">INDEX(SkillData,MATCH(A26,SkillData_Names,0)+1,MATCH("TargetType2",SkillData_Header,0))</f>
        <v>0</v>
      </c>
      <c r="J26" s="3" t="n">
        <f aca="false">INDEX(SkillData,MATCH(A26,SkillData_Names,0)+1,MATCH("TargetType3",SkillData_Header,0))</f>
        <v>0</v>
      </c>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row>
    <row r="27" customFormat="false" ht="15.75" hidden="false" customHeight="false" outlineLevel="0" collapsed="false">
      <c r="A27" s="3" t="s">
        <v>2123</v>
      </c>
      <c r="B27" s="3" t="str">
        <f aca="false" t="array" ref="B27:B27">INDEX(SkillData,MATCH(A27,SkillData_Names,0)+1,MATCH("EffectType1",SkillData_Header,0))</f>
        <v>ShotAttack</v>
      </c>
      <c r="C27" s="85" t="n">
        <f aca="false" t="array" ref="C27:C27">INDEX(SkillData,MATCH(A27,SkillData_Names,0)+1,MATCH("EffectValue1",SkillData_Header,0))</f>
        <v>20</v>
      </c>
      <c r="D27" s="3" t="n">
        <f aca="false">INDEX(SkillData,MATCH(A27,SkillData_Names,0)+1,MATCH("EffectType2",SkillData_Header,0))</f>
        <v>0</v>
      </c>
      <c r="E27" s="85" t="n">
        <f aca="false" t="array" ref="E27:E27">INDEX(SkillData,MATCH(A27,SkillData_Names,0)+1,MATCH("EffectValue2",SkillData_Header,0))</f>
        <v>0</v>
      </c>
      <c r="F27" s="3" t="n">
        <f aca="false">INDEX(SkillData,MATCH(A27,SkillData_Names,0)+1,MATCH("EffectType3",SkillData_Header,0))</f>
        <v>0</v>
      </c>
      <c r="G27" s="85" t="n">
        <f aca="false" t="array" ref="G27:G27">INDEX(SkillData,MATCH(A27,SkillData_Names,0)+1,MATCH("EffectValue3",SkillData_Header,0))</f>
        <v>0</v>
      </c>
      <c r="H27" s="3" t="str">
        <f aca="false" t="array" ref="H27:H27">INDEX(SkillData,MATCH(A27,SkillData_Names,0)+1,MATCH("TargetType1",SkillData_Header,0))</f>
        <v>Self</v>
      </c>
      <c r="I27" s="3" t="n">
        <f aca="false">INDEX(SkillData,MATCH(A27,SkillData_Names,0)+1,MATCH("TargetType2",SkillData_Header,0))</f>
        <v>0</v>
      </c>
      <c r="J27" s="3" t="n">
        <f aca="false">INDEX(SkillData,MATCH(A27,SkillData_Names,0)+1,MATCH("TargetType3",SkillData_Header,0))</f>
        <v>0</v>
      </c>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row>
    <row r="28" customFormat="false" ht="15.75" hidden="false" customHeight="false" outlineLevel="0" collapsed="false">
      <c r="A28" s="3" t="s">
        <v>2309</v>
      </c>
      <c r="B28" s="3" t="str">
        <f aca="false" t="array" ref="B28:B28">INDEX(SkillData,MATCH(A28,SkillData_Names,0)+1,MATCH("EffectType1",SkillData_Header,0))</f>
        <v>ElementBoost_Fire</v>
      </c>
      <c r="C28" s="85" t="n">
        <f aca="false" t="array" ref="C28:C28">INDEX(SkillData,MATCH(A28,SkillData_Names,0)+1,MATCH("EffectValue1",SkillData_Header,0))</f>
        <v>20</v>
      </c>
      <c r="D28" s="3" t="n">
        <f aca="false">INDEX(SkillData,MATCH(A28,SkillData_Names,0)+1,MATCH("EffectType2",SkillData_Header,0))</f>
        <v>0</v>
      </c>
      <c r="E28" s="85" t="n">
        <f aca="false" t="array" ref="E28:E28">INDEX(SkillData,MATCH(A28,SkillData_Names,0)+1,MATCH("EffectValue2",SkillData_Header,0))</f>
        <v>0</v>
      </c>
      <c r="F28" s="3" t="n">
        <f aca="false">INDEX(SkillData,MATCH(A28,SkillData_Names,0)+1,MATCH("EffectType3",SkillData_Header,0))</f>
        <v>0</v>
      </c>
      <c r="G28" s="85" t="n">
        <f aca="false" t="array" ref="G28:G28">INDEX(SkillData,MATCH(A28,SkillData_Names,0)+1,MATCH("EffectValue3",SkillData_Header,0))</f>
        <v>0</v>
      </c>
      <c r="H28" s="3" t="str">
        <f aca="false" t="array" ref="H28:H28">INDEX(SkillData,MATCH(A28,SkillData_Names,0)+1,MATCH("TargetType1",SkillData_Header,0))</f>
        <v>Self</v>
      </c>
      <c r="I28" s="3" t="n">
        <f aca="false">INDEX(SkillData,MATCH(A28,SkillData_Names,0)+1,MATCH("TargetType2",SkillData_Header,0))</f>
        <v>0</v>
      </c>
      <c r="J28" s="3" t="n">
        <f aca="false">INDEX(SkillData,MATCH(A28,SkillData_Names,0)+1,MATCH("TargetType3",SkillData_Header,0))</f>
        <v>0</v>
      </c>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row>
    <row r="29" customFormat="false" ht="15.75" hidden="false" customHeight="false" outlineLevel="0" collapsed="false">
      <c r="A29" s="3" t="s">
        <v>2263</v>
      </c>
      <c r="B29" s="3" t="str">
        <f aca="false" t="array" ref="B29:B29">INDEX(SkillData,MATCH(A29,SkillData_Names,0)+1,MATCH("EffectType1",SkillData_Header,0))</f>
        <v>ElementBoost_Leaf</v>
      </c>
      <c r="C29" s="85" t="n">
        <f aca="false" t="array" ref="C29:C29">INDEX(SkillData,MATCH(A29,SkillData_Names,0)+1,MATCH("EffectValue1",SkillData_Header,0))</f>
        <v>10</v>
      </c>
      <c r="D29" s="3" t="n">
        <f aca="false">INDEX(SkillData,MATCH(A29,SkillData_Names,0)+1,MATCH("EffectType2",SkillData_Header,0))</f>
        <v>0</v>
      </c>
      <c r="E29" s="85" t="n">
        <f aca="false" t="array" ref="E29:E29">INDEX(SkillData,MATCH(A29,SkillData_Names,0)+1,MATCH("EffectValue2",SkillData_Header,0))</f>
        <v>0</v>
      </c>
      <c r="F29" s="3" t="n">
        <f aca="false">INDEX(SkillData,MATCH(A29,SkillData_Names,0)+1,MATCH("EffectType3",SkillData_Header,0))</f>
        <v>0</v>
      </c>
      <c r="G29" s="85" t="n">
        <f aca="false" t="array" ref="G29:G29">INDEX(SkillData,MATCH(A29,SkillData_Names,0)+1,MATCH("EffectValue3",SkillData_Header,0))</f>
        <v>0</v>
      </c>
      <c r="H29" s="3" t="str">
        <f aca="false" t="array" ref="H29:H29">INDEX(SkillData,MATCH(A29,SkillData_Names,0)+1,MATCH("TargetType1",SkillData_Header,0))</f>
        <v>Self</v>
      </c>
      <c r="I29" s="3" t="n">
        <f aca="false">INDEX(SkillData,MATCH(A29,SkillData_Names,0)+1,MATCH("TargetType2",SkillData_Header,0))</f>
        <v>0</v>
      </c>
      <c r="J29" s="3" t="n">
        <f aca="false">INDEX(SkillData,MATCH(A29,SkillData_Names,0)+1,MATCH("TargetType3",SkillData_Header,0))</f>
        <v>0</v>
      </c>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row>
    <row r="30" customFormat="false" ht="15.75" hidden="false" customHeight="false" outlineLevel="0" collapsed="false">
      <c r="A30" s="3" t="s">
        <v>2283</v>
      </c>
      <c r="B30" s="3" t="str">
        <f aca="false" t="array" ref="B30:B30">INDEX(SkillData,MATCH(A30,SkillData_Names,0)+1,MATCH("EffectType1",SkillData_Header,0))</f>
        <v>FullStomatch_Decrease</v>
      </c>
      <c r="C30" s="85" t="n">
        <f aca="false" t="array" ref="C30:C30">INDEX(SkillData,MATCH(A30,SkillData_Names,0)+1,MATCH("EffectValue1",SkillData_Header,0))</f>
        <v>10</v>
      </c>
      <c r="D30" s="3" t="n">
        <f aca="false">INDEX(SkillData,MATCH(A30,SkillData_Names,0)+1,MATCH("EffectType2",SkillData_Header,0))</f>
        <v>0</v>
      </c>
      <c r="E30" s="85" t="n">
        <f aca="false" t="array" ref="E30:E30">INDEX(SkillData,MATCH(A30,SkillData_Names,0)+1,MATCH("EffectValue2",SkillData_Header,0))</f>
        <v>0</v>
      </c>
      <c r="F30" s="3" t="n">
        <f aca="false">INDEX(SkillData,MATCH(A30,SkillData_Names,0)+1,MATCH("EffectType3",SkillData_Header,0))</f>
        <v>0</v>
      </c>
      <c r="G30" s="85" t="n">
        <f aca="false" t="array" ref="G30:G30">INDEX(SkillData,MATCH(A30,SkillData_Names,0)+1,MATCH("EffectValue3",SkillData_Header,0))</f>
        <v>0</v>
      </c>
      <c r="H30" s="3" t="str">
        <f aca="false" t="array" ref="H30:H30">INDEX(SkillData,MATCH(A30,SkillData_Names,0)+1,MATCH("TargetType1",SkillData_Header,0))</f>
        <v>Self</v>
      </c>
      <c r="I30" s="3" t="n">
        <f aca="false">INDEX(SkillData,MATCH(A30,SkillData_Names,0)+1,MATCH("TargetType2",SkillData_Header,0))</f>
        <v>0</v>
      </c>
      <c r="J30" s="3" t="n">
        <f aca="false">INDEX(SkillData,MATCH(A30,SkillData_Names,0)+1,MATCH("TargetType3",SkillData_Header,0))</f>
        <v>0</v>
      </c>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row>
    <row r="31" customFormat="false" ht="15.75" hidden="false" customHeight="false" outlineLevel="0" collapsed="false">
      <c r="A31" s="3" t="s">
        <v>2022</v>
      </c>
      <c r="B31" s="3" t="str">
        <f aca="false" t="array" ref="B31:B31">INDEX(SkillData,MATCH(A31,SkillData_Names,0)+1,MATCH("EffectType1",SkillData_Header,0))</f>
        <v>Defense</v>
      </c>
      <c r="C31" s="85" t="n">
        <f aca="false" t="array" ref="C31:C31">INDEX(SkillData,MATCH(A31,SkillData_Names,0)+1,MATCH("EffectValue1",SkillData_Header,0))</f>
        <v>10</v>
      </c>
      <c r="D31" s="3" t="n">
        <f aca="false">INDEX(SkillData,MATCH(A31,SkillData_Names,0)+1,MATCH("EffectType2",SkillData_Header,0))</f>
        <v>0</v>
      </c>
      <c r="E31" s="85" t="n">
        <f aca="false" t="array" ref="E31:E31">INDEX(SkillData,MATCH(A31,SkillData_Names,0)+1,MATCH("EffectValue2",SkillData_Header,0))</f>
        <v>0</v>
      </c>
      <c r="F31" s="3" t="n">
        <f aca="false">INDEX(SkillData,MATCH(A31,SkillData_Names,0)+1,MATCH("EffectType3",SkillData_Header,0))</f>
        <v>0</v>
      </c>
      <c r="G31" s="85" t="n">
        <f aca="false" t="array" ref="G31:G31">INDEX(SkillData,MATCH(A31,SkillData_Names,0)+1,MATCH("EffectValue3",SkillData_Header,0))</f>
        <v>0</v>
      </c>
      <c r="H31" s="3" t="str">
        <f aca="false" t="array" ref="H31:H31">INDEX(SkillData,MATCH(A31,SkillData_Names,0)+1,MATCH("TargetType1",SkillData_Header,0))</f>
        <v>Self</v>
      </c>
      <c r="I31" s="3" t="n">
        <f aca="false">INDEX(SkillData,MATCH(A31,SkillData_Names,0)+1,MATCH("TargetType2",SkillData_Header,0))</f>
        <v>0</v>
      </c>
      <c r="J31" s="3" t="n">
        <f aca="false">INDEX(SkillData,MATCH(A31,SkillData_Names,0)+1,MATCH("TargetType3",SkillData_Header,0))</f>
        <v>0</v>
      </c>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row>
    <row r="32" customFormat="false" ht="15.75" hidden="false" customHeight="false" outlineLevel="0" collapsed="false">
      <c r="A32" s="3" t="s">
        <v>2235</v>
      </c>
      <c r="B32" s="3" t="str">
        <f aca="false" t="array" ref="B32:B32">INDEX(SkillData,MATCH(A32,SkillData_Names,0)+1,MATCH("EffectType1",SkillData_Header,0))</f>
        <v>ElementResist_Ice</v>
      </c>
      <c r="C32" s="85" t="n">
        <f aca="false" t="array" ref="C32:C32">INDEX(SkillData,MATCH(A32,SkillData_Names,0)+1,MATCH("EffectValue1",SkillData_Header,0))</f>
        <v>10</v>
      </c>
      <c r="D32" s="3" t="n">
        <f aca="false">INDEX(SkillData,MATCH(A32,SkillData_Names,0)+1,MATCH("EffectType2",SkillData_Header,0))</f>
        <v>0</v>
      </c>
      <c r="E32" s="85" t="n">
        <f aca="false" t="array" ref="E32:E32">INDEX(SkillData,MATCH(A32,SkillData_Names,0)+1,MATCH("EffectValue2",SkillData_Header,0))</f>
        <v>0</v>
      </c>
      <c r="F32" s="3" t="n">
        <f aca="false">INDEX(SkillData,MATCH(A32,SkillData_Names,0)+1,MATCH("EffectType3",SkillData_Header,0))</f>
        <v>0</v>
      </c>
      <c r="G32" s="85" t="n">
        <f aca="false" t="array" ref="G32:G32">INDEX(SkillData,MATCH(A32,SkillData_Names,0)+1,MATCH("EffectValue3",SkillData_Header,0))</f>
        <v>0</v>
      </c>
      <c r="H32" s="3" t="str">
        <f aca="false" t="array" ref="H32:H32">INDEX(SkillData,MATCH(A32,SkillData_Names,0)+1,MATCH("TargetType1",SkillData_Header,0))</f>
        <v>Self</v>
      </c>
      <c r="I32" s="3" t="n">
        <f aca="false">INDEX(SkillData,MATCH(A32,SkillData_Names,0)+1,MATCH("TargetType2",SkillData_Header,0))</f>
        <v>0</v>
      </c>
      <c r="J32" s="3" t="n">
        <f aca="false">INDEX(SkillData,MATCH(A32,SkillData_Names,0)+1,MATCH("TargetType3",SkillData_Header,0))</f>
        <v>0</v>
      </c>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row>
    <row r="33" customFormat="false" ht="15.75" hidden="false" customHeight="false" outlineLevel="0" collapsed="false">
      <c r="A33" s="3" t="s">
        <v>2130</v>
      </c>
      <c r="B33" s="3" t="str">
        <f aca="false" t="array" ref="B33:B33">INDEX(SkillData,MATCH(A33,SkillData_Names,0)+1,MATCH("EffectType1",SkillData_Header,0))</f>
        <v>ShotAttack</v>
      </c>
      <c r="C33" s="85" t="n">
        <f aca="false" t="array" ref="C33:C33">INDEX(SkillData,MATCH(A33,SkillData_Names,0)+1,MATCH("EffectValue1",SkillData_Header,0))</f>
        <v>15</v>
      </c>
      <c r="D33" s="3" t="str">
        <f aca="false" t="array" ref="D33:D33">INDEX(SkillData,MATCH(A33,SkillData_Names,0)+1,MATCH("EffectType2",SkillData_Header,0))</f>
        <v>CraftSpeed</v>
      </c>
      <c r="E33" s="85" t="n">
        <f aca="false" t="array" ref="E33:E33">INDEX(SkillData,MATCH(A33,SkillData_Names,0)+1,MATCH("EffectValue2",SkillData_Header,0))</f>
        <v>-10</v>
      </c>
      <c r="F33" s="3" t="n">
        <f aca="false">INDEX(SkillData,MATCH(A33,SkillData_Names,0)+1,MATCH("EffectType3",SkillData_Header,0))</f>
        <v>0</v>
      </c>
      <c r="G33" s="85" t="n">
        <f aca="false" t="array" ref="G33:G33">INDEX(SkillData,MATCH(A33,SkillData_Names,0)+1,MATCH("EffectValue3",SkillData_Header,0))</f>
        <v>0</v>
      </c>
      <c r="H33" s="3" t="str">
        <f aca="false" t="array" ref="H33:H33">INDEX(SkillData,MATCH(A33,SkillData_Names,0)+1,MATCH("TargetType1",SkillData_Header,0))</f>
        <v>Self</v>
      </c>
      <c r="I33" s="3" t="str">
        <f aca="false" t="array" ref="I33:I33">INDEX(SkillData,MATCH(A33,SkillData_Names,0)+1,MATCH("TargetType2",SkillData_Header,0))</f>
        <v>Self</v>
      </c>
      <c r="J33" s="3" t="n">
        <f aca="false">INDEX(SkillData,MATCH(A33,SkillData_Names,0)+1,MATCH("TargetType3",SkillData_Header,0))</f>
        <v>0</v>
      </c>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row>
    <row r="34" customFormat="false" ht="15.75" hidden="false" customHeight="false" outlineLevel="0" collapsed="false">
      <c r="A34" s="3" t="s">
        <v>2255</v>
      </c>
      <c r="B34" s="3" t="str">
        <f aca="false" t="array" ref="B34:B34">INDEX(SkillData,MATCH(A34,SkillData_Names,0)+1,MATCH("EffectType1",SkillData_Header,0))</f>
        <v>ElementBoost_Water</v>
      </c>
      <c r="C34" s="85" t="n">
        <f aca="false" t="array" ref="C34:C34">INDEX(SkillData,MATCH(A34,SkillData_Names,0)+1,MATCH("EffectValue1",SkillData_Header,0))</f>
        <v>10</v>
      </c>
      <c r="D34" s="3" t="n">
        <f aca="false">INDEX(SkillData,MATCH(A34,SkillData_Names,0)+1,MATCH("EffectType2",SkillData_Header,0))</f>
        <v>0</v>
      </c>
      <c r="E34" s="85" t="n">
        <f aca="false" t="array" ref="E34:E34">INDEX(SkillData,MATCH(A34,SkillData_Names,0)+1,MATCH("EffectValue2",SkillData_Header,0))</f>
        <v>0</v>
      </c>
      <c r="F34" s="3" t="n">
        <f aca="false">INDEX(SkillData,MATCH(A34,SkillData_Names,0)+1,MATCH("EffectType3",SkillData_Header,0))</f>
        <v>0</v>
      </c>
      <c r="G34" s="85" t="n">
        <f aca="false" t="array" ref="G34:G34">INDEX(SkillData,MATCH(A34,SkillData_Names,0)+1,MATCH("EffectValue3",SkillData_Header,0))</f>
        <v>0</v>
      </c>
      <c r="H34" s="3" t="str">
        <f aca="false" t="array" ref="H34:H34">INDEX(SkillData,MATCH(A34,SkillData_Names,0)+1,MATCH("TargetType1",SkillData_Header,0))</f>
        <v>Self</v>
      </c>
      <c r="I34" s="3" t="n">
        <f aca="false">INDEX(SkillData,MATCH(A34,SkillData_Names,0)+1,MATCH("TargetType2",SkillData_Header,0))</f>
        <v>0</v>
      </c>
      <c r="J34" s="3" t="n">
        <f aca="false">INDEX(SkillData,MATCH(A34,SkillData_Names,0)+1,MATCH("TargetType3",SkillData_Header,0))</f>
        <v>0</v>
      </c>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row>
    <row r="35" customFormat="false" ht="15.75" hidden="false" customHeight="false" outlineLevel="0" collapsed="false">
      <c r="A35" s="3" t="s">
        <v>2313</v>
      </c>
      <c r="B35" s="3" t="str">
        <f aca="false" t="array" ref="B35:B35">INDEX(SkillData,MATCH(A35,SkillData_Names,0)+1,MATCH("EffectType1",SkillData_Header,0))</f>
        <v>ElementBoost_Ice</v>
      </c>
      <c r="C35" s="85" t="n">
        <f aca="false" t="array" ref="C35:C35">INDEX(SkillData,MATCH(A35,SkillData_Names,0)+1,MATCH("EffectValue1",SkillData_Header,0))</f>
        <v>20</v>
      </c>
      <c r="D35" s="3" t="n">
        <f aca="false">INDEX(SkillData,MATCH(A35,SkillData_Names,0)+1,MATCH("EffectType2",SkillData_Header,0))</f>
        <v>0</v>
      </c>
      <c r="E35" s="85" t="n">
        <f aca="false" t="array" ref="E35:E35">INDEX(SkillData,MATCH(A35,SkillData_Names,0)+1,MATCH("EffectValue2",SkillData_Header,0))</f>
        <v>0</v>
      </c>
      <c r="F35" s="3" t="n">
        <f aca="false">INDEX(SkillData,MATCH(A35,SkillData_Names,0)+1,MATCH("EffectType3",SkillData_Header,0))</f>
        <v>0</v>
      </c>
      <c r="G35" s="85" t="n">
        <f aca="false" t="array" ref="G35:G35">INDEX(SkillData,MATCH(A35,SkillData_Names,0)+1,MATCH("EffectValue3",SkillData_Header,0))</f>
        <v>0</v>
      </c>
      <c r="H35" s="3" t="str">
        <f aca="false" t="array" ref="H35:H35">INDEX(SkillData,MATCH(A35,SkillData_Names,0)+1,MATCH("TargetType1",SkillData_Header,0))</f>
        <v>Self</v>
      </c>
      <c r="I35" s="3" t="n">
        <f aca="false">INDEX(SkillData,MATCH(A35,SkillData_Names,0)+1,MATCH("TargetType2",SkillData_Header,0))</f>
        <v>0</v>
      </c>
      <c r="J35" s="3" t="n">
        <f aca="false">INDEX(SkillData,MATCH(A35,SkillData_Names,0)+1,MATCH("TargetType3",SkillData_Header,0))</f>
        <v>0</v>
      </c>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row>
    <row r="36" customFormat="false" ht="15.75" hidden="false" customHeight="false" outlineLevel="0" collapsed="false">
      <c r="A36" s="3" t="s">
        <v>2229</v>
      </c>
      <c r="B36" s="3" t="str">
        <f aca="false" t="array" ref="B36:B36">INDEX(SkillData,MATCH(A36,SkillData_Names,0)+1,MATCH("EffectType1",SkillData_Header,0))</f>
        <v>ElementResist_Electricity</v>
      </c>
      <c r="C36" s="85" t="n">
        <f aca="false" t="array" ref="C36:C36">INDEX(SkillData,MATCH(A36,SkillData_Names,0)+1,MATCH("EffectValue1",SkillData_Header,0))</f>
        <v>10</v>
      </c>
      <c r="D36" s="3" t="n">
        <f aca="false">INDEX(SkillData,MATCH(A36,SkillData_Names,0)+1,MATCH("EffectType2",SkillData_Header,0))</f>
        <v>0</v>
      </c>
      <c r="E36" s="85" t="n">
        <f aca="false" t="array" ref="E36:E36">INDEX(SkillData,MATCH(A36,SkillData_Names,0)+1,MATCH("EffectValue2",SkillData_Header,0))</f>
        <v>0</v>
      </c>
      <c r="F36" s="3" t="n">
        <f aca="false">INDEX(SkillData,MATCH(A36,SkillData_Names,0)+1,MATCH("EffectType3",SkillData_Header,0))</f>
        <v>0</v>
      </c>
      <c r="G36" s="85" t="n">
        <f aca="false" t="array" ref="G36:G36">INDEX(SkillData,MATCH(A36,SkillData_Names,0)+1,MATCH("EffectValue3",SkillData_Header,0))</f>
        <v>0</v>
      </c>
      <c r="H36" s="3" t="str">
        <f aca="false" t="array" ref="H36:H36">INDEX(SkillData,MATCH(A36,SkillData_Names,0)+1,MATCH("TargetType1",SkillData_Header,0))</f>
        <v>Self</v>
      </c>
      <c r="I36" s="3" t="n">
        <f aca="false">INDEX(SkillData,MATCH(A36,SkillData_Names,0)+1,MATCH("TargetType2",SkillData_Header,0))</f>
        <v>0</v>
      </c>
      <c r="J36" s="3" t="n">
        <f aca="false">INDEX(SkillData,MATCH(A36,SkillData_Names,0)+1,MATCH("TargetType3",SkillData_Header,0))</f>
        <v>0</v>
      </c>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row>
    <row r="37" customFormat="false" ht="15.75" hidden="false" customHeight="false" outlineLevel="0" collapsed="false">
      <c r="A37" s="3" t="s">
        <v>1006</v>
      </c>
      <c r="B37" s="3" t="str">
        <f aca="false" t="array" ref="B37:B37">INDEX(SkillData,MATCH(A37,SkillData_Names,0)+1,MATCH("EffectType1",SkillData_Header,0))</f>
        <v>ShotAttack</v>
      </c>
      <c r="C37" s="85" t="n">
        <f aca="false" t="array" ref="C37:C37">INDEX(SkillData,MATCH(A37,SkillData_Names,0)+1,MATCH("EffectValue1",SkillData_Header,0))</f>
        <v>20</v>
      </c>
      <c r="D37" s="3" t="str">
        <f aca="false" t="array" ref="D37:D37">INDEX(SkillData,MATCH(A37,SkillData_Names,0)+1,MATCH("EffectType2",SkillData_Header,0))</f>
        <v>Defense</v>
      </c>
      <c r="E37" s="85" t="n">
        <f aca="false" t="array" ref="E37:E37">INDEX(SkillData,MATCH(A37,SkillData_Names,0)+1,MATCH("EffectValue2",SkillData_Header,0))</f>
        <v>20</v>
      </c>
      <c r="F37" s="3" t="str">
        <f aca="false" t="array" ref="F37:F37">INDEX(SkillData,MATCH(A37,SkillData_Names,0)+1,MATCH("EffectType3",SkillData_Header,0))</f>
        <v>MoveSpeed</v>
      </c>
      <c r="G37" s="85" t="n">
        <f aca="false" t="array" ref="G37:G37">INDEX(SkillData,MATCH(A37,SkillData_Names,0)+1,MATCH("EffectValue3",SkillData_Header,0))</f>
        <v>15</v>
      </c>
      <c r="H37" s="3" t="str">
        <f aca="false" t="array" ref="H37:H37">INDEX(SkillData,MATCH(A37,SkillData_Names,0)+1,MATCH("TargetType1",SkillData_Header,0))</f>
        <v>Self</v>
      </c>
      <c r="I37" s="3" t="str">
        <f aca="false" t="array" ref="I37:I37">INDEX(SkillData,MATCH(A37,SkillData_Names,0)+1,MATCH("TargetType2",SkillData_Header,0))</f>
        <v>Self</v>
      </c>
      <c r="J37" s="3" t="str">
        <f aca="false" t="array" ref="J37:J37">INDEX(SkillData,MATCH(A37,SkillData_Names,0)+1,MATCH("TargetType3",SkillData_Header,0))</f>
        <v>Self</v>
      </c>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row>
    <row r="38" customFormat="false" ht="15.75" hidden="false" customHeight="false" outlineLevel="0" collapsed="false">
      <c r="A38" s="3" t="s">
        <v>2218</v>
      </c>
      <c r="B38" s="3" t="str">
        <f aca="false" t="array" ref="B38:B38">INDEX(SkillData,MATCH(A38,SkillData_Names,0)+1,MATCH("EffectType1",SkillData_Header,0))</f>
        <v>Logging</v>
      </c>
      <c r="C38" s="85" t="n">
        <f aca="false" t="array" ref="C38:C38">INDEX(SkillData,MATCH(A38,SkillData_Names,0)+1,MATCH("EffectValue1",SkillData_Header,0))</f>
        <v>25</v>
      </c>
      <c r="D38" s="3" t="n">
        <f aca="false">INDEX(SkillData,MATCH(A38,SkillData_Names,0)+1,MATCH("EffectType2",SkillData_Header,0))</f>
        <v>0</v>
      </c>
      <c r="E38" s="85" t="n">
        <f aca="false" t="array" ref="E38:E38">INDEX(SkillData,MATCH(A38,SkillData_Names,0)+1,MATCH("EffectValue2",SkillData_Header,0))</f>
        <v>0</v>
      </c>
      <c r="F38" s="3" t="n">
        <f aca="false">INDEX(SkillData,MATCH(A38,SkillData_Names,0)+1,MATCH("EffectType3",SkillData_Header,0))</f>
        <v>0</v>
      </c>
      <c r="G38" s="85" t="n">
        <f aca="false" t="array" ref="G38:G38">INDEX(SkillData,MATCH(A38,SkillData_Names,0)+1,MATCH("EffectValue3",SkillData_Header,0))</f>
        <v>0</v>
      </c>
      <c r="H38" s="3" t="str">
        <f aca="false" t="array" ref="H38:H38">INDEX(SkillData,MATCH(A38,SkillData_Names,0)+1,MATCH("TargetType1",SkillData_Header,0))</f>
        <v>Trainer</v>
      </c>
      <c r="I38" s="3" t="n">
        <f aca="false">INDEX(SkillData,MATCH(A38,SkillData_Names,0)+1,MATCH("TargetType2",SkillData_Header,0))</f>
        <v>0</v>
      </c>
      <c r="J38" s="3" t="n">
        <f aca="false">INDEX(SkillData,MATCH(A38,SkillData_Names,0)+1,MATCH("TargetType3",SkillData_Header,0))</f>
        <v>0</v>
      </c>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row>
    <row r="39" customFormat="false" ht="15.75" hidden="false" customHeight="false" outlineLevel="0" collapsed="false">
      <c r="A39" s="3" t="s">
        <v>2311</v>
      </c>
      <c r="B39" s="3" t="str">
        <f aca="false" t="array" ref="B39:B39">INDEX(SkillData,MATCH(A39,SkillData_Names,0)+1,MATCH("EffectType1",SkillData_Header,0))</f>
        <v>ElementBoost_Electricity</v>
      </c>
      <c r="C39" s="85" t="n">
        <f aca="false" t="array" ref="C39:C39">INDEX(SkillData,MATCH(A39,SkillData_Names,0)+1,MATCH("EffectValue1",SkillData_Header,0))</f>
        <v>20</v>
      </c>
      <c r="D39" s="3" t="n">
        <f aca="false">INDEX(SkillData,MATCH(A39,SkillData_Names,0)+1,MATCH("EffectType2",SkillData_Header,0))</f>
        <v>0</v>
      </c>
      <c r="E39" s="85" t="n">
        <f aca="false" t="array" ref="E39:E39">INDEX(SkillData,MATCH(A39,SkillData_Names,0)+1,MATCH("EffectValue2",SkillData_Header,0))</f>
        <v>0</v>
      </c>
      <c r="F39" s="3" t="n">
        <f aca="false">INDEX(SkillData,MATCH(A39,SkillData_Names,0)+1,MATCH("EffectType3",SkillData_Header,0))</f>
        <v>0</v>
      </c>
      <c r="G39" s="85" t="n">
        <f aca="false" t="array" ref="G39:G39">INDEX(SkillData,MATCH(A39,SkillData_Names,0)+1,MATCH("EffectValue3",SkillData_Header,0))</f>
        <v>0</v>
      </c>
      <c r="H39" s="3" t="str">
        <f aca="false" t="array" ref="H39:H39">INDEX(SkillData,MATCH(A39,SkillData_Names,0)+1,MATCH("TargetType1",SkillData_Header,0))</f>
        <v>Self</v>
      </c>
      <c r="I39" s="3" t="n">
        <f aca="false">INDEX(SkillData,MATCH(A39,SkillData_Names,0)+1,MATCH("TargetType2",SkillData_Header,0))</f>
        <v>0</v>
      </c>
      <c r="J39" s="3" t="n">
        <f aca="false">INDEX(SkillData,MATCH(A39,SkillData_Names,0)+1,MATCH("TargetType3",SkillData_Header,0))</f>
        <v>0</v>
      </c>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row>
    <row r="40" customFormat="false" ht="15.75" hidden="false" customHeight="false" outlineLevel="0" collapsed="false">
      <c r="A40" s="3" t="s">
        <v>2310</v>
      </c>
      <c r="B40" s="3" t="str">
        <f aca="false" t="array" ref="B40:B40">INDEX(SkillData,MATCH(A40,SkillData_Names,0)+1,MATCH("EffectType1",SkillData_Header,0))</f>
        <v>ElementBoost_Water</v>
      </c>
      <c r="C40" s="85" t="n">
        <f aca="false" t="array" ref="C40:C40">INDEX(SkillData,MATCH(A40,SkillData_Names,0)+1,MATCH("EffectValue1",SkillData_Header,0))</f>
        <v>20</v>
      </c>
      <c r="D40" s="3" t="n">
        <f aca="false">INDEX(SkillData,MATCH(A40,SkillData_Names,0)+1,MATCH("EffectType2",SkillData_Header,0))</f>
        <v>0</v>
      </c>
      <c r="E40" s="85" t="n">
        <f aca="false" t="array" ref="E40:E40">INDEX(SkillData,MATCH(A40,SkillData_Names,0)+1,MATCH("EffectValue2",SkillData_Header,0))</f>
        <v>0</v>
      </c>
      <c r="F40" s="3" t="n">
        <f aca="false">INDEX(SkillData,MATCH(A40,SkillData_Names,0)+1,MATCH("EffectType3",SkillData_Header,0))</f>
        <v>0</v>
      </c>
      <c r="G40" s="85" t="n">
        <f aca="false" t="array" ref="G40:G40">INDEX(SkillData,MATCH(A40,SkillData_Names,0)+1,MATCH("EffectValue3",SkillData_Header,0))</f>
        <v>0</v>
      </c>
      <c r="H40" s="3" t="str">
        <f aca="false" t="array" ref="H40:H40">INDEX(SkillData,MATCH(A40,SkillData_Names,0)+1,MATCH("TargetType1",SkillData_Header,0))</f>
        <v>Self</v>
      </c>
      <c r="I40" s="3" t="n">
        <f aca="false">INDEX(SkillData,MATCH(A40,SkillData_Names,0)+1,MATCH("TargetType2",SkillData_Header,0))</f>
        <v>0</v>
      </c>
      <c r="J40" s="3" t="n">
        <f aca="false">INDEX(SkillData,MATCH(A40,SkillData_Names,0)+1,MATCH("TargetType3",SkillData_Header,0))</f>
        <v>0</v>
      </c>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row>
    <row r="41" customFormat="false" ht="15.75" hidden="false" customHeight="false" outlineLevel="0" collapsed="false">
      <c r="A41" s="3" t="s">
        <v>2315</v>
      </c>
      <c r="B41" s="3" t="str">
        <f aca="false" t="array" ref="B41:B41">INDEX(SkillData,MATCH(A41,SkillData_Names,0)+1,MATCH("EffectType1",SkillData_Header,0))</f>
        <v>ElementBoost_Dark</v>
      </c>
      <c r="C41" s="85" t="n">
        <f aca="false" t="array" ref="C41:C41">INDEX(SkillData,MATCH(A41,SkillData_Names,0)+1,MATCH("EffectValue1",SkillData_Header,0))</f>
        <v>20</v>
      </c>
      <c r="D41" s="3" t="n">
        <f aca="false">INDEX(SkillData,MATCH(A41,SkillData_Names,0)+1,MATCH("EffectType2",SkillData_Header,0))</f>
        <v>0</v>
      </c>
      <c r="E41" s="85" t="n">
        <f aca="false" t="array" ref="E41:E41">INDEX(SkillData,MATCH(A41,SkillData_Names,0)+1,MATCH("EffectValue2",SkillData_Header,0))</f>
        <v>0</v>
      </c>
      <c r="F41" s="3" t="n">
        <f aca="false">INDEX(SkillData,MATCH(A41,SkillData_Names,0)+1,MATCH("EffectType3",SkillData_Header,0))</f>
        <v>0</v>
      </c>
      <c r="G41" s="85" t="n">
        <f aca="false" t="array" ref="G41:G41">INDEX(SkillData,MATCH(A41,SkillData_Names,0)+1,MATCH("EffectValue3",SkillData_Header,0))</f>
        <v>0</v>
      </c>
      <c r="H41" s="3" t="str">
        <f aca="false" t="array" ref="H41:H41">INDEX(SkillData,MATCH(A41,SkillData_Names,0)+1,MATCH("TargetType1",SkillData_Header,0))</f>
        <v>Self</v>
      </c>
      <c r="I41" s="3" t="n">
        <f aca="false">INDEX(SkillData,MATCH(A41,SkillData_Names,0)+1,MATCH("TargetType2",SkillData_Header,0))</f>
        <v>0</v>
      </c>
      <c r="J41" s="3" t="n">
        <f aca="false">INDEX(SkillData,MATCH(A41,SkillData_Names,0)+1,MATCH("TargetType3",SkillData_Header,0))</f>
        <v>0</v>
      </c>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row>
    <row r="42" customFormat="false" ht="15.75" hidden="false" customHeight="false" outlineLevel="0" collapsed="false">
      <c r="A42" s="3" t="s">
        <v>2112</v>
      </c>
      <c r="B42" s="3" t="str">
        <f aca="false" t="array" ref="B42:B42">INDEX(SkillData,MATCH(A42,SkillData_Names,0)+1,MATCH("EffectType1",SkillData_Header,0))</f>
        <v>CraftSpeed</v>
      </c>
      <c r="C42" s="85" t="n">
        <f aca="false" t="array" ref="C42:C42">INDEX(SkillData,MATCH(A42,SkillData_Names,0)+1,MATCH("EffectValue1",SkillData_Header,0))</f>
        <v>15</v>
      </c>
      <c r="D42" s="3" t="str">
        <f aca="false" t="array" ref="D42:D42">INDEX(SkillData,MATCH(A42,SkillData_Names,0)+1,MATCH("EffectType2",SkillData_Header,0))</f>
        <v>ShotAttack</v>
      </c>
      <c r="E42" s="85" t="n">
        <f aca="false" t="array" ref="E42:E42">INDEX(SkillData,MATCH(A42,SkillData_Names,0)+1,MATCH("EffectValue2",SkillData_Header,0))</f>
        <v>15</v>
      </c>
      <c r="F42" s="3" t="n">
        <f aca="false">INDEX(SkillData,MATCH(A42,SkillData_Names,0)+1,MATCH("EffectType3",SkillData_Header,0))</f>
        <v>0</v>
      </c>
      <c r="G42" s="85" t="n">
        <f aca="false" t="array" ref="G42:G42">INDEX(SkillData,MATCH(A42,SkillData_Names,0)+1,MATCH("EffectValue3",SkillData_Header,0))</f>
        <v>0</v>
      </c>
      <c r="H42" s="3" t="str">
        <f aca="false" t="array" ref="H42:H42">INDEX(SkillData,MATCH(A42,SkillData_Names,0)+1,MATCH("TargetType1",SkillData_Header,0))</f>
        <v>Self</v>
      </c>
      <c r="I42" s="3" t="str">
        <f aca="false" t="array" ref="I42:I42">INDEX(SkillData,MATCH(A42,SkillData_Names,0)+1,MATCH("TargetType2",SkillData_Header,0))</f>
        <v>Self</v>
      </c>
      <c r="J42" s="3" t="n">
        <f aca="false">INDEX(SkillData,MATCH(A42,SkillData_Names,0)+1,MATCH("TargetType3",SkillData_Header,0))</f>
        <v>0</v>
      </c>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row>
    <row r="43" customFormat="false" ht="15.75" hidden="false" customHeight="false" outlineLevel="0" collapsed="false">
      <c r="A43" s="3" t="s">
        <v>2137</v>
      </c>
      <c r="B43" s="3" t="str">
        <f aca="false" t="array" ref="B43:B43">INDEX(SkillData,MATCH(A43,SkillData_Names,0)+1,MATCH("EffectType1",SkillData_Header,0))</f>
        <v>Defense</v>
      </c>
      <c r="C43" s="85" t="n">
        <f aca="false" t="array" ref="C43:C43">INDEX(SkillData,MATCH(A43,SkillData_Names,0)+1,MATCH("EffectValue1",SkillData_Header,0))</f>
        <v>15</v>
      </c>
      <c r="D43" s="3" t="str">
        <f aca="false" t="array" ref="D43:D43">INDEX(SkillData,MATCH(A43,SkillData_Names,0)+1,MATCH("EffectType2",SkillData_Header,0))</f>
        <v>ShotAttack</v>
      </c>
      <c r="E43" s="85" t="n">
        <f aca="false" t="array" ref="E43:E43">INDEX(SkillData,MATCH(A43,SkillData_Names,0)+1,MATCH("EffectValue2",SkillData_Header,0))</f>
        <v>-15</v>
      </c>
      <c r="F43" s="3" t="n">
        <f aca="false">INDEX(SkillData,MATCH(A43,SkillData_Names,0)+1,MATCH("EffectType3",SkillData_Header,0))</f>
        <v>0</v>
      </c>
      <c r="G43" s="85" t="n">
        <f aca="false" t="array" ref="G43:G43">INDEX(SkillData,MATCH(A43,SkillData_Names,0)+1,MATCH("EffectValue3",SkillData_Header,0))</f>
        <v>0</v>
      </c>
      <c r="H43" s="3" t="str">
        <f aca="false" t="array" ref="H43:H43">INDEX(SkillData,MATCH(A43,SkillData_Names,0)+1,MATCH("TargetType1",SkillData_Header,0))</f>
        <v>Self</v>
      </c>
      <c r="I43" s="3" t="str">
        <f aca="false" t="array" ref="I43:I43">INDEX(SkillData,MATCH(A43,SkillData_Names,0)+1,MATCH("TargetType2",SkillData_Header,0))</f>
        <v>Self</v>
      </c>
      <c r="J43" s="3" t="n">
        <f aca="false">INDEX(SkillData,MATCH(A43,SkillData_Names,0)+1,MATCH("TargetType3",SkillData_Header,0))</f>
        <v>0</v>
      </c>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row>
    <row r="44" customFormat="false" ht="15.75" hidden="false" customHeight="false" outlineLevel="0" collapsed="false">
      <c r="A44" s="3" t="s">
        <v>2133</v>
      </c>
      <c r="B44" s="3" t="str">
        <f aca="false" t="array" ref="B44:B44">INDEX(SkillData,MATCH(A44,SkillData_Names,0)+1,MATCH("EffectType1",SkillData_Header,0))</f>
        <v>CraftSpeed</v>
      </c>
      <c r="C44" s="85" t="n">
        <f aca="false" t="array" ref="C44:C44">INDEX(SkillData,MATCH(A44,SkillData_Names,0)+1,MATCH("EffectValue1",SkillData_Header,0))</f>
        <v>-10</v>
      </c>
      <c r="D44" s="3" t="str">
        <f aca="false" t="array" ref="D44:D44">INDEX(SkillData,MATCH(A44,SkillData_Names,0)+1,MATCH("EffectType2",SkillData_Header,0))</f>
        <v>Defense</v>
      </c>
      <c r="E44" s="85" t="n">
        <f aca="false" t="array" ref="E44:E44">INDEX(SkillData,MATCH(A44,SkillData_Names,0)+1,MATCH("EffectValue2",SkillData_Header,0))</f>
        <v>-10</v>
      </c>
      <c r="F44" s="3" t="n">
        <f aca="false">INDEX(SkillData,MATCH(A44,SkillData_Names,0)+1,MATCH("EffectType3",SkillData_Header,0))</f>
        <v>0</v>
      </c>
      <c r="G44" s="85" t="n">
        <f aca="false" t="array" ref="G44:G44">INDEX(SkillData,MATCH(A44,SkillData_Names,0)+1,MATCH("EffectValue3",SkillData_Header,0))</f>
        <v>0</v>
      </c>
      <c r="H44" s="3" t="str">
        <f aca="false" t="array" ref="H44:H44">INDEX(SkillData,MATCH(A44,SkillData_Names,0)+1,MATCH("TargetType1",SkillData_Header,0))</f>
        <v>Self</v>
      </c>
      <c r="I44" s="3" t="str">
        <f aca="false" t="array" ref="I44:I44">INDEX(SkillData,MATCH(A44,SkillData_Names,0)+1,MATCH("TargetType2",SkillData_Header,0))</f>
        <v>Self</v>
      </c>
      <c r="J44" s="3" t="n">
        <f aca="false">INDEX(SkillData,MATCH(A44,SkillData_Names,0)+1,MATCH("TargetType3",SkillData_Header,0))</f>
        <v>0</v>
      </c>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row>
    <row r="45" customFormat="false" ht="15.75" hidden="false" customHeight="false" outlineLevel="0" collapsed="false">
      <c r="A45" s="3" t="s">
        <v>2215</v>
      </c>
      <c r="B45" s="3" t="str">
        <f aca="false" t="array" ref="B45:B45">INDEX(SkillData,MATCH(A45,SkillData_Names,0)+1,MATCH("EffectType1",SkillData_Header,0))</f>
        <v>Mining</v>
      </c>
      <c r="C45" s="85" t="n">
        <f aca="false" t="array" ref="C45:C45">INDEX(SkillData,MATCH(A45,SkillData_Names,0)+1,MATCH("EffectValue1",SkillData_Header,0))</f>
        <v>25</v>
      </c>
      <c r="D45" s="3" t="n">
        <f aca="false">INDEX(SkillData,MATCH(A45,SkillData_Names,0)+1,MATCH("EffectType2",SkillData_Header,0))</f>
        <v>0</v>
      </c>
      <c r="E45" s="85" t="n">
        <f aca="false" t="array" ref="E45:E45">INDEX(SkillData,MATCH(A45,SkillData_Names,0)+1,MATCH("EffectValue2",SkillData_Header,0))</f>
        <v>0</v>
      </c>
      <c r="F45" s="3" t="n">
        <f aca="false">INDEX(SkillData,MATCH(A45,SkillData_Names,0)+1,MATCH("EffectType3",SkillData_Header,0))</f>
        <v>0</v>
      </c>
      <c r="G45" s="85" t="n">
        <f aca="false" t="array" ref="G45:G45">INDEX(SkillData,MATCH(A45,SkillData_Names,0)+1,MATCH("EffectValue3",SkillData_Header,0))</f>
        <v>0</v>
      </c>
      <c r="H45" s="3" t="str">
        <f aca="false" t="array" ref="H45:H45">INDEX(SkillData,MATCH(A45,SkillData_Names,0)+1,MATCH("TargetType1",SkillData_Header,0))</f>
        <v>Trainer</v>
      </c>
      <c r="I45" s="3" t="n">
        <f aca="false">INDEX(SkillData,MATCH(A45,SkillData_Names,0)+1,MATCH("TargetType2",SkillData_Header,0))</f>
        <v>0</v>
      </c>
      <c r="J45" s="3" t="n">
        <f aca="false">INDEX(SkillData,MATCH(A45,SkillData_Names,0)+1,MATCH("TargetType3",SkillData_Header,0))</f>
        <v>0</v>
      </c>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row>
    <row r="46" customFormat="false" ht="15.75" hidden="false" customHeight="false" outlineLevel="0" collapsed="false">
      <c r="A46" s="3" t="s">
        <v>2212</v>
      </c>
      <c r="B46" s="3" t="str">
        <f aca="false" t="array" ref="B46:B46">INDEX(SkillData,MATCH(A46,SkillData_Names,0)+1,MATCH("EffectType1",SkillData_Header,0))</f>
        <v>CraftSpeed</v>
      </c>
      <c r="C46" s="85" t="n">
        <f aca="false" t="array" ref="C46:C46">INDEX(SkillData,MATCH(A46,SkillData_Names,0)+1,MATCH("EffectValue1",SkillData_Header,0))</f>
        <v>25</v>
      </c>
      <c r="D46" s="3" t="n">
        <f aca="false">INDEX(SkillData,MATCH(A46,SkillData_Names,0)+1,MATCH("EffectType2",SkillData_Header,0))</f>
        <v>0</v>
      </c>
      <c r="E46" s="85" t="n">
        <f aca="false" t="array" ref="E46:E46">INDEX(SkillData,MATCH(A46,SkillData_Names,0)+1,MATCH("EffectValue2",SkillData_Header,0))</f>
        <v>0</v>
      </c>
      <c r="F46" s="3" t="n">
        <f aca="false">INDEX(SkillData,MATCH(A46,SkillData_Names,0)+1,MATCH("EffectType3",SkillData_Header,0))</f>
        <v>0</v>
      </c>
      <c r="G46" s="85" t="n">
        <f aca="false" t="array" ref="G46:G46">INDEX(SkillData,MATCH(A46,SkillData_Names,0)+1,MATCH("EffectValue3",SkillData_Header,0))</f>
        <v>0</v>
      </c>
      <c r="H46" s="3" t="str">
        <f aca="false" t="array" ref="H46:H46">INDEX(SkillData,MATCH(A46,SkillData_Names,0)+1,MATCH("TargetType1",SkillData_Header,0))</f>
        <v>Trainer</v>
      </c>
      <c r="I46" s="3" t="n">
        <f aca="false">INDEX(SkillData,MATCH(A46,SkillData_Names,0)+1,MATCH("TargetType2",SkillData_Header,0))</f>
        <v>0</v>
      </c>
      <c r="J46" s="3" t="n">
        <f aca="false">INDEX(SkillData,MATCH(A46,SkillData_Names,0)+1,MATCH("TargetType3",SkillData_Header,0))</f>
        <v>0</v>
      </c>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row>
    <row r="47" customFormat="false" ht="15.75" hidden="false" customHeight="false" outlineLevel="0" collapsed="false">
      <c r="A47" s="3" t="s">
        <v>2031</v>
      </c>
      <c r="B47" s="3" t="str">
        <f aca="false" t="array" ref="B47:B47">INDEX(SkillData,MATCH(A47,SkillData_Names,0)+1,MATCH("EffectType1",SkillData_Header,0))</f>
        <v>ShotAttack</v>
      </c>
      <c r="C47" s="85" t="n">
        <f aca="false" t="array" ref="C47:C47">INDEX(SkillData,MATCH(A47,SkillData_Names,0)+1,MATCH("EffectValue1",SkillData_Header,0))</f>
        <v>30</v>
      </c>
      <c r="D47" s="3" t="str">
        <f aca="false" t="array" ref="D47:D47">INDEX(SkillData,MATCH(A47,SkillData_Names,0)+1,MATCH("EffectType2",SkillData_Header,0))</f>
        <v>CraftSpeed</v>
      </c>
      <c r="E47" s="85" t="n">
        <f aca="false" t="array" ref="E47:E47">INDEX(SkillData,MATCH(A47,SkillData_Names,0)+1,MATCH("EffectValue2",SkillData_Header,0))</f>
        <v>-50</v>
      </c>
      <c r="F47" s="3" t="n">
        <f aca="false">INDEX(SkillData,MATCH(A47,SkillData_Names,0)+1,MATCH("EffectType3",SkillData_Header,0))</f>
        <v>0</v>
      </c>
      <c r="G47" s="85" t="n">
        <f aca="false" t="array" ref="G47:G47">INDEX(SkillData,MATCH(A47,SkillData_Names,0)+1,MATCH("EffectValue3",SkillData_Header,0))</f>
        <v>0</v>
      </c>
      <c r="H47" s="3" t="str">
        <f aca="false" t="array" ref="H47:H47">INDEX(SkillData,MATCH(A47,SkillData_Names,0)+1,MATCH("TargetType1",SkillData_Header,0))</f>
        <v>Self</v>
      </c>
      <c r="I47" s="3" t="str">
        <f aca="false" t="array" ref="I47:I47">INDEX(SkillData,MATCH(A47,SkillData_Names,0)+1,MATCH("TargetType2",SkillData_Header,0))</f>
        <v>Self</v>
      </c>
      <c r="J47" s="3" t="n">
        <f aca="false">INDEX(SkillData,MATCH(A47,SkillData_Names,0)+1,MATCH("TargetType3",SkillData_Header,0))</f>
        <v>0</v>
      </c>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row>
    <row r="48" customFormat="false" ht="15.75" hidden="false" customHeight="false" outlineLevel="0" collapsed="false">
      <c r="A48" s="3" t="s">
        <v>2326</v>
      </c>
      <c r="B48" s="3" t="str">
        <f aca="false" t="array" ref="B48:B48">INDEX(SkillData,MATCH(A48,SkillData_Names,0)+1,MATCH("EffectType1",SkillData_Header,0))</f>
        <v>MoveSpeed</v>
      </c>
      <c r="C48" s="85" t="n">
        <f aca="false" t="array" ref="C48:C48">INDEX(SkillData,MATCH(A48,SkillData_Names,0)+1,MATCH("EffectValue1",SkillData_Header,0))</f>
        <v>10</v>
      </c>
      <c r="D48" s="3" t="n">
        <f aca="false">INDEX(SkillData,MATCH(A48,SkillData_Names,0)+1,MATCH("EffectType2",SkillData_Header,0))</f>
        <v>0</v>
      </c>
      <c r="E48" s="85" t="n">
        <f aca="false" t="array" ref="E48:E48">INDEX(SkillData,MATCH(A48,SkillData_Names,0)+1,MATCH("EffectValue2",SkillData_Header,0))</f>
        <v>0</v>
      </c>
      <c r="F48" s="3" t="n">
        <f aca="false">INDEX(SkillData,MATCH(A48,SkillData_Names,0)+1,MATCH("EffectType3",SkillData_Header,0))</f>
        <v>0</v>
      </c>
      <c r="G48" s="85" t="n">
        <f aca="false" t="array" ref="G48:G48">INDEX(SkillData,MATCH(A48,SkillData_Names,0)+1,MATCH("EffectValue3",SkillData_Header,0))</f>
        <v>0</v>
      </c>
      <c r="H48" s="3" t="str">
        <f aca="false" t="array" ref="H48:H48">INDEX(SkillData,MATCH(A48,SkillData_Names,0)+1,MATCH("TargetType1",SkillData_Header,0))</f>
        <v>Self</v>
      </c>
      <c r="I48" s="3" t="n">
        <f aca="false">INDEX(SkillData,MATCH(A48,SkillData_Names,0)+1,MATCH("TargetType2",SkillData_Header,0))</f>
        <v>0</v>
      </c>
      <c r="J48" s="3" t="n">
        <f aca="false">INDEX(SkillData,MATCH(A48,SkillData_Names,0)+1,MATCH("TargetType3",SkillData_Header,0))</f>
        <v>0</v>
      </c>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row>
    <row r="49" customFormat="false" ht="15.75" hidden="false" customHeight="false" outlineLevel="0" collapsed="false">
      <c r="A49" s="3" t="s">
        <v>2128</v>
      </c>
      <c r="B49" s="3" t="str">
        <f aca="false" t="array" ref="B49:B49">INDEX(SkillData,MATCH(A49,SkillData_Names,0)+1,MATCH("EffectType1",SkillData_Header,0))</f>
        <v>ShotAttack</v>
      </c>
      <c r="C49" s="85" t="n">
        <f aca="false" t="array" ref="C49:C49">INDEX(SkillData,MATCH(A49,SkillData_Names,0)+1,MATCH("EffectValue1",SkillData_Header,0))</f>
        <v>-20</v>
      </c>
      <c r="D49" s="3" t="n">
        <f aca="false">INDEX(SkillData,MATCH(A49,SkillData_Names,0)+1,MATCH("EffectType2",SkillData_Header,0))</f>
        <v>0</v>
      </c>
      <c r="E49" s="85" t="n">
        <f aca="false" t="array" ref="E49:E49">INDEX(SkillData,MATCH(A49,SkillData_Names,0)+1,MATCH("EffectValue2",SkillData_Header,0))</f>
        <v>0</v>
      </c>
      <c r="F49" s="3" t="n">
        <f aca="false">INDEX(SkillData,MATCH(A49,SkillData_Names,0)+1,MATCH("EffectType3",SkillData_Header,0))</f>
        <v>0</v>
      </c>
      <c r="G49" s="85" t="n">
        <f aca="false" t="array" ref="G49:G49">INDEX(SkillData,MATCH(A49,SkillData_Names,0)+1,MATCH("EffectValue3",SkillData_Header,0))</f>
        <v>0</v>
      </c>
      <c r="H49" s="3" t="str">
        <f aca="false" t="array" ref="H49:H49">INDEX(SkillData,MATCH(A49,SkillData_Names,0)+1,MATCH("TargetType1",SkillData_Header,0))</f>
        <v>Self</v>
      </c>
      <c r="I49" s="3" t="n">
        <f aca="false">INDEX(SkillData,MATCH(A49,SkillData_Names,0)+1,MATCH("TargetType2",SkillData_Header,0))</f>
        <v>0</v>
      </c>
      <c r="J49" s="3" t="n">
        <f aca="false">INDEX(SkillData,MATCH(A49,SkillData_Names,0)+1,MATCH("TargetType3",SkillData_Header,0))</f>
        <v>0</v>
      </c>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row>
    <row r="50" customFormat="false" ht="15.75" hidden="false" customHeight="false" outlineLevel="0" collapsed="false">
      <c r="A50" s="3" t="s">
        <v>2302</v>
      </c>
      <c r="B50" s="3" t="str">
        <f aca="false" t="array" ref="B50:B50">INDEX(SkillData,MATCH(A50,SkillData_Names,0)+1,MATCH("EffectType1",SkillData_Header,0))</f>
        <v>Sanity_Decrease</v>
      </c>
      <c r="C50" s="85" t="n">
        <f aca="false" t="array" ref="C50:C50">INDEX(SkillData,MATCH(A50,SkillData_Names,0)+1,MATCH("EffectValue1",SkillData_Header,0))</f>
        <v>-10</v>
      </c>
      <c r="D50" s="3" t="n">
        <f aca="false">INDEX(SkillData,MATCH(A50,SkillData_Names,0)+1,MATCH("EffectType2",SkillData_Header,0))</f>
        <v>0</v>
      </c>
      <c r="E50" s="85" t="n">
        <f aca="false" t="array" ref="E50:E50">INDEX(SkillData,MATCH(A50,SkillData_Names,0)+1,MATCH("EffectValue2",SkillData_Header,0))</f>
        <v>0</v>
      </c>
      <c r="F50" s="3" t="n">
        <f aca="false">INDEX(SkillData,MATCH(A50,SkillData_Names,0)+1,MATCH("EffectType3",SkillData_Header,0))</f>
        <v>0</v>
      </c>
      <c r="G50" s="85" t="n">
        <f aca="false" t="array" ref="G50:G50">INDEX(SkillData,MATCH(A50,SkillData_Names,0)+1,MATCH("EffectValue3",SkillData_Header,0))</f>
        <v>0</v>
      </c>
      <c r="H50" s="3" t="str">
        <f aca="false" t="array" ref="H50:H50">INDEX(SkillData,MATCH(A50,SkillData_Names,0)+1,MATCH("TargetType1",SkillData_Header,0))</f>
        <v>Self</v>
      </c>
      <c r="I50" s="3" t="n">
        <f aca="false">INDEX(SkillData,MATCH(A50,SkillData_Names,0)+1,MATCH("TargetType2",SkillData_Header,0))</f>
        <v>0</v>
      </c>
      <c r="J50" s="3" t="n">
        <f aca="false">INDEX(SkillData,MATCH(A50,SkillData_Names,0)+1,MATCH("TargetType3",SkillData_Header,0))</f>
        <v>0</v>
      </c>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row>
    <row r="51" customFormat="false" ht="15.75" hidden="false" customHeight="false" outlineLevel="0" collapsed="false">
      <c r="A51" s="3" t="s">
        <v>2271</v>
      </c>
      <c r="B51" s="3" t="str">
        <f aca="false" t="array" ref="B51:B51">INDEX(SkillData,MATCH(A51,SkillData_Names,0)+1,MATCH("EffectType1",SkillData_Header,0))</f>
        <v>ElementBoost_Earth</v>
      </c>
      <c r="C51" s="85" t="n">
        <f aca="false" t="array" ref="C51:C51">INDEX(SkillData,MATCH(A51,SkillData_Names,0)+1,MATCH("EffectValue1",SkillData_Header,0))</f>
        <v>10</v>
      </c>
      <c r="D51" s="3" t="n">
        <f aca="false">INDEX(SkillData,MATCH(A51,SkillData_Names,0)+1,MATCH("EffectType2",SkillData_Header,0))</f>
        <v>0</v>
      </c>
      <c r="E51" s="85" t="n">
        <f aca="false" t="array" ref="E51:E51">INDEX(SkillData,MATCH(A51,SkillData_Names,0)+1,MATCH("EffectValue2",SkillData_Header,0))</f>
        <v>0</v>
      </c>
      <c r="F51" s="3" t="n">
        <f aca="false">INDEX(SkillData,MATCH(A51,SkillData_Names,0)+1,MATCH("EffectType3",SkillData_Header,0))</f>
        <v>0</v>
      </c>
      <c r="G51" s="85" t="n">
        <f aca="false" t="array" ref="G51:G51">INDEX(SkillData,MATCH(A51,SkillData_Names,0)+1,MATCH("EffectValue3",SkillData_Header,0))</f>
        <v>0</v>
      </c>
      <c r="H51" s="3" t="str">
        <f aca="false" t="array" ref="H51:H51">INDEX(SkillData,MATCH(A51,SkillData_Names,0)+1,MATCH("TargetType1",SkillData_Header,0))</f>
        <v>Self</v>
      </c>
      <c r="I51" s="3" t="n">
        <f aca="false">INDEX(SkillData,MATCH(A51,SkillData_Names,0)+1,MATCH("TargetType2",SkillData_Header,0))</f>
        <v>0</v>
      </c>
      <c r="J51" s="3" t="n">
        <f aca="false">INDEX(SkillData,MATCH(A51,SkillData_Names,0)+1,MATCH("TargetType3",SkillData_Header,0))</f>
        <v>0</v>
      </c>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row>
    <row r="52" customFormat="false" ht="15.75" hidden="false" customHeight="false" outlineLevel="0" collapsed="false">
      <c r="A52" s="3" t="s">
        <v>2251</v>
      </c>
      <c r="B52" s="3" t="str">
        <f aca="false" t="array" ref="B52:B52">INDEX(SkillData,MATCH(A52,SkillData_Names,0)+1,MATCH("EffectType1",SkillData_Header,0))</f>
        <v>ElementBoost_Fire</v>
      </c>
      <c r="C52" s="85" t="n">
        <f aca="false" t="array" ref="C52:C52">INDEX(SkillData,MATCH(A52,SkillData_Names,0)+1,MATCH("EffectValue1",SkillData_Header,0))</f>
        <v>10</v>
      </c>
      <c r="D52" s="3" t="n">
        <f aca="false">INDEX(SkillData,MATCH(A52,SkillData_Names,0)+1,MATCH("EffectType2",SkillData_Header,0))</f>
        <v>0</v>
      </c>
      <c r="E52" s="85" t="n">
        <f aca="false" t="array" ref="E52:E52">INDEX(SkillData,MATCH(A52,SkillData_Names,0)+1,MATCH("EffectValue2",SkillData_Header,0))</f>
        <v>0</v>
      </c>
      <c r="F52" s="3" t="n">
        <f aca="false">INDEX(SkillData,MATCH(A52,SkillData_Names,0)+1,MATCH("EffectType3",SkillData_Header,0))</f>
        <v>0</v>
      </c>
      <c r="G52" s="85" t="n">
        <f aca="false" t="array" ref="G52:G52">INDEX(SkillData,MATCH(A52,SkillData_Names,0)+1,MATCH("EffectValue3",SkillData_Header,0))</f>
        <v>0</v>
      </c>
      <c r="H52" s="3" t="str">
        <f aca="false" t="array" ref="H52:H52">INDEX(SkillData,MATCH(A52,SkillData_Names,0)+1,MATCH("TargetType1",SkillData_Header,0))</f>
        <v>Self</v>
      </c>
      <c r="I52" s="3" t="n">
        <f aca="false">INDEX(SkillData,MATCH(A52,SkillData_Names,0)+1,MATCH("TargetType2",SkillData_Header,0))</f>
        <v>0</v>
      </c>
      <c r="J52" s="3" t="n">
        <f aca="false">INDEX(SkillData,MATCH(A52,SkillData_Names,0)+1,MATCH("TargetType3",SkillData_Header,0))</f>
        <v>0</v>
      </c>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row>
    <row r="53" customFormat="false" ht="15.75" hidden="false" customHeight="false" outlineLevel="0" collapsed="false">
      <c r="A53" s="3" t="s">
        <v>2329</v>
      </c>
      <c r="B53" s="3" t="str">
        <f aca="false" t="array" ref="B53:B53">INDEX(SkillData,MATCH(A53,SkillData_Names,0)+1,MATCH("EffectType1",SkillData_Header,0))</f>
        <v>MoveSpeed</v>
      </c>
      <c r="C53" s="85" t="n">
        <f aca="false" t="array" ref="C53:C53">INDEX(SkillData,MATCH(A53,SkillData_Names,0)+1,MATCH("EffectValue1",SkillData_Header,0))</f>
        <v>20</v>
      </c>
      <c r="D53" s="3" t="n">
        <f aca="false">INDEX(SkillData,MATCH(A53,SkillData_Names,0)+1,MATCH("EffectType2",SkillData_Header,0))</f>
        <v>0</v>
      </c>
      <c r="E53" s="85" t="n">
        <f aca="false" t="array" ref="E53:E53">INDEX(SkillData,MATCH(A53,SkillData_Names,0)+1,MATCH("EffectValue2",SkillData_Header,0))</f>
        <v>0</v>
      </c>
      <c r="F53" s="3" t="n">
        <f aca="false">INDEX(SkillData,MATCH(A53,SkillData_Names,0)+1,MATCH("EffectType3",SkillData_Header,0))</f>
        <v>0</v>
      </c>
      <c r="G53" s="85" t="n">
        <f aca="false" t="array" ref="G53:G53">INDEX(SkillData,MATCH(A53,SkillData_Names,0)+1,MATCH("EffectValue3",SkillData_Header,0))</f>
        <v>0</v>
      </c>
      <c r="H53" s="3" t="str">
        <f aca="false" t="array" ref="H53:H53">INDEX(SkillData,MATCH(A53,SkillData_Names,0)+1,MATCH("TargetType1",SkillData_Header,0))</f>
        <v>Self</v>
      </c>
      <c r="I53" s="3" t="n">
        <f aca="false">INDEX(SkillData,MATCH(A53,SkillData_Names,0)+1,MATCH("TargetType2",SkillData_Header,0))</f>
        <v>0</v>
      </c>
      <c r="J53" s="3" t="n">
        <f aca="false">INDEX(SkillData,MATCH(A53,SkillData_Names,0)+1,MATCH("TargetType3",SkillData_Header,0))</f>
        <v>0</v>
      </c>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row>
    <row r="54" customFormat="false" ht="15.75" hidden="false" customHeight="false" outlineLevel="0" collapsed="false">
      <c r="A54" s="3" t="s">
        <v>2135</v>
      </c>
      <c r="B54" s="3" t="str">
        <f aca="false" t="array" ref="B54:B54">INDEX(SkillData,MATCH(A54,SkillData_Names,0)+1,MATCH("EffectType1",SkillData_Header,0))</f>
        <v>ShotAttack</v>
      </c>
      <c r="C54" s="85" t="n">
        <f aca="false" t="array" ref="C54:C54">INDEX(SkillData,MATCH(A54,SkillData_Names,0)+1,MATCH("EffectValue1",SkillData_Header,0))</f>
        <v>15</v>
      </c>
      <c r="D54" s="3" t="str">
        <f aca="false" t="array" ref="D54:D54">INDEX(SkillData,MATCH(A54,SkillData_Names,0)+1,MATCH("EffectType2",SkillData_Header,0))</f>
        <v>Defense</v>
      </c>
      <c r="E54" s="85" t="n">
        <f aca="false" t="array" ref="E54:E54">INDEX(SkillData,MATCH(A54,SkillData_Names,0)+1,MATCH("EffectValue2",SkillData_Header,0))</f>
        <v>-15</v>
      </c>
      <c r="F54" s="3" t="n">
        <f aca="false">INDEX(SkillData,MATCH(A54,SkillData_Names,0)+1,MATCH("EffectType3",SkillData_Header,0))</f>
        <v>0</v>
      </c>
      <c r="G54" s="85" t="n">
        <f aca="false" t="array" ref="G54:G54">INDEX(SkillData,MATCH(A54,SkillData_Names,0)+1,MATCH("EffectValue3",SkillData_Header,0))</f>
        <v>0</v>
      </c>
      <c r="H54" s="3" t="str">
        <f aca="false" t="array" ref="H54:H54">INDEX(SkillData,MATCH(A54,SkillData_Names,0)+1,MATCH("TargetType1",SkillData_Header,0))</f>
        <v>Self</v>
      </c>
      <c r="I54" s="3" t="str">
        <f aca="false" t="array" ref="I54:I54">INDEX(SkillData,MATCH(A54,SkillData_Names,0)+1,MATCH("TargetType2",SkillData_Header,0))</f>
        <v>Self</v>
      </c>
      <c r="J54" s="3" t="n">
        <f aca="false">INDEX(SkillData,MATCH(A54,SkillData_Names,0)+1,MATCH("TargetType3",SkillData_Header,0))</f>
        <v>0</v>
      </c>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row>
    <row r="55" customFormat="false" ht="15.75" hidden="false" customHeight="false" outlineLevel="0" collapsed="false">
      <c r="A55" s="3" t="s">
        <v>2006</v>
      </c>
      <c r="B55" s="3" t="str">
        <f aca="false" t="array" ref="B55:B55">INDEX(SkillData,MATCH(A55,SkillData_Names,0)+1,MATCH("EffectType1",SkillData_Header,0))</f>
        <v>CraftSpeed</v>
      </c>
      <c r="C55" s="85" t="n">
        <f aca="false" t="array" ref="C55:C55">INDEX(SkillData,MATCH(A55,SkillData_Names,0)+1,MATCH("EffectValue1",SkillData_Header,0))</f>
        <v>20</v>
      </c>
      <c r="D55" s="3" t="n">
        <f aca="false">INDEX(SkillData,MATCH(A55,SkillData_Names,0)+1,MATCH("EffectType2",SkillData_Header,0))</f>
        <v>0</v>
      </c>
      <c r="E55" s="85" t="n">
        <f aca="false" t="array" ref="E55:E55">INDEX(SkillData,MATCH(A55,SkillData_Names,0)+1,MATCH("EffectValue2",SkillData_Header,0))</f>
        <v>0</v>
      </c>
      <c r="F55" s="3" t="n">
        <f aca="false">INDEX(SkillData,MATCH(A55,SkillData_Names,0)+1,MATCH("EffectType3",SkillData_Header,0))</f>
        <v>0</v>
      </c>
      <c r="G55" s="85" t="n">
        <f aca="false" t="array" ref="G55:G55">INDEX(SkillData,MATCH(A55,SkillData_Names,0)+1,MATCH("EffectValue3",SkillData_Header,0))</f>
        <v>0</v>
      </c>
      <c r="H55" s="3" t="str">
        <f aca="false" t="array" ref="H55:H55">INDEX(SkillData,MATCH(A55,SkillData_Names,0)+1,MATCH("TargetType1",SkillData_Header,0))</f>
        <v>Self</v>
      </c>
      <c r="I55" s="3" t="n">
        <f aca="false">INDEX(SkillData,MATCH(A55,SkillData_Names,0)+1,MATCH("TargetType2",SkillData_Header,0))</f>
        <v>0</v>
      </c>
      <c r="J55" s="3" t="n">
        <f aca="false">INDEX(SkillData,MATCH(A55,SkillData_Names,0)+1,MATCH("TargetType3",SkillData_Header,0))</f>
        <v>0</v>
      </c>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row>
    <row r="56" customFormat="false" ht="15.75" hidden="false" customHeight="false" outlineLevel="0" collapsed="false">
      <c r="A56" s="3" t="s">
        <v>2010</v>
      </c>
      <c r="B56" s="3" t="str">
        <f aca="false" t="array" ref="B56:B56">INDEX(SkillData,MATCH(A56,SkillData_Names,0)+1,MATCH("EffectType1",SkillData_Header,0))</f>
        <v>CraftSpeed</v>
      </c>
      <c r="C56" s="85" t="n">
        <f aca="false" t="array" ref="C56:C56">INDEX(SkillData,MATCH(A56,SkillData_Names,0)+1,MATCH("EffectValue1",SkillData_Header,0))</f>
        <v>-30</v>
      </c>
      <c r="D56" s="3" t="n">
        <f aca="false">INDEX(SkillData,MATCH(A56,SkillData_Names,0)+1,MATCH("EffectType2",SkillData_Header,0))</f>
        <v>0</v>
      </c>
      <c r="E56" s="85" t="n">
        <f aca="false" t="array" ref="E56:E56">INDEX(SkillData,MATCH(A56,SkillData_Names,0)+1,MATCH("EffectValue2",SkillData_Header,0))</f>
        <v>0</v>
      </c>
      <c r="F56" s="3" t="n">
        <f aca="false">INDEX(SkillData,MATCH(A56,SkillData_Names,0)+1,MATCH("EffectType3",SkillData_Header,0))</f>
        <v>0</v>
      </c>
      <c r="G56" s="85" t="n">
        <f aca="false" t="array" ref="G56:G56">INDEX(SkillData,MATCH(A56,SkillData_Names,0)+1,MATCH("EffectValue3",SkillData_Header,0))</f>
        <v>0</v>
      </c>
      <c r="H56" s="3" t="str">
        <f aca="false" t="array" ref="H56:H56">INDEX(SkillData,MATCH(A56,SkillData_Names,0)+1,MATCH("TargetType1",SkillData_Header,0))</f>
        <v>Self</v>
      </c>
      <c r="I56" s="3" t="n">
        <f aca="false">INDEX(SkillData,MATCH(A56,SkillData_Names,0)+1,MATCH("TargetType2",SkillData_Header,0))</f>
        <v>0</v>
      </c>
      <c r="J56" s="3" t="n">
        <f aca="false">INDEX(SkillData,MATCH(A56,SkillData_Names,0)+1,MATCH("TargetType3",SkillData_Header,0))</f>
        <v>0</v>
      </c>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row>
    <row r="57" customFormat="false" ht="15.75" hidden="false" customHeight="false" outlineLevel="0" collapsed="false">
      <c r="A57" s="3" t="s">
        <v>2312</v>
      </c>
      <c r="B57" s="3" t="str">
        <f aca="false" t="array" ref="B57:B57">INDEX(SkillData,MATCH(A57,SkillData_Names,0)+1,MATCH("EffectType1",SkillData_Header,0))</f>
        <v>ElementBoost_Leaf</v>
      </c>
      <c r="C57" s="85" t="n">
        <f aca="false" t="array" ref="C57:C57">INDEX(SkillData,MATCH(A57,SkillData_Names,0)+1,MATCH("EffectValue1",SkillData_Header,0))</f>
        <v>20</v>
      </c>
      <c r="D57" s="3" t="n">
        <f aca="false">INDEX(SkillData,MATCH(A57,SkillData_Names,0)+1,MATCH("EffectType2",SkillData_Header,0))</f>
        <v>0</v>
      </c>
      <c r="E57" s="85" t="n">
        <f aca="false" t="array" ref="E57:E57">INDEX(SkillData,MATCH(A57,SkillData_Names,0)+1,MATCH("EffectValue2",SkillData_Header,0))</f>
        <v>0</v>
      </c>
      <c r="F57" s="3" t="n">
        <f aca="false">INDEX(SkillData,MATCH(A57,SkillData_Names,0)+1,MATCH("EffectType3",SkillData_Header,0))</f>
        <v>0</v>
      </c>
      <c r="G57" s="85" t="n">
        <f aca="false" t="array" ref="G57:G57">INDEX(SkillData,MATCH(A57,SkillData_Names,0)+1,MATCH("EffectValue3",SkillData_Header,0))</f>
        <v>0</v>
      </c>
      <c r="H57" s="3" t="str">
        <f aca="false" t="array" ref="H57:H57">INDEX(SkillData,MATCH(A57,SkillData_Names,0)+1,MATCH("TargetType1",SkillData_Header,0))</f>
        <v>Self</v>
      </c>
      <c r="I57" s="3" t="n">
        <f aca="false">INDEX(SkillData,MATCH(A57,SkillData_Names,0)+1,MATCH("TargetType2",SkillData_Header,0))</f>
        <v>0</v>
      </c>
      <c r="J57" s="3" t="n">
        <f aca="false">INDEX(SkillData,MATCH(A57,SkillData_Names,0)+1,MATCH("TargetType3",SkillData_Header,0))</f>
        <v>0</v>
      </c>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row>
    <row r="58" customFormat="false" ht="15.75" hidden="false" customHeight="false" outlineLevel="0" collapsed="false">
      <c r="A58" s="3" t="s">
        <v>2209</v>
      </c>
      <c r="B58" s="3" t="str">
        <f aca="false" t="array" ref="B58:B58">INDEX(SkillData,MATCH(A58,SkillData_Names,0)+1,MATCH("EffectType1",SkillData_Header,0))</f>
        <v>Defense</v>
      </c>
      <c r="C58" s="85" t="n">
        <f aca="false" t="array" ref="C58:C58">INDEX(SkillData,MATCH(A58,SkillData_Names,0)+1,MATCH("EffectValue1",SkillData_Header,0))</f>
        <v>10</v>
      </c>
      <c r="D58" s="3" t="n">
        <f aca="false">INDEX(SkillData,MATCH(A58,SkillData_Names,0)+1,MATCH("EffectType2",SkillData_Header,0))</f>
        <v>0</v>
      </c>
      <c r="E58" s="85" t="n">
        <f aca="false" t="array" ref="E58:E58">INDEX(SkillData,MATCH(A58,SkillData_Names,0)+1,MATCH("EffectValue2",SkillData_Header,0))</f>
        <v>0</v>
      </c>
      <c r="F58" s="3" t="n">
        <f aca="false">INDEX(SkillData,MATCH(A58,SkillData_Names,0)+1,MATCH("EffectType3",SkillData_Header,0))</f>
        <v>0</v>
      </c>
      <c r="G58" s="85" t="n">
        <f aca="false" t="array" ref="G58:G58">INDEX(SkillData,MATCH(A58,SkillData_Names,0)+1,MATCH("EffectValue3",SkillData_Header,0))</f>
        <v>0</v>
      </c>
      <c r="H58" s="3" t="str">
        <f aca="false" t="array" ref="H58:H58">INDEX(SkillData,MATCH(A58,SkillData_Names,0)+1,MATCH("TargetType1",SkillData_Header,0))</f>
        <v>Trainer</v>
      </c>
      <c r="I58" s="3" t="n">
        <f aca="false">INDEX(SkillData,MATCH(A58,SkillData_Names,0)+1,MATCH("TargetType2",SkillData_Header,0))</f>
        <v>0</v>
      </c>
      <c r="J58" s="3" t="n">
        <f aca="false">INDEX(SkillData,MATCH(A58,SkillData_Names,0)+1,MATCH("TargetType3",SkillData_Header,0))</f>
        <v>0</v>
      </c>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row>
    <row r="59" customFormat="false" ht="15.75" hidden="false" customHeight="false" outlineLevel="0" collapsed="false">
      <c r="A59" s="3" t="s">
        <v>2223</v>
      </c>
      <c r="B59" s="3" t="str">
        <f aca="false" t="array" ref="B59:B59">INDEX(SkillData,MATCH(A59,SkillData_Names,0)+1,MATCH("EffectType1",SkillData_Header,0))</f>
        <v>ElementResist_Fire</v>
      </c>
      <c r="C59" s="85" t="n">
        <f aca="false" t="array" ref="C59:C59">INDEX(SkillData,MATCH(A59,SkillData_Names,0)+1,MATCH("EffectValue1",SkillData_Header,0))</f>
        <v>10</v>
      </c>
      <c r="D59" s="3" t="n">
        <f aca="false">INDEX(SkillData,MATCH(A59,SkillData_Names,0)+1,MATCH("EffectType2",SkillData_Header,0))</f>
        <v>0</v>
      </c>
      <c r="E59" s="85" t="n">
        <f aca="false" t="array" ref="E59:E59">INDEX(SkillData,MATCH(A59,SkillData_Names,0)+1,MATCH("EffectValue2",SkillData_Header,0))</f>
        <v>0</v>
      </c>
      <c r="F59" s="3" t="n">
        <f aca="false">INDEX(SkillData,MATCH(A59,SkillData_Names,0)+1,MATCH("EffectType3",SkillData_Header,0))</f>
        <v>0</v>
      </c>
      <c r="G59" s="85" t="n">
        <f aca="false" t="array" ref="G59:G59">INDEX(SkillData,MATCH(A59,SkillData_Names,0)+1,MATCH("EffectValue3",SkillData_Header,0))</f>
        <v>0</v>
      </c>
      <c r="H59" s="3" t="str">
        <f aca="false" t="array" ref="H59:H59">INDEX(SkillData,MATCH(A59,SkillData_Names,0)+1,MATCH("TargetType1",SkillData_Header,0))</f>
        <v>Self</v>
      </c>
      <c r="I59" s="3" t="n">
        <f aca="false">INDEX(SkillData,MATCH(A59,SkillData_Names,0)+1,MATCH("TargetType2",SkillData_Header,0))</f>
        <v>0</v>
      </c>
      <c r="J59" s="3" t="n">
        <f aca="false">INDEX(SkillData,MATCH(A59,SkillData_Names,0)+1,MATCH("TargetType3",SkillData_Header,0))</f>
        <v>0</v>
      </c>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row>
    <row r="60" customFormat="false" ht="15.75" hidden="false" customHeight="false" outlineLevel="0" collapsed="false">
      <c r="A60" s="3" t="s">
        <v>2332</v>
      </c>
      <c r="B60" s="3" t="str">
        <f aca="false" t="array" ref="B60:B60">INDEX(SkillData,MATCH(A60,SkillData_Names,0)+1,MATCH("EffectType1",SkillData_Header,0))</f>
        <v>MoveSpeed</v>
      </c>
      <c r="C60" s="85" t="n">
        <f aca="false" t="array" ref="C60:C60">INDEX(SkillData,MATCH(A60,SkillData_Names,0)+1,MATCH("EffectValue1",SkillData_Header,0))</f>
        <v>30</v>
      </c>
      <c r="D60" s="3" t="n">
        <f aca="false">INDEX(SkillData,MATCH(A60,SkillData_Names,0)+1,MATCH("EffectType2",SkillData_Header,0))</f>
        <v>0</v>
      </c>
      <c r="E60" s="85" t="n">
        <f aca="false" t="array" ref="E60:E60">INDEX(SkillData,MATCH(A60,SkillData_Names,0)+1,MATCH("EffectValue2",SkillData_Header,0))</f>
        <v>0</v>
      </c>
      <c r="F60" s="3" t="n">
        <f aca="false">INDEX(SkillData,MATCH(A60,SkillData_Names,0)+1,MATCH("EffectType3",SkillData_Header,0))</f>
        <v>0</v>
      </c>
      <c r="G60" s="85" t="n">
        <f aca="false" t="array" ref="G60:G60">INDEX(SkillData,MATCH(A60,SkillData_Names,0)+1,MATCH("EffectValue3",SkillData_Header,0))</f>
        <v>0</v>
      </c>
      <c r="H60" s="3" t="str">
        <f aca="false" t="array" ref="H60:H60">INDEX(SkillData,MATCH(A60,SkillData_Names,0)+1,MATCH("TargetType1",SkillData_Header,0))</f>
        <v>Self</v>
      </c>
      <c r="I60" s="3" t="n">
        <f aca="false">INDEX(SkillData,MATCH(A60,SkillData_Names,0)+1,MATCH("TargetType2",SkillData_Header,0))</f>
        <v>0</v>
      </c>
      <c r="J60" s="3" t="n">
        <f aca="false">INDEX(SkillData,MATCH(A60,SkillData_Names,0)+1,MATCH("TargetType3",SkillData_Header,0))</f>
        <v>0</v>
      </c>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row>
    <row r="61" customFormat="false" ht="15.75" hidden="false" customHeight="false" outlineLevel="0" collapsed="false">
      <c r="A61" s="3" t="s">
        <v>2295</v>
      </c>
      <c r="B61" s="3" t="str">
        <f aca="false" t="array" ref="B61:B61">INDEX(SkillData,MATCH(A61,SkillData_Names,0)+1,MATCH("EffectType1",SkillData_Header,0))</f>
        <v>Sanity_Decrease</v>
      </c>
      <c r="C61" s="85" t="n">
        <f aca="false" t="array" ref="C61:C61">INDEX(SkillData,MATCH(A61,SkillData_Names,0)+1,MATCH("EffectValue1",SkillData_Header,0))</f>
        <v>10</v>
      </c>
      <c r="D61" s="3" t="n">
        <f aca="false">INDEX(SkillData,MATCH(A61,SkillData_Names,0)+1,MATCH("EffectType2",SkillData_Header,0))</f>
        <v>0</v>
      </c>
      <c r="E61" s="85" t="n">
        <f aca="false" t="array" ref="E61:E61">INDEX(SkillData,MATCH(A61,SkillData_Names,0)+1,MATCH("EffectValue2",SkillData_Header,0))</f>
        <v>0</v>
      </c>
      <c r="F61" s="3" t="n">
        <f aca="false">INDEX(SkillData,MATCH(A61,SkillData_Names,0)+1,MATCH("EffectType3",SkillData_Header,0))</f>
        <v>0</v>
      </c>
      <c r="G61" s="85" t="n">
        <f aca="false" t="array" ref="G61:G61">INDEX(SkillData,MATCH(A61,SkillData_Names,0)+1,MATCH("EffectValue3",SkillData_Header,0))</f>
        <v>0</v>
      </c>
      <c r="H61" s="3" t="str">
        <f aca="false" t="array" ref="H61:H61">INDEX(SkillData,MATCH(A61,SkillData_Names,0)+1,MATCH("TargetType1",SkillData_Header,0))</f>
        <v>Self</v>
      </c>
      <c r="I61" s="3" t="n">
        <f aca="false">INDEX(SkillData,MATCH(A61,SkillData_Names,0)+1,MATCH("TargetType2",SkillData_Header,0))</f>
        <v>0</v>
      </c>
      <c r="J61" s="3" t="n">
        <f aca="false">INDEX(SkillData,MATCH(A61,SkillData_Names,0)+1,MATCH("TargetType3",SkillData_Header,0))</f>
        <v>0</v>
      </c>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row>
    <row r="62" customFormat="false" ht="15.75" hidden="false" customHeight="false" outlineLevel="0" collapsed="false">
      <c r="A62" s="3" t="s">
        <v>2206</v>
      </c>
      <c r="B62" s="3" t="str">
        <f aca="false" t="array" ref="B62:B62">INDEX(SkillData,MATCH(A62,SkillData_Names,0)+1,MATCH("EffectType1",SkillData_Header,0))</f>
        <v>ShotAttack</v>
      </c>
      <c r="C62" s="85" t="n">
        <f aca="false" t="array" ref="C62:C62">INDEX(SkillData,MATCH(A62,SkillData_Names,0)+1,MATCH("EffectValue1",SkillData_Header,0))</f>
        <v>10</v>
      </c>
      <c r="D62" s="3" t="n">
        <f aca="false">INDEX(SkillData,MATCH(A62,SkillData_Names,0)+1,MATCH("EffectType2",SkillData_Header,0))</f>
        <v>0</v>
      </c>
      <c r="E62" s="85" t="n">
        <f aca="false" t="array" ref="E62:E62">INDEX(SkillData,MATCH(A62,SkillData_Names,0)+1,MATCH("EffectValue2",SkillData_Header,0))</f>
        <v>0</v>
      </c>
      <c r="F62" s="3" t="n">
        <f aca="false">INDEX(SkillData,MATCH(A62,SkillData_Names,0)+1,MATCH("EffectType3",SkillData_Header,0))</f>
        <v>0</v>
      </c>
      <c r="G62" s="85" t="n">
        <f aca="false" t="array" ref="G62:G62">INDEX(SkillData,MATCH(A62,SkillData_Names,0)+1,MATCH("EffectValue3",SkillData_Header,0))</f>
        <v>0</v>
      </c>
      <c r="H62" s="3" t="str">
        <f aca="false" t="array" ref="H62:H62">INDEX(SkillData,MATCH(A62,SkillData_Names,0)+1,MATCH("TargetType1",SkillData_Header,0))</f>
        <v>Trainer</v>
      </c>
      <c r="I62" s="3" t="n">
        <f aca="false">INDEX(SkillData,MATCH(A62,SkillData_Names,0)+1,MATCH("TargetType2",SkillData_Header,0))</f>
        <v>0</v>
      </c>
      <c r="J62" s="3" t="n">
        <f aca="false">INDEX(SkillData,MATCH(A62,SkillData_Names,0)+1,MATCH("TargetType3",SkillData_Header,0))</f>
        <v>0</v>
      </c>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row>
    <row r="63" customFormat="false" ht="15.75" hidden="false" customHeight="false" outlineLevel="0" collapsed="false">
      <c r="A63" s="3" t="s">
        <v>2275</v>
      </c>
      <c r="B63" s="3" t="str">
        <f aca="false" t="array" ref="B63:B63">INDEX(SkillData,MATCH(A63,SkillData_Names,0)+1,MATCH("EffectType1",SkillData_Header,0))</f>
        <v>ElementBoost_Dark</v>
      </c>
      <c r="C63" s="85" t="n">
        <f aca="false" t="array" ref="C63:C63">INDEX(SkillData,MATCH(A63,SkillData_Names,0)+1,MATCH("EffectValue1",SkillData_Header,0))</f>
        <v>10</v>
      </c>
      <c r="D63" s="3" t="n">
        <f aca="false">INDEX(SkillData,MATCH(A63,SkillData_Names,0)+1,MATCH("EffectType2",SkillData_Header,0))</f>
        <v>0</v>
      </c>
      <c r="E63" s="85" t="n">
        <f aca="false" t="array" ref="E63:E63">INDEX(SkillData,MATCH(A63,SkillData_Names,0)+1,MATCH("EffectValue2",SkillData_Header,0))</f>
        <v>0</v>
      </c>
      <c r="F63" s="3" t="n">
        <f aca="false">INDEX(SkillData,MATCH(A63,SkillData_Names,0)+1,MATCH("EffectType3",SkillData_Header,0))</f>
        <v>0</v>
      </c>
      <c r="G63" s="85" t="n">
        <f aca="false" t="array" ref="G63:G63">INDEX(SkillData,MATCH(A63,SkillData_Names,0)+1,MATCH("EffectValue3",SkillData_Header,0))</f>
        <v>0</v>
      </c>
      <c r="H63" s="3" t="str">
        <f aca="false" t="array" ref="H63:H63">INDEX(SkillData,MATCH(A63,SkillData_Names,0)+1,MATCH("TargetType1",SkillData_Header,0))</f>
        <v>Self</v>
      </c>
      <c r="I63" s="3" t="n">
        <f aca="false">INDEX(SkillData,MATCH(A63,SkillData_Names,0)+1,MATCH("TargetType2",SkillData_Header,0))</f>
        <v>0</v>
      </c>
      <c r="J63" s="3" t="n">
        <f aca="false">INDEX(SkillData,MATCH(A63,SkillData_Names,0)+1,MATCH("TargetType3",SkillData_Header,0))</f>
        <v>0</v>
      </c>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row>
    <row r="64" customFormat="false" ht="15.75" hidden="false" customHeight="false" outlineLevel="0" collapsed="false">
      <c r="A64" s="3" t="s">
        <v>2226</v>
      </c>
      <c r="B64" s="3" t="str">
        <f aca="false" t="array" ref="B64:B64">INDEX(SkillData,MATCH(A64,SkillData_Names,0)+1,MATCH("EffectType1",SkillData_Header,0))</f>
        <v>ElementResist_Water</v>
      </c>
      <c r="C64" s="85" t="n">
        <f aca="false" t="array" ref="C64:C64">INDEX(SkillData,MATCH(A64,SkillData_Names,0)+1,MATCH("EffectValue1",SkillData_Header,0))</f>
        <v>10</v>
      </c>
      <c r="D64" s="3" t="n">
        <f aca="false">INDEX(SkillData,MATCH(A64,SkillData_Names,0)+1,MATCH("EffectType2",SkillData_Header,0))</f>
        <v>0</v>
      </c>
      <c r="E64" s="85" t="n">
        <f aca="false" t="array" ref="E64:E64">INDEX(SkillData,MATCH(A64,SkillData_Names,0)+1,MATCH("EffectValue2",SkillData_Header,0))</f>
        <v>0</v>
      </c>
      <c r="F64" s="3" t="n">
        <f aca="false">INDEX(SkillData,MATCH(A64,SkillData_Names,0)+1,MATCH("EffectType3",SkillData_Header,0))</f>
        <v>0</v>
      </c>
      <c r="G64" s="85" t="n">
        <f aca="false" t="array" ref="G64:G64">INDEX(SkillData,MATCH(A64,SkillData_Names,0)+1,MATCH("EffectValue3",SkillData_Header,0))</f>
        <v>0</v>
      </c>
      <c r="H64" s="3" t="str">
        <f aca="false" t="array" ref="H64:H64">INDEX(SkillData,MATCH(A64,SkillData_Names,0)+1,MATCH("TargetType1",SkillData_Header,0))</f>
        <v>Self</v>
      </c>
      <c r="I64" s="3" t="n">
        <f aca="false">INDEX(SkillData,MATCH(A64,SkillData_Names,0)+1,MATCH("TargetType2",SkillData_Header,0))</f>
        <v>0</v>
      </c>
      <c r="J64" s="3" t="n">
        <f aca="false">INDEX(SkillData,MATCH(A64,SkillData_Names,0)+1,MATCH("TargetType3",SkillData_Header,0))</f>
        <v>0</v>
      </c>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row>
    <row r="65" customFormat="false" ht="15.75" hidden="false" customHeight="false" outlineLevel="0" collapsed="false">
      <c r="A65" s="3" t="s">
        <v>2139</v>
      </c>
      <c r="B65" s="3" t="str">
        <f aca="false" t="array" ref="B65:B65">INDEX(SkillData,MATCH(A65,SkillData_Names,0)+1,MATCH("EffectType1",SkillData_Header,0))</f>
        <v>CraftSpeed</v>
      </c>
      <c r="C65" s="85" t="n">
        <f aca="false" t="array" ref="C65:C65">INDEX(SkillData,MATCH(A65,SkillData_Names,0)+1,MATCH("EffectValue1",SkillData_Header,0))</f>
        <v>30</v>
      </c>
      <c r="D65" s="3" t="str">
        <f aca="false" t="array" ref="D65:D65">INDEX(SkillData,MATCH(A65,SkillData_Names,0)+1,MATCH("EffectType2",SkillData_Header,0))</f>
        <v>ShotAttack</v>
      </c>
      <c r="E65" s="85" t="n">
        <f aca="false" t="array" ref="E65:E65">INDEX(SkillData,MATCH(A65,SkillData_Names,0)+1,MATCH("EffectValue2",SkillData_Header,0))</f>
        <v>-30</v>
      </c>
      <c r="F65" s="3" t="n">
        <f aca="false">INDEX(SkillData,MATCH(A65,SkillData_Names,0)+1,MATCH("EffectType3",SkillData_Header,0))</f>
        <v>0</v>
      </c>
      <c r="G65" s="85" t="n">
        <f aca="false" t="array" ref="G65:G65">INDEX(SkillData,MATCH(A65,SkillData_Names,0)+1,MATCH("EffectValue3",SkillData_Header,0))</f>
        <v>0</v>
      </c>
      <c r="H65" s="3" t="str">
        <f aca="false" t="array" ref="H65:H65">INDEX(SkillData,MATCH(A65,SkillData_Names,0)+1,MATCH("TargetType1",SkillData_Header,0))</f>
        <v>Self</v>
      </c>
      <c r="I65" s="3" t="str">
        <f aca="false" t="array" ref="I65:I65">INDEX(SkillData,MATCH(A65,SkillData_Names,0)+1,MATCH("TargetType2",SkillData_Header,0))</f>
        <v>Self</v>
      </c>
      <c r="J65" s="3" t="n">
        <f aca="false">INDEX(SkillData,MATCH(A65,SkillData_Names,0)+1,MATCH("TargetType3",SkillData_Header,0))</f>
        <v>0</v>
      </c>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row>
    <row r="66" customFormat="false" ht="15.75" hidden="false" customHeight="false" outlineLevel="0" collapsed="false">
      <c r="A66" s="3" t="s">
        <v>2305</v>
      </c>
      <c r="B66" s="3" t="str">
        <f aca="false" t="array" ref="B66:B66">INDEX(SkillData,MATCH(A66,SkillData_Names,0)+1,MATCH("EffectType1",SkillData_Header,0))</f>
        <v>Sanity_Decrease</v>
      </c>
      <c r="C66" s="85" t="n">
        <f aca="false" t="array" ref="C66:C66">INDEX(SkillData,MATCH(A66,SkillData_Names,0)+1,MATCH("EffectValue1",SkillData_Header,0))</f>
        <v>-15</v>
      </c>
      <c r="D66" s="3" t="n">
        <f aca="false">INDEX(SkillData,MATCH(A66,SkillData_Names,0)+1,MATCH("EffectType2",SkillData_Header,0))</f>
        <v>0</v>
      </c>
      <c r="E66" s="85" t="n">
        <f aca="false" t="array" ref="E66:E66">INDEX(SkillData,MATCH(A66,SkillData_Names,0)+1,MATCH("EffectValue2",SkillData_Header,0))</f>
        <v>0</v>
      </c>
      <c r="F66" s="3" t="n">
        <f aca="false">INDEX(SkillData,MATCH(A66,SkillData_Names,0)+1,MATCH("EffectType3",SkillData_Header,0))</f>
        <v>0</v>
      </c>
      <c r="G66" s="85" t="n">
        <f aca="false" t="array" ref="G66:G66">INDEX(SkillData,MATCH(A66,SkillData_Names,0)+1,MATCH("EffectValue3",SkillData_Header,0))</f>
        <v>0</v>
      </c>
      <c r="H66" s="3" t="str">
        <f aca="false" t="array" ref="H66:H66">INDEX(SkillData,MATCH(A66,SkillData_Names,0)+1,MATCH("TargetType1",SkillData_Header,0))</f>
        <v>Self</v>
      </c>
      <c r="I66" s="3" t="n">
        <f aca="false">INDEX(SkillData,MATCH(A66,SkillData_Names,0)+1,MATCH("TargetType2",SkillData_Header,0))</f>
        <v>0</v>
      </c>
      <c r="J66" s="3" t="n">
        <f aca="false">INDEX(SkillData,MATCH(A66,SkillData_Names,0)+1,MATCH("TargetType3",SkillData_Header,0))</f>
        <v>0</v>
      </c>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row>
    <row r="67" customFormat="false" ht="15.75" hidden="false" customHeight="false" outlineLevel="0" collapsed="false">
      <c r="A67" s="3" t="s">
        <v>2247</v>
      </c>
      <c r="B67" s="3" t="str">
        <f aca="false" t="array" ref="B67:B67">INDEX(SkillData,MATCH(A67,SkillData_Names,0)+1,MATCH("EffectType1",SkillData_Header,0))</f>
        <v>ElementBoost_Normal</v>
      </c>
      <c r="C67" s="85" t="n">
        <f aca="false" t="array" ref="C67:C67">INDEX(SkillData,MATCH(A67,SkillData_Names,0)+1,MATCH("EffectValue1",SkillData_Header,0))</f>
        <v>10</v>
      </c>
      <c r="D67" s="3" t="n">
        <f aca="false">INDEX(SkillData,MATCH(A67,SkillData_Names,0)+1,MATCH("EffectType2",SkillData_Header,0))</f>
        <v>0</v>
      </c>
      <c r="E67" s="85" t="n">
        <f aca="false" t="array" ref="E67:E67">INDEX(SkillData,MATCH(A67,SkillData_Names,0)+1,MATCH("EffectValue2",SkillData_Header,0))</f>
        <v>0</v>
      </c>
      <c r="F67" s="3" t="n">
        <f aca="false">INDEX(SkillData,MATCH(A67,SkillData_Names,0)+1,MATCH("EffectType3",SkillData_Header,0))</f>
        <v>0</v>
      </c>
      <c r="G67" s="85" t="n">
        <f aca="false" t="array" ref="G67:G67">INDEX(SkillData,MATCH(A67,SkillData_Names,0)+1,MATCH("EffectValue3",SkillData_Header,0))</f>
        <v>0</v>
      </c>
      <c r="H67" s="3" t="str">
        <f aca="false" t="array" ref="H67:H67">INDEX(SkillData,MATCH(A67,SkillData_Names,0)+1,MATCH("TargetType1",SkillData_Header,0))</f>
        <v>Self</v>
      </c>
      <c r="I67" s="3" t="n">
        <f aca="false">INDEX(SkillData,MATCH(A67,SkillData_Names,0)+1,MATCH("TargetType2",SkillData_Header,0))</f>
        <v>0</v>
      </c>
      <c r="J67" s="3" t="n">
        <f aca="false">INDEX(SkillData,MATCH(A67,SkillData_Names,0)+1,MATCH("TargetType3",SkillData_Header,0))</f>
        <v>0</v>
      </c>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row>
    <row r="68" customFormat="false" ht="15.75" hidden="false" customHeight="false" outlineLevel="0" collapsed="false">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row>
    <row r="69" customFormat="false" ht="15.75" hidden="false" customHeight="false" outlineLevel="0" collapsed="false">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row>
    <row r="70" customFormat="false" ht="15.75" hidden="false" customHeight="false" outlineLevel="0" collapsed="false">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row>
    <row r="71" customFormat="false" ht="15.75" hidden="false" customHeight="false" outlineLevel="0" collapsed="false">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row>
    <row r="72" customFormat="false" ht="15.75" hidden="false" customHeight="false" outlineLevel="0" collapsed="false">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row>
    <row r="73" customFormat="false" ht="15.75" hidden="false" customHeight="false" outlineLevel="0" collapsed="false">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row>
    <row r="74" customFormat="false" ht="15.75" hidden="false" customHeight="false" outlineLevel="0" collapsed="false">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row>
    <row r="75" customFormat="false" ht="15.75" hidden="false" customHeight="false" outlineLevel="0" collapsed="false">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row>
    <row r="76" customFormat="false" ht="15.75" hidden="false" customHeight="false" outlineLevel="0" collapsed="false">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row>
    <row r="77" customFormat="false" ht="15.75" hidden="false" customHeight="false" outlineLevel="0" collapsed="false">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row>
    <row r="78" customFormat="false" ht="15.75" hidden="false" customHeight="false" outlineLevel="0" collapsed="false">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row>
    <row r="79" customFormat="false" ht="15.75" hidden="false" customHeight="false" outlineLevel="0" collapsed="false">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row>
    <row r="80" customFormat="false" ht="15.75" hidden="false" customHeight="false" outlineLevel="0" collapsed="false">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row>
    <row r="81" customFormat="false" ht="15.75" hidden="false" customHeight="false" outlineLevel="0" collapsed="false">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row>
    <row r="82" customFormat="false" ht="15.75" hidden="false" customHeight="false" outlineLevel="0" collapsed="false">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row>
    <row r="83" customFormat="false" ht="15.75" hidden="false" customHeight="false" outlineLevel="0" collapsed="false">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row>
    <row r="84" customFormat="false" ht="15.75" hidden="false" customHeight="false" outlineLevel="0" collapsed="false">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row>
    <row r="85" customFormat="false" ht="15.75" hidden="false" customHeight="false" outlineLevel="0" collapsed="false">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row>
    <row r="86" customFormat="false" ht="15.75" hidden="false" customHeight="false" outlineLevel="0" collapsed="false">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row>
    <row r="87" customFormat="false" ht="15.75" hidden="false" customHeight="false" outlineLevel="0" collapsed="false">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row>
    <row r="88" customFormat="false" ht="15.75" hidden="false" customHeight="false" outlineLevel="0" collapsed="false">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row>
    <row r="89" customFormat="false" ht="15.75" hidden="false" customHeight="false" outlineLevel="0" collapsed="false">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row>
    <row r="90" customFormat="false" ht="15.75" hidden="false" customHeight="false" outlineLevel="0" collapsed="false">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row>
    <row r="91" customFormat="false" ht="15.75" hidden="false" customHeight="false" outlineLevel="0" collapsed="false">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row>
    <row r="92" customFormat="false" ht="15.75" hidden="false" customHeight="false" outlineLevel="0" collapsed="false">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row>
    <row r="93" customFormat="false" ht="15.75" hidden="false" customHeight="false" outlineLevel="0" collapsed="false">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row>
    <row r="94" customFormat="false" ht="15.75" hidden="false" customHeight="false" outlineLevel="0" collapsed="false">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row>
    <row r="95" customFormat="false" ht="15.75" hidden="false" customHeight="false" outlineLevel="0" collapsed="false">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row>
    <row r="96" customFormat="false" ht="15.75" hidden="false" customHeight="false" outlineLevel="0" collapsed="false">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row>
    <row r="97" customFormat="false" ht="15.75" hidden="false" customHeight="false" outlineLevel="0" collapsed="false">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row>
    <row r="98" customFormat="false" ht="15.75" hidden="false" customHeight="false" outlineLevel="0" collapsed="false">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row>
    <row r="99" customFormat="false" ht="15.75" hidden="false" customHeight="false" outlineLevel="0" collapsed="false">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row>
    <row r="100" customFormat="false" ht="15.75" hidden="false" customHeight="false" outlineLevel="0" collapsed="false">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row>
    <row r="101" customFormat="false" ht="15.75" hidden="false" customHeight="false" outlineLevel="0" collapsed="false">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row>
    <row r="102" customFormat="false" ht="15.75" hidden="false" customHeight="false" outlineLevel="0" collapsed="false">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row>
    <row r="103" customFormat="false" ht="15.75" hidden="false" customHeight="false" outlineLevel="0" collapsed="false">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row>
    <row r="104" customFormat="false" ht="15.75" hidden="false" customHeight="false" outlineLevel="0" collapsed="false">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row>
    <row r="105" customFormat="false" ht="15.75" hidden="false" customHeight="false" outlineLevel="0" collapsed="false">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row>
    <row r="106" customFormat="false" ht="15.75" hidden="false" customHeight="false" outlineLevel="0" collapsed="false">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row>
    <row r="107" customFormat="false" ht="15.75" hidden="false" customHeight="false" outlineLevel="0" collapsed="false">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row>
    <row r="108" customFormat="false" ht="15.75" hidden="false" customHeight="false" outlineLevel="0" collapsed="false">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row>
    <row r="109" customFormat="false" ht="15.75" hidden="false" customHeight="false" outlineLevel="0" collapsed="false">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row>
    <row r="110" customFormat="false" ht="15.75" hidden="false" customHeight="false" outlineLevel="0" collapsed="false">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row>
    <row r="111" customFormat="false" ht="15.75" hidden="false" customHeight="false" outlineLevel="0" collapsed="false">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row>
    <row r="112" customFormat="false" ht="15.75" hidden="false" customHeight="false" outlineLevel="0" collapsed="false">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row>
    <row r="113" customFormat="false" ht="15.75" hidden="false" customHeight="false" outlineLevel="0" collapsed="false">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row>
    <row r="114" customFormat="false" ht="15.75" hidden="false" customHeight="false" outlineLevel="0" collapsed="false">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row>
    <row r="115" customFormat="false" ht="15.75" hidden="false" customHeight="false" outlineLevel="0" collapsed="false">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row>
    <row r="116" customFormat="false" ht="15.75" hidden="false" customHeight="false" outlineLevel="0" collapsed="false">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row>
    <row r="117" customFormat="false" ht="15.75" hidden="false" customHeight="false" outlineLevel="0" collapsed="false">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row>
    <row r="118" customFormat="false" ht="15.75" hidden="false" customHeight="false" outlineLevel="0" collapsed="false">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row>
    <row r="119" customFormat="false" ht="15.75" hidden="false" customHeight="false" outlineLevel="0" collapsed="false">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row>
    <row r="120" customFormat="false" ht="15.75" hidden="false" customHeight="false" outlineLevel="0" collapsed="false">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row>
    <row r="121" customFormat="false" ht="15.75" hidden="false" customHeight="false" outlineLevel="0" collapsed="false">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row>
    <row r="122" customFormat="false" ht="15.75" hidden="false" customHeight="false" outlineLevel="0" collapsed="false">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row>
    <row r="123" customFormat="false" ht="15.75" hidden="false" customHeight="false" outlineLevel="0" collapsed="false">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row>
    <row r="124" customFormat="false" ht="15.75" hidden="false" customHeight="false" outlineLevel="0" collapsed="false">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row>
    <row r="125" customFormat="false" ht="15.75" hidden="false" customHeight="false" outlineLevel="0" collapsed="false">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row>
    <row r="126" customFormat="false" ht="15.75" hidden="false" customHeight="false" outlineLevel="0" collapsed="false">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row>
    <row r="127" customFormat="false" ht="15.75" hidden="false" customHeight="false" outlineLevel="0" collapsed="false">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row>
    <row r="128" customFormat="false" ht="15.75" hidden="false" customHeight="false" outlineLevel="0" collapsed="false">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row>
    <row r="129" customFormat="false" ht="15.75" hidden="false" customHeight="false" outlineLevel="0" collapsed="false">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row>
    <row r="130" customFormat="false" ht="15.75" hidden="false" customHeight="false" outlineLevel="0" collapsed="false">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row>
    <row r="131" customFormat="false" ht="15.75" hidden="false" customHeight="false" outlineLevel="0" collapsed="false">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row>
    <row r="132" customFormat="false" ht="15.75" hidden="false" customHeight="false" outlineLevel="0" collapsed="false">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row>
    <row r="133" customFormat="false" ht="15.75" hidden="false" customHeight="false" outlineLevel="0" collapsed="false">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row>
    <row r="134" customFormat="false" ht="15.75" hidden="false" customHeight="false" outlineLevel="0" collapsed="false">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row>
    <row r="135" customFormat="false" ht="15.75" hidden="false" customHeight="false" outlineLevel="0" collapsed="false">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row>
    <row r="136" customFormat="false" ht="15.75" hidden="false" customHeight="false" outlineLevel="0" collapsed="false">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row>
    <row r="137" customFormat="false" ht="15.75" hidden="false" customHeight="false" outlineLevel="0" collapsed="false">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row>
    <row r="138" customFormat="false" ht="15.75" hidden="false" customHeight="false" outlineLevel="0" collapsed="false">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row>
    <row r="139" customFormat="false" ht="15.75" hidden="false" customHeight="false" outlineLevel="0" collapsed="false">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row>
    <row r="140" customFormat="false" ht="15.75" hidden="false" customHeight="false" outlineLevel="0" collapsed="false">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row>
    <row r="141" customFormat="false" ht="15.75" hidden="false" customHeight="false" outlineLevel="0" collapsed="false">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row>
    <row r="142" customFormat="false" ht="15.75" hidden="false" customHeight="false" outlineLevel="0" collapsed="false">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row>
    <row r="143" customFormat="false" ht="15.75" hidden="false" customHeight="false" outlineLevel="0" collapsed="false">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row>
    <row r="144" customFormat="false" ht="15.75" hidden="false" customHeight="false" outlineLevel="0" collapsed="false">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row>
    <row r="145" customFormat="false" ht="15.75" hidden="false" customHeight="false" outlineLevel="0" collapsed="false">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row>
    <row r="146" customFormat="false" ht="15.75" hidden="false" customHeight="false" outlineLevel="0" collapsed="false">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row>
    <row r="147" customFormat="false" ht="15.75" hidden="false" customHeight="false" outlineLevel="0" collapsed="false">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row>
    <row r="148" customFormat="false" ht="15.75" hidden="false" customHeight="false" outlineLevel="0" collapsed="false">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row>
    <row r="149" customFormat="false" ht="15.75" hidden="false" customHeight="false" outlineLevel="0" collapsed="false">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row>
    <row r="150" customFormat="false" ht="15.75" hidden="false" customHeight="false" outlineLevel="0" collapsed="false">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row>
    <row r="151" customFormat="false" ht="15.75" hidden="false" customHeight="false" outlineLevel="0" collapsed="false">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row>
    <row r="152" customFormat="false" ht="15.75" hidden="false" customHeight="false" outlineLevel="0" collapsed="false">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row>
    <row r="153" customFormat="false" ht="15.75" hidden="false" customHeight="false" outlineLevel="0" collapsed="false">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row>
    <row r="154" customFormat="false" ht="15.75" hidden="false" customHeight="false" outlineLevel="0" collapsed="false">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row>
    <row r="155" customFormat="false" ht="15.75" hidden="false" customHeight="false" outlineLevel="0" collapsed="false">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row>
    <row r="156" customFormat="false" ht="15.75" hidden="false" customHeight="false" outlineLevel="0" collapsed="false">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row>
    <row r="157" customFormat="false" ht="15.75" hidden="false" customHeight="false" outlineLevel="0" collapsed="false">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row>
    <row r="158" customFormat="false" ht="15.75" hidden="false" customHeight="false" outlineLevel="0" collapsed="false">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row>
    <row r="159" customFormat="false" ht="15.75" hidden="false" customHeight="false" outlineLevel="0" collapsed="false">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row>
    <row r="160" customFormat="false" ht="15.75" hidden="false" customHeight="false" outlineLevel="0" collapsed="false">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row>
    <row r="161" customFormat="false" ht="15.75" hidden="false" customHeight="false" outlineLevel="0" collapsed="false">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row>
    <row r="162" customFormat="false" ht="15.75" hidden="false" customHeight="false" outlineLevel="0" collapsed="false">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row>
    <row r="163" customFormat="false" ht="15.75" hidden="false" customHeight="false" outlineLevel="0" collapsed="false">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row>
    <row r="164" customFormat="false" ht="15.75" hidden="false" customHeight="false" outlineLevel="0" collapsed="false">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row>
    <row r="165" customFormat="false" ht="15.75" hidden="false" customHeight="false" outlineLevel="0" collapsed="false">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row>
    <row r="166" customFormat="false" ht="15.75" hidden="false" customHeight="false" outlineLevel="0" collapsed="false">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row>
    <row r="167" customFormat="false" ht="15.75" hidden="false" customHeight="false" outlineLevel="0" collapsed="false">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row>
    <row r="168" customFormat="false" ht="15.75" hidden="false" customHeight="false" outlineLevel="0" collapsed="false">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row>
    <row r="169" customFormat="false" ht="15.75" hidden="false" customHeight="false" outlineLevel="0" collapsed="false">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row>
    <row r="170" customFormat="false" ht="15.75" hidden="false" customHeight="false" outlineLevel="0" collapsed="false">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row>
    <row r="171" customFormat="false" ht="15.75" hidden="false" customHeight="false" outlineLevel="0" collapsed="false">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row>
    <row r="172" customFormat="false" ht="15.75" hidden="false" customHeight="false" outlineLevel="0" collapsed="false">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row>
    <row r="173" customFormat="false" ht="15.75" hidden="false" customHeight="false" outlineLevel="0" collapsed="false">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row>
    <row r="174" customFormat="false" ht="15.75" hidden="false" customHeight="false" outlineLevel="0" collapsed="false">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row>
    <row r="175" customFormat="false" ht="15.75" hidden="false" customHeight="false" outlineLevel="0" collapsed="false">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row>
    <row r="176" customFormat="false" ht="15.75" hidden="false" customHeight="false" outlineLevel="0" collapsed="false">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row>
    <row r="177" customFormat="false" ht="15.75" hidden="false" customHeight="false" outlineLevel="0" collapsed="false">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row>
    <row r="178" customFormat="false" ht="15.75" hidden="false" customHeight="false" outlineLevel="0" collapsed="false">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row>
    <row r="179" customFormat="false" ht="15.75" hidden="false" customHeight="false" outlineLevel="0" collapsed="false">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row>
    <row r="180" customFormat="false" ht="15.75" hidden="false" customHeight="false" outlineLevel="0" collapsed="false">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row>
    <row r="181" customFormat="false" ht="15.75" hidden="false" customHeight="false" outlineLevel="0" collapsed="false">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row>
    <row r="182" customFormat="false" ht="15.75" hidden="false" customHeight="false" outlineLevel="0" collapsed="false">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row>
    <row r="183" customFormat="false" ht="15.75" hidden="false" customHeight="false" outlineLevel="0" collapsed="false">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row>
    <row r="184" customFormat="false" ht="15.75" hidden="false" customHeight="false" outlineLevel="0" collapsed="false">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row>
    <row r="185" customFormat="false" ht="15.75" hidden="false" customHeight="false" outlineLevel="0" collapsed="false">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row>
    <row r="186" customFormat="false" ht="15.75" hidden="false" customHeight="false" outlineLevel="0" collapsed="false">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row>
    <row r="187" customFormat="false" ht="15.75" hidden="false" customHeight="false" outlineLevel="0" collapsed="false">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row>
    <row r="188" customFormat="false" ht="15.75" hidden="false" customHeight="false" outlineLevel="0" collapsed="false">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row>
    <row r="189" customFormat="false" ht="15.75" hidden="false" customHeight="false" outlineLevel="0" collapsed="false">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row>
    <row r="190" customFormat="false" ht="15.75" hidden="false" customHeight="false" outlineLevel="0" collapsed="false">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row>
    <row r="191" customFormat="false" ht="15.75" hidden="false" customHeight="false" outlineLevel="0" collapsed="false">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row>
    <row r="192" customFormat="false" ht="15.75" hidden="false" customHeight="false" outlineLevel="0" collapsed="false">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row>
    <row r="193" customFormat="false" ht="15.75" hidden="false" customHeight="false" outlineLevel="0" collapsed="false">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row>
    <row r="194" customFormat="false" ht="15.75" hidden="false" customHeight="false" outlineLevel="0" collapsed="false">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row>
    <row r="195" customFormat="false" ht="15.75" hidden="false" customHeight="false" outlineLevel="0" collapsed="false">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row>
    <row r="196" customFormat="false" ht="15.75" hidden="false" customHeight="false" outlineLevel="0" collapsed="false">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row>
    <row r="197" customFormat="false" ht="15.75" hidden="false" customHeight="false" outlineLevel="0" collapsed="false">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row>
    <row r="198" customFormat="false" ht="15.75" hidden="false" customHeight="false" outlineLevel="0" collapsed="false">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row>
    <row r="199" customFormat="false" ht="15.75" hidden="false" customHeight="false" outlineLevel="0" collapsed="false">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row>
    <row r="200" customFormat="false" ht="15.75" hidden="false" customHeight="false" outlineLevel="0" collapsed="false">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row>
    <row r="201" customFormat="false" ht="15.75" hidden="false" customHeight="false" outlineLevel="0" collapsed="false">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row>
    <row r="202" customFormat="false" ht="15.75" hidden="false" customHeight="false" outlineLevel="0" collapsed="false">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row>
    <row r="203" customFormat="false" ht="15.75" hidden="false" customHeight="false" outlineLevel="0" collapsed="false">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row>
    <row r="204" customFormat="false" ht="15.75" hidden="false" customHeight="false" outlineLevel="0" collapsed="false">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row>
    <row r="205" customFormat="false" ht="15.75" hidden="false" customHeight="false" outlineLevel="0" collapsed="false">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row>
    <row r="206" customFormat="false" ht="15.75" hidden="false" customHeight="false" outlineLevel="0" collapsed="false">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row>
    <row r="207" customFormat="false" ht="15.75" hidden="false" customHeight="false" outlineLevel="0" collapsed="false">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row>
    <row r="208" customFormat="false" ht="15.75" hidden="false" customHeight="false" outlineLevel="0" collapsed="false">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row>
    <row r="209" customFormat="false" ht="15.75" hidden="false" customHeight="false" outlineLevel="0" collapsed="false">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row>
    <row r="210" customFormat="false" ht="15.75" hidden="false" customHeight="false" outlineLevel="0" collapsed="false">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row>
    <row r="211" customFormat="false" ht="15.75" hidden="false" customHeight="false" outlineLevel="0" collapsed="false">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row>
    <row r="212" customFormat="false" ht="15.75" hidden="false" customHeight="false" outlineLevel="0" collapsed="false">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row>
    <row r="213" customFormat="false" ht="15.75" hidden="false" customHeight="false" outlineLevel="0" collapsed="false">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row>
    <row r="214" customFormat="false" ht="15.75" hidden="false" customHeight="false" outlineLevel="0" collapsed="false">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row>
    <row r="215" customFormat="false" ht="15.75" hidden="false" customHeight="false" outlineLevel="0" collapsed="false">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row>
    <row r="216" customFormat="false" ht="15.75" hidden="false" customHeight="false" outlineLevel="0" collapsed="false">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row>
    <row r="217" customFormat="false" ht="15.75" hidden="false" customHeight="false" outlineLevel="0" collapsed="false">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row>
    <row r="218" customFormat="false" ht="15.75" hidden="false" customHeight="false" outlineLevel="0" collapsed="false">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row>
    <row r="219" customFormat="false" ht="15.75" hidden="false" customHeight="false" outlineLevel="0" collapsed="false">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row>
    <row r="220" customFormat="false" ht="15.75" hidden="false" customHeight="false" outlineLevel="0" collapsed="false">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row>
    <row r="221" customFormat="false" ht="15.75" hidden="false" customHeight="false" outlineLevel="0" collapsed="false">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row>
    <row r="222" customFormat="false" ht="15.75" hidden="false" customHeight="false" outlineLevel="0" collapsed="false">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row>
    <row r="223" customFormat="false" ht="15.75" hidden="false" customHeight="false" outlineLevel="0" collapsed="false">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row>
    <row r="224" customFormat="false" ht="15.75" hidden="false" customHeight="false" outlineLevel="0" collapsed="false">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row>
    <row r="225" customFormat="false" ht="15.75" hidden="false" customHeight="false" outlineLevel="0" collapsed="false">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row>
    <row r="226" customFormat="false" ht="15.75" hidden="false" customHeight="false" outlineLevel="0" collapsed="false">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row>
    <row r="227" customFormat="false" ht="15.75" hidden="false" customHeight="false" outlineLevel="0" collapsed="false">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row>
    <row r="228" customFormat="false" ht="15.75" hidden="false" customHeight="false" outlineLevel="0" collapsed="false">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row>
    <row r="229" customFormat="false" ht="15.75" hidden="false" customHeight="false" outlineLevel="0" collapsed="false">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row>
    <row r="230" customFormat="false" ht="15.75" hidden="false" customHeight="false" outlineLevel="0" collapsed="false">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row>
    <row r="231" customFormat="false" ht="15.75" hidden="false" customHeight="false" outlineLevel="0" collapsed="false">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row>
    <row r="232" customFormat="false" ht="15.75" hidden="false" customHeight="false" outlineLevel="0" collapsed="false">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row>
    <row r="233" customFormat="false" ht="15.75" hidden="false" customHeight="false" outlineLevel="0" collapsed="false">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row>
    <row r="234" customFormat="false" ht="15.75" hidden="false" customHeight="false" outlineLevel="0" collapsed="false">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row>
    <row r="235" customFormat="false" ht="15.75" hidden="false" customHeight="false" outlineLevel="0" collapsed="false">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row>
    <row r="236" customFormat="false" ht="15.75" hidden="false" customHeight="false" outlineLevel="0" collapsed="false">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row>
    <row r="237" customFormat="false" ht="15.75" hidden="false" customHeight="false" outlineLevel="0" collapsed="false">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row>
    <row r="238" customFormat="false" ht="15.75" hidden="false" customHeight="false" outlineLevel="0" collapsed="false">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row>
    <row r="239" customFormat="false" ht="15.75" hidden="false" customHeight="false" outlineLevel="0" collapsed="false">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row>
    <row r="240" customFormat="false" ht="15.75" hidden="false" customHeight="false" outlineLevel="0" collapsed="false">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row>
    <row r="241" customFormat="false" ht="15.75" hidden="false" customHeight="false" outlineLevel="0" collapsed="false">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row>
    <row r="242" customFormat="false" ht="15.75" hidden="false" customHeight="false" outlineLevel="0" collapsed="false">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row>
    <row r="243" customFormat="false" ht="15.75" hidden="false" customHeight="false" outlineLevel="0" collapsed="false">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row>
    <row r="244" customFormat="false" ht="15.75" hidden="false" customHeight="false" outlineLevel="0" collapsed="false">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row>
    <row r="245" customFormat="false" ht="15.75" hidden="false" customHeight="false" outlineLevel="0" collapsed="false">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row>
    <row r="246" customFormat="false" ht="15.75" hidden="false" customHeight="false" outlineLevel="0" collapsed="false">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row>
    <row r="247" customFormat="false" ht="15.75" hidden="false" customHeight="false" outlineLevel="0" collapsed="false">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row>
    <row r="248" customFormat="false" ht="15.75" hidden="false" customHeight="false" outlineLevel="0" collapsed="false">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row>
    <row r="249" customFormat="false" ht="15.75" hidden="false" customHeight="false" outlineLevel="0" collapsed="false">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row>
    <row r="250" customFormat="false" ht="15.75" hidden="false" customHeight="false" outlineLevel="0" collapsed="false">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row>
    <row r="251" customFormat="false" ht="15.75" hidden="false" customHeight="false" outlineLevel="0" collapsed="false">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row>
    <row r="252" customFormat="false" ht="15.75" hidden="false" customHeight="false" outlineLevel="0" collapsed="false">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row>
    <row r="253" customFormat="false" ht="15.75" hidden="false" customHeight="false" outlineLevel="0" collapsed="false">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row>
    <row r="254" customFormat="false" ht="15.75" hidden="false" customHeight="false" outlineLevel="0" collapsed="false">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row>
    <row r="255" customFormat="false" ht="15.75" hidden="false" customHeight="false" outlineLevel="0" collapsed="false">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row>
    <row r="256" customFormat="false" ht="15.75" hidden="false" customHeight="false" outlineLevel="0" collapsed="false">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row>
    <row r="257" customFormat="false" ht="15.75" hidden="false" customHeight="false" outlineLevel="0" collapsed="false">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row>
    <row r="258" customFormat="false" ht="15.75" hidden="false" customHeight="false" outlineLevel="0" collapsed="false">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row>
    <row r="259" customFormat="false" ht="15.75" hidden="false" customHeight="false" outlineLevel="0" collapsed="false">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row>
    <row r="260" customFormat="false" ht="15.75" hidden="false" customHeight="false" outlineLevel="0" collapsed="false">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row>
    <row r="261" customFormat="false" ht="15.75" hidden="false" customHeight="false" outlineLevel="0" collapsed="false">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row>
    <row r="262" customFormat="false" ht="15.75" hidden="false" customHeight="false" outlineLevel="0" collapsed="false">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row>
    <row r="263" customFormat="false" ht="15.75" hidden="false" customHeight="false" outlineLevel="0" collapsed="false">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row>
    <row r="264" customFormat="false" ht="15.75" hidden="false" customHeight="false" outlineLevel="0" collapsed="false">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row>
    <row r="265" customFormat="false" ht="15.75" hidden="false" customHeight="false" outlineLevel="0" collapsed="false">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row>
    <row r="266" customFormat="false" ht="15.75" hidden="false" customHeight="false" outlineLevel="0" collapsed="false">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row>
    <row r="267" customFormat="false" ht="15.75" hidden="false" customHeight="false" outlineLevel="0" collapsed="false">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row>
    <row r="268" customFormat="false" ht="15.75" hidden="false" customHeight="false" outlineLevel="0" collapsed="false">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row>
    <row r="269" customFormat="false" ht="15.75" hidden="false" customHeight="false" outlineLevel="0" collapsed="false">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row>
    <row r="270" customFormat="false" ht="15.75" hidden="false" customHeight="false" outlineLevel="0" collapsed="false">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row>
    <row r="271" customFormat="false" ht="15.75" hidden="false" customHeight="false" outlineLevel="0" collapsed="false">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row>
    <row r="272" customFormat="false" ht="15.75" hidden="false" customHeight="false" outlineLevel="0" collapsed="false">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row>
    <row r="273" customFormat="false" ht="15.75" hidden="false" customHeight="false" outlineLevel="0" collapsed="false">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row>
    <row r="274" customFormat="false" ht="15.75" hidden="false" customHeight="false" outlineLevel="0" collapsed="false">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row>
    <row r="275" customFormat="false" ht="15.75" hidden="false" customHeight="false" outlineLevel="0" collapsed="false">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row>
    <row r="276" customFormat="false" ht="15.75" hidden="false" customHeight="false" outlineLevel="0" collapsed="false">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row>
    <row r="277" customFormat="false" ht="15.75" hidden="false" customHeight="false" outlineLevel="0" collapsed="false">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row>
    <row r="278" customFormat="false" ht="15.75" hidden="false" customHeight="false" outlineLevel="0" collapsed="false">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row>
    <row r="279" customFormat="false" ht="15.75" hidden="false" customHeight="false" outlineLevel="0" collapsed="false">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row>
    <row r="280" customFormat="false" ht="15.75" hidden="false" customHeight="false" outlineLevel="0" collapsed="false">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row>
    <row r="281" customFormat="false" ht="15.75" hidden="false" customHeight="false" outlineLevel="0" collapsed="false">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row>
    <row r="282" customFormat="false" ht="15.75" hidden="false" customHeight="false" outlineLevel="0" collapsed="false">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row>
    <row r="283" customFormat="false" ht="15.75" hidden="false" customHeight="false" outlineLevel="0" collapsed="false">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row>
    <row r="284" customFormat="false" ht="15.75" hidden="false" customHeight="false" outlineLevel="0" collapsed="false">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row>
    <row r="285" customFormat="false" ht="15.75" hidden="false" customHeight="false" outlineLevel="0" collapsed="false">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row>
    <row r="286" customFormat="false" ht="15.75" hidden="false" customHeight="false" outlineLevel="0" collapsed="false">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row>
    <row r="287" customFormat="false" ht="15.75" hidden="false" customHeight="false" outlineLevel="0" collapsed="false">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row>
    <row r="288" customFormat="false" ht="15.75" hidden="false" customHeight="false" outlineLevel="0" collapsed="false">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row>
    <row r="289" customFormat="false" ht="15.75" hidden="false" customHeight="false" outlineLevel="0" collapsed="false">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row>
    <row r="290" customFormat="false" ht="15.75" hidden="false" customHeight="false" outlineLevel="0" collapsed="false">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row>
    <row r="291" customFormat="false" ht="15.75" hidden="false" customHeight="false" outlineLevel="0" collapsed="false">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row>
    <row r="292" customFormat="false" ht="15.75" hidden="false" customHeight="false" outlineLevel="0" collapsed="false">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row>
    <row r="293" customFormat="false" ht="15.75" hidden="false" customHeight="false" outlineLevel="0" collapsed="false">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row>
    <row r="294" customFormat="false" ht="15.75" hidden="false" customHeight="false" outlineLevel="0" collapsed="false">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row>
    <row r="295" customFormat="false" ht="15.75" hidden="false" customHeight="false" outlineLevel="0" collapsed="false">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row>
    <row r="296" customFormat="false" ht="15.75" hidden="false" customHeight="false" outlineLevel="0" collapsed="false">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row>
    <row r="297" customFormat="false" ht="15.75" hidden="false" customHeight="false" outlineLevel="0" collapsed="false">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row>
    <row r="298" customFormat="false" ht="15.75" hidden="false" customHeight="false" outlineLevel="0" collapsed="false">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row>
    <row r="299" customFormat="false" ht="15.75" hidden="false" customHeight="false" outlineLevel="0" collapsed="false">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row>
    <row r="300" customFormat="false" ht="15.75" hidden="false" customHeight="false" outlineLevel="0" collapsed="false">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row>
    <row r="301" customFormat="false" ht="15.75" hidden="false" customHeight="false" outlineLevel="0" collapsed="false">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row>
    <row r="302" customFormat="false" ht="15.75" hidden="false" customHeight="false" outlineLevel="0" collapsed="false">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row>
    <row r="303" customFormat="false" ht="15.75" hidden="false" customHeight="false" outlineLevel="0" collapsed="false">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row>
    <row r="304" customFormat="false" ht="15.75" hidden="false" customHeight="false" outlineLevel="0" collapsed="false">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row>
    <row r="305" customFormat="false" ht="15.75" hidden="false" customHeight="false" outlineLevel="0" collapsed="false">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row>
    <row r="306" customFormat="false" ht="15.75" hidden="false" customHeight="false" outlineLevel="0" collapsed="false">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row>
    <row r="307" customFormat="false" ht="15.75" hidden="false" customHeight="false" outlineLevel="0" collapsed="false">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row>
    <row r="308" customFormat="false" ht="15.75" hidden="false" customHeight="false" outlineLevel="0" collapsed="false">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row>
    <row r="309" customFormat="false" ht="15.75" hidden="false" customHeight="false" outlineLevel="0" collapsed="false">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row>
    <row r="310" customFormat="false" ht="15.75" hidden="false" customHeight="false" outlineLevel="0" collapsed="false">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row>
    <row r="311" customFormat="false" ht="15.75" hidden="false" customHeight="false" outlineLevel="0" collapsed="false">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row>
    <row r="312" customFormat="false" ht="15.75" hidden="false" customHeight="false" outlineLevel="0" collapsed="false">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row>
    <row r="313" customFormat="false" ht="15.75" hidden="false" customHeight="false" outlineLevel="0" collapsed="false">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row>
    <row r="314" customFormat="false" ht="15.75" hidden="false" customHeight="false" outlineLevel="0" collapsed="false">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row>
    <row r="315" customFormat="false" ht="15.75" hidden="false" customHeight="false" outlineLevel="0" collapsed="false">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row>
    <row r="316" customFormat="false" ht="15.75" hidden="false" customHeight="false" outlineLevel="0" collapsed="false">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row>
    <row r="317" customFormat="false" ht="15.75" hidden="false" customHeight="false" outlineLevel="0" collapsed="false">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row>
    <row r="318" customFormat="false" ht="15.75" hidden="false" customHeight="false" outlineLevel="0" collapsed="false">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row>
    <row r="319" customFormat="false" ht="15.75" hidden="false" customHeight="false" outlineLevel="0" collapsed="false">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row>
    <row r="320" customFormat="false" ht="15.75" hidden="false" customHeight="false" outlineLevel="0" collapsed="false">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row>
    <row r="321" customFormat="false" ht="15.75" hidden="false" customHeight="false" outlineLevel="0" collapsed="false">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row>
    <row r="322" customFormat="false" ht="15.75" hidden="false" customHeight="false" outlineLevel="0" collapsed="false">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row>
    <row r="323" customFormat="false" ht="15.75" hidden="false" customHeight="false" outlineLevel="0" collapsed="false">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row>
    <row r="324" customFormat="false" ht="15.75" hidden="false" customHeight="false" outlineLevel="0" collapsed="false">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row>
    <row r="325" customFormat="false" ht="15.75" hidden="false" customHeight="false" outlineLevel="0" collapsed="false">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row>
    <row r="326" customFormat="false" ht="15.75" hidden="false" customHeight="false" outlineLevel="0" collapsed="false">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row>
    <row r="327" customFormat="false" ht="15.75" hidden="false" customHeight="false" outlineLevel="0" collapsed="false">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row>
    <row r="328" customFormat="false" ht="15.75" hidden="false" customHeight="false" outlineLevel="0" collapsed="false">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row>
    <row r="329" customFormat="false" ht="15.75" hidden="false" customHeight="false" outlineLevel="0" collapsed="false">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row>
    <row r="330" customFormat="false" ht="15.75" hidden="false" customHeight="false" outlineLevel="0" collapsed="false">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row>
    <row r="331" customFormat="false" ht="15.75" hidden="false" customHeight="false" outlineLevel="0" collapsed="false">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row>
    <row r="332" customFormat="false" ht="15.75" hidden="false" customHeight="false" outlineLevel="0" collapsed="false">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row>
    <row r="333" customFormat="false" ht="15.75" hidden="false" customHeight="false" outlineLevel="0" collapsed="false">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row>
    <row r="334" customFormat="false" ht="15.75" hidden="false" customHeight="false" outlineLevel="0" collapsed="false">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row>
    <row r="335" customFormat="false" ht="15.75" hidden="false" customHeight="false" outlineLevel="0" collapsed="false">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row>
    <row r="336" customFormat="false" ht="15.75" hidden="false" customHeight="false" outlineLevel="0" collapsed="false">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row>
    <row r="337" customFormat="false" ht="15.75" hidden="false" customHeight="false" outlineLevel="0" collapsed="false">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row>
    <row r="338" customFormat="false" ht="15.75" hidden="false" customHeight="false" outlineLevel="0" collapsed="false">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row>
    <row r="339" customFormat="false" ht="15.75" hidden="false" customHeight="false" outlineLevel="0" collapsed="false">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row>
    <row r="340" customFormat="false" ht="15.75" hidden="false" customHeight="false" outlineLevel="0" collapsed="false">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row>
    <row r="341" customFormat="false" ht="15.75" hidden="false" customHeight="false" outlineLevel="0" collapsed="false">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row>
    <row r="342" customFormat="false" ht="15.75" hidden="false" customHeight="false" outlineLevel="0" collapsed="false">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row>
    <row r="343" customFormat="false" ht="15.75" hidden="false" customHeight="false" outlineLevel="0" collapsed="false">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row>
    <row r="344" customFormat="false" ht="15.75" hidden="false" customHeight="false" outlineLevel="0" collapsed="false">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row>
    <row r="345" customFormat="false" ht="15.75" hidden="false" customHeight="false" outlineLevel="0" collapsed="false">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row>
    <row r="346" customFormat="false" ht="15.75" hidden="false" customHeight="false" outlineLevel="0" collapsed="false">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row>
    <row r="347" customFormat="false" ht="15.75" hidden="false" customHeight="false" outlineLevel="0" collapsed="false">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row>
    <row r="348" customFormat="false" ht="15.75" hidden="false" customHeight="false" outlineLevel="0" collapsed="false">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row>
    <row r="349" customFormat="false" ht="15.75" hidden="false" customHeight="false" outlineLevel="0" collapsed="false">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row>
    <row r="350" customFormat="false" ht="15.75" hidden="false" customHeight="false" outlineLevel="0" collapsed="false">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row>
    <row r="351" customFormat="false" ht="15.75" hidden="false" customHeight="false" outlineLevel="0" collapsed="false">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row>
    <row r="352" customFormat="false" ht="15.75" hidden="false" customHeight="false" outlineLevel="0" collapsed="false">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row>
    <row r="353" customFormat="false" ht="15.75" hidden="false" customHeight="false" outlineLevel="0" collapsed="false">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row>
    <row r="354" customFormat="false" ht="15.75" hidden="false" customHeight="false" outlineLevel="0" collapsed="false">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row>
    <row r="355" customFormat="false" ht="15.75" hidden="false" customHeight="false" outlineLevel="0" collapsed="false">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row>
    <row r="356" customFormat="false" ht="15.75" hidden="false" customHeight="false" outlineLevel="0" collapsed="false">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row>
    <row r="357" customFormat="false" ht="15.75" hidden="false" customHeight="false" outlineLevel="0" collapsed="false">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row>
    <row r="358" customFormat="false" ht="15.75" hidden="false" customHeight="false" outlineLevel="0" collapsed="false">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row>
    <row r="359" customFormat="false" ht="15.75" hidden="false" customHeight="false" outlineLevel="0" collapsed="false">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row>
    <row r="360" customFormat="false" ht="15.75" hidden="false" customHeight="false" outlineLevel="0" collapsed="false">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row>
    <row r="361" customFormat="false" ht="15.75" hidden="false" customHeight="false" outlineLevel="0" collapsed="false">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row>
    <row r="362" customFormat="false" ht="15.75" hidden="false" customHeight="false" outlineLevel="0" collapsed="false">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row>
    <row r="363" customFormat="false" ht="15.75" hidden="false" customHeight="false" outlineLevel="0" collapsed="false">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row>
    <row r="364" customFormat="false" ht="15.75" hidden="false" customHeight="false" outlineLevel="0" collapsed="false">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row>
    <row r="365" customFormat="false" ht="15.75" hidden="false" customHeight="false" outlineLevel="0" collapsed="false">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row>
    <row r="366" customFormat="false" ht="15.75" hidden="false" customHeight="false" outlineLevel="0" collapsed="false">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row>
    <row r="367" customFormat="false" ht="15.75" hidden="false" customHeight="false" outlineLevel="0" collapsed="false">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row>
    <row r="368" customFormat="false" ht="15.75" hidden="false" customHeight="false" outlineLevel="0" collapsed="false">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row>
    <row r="369" customFormat="false" ht="15.75" hidden="false" customHeight="false" outlineLevel="0" collapsed="false">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row>
    <row r="370" customFormat="false" ht="15.75" hidden="false" customHeight="false" outlineLevel="0" collapsed="false">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row>
    <row r="371" customFormat="false" ht="15.75" hidden="false" customHeight="false" outlineLevel="0" collapsed="false">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row>
    <row r="372" customFormat="false" ht="15.75" hidden="false" customHeight="false" outlineLevel="0" collapsed="false">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row>
    <row r="373" customFormat="false" ht="15.75" hidden="false" customHeight="false" outlineLevel="0" collapsed="false">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row>
    <row r="374" customFormat="false" ht="15.75" hidden="false" customHeight="false" outlineLevel="0" collapsed="false">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row>
    <row r="375" customFormat="false" ht="15.75" hidden="false" customHeight="false" outlineLevel="0" collapsed="false">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row>
    <row r="376" customFormat="false" ht="15.75" hidden="false" customHeight="false" outlineLevel="0" collapsed="false">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row>
    <row r="377" customFormat="false" ht="15.75" hidden="false" customHeight="false" outlineLevel="0" collapsed="false">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row>
    <row r="378" customFormat="false" ht="15.75" hidden="false" customHeight="false" outlineLevel="0" collapsed="false">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row>
    <row r="379" customFormat="false" ht="15.75" hidden="false" customHeight="false" outlineLevel="0" collapsed="false">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row>
    <row r="380" customFormat="false" ht="15.75" hidden="false" customHeight="false" outlineLevel="0" collapsed="false">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row>
    <row r="381" customFormat="false" ht="15.75" hidden="false" customHeight="false" outlineLevel="0" collapsed="false">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row>
    <row r="382" customFormat="false" ht="15.75" hidden="false" customHeight="false" outlineLevel="0" collapsed="false">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row>
    <row r="383" customFormat="false" ht="15.75" hidden="false" customHeight="false" outlineLevel="0" collapsed="false">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row>
    <row r="384" customFormat="false" ht="15.75" hidden="false" customHeight="false" outlineLevel="0" collapsed="false">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row>
    <row r="385" customFormat="false" ht="15.75" hidden="false" customHeight="false" outlineLevel="0" collapsed="false">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row>
    <row r="386" customFormat="false" ht="15.75" hidden="false" customHeight="false" outlineLevel="0" collapsed="false">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row>
    <row r="387" customFormat="false" ht="15.75" hidden="false" customHeight="false" outlineLevel="0" collapsed="false">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row>
    <row r="388" customFormat="false" ht="15.75" hidden="false" customHeight="false" outlineLevel="0" collapsed="false">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row>
    <row r="389" customFormat="false" ht="15.75" hidden="false" customHeight="false" outlineLevel="0" collapsed="false">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row>
    <row r="390" customFormat="false" ht="15.75" hidden="false" customHeight="false" outlineLevel="0" collapsed="false">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row>
    <row r="391" customFormat="false" ht="15.75" hidden="false" customHeight="false" outlineLevel="0" collapsed="false">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row>
    <row r="392" customFormat="false" ht="15.75" hidden="false" customHeight="false" outlineLevel="0" collapsed="false">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row>
    <row r="393" customFormat="false" ht="15.75" hidden="false" customHeight="false" outlineLevel="0" collapsed="false">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row>
    <row r="394" customFormat="false" ht="15.75" hidden="false" customHeight="false" outlineLevel="0" collapsed="false">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row>
    <row r="395" customFormat="false" ht="15.75" hidden="false" customHeight="false" outlineLevel="0" collapsed="false">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row>
    <row r="396" customFormat="false" ht="15.75" hidden="false" customHeight="false" outlineLevel="0" collapsed="false">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row>
    <row r="397" customFormat="false" ht="15.75" hidden="false" customHeight="false" outlineLevel="0" collapsed="false">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row>
    <row r="398" customFormat="false" ht="15.75" hidden="false" customHeight="false" outlineLevel="0" collapsed="false">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row>
    <row r="399" customFormat="false" ht="15.75" hidden="false" customHeight="false" outlineLevel="0" collapsed="false">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row>
    <row r="400" customFormat="false" ht="15.75" hidden="false" customHeight="false" outlineLevel="0" collapsed="false">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row>
    <row r="401" customFormat="false" ht="15.75" hidden="false" customHeight="false" outlineLevel="0" collapsed="false">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row>
    <row r="402" customFormat="false" ht="15.75" hidden="false" customHeight="false" outlineLevel="0" collapsed="false">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row>
    <row r="403" customFormat="false" ht="15.75" hidden="false" customHeight="false" outlineLevel="0" collapsed="false">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row>
    <row r="404" customFormat="false" ht="15.75" hidden="false" customHeight="false" outlineLevel="0" collapsed="false">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row>
    <row r="405" customFormat="false" ht="15.75" hidden="false" customHeight="false" outlineLevel="0" collapsed="false">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row>
    <row r="406" customFormat="false" ht="15.75" hidden="false" customHeight="false" outlineLevel="0" collapsed="false">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row>
    <row r="407" customFormat="false" ht="15.75" hidden="false" customHeight="false" outlineLevel="0" collapsed="false">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row>
    <row r="408" customFormat="false" ht="15.75" hidden="false" customHeight="false" outlineLevel="0" collapsed="false">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row>
    <row r="409" customFormat="false" ht="15.75" hidden="false" customHeight="false" outlineLevel="0" collapsed="false">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row>
    <row r="410" customFormat="false" ht="15.75" hidden="false" customHeight="false" outlineLevel="0" collapsed="false">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row>
    <row r="411" customFormat="false" ht="15.75" hidden="false" customHeight="false" outlineLevel="0" collapsed="false">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row>
    <row r="412" customFormat="false" ht="15.75" hidden="false" customHeight="false" outlineLevel="0" collapsed="false">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row>
    <row r="413" customFormat="false" ht="15.75" hidden="false" customHeight="false" outlineLevel="0" collapsed="false">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row>
    <row r="414" customFormat="false" ht="15.75" hidden="false" customHeight="false" outlineLevel="0" collapsed="false">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row>
    <row r="415" customFormat="false" ht="15.75" hidden="false" customHeight="false" outlineLevel="0" collapsed="false">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row>
    <row r="416" customFormat="false" ht="15.75" hidden="false" customHeight="false" outlineLevel="0" collapsed="false">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row>
    <row r="417" customFormat="false" ht="15.75" hidden="false" customHeight="false" outlineLevel="0" collapsed="false">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row>
    <row r="418" customFormat="false" ht="15.75" hidden="false" customHeight="false" outlineLevel="0" collapsed="false">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row>
    <row r="419" customFormat="false" ht="15.75" hidden="false" customHeight="false" outlineLevel="0" collapsed="false">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row>
    <row r="420" customFormat="false" ht="15.75" hidden="false" customHeight="false" outlineLevel="0" collapsed="false">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row>
    <row r="421" customFormat="false" ht="15.75" hidden="false" customHeight="false" outlineLevel="0" collapsed="false">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row>
    <row r="422" customFormat="false" ht="15.75" hidden="false" customHeight="false" outlineLevel="0" collapsed="false">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row>
    <row r="423" customFormat="false" ht="15.75" hidden="false" customHeight="false" outlineLevel="0" collapsed="false">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row>
    <row r="424" customFormat="false" ht="15.75" hidden="false" customHeight="false" outlineLevel="0" collapsed="false">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row>
    <row r="425" customFormat="false" ht="15.75" hidden="false" customHeight="false" outlineLevel="0" collapsed="false">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row>
    <row r="426" customFormat="false" ht="15.75" hidden="false" customHeight="false" outlineLevel="0" collapsed="false">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row>
    <row r="427" customFormat="false" ht="15.75" hidden="false" customHeight="false" outlineLevel="0" collapsed="false">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row>
    <row r="428" customFormat="false" ht="15.75" hidden="false" customHeight="false" outlineLevel="0" collapsed="false">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row>
    <row r="429" customFormat="false" ht="15.75" hidden="false" customHeight="false" outlineLevel="0" collapsed="false">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row>
    <row r="430" customFormat="false" ht="15.75" hidden="false" customHeight="false" outlineLevel="0" collapsed="false">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row>
    <row r="431" customFormat="false" ht="15.75" hidden="false" customHeight="false" outlineLevel="0" collapsed="false">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row>
    <row r="432" customFormat="false" ht="15.75" hidden="false" customHeight="false" outlineLevel="0" collapsed="false">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row>
    <row r="433" customFormat="false" ht="15.75" hidden="false" customHeight="false" outlineLevel="0" collapsed="false">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row>
    <row r="434" customFormat="false" ht="15.75" hidden="false" customHeight="false" outlineLevel="0" collapsed="false">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row>
    <row r="435" customFormat="false" ht="15.75" hidden="false" customHeight="false" outlineLevel="0" collapsed="false">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row>
    <row r="436" customFormat="false" ht="15.75" hidden="false" customHeight="false" outlineLevel="0" collapsed="false">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row>
    <row r="437" customFormat="false" ht="15.75" hidden="false" customHeight="false" outlineLevel="0" collapsed="false">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row>
    <row r="438" customFormat="false" ht="15.75" hidden="false" customHeight="false" outlineLevel="0" collapsed="false">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row>
    <row r="439" customFormat="false" ht="15.75" hidden="false" customHeight="false" outlineLevel="0" collapsed="false">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row>
    <row r="440" customFormat="false" ht="15.75" hidden="false" customHeight="false" outlineLevel="0" collapsed="false">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row>
    <row r="441" customFormat="false" ht="15.75" hidden="false" customHeight="false" outlineLevel="0" collapsed="false">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row>
    <row r="442" customFormat="false" ht="15.75" hidden="false" customHeight="false" outlineLevel="0" collapsed="false">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row>
    <row r="443" customFormat="false" ht="15.75" hidden="false" customHeight="false" outlineLevel="0" collapsed="false">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row>
    <row r="444" customFormat="false" ht="15.75" hidden="false" customHeight="false" outlineLevel="0" collapsed="false">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row>
    <row r="445" customFormat="false" ht="15.75" hidden="false" customHeight="false" outlineLevel="0" collapsed="false">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row>
    <row r="446" customFormat="false" ht="15.75" hidden="false" customHeight="false" outlineLevel="0" collapsed="false">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row>
    <row r="447" customFormat="false" ht="15.75" hidden="false" customHeight="false" outlineLevel="0" collapsed="false">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row>
    <row r="448" customFormat="false" ht="15.75" hidden="false" customHeight="false" outlineLevel="0" collapsed="false">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row>
    <row r="449" customFormat="false" ht="15.75" hidden="false" customHeight="false" outlineLevel="0" collapsed="false">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row>
    <row r="450" customFormat="false" ht="15.75" hidden="false" customHeight="false" outlineLevel="0" collapsed="false">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row>
    <row r="451" customFormat="false" ht="15.75" hidden="false" customHeight="false" outlineLevel="0" collapsed="false">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row>
    <row r="452" customFormat="false" ht="15.75" hidden="false" customHeight="false" outlineLevel="0" collapsed="false">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row>
    <row r="453" customFormat="false" ht="15.75" hidden="false" customHeight="false" outlineLevel="0" collapsed="false">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row>
    <row r="454" customFormat="false" ht="15.75" hidden="false" customHeight="false" outlineLevel="0" collapsed="false">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row>
    <row r="455" customFormat="false" ht="15.75" hidden="false" customHeight="false" outlineLevel="0" collapsed="false">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row>
    <row r="456" customFormat="false" ht="15.75" hidden="false" customHeight="false" outlineLevel="0" collapsed="false">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row>
    <row r="457" customFormat="false" ht="15.75" hidden="false" customHeight="false" outlineLevel="0" collapsed="false">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row>
    <row r="458" customFormat="false" ht="15.75" hidden="false" customHeight="false" outlineLevel="0" collapsed="false">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row>
    <row r="459" customFormat="false" ht="15.75" hidden="false" customHeight="false" outlineLevel="0" collapsed="false">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row>
    <row r="460" customFormat="false" ht="15.75" hidden="false" customHeight="false" outlineLevel="0" collapsed="false">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row>
    <row r="461" customFormat="false" ht="15.75" hidden="false" customHeight="false" outlineLevel="0" collapsed="false">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row>
    <row r="462" customFormat="false" ht="15.75" hidden="false" customHeight="false" outlineLevel="0" collapsed="false">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row>
    <row r="463" customFormat="false" ht="15.75" hidden="false" customHeight="false" outlineLevel="0" collapsed="false">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row>
    <row r="464" customFormat="false" ht="15.75" hidden="false" customHeight="false" outlineLevel="0" collapsed="false">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row>
    <row r="465" customFormat="false" ht="15.75" hidden="false" customHeight="false" outlineLevel="0" collapsed="false">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row>
    <row r="466" customFormat="false" ht="15.75" hidden="false" customHeight="false" outlineLevel="0" collapsed="false">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row>
    <row r="467" customFormat="false" ht="15.75" hidden="false" customHeight="false" outlineLevel="0" collapsed="false">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row>
    <row r="468" customFormat="false" ht="15.75" hidden="false" customHeight="false" outlineLevel="0" collapsed="false">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row>
    <row r="469" customFormat="false" ht="15.75" hidden="false" customHeight="false" outlineLevel="0" collapsed="false">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row>
    <row r="470" customFormat="false" ht="15.75" hidden="false" customHeight="false" outlineLevel="0" collapsed="false">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row>
    <row r="471" customFormat="false" ht="15.75" hidden="false" customHeight="false" outlineLevel="0" collapsed="false">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row>
    <row r="472" customFormat="false" ht="15.75" hidden="false" customHeight="false" outlineLevel="0" collapsed="false">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row>
    <row r="473" customFormat="false" ht="15.75" hidden="false" customHeight="false" outlineLevel="0" collapsed="false">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row>
    <row r="474" customFormat="false" ht="15.75" hidden="false" customHeight="false" outlineLevel="0" collapsed="false">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row>
    <row r="475" customFormat="false" ht="15.75" hidden="false" customHeight="false" outlineLevel="0" collapsed="false">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row>
    <row r="476" customFormat="false" ht="15.75" hidden="false" customHeight="false" outlineLevel="0" collapsed="false">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row>
    <row r="477" customFormat="false" ht="15.75" hidden="false" customHeight="false" outlineLevel="0" collapsed="false">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row>
    <row r="478" customFormat="false" ht="15.75" hidden="false" customHeight="false" outlineLevel="0" collapsed="false">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row>
    <row r="479" customFormat="false" ht="15.75" hidden="false" customHeight="false" outlineLevel="0" collapsed="false">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row>
    <row r="480" customFormat="false" ht="15.75" hidden="false" customHeight="false" outlineLevel="0" collapsed="false">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row>
    <row r="481" customFormat="false" ht="15.75" hidden="false" customHeight="false" outlineLevel="0" collapsed="false">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row>
    <row r="482" customFormat="false" ht="15.75" hidden="false" customHeight="false" outlineLevel="0" collapsed="false">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row>
    <row r="483" customFormat="false" ht="15.75" hidden="false" customHeight="false" outlineLevel="0" collapsed="false">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row>
    <row r="484" customFormat="false" ht="15.75" hidden="false" customHeight="false" outlineLevel="0" collapsed="false">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row>
    <row r="485" customFormat="false" ht="15.75" hidden="false" customHeight="false" outlineLevel="0" collapsed="false">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row>
    <row r="486" customFormat="false" ht="15.75" hidden="false" customHeight="false" outlineLevel="0" collapsed="false">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row>
    <row r="487" customFormat="false" ht="15.75" hidden="false" customHeight="false" outlineLevel="0" collapsed="false">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row>
    <row r="488" customFormat="false" ht="15.75" hidden="false" customHeight="false" outlineLevel="0" collapsed="false">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row>
    <row r="489" customFormat="false" ht="15.75" hidden="false" customHeight="false" outlineLevel="0" collapsed="false">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row>
    <row r="490" customFormat="false" ht="15.75" hidden="false" customHeight="false" outlineLevel="0" collapsed="false">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row>
    <row r="491" customFormat="false" ht="15.75" hidden="false" customHeight="false" outlineLevel="0" collapsed="false">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row>
    <row r="492" customFormat="false" ht="15.75" hidden="false" customHeight="false" outlineLevel="0" collapsed="false">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row>
    <row r="493" customFormat="false" ht="15.75" hidden="false" customHeight="false" outlineLevel="0" collapsed="false">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row>
    <row r="494" customFormat="false" ht="15.75" hidden="false" customHeight="false" outlineLevel="0" collapsed="false">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row>
    <row r="495" customFormat="false" ht="15.75" hidden="false" customHeight="false" outlineLevel="0" collapsed="false">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row>
    <row r="496" customFormat="false" ht="15.75" hidden="false" customHeight="false" outlineLevel="0" collapsed="false">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row>
    <row r="497" customFormat="false" ht="15.75" hidden="false" customHeight="false" outlineLevel="0" collapsed="false">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row>
    <row r="498" customFormat="false" ht="15.75" hidden="false" customHeight="false" outlineLevel="0" collapsed="false">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row>
    <row r="499" customFormat="false" ht="15.75" hidden="false" customHeight="false" outlineLevel="0" collapsed="false">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row>
    <row r="500" customFormat="false" ht="15.75" hidden="false" customHeight="false" outlineLevel="0" collapsed="false">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row>
    <row r="501" customFormat="false" ht="15.75" hidden="false" customHeight="false" outlineLevel="0" collapsed="false">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row>
    <row r="502" customFormat="false" ht="15.75" hidden="false" customHeight="false" outlineLevel="0" collapsed="false">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row>
    <row r="503" customFormat="false" ht="15.75" hidden="false" customHeight="false" outlineLevel="0" collapsed="false">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row>
    <row r="504" customFormat="false" ht="15.75" hidden="false" customHeight="false" outlineLevel="0" collapsed="false">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row>
    <row r="505" customFormat="false" ht="15.75" hidden="false" customHeight="false" outlineLevel="0" collapsed="false">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row>
    <row r="506" customFormat="false" ht="15.75" hidden="false" customHeight="false" outlineLevel="0" collapsed="false">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row>
    <row r="507" customFormat="false" ht="15.75" hidden="false" customHeight="false" outlineLevel="0" collapsed="false">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row>
    <row r="508" customFormat="false" ht="15.75" hidden="false" customHeight="false" outlineLevel="0" collapsed="false">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row>
    <row r="509" customFormat="false" ht="15.75" hidden="false" customHeight="false" outlineLevel="0" collapsed="false">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row>
    <row r="510" customFormat="false" ht="15.75" hidden="false" customHeight="false" outlineLevel="0" collapsed="false">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row>
    <row r="511" customFormat="false" ht="15.75" hidden="false" customHeight="false" outlineLevel="0" collapsed="false">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row>
    <row r="512" customFormat="false" ht="15.75" hidden="false" customHeight="false" outlineLevel="0" collapsed="false">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row>
    <row r="513" customFormat="false" ht="15.75" hidden="false" customHeight="false" outlineLevel="0" collapsed="false">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row>
    <row r="514" customFormat="false" ht="15.75" hidden="false" customHeight="false" outlineLevel="0" collapsed="false">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row>
    <row r="515" customFormat="false" ht="15.75" hidden="false" customHeight="false" outlineLevel="0" collapsed="false">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row>
    <row r="516" customFormat="false" ht="15.75" hidden="false" customHeight="false" outlineLevel="0" collapsed="false">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row>
    <row r="517" customFormat="false" ht="15.75" hidden="false" customHeight="false" outlineLevel="0" collapsed="false">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row>
    <row r="518" customFormat="false" ht="15.75" hidden="false" customHeight="false" outlineLevel="0" collapsed="false">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row>
    <row r="519" customFormat="false" ht="15.75" hidden="false" customHeight="false" outlineLevel="0" collapsed="false">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row>
    <row r="520" customFormat="false" ht="15.75" hidden="false" customHeight="false" outlineLevel="0" collapsed="false">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row>
    <row r="521" customFormat="false" ht="15.75" hidden="false" customHeight="false" outlineLevel="0" collapsed="false">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row>
    <row r="522" customFormat="false" ht="15.75" hidden="false" customHeight="false" outlineLevel="0" collapsed="false">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row>
    <row r="523" customFormat="false" ht="15.75" hidden="false" customHeight="false" outlineLevel="0" collapsed="false">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row>
    <row r="524" customFormat="false" ht="15.75" hidden="false" customHeight="false" outlineLevel="0" collapsed="false">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row>
    <row r="525" customFormat="false" ht="15.75" hidden="false" customHeight="false" outlineLevel="0" collapsed="false">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row>
    <row r="526" customFormat="false" ht="15.75" hidden="false" customHeight="false" outlineLevel="0" collapsed="false">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row>
    <row r="527" customFormat="false" ht="15.75" hidden="false" customHeight="false" outlineLevel="0" collapsed="false">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row>
    <row r="528" customFormat="false" ht="15.75" hidden="false" customHeight="false" outlineLevel="0" collapsed="false">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row>
    <row r="529" customFormat="false" ht="15.75" hidden="false" customHeight="false" outlineLevel="0" collapsed="false">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row>
    <row r="530" customFormat="false" ht="15.75" hidden="false" customHeight="false" outlineLevel="0" collapsed="false">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row>
    <row r="531" customFormat="false" ht="15.75" hidden="false" customHeight="false" outlineLevel="0" collapsed="false">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row>
    <row r="532" customFormat="false" ht="15.75" hidden="false" customHeight="false" outlineLevel="0" collapsed="false">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row>
    <row r="533" customFormat="false" ht="15.75" hidden="false" customHeight="false" outlineLevel="0" collapsed="false">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row>
    <row r="534" customFormat="false" ht="15.75" hidden="false" customHeight="false" outlineLevel="0" collapsed="false">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row>
    <row r="535" customFormat="false" ht="15.75" hidden="false" customHeight="false" outlineLevel="0" collapsed="false">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row>
    <row r="536" customFormat="false" ht="15.75" hidden="false" customHeight="false" outlineLevel="0" collapsed="false">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row>
    <row r="537" customFormat="false" ht="15.75" hidden="false" customHeight="false" outlineLevel="0" collapsed="false">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row>
    <row r="538" customFormat="false" ht="15.75" hidden="false" customHeight="false" outlineLevel="0" collapsed="false">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row>
    <row r="539" customFormat="false" ht="15.75" hidden="false" customHeight="false" outlineLevel="0" collapsed="false">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row>
    <row r="540" customFormat="false" ht="15.75" hidden="false" customHeight="false" outlineLevel="0" collapsed="false">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row>
    <row r="541" customFormat="false" ht="15.75" hidden="false" customHeight="false" outlineLevel="0" collapsed="false">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row>
    <row r="542" customFormat="false" ht="15.75" hidden="false" customHeight="false" outlineLevel="0" collapsed="false">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row>
    <row r="543" customFormat="false" ht="15.75" hidden="false" customHeight="false" outlineLevel="0" collapsed="false">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row>
    <row r="544" customFormat="false" ht="15.75" hidden="false" customHeight="false" outlineLevel="0" collapsed="false">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row>
    <row r="545" customFormat="false" ht="15.75" hidden="false" customHeight="false" outlineLevel="0" collapsed="false">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row>
    <row r="546" customFormat="false" ht="15.75" hidden="false" customHeight="false" outlineLevel="0" collapsed="false">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row>
    <row r="547" customFormat="false" ht="15.75" hidden="false" customHeight="false" outlineLevel="0" collapsed="false">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row>
    <row r="548" customFormat="false" ht="15.75" hidden="false" customHeight="false" outlineLevel="0" collapsed="false">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row>
    <row r="549" customFormat="false" ht="15.75" hidden="false" customHeight="false" outlineLevel="0" collapsed="false">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row>
    <row r="550" customFormat="false" ht="15.75" hidden="false" customHeight="false" outlineLevel="0" collapsed="false">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row>
    <row r="551" customFormat="false" ht="15.75" hidden="false" customHeight="false" outlineLevel="0" collapsed="false">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row>
    <row r="552" customFormat="false" ht="15.75" hidden="false" customHeight="false" outlineLevel="0" collapsed="false">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row>
    <row r="553" customFormat="false" ht="15.75" hidden="false" customHeight="false" outlineLevel="0" collapsed="false">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row>
    <row r="554" customFormat="false" ht="15.75" hidden="false" customHeight="false" outlineLevel="0" collapsed="false">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row>
    <row r="555" customFormat="false" ht="15.75" hidden="false" customHeight="false" outlineLevel="0" collapsed="false">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row>
    <row r="556" customFormat="false" ht="15.75" hidden="false" customHeight="false" outlineLevel="0" collapsed="false">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row>
    <row r="557" customFormat="false" ht="15.75" hidden="false" customHeight="false" outlineLevel="0" collapsed="false">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row>
    <row r="558" customFormat="false" ht="15.75" hidden="false" customHeight="false" outlineLevel="0" collapsed="false">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row>
    <row r="559" customFormat="false" ht="15.75" hidden="false" customHeight="false" outlineLevel="0" collapsed="false">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row>
    <row r="560" customFormat="false" ht="15.75" hidden="false" customHeight="false" outlineLevel="0" collapsed="false">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row>
    <row r="561" customFormat="false" ht="15.75" hidden="false" customHeight="false" outlineLevel="0" collapsed="false">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row>
    <row r="562" customFormat="false" ht="15.75" hidden="false" customHeight="false" outlineLevel="0" collapsed="false">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row>
    <row r="563" customFormat="false" ht="15.75" hidden="false" customHeight="false" outlineLevel="0" collapsed="false">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row>
    <row r="564" customFormat="false" ht="15.75" hidden="false" customHeight="false" outlineLevel="0" collapsed="false">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row>
    <row r="565" customFormat="false" ht="15.75" hidden="false" customHeight="false" outlineLevel="0" collapsed="false">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row>
    <row r="566" customFormat="false" ht="15.75" hidden="false" customHeight="false" outlineLevel="0" collapsed="false">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row>
    <row r="567" customFormat="false" ht="15.75" hidden="false" customHeight="false" outlineLevel="0" collapsed="false">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row>
    <row r="568" customFormat="false" ht="15.75" hidden="false" customHeight="false" outlineLevel="0" collapsed="false">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row>
    <row r="569" customFormat="false" ht="15.75" hidden="false" customHeight="false" outlineLevel="0" collapsed="false">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row>
    <row r="570" customFormat="false" ht="15.75" hidden="false" customHeight="false" outlineLevel="0" collapsed="false">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row>
    <row r="571" customFormat="false" ht="15.75" hidden="false" customHeight="false" outlineLevel="0" collapsed="false">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row>
    <row r="572" customFormat="false" ht="15.75" hidden="false" customHeight="false" outlineLevel="0" collapsed="false">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row>
    <row r="573" customFormat="false" ht="15.75" hidden="false" customHeight="false" outlineLevel="0" collapsed="false">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row>
    <row r="574" customFormat="false" ht="15.75" hidden="false" customHeight="false" outlineLevel="0" collapsed="false">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row>
    <row r="575" customFormat="false" ht="15.75" hidden="false" customHeight="false" outlineLevel="0" collapsed="false">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row>
    <row r="576" customFormat="false" ht="15.75" hidden="false" customHeight="false" outlineLevel="0" collapsed="false">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row>
    <row r="577" customFormat="false" ht="15.75" hidden="false" customHeight="false" outlineLevel="0" collapsed="false">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row>
    <row r="578" customFormat="false" ht="15.75" hidden="false" customHeight="false" outlineLevel="0" collapsed="false">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row>
    <row r="579" customFormat="false" ht="15.75" hidden="false" customHeight="false" outlineLevel="0" collapsed="false">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row>
    <row r="580" customFormat="false" ht="15.75" hidden="false" customHeight="false" outlineLevel="0" collapsed="false">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row>
    <row r="581" customFormat="false" ht="15.75" hidden="false" customHeight="false" outlineLevel="0" collapsed="false">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row>
    <row r="582" customFormat="false" ht="15.75" hidden="false" customHeight="false" outlineLevel="0" collapsed="false">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row>
    <row r="583" customFormat="false" ht="15.75" hidden="false" customHeight="false" outlineLevel="0" collapsed="false">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row>
    <row r="584" customFormat="false" ht="15.75" hidden="false" customHeight="false" outlineLevel="0" collapsed="false">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row>
    <row r="585" customFormat="false" ht="15.75" hidden="false" customHeight="false" outlineLevel="0" collapsed="false">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row>
    <row r="586" customFormat="false" ht="15.75" hidden="false" customHeight="false" outlineLevel="0" collapsed="false">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row>
    <row r="587" customFormat="false" ht="15.75" hidden="false" customHeight="false" outlineLevel="0" collapsed="false">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row>
    <row r="588" customFormat="false" ht="15.75" hidden="false" customHeight="false" outlineLevel="0" collapsed="false">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row>
    <row r="589" customFormat="false" ht="15.75" hidden="false" customHeight="false" outlineLevel="0" collapsed="false">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row>
    <row r="590" customFormat="false" ht="15.75" hidden="false" customHeight="false" outlineLevel="0" collapsed="false">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row>
    <row r="591" customFormat="false" ht="15.75" hidden="false" customHeight="false" outlineLevel="0" collapsed="false">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row>
    <row r="592" customFormat="false" ht="15.75" hidden="false" customHeight="false" outlineLevel="0" collapsed="false">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row>
    <row r="593" customFormat="false" ht="15.75" hidden="false" customHeight="false" outlineLevel="0" collapsed="false">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row>
    <row r="594" customFormat="false" ht="15.75" hidden="false" customHeight="false" outlineLevel="0" collapsed="false">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row>
    <row r="595" customFormat="false" ht="15.75" hidden="false" customHeight="false" outlineLevel="0" collapsed="false">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row>
    <row r="596" customFormat="false" ht="15.75" hidden="false" customHeight="false" outlineLevel="0" collapsed="false">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row>
    <row r="597" customFormat="false" ht="15.75" hidden="false" customHeight="false" outlineLevel="0" collapsed="false">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row>
    <row r="598" customFormat="false" ht="15.75" hidden="false" customHeight="false" outlineLevel="0" collapsed="false">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row>
    <row r="599" customFormat="false" ht="15.75" hidden="false" customHeight="false" outlineLevel="0" collapsed="false">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row>
    <row r="600" customFormat="false" ht="15.75" hidden="false" customHeight="false" outlineLevel="0" collapsed="false">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row>
    <row r="601" customFormat="false" ht="15.75" hidden="false" customHeight="false" outlineLevel="0" collapsed="false">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row>
    <row r="602" customFormat="false" ht="15.75" hidden="false" customHeight="false" outlineLevel="0" collapsed="false">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row>
    <row r="603" customFormat="false" ht="15.75" hidden="false" customHeight="false" outlineLevel="0" collapsed="false">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row>
    <row r="604" customFormat="false" ht="15.75" hidden="false" customHeight="false" outlineLevel="0" collapsed="false">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row>
    <row r="605" customFormat="false" ht="15.75" hidden="false" customHeight="false" outlineLevel="0" collapsed="false">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row>
    <row r="606" customFormat="false" ht="15.75" hidden="false" customHeight="false" outlineLevel="0" collapsed="false">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row>
    <row r="607" customFormat="false" ht="15.75" hidden="false" customHeight="false" outlineLevel="0" collapsed="false">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row>
    <row r="608" customFormat="false" ht="15.75" hidden="false" customHeight="false" outlineLevel="0" collapsed="false">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row>
    <row r="609" customFormat="false" ht="15.75" hidden="false" customHeight="false" outlineLevel="0" collapsed="false">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row>
    <row r="610" customFormat="false" ht="15.75" hidden="false" customHeight="false" outlineLevel="0" collapsed="false">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row>
    <row r="611" customFormat="false" ht="15.75" hidden="false" customHeight="false" outlineLevel="0" collapsed="false">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row>
    <row r="612" customFormat="false" ht="15.75" hidden="false" customHeight="false" outlineLevel="0" collapsed="false">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row>
    <row r="613" customFormat="false" ht="15.75" hidden="false" customHeight="false" outlineLevel="0" collapsed="false">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row>
    <row r="614" customFormat="false" ht="15.75" hidden="false" customHeight="false" outlineLevel="0" collapsed="false">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row>
    <row r="615" customFormat="false" ht="15.75" hidden="false" customHeight="false" outlineLevel="0" collapsed="false">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row>
    <row r="616" customFormat="false" ht="15.75" hidden="false" customHeight="false" outlineLevel="0" collapsed="false">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row>
    <row r="617" customFormat="false" ht="15.75" hidden="false" customHeight="false" outlineLevel="0" collapsed="false">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row>
    <row r="618" customFormat="false" ht="15.75" hidden="false" customHeight="false" outlineLevel="0" collapsed="false">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row>
    <row r="619" customFormat="false" ht="15.75" hidden="false" customHeight="false" outlineLevel="0" collapsed="false">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row>
    <row r="620" customFormat="false" ht="15.75" hidden="false" customHeight="false" outlineLevel="0" collapsed="false">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row>
    <row r="621" customFormat="false" ht="15.75" hidden="false" customHeight="false" outlineLevel="0" collapsed="false">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row>
    <row r="622" customFormat="false" ht="15.75" hidden="false" customHeight="false" outlineLevel="0" collapsed="false">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row>
    <row r="623" customFormat="false" ht="15.75" hidden="false" customHeight="false" outlineLevel="0" collapsed="false">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row>
    <row r="624" customFormat="false" ht="15.75" hidden="false" customHeight="false" outlineLevel="0" collapsed="false">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row>
    <row r="625" customFormat="false" ht="15.75" hidden="false" customHeight="false" outlineLevel="0" collapsed="false">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row>
    <row r="626" customFormat="false" ht="15.75" hidden="false" customHeight="false" outlineLevel="0" collapsed="false">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row>
    <row r="627" customFormat="false" ht="15.75" hidden="false" customHeight="false" outlineLevel="0" collapsed="false">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row>
    <row r="628" customFormat="false" ht="15.75" hidden="false" customHeight="false" outlineLevel="0" collapsed="false">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row>
    <row r="629" customFormat="false" ht="15.75" hidden="false" customHeight="false" outlineLevel="0" collapsed="false">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row>
    <row r="630" customFormat="false" ht="15.75" hidden="false" customHeight="false" outlineLevel="0" collapsed="false">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row>
    <row r="631" customFormat="false" ht="15.75" hidden="false" customHeight="false" outlineLevel="0" collapsed="false">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row>
    <row r="632" customFormat="false" ht="15.75" hidden="false" customHeight="false" outlineLevel="0" collapsed="false">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row>
    <row r="633" customFormat="false" ht="15.75" hidden="false" customHeight="false" outlineLevel="0" collapsed="false">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row>
    <row r="634" customFormat="false" ht="15.75" hidden="false" customHeight="false" outlineLevel="0" collapsed="false">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row>
    <row r="635" customFormat="false" ht="15.75" hidden="false" customHeight="false" outlineLevel="0" collapsed="false">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row>
    <row r="636" customFormat="false" ht="15.75" hidden="false" customHeight="false" outlineLevel="0" collapsed="false">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row>
    <row r="637" customFormat="false" ht="15.75" hidden="false" customHeight="false" outlineLevel="0" collapsed="false">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row>
    <row r="638" customFormat="false" ht="15.75" hidden="false" customHeight="false" outlineLevel="0" collapsed="false">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row>
    <row r="639" customFormat="false" ht="15.75" hidden="false" customHeight="false" outlineLevel="0" collapsed="false">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row>
    <row r="640" customFormat="false" ht="15.75" hidden="false" customHeight="false" outlineLevel="0" collapsed="false">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row>
    <row r="641" customFormat="false" ht="15.75" hidden="false" customHeight="false" outlineLevel="0" collapsed="false">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row>
    <row r="642" customFormat="false" ht="15.75" hidden="false" customHeight="false" outlineLevel="0" collapsed="false">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row>
    <row r="643" customFormat="false" ht="15.75" hidden="false" customHeight="false" outlineLevel="0" collapsed="false">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row>
    <row r="644" customFormat="false" ht="15.75" hidden="false" customHeight="false" outlineLevel="0" collapsed="false">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row>
    <row r="645" customFormat="false" ht="15.75" hidden="false" customHeight="false" outlineLevel="0" collapsed="false">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row>
    <row r="646" customFormat="false" ht="15.75" hidden="false" customHeight="false" outlineLevel="0" collapsed="false">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row>
    <row r="647" customFormat="false" ht="15.75" hidden="false" customHeight="false" outlineLevel="0" collapsed="false">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row>
    <row r="648" customFormat="false" ht="15.75" hidden="false" customHeight="false" outlineLevel="0" collapsed="false">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row>
    <row r="649" customFormat="false" ht="15.75" hidden="false" customHeight="false" outlineLevel="0" collapsed="false">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row>
    <row r="650" customFormat="false" ht="15.75" hidden="false" customHeight="false" outlineLevel="0" collapsed="false">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row>
    <row r="651" customFormat="false" ht="15.75" hidden="false" customHeight="false" outlineLevel="0" collapsed="false">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row>
    <row r="652" customFormat="false" ht="15.75" hidden="false" customHeight="false" outlineLevel="0" collapsed="false">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row>
    <row r="653" customFormat="false" ht="15.75" hidden="false" customHeight="false" outlineLevel="0" collapsed="false">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row>
    <row r="654" customFormat="false" ht="15.75" hidden="false" customHeight="false" outlineLevel="0" collapsed="false">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row>
    <row r="655" customFormat="false" ht="15.75" hidden="false" customHeight="false" outlineLevel="0" collapsed="false">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row>
    <row r="656" customFormat="false" ht="15.75" hidden="false" customHeight="false" outlineLevel="0" collapsed="false">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row>
    <row r="657" customFormat="false" ht="15.75" hidden="false" customHeight="false" outlineLevel="0" collapsed="false">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row>
    <row r="658" customFormat="false" ht="15.75" hidden="false" customHeight="false" outlineLevel="0" collapsed="false">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row>
    <row r="659" customFormat="false" ht="15.75" hidden="false" customHeight="false" outlineLevel="0" collapsed="false">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row>
    <row r="660" customFormat="false" ht="15.75" hidden="false" customHeight="false" outlineLevel="0" collapsed="false">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row>
    <row r="661" customFormat="false" ht="15.75" hidden="false" customHeight="false" outlineLevel="0" collapsed="false">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row>
    <row r="662" customFormat="false" ht="15.75" hidden="false" customHeight="false" outlineLevel="0" collapsed="false">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row>
    <row r="663" customFormat="false" ht="15.75" hidden="false" customHeight="false" outlineLevel="0" collapsed="false">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row>
    <row r="664" customFormat="false" ht="15.75" hidden="false" customHeight="false" outlineLevel="0" collapsed="false">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row>
    <row r="665" customFormat="false" ht="15.75" hidden="false" customHeight="false" outlineLevel="0" collapsed="false">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row>
    <row r="666" customFormat="false" ht="15.75" hidden="false" customHeight="false" outlineLevel="0" collapsed="false">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row>
    <row r="667" customFormat="false" ht="15.75" hidden="false" customHeight="false" outlineLevel="0" collapsed="false">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row>
    <row r="668" customFormat="false" ht="15.75" hidden="false" customHeight="false" outlineLevel="0" collapsed="false">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row>
    <row r="669" customFormat="false" ht="15.75" hidden="false" customHeight="false" outlineLevel="0" collapsed="false">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row>
    <row r="670" customFormat="false" ht="15.75" hidden="false" customHeight="false" outlineLevel="0" collapsed="false">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row>
    <row r="671" customFormat="false" ht="15.75" hidden="false" customHeight="false" outlineLevel="0" collapsed="false">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row>
    <row r="672" customFormat="false" ht="15.75" hidden="false" customHeight="false" outlineLevel="0" collapsed="false">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row>
    <row r="673" customFormat="false" ht="15.75" hidden="false" customHeight="false" outlineLevel="0" collapsed="false">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row>
    <row r="674" customFormat="false" ht="15.75" hidden="false" customHeight="false" outlineLevel="0" collapsed="false">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row>
    <row r="675" customFormat="false" ht="15.75" hidden="false" customHeight="false" outlineLevel="0" collapsed="false">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row>
    <row r="676" customFormat="false" ht="15.75" hidden="false" customHeight="false" outlineLevel="0" collapsed="false">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row>
    <row r="677" customFormat="false" ht="15.75" hidden="false" customHeight="false" outlineLevel="0" collapsed="false">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row>
    <row r="678" customFormat="false" ht="15.75" hidden="false" customHeight="false" outlineLevel="0" collapsed="false">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row>
    <row r="679" customFormat="false" ht="15.75" hidden="false" customHeight="false" outlineLevel="0" collapsed="false">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row>
    <row r="680" customFormat="false" ht="15.75" hidden="false" customHeight="false" outlineLevel="0" collapsed="false">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row>
    <row r="681" customFormat="false" ht="15.75" hidden="false" customHeight="false" outlineLevel="0" collapsed="false">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row>
    <row r="682" customFormat="false" ht="15.75" hidden="false" customHeight="false" outlineLevel="0" collapsed="false">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row>
    <row r="683" customFormat="false" ht="15.75" hidden="false" customHeight="false" outlineLevel="0" collapsed="false">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row>
    <row r="684" customFormat="false" ht="15.75" hidden="false" customHeight="false" outlineLevel="0" collapsed="false">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row>
    <row r="685" customFormat="false" ht="15.75" hidden="false" customHeight="false" outlineLevel="0" collapsed="false">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row>
    <row r="686" customFormat="false" ht="15.75" hidden="false" customHeight="false" outlineLevel="0" collapsed="false">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row>
    <row r="687" customFormat="false" ht="15.75" hidden="false" customHeight="false" outlineLevel="0" collapsed="false">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row>
    <row r="688" customFormat="false" ht="15.75" hidden="false" customHeight="false" outlineLevel="0" collapsed="false">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row>
    <row r="689" customFormat="false" ht="15.75" hidden="false" customHeight="false" outlineLevel="0" collapsed="false">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row>
    <row r="690" customFormat="false" ht="15.75" hidden="false" customHeight="false" outlineLevel="0" collapsed="false">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row>
    <row r="691" customFormat="false" ht="15.75" hidden="false" customHeight="false" outlineLevel="0" collapsed="false">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row>
    <row r="692" customFormat="false" ht="15.75" hidden="false" customHeight="false" outlineLevel="0" collapsed="false">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row>
    <row r="693" customFormat="false" ht="15.75" hidden="false" customHeight="false" outlineLevel="0" collapsed="false">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row>
    <row r="694" customFormat="false" ht="15.75" hidden="false" customHeight="false" outlineLevel="0" collapsed="false">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row>
    <row r="695" customFormat="false" ht="15.75" hidden="false" customHeight="false" outlineLevel="0" collapsed="false">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row>
    <row r="696" customFormat="false" ht="15.75" hidden="false" customHeight="false" outlineLevel="0" collapsed="false">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row>
    <row r="697" customFormat="false" ht="15.75" hidden="false" customHeight="false" outlineLevel="0" collapsed="false">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row>
    <row r="698" customFormat="false" ht="15.75" hidden="false" customHeight="false" outlineLevel="0" collapsed="false">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row>
    <row r="699" customFormat="false" ht="15.75" hidden="false" customHeight="false" outlineLevel="0" collapsed="false">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row>
    <row r="700" customFormat="false" ht="15.75" hidden="false" customHeight="false" outlineLevel="0" collapsed="false">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row>
    <row r="701" customFormat="false" ht="15.75" hidden="false" customHeight="false" outlineLevel="0" collapsed="false">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row>
    <row r="702" customFormat="false" ht="15.75" hidden="false" customHeight="false" outlineLevel="0" collapsed="false">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row>
    <row r="703" customFormat="false" ht="15.75" hidden="false" customHeight="false" outlineLevel="0" collapsed="false">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row>
    <row r="704" customFormat="false" ht="15.75" hidden="false" customHeight="false" outlineLevel="0" collapsed="false">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row>
    <row r="705" customFormat="false" ht="15.75" hidden="false" customHeight="false" outlineLevel="0" collapsed="false">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row>
    <row r="706" customFormat="false" ht="15.75" hidden="false" customHeight="false" outlineLevel="0" collapsed="false">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row>
    <row r="707" customFormat="false" ht="15.75" hidden="false" customHeight="false" outlineLevel="0" collapsed="false">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row>
    <row r="708" customFormat="false" ht="15.75" hidden="false" customHeight="false" outlineLevel="0" collapsed="false">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row>
    <row r="709" customFormat="false" ht="15.75" hidden="false" customHeight="false" outlineLevel="0" collapsed="false">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row>
    <row r="710" customFormat="false" ht="15.75" hidden="false" customHeight="false" outlineLevel="0" collapsed="false">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row>
    <row r="711" customFormat="false" ht="15.75" hidden="false" customHeight="false" outlineLevel="0" collapsed="false">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row>
    <row r="712" customFormat="false" ht="15.75" hidden="false" customHeight="false" outlineLevel="0" collapsed="false">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row>
    <row r="713" customFormat="false" ht="15.75" hidden="false" customHeight="false" outlineLevel="0" collapsed="false">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row>
    <row r="714" customFormat="false" ht="15.75" hidden="false" customHeight="false" outlineLevel="0" collapsed="false">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row>
    <row r="715" customFormat="false" ht="15.75" hidden="false" customHeight="false" outlineLevel="0" collapsed="false">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row>
    <row r="716" customFormat="false" ht="15.75" hidden="false" customHeight="false" outlineLevel="0" collapsed="false">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row>
    <row r="717" customFormat="false" ht="15.75" hidden="false" customHeight="false" outlineLevel="0" collapsed="false">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row>
    <row r="718" customFormat="false" ht="15.75" hidden="false" customHeight="false" outlineLevel="0" collapsed="false">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row>
    <row r="719" customFormat="false" ht="15.75" hidden="false" customHeight="false" outlineLevel="0" collapsed="false">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row>
    <row r="720" customFormat="false" ht="15.75" hidden="false" customHeight="false" outlineLevel="0" collapsed="false">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row>
    <row r="721" customFormat="false" ht="15.75" hidden="false" customHeight="false" outlineLevel="0" collapsed="false">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row>
    <row r="722" customFormat="false" ht="15.75" hidden="false" customHeight="false" outlineLevel="0" collapsed="false">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row>
    <row r="723" customFormat="false" ht="15.75" hidden="false" customHeight="false" outlineLevel="0" collapsed="false">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row>
    <row r="724" customFormat="false" ht="15.75" hidden="false" customHeight="false" outlineLevel="0" collapsed="false">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row>
    <row r="725" customFormat="false" ht="15.75" hidden="false" customHeight="false" outlineLevel="0" collapsed="false">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row>
    <row r="726" customFormat="false" ht="15.75" hidden="false" customHeight="false" outlineLevel="0" collapsed="false">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row>
    <row r="727" customFormat="false" ht="15.75" hidden="false" customHeight="false" outlineLevel="0" collapsed="false">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row>
    <row r="728" customFormat="false" ht="15.75" hidden="false" customHeight="false" outlineLevel="0" collapsed="false">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row>
    <row r="729" customFormat="false" ht="15.75" hidden="false" customHeight="false" outlineLevel="0" collapsed="false">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row>
    <row r="730" customFormat="false" ht="15.75" hidden="false" customHeight="false" outlineLevel="0" collapsed="false">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row>
    <row r="731" customFormat="false" ht="15.75" hidden="false" customHeight="false" outlineLevel="0" collapsed="false">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row>
    <row r="732" customFormat="false" ht="15.75" hidden="false" customHeight="false" outlineLevel="0" collapsed="false">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row>
    <row r="733" customFormat="false" ht="15.75" hidden="false" customHeight="false" outlineLevel="0" collapsed="false">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row>
    <row r="734" customFormat="false" ht="15.75" hidden="false" customHeight="false" outlineLevel="0" collapsed="false">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row>
    <row r="735" customFormat="false" ht="15.75" hidden="false" customHeight="false" outlineLevel="0" collapsed="false">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row>
    <row r="736" customFormat="false" ht="15.75" hidden="false" customHeight="false" outlineLevel="0" collapsed="false">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row>
    <row r="737" customFormat="false" ht="15.75" hidden="false" customHeight="false" outlineLevel="0" collapsed="false">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row>
    <row r="738" customFormat="false" ht="15.75" hidden="false" customHeight="false" outlineLevel="0" collapsed="false">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row>
    <row r="739" customFormat="false" ht="15.75" hidden="false" customHeight="false" outlineLevel="0" collapsed="false">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row>
    <row r="740" customFormat="false" ht="15.75" hidden="false" customHeight="false" outlineLevel="0" collapsed="false">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row>
    <row r="741" customFormat="false" ht="15.75" hidden="false" customHeight="false" outlineLevel="0" collapsed="false">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row>
    <row r="742" customFormat="false" ht="15.75" hidden="false" customHeight="false" outlineLevel="0" collapsed="false">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row>
    <row r="743" customFormat="false" ht="15.75" hidden="false" customHeight="false" outlineLevel="0" collapsed="false">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row>
    <row r="744" customFormat="false" ht="15.75" hidden="false" customHeight="false" outlineLevel="0" collapsed="false">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row>
    <row r="745" customFormat="false" ht="15.75" hidden="false" customHeight="false" outlineLevel="0" collapsed="false">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row>
    <row r="746" customFormat="false" ht="15.75" hidden="false" customHeight="false" outlineLevel="0" collapsed="false">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row>
    <row r="747" customFormat="false" ht="15.75" hidden="false" customHeight="false" outlineLevel="0" collapsed="false">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row>
    <row r="748" customFormat="false" ht="15.75" hidden="false" customHeight="false" outlineLevel="0" collapsed="false">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row>
    <row r="749" customFormat="false" ht="15.75" hidden="false" customHeight="false" outlineLevel="0" collapsed="false">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row>
    <row r="750" customFormat="false" ht="15.75" hidden="false" customHeight="false" outlineLevel="0" collapsed="false">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row>
    <row r="751" customFormat="false" ht="15.75" hidden="false" customHeight="false" outlineLevel="0" collapsed="false">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row>
    <row r="752" customFormat="false" ht="15.75" hidden="false" customHeight="false" outlineLevel="0" collapsed="false">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row>
    <row r="753" customFormat="false" ht="15.75" hidden="false" customHeight="false" outlineLevel="0" collapsed="false">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row>
    <row r="754" customFormat="false" ht="15.75" hidden="false" customHeight="false" outlineLevel="0" collapsed="false">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row>
    <row r="755" customFormat="false" ht="15.75" hidden="false" customHeight="false" outlineLevel="0" collapsed="false">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row>
    <row r="756" customFormat="false" ht="15.75" hidden="false" customHeight="false" outlineLevel="0" collapsed="false">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row>
    <row r="757" customFormat="false" ht="15.75" hidden="false" customHeight="false" outlineLevel="0" collapsed="false">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row>
    <row r="758" customFormat="false" ht="15.75" hidden="false" customHeight="false" outlineLevel="0" collapsed="false">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row>
    <row r="759" customFormat="false" ht="15.75" hidden="false" customHeight="false" outlineLevel="0" collapsed="false">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row>
    <row r="760" customFormat="false" ht="15.75" hidden="false" customHeight="false" outlineLevel="0" collapsed="false">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row>
    <row r="761" customFormat="false" ht="15.75" hidden="false" customHeight="false" outlineLevel="0" collapsed="false">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row>
    <row r="762" customFormat="false" ht="15.75" hidden="false" customHeight="false" outlineLevel="0" collapsed="false">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row>
    <row r="763" customFormat="false" ht="15.75" hidden="false" customHeight="false" outlineLevel="0" collapsed="false">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row>
    <row r="764" customFormat="false" ht="15.75" hidden="false" customHeight="false" outlineLevel="0" collapsed="false">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row>
    <row r="765" customFormat="false" ht="15.75" hidden="false" customHeight="false" outlineLevel="0" collapsed="false">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row>
    <row r="766" customFormat="false" ht="15.75" hidden="false" customHeight="false" outlineLevel="0" collapsed="false">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row>
    <row r="767" customFormat="false" ht="15.75" hidden="false" customHeight="false" outlineLevel="0" collapsed="false">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row>
    <row r="768" customFormat="false" ht="15.75" hidden="false" customHeight="false" outlineLevel="0" collapsed="false">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row>
    <row r="769" customFormat="false" ht="15.75" hidden="false" customHeight="false" outlineLevel="0" collapsed="false">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row>
    <row r="770" customFormat="false" ht="15.75" hidden="false" customHeight="false" outlineLevel="0" collapsed="false">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row>
    <row r="771" customFormat="false" ht="15.75" hidden="false" customHeight="false" outlineLevel="0" collapsed="false">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row>
    <row r="772" customFormat="false" ht="15.75" hidden="false" customHeight="false" outlineLevel="0" collapsed="false">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row>
    <row r="773" customFormat="false" ht="15.75" hidden="false" customHeight="false" outlineLevel="0" collapsed="false">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row>
    <row r="774" customFormat="false" ht="15.75" hidden="false" customHeight="false" outlineLevel="0" collapsed="false">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row>
    <row r="775" customFormat="false" ht="15.75" hidden="false" customHeight="false" outlineLevel="0" collapsed="false">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row>
    <row r="776" customFormat="false" ht="15.75" hidden="false" customHeight="false" outlineLevel="0" collapsed="false">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row>
    <row r="777" customFormat="false" ht="15.75" hidden="false" customHeight="false" outlineLevel="0" collapsed="false">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row>
    <row r="778" customFormat="false" ht="15.75" hidden="false" customHeight="false" outlineLevel="0" collapsed="false">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row>
    <row r="779" customFormat="false" ht="15.75" hidden="false" customHeight="false" outlineLevel="0" collapsed="false">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row>
    <row r="780" customFormat="false" ht="15.75" hidden="false" customHeight="false" outlineLevel="0" collapsed="false">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row>
    <row r="781" customFormat="false" ht="15.75" hidden="false" customHeight="false" outlineLevel="0" collapsed="false">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row>
    <row r="782" customFormat="false" ht="15.75" hidden="false" customHeight="false" outlineLevel="0" collapsed="false">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row>
    <row r="783" customFormat="false" ht="15.75" hidden="false" customHeight="false" outlineLevel="0" collapsed="false">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row>
    <row r="784" customFormat="false" ht="15.75" hidden="false" customHeight="false" outlineLevel="0" collapsed="false">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row>
    <row r="785" customFormat="false" ht="15.75" hidden="false" customHeight="false" outlineLevel="0" collapsed="false">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row>
    <row r="786" customFormat="false" ht="15.75" hidden="false" customHeight="false" outlineLevel="0" collapsed="false">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row>
    <row r="787" customFormat="false" ht="15.75" hidden="false" customHeight="false" outlineLevel="0" collapsed="false">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row>
    <row r="788" customFormat="false" ht="15.75" hidden="false" customHeight="false" outlineLevel="0" collapsed="false">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row>
    <row r="789" customFormat="false" ht="15.75" hidden="false" customHeight="false" outlineLevel="0" collapsed="false">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row>
    <row r="790" customFormat="false" ht="15.75" hidden="false" customHeight="false" outlineLevel="0" collapsed="false">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row>
    <row r="791" customFormat="false" ht="15.75" hidden="false" customHeight="false" outlineLevel="0" collapsed="false">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row>
    <row r="792" customFormat="false" ht="15.75" hidden="false" customHeight="false" outlineLevel="0" collapsed="false">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row>
    <row r="793" customFormat="false" ht="15.75" hidden="false" customHeight="false" outlineLevel="0" collapsed="false">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row>
    <row r="794" customFormat="false" ht="15.75" hidden="false" customHeight="false" outlineLevel="0" collapsed="false">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row>
    <row r="795" customFormat="false" ht="15.75" hidden="false" customHeight="false" outlineLevel="0" collapsed="false">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row>
    <row r="796" customFormat="false" ht="15.75" hidden="false" customHeight="false" outlineLevel="0" collapsed="false">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row>
    <row r="797" customFormat="false" ht="15.75" hidden="false" customHeight="false" outlineLevel="0" collapsed="false">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row>
    <row r="798" customFormat="false" ht="15.75" hidden="false" customHeight="false" outlineLevel="0" collapsed="false">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row>
    <row r="799" customFormat="false" ht="15.75" hidden="false" customHeight="false" outlineLevel="0" collapsed="false">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row>
    <row r="800" customFormat="false" ht="15.75" hidden="false" customHeight="false" outlineLevel="0" collapsed="false">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row>
    <row r="801" customFormat="false" ht="15.75" hidden="false" customHeight="false" outlineLevel="0" collapsed="false">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row>
    <row r="802" customFormat="false" ht="15.75" hidden="false" customHeight="false" outlineLevel="0" collapsed="false">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row>
    <row r="803" customFormat="false" ht="15.75" hidden="false" customHeight="false" outlineLevel="0" collapsed="false">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row>
    <row r="804" customFormat="false" ht="15.75" hidden="false" customHeight="false" outlineLevel="0" collapsed="false">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row>
    <row r="805" customFormat="false" ht="15.75" hidden="false" customHeight="false" outlineLevel="0" collapsed="false">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row>
    <row r="806" customFormat="false" ht="15.75" hidden="false" customHeight="false" outlineLevel="0" collapsed="false">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row>
    <row r="807" customFormat="false" ht="15.75" hidden="false" customHeight="false" outlineLevel="0" collapsed="false">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row>
    <row r="808" customFormat="false" ht="15.75" hidden="false" customHeight="false" outlineLevel="0" collapsed="false">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row>
    <row r="809" customFormat="false" ht="15.75" hidden="false" customHeight="false" outlineLevel="0" collapsed="false">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row>
    <row r="810" customFormat="false" ht="15.75" hidden="false" customHeight="false" outlineLevel="0" collapsed="false">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row>
    <row r="811" customFormat="false" ht="15.75" hidden="false" customHeight="false" outlineLevel="0" collapsed="false">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row>
    <row r="812" customFormat="false" ht="15.75" hidden="false" customHeight="false" outlineLevel="0" collapsed="false">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row>
    <row r="813" customFormat="false" ht="15.75" hidden="false" customHeight="false" outlineLevel="0" collapsed="false">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row>
    <row r="814" customFormat="false" ht="15.75" hidden="false" customHeight="false" outlineLevel="0" collapsed="false">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row>
    <row r="815" customFormat="false" ht="15.75" hidden="false" customHeight="false" outlineLevel="0" collapsed="false">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row>
    <row r="816" customFormat="false" ht="15.75" hidden="false" customHeight="false" outlineLevel="0" collapsed="false">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row>
    <row r="817" customFormat="false" ht="15.75" hidden="false" customHeight="false" outlineLevel="0" collapsed="false">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row>
    <row r="818" customFormat="false" ht="15.75" hidden="false" customHeight="false" outlineLevel="0" collapsed="false">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row>
    <row r="819" customFormat="false" ht="15.75" hidden="false" customHeight="false" outlineLevel="0" collapsed="false">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row>
    <row r="820" customFormat="false" ht="15.75" hidden="false" customHeight="false" outlineLevel="0" collapsed="false">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row>
    <row r="821" customFormat="false" ht="15.75" hidden="false" customHeight="false" outlineLevel="0" collapsed="false">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row>
    <row r="822" customFormat="false" ht="15.75" hidden="false" customHeight="false" outlineLevel="0" collapsed="false">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row>
    <row r="823" customFormat="false" ht="15.75" hidden="false" customHeight="false" outlineLevel="0" collapsed="false">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row>
    <row r="824" customFormat="false" ht="15.75" hidden="false" customHeight="false" outlineLevel="0" collapsed="false">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row>
    <row r="825" customFormat="false" ht="15.75" hidden="false" customHeight="false" outlineLevel="0" collapsed="false">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row>
    <row r="826" customFormat="false" ht="15.75" hidden="false" customHeight="false" outlineLevel="0" collapsed="false">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row>
    <row r="827" customFormat="false" ht="15.75" hidden="false" customHeight="false" outlineLevel="0" collapsed="false">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row>
    <row r="828" customFormat="false" ht="15.75" hidden="false" customHeight="false" outlineLevel="0" collapsed="false">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row>
    <row r="829" customFormat="false" ht="15.75" hidden="false" customHeight="false" outlineLevel="0" collapsed="false">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row>
    <row r="830" customFormat="false" ht="15.75" hidden="false" customHeight="false" outlineLevel="0" collapsed="false">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row>
    <row r="831" customFormat="false" ht="15.75" hidden="false" customHeight="false" outlineLevel="0" collapsed="false">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row>
    <row r="832" customFormat="false" ht="15.75" hidden="false" customHeight="false" outlineLevel="0" collapsed="false">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row>
    <row r="833" customFormat="false" ht="15.75" hidden="false" customHeight="false" outlineLevel="0" collapsed="false">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row>
    <row r="834" customFormat="false" ht="15.75" hidden="false" customHeight="false" outlineLevel="0" collapsed="false">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row>
    <row r="835" customFormat="false" ht="15.75" hidden="false" customHeight="false" outlineLevel="0" collapsed="false">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row>
    <row r="836" customFormat="false" ht="15.75" hidden="false" customHeight="false" outlineLevel="0" collapsed="false">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row>
    <row r="837" customFormat="false" ht="15.75" hidden="false" customHeight="false" outlineLevel="0" collapsed="false">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row>
    <row r="838" customFormat="false" ht="15.75" hidden="false" customHeight="false" outlineLevel="0" collapsed="false">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row>
    <row r="839" customFormat="false" ht="15.75" hidden="false" customHeight="false" outlineLevel="0" collapsed="false">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row>
    <row r="840" customFormat="false" ht="15.75" hidden="false" customHeight="false" outlineLevel="0" collapsed="false">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row>
    <row r="841" customFormat="false" ht="15.75" hidden="false" customHeight="false" outlineLevel="0" collapsed="false">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row>
    <row r="842" customFormat="false" ht="15.75" hidden="false" customHeight="false" outlineLevel="0" collapsed="false">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row>
    <row r="843" customFormat="false" ht="15.75" hidden="false" customHeight="false" outlineLevel="0" collapsed="false">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row>
    <row r="844" customFormat="false" ht="15.75" hidden="false" customHeight="false" outlineLevel="0" collapsed="false">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row>
    <row r="845" customFormat="false" ht="15.75" hidden="false" customHeight="false" outlineLevel="0" collapsed="false">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row>
    <row r="846" customFormat="false" ht="15.75" hidden="false" customHeight="false" outlineLevel="0" collapsed="false">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row>
    <row r="847" customFormat="false" ht="15.75" hidden="false" customHeight="false" outlineLevel="0" collapsed="false">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row>
    <row r="848" customFormat="false" ht="15.75" hidden="false" customHeight="false" outlineLevel="0" collapsed="false">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row>
    <row r="849" customFormat="false" ht="15.75" hidden="false" customHeight="false" outlineLevel="0" collapsed="false">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row>
    <row r="850" customFormat="false" ht="15.75" hidden="false" customHeight="false" outlineLevel="0" collapsed="false">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row>
    <row r="851" customFormat="false" ht="15.75" hidden="false" customHeight="false" outlineLevel="0" collapsed="false">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row>
    <row r="852" customFormat="false" ht="15.75" hidden="false" customHeight="false" outlineLevel="0" collapsed="false">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row>
    <row r="853" customFormat="false" ht="15.75" hidden="false" customHeight="false" outlineLevel="0" collapsed="false">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row>
    <row r="854" customFormat="false" ht="15.75" hidden="false" customHeight="false" outlineLevel="0" collapsed="false">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row>
    <row r="855" customFormat="false" ht="15.75" hidden="false" customHeight="false" outlineLevel="0" collapsed="false">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row>
    <row r="856" customFormat="false" ht="15.75" hidden="false" customHeight="false" outlineLevel="0" collapsed="false">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row>
    <row r="857" customFormat="false" ht="15.75" hidden="false" customHeight="false" outlineLevel="0" collapsed="false">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row>
    <row r="858" customFormat="false" ht="15.75" hidden="false" customHeight="false" outlineLevel="0" collapsed="false">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row>
    <row r="859" customFormat="false" ht="15.75" hidden="false" customHeight="false" outlineLevel="0" collapsed="false">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row>
    <row r="860" customFormat="false" ht="15.75" hidden="false" customHeight="false" outlineLevel="0" collapsed="false">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row>
    <row r="861" customFormat="false" ht="15.75" hidden="false" customHeight="false" outlineLevel="0" collapsed="false">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row>
    <row r="862" customFormat="false" ht="15.75" hidden="false" customHeight="false" outlineLevel="0" collapsed="false">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row>
    <row r="863" customFormat="false" ht="15.75" hidden="false" customHeight="false" outlineLevel="0" collapsed="false">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row>
    <row r="864" customFormat="false" ht="15.75" hidden="false" customHeight="false" outlineLevel="0" collapsed="false">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row>
    <row r="865" customFormat="false" ht="15.75" hidden="false" customHeight="false" outlineLevel="0" collapsed="false">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row>
    <row r="866" customFormat="false" ht="15.75" hidden="false" customHeight="false" outlineLevel="0" collapsed="false">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row>
    <row r="867" customFormat="false" ht="15.75" hidden="false" customHeight="false" outlineLevel="0" collapsed="false">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row>
    <row r="868" customFormat="false" ht="15.75" hidden="false" customHeight="false" outlineLevel="0" collapsed="false">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row>
    <row r="869" customFormat="false" ht="15.75" hidden="false" customHeight="false" outlineLevel="0" collapsed="false">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row>
    <row r="870" customFormat="false" ht="15.75" hidden="false" customHeight="false" outlineLevel="0" collapsed="false">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row>
    <row r="871" customFormat="false" ht="15.75" hidden="false" customHeight="false" outlineLevel="0" collapsed="false">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row>
    <row r="872" customFormat="false" ht="15.75" hidden="false" customHeight="false" outlineLevel="0" collapsed="false">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row>
    <row r="873" customFormat="false" ht="15.75" hidden="false" customHeight="false" outlineLevel="0" collapsed="false">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row>
    <row r="874" customFormat="false" ht="15.75" hidden="false" customHeight="false" outlineLevel="0" collapsed="false">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row>
    <row r="875" customFormat="false" ht="15.75" hidden="false" customHeight="false" outlineLevel="0" collapsed="false">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row>
    <row r="876" customFormat="false" ht="15.75" hidden="false" customHeight="false" outlineLevel="0" collapsed="false">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row>
    <row r="877" customFormat="false" ht="15.75" hidden="false" customHeight="false" outlineLevel="0" collapsed="false">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row>
    <row r="878" customFormat="false" ht="15.75" hidden="false" customHeight="false" outlineLevel="0" collapsed="false">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row>
    <row r="879" customFormat="false" ht="15.75" hidden="false" customHeight="false" outlineLevel="0" collapsed="false">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row>
    <row r="880" customFormat="false" ht="15.75" hidden="false" customHeight="false" outlineLevel="0" collapsed="false">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row>
    <row r="881" customFormat="false" ht="15.75" hidden="false" customHeight="false" outlineLevel="0" collapsed="false">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row>
    <row r="882" customFormat="false" ht="15.75" hidden="false" customHeight="false" outlineLevel="0" collapsed="false">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row>
    <row r="883" customFormat="false" ht="15.75" hidden="false" customHeight="false" outlineLevel="0" collapsed="false">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row>
    <row r="884" customFormat="false" ht="15.75" hidden="false" customHeight="false" outlineLevel="0" collapsed="false">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row>
    <row r="885" customFormat="false" ht="15.75" hidden="false" customHeight="false" outlineLevel="0" collapsed="false">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row>
    <row r="886" customFormat="false" ht="15.75" hidden="false" customHeight="false" outlineLevel="0" collapsed="false">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row>
    <row r="887" customFormat="false" ht="15.75" hidden="false" customHeight="false" outlineLevel="0" collapsed="false">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row>
    <row r="888" customFormat="false" ht="15.75" hidden="false" customHeight="false" outlineLevel="0" collapsed="false">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row>
    <row r="889" customFormat="false" ht="15.75" hidden="false" customHeight="false" outlineLevel="0" collapsed="false">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row>
    <row r="890" customFormat="false" ht="15.75" hidden="false" customHeight="false" outlineLevel="0" collapsed="false">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row>
    <row r="891" customFormat="false" ht="15.75" hidden="false" customHeight="false" outlineLevel="0" collapsed="false">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row>
    <row r="892" customFormat="false" ht="15.75" hidden="false" customHeight="false" outlineLevel="0" collapsed="false">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row>
    <row r="893" customFormat="false" ht="15.75" hidden="false" customHeight="false" outlineLevel="0" collapsed="false">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row>
    <row r="894" customFormat="false" ht="15.75" hidden="false" customHeight="false" outlineLevel="0" collapsed="false">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row>
    <row r="895" customFormat="false" ht="15.75" hidden="false" customHeight="false" outlineLevel="0" collapsed="false">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row>
    <row r="896" customFormat="false" ht="15.75" hidden="false" customHeight="false" outlineLevel="0" collapsed="false">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row>
    <row r="897" customFormat="false" ht="15.75" hidden="false" customHeight="false" outlineLevel="0" collapsed="false">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row>
    <row r="898" customFormat="false" ht="15.75" hidden="false" customHeight="false" outlineLevel="0" collapsed="false">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row>
    <row r="899" customFormat="false" ht="15.75" hidden="false" customHeight="false" outlineLevel="0" collapsed="false">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row>
    <row r="900" customFormat="false" ht="15.75" hidden="false" customHeight="false" outlineLevel="0" collapsed="false">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row>
    <row r="901" customFormat="false" ht="15.75" hidden="false" customHeight="false" outlineLevel="0" collapsed="false">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row>
    <row r="902" customFormat="false" ht="15.75" hidden="false" customHeight="false" outlineLevel="0" collapsed="false">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row>
    <row r="903" customFormat="false" ht="15.75" hidden="false" customHeight="false" outlineLevel="0" collapsed="false">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row>
    <row r="904" customFormat="false" ht="15.75" hidden="false" customHeight="false" outlineLevel="0" collapsed="false">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row>
    <row r="905" customFormat="false" ht="15.75" hidden="false" customHeight="false" outlineLevel="0" collapsed="false">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row>
    <row r="906" customFormat="false" ht="15.75" hidden="false" customHeight="false" outlineLevel="0" collapsed="false">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row>
    <row r="907" customFormat="false" ht="15.75" hidden="false" customHeight="false" outlineLevel="0" collapsed="false">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row>
    <row r="908" customFormat="false" ht="15.75" hidden="false" customHeight="false" outlineLevel="0" collapsed="false">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row>
    <row r="909" customFormat="false" ht="15.75" hidden="false" customHeight="false" outlineLevel="0" collapsed="false">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row>
    <row r="910" customFormat="false" ht="15.75" hidden="false" customHeight="false" outlineLevel="0" collapsed="false">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row>
    <row r="911" customFormat="false" ht="15.75" hidden="false" customHeight="false" outlineLevel="0" collapsed="false">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row>
    <row r="912" customFormat="false" ht="15.75" hidden="false" customHeight="false" outlineLevel="0" collapsed="false">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row>
    <row r="913" customFormat="false" ht="15.75" hidden="false" customHeight="false" outlineLevel="0" collapsed="false">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row>
    <row r="914" customFormat="false" ht="15.75" hidden="false" customHeight="false" outlineLevel="0" collapsed="false">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row>
    <row r="915" customFormat="false" ht="15.75" hidden="false" customHeight="false" outlineLevel="0" collapsed="false">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row>
    <row r="916" customFormat="false" ht="15.75" hidden="false" customHeight="false" outlineLevel="0" collapsed="false">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row>
    <row r="917" customFormat="false" ht="15.75" hidden="false" customHeight="false" outlineLevel="0" collapsed="false">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row>
    <row r="918" customFormat="false" ht="15.75" hidden="false" customHeight="false" outlineLevel="0" collapsed="false">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row>
    <row r="919" customFormat="false" ht="15.75" hidden="false" customHeight="false" outlineLevel="0" collapsed="false">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row>
    <row r="920" customFormat="false" ht="15.75" hidden="false" customHeight="false" outlineLevel="0" collapsed="false">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row>
    <row r="921" customFormat="false" ht="15.75" hidden="false" customHeight="false" outlineLevel="0" collapsed="false">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row>
    <row r="922" customFormat="false" ht="15.75" hidden="false" customHeight="false" outlineLevel="0" collapsed="false">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row>
    <row r="923" customFormat="false" ht="15.75" hidden="false" customHeight="false" outlineLevel="0" collapsed="false">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row>
    <row r="924" customFormat="false" ht="15.75" hidden="false" customHeight="false" outlineLevel="0" collapsed="false">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row>
    <row r="925" customFormat="false" ht="15.75" hidden="false" customHeight="false" outlineLevel="0" collapsed="false">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row>
    <row r="926" customFormat="false" ht="15.75" hidden="false" customHeight="false" outlineLevel="0" collapsed="false">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row>
    <row r="927" customFormat="false" ht="15.75" hidden="false" customHeight="false" outlineLevel="0" collapsed="false">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row>
    <row r="928" customFormat="false" ht="15.75" hidden="false" customHeight="false" outlineLevel="0" collapsed="false">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row>
    <row r="929" customFormat="false" ht="15.75" hidden="false" customHeight="false" outlineLevel="0" collapsed="false">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row>
    <row r="930" customFormat="false" ht="15.75" hidden="false" customHeight="false" outlineLevel="0" collapsed="false">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row>
    <row r="931" customFormat="false" ht="15.75" hidden="false" customHeight="false" outlineLevel="0" collapsed="false">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row>
    <row r="932" customFormat="false" ht="15.75" hidden="false" customHeight="false" outlineLevel="0" collapsed="false">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row>
    <row r="933" customFormat="false" ht="15.75" hidden="false" customHeight="false" outlineLevel="0" collapsed="false">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row>
    <row r="934" customFormat="false" ht="15.75" hidden="false" customHeight="false" outlineLevel="0" collapsed="false">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row>
    <row r="935" customFormat="false" ht="15.75" hidden="false" customHeight="false" outlineLevel="0" collapsed="false">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row>
    <row r="936" customFormat="false" ht="15.75" hidden="false" customHeight="false" outlineLevel="0" collapsed="false">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row>
    <row r="937" customFormat="false" ht="15.75" hidden="false" customHeight="false" outlineLevel="0" collapsed="false">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row>
    <row r="938" customFormat="false" ht="15.75" hidden="false" customHeight="false" outlineLevel="0" collapsed="false">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row>
    <row r="939" customFormat="false" ht="15.75" hidden="false" customHeight="false" outlineLevel="0" collapsed="false">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row>
    <row r="940" customFormat="false" ht="15.75" hidden="false" customHeight="false" outlineLevel="0" collapsed="false">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row>
    <row r="941" customFormat="false" ht="15.75" hidden="false" customHeight="false" outlineLevel="0" collapsed="false">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row>
    <row r="942" customFormat="false" ht="15.75" hidden="false" customHeight="false" outlineLevel="0" collapsed="false">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row>
    <row r="943" customFormat="false" ht="15.75" hidden="false" customHeight="false" outlineLevel="0" collapsed="false">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row>
    <row r="944" customFormat="false" ht="15.75" hidden="false" customHeight="false" outlineLevel="0" collapsed="false">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row>
    <row r="945" customFormat="false" ht="15.75" hidden="false" customHeight="false" outlineLevel="0" collapsed="false">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row>
    <row r="946" customFormat="false" ht="15.75" hidden="false" customHeight="false" outlineLevel="0" collapsed="false">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row>
    <row r="947" customFormat="false" ht="15.75" hidden="false" customHeight="false" outlineLevel="0" collapsed="false">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row>
    <row r="948" customFormat="false" ht="15.75" hidden="false" customHeight="false" outlineLevel="0" collapsed="false">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row>
    <row r="949" customFormat="false" ht="15.75" hidden="false" customHeight="false" outlineLevel="0" collapsed="false">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row>
    <row r="950" customFormat="false" ht="15.75" hidden="false" customHeight="false" outlineLevel="0" collapsed="false">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row>
    <row r="951" customFormat="false" ht="15.75" hidden="false" customHeight="false" outlineLevel="0" collapsed="false">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row>
    <row r="952" customFormat="false" ht="15.75" hidden="false" customHeight="false" outlineLevel="0" collapsed="false">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row>
    <row r="953" customFormat="false" ht="15.75" hidden="false" customHeight="false" outlineLevel="0" collapsed="false">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row>
    <row r="954" customFormat="false" ht="15.75" hidden="false" customHeight="false" outlineLevel="0" collapsed="false">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row>
    <row r="955" customFormat="false" ht="15.75" hidden="false" customHeight="false" outlineLevel="0" collapsed="false">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row>
    <row r="956" customFormat="false" ht="15.75" hidden="false" customHeight="false" outlineLevel="0" collapsed="false">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row>
    <row r="957" customFormat="false" ht="15.75" hidden="false" customHeight="false" outlineLevel="0" collapsed="false">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row>
    <row r="958" customFormat="false" ht="15.75" hidden="false" customHeight="false" outlineLevel="0" collapsed="false">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row>
    <row r="959" customFormat="false" ht="15.75" hidden="false" customHeight="false" outlineLevel="0" collapsed="false">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row>
    <row r="960" customFormat="false" ht="15.75" hidden="false" customHeight="false" outlineLevel="0" collapsed="false">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row>
    <row r="961" customFormat="false" ht="15.75" hidden="false" customHeight="false" outlineLevel="0" collapsed="false">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row>
    <row r="962" customFormat="false" ht="15.75" hidden="false" customHeight="false" outlineLevel="0" collapsed="false">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row>
    <row r="963" customFormat="false" ht="15.75" hidden="false" customHeight="false" outlineLevel="0" collapsed="false">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row>
    <row r="964" customFormat="false" ht="15.75" hidden="false" customHeight="false" outlineLevel="0" collapsed="false">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row>
    <row r="965" customFormat="false" ht="15.75" hidden="false" customHeight="false" outlineLevel="0" collapsed="false">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row>
    <row r="966" customFormat="false" ht="15.75" hidden="false" customHeight="false" outlineLevel="0" collapsed="false">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row>
    <row r="967" customFormat="false" ht="15.75" hidden="false" customHeight="false" outlineLevel="0" collapsed="false">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row>
    <row r="968" customFormat="false" ht="15.75" hidden="false" customHeight="false" outlineLevel="0" collapsed="false">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row>
    <row r="969" customFormat="false" ht="15.75" hidden="false" customHeight="false" outlineLevel="0" collapsed="false">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row>
    <row r="970" customFormat="false" ht="15.75" hidden="false" customHeight="false" outlineLevel="0" collapsed="false">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row>
    <row r="971" customFormat="false" ht="15.75" hidden="false" customHeight="false" outlineLevel="0" collapsed="false">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row>
    <row r="972" customFormat="false" ht="15.75" hidden="false" customHeight="false" outlineLevel="0" collapsed="false">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row>
    <row r="973" customFormat="false" ht="15.75" hidden="false" customHeight="false" outlineLevel="0" collapsed="false">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row>
    <row r="974" customFormat="false" ht="15.75" hidden="false" customHeight="false" outlineLevel="0" collapsed="false">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row>
    <row r="975" customFormat="false" ht="15.75" hidden="false" customHeight="false" outlineLevel="0" collapsed="false">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row>
    <row r="976" customFormat="false" ht="15.75" hidden="false" customHeight="false" outlineLevel="0" collapsed="false">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row>
    <row r="977" customFormat="false" ht="15.75" hidden="false" customHeight="false" outlineLevel="0" collapsed="false">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row>
    <row r="978" customFormat="false" ht="15.75" hidden="false" customHeight="false" outlineLevel="0" collapsed="false">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row>
    <row r="979" customFormat="false" ht="15.75" hidden="false" customHeight="false" outlineLevel="0" collapsed="false">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row>
    <row r="980" customFormat="false" ht="15.75" hidden="false" customHeight="false" outlineLevel="0" collapsed="false">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row>
    <row r="981" customFormat="false" ht="15.75" hidden="false" customHeight="false" outlineLevel="0" collapsed="false">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row>
    <row r="982" customFormat="false" ht="15.75" hidden="false" customHeight="false" outlineLevel="0" collapsed="false">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row>
    <row r="983" customFormat="false" ht="15.75" hidden="false" customHeight="false" outlineLevel="0" collapsed="false">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row>
    <row r="984" customFormat="false" ht="15.75" hidden="false" customHeight="false" outlineLevel="0" collapsed="false">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row>
    <row r="985" customFormat="false" ht="15.75" hidden="false" customHeight="false" outlineLevel="0" collapsed="false">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row>
    <row r="986" customFormat="false" ht="15.75" hidden="false" customHeight="false" outlineLevel="0" collapsed="false">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row>
    <row r="987" customFormat="false" ht="15.75" hidden="false" customHeight="false" outlineLevel="0" collapsed="false">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row>
    <row r="988" customFormat="false" ht="15.75" hidden="false" customHeight="false" outlineLevel="0" collapsed="false">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row>
    <row r="989" customFormat="false" ht="15.75" hidden="false" customHeight="false" outlineLevel="0" collapsed="false">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row>
    <row r="990" customFormat="false" ht="15.75" hidden="false" customHeight="false" outlineLevel="0" collapsed="false">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row>
    <row r="991" customFormat="false" ht="15.75" hidden="false" customHeight="false" outlineLevel="0" collapsed="false">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row>
    <row r="992" customFormat="false" ht="15.75" hidden="false" customHeight="false" outlineLevel="0" collapsed="false">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row>
    <row r="993" customFormat="false" ht="15.75" hidden="false" customHeight="false" outlineLevel="0" collapsed="false">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row>
    <row r="994" customFormat="false" ht="15.75" hidden="false" customHeight="false" outlineLevel="0" collapsed="false">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row>
    <row r="995" customFormat="false" ht="15.75" hidden="false" customHeight="false" outlineLevel="0" collapsed="false">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row>
    <row r="996" customFormat="false" ht="15.75" hidden="false" customHeight="false" outlineLevel="0" collapsed="false">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row>
    <row r="997" customFormat="false" ht="15.75" hidden="false" customHeight="false" outlineLevel="0" collapsed="false">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row>
    <row r="998" customFormat="false" ht="15.75" hidden="false" customHeight="false" outlineLevel="0" collapsed="false">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row>
    <row r="999" customFormat="false" ht="15.75" hidden="false" customHeight="false" outlineLevel="0" collapsed="false">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row>
    <row r="1000" customFormat="false" ht="15.75" hidden="false" customHeight="false" outlineLevel="0" collapsed="false">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2.640625" defaultRowHeight="15.75" zeroHeight="false" outlineLevelRow="0" outlineLevelCol="0"/>
  <sheetData>
    <row r="1" customFormat="false" ht="15.75" hidden="false" customHeight="false" outlineLevel="0" collapsed="false">
      <c r="A1" s="307" t="s">
        <v>8</v>
      </c>
      <c r="B1" s="307" t="s">
        <v>705</v>
      </c>
      <c r="C1" s="307" t="s">
        <v>706</v>
      </c>
    </row>
    <row r="2" customFormat="false" ht="15.75" hidden="false" customHeight="false" outlineLevel="0" collapsed="false">
      <c r="A2" s="290" t="s">
        <v>12</v>
      </c>
      <c r="B2" s="6" t="s">
        <v>2314</v>
      </c>
    </row>
    <row r="3" customFormat="false" ht="15.75" hidden="false" customHeight="false" outlineLevel="0" collapsed="false">
      <c r="A3" s="290" t="s">
        <v>43</v>
      </c>
      <c r="B3" s="6" t="s">
        <v>2022</v>
      </c>
    </row>
    <row r="4" customFormat="false" ht="15.75" hidden="false" customHeight="false" outlineLevel="0" collapsed="false">
      <c r="A4" s="290" t="s">
        <v>66</v>
      </c>
      <c r="B4" s="6" t="s">
        <v>2130</v>
      </c>
    </row>
    <row r="5" customFormat="false" ht="15.75" hidden="false" customHeight="false" outlineLevel="0" collapsed="false">
      <c r="A5" s="290" t="s">
        <v>82</v>
      </c>
      <c r="B5" s="6" t="s">
        <v>2310</v>
      </c>
    </row>
    <row r="6" customFormat="false" ht="15.75" hidden="false" customHeight="false" outlineLevel="0" collapsed="false">
      <c r="A6" s="290" t="s">
        <v>32</v>
      </c>
      <c r="B6" s="6" t="s">
        <v>2127</v>
      </c>
    </row>
    <row r="7" customFormat="false" ht="15.75" hidden="false" customHeight="false" outlineLevel="0" collapsed="false">
      <c r="A7" s="290" t="s">
        <v>122</v>
      </c>
      <c r="B7" s="6" t="s">
        <v>2283</v>
      </c>
    </row>
    <row r="8" customFormat="false" ht="15.75" hidden="false" customHeight="false" outlineLevel="0" collapsed="false">
      <c r="A8" s="290" t="s">
        <v>21</v>
      </c>
      <c r="B8" s="6" t="s">
        <v>1006</v>
      </c>
      <c r="C8" s="6" t="s">
        <v>2313</v>
      </c>
    </row>
    <row r="9" customFormat="false" ht="15.75" hidden="false" customHeight="false" outlineLevel="0" collapsed="false">
      <c r="A9" s="290" t="s">
        <v>60</v>
      </c>
      <c r="B9" s="6" t="s">
        <v>1006</v>
      </c>
    </row>
    <row r="10" customFormat="false" ht="15.75" hidden="false" customHeight="false" outlineLevel="0" collapsed="false">
      <c r="A10" s="290" t="s">
        <v>24</v>
      </c>
      <c r="B10" s="6" t="s">
        <v>2309</v>
      </c>
    </row>
    <row r="11" customFormat="false" ht="15.75" hidden="false" customHeight="false" outlineLevel="0" collapsed="false">
      <c r="A11" s="290" t="s">
        <v>95</v>
      </c>
      <c r="B11" s="6" t="s">
        <v>2221</v>
      </c>
    </row>
    <row r="12" customFormat="false" ht="15.75" hidden="false" customHeight="false" outlineLevel="0" collapsed="false">
      <c r="A12" s="290" t="s">
        <v>97</v>
      </c>
      <c r="B12" s="6" t="s">
        <v>2312</v>
      </c>
    </row>
    <row r="13" customFormat="false" ht="15.75" hidden="false" customHeight="false" outlineLevel="0" collapsed="false">
      <c r="A13" s="290" t="s">
        <v>15</v>
      </c>
      <c r="B13" s="6" t="s">
        <v>2022</v>
      </c>
    </row>
    <row r="14" customFormat="false" ht="15.75" hidden="false" customHeight="false" outlineLevel="0" collapsed="false">
      <c r="A14" s="290" t="s">
        <v>79</v>
      </c>
      <c r="B14" s="6" t="s">
        <v>1006</v>
      </c>
      <c r="C14" s="6" t="s">
        <v>2316</v>
      </c>
    </row>
    <row r="15" customFormat="false" ht="15.75" hidden="false" customHeight="false" outlineLevel="0" collapsed="false">
      <c r="A15" s="290" t="s">
        <v>149</v>
      </c>
      <c r="B15" s="6" t="s">
        <v>2022</v>
      </c>
    </row>
    <row r="16" customFormat="false" ht="15.75" hidden="false" customHeight="false" outlineLevel="0" collapsed="false">
      <c r="A16" s="290" t="s">
        <v>113</v>
      </c>
      <c r="B16" s="6" t="s">
        <v>1006</v>
      </c>
      <c r="C16" s="6" t="s">
        <v>2308</v>
      </c>
    </row>
    <row r="17" customFormat="false" ht="15.75" hidden="false" customHeight="false" outlineLevel="0" collapsed="false">
      <c r="A17" s="290" t="s">
        <v>109</v>
      </c>
      <c r="B17" s="6" t="s">
        <v>1006</v>
      </c>
      <c r="C17" s="6" t="s">
        <v>2315</v>
      </c>
    </row>
    <row r="18" customFormat="false" ht="15.75" hidden="false" customHeight="false" outlineLevel="0" collapsed="false">
      <c r="A18" s="290" t="s">
        <v>112</v>
      </c>
      <c r="B18" s="6" t="s">
        <v>2311</v>
      </c>
    </row>
  </sheetData>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2024-02-07T13:37:15Z</dcterms:modified>
  <cp:revision>2</cp:revision>
  <dc:subject/>
  <dc:title/>
</cp:coreProperties>
</file>